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6.xml" ContentType="application/vnd.openxmlformats-officedocument.spreadsheetml.comments+xml"/>
  <Override PartName="/xl/drawings/drawing6.xml" ContentType="application/vnd.openxmlformats-officedocument.drawing+xml"/>
  <Override PartName="/xl/comments7.xml" ContentType="application/vnd.openxmlformats-officedocument.spreadsheetml.comments+xml"/>
  <Override PartName="/xl/drawings/drawing7.xml" ContentType="application/vnd.openxmlformats-officedocument.drawing+xml"/>
  <Override PartName="/xl/comments8.xml" ContentType="application/vnd.openxmlformats-officedocument.spreadsheetml.comments+xml"/>
  <Override PartName="/xl/drawings/drawing8.xml" ContentType="application/vnd.openxmlformats-officedocument.drawing+xml"/>
  <Override PartName="/xl/comments9.xml" ContentType="application/vnd.openxmlformats-officedocument.spreadsheetml.comments+xml"/>
  <Override PartName="/xl/drawings/drawing9.xml" ContentType="application/vnd.openxmlformats-officedocument.drawing+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codeName="ThisWorkbook"/>
  <mc:AlternateContent xmlns:mc="http://schemas.openxmlformats.org/markup-compatibility/2006">
    <mc:Choice Requires="x15">
      <x15ac:absPath xmlns:x15ac="http://schemas.microsoft.com/office/spreadsheetml/2010/11/ac" url="G:\Michael Milam\City of Dogwood 2019\Final Documents\"/>
    </mc:Choice>
  </mc:AlternateContent>
  <xr:revisionPtr revIDLastSave="0" documentId="13_ncr:1_{E982BCEE-AC12-45E7-A511-31F619042406}" xr6:coauthVersionLast="41" xr6:coauthVersionMax="41" xr10:uidLastSave="{00000000-0000-0000-0000-000000000000}"/>
  <bookViews>
    <workbookView xWindow="-120" yWindow="-120" windowWidth="29040" windowHeight="17640" tabRatio="940" xr2:uid="{00000000-000D-0000-FFFF-FFFF00000000}"/>
  </bookViews>
  <sheets>
    <sheet name="General Instructions" sheetId="16" r:id="rId1"/>
    <sheet name="Conversion Worksheet" sheetId="1" r:id="rId2"/>
    <sheet name="A. Revenue by function" sheetId="2" r:id="rId3"/>
    <sheet name="B.  Property Taxes" sheetId="6" r:id="rId4"/>
    <sheet name="C. Other Revenues" sheetId="11" r:id="rId5"/>
    <sheet name="D. Depreciation" sheetId="5" r:id="rId6"/>
    <sheet name="E. Capital Outlay" sheetId="3" r:id="rId7"/>
    <sheet name="F.  Other Cap Asset Entries" sheetId="4" r:id="rId8"/>
    <sheet name="G. Debt Service" sheetId="12" r:id="rId9"/>
    <sheet name="H. Debt Issues" sheetId="13" r:id="rId10"/>
    <sheet name="I.  Other Asset Entries" sheetId="14" r:id="rId11"/>
    <sheet name="J. Other Liability &amp; Expenses" sheetId="15" r:id="rId12"/>
    <sheet name="K.1  Int. Service Fd Allocation" sheetId="18" r:id="rId13"/>
    <sheet name="K.2  Int. Service Fd Alloca" sheetId="23" r:id="rId14"/>
    <sheet name="K.3 Int. Service Fd Alloca" sheetId="24" r:id="rId15"/>
    <sheet name="L. Eliminations-Consolidations" sheetId="19" r:id="rId16"/>
    <sheet name="M. Net Position Calculation" sheetId="22" r:id="rId17"/>
    <sheet name="N.1a LGERS Data CY" sheetId="30" state="hidden" r:id="rId18"/>
    <sheet name="N.1b LGERS Data PY" sheetId="28" state="hidden" r:id="rId19"/>
    <sheet name="N.1a 2019 summary" sheetId="42" state="hidden" r:id="rId20"/>
    <sheet name="N.1a 2018 summary" sheetId="33" state="hidden" r:id="rId21"/>
    <sheet name="N.1 GASB 68 LGERS" sheetId="25" r:id="rId22"/>
    <sheet name="N.1b 2017 summary" sheetId="34" state="hidden" r:id="rId23"/>
    <sheet name="N.1c LGERS Contributions FY2018" sheetId="43" state="hidden" r:id="rId24"/>
    <sheet name="N.1c LGERS Contributions FY2017" sheetId="35" state="hidden" r:id="rId25"/>
    <sheet name="N.2 GASB 68 FRSWPF" sheetId="27" r:id="rId26"/>
    <sheet name="O. GASB 73 LEO Entries" sheetId="31" r:id="rId27"/>
    <sheet name="P. GASB 75 OPEB 1 Entries" sheetId="38" r:id="rId28"/>
    <sheet name="P. GASB 75 OPEB 2 Entries" sheetId="46" r:id="rId29"/>
    <sheet name="P. GASB 75 3 OPEB Entries" sheetId="47" r:id="rId30"/>
  </sheets>
  <externalReferences>
    <externalReference r:id="rId31"/>
    <externalReference r:id="rId32"/>
  </externalReferences>
  <definedNames>
    <definedName name="_xlnm._FilterDatabase" localSheetId="18" hidden="1">'N.1b LGERS Data PY'!$A$2:$U$897</definedName>
    <definedName name="aa0">'N.1b 2017 summary'!$K$5</definedName>
    <definedName name="ActuaryCredentialsGASB">[1]DeveloperInfo!$D$19</definedName>
    <definedName name="ActuaryNameGASB">[1]DeveloperInfo!$D$17</definedName>
    <definedName name="ActuaryTitleGASB">[1]DeveloperInfo!$D$18</definedName>
    <definedName name="AdjCNSDate">[1]DeveloperInfo!$D$33</definedName>
    <definedName name="AdjCNSDate1">[1]DeveloperInfo!$E$33</definedName>
    <definedName name="AdjCNSDateTempEnable">[1]DeveloperInfo!$F$34</definedName>
    <definedName name="AgencyCode" localSheetId="19">#REF!</definedName>
    <definedName name="AgencyCode" localSheetId="17">#REF!</definedName>
    <definedName name="AgencyCode" localSheetId="22">#REF!</definedName>
    <definedName name="AgencyCode" localSheetId="18">#REF!</definedName>
    <definedName name="AgencyCode" localSheetId="24">#REF!</definedName>
    <definedName name="AgencyCode" localSheetId="23">#REF!</definedName>
    <definedName name="AgencyCode" localSheetId="29">#REF!</definedName>
    <definedName name="AgencyCode" localSheetId="28">#REF!</definedName>
    <definedName name="AgencyCode">#REF!</definedName>
    <definedName name="AgencyCode1" localSheetId="19">#REF!</definedName>
    <definedName name="AgencyCode1" localSheetId="24">#REF!</definedName>
    <definedName name="AgencyCode1" localSheetId="23">#REF!</definedName>
    <definedName name="AgencyCode1" localSheetId="29">#REF!</definedName>
    <definedName name="AgencyCode1" localSheetId="28">#REF!</definedName>
    <definedName name="AgencyCode1">#REF!</definedName>
    <definedName name="AnalystGASB">[1]DeveloperInfo!$D$20</definedName>
    <definedName name="Annuity" localSheetId="19">#REF!</definedName>
    <definedName name="Annuity" localSheetId="17">#REF!</definedName>
    <definedName name="Annuity" localSheetId="22">#REF!</definedName>
    <definedName name="Annuity" localSheetId="18">'[2]Assets Input'!$L$37:$L$56</definedName>
    <definedName name="Annuity" localSheetId="24">#REF!</definedName>
    <definedName name="Annuity" localSheetId="23">#REF!</definedName>
    <definedName name="Annuity" localSheetId="29">#REF!</definedName>
    <definedName name="Annuity" localSheetId="28">#REF!</definedName>
    <definedName name="Annuity">#REF!</definedName>
    <definedName name="Annuity1" localSheetId="19">#REF!</definedName>
    <definedName name="Annuity1" localSheetId="24">#REF!</definedName>
    <definedName name="Annuity1" localSheetId="23">#REF!</definedName>
    <definedName name="Annuity1" localSheetId="29">#REF!</definedName>
    <definedName name="Annuity1" localSheetId="28">#REF!</definedName>
    <definedName name="Annuity1">#REF!</definedName>
    <definedName name="AnnuityLY" localSheetId="19">#REF!</definedName>
    <definedName name="AnnuityLY" localSheetId="17">#REF!</definedName>
    <definedName name="AnnuityLY" localSheetId="22">#REF!</definedName>
    <definedName name="AnnuityLY" localSheetId="24">#REF!</definedName>
    <definedName name="AnnuityLY" localSheetId="23">#REF!</definedName>
    <definedName name="AnnuityLY" localSheetId="29">#REF!</definedName>
    <definedName name="AnnuityLY" localSheetId="28">#REF!</definedName>
    <definedName name="AnnuityLY">#REF!</definedName>
    <definedName name="ASTABPF">[1]DeveloperInfo!$D$36</definedName>
    <definedName name="ASTABPF1">[1]DeveloperInfo!$D$37</definedName>
    <definedName name="ASTEBPF">[1]DeveloperInfo!$F$37</definedName>
    <definedName name="ClientShortGASB">[1]DeveloperInfo!$D$9</definedName>
    <definedName name="CLPOWERDisc">[1]Adjust!$H$199</definedName>
    <definedName name="CLPOWERDiscMinus1">[1]Adjust!$L$199</definedName>
    <definedName name="CLPOWERDiscPlus1">[1]Adjust!$K$199</definedName>
    <definedName name="CLPOWERExp">[1]Adjust!$G$199</definedName>
    <definedName name="CNSDateDisc">[1]DeveloperInfo!$D$32</definedName>
    <definedName name="CNSDateDisc1">[1]DeveloperInfo!$E$32</definedName>
    <definedName name="ColaRate">[1]DeveloperInfo!$D$40</definedName>
    <definedName name="ConsultantNameGASB">[1]DeveloperInfo!$D$22</definedName>
    <definedName name="ConsultantTitleGASB">[1]DeveloperInfo!$D$23</definedName>
    <definedName name="Disc1DELTACENSUS">[1]Adjust!$G$102</definedName>
    <definedName name="Disc1INTNDIV12">[1]Adjust!$H$195</definedName>
    <definedName name="Disc1SINTADJBOM">[1]Adjust!$I$197</definedName>
    <definedName name="Disc1SINTNDIV12">[1]Adjust!$I$195</definedName>
    <definedName name="DiscDELTACENSUS">[1]Adjust!$H$102</definedName>
    <definedName name="DiscINTADJBOM">[1]Adjust!$J$197</definedName>
    <definedName name="DiscINTNDIV12">[1]Adjust!$J$195</definedName>
    <definedName name="DiscMinusOneINTADJBOM">[1]Adjust!$L$197</definedName>
    <definedName name="DiscMinusOneINTNDIV12">[1]Adjust!$L$195</definedName>
    <definedName name="DiscPlusOneINTADJBOM">[1]Adjust!$K$197</definedName>
    <definedName name="DiscPlusOneINTNDIV12">[1]Adjust!$K$195</definedName>
    <definedName name="EmployerRates" localSheetId="19">#REF!</definedName>
    <definedName name="EmployerRates" localSheetId="17">#REF!</definedName>
    <definedName name="EmployerRates" localSheetId="22">#REF!</definedName>
    <definedName name="EmployerRates" localSheetId="18">#REF!</definedName>
    <definedName name="EmployerRates" localSheetId="24">#REF!</definedName>
    <definedName name="EmployerRates" localSheetId="23">#REF!</definedName>
    <definedName name="EmployerRates" localSheetId="29">#REF!</definedName>
    <definedName name="EmployerRates" localSheetId="28">#REF!</definedName>
    <definedName name="EmployerRates">#REF!</definedName>
    <definedName name="EmployerRates1" localSheetId="19">#REF!</definedName>
    <definedName name="EmployerRates1" localSheetId="24">#REF!</definedName>
    <definedName name="EmployerRates1" localSheetId="23">#REF!</definedName>
    <definedName name="EmployerRates1" localSheetId="29">#REF!</definedName>
    <definedName name="EmployerRates1" localSheetId="28">#REF!</definedName>
    <definedName name="EmployerRates1">#REF!</definedName>
    <definedName name="EmployerRatesLEO" localSheetId="19">#REF!</definedName>
    <definedName name="EmployerRatesLEO" localSheetId="17">#REF!</definedName>
    <definedName name="EmployerRatesLEO" localSheetId="22">#REF!</definedName>
    <definedName name="EmployerRatesLEO" localSheetId="18">#REF!</definedName>
    <definedName name="EmployerRatesLEO" localSheetId="24">#REF!</definedName>
    <definedName name="EmployerRatesLEO" localSheetId="23">#REF!</definedName>
    <definedName name="EmployerRatesLEO" localSheetId="29">#REF!</definedName>
    <definedName name="EmployerRatesLEO" localSheetId="28">#REF!</definedName>
    <definedName name="EmployerRatesLEO">#REF!</definedName>
    <definedName name="EmployerRatesLEO1" localSheetId="19">#REF!</definedName>
    <definedName name="EmployerRatesLEO1" localSheetId="24">#REF!</definedName>
    <definedName name="EmployerRatesLEO1" localSheetId="23">#REF!</definedName>
    <definedName name="EmployerRatesLEO1" localSheetId="29">#REF!</definedName>
    <definedName name="EmployerRatesLEO1" localSheetId="28">#REF!</definedName>
    <definedName name="EmployerRatesLEO1">#REF!</definedName>
    <definedName name="ERData">[1]ER_DATA!$B$16:$EN$318</definedName>
    <definedName name="ERID">[1]ER_NPLExpense!$L$8</definedName>
    <definedName name="ERInfo">[1]ER_Input!$B$16:$Y$318</definedName>
    <definedName name="Exp1INTADJBOM">[1]Adjust!$G$197</definedName>
    <definedName name="Exp1INTNDIV12">[1]Adjust!$G$195</definedName>
    <definedName name="FracYearProj">[1]TPL!$C$43</definedName>
    <definedName name="FundOfficeContactGASB">[1]DeveloperInfo!$D$10</definedName>
    <definedName name="FYrsGASB">[1]DeveloperInfo!$D$54</definedName>
    <definedName name="GainLoss">[1]ER_Allocation!$P$12</definedName>
    <definedName name="GASBDiscMinusOneINTADJBOM">[1]Adjust!$L$197</definedName>
    <definedName name="GASBDiscMinusOneINTNDIV12">[1]Adjust!$L$195</definedName>
    <definedName name="i9i09">'N.1a 2018 summary'!$I$5</definedName>
    <definedName name="InflRate">[1]DeveloperInfo!$D$38</definedName>
    <definedName name="InflRate1">[1]DeveloperInfo!$E$38</definedName>
    <definedName name="IntDisc">[1]DeveloperInfo!$F$47</definedName>
    <definedName name="IntDisc1">[1]DeveloperInfo!$D$47</definedName>
    <definedName name="IntDisc1S">[1]DeveloperInfo!$E$47</definedName>
    <definedName name="INTDiscMinusOne">[1]DeveloperInfo!$H$47</definedName>
    <definedName name="INTDiscPlusOne">[1]DeveloperInfo!$G$47</definedName>
    <definedName name="IntExp1">[1]DeveloperInfo!$I$47</definedName>
    <definedName name="MeasureDate">[1]DeveloperInfo!$D$31</definedName>
    <definedName name="MeasureDate1">[1]DeveloperInfo!$E$31</definedName>
    <definedName name="MeasureDate2">[1]DeveloperInfo!$F$31</definedName>
    <definedName name="N">"N/A"</definedName>
    <definedName name="NDIV12Disc">[1]Adjust!$H$200</definedName>
    <definedName name="NDIV12DiscMinus1">[1]Adjust!$L$200</definedName>
    <definedName name="NDIV12DiscPlus1">[1]Adjust!$K$200</definedName>
    <definedName name="NDIV12Exp">[1]Adjust!$G$200</definedName>
    <definedName name="OfficeAddr1GASB">[1]DeveloperInfo!$D$11</definedName>
    <definedName name="OfficeAddr2GASB">[1]DeveloperInfo!$D$12</definedName>
    <definedName name="Offices">[1]DeveloperInfo!$K$75:$O$91</definedName>
    <definedName name="Pension" localSheetId="19">#REF!</definedName>
    <definedName name="Pension" localSheetId="17">#REF!</definedName>
    <definedName name="Pension" localSheetId="22">#REF!</definedName>
    <definedName name="Pension" localSheetId="18">'[2]Assets Input'!$L$60:$L$95</definedName>
    <definedName name="Pension" localSheetId="24">#REF!</definedName>
    <definedName name="Pension" localSheetId="23">#REF!</definedName>
    <definedName name="Pension" localSheetId="29">#REF!</definedName>
    <definedName name="Pension" localSheetId="28">#REF!</definedName>
    <definedName name="Pension">#REF!</definedName>
    <definedName name="Pension1" localSheetId="19">#REF!</definedName>
    <definedName name="Pension1" localSheetId="24">#REF!</definedName>
    <definedName name="Pension1" localSheetId="23">#REF!</definedName>
    <definedName name="Pension1" localSheetId="29">#REF!</definedName>
    <definedName name="Pension1" localSheetId="28">#REF!</definedName>
    <definedName name="Pension1">#REF!</definedName>
    <definedName name="PensionLY" localSheetId="19">#REF!</definedName>
    <definedName name="PensionLY" localSheetId="17">#REF!</definedName>
    <definedName name="PensionLY" localSheetId="22">#REF!</definedName>
    <definedName name="PensionLY" localSheetId="24">#REF!</definedName>
    <definedName name="PensionLY" localSheetId="23">#REF!</definedName>
    <definedName name="PensionLY" localSheetId="29">#REF!</definedName>
    <definedName name="PensionLY" localSheetId="28">#REF!</definedName>
    <definedName name="PensionLY">#REF!</definedName>
    <definedName name="PlanNameLongGASB">[1]DeveloperInfo!$D$7</definedName>
    <definedName name="PlanNameShortGASB">[1]DeveloperInfo!$D$8</definedName>
    <definedName name="_xlnm.Print_Area" localSheetId="2">'A. Revenue by function'!$A$1:$P$141</definedName>
    <definedName name="_xlnm.Print_Area" localSheetId="3">'B.  Property Taxes'!$A$1:$P$63</definedName>
    <definedName name="_xlnm.Print_Area" localSheetId="4">'C. Other Revenues'!$B$1:$P$245</definedName>
    <definedName name="_xlnm.Print_Area" localSheetId="1">'Conversion Worksheet'!$A$1:$BA$365</definedName>
    <definedName name="_xlnm.Print_Area" localSheetId="5">'D. Depreciation'!$A$1:$P$69</definedName>
    <definedName name="_xlnm.Print_Area" localSheetId="6">'E. Capital Outlay'!$A$1:$Q$69</definedName>
    <definedName name="_xlnm.Print_Area" localSheetId="7">'F.  Other Cap Asset Entries'!$A$1:$T$281</definedName>
    <definedName name="_xlnm.Print_Area" localSheetId="8">'G. Debt Service'!$A$1:$P$58</definedName>
    <definedName name="_xlnm.Print_Area" localSheetId="0">'General Instructions'!$A$1:$L$120</definedName>
    <definedName name="_xlnm.Print_Area" localSheetId="9">'H. Debt Issues'!$A$1:$Q$97</definedName>
    <definedName name="_xlnm.Print_Area" localSheetId="10">'I.  Other Asset Entries'!$A$1:$Q$121</definedName>
    <definedName name="_xlnm.Print_Area" localSheetId="11">'J. Other Liability &amp; Expenses'!$A$1:$P$204</definedName>
    <definedName name="_xlnm.Print_Area" localSheetId="12">'K.1  Int. Service Fd Allocation'!$A$1:$I$230</definedName>
    <definedName name="_xlnm.Print_Area" localSheetId="13">'K.2  Int. Service Fd Alloca'!$A$1:$I$223</definedName>
    <definedName name="_xlnm.Print_Area" localSheetId="14">'K.3 Int. Service Fd Alloca'!$A$1:$I$223</definedName>
    <definedName name="_xlnm.Print_Area" localSheetId="15">'L. Eliminations-Consolidations'!$A$1:$P$296</definedName>
    <definedName name="_xlnm.Print_Area" localSheetId="16">'M. Net Position Calculation'!$A$1:$I$104</definedName>
    <definedName name="_xlnm.Print_Area" localSheetId="18">'N.1b LGERS Data PY'!$B$5:$S$904</definedName>
    <definedName name="_xlnm.Print_Area" localSheetId="29">'P. GASB 75 3 OPEB Entries'!$A$5:$L$158</definedName>
    <definedName name="_xlnm.Print_Area" localSheetId="27">'P. GASB 75 OPEB 1 Entries'!$A$5:$L$158</definedName>
    <definedName name="_xlnm.Print_Area" localSheetId="28">'P. GASB 75 OPEB 2 Entries'!$A$5:$L$158</definedName>
    <definedName name="_xlnm.Print_Titles" localSheetId="2">'A. Revenue by function'!$1:$3</definedName>
    <definedName name="_xlnm.Print_Titles" localSheetId="4">'C. Other Revenues'!$1:$3</definedName>
    <definedName name="_xlnm.Print_Titles" localSheetId="1">'Conversion Worksheet'!$1:$5</definedName>
    <definedName name="_xlnm.Print_Titles" localSheetId="6">'E. Capital Outlay'!$1:$3</definedName>
    <definedName name="_xlnm.Print_Titles" localSheetId="7">'F.  Other Cap Asset Entries'!$1:$2</definedName>
    <definedName name="_xlnm.Print_Titles" localSheetId="8">'G. Debt Service'!$1:$3</definedName>
    <definedName name="_xlnm.Print_Titles" localSheetId="9">'H. Debt Issues'!$1:$3</definedName>
    <definedName name="_xlnm.Print_Titles" localSheetId="10">'I.  Other Asset Entries'!$1:$3</definedName>
    <definedName name="_xlnm.Print_Titles" localSheetId="11">'J. Other Liability &amp; Expenses'!$1:$3</definedName>
    <definedName name="_xlnm.Print_Titles" localSheetId="16">'M. Net Position Calculation'!$1:$2</definedName>
    <definedName name="_xlnm.Print_Titles" localSheetId="17">'N.1a LGERS Data CY'!$1:$2</definedName>
    <definedName name="_xlnm.Print_Titles" localSheetId="22">'N.1b 2017 summary'!$4:$5</definedName>
    <definedName name="_xlnm.Print_Titles" localSheetId="18">'N.1b LGERS Data PY'!$5:$6</definedName>
    <definedName name="ProjDisc?">[1]DeveloperInfo!$D$65</definedName>
    <definedName name="ProValResults" localSheetId="19">#REF!</definedName>
    <definedName name="ProValResults" localSheetId="17">#REF!</definedName>
    <definedName name="ProValResults" localSheetId="22">#REF!</definedName>
    <definedName name="ProValResults" localSheetId="18">#REF!</definedName>
    <definedName name="ProValResults" localSheetId="24">#REF!</definedName>
    <definedName name="ProValResults" localSheetId="23">#REF!</definedName>
    <definedName name="ProValResults" localSheetId="29">#REF!</definedName>
    <definedName name="ProValResults" localSheetId="28">#REF!</definedName>
    <definedName name="ProValResults">#REF!</definedName>
    <definedName name="ProValResults1" localSheetId="19">#REF!</definedName>
    <definedName name="ProValResults1" localSheetId="24">#REF!</definedName>
    <definedName name="ProValResults1" localSheetId="23">#REF!</definedName>
    <definedName name="ProValResults1" localSheetId="29">#REF!</definedName>
    <definedName name="ProValResults1" localSheetId="28">#REF!</definedName>
    <definedName name="ProValResults1">#REF!</definedName>
    <definedName name="ReportDate67">[1]DeveloperInfo!$D$30</definedName>
    <definedName name="ReportDate671">[1]DeveloperInfo!$E$30</definedName>
    <definedName name="ReportDate68">[1]DeveloperInfo!$D$52</definedName>
    <definedName name="ReportDate681">[1]DeveloperInfo!$E$52</definedName>
    <definedName name="ReviewerGASB">[1]DeveloperInfo!$D$21</definedName>
    <definedName name="Rnd_0">[1]DeveloperInfo!$D$41</definedName>
    <definedName name="RORRate681">[1]DeveloperInfo!$E$53</definedName>
    <definedName name="SalRate">[1]DeveloperInfo!$D$39</definedName>
    <definedName name="SalRate1">[1]DeveloperInfo!$E$39</definedName>
    <definedName name="SegalOfficeGASB">[1]DeveloperInfo!$D$24</definedName>
    <definedName name="TableData" localSheetId="19">#REF!</definedName>
    <definedName name="TableData" localSheetId="17">#REF!</definedName>
    <definedName name="TableData" localSheetId="22">#REF!</definedName>
    <definedName name="TableData" localSheetId="18">#REF!</definedName>
    <definedName name="TableData" localSheetId="24">#REF!</definedName>
    <definedName name="TableData" localSheetId="23">#REF!</definedName>
    <definedName name="TableData" localSheetId="29">#REF!</definedName>
    <definedName name="TableData" localSheetId="28">#REF!</definedName>
    <definedName name="TableData">#REF!</definedName>
    <definedName name="TableData1" localSheetId="19">#REF!</definedName>
    <definedName name="TableData1" localSheetId="24">#REF!</definedName>
    <definedName name="TableData1" localSheetId="23">#REF!</definedName>
    <definedName name="TableData1" localSheetId="29">#REF!</definedName>
    <definedName name="TableData1" localSheetId="28">#REF!</definedName>
    <definedName name="TableData1">#REF!</definedName>
    <definedName name="Type" localSheetId="19">#REF!</definedName>
    <definedName name="Type" localSheetId="17">#REF!</definedName>
    <definedName name="Type" localSheetId="22">#REF!</definedName>
    <definedName name="Type" localSheetId="24">#REF!</definedName>
    <definedName name="Type" localSheetId="23">#REF!</definedName>
    <definedName name="Type" localSheetId="29">#REF!</definedName>
    <definedName name="Type" localSheetId="28">#REF!</definedName>
    <definedName name="Type">#REF!</definedName>
    <definedName name="TypeAnnuity" localSheetId="19">#REF!</definedName>
    <definedName name="TypeAnnuity" localSheetId="17">#REF!</definedName>
    <definedName name="TypeAnnuity" localSheetId="22">#REF!</definedName>
    <definedName name="TypeAnnuity" localSheetId="18">'[2]Assets Input'!$K$37:$K$56</definedName>
    <definedName name="TypeAnnuity" localSheetId="24">#REF!</definedName>
    <definedName name="TypeAnnuity" localSheetId="23">#REF!</definedName>
    <definedName name="TypeAnnuity" localSheetId="29">#REF!</definedName>
    <definedName name="TypeAnnuity" localSheetId="28">#REF!</definedName>
    <definedName name="TypeAnnuity">#REF!</definedName>
    <definedName name="TypeAnnuity1" localSheetId="19">#REF!</definedName>
    <definedName name="TypeAnnuity1" localSheetId="24">#REF!</definedName>
    <definedName name="TypeAnnuity1" localSheetId="23">#REF!</definedName>
    <definedName name="TypeAnnuity1" localSheetId="29">#REF!</definedName>
    <definedName name="TypeAnnuity1" localSheetId="28">#REF!</definedName>
    <definedName name="TypeAnnuity1">#REF!</definedName>
    <definedName name="TypePension" localSheetId="19">#REF!</definedName>
    <definedName name="TypePension" localSheetId="17">#REF!</definedName>
    <definedName name="TypePension" localSheetId="22">#REF!</definedName>
    <definedName name="TypePension" localSheetId="18">'[2]Assets Input'!$K$60:$K$95</definedName>
    <definedName name="TypePension" localSheetId="24">#REF!</definedName>
    <definedName name="TypePension" localSheetId="23">#REF!</definedName>
    <definedName name="TypePension" localSheetId="29">#REF!</definedName>
    <definedName name="TypePension" localSheetId="28">#REF!</definedName>
    <definedName name="TypePension">#REF!</definedName>
    <definedName name="TypePension1" localSheetId="19">#REF!</definedName>
    <definedName name="TypePension1" localSheetId="24">#REF!</definedName>
    <definedName name="TypePension1" localSheetId="23">#REF!</definedName>
    <definedName name="TypePension1" localSheetId="29">#REF!</definedName>
    <definedName name="TypePension1" localSheetId="28">#REF!</definedName>
    <definedName name="TypePension1">#REF!</definedName>
    <definedName name="UnfundedData" localSheetId="19">#REF!</definedName>
    <definedName name="UnfundedData" localSheetId="17">#REF!</definedName>
    <definedName name="UnfundedData" localSheetId="22">#REF!</definedName>
    <definedName name="UnfundedData" localSheetId="18">#REF!</definedName>
    <definedName name="UnfundedData" localSheetId="24">#REF!</definedName>
    <definedName name="UnfundedData" localSheetId="23">#REF!</definedName>
    <definedName name="UnfundedData" localSheetId="29">#REF!</definedName>
    <definedName name="UnfundedData" localSheetId="28">#REF!</definedName>
    <definedName name="UnfundedData">#REF!</definedName>
    <definedName name="UnfundedData1" localSheetId="19">#REF!</definedName>
    <definedName name="UnfundedData1" localSheetId="24">#REF!</definedName>
    <definedName name="UnfundedData1" localSheetId="23">#REF!</definedName>
    <definedName name="UnfundedData1" localSheetId="29">#REF!</definedName>
    <definedName name="UnfundedData1" localSheetId="28">#REF!</definedName>
    <definedName name="UnfundedData1">#REF!</definedName>
    <definedName name="UnfundedLY" localSheetId="19">#REF!</definedName>
    <definedName name="UnfundedLY" localSheetId="17">#REF!</definedName>
    <definedName name="UnfundedLY" localSheetId="22">#REF!</definedName>
    <definedName name="UnfundedLY" localSheetId="18">#REF!</definedName>
    <definedName name="UnfundedLY" localSheetId="24">#REF!</definedName>
    <definedName name="UnfundedLY" localSheetId="23">#REF!</definedName>
    <definedName name="UnfundedLY" localSheetId="29">#REF!</definedName>
    <definedName name="UnfundedLY" localSheetId="28">#REF!</definedName>
    <definedName name="UnfundedLY">#REF!</definedName>
    <definedName name="UnfundedLY1" localSheetId="19">#REF!</definedName>
    <definedName name="UnfundedLY1" localSheetId="24">#REF!</definedName>
    <definedName name="UnfundedLY1" localSheetId="23">#REF!</definedName>
    <definedName name="UnfundedLY1" localSheetId="29">#REF!</definedName>
    <definedName name="UnfundedLY1" localSheetId="28">#REF!</definedName>
    <definedName name="UnfundedLY1">#REF!</definedName>
    <definedName name="UnfundedLYLEO1" localSheetId="19">#REF!</definedName>
    <definedName name="UnfundedLYLEO1" localSheetId="24">#REF!</definedName>
    <definedName name="UnfundedLYLEO1" localSheetId="23">#REF!</definedName>
    <definedName name="UnfundedLYLEO1" localSheetId="29">#REF!</definedName>
    <definedName name="UnfundedLYLEO1" localSheetId="28">#REF!</definedName>
    <definedName name="UnfundedLYLEO1">#REF!</definedName>
    <definedName name="UnfunedLYLEO" localSheetId="19">#REF!</definedName>
    <definedName name="UnfunedLYLEO" localSheetId="17">#REF!</definedName>
    <definedName name="UnfunedLYLEO" localSheetId="22">#REF!</definedName>
    <definedName name="UnfunedLYLEO" localSheetId="18">#REF!</definedName>
    <definedName name="UnfunedLYLEO" localSheetId="24">#REF!</definedName>
    <definedName name="UnfunedLYLEO" localSheetId="23">#REF!</definedName>
    <definedName name="UnfunedLYLEO" localSheetId="29">#REF!</definedName>
    <definedName name="UnfunedLYLEO" localSheetId="28">#REF!</definedName>
    <definedName name="UnfunedLYLEO">#REF!</definedName>
    <definedName name="VersionGASB">[1]DeveloperInfo!$D$4</definedName>
  </definedNames>
  <calcPr calcId="191029" fullPrecision="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W292" i="1" l="1"/>
  <c r="AW285" i="1"/>
  <c r="AW278" i="1"/>
  <c r="AW271" i="1"/>
  <c r="AW264" i="1"/>
  <c r="AW257" i="1"/>
  <c r="AW250" i="1"/>
  <c r="E129" i="47" l="1"/>
  <c r="H129" i="47" s="1"/>
  <c r="C126" i="47"/>
  <c r="E126" i="47" s="1"/>
  <c r="G126" i="47" s="1"/>
  <c r="C71" i="47" s="1"/>
  <c r="C125" i="47"/>
  <c r="E125" i="47" s="1"/>
  <c r="D122" i="47"/>
  <c r="E122" i="47" s="1"/>
  <c r="G122" i="47" s="1"/>
  <c r="C67" i="47" s="1"/>
  <c r="D121" i="47"/>
  <c r="E121" i="47" s="1"/>
  <c r="D120" i="47"/>
  <c r="D119" i="47"/>
  <c r="C119" i="47"/>
  <c r="D118" i="47"/>
  <c r="D117" i="47"/>
  <c r="D116" i="47"/>
  <c r="D115" i="47"/>
  <c r="D114" i="47"/>
  <c r="C114" i="47"/>
  <c r="D113" i="47"/>
  <c r="C112" i="47"/>
  <c r="C53" i="47"/>
  <c r="D154" i="47" s="1"/>
  <c r="E154" i="47" s="1"/>
  <c r="C52" i="47"/>
  <c r="D153" i="47" s="1"/>
  <c r="E153" i="47" s="1"/>
  <c r="C51" i="47"/>
  <c r="D152" i="47" s="1"/>
  <c r="E152" i="47" s="1"/>
  <c r="C50" i="47"/>
  <c r="C117" i="47" s="1"/>
  <c r="E117" i="47" s="1"/>
  <c r="C49" i="47"/>
  <c r="D150" i="47" s="1"/>
  <c r="E150" i="47" s="1"/>
  <c r="C48" i="47"/>
  <c r="C115" i="47" s="1"/>
  <c r="E115" i="47" s="1"/>
  <c r="C47" i="47"/>
  <c r="D148" i="47" s="1"/>
  <c r="E148" i="47" s="1"/>
  <c r="C46" i="47"/>
  <c r="C42" i="47"/>
  <c r="C41" i="47"/>
  <c r="C40" i="47"/>
  <c r="D128" i="47" s="1"/>
  <c r="E128" i="47" s="1"/>
  <c r="D133" i="46"/>
  <c r="E133" i="46" s="1"/>
  <c r="E129" i="46"/>
  <c r="H129" i="46" s="1"/>
  <c r="C126" i="46"/>
  <c r="E126" i="46" s="1"/>
  <c r="C125" i="46"/>
  <c r="E125" i="46" s="1"/>
  <c r="D122" i="46"/>
  <c r="E122" i="46" s="1"/>
  <c r="D121" i="46"/>
  <c r="E121" i="46" s="1"/>
  <c r="D120" i="46"/>
  <c r="D119" i="46"/>
  <c r="C119" i="46"/>
  <c r="D118" i="46"/>
  <c r="D117" i="46"/>
  <c r="D116" i="46"/>
  <c r="D115" i="46"/>
  <c r="C115" i="46"/>
  <c r="E115" i="46" s="1"/>
  <c r="G115" i="46" s="1"/>
  <c r="C60" i="46" s="1"/>
  <c r="D114" i="46"/>
  <c r="D113" i="46"/>
  <c r="C113" i="46"/>
  <c r="C112" i="46"/>
  <c r="C53" i="46"/>
  <c r="D154" i="46" s="1"/>
  <c r="E154" i="46" s="1"/>
  <c r="C52" i="46"/>
  <c r="D137" i="46" s="1"/>
  <c r="E137" i="46" s="1"/>
  <c r="C51" i="46"/>
  <c r="D152" i="46" s="1"/>
  <c r="E152" i="46" s="1"/>
  <c r="C50" i="46"/>
  <c r="D143" i="46" s="1"/>
  <c r="E143" i="46" s="1"/>
  <c r="C49" i="46"/>
  <c r="D150" i="46" s="1"/>
  <c r="E150" i="46" s="1"/>
  <c r="C48" i="46"/>
  <c r="D149" i="46" s="1"/>
  <c r="E149" i="46" s="1"/>
  <c r="C47" i="46"/>
  <c r="D148" i="46" s="1"/>
  <c r="E148" i="46" s="1"/>
  <c r="C46" i="46"/>
  <c r="C42" i="46"/>
  <c r="C41" i="46"/>
  <c r="C40" i="46"/>
  <c r="C130" i="46" s="1"/>
  <c r="E130" i="46" s="1"/>
  <c r="D122" i="38"/>
  <c r="E122" i="38" s="1"/>
  <c r="D121" i="38"/>
  <c r="E121" i="38" s="1"/>
  <c r="C112" i="38"/>
  <c r="D141" i="46" l="1"/>
  <c r="E141" i="46" s="1"/>
  <c r="C54" i="47"/>
  <c r="E119" i="47"/>
  <c r="D145" i="46"/>
  <c r="E145" i="46" s="1"/>
  <c r="C54" i="46"/>
  <c r="D54" i="46" s="1"/>
  <c r="D147" i="46"/>
  <c r="E147" i="46" s="1"/>
  <c r="E119" i="46"/>
  <c r="D131" i="46"/>
  <c r="E131" i="46" s="1"/>
  <c r="G131" i="46" s="1"/>
  <c r="C76" i="46" s="1"/>
  <c r="D153" i="46"/>
  <c r="E153" i="46" s="1"/>
  <c r="D139" i="46"/>
  <c r="E139" i="46" s="1"/>
  <c r="D54" i="47"/>
  <c r="E114" i="47"/>
  <c r="H114" i="47" s="1"/>
  <c r="D59" i="47" s="1"/>
  <c r="H115" i="46"/>
  <c r="D60" i="46" s="1"/>
  <c r="E113" i="46"/>
  <c r="G115" i="47"/>
  <c r="C60" i="47" s="1"/>
  <c r="H115" i="47"/>
  <c r="D60" i="47" s="1"/>
  <c r="H121" i="47"/>
  <c r="D66" i="47" s="1"/>
  <c r="G121" i="47"/>
  <c r="C66" i="47" s="1"/>
  <c r="G152" i="47"/>
  <c r="C97" i="47" s="1"/>
  <c r="H152" i="47"/>
  <c r="D97" i="47" s="1"/>
  <c r="H153" i="47"/>
  <c r="D98" i="47" s="1"/>
  <c r="G153" i="47"/>
  <c r="C98" i="47" s="1"/>
  <c r="H125" i="47"/>
  <c r="D70" i="47" s="1"/>
  <c r="G125" i="47"/>
  <c r="C70" i="47" s="1"/>
  <c r="G114" i="47"/>
  <c r="C59" i="47" s="1"/>
  <c r="H117" i="47"/>
  <c r="D62" i="47" s="1"/>
  <c r="G117" i="47"/>
  <c r="C62" i="47" s="1"/>
  <c r="G154" i="47"/>
  <c r="C99" i="47" s="1"/>
  <c r="H154" i="47"/>
  <c r="D99" i="47" s="1"/>
  <c r="G150" i="47"/>
  <c r="C95" i="47" s="1"/>
  <c r="H150" i="47"/>
  <c r="D95" i="47" s="1"/>
  <c r="H128" i="47"/>
  <c r="D74" i="47" s="1"/>
  <c r="G128" i="47"/>
  <c r="C74" i="47" s="1"/>
  <c r="H119" i="47"/>
  <c r="D64" i="47" s="1"/>
  <c r="G119" i="47"/>
  <c r="C64" i="47" s="1"/>
  <c r="H148" i="47"/>
  <c r="D93" i="47" s="1"/>
  <c r="G148" i="47"/>
  <c r="C93" i="47" s="1"/>
  <c r="C116" i="47"/>
  <c r="E116" i="47" s="1"/>
  <c r="H122" i="47"/>
  <c r="D67" i="47" s="1"/>
  <c r="H126" i="47"/>
  <c r="D71" i="47" s="1"/>
  <c r="D131" i="47"/>
  <c r="E131" i="47" s="1"/>
  <c r="D133" i="47"/>
  <c r="E133" i="47" s="1"/>
  <c r="D135" i="47"/>
  <c r="E135" i="47" s="1"/>
  <c r="D137" i="47"/>
  <c r="E137" i="47" s="1"/>
  <c r="D139" i="47"/>
  <c r="E139" i="47" s="1"/>
  <c r="D141" i="47"/>
  <c r="E141" i="47" s="1"/>
  <c r="D143" i="47"/>
  <c r="E143" i="47" s="1"/>
  <c r="D145" i="47"/>
  <c r="E145" i="47" s="1"/>
  <c r="D147" i="47"/>
  <c r="E147" i="47" s="1"/>
  <c r="D149" i="47"/>
  <c r="E149" i="47" s="1"/>
  <c r="D151" i="47"/>
  <c r="E151" i="47" s="1"/>
  <c r="C113" i="47"/>
  <c r="E113" i="47" s="1"/>
  <c r="C123" i="47"/>
  <c r="E123" i="47" s="1"/>
  <c r="D127" i="47"/>
  <c r="E127" i="47" s="1"/>
  <c r="C43" i="47"/>
  <c r="D43" i="47" s="1"/>
  <c r="C118" i="47"/>
  <c r="E118" i="47" s="1"/>
  <c r="G129" i="47"/>
  <c r="C120" i="47"/>
  <c r="E120" i="47" s="1"/>
  <c r="C130" i="47"/>
  <c r="E130" i="47" s="1"/>
  <c r="D132" i="47"/>
  <c r="E132" i="47" s="1"/>
  <c r="D134" i="47"/>
  <c r="E134" i="47" s="1"/>
  <c r="D136" i="47"/>
  <c r="E136" i="47" s="1"/>
  <c r="D138" i="47"/>
  <c r="E138" i="47" s="1"/>
  <c r="D140" i="47"/>
  <c r="E140" i="47" s="1"/>
  <c r="D142" i="47"/>
  <c r="E142" i="47" s="1"/>
  <c r="D144" i="47"/>
  <c r="E144" i="47" s="1"/>
  <c r="D146" i="47"/>
  <c r="E146" i="47" s="1"/>
  <c r="D112" i="47"/>
  <c r="C124" i="47"/>
  <c r="E124" i="47" s="1"/>
  <c r="H130" i="46"/>
  <c r="D75" i="46" s="1"/>
  <c r="G130" i="46"/>
  <c r="C75" i="46" s="1"/>
  <c r="H121" i="46"/>
  <c r="D66" i="46" s="1"/>
  <c r="G121" i="46"/>
  <c r="C66" i="46" s="1"/>
  <c r="H122" i="46"/>
  <c r="D67" i="46" s="1"/>
  <c r="G122" i="46"/>
  <c r="C67" i="46" s="1"/>
  <c r="H145" i="46"/>
  <c r="D90" i="46" s="1"/>
  <c r="G145" i="46"/>
  <c r="C90" i="46" s="1"/>
  <c r="H143" i="46"/>
  <c r="D88" i="46" s="1"/>
  <c r="G143" i="46"/>
  <c r="C88" i="46" s="1"/>
  <c r="H133" i="46"/>
  <c r="D78" i="46" s="1"/>
  <c r="G133" i="46"/>
  <c r="C78" i="46" s="1"/>
  <c r="H152" i="46"/>
  <c r="D97" i="46" s="1"/>
  <c r="G152" i="46"/>
  <c r="C97" i="46" s="1"/>
  <c r="H137" i="46"/>
  <c r="D82" i="46" s="1"/>
  <c r="G137" i="46"/>
  <c r="C82" i="46" s="1"/>
  <c r="H154" i="46"/>
  <c r="D99" i="46" s="1"/>
  <c r="G154" i="46"/>
  <c r="C99" i="46" s="1"/>
  <c r="G148" i="46"/>
  <c r="C93" i="46" s="1"/>
  <c r="H148" i="46"/>
  <c r="D93" i="46" s="1"/>
  <c r="H147" i="46"/>
  <c r="D92" i="46" s="1"/>
  <c r="G147" i="46"/>
  <c r="C92" i="46" s="1"/>
  <c r="G113" i="46"/>
  <c r="C58" i="46" s="1"/>
  <c r="H113" i="46"/>
  <c r="D58" i="46" s="1"/>
  <c r="H149" i="46"/>
  <c r="D94" i="46" s="1"/>
  <c r="G149" i="46"/>
  <c r="C94" i="46" s="1"/>
  <c r="H139" i="46"/>
  <c r="D84" i="46" s="1"/>
  <c r="G139" i="46"/>
  <c r="C84" i="46" s="1"/>
  <c r="H141" i="46"/>
  <c r="D86" i="46" s="1"/>
  <c r="G141" i="46"/>
  <c r="C86" i="46" s="1"/>
  <c r="H125" i="46"/>
  <c r="D70" i="46" s="1"/>
  <c r="G125" i="46"/>
  <c r="C70" i="46" s="1"/>
  <c r="H126" i="46"/>
  <c r="D71" i="46" s="1"/>
  <c r="G126" i="46"/>
  <c r="C71" i="46" s="1"/>
  <c r="H150" i="46"/>
  <c r="D95" i="46" s="1"/>
  <c r="G150" i="46"/>
  <c r="C95" i="46" s="1"/>
  <c r="H119" i="46"/>
  <c r="D64" i="46" s="1"/>
  <c r="G119" i="46"/>
  <c r="C64" i="46" s="1"/>
  <c r="H153" i="46"/>
  <c r="D98" i="46" s="1"/>
  <c r="G153" i="46"/>
  <c r="C98" i="46" s="1"/>
  <c r="D151" i="46"/>
  <c r="E151" i="46" s="1"/>
  <c r="D112" i="46"/>
  <c r="E112" i="46" s="1"/>
  <c r="C117" i="46"/>
  <c r="E117" i="46" s="1"/>
  <c r="C124" i="46"/>
  <c r="E124" i="46" s="1"/>
  <c r="D128" i="46"/>
  <c r="E128" i="46" s="1"/>
  <c r="C114" i="46"/>
  <c r="D135" i="46"/>
  <c r="E135" i="46" s="1"/>
  <c r="C123" i="46"/>
  <c r="E123" i="46" s="1"/>
  <c r="D127" i="46"/>
  <c r="E127" i="46" s="1"/>
  <c r="C43" i="46"/>
  <c r="D43" i="46" s="1"/>
  <c r="C118" i="46"/>
  <c r="E118" i="46" s="1"/>
  <c r="G129" i="46"/>
  <c r="C116" i="46"/>
  <c r="E116" i="46" s="1"/>
  <c r="C120" i="46"/>
  <c r="E120" i="46" s="1"/>
  <c r="D132" i="46"/>
  <c r="E132" i="46" s="1"/>
  <c r="D134" i="46"/>
  <c r="E134" i="46" s="1"/>
  <c r="D136" i="46"/>
  <c r="E136" i="46" s="1"/>
  <c r="D138" i="46"/>
  <c r="E138" i="46" s="1"/>
  <c r="D140" i="46"/>
  <c r="E140" i="46" s="1"/>
  <c r="D142" i="46"/>
  <c r="E142" i="46" s="1"/>
  <c r="D144" i="46"/>
  <c r="E144" i="46" s="1"/>
  <c r="D146" i="46"/>
  <c r="E146" i="46" s="1"/>
  <c r="H131" i="46" l="1"/>
  <c r="D76" i="46" s="1"/>
  <c r="AN263" i="46"/>
  <c r="H132" i="47"/>
  <c r="D77" i="47" s="1"/>
  <c r="G132" i="47"/>
  <c r="C77" i="47" s="1"/>
  <c r="H135" i="47"/>
  <c r="D80" i="47" s="1"/>
  <c r="G135" i="47"/>
  <c r="C80" i="47" s="1"/>
  <c r="H144" i="47"/>
  <c r="D89" i="47" s="1"/>
  <c r="G144" i="47"/>
  <c r="C89" i="47" s="1"/>
  <c r="G120" i="47"/>
  <c r="C65" i="47" s="1"/>
  <c r="H120" i="47"/>
  <c r="D65" i="47" s="1"/>
  <c r="H149" i="47"/>
  <c r="D94" i="47" s="1"/>
  <c r="G149" i="47"/>
  <c r="C94" i="47" s="1"/>
  <c r="H133" i="47"/>
  <c r="D78" i="47" s="1"/>
  <c r="G133" i="47"/>
  <c r="C78" i="47" s="1"/>
  <c r="H137" i="47"/>
  <c r="D82" i="47" s="1"/>
  <c r="G137" i="47"/>
  <c r="C82" i="47" s="1"/>
  <c r="E112" i="47"/>
  <c r="D155" i="47"/>
  <c r="H130" i="47"/>
  <c r="D75" i="47" s="1"/>
  <c r="G130" i="47"/>
  <c r="C75" i="47" s="1"/>
  <c r="H131" i="47"/>
  <c r="D76" i="47" s="1"/>
  <c r="AN263" i="47" s="1"/>
  <c r="G131" i="47"/>
  <c r="C76" i="47" s="1"/>
  <c r="G118" i="47"/>
  <c r="C63" i="47" s="1"/>
  <c r="H118" i="47"/>
  <c r="D63" i="47" s="1"/>
  <c r="H146" i="47"/>
  <c r="D91" i="47" s="1"/>
  <c r="G146" i="47"/>
  <c r="C91" i="47" s="1"/>
  <c r="H138" i="47"/>
  <c r="D83" i="47" s="1"/>
  <c r="G138" i="47"/>
  <c r="C83" i="47" s="1"/>
  <c r="H143" i="47"/>
  <c r="D88" i="47" s="1"/>
  <c r="G143" i="47"/>
  <c r="C88" i="47" s="1"/>
  <c r="H147" i="47"/>
  <c r="D92" i="47" s="1"/>
  <c r="G147" i="47"/>
  <c r="C92" i="47" s="1"/>
  <c r="H145" i="47"/>
  <c r="D90" i="47" s="1"/>
  <c r="G145" i="47"/>
  <c r="C90" i="47" s="1"/>
  <c r="H136" i="47"/>
  <c r="D81" i="47" s="1"/>
  <c r="G136" i="47"/>
  <c r="C81" i="47" s="1"/>
  <c r="H127" i="47"/>
  <c r="D73" i="47" s="1"/>
  <c r="G127" i="47"/>
  <c r="C73" i="47" s="1"/>
  <c r="H141" i="47"/>
  <c r="D86" i="47" s="1"/>
  <c r="G141" i="47"/>
  <c r="C86" i="47" s="1"/>
  <c r="H116" i="47"/>
  <c r="D61" i="47" s="1"/>
  <c r="G116" i="47"/>
  <c r="C61" i="47" s="1"/>
  <c r="H113" i="47"/>
  <c r="D58" i="47" s="1"/>
  <c r="G113" i="47"/>
  <c r="C58" i="47" s="1"/>
  <c r="H151" i="47"/>
  <c r="D96" i="47" s="1"/>
  <c r="G151" i="47"/>
  <c r="C96" i="47" s="1"/>
  <c r="H142" i="47"/>
  <c r="D87" i="47" s="1"/>
  <c r="G142" i="47"/>
  <c r="C87" i="47" s="1"/>
  <c r="C155" i="47"/>
  <c r="H140" i="47"/>
  <c r="D85" i="47" s="1"/>
  <c r="G140" i="47"/>
  <c r="C85" i="47" s="1"/>
  <c r="G124" i="47"/>
  <c r="C69" i="47" s="1"/>
  <c r="H124" i="47"/>
  <c r="D69" i="47" s="1"/>
  <c r="H134" i="47"/>
  <c r="D79" i="47" s="1"/>
  <c r="G134" i="47"/>
  <c r="C79" i="47" s="1"/>
  <c r="H123" i="47"/>
  <c r="D68" i="47" s="1"/>
  <c r="G123" i="47"/>
  <c r="C68" i="47" s="1"/>
  <c r="H139" i="47"/>
  <c r="D84" i="47" s="1"/>
  <c r="G139" i="47"/>
  <c r="C84" i="47" s="1"/>
  <c r="H124" i="46"/>
  <c r="D69" i="46" s="1"/>
  <c r="G124" i="46"/>
  <c r="C69" i="46" s="1"/>
  <c r="G138" i="46"/>
  <c r="C83" i="46" s="1"/>
  <c r="H138" i="46"/>
  <c r="D83" i="46" s="1"/>
  <c r="H128" i="46"/>
  <c r="D74" i="46" s="1"/>
  <c r="G128" i="46"/>
  <c r="C74" i="46" s="1"/>
  <c r="H112" i="46"/>
  <c r="G112" i="46"/>
  <c r="H118" i="46"/>
  <c r="D63" i="46" s="1"/>
  <c r="G118" i="46"/>
  <c r="C63" i="46" s="1"/>
  <c r="H136" i="46"/>
  <c r="D81" i="46" s="1"/>
  <c r="G136" i="46"/>
  <c r="C81" i="46" s="1"/>
  <c r="H127" i="46"/>
  <c r="D73" i="46" s="1"/>
  <c r="G127" i="46"/>
  <c r="C73" i="46" s="1"/>
  <c r="H151" i="46"/>
  <c r="D96" i="46" s="1"/>
  <c r="G151" i="46"/>
  <c r="C96" i="46" s="1"/>
  <c r="G142" i="46"/>
  <c r="C87" i="46" s="1"/>
  <c r="H142" i="46"/>
  <c r="D87" i="46" s="1"/>
  <c r="H134" i="46"/>
  <c r="D79" i="46" s="1"/>
  <c r="G134" i="46"/>
  <c r="C79" i="46" s="1"/>
  <c r="H123" i="46"/>
  <c r="D68" i="46" s="1"/>
  <c r="G123" i="46"/>
  <c r="C68" i="46" s="1"/>
  <c r="H116" i="46"/>
  <c r="D61" i="46" s="1"/>
  <c r="G116" i="46"/>
  <c r="C61" i="46" s="1"/>
  <c r="G117" i="46"/>
  <c r="C62" i="46" s="1"/>
  <c r="H117" i="46"/>
  <c r="D62" i="46" s="1"/>
  <c r="G132" i="46"/>
  <c r="C77" i="46" s="1"/>
  <c r="H132" i="46"/>
  <c r="D77" i="46" s="1"/>
  <c r="H135" i="46"/>
  <c r="D80" i="46" s="1"/>
  <c r="G135" i="46"/>
  <c r="C80" i="46" s="1"/>
  <c r="H144" i="46"/>
  <c r="D89" i="46" s="1"/>
  <c r="G144" i="46"/>
  <c r="C89" i="46" s="1"/>
  <c r="H140" i="46"/>
  <c r="D85" i="46" s="1"/>
  <c r="G140" i="46"/>
  <c r="C85" i="46" s="1"/>
  <c r="D155" i="46"/>
  <c r="G146" i="46"/>
  <c r="C91" i="46" s="1"/>
  <c r="H146" i="46"/>
  <c r="D91" i="46" s="1"/>
  <c r="H120" i="46"/>
  <c r="D65" i="46" s="1"/>
  <c r="G120" i="46"/>
  <c r="C65" i="46" s="1"/>
  <c r="C155" i="46"/>
  <c r="E114" i="46"/>
  <c r="E155" i="46" s="1"/>
  <c r="G112" i="47" l="1"/>
  <c r="E155" i="47"/>
  <c r="H112" i="47"/>
  <c r="H114" i="46"/>
  <c r="D59" i="46" s="1"/>
  <c r="G114" i="46"/>
  <c r="C59" i="46" s="1"/>
  <c r="D57" i="46"/>
  <c r="C57" i="46"/>
  <c r="D101" i="46" l="1"/>
  <c r="H155" i="46"/>
  <c r="H155" i="47"/>
  <c r="D57" i="47"/>
  <c r="D101" i="47" s="1"/>
  <c r="G155" i="47"/>
  <c r="C57" i="47"/>
  <c r="C101" i="47" s="1"/>
  <c r="G155" i="46"/>
  <c r="C101" i="46"/>
  <c r="E145" i="18" l="1"/>
  <c r="A37" i="25" l="1"/>
  <c r="A35" i="25"/>
  <c r="A28" i="25"/>
  <c r="A26" i="25"/>
  <c r="D9" i="31" l="1"/>
  <c r="K56" i="31" l="1"/>
  <c r="K52" i="31"/>
  <c r="K46" i="31"/>
  <c r="AG151" i="1" l="1"/>
  <c r="P39" i="25" l="1"/>
  <c r="V32" i="25" l="1"/>
  <c r="U32" i="25"/>
  <c r="T32" i="25"/>
  <c r="R32" i="25"/>
  <c r="Q32" i="25"/>
  <c r="O32" i="25"/>
  <c r="M32" i="25"/>
  <c r="L32" i="25"/>
  <c r="K32" i="25"/>
  <c r="J32" i="25"/>
  <c r="V28" i="25"/>
  <c r="U28" i="25"/>
  <c r="T28" i="25"/>
  <c r="R28" i="25"/>
  <c r="Q28" i="25"/>
  <c r="O28" i="25"/>
  <c r="M28" i="25"/>
  <c r="L28" i="25"/>
  <c r="K28" i="25"/>
  <c r="J28" i="25"/>
  <c r="V41" i="25"/>
  <c r="U41" i="25"/>
  <c r="T41" i="25"/>
  <c r="R41" i="25"/>
  <c r="Q41" i="25"/>
  <c r="O41" i="25"/>
  <c r="M41" i="25"/>
  <c r="L41" i="25"/>
  <c r="K41" i="25"/>
  <c r="J41" i="25"/>
  <c r="V37" i="25"/>
  <c r="U37" i="25"/>
  <c r="T37" i="25"/>
  <c r="R37" i="25"/>
  <c r="Q37" i="25"/>
  <c r="O37" i="25"/>
  <c r="M37" i="25"/>
  <c r="L37" i="25"/>
  <c r="K37" i="25"/>
  <c r="J37" i="25"/>
  <c r="H41" i="25"/>
  <c r="G41" i="25"/>
  <c r="F41" i="25"/>
  <c r="H37" i="25"/>
  <c r="G37" i="25"/>
  <c r="F37" i="25"/>
  <c r="D37" i="25"/>
  <c r="C37" i="25"/>
  <c r="H32" i="25"/>
  <c r="G32" i="25"/>
  <c r="F32" i="25"/>
  <c r="H28" i="25"/>
  <c r="G28" i="25"/>
  <c r="F28" i="25"/>
  <c r="D28" i="25"/>
  <c r="C28" i="25"/>
  <c r="C904" i="43"/>
  <c r="C666" i="43"/>
  <c r="P923" i="42"/>
  <c r="K923" i="42"/>
  <c r="P922" i="42"/>
  <c r="K922" i="42"/>
  <c r="P921" i="42"/>
  <c r="K921" i="42"/>
  <c r="P920" i="42"/>
  <c r="K920" i="42"/>
  <c r="P919" i="42"/>
  <c r="K919" i="42"/>
  <c r="P918" i="42"/>
  <c r="K918" i="42"/>
  <c r="P917" i="42"/>
  <c r="K917" i="42"/>
  <c r="P916" i="42"/>
  <c r="K916" i="42"/>
  <c r="P915" i="42"/>
  <c r="K915" i="42"/>
  <c r="P914" i="42"/>
  <c r="K914" i="42"/>
  <c r="P913" i="42"/>
  <c r="K913" i="42"/>
  <c r="P912" i="42"/>
  <c r="K912" i="42"/>
  <c r="P911" i="42"/>
  <c r="K911" i="42"/>
  <c r="P910" i="42"/>
  <c r="K910" i="42"/>
  <c r="P909" i="42"/>
  <c r="K909" i="42"/>
  <c r="P908" i="42"/>
  <c r="K908" i="42"/>
  <c r="P907" i="42"/>
  <c r="K907" i="42"/>
  <c r="P906" i="42"/>
  <c r="K906" i="42"/>
  <c r="P905" i="42"/>
  <c r="K905" i="42"/>
  <c r="P904" i="42"/>
  <c r="K904" i="42"/>
  <c r="P903" i="42"/>
  <c r="K903" i="42"/>
  <c r="P902" i="42"/>
  <c r="K902" i="42"/>
  <c r="P901" i="42"/>
  <c r="K901" i="42"/>
  <c r="P900" i="42"/>
  <c r="K900" i="42"/>
  <c r="P899" i="42"/>
  <c r="K899" i="42"/>
  <c r="P898" i="42"/>
  <c r="K898" i="42"/>
  <c r="P897" i="42"/>
  <c r="K897" i="42"/>
  <c r="P896" i="42"/>
  <c r="K896" i="42"/>
  <c r="P895" i="42"/>
  <c r="K895" i="42"/>
  <c r="P894" i="42"/>
  <c r="K894" i="42"/>
  <c r="P893" i="42"/>
  <c r="K893" i="42"/>
  <c r="P892" i="42"/>
  <c r="K892" i="42"/>
  <c r="P891" i="42"/>
  <c r="K891" i="42"/>
  <c r="P890" i="42"/>
  <c r="K890" i="42"/>
  <c r="P889" i="42"/>
  <c r="K889" i="42"/>
  <c r="P888" i="42"/>
  <c r="K888" i="42"/>
  <c r="P887" i="42"/>
  <c r="K887" i="42"/>
  <c r="P886" i="42"/>
  <c r="K886" i="42"/>
  <c r="P885" i="42"/>
  <c r="K885" i="42"/>
  <c r="P884" i="42"/>
  <c r="K884" i="42"/>
  <c r="P883" i="42"/>
  <c r="K883" i="42"/>
  <c r="P882" i="42"/>
  <c r="K882" i="42"/>
  <c r="P881" i="42"/>
  <c r="K881" i="42"/>
  <c r="P880" i="42"/>
  <c r="K880" i="42"/>
  <c r="P879" i="42"/>
  <c r="K879" i="42"/>
  <c r="P878" i="42"/>
  <c r="K878" i="42"/>
  <c r="P877" i="42"/>
  <c r="K877" i="42"/>
  <c r="P876" i="42"/>
  <c r="K876" i="42"/>
  <c r="P875" i="42"/>
  <c r="K875" i="42"/>
  <c r="P874" i="42"/>
  <c r="K874" i="42"/>
  <c r="P873" i="42"/>
  <c r="K873" i="42"/>
  <c r="P872" i="42"/>
  <c r="K872" i="42"/>
  <c r="P871" i="42"/>
  <c r="K871" i="42"/>
  <c r="P870" i="42"/>
  <c r="K870" i="42"/>
  <c r="P869" i="42"/>
  <c r="K869" i="42"/>
  <c r="P868" i="42"/>
  <c r="K868" i="42"/>
  <c r="P867" i="42"/>
  <c r="K867" i="42"/>
  <c r="P866" i="42"/>
  <c r="K866" i="42"/>
  <c r="P865" i="42"/>
  <c r="K865" i="42"/>
  <c r="P864" i="42"/>
  <c r="K864" i="42"/>
  <c r="P863" i="42"/>
  <c r="K863" i="42"/>
  <c r="P862" i="42"/>
  <c r="K862" i="42"/>
  <c r="P861" i="42"/>
  <c r="K861" i="42"/>
  <c r="P860" i="42"/>
  <c r="K860" i="42"/>
  <c r="P859" i="42"/>
  <c r="K859" i="42"/>
  <c r="P858" i="42"/>
  <c r="K858" i="42"/>
  <c r="P857" i="42"/>
  <c r="K857" i="42"/>
  <c r="P856" i="42"/>
  <c r="K856" i="42"/>
  <c r="P855" i="42"/>
  <c r="K855" i="42"/>
  <c r="P854" i="42"/>
  <c r="K854" i="42"/>
  <c r="P853" i="42"/>
  <c r="K853" i="42"/>
  <c r="P852" i="42"/>
  <c r="K852" i="42"/>
  <c r="P851" i="42"/>
  <c r="K851" i="42"/>
  <c r="P850" i="42"/>
  <c r="K850" i="42"/>
  <c r="P849" i="42"/>
  <c r="K849" i="42"/>
  <c r="P848" i="42"/>
  <c r="K848" i="42"/>
  <c r="P847" i="42"/>
  <c r="K847" i="42"/>
  <c r="P846" i="42"/>
  <c r="K846" i="42"/>
  <c r="P845" i="42"/>
  <c r="K845" i="42"/>
  <c r="P844" i="42"/>
  <c r="K844" i="42"/>
  <c r="P843" i="42"/>
  <c r="K843" i="42"/>
  <c r="P842" i="42"/>
  <c r="K842" i="42"/>
  <c r="P841" i="42"/>
  <c r="K841" i="42"/>
  <c r="P840" i="42"/>
  <c r="K840" i="42"/>
  <c r="P839" i="42"/>
  <c r="K839" i="42"/>
  <c r="P838" i="42"/>
  <c r="K838" i="42"/>
  <c r="P837" i="42"/>
  <c r="K837" i="42"/>
  <c r="P836" i="42"/>
  <c r="K836" i="42"/>
  <c r="P835" i="42"/>
  <c r="K835" i="42"/>
  <c r="P834" i="42"/>
  <c r="K834" i="42"/>
  <c r="P833" i="42"/>
  <c r="K833" i="42"/>
  <c r="P832" i="42"/>
  <c r="K832" i="42"/>
  <c r="P831" i="42"/>
  <c r="K831" i="42"/>
  <c r="P830" i="42"/>
  <c r="K830" i="42"/>
  <c r="P829" i="42"/>
  <c r="K829" i="42"/>
  <c r="P828" i="42"/>
  <c r="K828" i="42"/>
  <c r="P827" i="42"/>
  <c r="K827" i="42"/>
  <c r="P826" i="42"/>
  <c r="K826" i="42"/>
  <c r="P825" i="42"/>
  <c r="K825" i="42"/>
  <c r="P824" i="42"/>
  <c r="K824" i="42"/>
  <c r="P823" i="42"/>
  <c r="K823" i="42"/>
  <c r="P822" i="42"/>
  <c r="K822" i="42"/>
  <c r="P821" i="42"/>
  <c r="K821" i="42"/>
  <c r="P820" i="42"/>
  <c r="K820" i="42"/>
  <c r="P819" i="42"/>
  <c r="K819" i="42"/>
  <c r="P818" i="42"/>
  <c r="K818" i="42"/>
  <c r="P817" i="42"/>
  <c r="K817" i="42"/>
  <c r="P816" i="42"/>
  <c r="K816" i="42"/>
  <c r="P815" i="42"/>
  <c r="K815" i="42"/>
  <c r="P814" i="42"/>
  <c r="K814" i="42"/>
  <c r="P813" i="42"/>
  <c r="K813" i="42"/>
  <c r="P812" i="42"/>
  <c r="K812" i="42"/>
  <c r="P811" i="42"/>
  <c r="K811" i="42"/>
  <c r="P810" i="42"/>
  <c r="K810" i="42"/>
  <c r="P809" i="42"/>
  <c r="K809" i="42"/>
  <c r="T808" i="42"/>
  <c r="S808" i="42"/>
  <c r="R808" i="42"/>
  <c r="O808" i="42"/>
  <c r="N808" i="42"/>
  <c r="M808" i="42"/>
  <c r="J808" i="42"/>
  <c r="I808" i="42"/>
  <c r="H808" i="42"/>
  <c r="G808" i="42"/>
  <c r="E808" i="42"/>
  <c r="D808" i="42"/>
  <c r="C808" i="42"/>
  <c r="P807" i="42"/>
  <c r="K807" i="42"/>
  <c r="P806" i="42"/>
  <c r="P808" i="42" s="1"/>
  <c r="K806" i="42"/>
  <c r="K808" i="42" s="1"/>
  <c r="P805" i="42"/>
  <c r="K805" i="42"/>
  <c r="P804" i="42"/>
  <c r="K804" i="42"/>
  <c r="P803" i="42"/>
  <c r="K803" i="42"/>
  <c r="P802" i="42"/>
  <c r="K802" i="42"/>
  <c r="P801" i="42"/>
  <c r="K801" i="42"/>
  <c r="P800" i="42"/>
  <c r="K800" i="42"/>
  <c r="P799" i="42"/>
  <c r="K799" i="42"/>
  <c r="P798" i="42"/>
  <c r="K798" i="42"/>
  <c r="P797" i="42"/>
  <c r="K797" i="42"/>
  <c r="P796" i="42"/>
  <c r="K796" i="42"/>
  <c r="P795" i="42"/>
  <c r="K795" i="42"/>
  <c r="P794" i="42"/>
  <c r="K794" i="42"/>
  <c r="P793" i="42"/>
  <c r="K793" i="42"/>
  <c r="T792" i="42"/>
  <c r="S792" i="42"/>
  <c r="R792" i="42"/>
  <c r="O792" i="42"/>
  <c r="N792" i="42"/>
  <c r="M792" i="42"/>
  <c r="K792" i="42"/>
  <c r="J792" i="42"/>
  <c r="I792" i="42"/>
  <c r="H792" i="42"/>
  <c r="G792" i="42"/>
  <c r="E792" i="42"/>
  <c r="D792" i="42"/>
  <c r="C792" i="42"/>
  <c r="P790" i="42"/>
  <c r="P792" i="42" s="1"/>
  <c r="K790" i="42"/>
  <c r="P789" i="42"/>
  <c r="K789" i="42"/>
  <c r="P788" i="42"/>
  <c r="K788" i="42"/>
  <c r="P787" i="42"/>
  <c r="K787" i="42"/>
  <c r="P786" i="42"/>
  <c r="K786" i="42"/>
  <c r="P785" i="42"/>
  <c r="K785" i="42"/>
  <c r="P784" i="42"/>
  <c r="K784" i="42"/>
  <c r="P783" i="42"/>
  <c r="K783" i="42"/>
  <c r="P782" i="42"/>
  <c r="K782" i="42"/>
  <c r="P781" i="42"/>
  <c r="K781" i="42"/>
  <c r="P780" i="42"/>
  <c r="K780" i="42"/>
  <c r="P779" i="42"/>
  <c r="K779" i="42"/>
  <c r="P778" i="42"/>
  <c r="K778" i="42"/>
  <c r="P777" i="42"/>
  <c r="K777" i="42"/>
  <c r="P776" i="42"/>
  <c r="K776" i="42"/>
  <c r="P775" i="42"/>
  <c r="K775" i="42"/>
  <c r="P774" i="42"/>
  <c r="K774" i="42"/>
  <c r="P773" i="42"/>
  <c r="K773" i="42"/>
  <c r="P772" i="42"/>
  <c r="K772" i="42"/>
  <c r="P771" i="42"/>
  <c r="K771" i="42"/>
  <c r="P770" i="42"/>
  <c r="K770" i="42"/>
  <c r="P769" i="42"/>
  <c r="K769" i="42"/>
  <c r="P768" i="42"/>
  <c r="K768" i="42"/>
  <c r="P767" i="42"/>
  <c r="K767" i="42"/>
  <c r="P766" i="42"/>
  <c r="K766" i="42"/>
  <c r="P765" i="42"/>
  <c r="K765" i="42"/>
  <c r="P764" i="42"/>
  <c r="K764" i="42"/>
  <c r="P763" i="42"/>
  <c r="K763" i="42"/>
  <c r="P762" i="42"/>
  <c r="K762" i="42"/>
  <c r="P761" i="42"/>
  <c r="K761" i="42"/>
  <c r="P760" i="42"/>
  <c r="K760" i="42"/>
  <c r="P759" i="42"/>
  <c r="K759" i="42"/>
  <c r="P758" i="42"/>
  <c r="K758" i="42"/>
  <c r="P757" i="42"/>
  <c r="K757" i="42"/>
  <c r="P756" i="42"/>
  <c r="K756" i="42"/>
  <c r="P755" i="42"/>
  <c r="K755" i="42"/>
  <c r="P754" i="42"/>
  <c r="K754" i="42"/>
  <c r="P753" i="42"/>
  <c r="K753" i="42"/>
  <c r="P752" i="42"/>
  <c r="K752" i="42"/>
  <c r="P751" i="42"/>
  <c r="K751" i="42"/>
  <c r="P750" i="42"/>
  <c r="K750" i="42"/>
  <c r="P749" i="42"/>
  <c r="K749" i="42"/>
  <c r="P748" i="42"/>
  <c r="K748" i="42"/>
  <c r="P747" i="42"/>
  <c r="K747" i="42"/>
  <c r="P746" i="42"/>
  <c r="K746" i="42"/>
  <c r="P745" i="42"/>
  <c r="K745" i="42"/>
  <c r="P744" i="42"/>
  <c r="K744" i="42"/>
  <c r="P743" i="42"/>
  <c r="K743" i="42"/>
  <c r="P742" i="42"/>
  <c r="K742" i="42"/>
  <c r="P741" i="42"/>
  <c r="K741" i="42"/>
  <c r="P740" i="42"/>
  <c r="K740" i="42"/>
  <c r="P739" i="42"/>
  <c r="K739" i="42"/>
  <c r="P738" i="42"/>
  <c r="K738" i="42"/>
  <c r="P737" i="42"/>
  <c r="K737" i="42"/>
  <c r="P736" i="42"/>
  <c r="K736" i="42"/>
  <c r="P735" i="42"/>
  <c r="K735" i="42"/>
  <c r="P734" i="42"/>
  <c r="K734" i="42"/>
  <c r="P733" i="42"/>
  <c r="K733" i="42"/>
  <c r="P732" i="42"/>
  <c r="K732" i="42"/>
  <c r="P731" i="42"/>
  <c r="K731" i="42"/>
  <c r="P730" i="42"/>
  <c r="K730" i="42"/>
  <c r="P729" i="42"/>
  <c r="K729" i="42"/>
  <c r="P728" i="42"/>
  <c r="K728" i="42"/>
  <c r="P727" i="42"/>
  <c r="K727" i="42"/>
  <c r="P726" i="42"/>
  <c r="K726" i="42"/>
  <c r="P725" i="42"/>
  <c r="K725" i="42"/>
  <c r="P724" i="42"/>
  <c r="K724" i="42"/>
  <c r="P723" i="42"/>
  <c r="K723" i="42"/>
  <c r="P722" i="42"/>
  <c r="K722" i="42"/>
  <c r="P721" i="42"/>
  <c r="K721" i="42"/>
  <c r="P720" i="42"/>
  <c r="K720" i="42"/>
  <c r="P719" i="42"/>
  <c r="K719" i="42"/>
  <c r="P718" i="42"/>
  <c r="K718" i="42"/>
  <c r="P717" i="42"/>
  <c r="K717" i="42"/>
  <c r="P716" i="42"/>
  <c r="K716" i="42"/>
  <c r="P715" i="42"/>
  <c r="K715" i="42"/>
  <c r="P714" i="42"/>
  <c r="K714" i="42"/>
  <c r="P713" i="42"/>
  <c r="K713" i="42"/>
  <c r="P712" i="42"/>
  <c r="K712" i="42"/>
  <c r="P711" i="42"/>
  <c r="K711" i="42"/>
  <c r="P710" i="42"/>
  <c r="K710" i="42"/>
  <c r="P709" i="42"/>
  <c r="K709" i="42"/>
  <c r="P708" i="42"/>
  <c r="K708" i="42"/>
  <c r="P707" i="42"/>
  <c r="K707" i="42"/>
  <c r="P706" i="42"/>
  <c r="K706" i="42"/>
  <c r="P705" i="42"/>
  <c r="K705" i="42"/>
  <c r="P704" i="42"/>
  <c r="K704" i="42"/>
  <c r="P703" i="42"/>
  <c r="K703" i="42"/>
  <c r="P702" i="42"/>
  <c r="K702" i="42"/>
  <c r="P701" i="42"/>
  <c r="K701" i="42"/>
  <c r="P700" i="42"/>
  <c r="K700" i="42"/>
  <c r="P699" i="42"/>
  <c r="K699" i="42"/>
  <c r="P698" i="42"/>
  <c r="K698" i="42"/>
  <c r="P697" i="42"/>
  <c r="K697" i="42"/>
  <c r="P696" i="42"/>
  <c r="K696" i="42"/>
  <c r="P695" i="42"/>
  <c r="K695" i="42"/>
  <c r="P694" i="42"/>
  <c r="K694" i="42"/>
  <c r="P693" i="42"/>
  <c r="K693" i="42"/>
  <c r="P692" i="42"/>
  <c r="K692" i="42"/>
  <c r="P691" i="42"/>
  <c r="K691" i="42"/>
  <c r="P690" i="42"/>
  <c r="K690" i="42"/>
  <c r="P689" i="42"/>
  <c r="K689" i="42"/>
  <c r="P688" i="42"/>
  <c r="K688" i="42"/>
  <c r="P687" i="42"/>
  <c r="K687" i="42"/>
  <c r="P686" i="42"/>
  <c r="K686" i="42"/>
  <c r="P685" i="42"/>
  <c r="K685" i="42"/>
  <c r="P684" i="42"/>
  <c r="K684" i="42"/>
  <c r="P683" i="42"/>
  <c r="K683" i="42"/>
  <c r="T682" i="42"/>
  <c r="S682" i="42"/>
  <c r="R682" i="42"/>
  <c r="O682" i="42"/>
  <c r="N682" i="42"/>
  <c r="M682" i="42"/>
  <c r="J682" i="42"/>
  <c r="I682" i="42"/>
  <c r="H682" i="42"/>
  <c r="G682" i="42"/>
  <c r="E682" i="42"/>
  <c r="D682" i="42"/>
  <c r="C682" i="42"/>
  <c r="P681" i="42"/>
  <c r="K681" i="42"/>
  <c r="K682" i="42" s="1"/>
  <c r="P680" i="42"/>
  <c r="P682" i="42" s="1"/>
  <c r="K680" i="42"/>
  <c r="P679" i="42"/>
  <c r="K679" i="42"/>
  <c r="P678" i="42"/>
  <c r="K678" i="42"/>
  <c r="P677" i="42"/>
  <c r="K677" i="42"/>
  <c r="P676" i="42"/>
  <c r="K676" i="42"/>
  <c r="P675" i="42"/>
  <c r="K675" i="42"/>
  <c r="P674" i="42"/>
  <c r="K674" i="42"/>
  <c r="P673" i="42"/>
  <c r="K673" i="42"/>
  <c r="P672" i="42"/>
  <c r="K672" i="42"/>
  <c r="P671" i="42"/>
  <c r="K671" i="42"/>
  <c r="P670" i="42"/>
  <c r="K670" i="42"/>
  <c r="P669" i="42"/>
  <c r="K669" i="42"/>
  <c r="P668" i="42"/>
  <c r="K668" i="42"/>
  <c r="P667" i="42"/>
  <c r="K667" i="42"/>
  <c r="P666" i="42"/>
  <c r="K666" i="42"/>
  <c r="P665" i="42"/>
  <c r="K665" i="42"/>
  <c r="P664" i="42"/>
  <c r="K664" i="42"/>
  <c r="P663" i="42"/>
  <c r="K663" i="42"/>
  <c r="P662" i="42"/>
  <c r="K662" i="42"/>
  <c r="P661" i="42"/>
  <c r="K661" i="42"/>
  <c r="P660" i="42"/>
  <c r="K660" i="42"/>
  <c r="P659" i="42"/>
  <c r="K659" i="42"/>
  <c r="P658" i="42"/>
  <c r="K658" i="42"/>
  <c r="P657" i="42"/>
  <c r="K657" i="42"/>
  <c r="P656" i="42"/>
  <c r="K656" i="42"/>
  <c r="P655" i="42"/>
  <c r="K655" i="42"/>
  <c r="P654" i="42"/>
  <c r="K654" i="42"/>
  <c r="P653" i="42"/>
  <c r="K653" i="42"/>
  <c r="P652" i="42"/>
  <c r="K652" i="42"/>
  <c r="P651" i="42"/>
  <c r="K651" i="42"/>
  <c r="P650" i="42"/>
  <c r="K650" i="42"/>
  <c r="P649" i="42"/>
  <c r="K649" i="42"/>
  <c r="P648" i="42"/>
  <c r="K648" i="42"/>
  <c r="P647" i="42"/>
  <c r="K647" i="42"/>
  <c r="P646" i="42"/>
  <c r="K646" i="42"/>
  <c r="P645" i="42"/>
  <c r="K645" i="42"/>
  <c r="P644" i="42"/>
  <c r="K644" i="42"/>
  <c r="P643" i="42"/>
  <c r="K643" i="42"/>
  <c r="P642" i="42"/>
  <c r="K642" i="42"/>
  <c r="P641" i="42"/>
  <c r="K641" i="42"/>
  <c r="P640" i="42"/>
  <c r="K640" i="42"/>
  <c r="P639" i="42"/>
  <c r="K639" i="42"/>
  <c r="P638" i="42"/>
  <c r="K638" i="42"/>
  <c r="P637" i="42"/>
  <c r="K637" i="42"/>
  <c r="P636" i="42"/>
  <c r="K636" i="42"/>
  <c r="P635" i="42"/>
  <c r="K635" i="42"/>
  <c r="P634" i="42"/>
  <c r="K634" i="42"/>
  <c r="P633" i="42"/>
  <c r="K633" i="42"/>
  <c r="P632" i="42"/>
  <c r="K632" i="42"/>
  <c r="P631" i="42"/>
  <c r="K631" i="42"/>
  <c r="P630" i="42"/>
  <c r="K630" i="42"/>
  <c r="P629" i="42"/>
  <c r="K629" i="42"/>
  <c r="P628" i="42"/>
  <c r="K628" i="42"/>
  <c r="P627" i="42"/>
  <c r="K627" i="42"/>
  <c r="P626" i="42"/>
  <c r="K626" i="42"/>
  <c r="P625" i="42"/>
  <c r="K625" i="42"/>
  <c r="P624" i="42"/>
  <c r="K624" i="42"/>
  <c r="P623" i="42"/>
  <c r="K623" i="42"/>
  <c r="P622" i="42"/>
  <c r="K622" i="42"/>
  <c r="P621" i="42"/>
  <c r="K621" i="42"/>
  <c r="P620" i="42"/>
  <c r="K620" i="42"/>
  <c r="P619" i="42"/>
  <c r="K619" i="42"/>
  <c r="P618" i="42"/>
  <c r="K618" i="42"/>
  <c r="P617" i="42"/>
  <c r="K617" i="42"/>
  <c r="P616" i="42"/>
  <c r="K616" i="42"/>
  <c r="P615" i="42"/>
  <c r="K615" i="42"/>
  <c r="P614" i="42"/>
  <c r="K614" i="42"/>
  <c r="P613" i="42"/>
  <c r="K613" i="42"/>
  <c r="P612" i="42"/>
  <c r="K612" i="42"/>
  <c r="P611" i="42"/>
  <c r="K611" i="42"/>
  <c r="P610" i="42"/>
  <c r="K610" i="42"/>
  <c r="P608" i="42"/>
  <c r="K608" i="42"/>
  <c r="P607" i="42"/>
  <c r="K607" i="42"/>
  <c r="P606" i="42"/>
  <c r="K606" i="42"/>
  <c r="P605" i="42"/>
  <c r="K605" i="42"/>
  <c r="P604" i="42"/>
  <c r="K604" i="42"/>
  <c r="P603" i="42"/>
  <c r="K603" i="42"/>
  <c r="P602" i="42"/>
  <c r="K602" i="42"/>
  <c r="P601" i="42"/>
  <c r="K601" i="42"/>
  <c r="P600" i="42"/>
  <c r="K600" i="42"/>
  <c r="P599" i="42"/>
  <c r="K599" i="42"/>
  <c r="P598" i="42"/>
  <c r="K598" i="42"/>
  <c r="P597" i="42"/>
  <c r="K597" i="42"/>
  <c r="P596" i="42"/>
  <c r="K596" i="42"/>
  <c r="P595" i="42"/>
  <c r="K595" i="42"/>
  <c r="P594" i="42"/>
  <c r="K594" i="42"/>
  <c r="P593" i="42"/>
  <c r="K593" i="42"/>
  <c r="P592" i="42"/>
  <c r="K592" i="42"/>
  <c r="P591" i="42"/>
  <c r="K591" i="42"/>
  <c r="P590" i="42"/>
  <c r="K590" i="42"/>
  <c r="P589" i="42"/>
  <c r="K589" i="42"/>
  <c r="P588" i="42"/>
  <c r="K588" i="42"/>
  <c r="P587" i="42"/>
  <c r="K587" i="42"/>
  <c r="P586" i="42"/>
  <c r="K586" i="42"/>
  <c r="P585" i="42"/>
  <c r="K585" i="42"/>
  <c r="P584" i="42"/>
  <c r="K584" i="42"/>
  <c r="P583" i="42"/>
  <c r="K583" i="42"/>
  <c r="P582" i="42"/>
  <c r="K582" i="42"/>
  <c r="P581" i="42"/>
  <c r="K581" i="42"/>
  <c r="P580" i="42"/>
  <c r="K580" i="42"/>
  <c r="P579" i="42"/>
  <c r="K579" i="42"/>
  <c r="P578" i="42"/>
  <c r="K578" i="42"/>
  <c r="P577" i="42"/>
  <c r="K577" i="42"/>
  <c r="P576" i="42"/>
  <c r="K576" i="42"/>
  <c r="P575" i="42"/>
  <c r="K575" i="42"/>
  <c r="P574" i="42"/>
  <c r="K574" i="42"/>
  <c r="P573" i="42"/>
  <c r="K573" i="42"/>
  <c r="P572" i="42"/>
  <c r="K572" i="42"/>
  <c r="P571" i="42"/>
  <c r="K571" i="42"/>
  <c r="P570" i="42"/>
  <c r="K570" i="42"/>
  <c r="P569" i="42"/>
  <c r="K569" i="42"/>
  <c r="P568" i="42"/>
  <c r="K568" i="42"/>
  <c r="P567" i="42"/>
  <c r="K567" i="42"/>
  <c r="P566" i="42"/>
  <c r="K566" i="42"/>
  <c r="P565" i="42"/>
  <c r="K565" i="42"/>
  <c r="P564" i="42"/>
  <c r="K564" i="42"/>
  <c r="P563" i="42"/>
  <c r="K563" i="42"/>
  <c r="P562" i="42"/>
  <c r="K562" i="42"/>
  <c r="P561" i="42"/>
  <c r="K561" i="42"/>
  <c r="P560" i="42"/>
  <c r="K560" i="42"/>
  <c r="P559" i="42"/>
  <c r="K559" i="42"/>
  <c r="P558" i="42"/>
  <c r="K558" i="42"/>
  <c r="P557" i="42"/>
  <c r="K557" i="42"/>
  <c r="P556" i="42"/>
  <c r="K556" i="42"/>
  <c r="P555" i="42"/>
  <c r="K555" i="42"/>
  <c r="P554" i="42"/>
  <c r="K554" i="42"/>
  <c r="P553" i="42"/>
  <c r="K553" i="42"/>
  <c r="P552" i="42"/>
  <c r="K552" i="42"/>
  <c r="P551" i="42"/>
  <c r="K551" i="42"/>
  <c r="P550" i="42"/>
  <c r="K550" i="42"/>
  <c r="P549" i="42"/>
  <c r="K549" i="42"/>
  <c r="P548" i="42"/>
  <c r="K548" i="42"/>
  <c r="P547" i="42"/>
  <c r="K547" i="42"/>
  <c r="P546" i="42"/>
  <c r="K546" i="42"/>
  <c r="P545" i="42"/>
  <c r="K545" i="42"/>
  <c r="P544" i="42"/>
  <c r="K544" i="42"/>
  <c r="P543" i="42"/>
  <c r="K543" i="42"/>
  <c r="P542" i="42"/>
  <c r="K542" i="42"/>
  <c r="P541" i="42"/>
  <c r="K541" i="42"/>
  <c r="P540" i="42"/>
  <c r="K540" i="42"/>
  <c r="P539" i="42"/>
  <c r="K539" i="42"/>
  <c r="P538" i="42"/>
  <c r="K538" i="42"/>
  <c r="P537" i="42"/>
  <c r="K537" i="42"/>
  <c r="P536" i="42"/>
  <c r="K536" i="42"/>
  <c r="P535" i="42"/>
  <c r="K535" i="42"/>
  <c r="P534" i="42"/>
  <c r="K534" i="42"/>
  <c r="P533" i="42"/>
  <c r="K533" i="42"/>
  <c r="P532" i="42"/>
  <c r="K532" i="42"/>
  <c r="P531" i="42"/>
  <c r="K531" i="42"/>
  <c r="P530" i="42"/>
  <c r="K530" i="42"/>
  <c r="P529" i="42"/>
  <c r="K529" i="42"/>
  <c r="P528" i="42"/>
  <c r="K528" i="42"/>
  <c r="P527" i="42"/>
  <c r="K527" i="42"/>
  <c r="P526" i="42"/>
  <c r="K526" i="42"/>
  <c r="P525" i="42"/>
  <c r="K525" i="42"/>
  <c r="P524" i="42"/>
  <c r="K524" i="42"/>
  <c r="P523" i="42"/>
  <c r="K523" i="42"/>
  <c r="P522" i="42"/>
  <c r="K522" i="42"/>
  <c r="P521" i="42"/>
  <c r="K521" i="42"/>
  <c r="P520" i="42"/>
  <c r="K520" i="42"/>
  <c r="P519" i="42"/>
  <c r="K519" i="42"/>
  <c r="P518" i="42"/>
  <c r="K518" i="42"/>
  <c r="P517" i="42"/>
  <c r="K517" i="42"/>
  <c r="P516" i="42"/>
  <c r="K516" i="42"/>
  <c r="P515" i="42"/>
  <c r="K515" i="42"/>
  <c r="P514" i="42"/>
  <c r="K514" i="42"/>
  <c r="P513" i="42"/>
  <c r="K513" i="42"/>
  <c r="P512" i="42"/>
  <c r="K512" i="42"/>
  <c r="P511" i="42"/>
  <c r="K511" i="42"/>
  <c r="P510" i="42"/>
  <c r="K510" i="42"/>
  <c r="P509" i="42"/>
  <c r="K509" i="42"/>
  <c r="P508" i="42"/>
  <c r="K508" i="42"/>
  <c r="P507" i="42"/>
  <c r="K507" i="42"/>
  <c r="P506" i="42"/>
  <c r="K506" i="42"/>
  <c r="P505" i="42"/>
  <c r="K505" i="42"/>
  <c r="P504" i="42"/>
  <c r="K504" i="42"/>
  <c r="P503" i="42"/>
  <c r="K503" i="42"/>
  <c r="P502" i="42"/>
  <c r="K502" i="42"/>
  <c r="P501" i="42"/>
  <c r="K501" i="42"/>
  <c r="P500" i="42"/>
  <c r="K500" i="42"/>
  <c r="P499" i="42"/>
  <c r="K499" i="42"/>
  <c r="P498" i="42"/>
  <c r="K498" i="42"/>
  <c r="P497" i="42"/>
  <c r="K497" i="42"/>
  <c r="P496" i="42"/>
  <c r="K496" i="42"/>
  <c r="P495" i="42"/>
  <c r="K495" i="42"/>
  <c r="P494" i="42"/>
  <c r="K494" i="42"/>
  <c r="P493" i="42"/>
  <c r="K493" i="42"/>
  <c r="P492" i="42"/>
  <c r="K492" i="42"/>
  <c r="P491" i="42"/>
  <c r="K491" i="42"/>
  <c r="P490" i="42"/>
  <c r="K490" i="42"/>
  <c r="P489" i="42"/>
  <c r="K489" i="42"/>
  <c r="P488" i="42"/>
  <c r="K488" i="42"/>
  <c r="P487" i="42"/>
  <c r="K487" i="42"/>
  <c r="P486" i="42"/>
  <c r="K486" i="42"/>
  <c r="P485" i="42"/>
  <c r="K485" i="42"/>
  <c r="P484" i="42"/>
  <c r="K484" i="42"/>
  <c r="P483" i="42"/>
  <c r="K483" i="42"/>
  <c r="P482" i="42"/>
  <c r="K482" i="42"/>
  <c r="P481" i="42"/>
  <c r="K481" i="42"/>
  <c r="P480" i="42"/>
  <c r="K480" i="42"/>
  <c r="P479" i="42"/>
  <c r="K479" i="42"/>
  <c r="P478" i="42"/>
  <c r="K478" i="42"/>
  <c r="P476" i="42"/>
  <c r="K476" i="42"/>
  <c r="P474" i="42"/>
  <c r="K474" i="42"/>
  <c r="P473" i="42"/>
  <c r="K473" i="42"/>
  <c r="P472" i="42"/>
  <c r="K472" i="42"/>
  <c r="P471" i="42"/>
  <c r="K471" i="42"/>
  <c r="P470" i="42"/>
  <c r="K470" i="42"/>
  <c r="P469" i="42"/>
  <c r="K469" i="42"/>
  <c r="P468" i="42"/>
  <c r="K468" i="42"/>
  <c r="P467" i="42"/>
  <c r="K467" i="42"/>
  <c r="P466" i="42"/>
  <c r="K466" i="42"/>
  <c r="P465" i="42"/>
  <c r="K465" i="42"/>
  <c r="P464" i="42"/>
  <c r="K464" i="42"/>
  <c r="P463" i="42"/>
  <c r="K463" i="42"/>
  <c r="P462" i="42"/>
  <c r="K462" i="42"/>
  <c r="P461" i="42"/>
  <c r="K461" i="42"/>
  <c r="P460" i="42"/>
  <c r="K460" i="42"/>
  <c r="P459" i="42"/>
  <c r="K459" i="42"/>
  <c r="P458" i="42"/>
  <c r="K458" i="42"/>
  <c r="P457" i="42"/>
  <c r="K457" i="42"/>
  <c r="P456" i="42"/>
  <c r="K456" i="42"/>
  <c r="P455" i="42"/>
  <c r="K455" i="42"/>
  <c r="P454" i="42"/>
  <c r="K454" i="42"/>
  <c r="P453" i="42"/>
  <c r="K453" i="42"/>
  <c r="P452" i="42"/>
  <c r="K452" i="42"/>
  <c r="P451" i="42"/>
  <c r="K451" i="42"/>
  <c r="P450" i="42"/>
  <c r="K450" i="42"/>
  <c r="P449" i="42"/>
  <c r="K449" i="42"/>
  <c r="P448" i="42"/>
  <c r="K448" i="42"/>
  <c r="P447" i="42"/>
  <c r="K447" i="42"/>
  <c r="P446" i="42"/>
  <c r="K446" i="42"/>
  <c r="P445" i="42"/>
  <c r="K445" i="42"/>
  <c r="P444" i="42"/>
  <c r="K444" i="42"/>
  <c r="P443" i="42"/>
  <c r="K443" i="42"/>
  <c r="P442" i="42"/>
  <c r="K442" i="42"/>
  <c r="P441" i="42"/>
  <c r="K441" i="42"/>
  <c r="P440" i="42"/>
  <c r="K440" i="42"/>
  <c r="P439" i="42"/>
  <c r="K439" i="42"/>
  <c r="P438" i="42"/>
  <c r="K438" i="42"/>
  <c r="P437" i="42"/>
  <c r="K437" i="42"/>
  <c r="P436" i="42"/>
  <c r="K436" i="42"/>
  <c r="P435" i="42"/>
  <c r="K435" i="42"/>
  <c r="P434" i="42"/>
  <c r="K434" i="42"/>
  <c r="P433" i="42"/>
  <c r="K433" i="42"/>
  <c r="P432" i="42"/>
  <c r="K432" i="42"/>
  <c r="P431" i="42"/>
  <c r="K431" i="42"/>
  <c r="P430" i="42"/>
  <c r="K430" i="42"/>
  <c r="P429" i="42"/>
  <c r="K429" i="42"/>
  <c r="P428" i="42"/>
  <c r="K428" i="42"/>
  <c r="P427" i="42"/>
  <c r="K427" i="42"/>
  <c r="P426" i="42"/>
  <c r="K426" i="42"/>
  <c r="P425" i="42"/>
  <c r="K425" i="42"/>
  <c r="P424" i="42"/>
  <c r="K424" i="42"/>
  <c r="P423" i="42"/>
  <c r="K423" i="42"/>
  <c r="P422" i="42"/>
  <c r="K422" i="42"/>
  <c r="P421" i="42"/>
  <c r="K421" i="42"/>
  <c r="P420" i="42"/>
  <c r="K420" i="42"/>
  <c r="P419" i="42"/>
  <c r="K419" i="42"/>
  <c r="P418" i="42"/>
  <c r="K418" i="42"/>
  <c r="P417" i="42"/>
  <c r="K417" i="42"/>
  <c r="P416" i="42"/>
  <c r="K416" i="42"/>
  <c r="P415" i="42"/>
  <c r="K415" i="42"/>
  <c r="P414" i="42"/>
  <c r="K414" i="42"/>
  <c r="P413" i="42"/>
  <c r="K413" i="42"/>
  <c r="P412" i="42"/>
  <c r="K412" i="42"/>
  <c r="P411" i="42"/>
  <c r="K411" i="42"/>
  <c r="P410" i="42"/>
  <c r="K410" i="42"/>
  <c r="P409" i="42"/>
  <c r="K409" i="42"/>
  <c r="P408" i="42"/>
  <c r="K408" i="42"/>
  <c r="P407" i="42"/>
  <c r="K407" i="42"/>
  <c r="P406" i="42"/>
  <c r="K406" i="42"/>
  <c r="P405" i="42"/>
  <c r="K405" i="42"/>
  <c r="P404" i="42"/>
  <c r="K404" i="42"/>
  <c r="P403" i="42"/>
  <c r="K403" i="42"/>
  <c r="P402" i="42"/>
  <c r="K402" i="42"/>
  <c r="P401" i="42"/>
  <c r="K401" i="42"/>
  <c r="P400" i="42"/>
  <c r="K400" i="42"/>
  <c r="P399" i="42"/>
  <c r="K399" i="42"/>
  <c r="P398" i="42"/>
  <c r="K398" i="42"/>
  <c r="P397" i="42"/>
  <c r="K397" i="42"/>
  <c r="P396" i="42"/>
  <c r="K396" i="42"/>
  <c r="P395" i="42"/>
  <c r="K395" i="42"/>
  <c r="P394" i="42"/>
  <c r="K394" i="42"/>
  <c r="P393" i="42"/>
  <c r="K393" i="42"/>
  <c r="P392" i="42"/>
  <c r="K392" i="42"/>
  <c r="P391" i="42"/>
  <c r="K391" i="42"/>
  <c r="P390" i="42"/>
  <c r="K390" i="42"/>
  <c r="P389" i="42"/>
  <c r="K389" i="42"/>
  <c r="P388" i="42"/>
  <c r="K388" i="42"/>
  <c r="P387" i="42"/>
  <c r="K387" i="42"/>
  <c r="P386" i="42"/>
  <c r="K386" i="42"/>
  <c r="P385" i="42"/>
  <c r="K385" i="42"/>
  <c r="P384" i="42"/>
  <c r="K384" i="42"/>
  <c r="P383" i="42"/>
  <c r="K383" i="42"/>
  <c r="P382" i="42"/>
  <c r="K382" i="42"/>
  <c r="P381" i="42"/>
  <c r="K381" i="42"/>
  <c r="P380" i="42"/>
  <c r="K380" i="42"/>
  <c r="P379" i="42"/>
  <c r="K379" i="42"/>
  <c r="P378" i="42"/>
  <c r="K378" i="42"/>
  <c r="P377" i="42"/>
  <c r="K377" i="42"/>
  <c r="P376" i="42"/>
  <c r="K376" i="42"/>
  <c r="P375" i="42"/>
  <c r="K375" i="42"/>
  <c r="P374" i="42"/>
  <c r="K374" i="42"/>
  <c r="P373" i="42"/>
  <c r="K373" i="42"/>
  <c r="P372" i="42"/>
  <c r="K372" i="42"/>
  <c r="P371" i="42"/>
  <c r="K371" i="42"/>
  <c r="P370" i="42"/>
  <c r="K370" i="42"/>
  <c r="P369" i="42"/>
  <c r="K369" i="42"/>
  <c r="P368" i="42"/>
  <c r="K368" i="42"/>
  <c r="P367" i="42"/>
  <c r="K367" i="42"/>
  <c r="P366" i="42"/>
  <c r="K366" i="42"/>
  <c r="P365" i="42"/>
  <c r="K365" i="42"/>
  <c r="P364" i="42"/>
  <c r="K364" i="42"/>
  <c r="P363" i="42"/>
  <c r="K363" i="42"/>
  <c r="P362" i="42"/>
  <c r="K362" i="42"/>
  <c r="P361" i="42"/>
  <c r="K361" i="42"/>
  <c r="P360" i="42"/>
  <c r="K360" i="42"/>
  <c r="P359" i="42"/>
  <c r="K359" i="42"/>
  <c r="P358" i="42"/>
  <c r="K358" i="42"/>
  <c r="P357" i="42"/>
  <c r="K357" i="42"/>
  <c r="P356" i="42"/>
  <c r="K356" i="42"/>
  <c r="P355" i="42"/>
  <c r="K355" i="42"/>
  <c r="P354" i="42"/>
  <c r="K354" i="42"/>
  <c r="P353" i="42"/>
  <c r="K353" i="42"/>
  <c r="P352" i="42"/>
  <c r="K352" i="42"/>
  <c r="P351" i="42"/>
  <c r="K351" i="42"/>
  <c r="P350" i="42"/>
  <c r="K350" i="42"/>
  <c r="P349" i="42"/>
  <c r="K349" i="42"/>
  <c r="P348" i="42"/>
  <c r="K348" i="42"/>
  <c r="P347" i="42"/>
  <c r="K347" i="42"/>
  <c r="P346" i="42"/>
  <c r="K346" i="42"/>
  <c r="P345" i="42"/>
  <c r="K345" i="42"/>
  <c r="P344" i="42"/>
  <c r="K344" i="42"/>
  <c r="P343" i="42"/>
  <c r="K343" i="42"/>
  <c r="P342" i="42"/>
  <c r="K342" i="42"/>
  <c r="P341" i="42"/>
  <c r="K341" i="42"/>
  <c r="P340" i="42"/>
  <c r="K340" i="42"/>
  <c r="P339" i="42"/>
  <c r="K339" i="42"/>
  <c r="P338" i="42"/>
  <c r="K338" i="42"/>
  <c r="P337" i="42"/>
  <c r="K337" i="42"/>
  <c r="P336" i="42"/>
  <c r="K336" i="42"/>
  <c r="P335" i="42"/>
  <c r="K335" i="42"/>
  <c r="P334" i="42"/>
  <c r="K334" i="42"/>
  <c r="P333" i="42"/>
  <c r="K333" i="42"/>
  <c r="P332" i="42"/>
  <c r="K332" i="42"/>
  <c r="P331" i="42"/>
  <c r="K331" i="42"/>
  <c r="P330" i="42"/>
  <c r="K330" i="42"/>
  <c r="P329" i="42"/>
  <c r="K329" i="42"/>
  <c r="P328" i="42"/>
  <c r="K328" i="42"/>
  <c r="P327" i="42"/>
  <c r="K327" i="42"/>
  <c r="P326" i="42"/>
  <c r="K326" i="42"/>
  <c r="P325" i="42"/>
  <c r="K325" i="42"/>
  <c r="P324" i="42"/>
  <c r="K324" i="42"/>
  <c r="P323" i="42"/>
  <c r="K323" i="42"/>
  <c r="P322" i="42"/>
  <c r="K322" i="42"/>
  <c r="P321" i="42"/>
  <c r="K321" i="42"/>
  <c r="P320" i="42"/>
  <c r="K320" i="42"/>
  <c r="P319" i="42"/>
  <c r="K319" i="42"/>
  <c r="P318" i="42"/>
  <c r="K318" i="42"/>
  <c r="P317" i="42"/>
  <c r="K317" i="42"/>
  <c r="P316" i="42"/>
  <c r="K316" i="42"/>
  <c r="P315" i="42"/>
  <c r="K315" i="42"/>
  <c r="P314" i="42"/>
  <c r="K314" i="42"/>
  <c r="P313" i="42"/>
  <c r="K313" i="42"/>
  <c r="P312" i="42"/>
  <c r="K312" i="42"/>
  <c r="P311" i="42"/>
  <c r="K311" i="42"/>
  <c r="P310" i="42"/>
  <c r="K310" i="42"/>
  <c r="P309" i="42"/>
  <c r="K309" i="42"/>
  <c r="P308" i="42"/>
  <c r="K308" i="42"/>
  <c r="P307" i="42"/>
  <c r="K307" i="42"/>
  <c r="P306" i="42"/>
  <c r="K306" i="42"/>
  <c r="P305" i="42"/>
  <c r="K305" i="42"/>
  <c r="P304" i="42"/>
  <c r="K304" i="42"/>
  <c r="P303" i="42"/>
  <c r="K303" i="42"/>
  <c r="P302" i="42"/>
  <c r="K302" i="42"/>
  <c r="P301" i="42"/>
  <c r="K301" i="42"/>
  <c r="P300" i="42"/>
  <c r="K300" i="42"/>
  <c r="P299" i="42"/>
  <c r="K299" i="42"/>
  <c r="P298" i="42"/>
  <c r="K298" i="42"/>
  <c r="P297" i="42"/>
  <c r="K297" i="42"/>
  <c r="P296" i="42"/>
  <c r="K296" i="42"/>
  <c r="P295" i="42"/>
  <c r="K295" i="42"/>
  <c r="P294" i="42"/>
  <c r="K294" i="42"/>
  <c r="P293" i="42"/>
  <c r="K293" i="42"/>
  <c r="P292" i="42"/>
  <c r="K292" i="42"/>
  <c r="P291" i="42"/>
  <c r="K291" i="42"/>
  <c r="P290" i="42"/>
  <c r="K290" i="42"/>
  <c r="P289" i="42"/>
  <c r="K289" i="42"/>
  <c r="P288" i="42"/>
  <c r="K288" i="42"/>
  <c r="P287" i="42"/>
  <c r="K287" i="42"/>
  <c r="P286" i="42"/>
  <c r="K286" i="42"/>
  <c r="P285" i="42"/>
  <c r="K285" i="42"/>
  <c r="P284" i="42"/>
  <c r="K284" i="42"/>
  <c r="P283" i="42"/>
  <c r="K283" i="42"/>
  <c r="P282" i="42"/>
  <c r="K282" i="42"/>
  <c r="P281" i="42"/>
  <c r="K281" i="42"/>
  <c r="P280" i="42"/>
  <c r="K280" i="42"/>
  <c r="P279" i="42"/>
  <c r="K279" i="42"/>
  <c r="P278" i="42"/>
  <c r="K278" i="42"/>
  <c r="P277" i="42"/>
  <c r="K277" i="42"/>
  <c r="P276" i="42"/>
  <c r="K276" i="42"/>
  <c r="P275" i="42"/>
  <c r="K275" i="42"/>
  <c r="P274" i="42"/>
  <c r="K274" i="42"/>
  <c r="P273" i="42"/>
  <c r="K273" i="42"/>
  <c r="P272" i="42"/>
  <c r="K272" i="42"/>
  <c r="P271" i="42"/>
  <c r="K271" i="42"/>
  <c r="P270" i="42"/>
  <c r="K270" i="42"/>
  <c r="P269" i="42"/>
  <c r="K269" i="42"/>
  <c r="P268" i="42"/>
  <c r="K268" i="42"/>
  <c r="P267" i="42"/>
  <c r="K267" i="42"/>
  <c r="P266" i="42"/>
  <c r="K266" i="42"/>
  <c r="P265" i="42"/>
  <c r="K265" i="42"/>
  <c r="P264" i="42"/>
  <c r="K264" i="42"/>
  <c r="P263" i="42"/>
  <c r="K263" i="42"/>
  <c r="P262" i="42"/>
  <c r="K262" i="42"/>
  <c r="P261" i="42"/>
  <c r="K261" i="42"/>
  <c r="P260" i="42"/>
  <c r="K260" i="42"/>
  <c r="P259" i="42"/>
  <c r="K259" i="42"/>
  <c r="P258" i="42"/>
  <c r="K258" i="42"/>
  <c r="P257" i="42"/>
  <c r="K257" i="42"/>
  <c r="P256" i="42"/>
  <c r="K256" i="42"/>
  <c r="P255" i="42"/>
  <c r="K255" i="42"/>
  <c r="P254" i="42"/>
  <c r="K254" i="42"/>
  <c r="P253" i="42"/>
  <c r="K253" i="42"/>
  <c r="P252" i="42"/>
  <c r="K252" i="42"/>
  <c r="T251" i="42"/>
  <c r="T925" i="42" s="1"/>
  <c r="S251" i="42"/>
  <c r="S925" i="42" s="1"/>
  <c r="R251" i="42"/>
  <c r="R925" i="42" s="1"/>
  <c r="O251" i="42"/>
  <c r="O925" i="42" s="1"/>
  <c r="N251" i="42"/>
  <c r="N925" i="42" s="1"/>
  <c r="M251" i="42"/>
  <c r="M925" i="42" s="1"/>
  <c r="J251" i="42"/>
  <c r="J925" i="42" s="1"/>
  <c r="I251" i="42"/>
  <c r="I925" i="42" s="1"/>
  <c r="H251" i="42"/>
  <c r="H925" i="42" s="1"/>
  <c r="G251" i="42"/>
  <c r="G925" i="42" s="1"/>
  <c r="E251" i="42"/>
  <c r="E925" i="42" s="1"/>
  <c r="D251" i="42"/>
  <c r="D925" i="42" s="1"/>
  <c r="C251" i="42"/>
  <c r="C925" i="42" s="1"/>
  <c r="P250" i="42"/>
  <c r="K250" i="42"/>
  <c r="P249" i="42"/>
  <c r="K249" i="42"/>
  <c r="P248" i="42"/>
  <c r="P251" i="42" s="1"/>
  <c r="K248" i="42"/>
  <c r="K251" i="42" s="1"/>
  <c r="P247" i="42"/>
  <c r="K247" i="42"/>
  <c r="P246" i="42"/>
  <c r="K246" i="42"/>
  <c r="P245" i="42"/>
  <c r="K245" i="42"/>
  <c r="P244" i="42"/>
  <c r="K244" i="42"/>
  <c r="P243" i="42"/>
  <c r="K243" i="42"/>
  <c r="P242" i="42"/>
  <c r="K242" i="42"/>
  <c r="P241" i="42"/>
  <c r="K241" i="42"/>
  <c r="P240" i="42"/>
  <c r="K240" i="42"/>
  <c r="P239" i="42"/>
  <c r="K239" i="42"/>
  <c r="P238" i="42"/>
  <c r="K238" i="42"/>
  <c r="P237" i="42"/>
  <c r="K237" i="42"/>
  <c r="P236" i="42"/>
  <c r="K236" i="42"/>
  <c r="P235" i="42"/>
  <c r="K235" i="42"/>
  <c r="P234" i="42"/>
  <c r="K234" i="42"/>
  <c r="P233" i="42"/>
  <c r="K233" i="42"/>
  <c r="P232" i="42"/>
  <c r="K232" i="42"/>
  <c r="P231" i="42"/>
  <c r="K231" i="42"/>
  <c r="P230" i="42"/>
  <c r="K230" i="42"/>
  <c r="P229" i="42"/>
  <c r="K229" i="42"/>
  <c r="P228" i="42"/>
  <c r="K228" i="42"/>
  <c r="P227" i="42"/>
  <c r="K227" i="42"/>
  <c r="P226" i="42"/>
  <c r="K226" i="42"/>
  <c r="P225" i="42"/>
  <c r="K225" i="42"/>
  <c r="P224" i="42"/>
  <c r="K224" i="42"/>
  <c r="P223" i="42"/>
  <c r="K223" i="42"/>
  <c r="P222" i="42"/>
  <c r="K222" i="42"/>
  <c r="P221" i="42"/>
  <c r="K221" i="42"/>
  <c r="P220" i="42"/>
  <c r="K220" i="42"/>
  <c r="P219" i="42"/>
  <c r="K219" i="42"/>
  <c r="P218" i="42"/>
  <c r="K218" i="42"/>
  <c r="P217" i="42"/>
  <c r="K217" i="42"/>
  <c r="P216" i="42"/>
  <c r="K216" i="42"/>
  <c r="P215" i="42"/>
  <c r="K215" i="42"/>
  <c r="P214" i="42"/>
  <c r="K214" i="42"/>
  <c r="P213" i="42"/>
  <c r="K213" i="42"/>
  <c r="P212" i="42"/>
  <c r="K212" i="42"/>
  <c r="P211" i="42"/>
  <c r="K211" i="42"/>
  <c r="P210" i="42"/>
  <c r="K210" i="42"/>
  <c r="P209" i="42"/>
  <c r="K209" i="42"/>
  <c r="P208" i="42"/>
  <c r="K208" i="42"/>
  <c r="P207" i="42"/>
  <c r="K207" i="42"/>
  <c r="P206" i="42"/>
  <c r="K206" i="42"/>
  <c r="P205" i="42"/>
  <c r="K205" i="42"/>
  <c r="P204" i="42"/>
  <c r="K204" i="42"/>
  <c r="P203" i="42"/>
  <c r="K203" i="42"/>
  <c r="P202" i="42"/>
  <c r="K202" i="42"/>
  <c r="P201" i="42"/>
  <c r="K201" i="42"/>
  <c r="P200" i="42"/>
  <c r="K200" i="42"/>
  <c r="P199" i="42"/>
  <c r="K199" i="42"/>
  <c r="P198" i="42"/>
  <c r="K198" i="42"/>
  <c r="P197" i="42"/>
  <c r="K197" i="42"/>
  <c r="P196" i="42"/>
  <c r="K196" i="42"/>
  <c r="P195" i="42"/>
  <c r="K195" i="42"/>
  <c r="P194" i="42"/>
  <c r="K194" i="42"/>
  <c r="P193" i="42"/>
  <c r="K193" i="42"/>
  <c r="P192" i="42"/>
  <c r="K192" i="42"/>
  <c r="P191" i="42"/>
  <c r="K191" i="42"/>
  <c r="P190" i="42"/>
  <c r="K190" i="42"/>
  <c r="P189" i="42"/>
  <c r="K189" i="42"/>
  <c r="P188" i="42"/>
  <c r="K188" i="42"/>
  <c r="P187" i="42"/>
  <c r="K187" i="42"/>
  <c r="P186" i="42"/>
  <c r="K186" i="42"/>
  <c r="P185" i="42"/>
  <c r="K185" i="42"/>
  <c r="P184" i="42"/>
  <c r="K184" i="42"/>
  <c r="P183" i="42"/>
  <c r="K183" i="42"/>
  <c r="P182" i="42"/>
  <c r="K182" i="42"/>
  <c r="P181" i="42"/>
  <c r="K181" i="42"/>
  <c r="P180" i="42"/>
  <c r="K180" i="42"/>
  <c r="P179" i="42"/>
  <c r="K179" i="42"/>
  <c r="P178" i="42"/>
  <c r="K178" i="42"/>
  <c r="P177" i="42"/>
  <c r="K177" i="42"/>
  <c r="P176" i="42"/>
  <c r="K176" i="42"/>
  <c r="P175" i="42"/>
  <c r="K175" i="42"/>
  <c r="P174" i="42"/>
  <c r="K174" i="42"/>
  <c r="P173" i="42"/>
  <c r="K173" i="42"/>
  <c r="P172" i="42"/>
  <c r="K172" i="42"/>
  <c r="P171" i="42"/>
  <c r="K171" i="42"/>
  <c r="P170" i="42"/>
  <c r="K170" i="42"/>
  <c r="P169" i="42"/>
  <c r="K169" i="42"/>
  <c r="P168" i="42"/>
  <c r="K168" i="42"/>
  <c r="P167" i="42"/>
  <c r="K167" i="42"/>
  <c r="P166" i="42"/>
  <c r="K166" i="42"/>
  <c r="P165" i="42"/>
  <c r="K165" i="42"/>
  <c r="P164" i="42"/>
  <c r="K164" i="42"/>
  <c r="P163" i="42"/>
  <c r="K163" i="42"/>
  <c r="P162" i="42"/>
  <c r="K162" i="42"/>
  <c r="P161" i="42"/>
  <c r="K161" i="42"/>
  <c r="P160" i="42"/>
  <c r="K160" i="42"/>
  <c r="P159" i="42"/>
  <c r="K159" i="42"/>
  <c r="P158" i="42"/>
  <c r="K158" i="42"/>
  <c r="P157" i="42"/>
  <c r="K157" i="42"/>
  <c r="P156" i="42"/>
  <c r="K156" i="42"/>
  <c r="P155" i="42"/>
  <c r="K155" i="42"/>
  <c r="P154" i="42"/>
  <c r="K154" i="42"/>
  <c r="P153" i="42"/>
  <c r="K153" i="42"/>
  <c r="P152" i="42"/>
  <c r="K152" i="42"/>
  <c r="P151" i="42"/>
  <c r="K151" i="42"/>
  <c r="P150" i="42"/>
  <c r="K150" i="42"/>
  <c r="P149" i="42"/>
  <c r="K149" i="42"/>
  <c r="P148" i="42"/>
  <c r="K148" i="42"/>
  <c r="P147" i="42"/>
  <c r="K147" i="42"/>
  <c r="P146" i="42"/>
  <c r="K146" i="42"/>
  <c r="P145" i="42"/>
  <c r="K145" i="42"/>
  <c r="P144" i="42"/>
  <c r="K144" i="42"/>
  <c r="P143" i="42"/>
  <c r="K143" i="42"/>
  <c r="P142" i="42"/>
  <c r="K142" i="42"/>
  <c r="P141" i="42"/>
  <c r="K141" i="42"/>
  <c r="P140" i="42"/>
  <c r="K140" i="42"/>
  <c r="P139" i="42"/>
  <c r="K139" i="42"/>
  <c r="P138" i="42"/>
  <c r="K138" i="42"/>
  <c r="P137" i="42"/>
  <c r="K137" i="42"/>
  <c r="P136" i="42"/>
  <c r="K136" i="42"/>
  <c r="P135" i="42"/>
  <c r="K135" i="42"/>
  <c r="P134" i="42"/>
  <c r="K134" i="42"/>
  <c r="P133" i="42"/>
  <c r="K133" i="42"/>
  <c r="P132" i="42"/>
  <c r="K132" i="42"/>
  <c r="P131" i="42"/>
  <c r="K131" i="42"/>
  <c r="P130" i="42"/>
  <c r="K130" i="42"/>
  <c r="P129" i="42"/>
  <c r="K129" i="42"/>
  <c r="P128" i="42"/>
  <c r="K128" i="42"/>
  <c r="P127" i="42"/>
  <c r="K127" i="42"/>
  <c r="P126" i="42"/>
  <c r="K126" i="42"/>
  <c r="P125" i="42"/>
  <c r="K125" i="42"/>
  <c r="P124" i="42"/>
  <c r="K124" i="42"/>
  <c r="P123" i="42"/>
  <c r="K123" i="42"/>
  <c r="P122" i="42"/>
  <c r="K122" i="42"/>
  <c r="P121" i="42"/>
  <c r="K121" i="42"/>
  <c r="P120" i="42"/>
  <c r="K120" i="42"/>
  <c r="P119" i="42"/>
  <c r="K119" i="42"/>
  <c r="P118" i="42"/>
  <c r="K118" i="42"/>
  <c r="P117" i="42"/>
  <c r="K117" i="42"/>
  <c r="P116" i="42"/>
  <c r="K116" i="42"/>
  <c r="P115" i="42"/>
  <c r="K115" i="42"/>
  <c r="P114" i="42"/>
  <c r="K114" i="42"/>
  <c r="P113" i="42"/>
  <c r="K113" i="42"/>
  <c r="P112" i="42"/>
  <c r="K112" i="42"/>
  <c r="P111" i="42"/>
  <c r="K111" i="42"/>
  <c r="P110" i="42"/>
  <c r="K110" i="42"/>
  <c r="P109" i="42"/>
  <c r="K109" i="42"/>
  <c r="P108" i="42"/>
  <c r="K108" i="42"/>
  <c r="P107" i="42"/>
  <c r="K107" i="42"/>
  <c r="P106" i="42"/>
  <c r="K106" i="42"/>
  <c r="P105" i="42"/>
  <c r="K105" i="42"/>
  <c r="P104" i="42"/>
  <c r="K104" i="42"/>
  <c r="P103" i="42"/>
  <c r="K103" i="42"/>
  <c r="P102" i="42"/>
  <c r="K102" i="42"/>
  <c r="P101" i="42"/>
  <c r="K101" i="42"/>
  <c r="P100" i="42"/>
  <c r="K100" i="42"/>
  <c r="P99" i="42"/>
  <c r="K99" i="42"/>
  <c r="P98" i="42"/>
  <c r="K98" i="42"/>
  <c r="P97" i="42"/>
  <c r="K97" i="42"/>
  <c r="P96" i="42"/>
  <c r="K96" i="42"/>
  <c r="P95" i="42"/>
  <c r="K95" i="42"/>
  <c r="P94" i="42"/>
  <c r="K94" i="42"/>
  <c r="P93" i="42"/>
  <c r="K93" i="42"/>
  <c r="P92" i="42"/>
  <c r="K92" i="42"/>
  <c r="P91" i="42"/>
  <c r="K91" i="42"/>
  <c r="P90" i="42"/>
  <c r="K90" i="42"/>
  <c r="P89" i="42"/>
  <c r="K89" i="42"/>
  <c r="P88" i="42"/>
  <c r="K88" i="42"/>
  <c r="P87" i="42"/>
  <c r="K87" i="42"/>
  <c r="P86" i="42"/>
  <c r="K86" i="42"/>
  <c r="P85" i="42"/>
  <c r="K85" i="42"/>
  <c r="P84" i="42"/>
  <c r="K84" i="42"/>
  <c r="P83" i="42"/>
  <c r="K83" i="42"/>
  <c r="P82" i="42"/>
  <c r="K82" i="42"/>
  <c r="P81" i="42"/>
  <c r="K81" i="42"/>
  <c r="P80" i="42"/>
  <c r="K80" i="42"/>
  <c r="P79" i="42"/>
  <c r="K79" i="42"/>
  <c r="P78" i="42"/>
  <c r="K78" i="42"/>
  <c r="P77" i="42"/>
  <c r="K77" i="42"/>
  <c r="P76" i="42"/>
  <c r="K76" i="42"/>
  <c r="P75" i="42"/>
  <c r="K75" i="42"/>
  <c r="P74" i="42"/>
  <c r="K74" i="42"/>
  <c r="P73" i="42"/>
  <c r="K73" i="42"/>
  <c r="P72" i="42"/>
  <c r="K72" i="42"/>
  <c r="P71" i="42"/>
  <c r="K71" i="42"/>
  <c r="P70" i="42"/>
  <c r="K70" i="42"/>
  <c r="P69" i="42"/>
  <c r="K69" i="42"/>
  <c r="P68" i="42"/>
  <c r="K68" i="42"/>
  <c r="P67" i="42"/>
  <c r="K67" i="42"/>
  <c r="P66" i="42"/>
  <c r="K66" i="42"/>
  <c r="P65" i="42"/>
  <c r="K65" i="42"/>
  <c r="P64" i="42"/>
  <c r="K64" i="42"/>
  <c r="P63" i="42"/>
  <c r="K63" i="42"/>
  <c r="P62" i="42"/>
  <c r="K62" i="42"/>
  <c r="P61" i="42"/>
  <c r="K61" i="42"/>
  <c r="P60" i="42"/>
  <c r="K60" i="42"/>
  <c r="P59" i="42"/>
  <c r="K59" i="42"/>
  <c r="P58" i="42"/>
  <c r="K58" i="42"/>
  <c r="P57" i="42"/>
  <c r="K57" i="42"/>
  <c r="P56" i="42"/>
  <c r="K56" i="42"/>
  <c r="P55" i="42"/>
  <c r="K55" i="42"/>
  <c r="P54" i="42"/>
  <c r="K54" i="42"/>
  <c r="P53" i="42"/>
  <c r="K53" i="42"/>
  <c r="P52" i="42"/>
  <c r="K52" i="42"/>
  <c r="P51" i="42"/>
  <c r="K51" i="42"/>
  <c r="P50" i="42"/>
  <c r="K50" i="42"/>
  <c r="P49" i="42"/>
  <c r="K49" i="42"/>
  <c r="P48" i="42"/>
  <c r="K48" i="42"/>
  <c r="P47" i="42"/>
  <c r="K47" i="42"/>
  <c r="P46" i="42"/>
  <c r="K46" i="42"/>
  <c r="P45" i="42"/>
  <c r="K45" i="42"/>
  <c r="P44" i="42"/>
  <c r="K44" i="42"/>
  <c r="P43" i="42"/>
  <c r="K43" i="42"/>
  <c r="P42" i="42"/>
  <c r="K42" i="42"/>
  <c r="P41" i="42"/>
  <c r="K41" i="42"/>
  <c r="P40" i="42"/>
  <c r="K40" i="42"/>
  <c r="P39" i="42"/>
  <c r="K39" i="42"/>
  <c r="P38" i="42"/>
  <c r="K38" i="42"/>
  <c r="P37" i="42"/>
  <c r="K37" i="42"/>
  <c r="P36" i="42"/>
  <c r="K36" i="42"/>
  <c r="P35" i="42"/>
  <c r="K35" i="42"/>
  <c r="P34" i="42"/>
  <c r="K34" i="42"/>
  <c r="P33" i="42"/>
  <c r="K33" i="42"/>
  <c r="P32" i="42"/>
  <c r="K32" i="42"/>
  <c r="P31" i="42"/>
  <c r="K31" i="42"/>
  <c r="P30" i="42"/>
  <c r="K30" i="42"/>
  <c r="P29" i="42"/>
  <c r="K29" i="42"/>
  <c r="P28" i="42"/>
  <c r="K28" i="42"/>
  <c r="P27" i="42"/>
  <c r="K27" i="42"/>
  <c r="P26" i="42"/>
  <c r="K26" i="42"/>
  <c r="P25" i="42"/>
  <c r="K25" i="42"/>
  <c r="P24" i="42"/>
  <c r="K24" i="42"/>
  <c r="P23" i="42"/>
  <c r="K23" i="42"/>
  <c r="P22" i="42"/>
  <c r="K22" i="42"/>
  <c r="P21" i="42"/>
  <c r="K21" i="42"/>
  <c r="P20" i="42"/>
  <c r="K20" i="42"/>
  <c r="P19" i="42"/>
  <c r="K19" i="42"/>
  <c r="P18" i="42"/>
  <c r="K18" i="42"/>
  <c r="P17" i="42"/>
  <c r="K17" i="42"/>
  <c r="P16" i="42"/>
  <c r="K16" i="42"/>
  <c r="P15" i="42"/>
  <c r="K15" i="42"/>
  <c r="P14" i="42"/>
  <c r="K14" i="42"/>
  <c r="P13" i="42"/>
  <c r="K13" i="42"/>
  <c r="P12" i="42"/>
  <c r="K12" i="42"/>
  <c r="P11" i="42"/>
  <c r="K11" i="42"/>
  <c r="P10" i="42"/>
  <c r="K10" i="42"/>
  <c r="P9" i="42"/>
  <c r="K9" i="42"/>
  <c r="P8" i="42"/>
  <c r="K8" i="42"/>
  <c r="K925" i="42" s="1"/>
  <c r="P7" i="42"/>
  <c r="P925" i="42" s="1"/>
  <c r="K7" i="42"/>
  <c r="E28" i="25" l="1"/>
  <c r="E37" i="25"/>
  <c r="G190" i="23" l="1"/>
  <c r="G189" i="23"/>
  <c r="G183" i="23"/>
  <c r="E172" i="23"/>
  <c r="E173" i="23"/>
  <c r="E171" i="23"/>
  <c r="G190" i="24"/>
  <c r="G189" i="24"/>
  <c r="G183" i="24"/>
  <c r="E172" i="24"/>
  <c r="E173" i="24"/>
  <c r="E171" i="24"/>
  <c r="N109" i="15" l="1"/>
  <c r="D96" i="31" l="1"/>
  <c r="D97" i="31"/>
  <c r="C95" i="31" l="1"/>
  <c r="C126" i="38" l="1"/>
  <c r="D114" i="38"/>
  <c r="D115" i="38"/>
  <c r="D116" i="38"/>
  <c r="D117" i="38"/>
  <c r="D118" i="38"/>
  <c r="D119" i="38"/>
  <c r="D120" i="38"/>
  <c r="D113" i="38"/>
  <c r="C52" i="38" l="1"/>
  <c r="C53" i="38"/>
  <c r="C47" i="38"/>
  <c r="C48" i="38"/>
  <c r="C49" i="38"/>
  <c r="C50" i="38"/>
  <c r="C51" i="38"/>
  <c r="C46" i="38"/>
  <c r="C41" i="38"/>
  <c r="C42" i="38"/>
  <c r="C40" i="38"/>
  <c r="R228" i="15"/>
  <c r="T232" i="15"/>
  <c r="Y232" i="15" s="1"/>
  <c r="E97" i="31"/>
  <c r="H97" i="31" s="1"/>
  <c r="E96" i="31"/>
  <c r="G96" i="31" s="1"/>
  <c r="D95" i="31"/>
  <c r="E94" i="31"/>
  <c r="G94" i="31" s="1"/>
  <c r="C87" i="31"/>
  <c r="C124" i="38" l="1"/>
  <c r="E124" i="38" s="1"/>
  <c r="C123" i="38"/>
  <c r="E123" i="38" s="1"/>
  <c r="D112" i="38"/>
  <c r="D127" i="38"/>
  <c r="D139" i="38"/>
  <c r="D147" i="38"/>
  <c r="E147" i="38" s="1"/>
  <c r="D144" i="38"/>
  <c r="E144" i="38" s="1"/>
  <c r="G144" i="38" s="1"/>
  <c r="C89" i="38" s="1"/>
  <c r="D152" i="38"/>
  <c r="E152" i="38" s="1"/>
  <c r="D141" i="38"/>
  <c r="E141" i="38" s="1"/>
  <c r="H141" i="38" s="1"/>
  <c r="D86" i="38" s="1"/>
  <c r="D149" i="38"/>
  <c r="E149" i="38" s="1"/>
  <c r="D140" i="38"/>
  <c r="E140" i="38" s="1"/>
  <c r="G140" i="38" s="1"/>
  <c r="C85" i="38" s="1"/>
  <c r="D148" i="38"/>
  <c r="E148" i="38" s="1"/>
  <c r="D145" i="38"/>
  <c r="E145" i="38" s="1"/>
  <c r="H145" i="38" s="1"/>
  <c r="D90" i="38" s="1"/>
  <c r="D153" i="38"/>
  <c r="E153" i="38" s="1"/>
  <c r="D143" i="38"/>
  <c r="D151" i="38"/>
  <c r="E151" i="38" s="1"/>
  <c r="D142" i="38"/>
  <c r="E142" i="38" s="1"/>
  <c r="H142" i="38" s="1"/>
  <c r="D87" i="38" s="1"/>
  <c r="D150" i="38"/>
  <c r="E150" i="38" s="1"/>
  <c r="D154" i="38"/>
  <c r="E154" i="38" s="1"/>
  <c r="D146" i="38"/>
  <c r="E146" i="38" s="1"/>
  <c r="AA232" i="15"/>
  <c r="N203" i="15" s="1"/>
  <c r="AN154" i="1" s="1"/>
  <c r="Z232" i="15"/>
  <c r="L203" i="15" s="1"/>
  <c r="E95" i="31"/>
  <c r="H95" i="31" s="1"/>
  <c r="E143" i="38"/>
  <c r="G143" i="38" s="1"/>
  <c r="C88" i="38" s="1"/>
  <c r="C118" i="38"/>
  <c r="E118" i="38" s="1"/>
  <c r="G118" i="38" s="1"/>
  <c r="C63" i="38" s="1"/>
  <c r="D136" i="38"/>
  <c r="E136" i="38" s="1"/>
  <c r="C116" i="38"/>
  <c r="E116" i="38" s="1"/>
  <c r="G116" i="38" s="1"/>
  <c r="C61" i="38" s="1"/>
  <c r="D134" i="38"/>
  <c r="E134" i="38" s="1"/>
  <c r="C115" i="38"/>
  <c r="E115" i="38" s="1"/>
  <c r="H115" i="38" s="1"/>
  <c r="D60" i="38" s="1"/>
  <c r="D133" i="38"/>
  <c r="E133" i="38" s="1"/>
  <c r="C113" i="38"/>
  <c r="D131" i="38"/>
  <c r="C117" i="38"/>
  <c r="E117" i="38" s="1"/>
  <c r="H117" i="38" s="1"/>
  <c r="D62" i="38" s="1"/>
  <c r="D135" i="38"/>
  <c r="E135" i="38" s="1"/>
  <c r="C114" i="38"/>
  <c r="E114" i="38" s="1"/>
  <c r="G114" i="38" s="1"/>
  <c r="C59" i="38" s="1"/>
  <c r="D132" i="38"/>
  <c r="E132" i="38" s="1"/>
  <c r="C120" i="38"/>
  <c r="E120" i="38" s="1"/>
  <c r="G120" i="38" s="1"/>
  <c r="C65" i="38" s="1"/>
  <c r="D138" i="38"/>
  <c r="E138" i="38" s="1"/>
  <c r="C119" i="38"/>
  <c r="E119" i="38" s="1"/>
  <c r="H119" i="38" s="1"/>
  <c r="D64" i="38" s="1"/>
  <c r="D137" i="38"/>
  <c r="E137" i="38" s="1"/>
  <c r="C43" i="38"/>
  <c r="D43" i="38" s="1"/>
  <c r="C130" i="38"/>
  <c r="D128" i="38"/>
  <c r="C125" i="38"/>
  <c r="C54" i="38"/>
  <c r="D54" i="38" s="1"/>
  <c r="H94" i="31"/>
  <c r="G97" i="31"/>
  <c r="E87" i="31"/>
  <c r="H96" i="31"/>
  <c r="H123" i="38" l="1"/>
  <c r="D68" i="38" s="1"/>
  <c r="G123" i="38"/>
  <c r="C68" i="38" s="1"/>
  <c r="G124" i="38"/>
  <c r="C69" i="38" s="1"/>
  <c r="H124" i="38"/>
  <c r="D69" i="38" s="1"/>
  <c r="G121" i="38"/>
  <c r="C66" i="38" s="1"/>
  <c r="H121" i="38"/>
  <c r="D66" i="38" s="1"/>
  <c r="H122" i="38"/>
  <c r="D67" i="38" s="1"/>
  <c r="G122" i="38"/>
  <c r="C67" i="38" s="1"/>
  <c r="D155" i="38"/>
  <c r="C155" i="38"/>
  <c r="G150" i="38"/>
  <c r="C95" i="38" s="1"/>
  <c r="H150" i="38"/>
  <c r="D95" i="38" s="1"/>
  <c r="AK264" i="1" s="1"/>
  <c r="AV264" i="1" s="1"/>
  <c r="G149" i="38"/>
  <c r="C94" i="38" s="1"/>
  <c r="H149" i="38"/>
  <c r="D94" i="38" s="1"/>
  <c r="G152" i="38"/>
  <c r="C97" i="38" s="1"/>
  <c r="H152" i="38"/>
  <c r="D97" i="38" s="1"/>
  <c r="AK278" i="1" s="1"/>
  <c r="AV278" i="1" s="1"/>
  <c r="G154" i="38"/>
  <c r="C99" i="38" s="1"/>
  <c r="H154" i="38"/>
  <c r="D99" i="38" s="1"/>
  <c r="AK292" i="1" s="1"/>
  <c r="AV292" i="1" s="1"/>
  <c r="H153" i="38"/>
  <c r="D98" i="38" s="1"/>
  <c r="G153" i="38"/>
  <c r="C98" i="38" s="1"/>
  <c r="G147" i="38"/>
  <c r="C92" i="38" s="1"/>
  <c r="H147" i="38"/>
  <c r="D92" i="38" s="1"/>
  <c r="G151" i="38"/>
  <c r="C96" i="38" s="1"/>
  <c r="H151" i="38"/>
  <c r="D96" i="38" s="1"/>
  <c r="H146" i="38"/>
  <c r="D91" i="38" s="1"/>
  <c r="G146" i="38"/>
  <c r="C91" i="38" s="1"/>
  <c r="G148" i="38"/>
  <c r="C93" i="38" s="1"/>
  <c r="H148" i="38"/>
  <c r="D93" i="38" s="1"/>
  <c r="AK250" i="1" s="1"/>
  <c r="AV250" i="1" s="1"/>
  <c r="G142" i="38"/>
  <c r="C87" i="38" s="1"/>
  <c r="G95" i="31"/>
  <c r="H143" i="38"/>
  <c r="D88" i="38" s="1"/>
  <c r="H144" i="38"/>
  <c r="D89" i="38" s="1"/>
  <c r="H140" i="38"/>
  <c r="D85" i="38" s="1"/>
  <c r="G145" i="38"/>
  <c r="C90" i="38" s="1"/>
  <c r="G141" i="38"/>
  <c r="C86" i="38" s="1"/>
  <c r="H116" i="38"/>
  <c r="D61" i="38" s="1"/>
  <c r="H114" i="38"/>
  <c r="D59" i="38" s="1"/>
  <c r="G135" i="38"/>
  <c r="C80" i="38" s="1"/>
  <c r="H135" i="38"/>
  <c r="D80" i="38" s="1"/>
  <c r="AN270" i="1" s="1"/>
  <c r="G137" i="38"/>
  <c r="C82" i="38" s="1"/>
  <c r="H137" i="38"/>
  <c r="D82" i="38" s="1"/>
  <c r="AN284" i="1" s="1"/>
  <c r="G117" i="38"/>
  <c r="C62" i="38" s="1"/>
  <c r="E113" i="38"/>
  <c r="H113" i="38" s="1"/>
  <c r="D58" i="38" s="1"/>
  <c r="H138" i="38"/>
  <c r="D83" i="38" s="1"/>
  <c r="AN291" i="1" s="1"/>
  <c r="G138" i="38"/>
  <c r="C83" i="38" s="1"/>
  <c r="G133" i="38"/>
  <c r="C78" i="38" s="1"/>
  <c r="H133" i="38"/>
  <c r="D78" i="38" s="1"/>
  <c r="AN256" i="1" s="1"/>
  <c r="G132" i="38"/>
  <c r="C77" i="38" s="1"/>
  <c r="H132" i="38"/>
  <c r="D77" i="38" s="1"/>
  <c r="AN249" i="1" s="1"/>
  <c r="H134" i="38"/>
  <c r="D79" i="38" s="1"/>
  <c r="AN263" i="1" s="1"/>
  <c r="G134" i="38"/>
  <c r="C79" i="38" s="1"/>
  <c r="G136" i="38"/>
  <c r="C81" i="38" s="1"/>
  <c r="H136" i="38"/>
  <c r="D81" i="38" s="1"/>
  <c r="H120" i="38"/>
  <c r="D65" i="38" s="1"/>
  <c r="H118" i="38"/>
  <c r="D63" i="38" s="1"/>
  <c r="G119" i="38"/>
  <c r="C64" i="38" s="1"/>
  <c r="G115" i="38"/>
  <c r="C60" i="38" s="1"/>
  <c r="H87" i="31"/>
  <c r="G87" i="31"/>
  <c r="AK271" i="1" l="1"/>
  <c r="AV271" i="1" s="1"/>
  <c r="AK257" i="1"/>
  <c r="AV257" i="1" s="1"/>
  <c r="AK285" i="1"/>
  <c r="AV285" i="1" s="1"/>
  <c r="AN277" i="1"/>
  <c r="G113" i="38"/>
  <c r="C58" i="38" s="1"/>
  <c r="AK241" i="1" s="1"/>
  <c r="AF75" i="1"/>
  <c r="AG143" i="1"/>
  <c r="AF78" i="1"/>
  <c r="AV134" i="1"/>
  <c r="AW157" i="1"/>
  <c r="AG156" i="1" l="1"/>
  <c r="AW156" i="1"/>
  <c r="E139" i="38" l="1"/>
  <c r="E131" i="38"/>
  <c r="E130" i="38"/>
  <c r="E129" i="38"/>
  <c r="E128" i="38"/>
  <c r="E127" i="38"/>
  <c r="G127" i="38" s="1"/>
  <c r="C73" i="38" s="1"/>
  <c r="E126" i="38"/>
  <c r="E125" i="38"/>
  <c r="E112" i="38"/>
  <c r="E155" i="38" l="1"/>
  <c r="H128" i="38"/>
  <c r="D74" i="38" s="1"/>
  <c r="AN146" i="1" s="1"/>
  <c r="G128" i="38"/>
  <c r="C74" i="38" s="1"/>
  <c r="H125" i="38"/>
  <c r="D70" i="38" s="1"/>
  <c r="G125" i="38"/>
  <c r="G129" i="38"/>
  <c r="H129" i="38"/>
  <c r="H112" i="38"/>
  <c r="D57" i="38" s="1"/>
  <c r="AN134" i="1" s="1"/>
  <c r="G112" i="38"/>
  <c r="C57" i="38" s="1"/>
  <c r="G139" i="38"/>
  <c r="C84" i="38" s="1"/>
  <c r="H139" i="38"/>
  <c r="D84" i="38" s="1"/>
  <c r="AN240" i="1" s="1"/>
  <c r="H126" i="38"/>
  <c r="D71" i="38" s="1"/>
  <c r="G126" i="38"/>
  <c r="C71" i="38" s="1"/>
  <c r="AK87" i="1" s="1"/>
  <c r="H130" i="38"/>
  <c r="D75" i="38" s="1"/>
  <c r="G130" i="38"/>
  <c r="C75" i="38" s="1"/>
  <c r="AK83" i="1" s="1"/>
  <c r="H131" i="38"/>
  <c r="G131" i="38"/>
  <c r="H127" i="38"/>
  <c r="D73" i="38" s="1"/>
  <c r="AN145" i="1" s="1"/>
  <c r="C70" i="38" l="1"/>
  <c r="AK85" i="1" s="1"/>
  <c r="H155" i="38"/>
  <c r="G155" i="38"/>
  <c r="AW134" i="1"/>
  <c r="C76" i="38"/>
  <c r="D76" i="38"/>
  <c r="AN239" i="1" s="1"/>
  <c r="AN263" i="38" l="1"/>
  <c r="AV157" i="1"/>
  <c r="C101" i="38" l="1"/>
  <c r="D101" i="38"/>
  <c r="AG131" i="1" l="1"/>
  <c r="C76" i="31"/>
  <c r="D76" i="31"/>
  <c r="AN248" i="1" s="1"/>
  <c r="D75" i="31"/>
  <c r="C75" i="31"/>
  <c r="AF156" i="1" l="1"/>
  <c r="AV156" i="1" s="1"/>
  <c r="AN247" i="1"/>
  <c r="AW247" i="1" s="1"/>
  <c r="AW83" i="1" l="1"/>
  <c r="AV84" i="1"/>
  <c r="AW84" i="1"/>
  <c r="AW85" i="1"/>
  <c r="AV86" i="1"/>
  <c r="AW86" i="1"/>
  <c r="AW87" i="1"/>
  <c r="AV88" i="1"/>
  <c r="AW88" i="1"/>
  <c r="AV145" i="1"/>
  <c r="AV146" i="1"/>
  <c r="AZ84" i="1" l="1"/>
  <c r="BA84" i="1"/>
  <c r="AZ86" i="1"/>
  <c r="BA86" i="1"/>
  <c r="AZ88" i="1"/>
  <c r="BA88" i="1"/>
  <c r="G197" i="18"/>
  <c r="G196" i="18"/>
  <c r="E180" i="18"/>
  <c r="E179" i="18"/>
  <c r="E178" i="18"/>
  <c r="AS145" i="1" l="1"/>
  <c r="AW145" i="1" s="1"/>
  <c r="BA145" i="1" s="1"/>
  <c r="AP85" i="1"/>
  <c r="AV85" i="1" s="1"/>
  <c r="AS146" i="1"/>
  <c r="AW146" i="1" s="1"/>
  <c r="BA146" i="1" s="1"/>
  <c r="AP83" i="1"/>
  <c r="AV83" i="1" s="1"/>
  <c r="AP87" i="1"/>
  <c r="AV87" i="1" s="1"/>
  <c r="AZ87" i="1" s="1"/>
  <c r="BA83" i="1" l="1"/>
  <c r="AZ83" i="1"/>
  <c r="AZ85" i="1"/>
  <c r="BA85" i="1"/>
  <c r="BA87" i="1"/>
  <c r="AV82" i="1"/>
  <c r="D71" i="31" l="1"/>
  <c r="AW82" i="1" l="1"/>
  <c r="AZ82" i="1" s="1"/>
  <c r="BA82" i="1" l="1"/>
  <c r="J35" i="34" l="1"/>
  <c r="R906" i="34" l="1"/>
  <c r="C898" i="35" l="1"/>
  <c r="P907" i="33"/>
  <c r="K907" i="33"/>
  <c r="V908" i="34" l="1"/>
  <c r="U908" i="34"/>
  <c r="T908" i="34"/>
  <c r="Q908" i="34"/>
  <c r="P908" i="34"/>
  <c r="O908" i="34"/>
  <c r="N908" i="34"/>
  <c r="L908" i="34"/>
  <c r="K908" i="34"/>
  <c r="J908" i="34"/>
  <c r="I908" i="34"/>
  <c r="G908" i="34"/>
  <c r="F908" i="34"/>
  <c r="E908" i="34"/>
  <c r="D908" i="34"/>
  <c r="C908" i="34"/>
  <c r="R905" i="34"/>
  <c r="R904" i="34"/>
  <c r="R903" i="34"/>
  <c r="R902" i="34"/>
  <c r="R901" i="34"/>
  <c r="R900" i="34"/>
  <c r="R899" i="34"/>
  <c r="R898" i="34"/>
  <c r="R897" i="34"/>
  <c r="R896" i="34"/>
  <c r="R895" i="34"/>
  <c r="R894" i="34"/>
  <c r="R893" i="34"/>
  <c r="R892" i="34"/>
  <c r="R891" i="34"/>
  <c r="R890" i="34"/>
  <c r="R889" i="34"/>
  <c r="R888" i="34"/>
  <c r="R887" i="34"/>
  <c r="R886" i="34"/>
  <c r="R885" i="34"/>
  <c r="R884" i="34"/>
  <c r="R883" i="34"/>
  <c r="R882" i="34"/>
  <c r="R881" i="34"/>
  <c r="R880" i="34"/>
  <c r="R879" i="34"/>
  <c r="R878" i="34"/>
  <c r="R877" i="34"/>
  <c r="R876" i="34"/>
  <c r="R875" i="34"/>
  <c r="R874" i="34"/>
  <c r="R873" i="34"/>
  <c r="R872" i="34"/>
  <c r="R871" i="34"/>
  <c r="R870" i="34"/>
  <c r="R869" i="34"/>
  <c r="R868" i="34"/>
  <c r="R867" i="34"/>
  <c r="R866" i="34"/>
  <c r="R865" i="34"/>
  <c r="R864" i="34"/>
  <c r="R863" i="34"/>
  <c r="R862" i="34"/>
  <c r="R861" i="34"/>
  <c r="R860" i="34"/>
  <c r="R859" i="34"/>
  <c r="R858" i="34"/>
  <c r="R857" i="34"/>
  <c r="R856" i="34"/>
  <c r="R855" i="34"/>
  <c r="R854" i="34"/>
  <c r="R853" i="34"/>
  <c r="R852" i="34"/>
  <c r="R851" i="34"/>
  <c r="R850" i="34"/>
  <c r="R849" i="34"/>
  <c r="R848" i="34"/>
  <c r="R847" i="34"/>
  <c r="R846" i="34"/>
  <c r="R845" i="34"/>
  <c r="R844" i="34"/>
  <c r="R843" i="34"/>
  <c r="R842" i="34"/>
  <c r="R841" i="34"/>
  <c r="R840" i="34"/>
  <c r="R839" i="34"/>
  <c r="R838" i="34"/>
  <c r="R837" i="34"/>
  <c r="R836" i="34"/>
  <c r="R835" i="34"/>
  <c r="R834" i="34"/>
  <c r="R833" i="34"/>
  <c r="R832" i="34"/>
  <c r="R831" i="34"/>
  <c r="R830" i="34"/>
  <c r="R829" i="34"/>
  <c r="R828" i="34"/>
  <c r="R827" i="34"/>
  <c r="R826" i="34"/>
  <c r="R825" i="34"/>
  <c r="R824" i="34"/>
  <c r="R823" i="34"/>
  <c r="R822" i="34"/>
  <c r="R821" i="34"/>
  <c r="R820" i="34"/>
  <c r="R819" i="34"/>
  <c r="R818" i="34"/>
  <c r="R817" i="34"/>
  <c r="R816" i="34"/>
  <c r="R815" i="34"/>
  <c r="R814" i="34"/>
  <c r="R813" i="34"/>
  <c r="R812" i="34"/>
  <c r="R811" i="34"/>
  <c r="R810" i="34"/>
  <c r="R809" i="34"/>
  <c r="R808" i="34"/>
  <c r="R807" i="34"/>
  <c r="R806" i="34"/>
  <c r="R805" i="34"/>
  <c r="R804" i="34"/>
  <c r="R803" i="34"/>
  <c r="R802" i="34"/>
  <c r="R801" i="34"/>
  <c r="R800" i="34"/>
  <c r="R799" i="34"/>
  <c r="R798" i="34"/>
  <c r="R797" i="34"/>
  <c r="R796" i="34"/>
  <c r="R795" i="34"/>
  <c r="R794" i="34"/>
  <c r="R793" i="34"/>
  <c r="R792" i="34"/>
  <c r="R791" i="34"/>
  <c r="R790" i="34"/>
  <c r="R789" i="34"/>
  <c r="R788" i="34"/>
  <c r="R787" i="34"/>
  <c r="R786" i="34"/>
  <c r="R785" i="34"/>
  <c r="R784" i="34"/>
  <c r="R783" i="34"/>
  <c r="R782" i="34"/>
  <c r="R781" i="34"/>
  <c r="R780" i="34"/>
  <c r="R779" i="34"/>
  <c r="R778" i="34"/>
  <c r="R777" i="34"/>
  <c r="R776" i="34"/>
  <c r="R775" i="34"/>
  <c r="R774" i="34"/>
  <c r="R773" i="34"/>
  <c r="R772" i="34"/>
  <c r="R771" i="34"/>
  <c r="R770" i="34"/>
  <c r="R769" i="34"/>
  <c r="R768" i="34"/>
  <c r="R767" i="34"/>
  <c r="R766" i="34"/>
  <c r="R765" i="34"/>
  <c r="R764" i="34"/>
  <c r="R763" i="34"/>
  <c r="R762" i="34"/>
  <c r="R761" i="34"/>
  <c r="R760" i="34"/>
  <c r="R759" i="34"/>
  <c r="R758" i="34"/>
  <c r="R757" i="34"/>
  <c r="R756" i="34"/>
  <c r="R755" i="34"/>
  <c r="R754" i="34"/>
  <c r="R753" i="34"/>
  <c r="R752" i="34"/>
  <c r="R751" i="34"/>
  <c r="R750" i="34"/>
  <c r="R749" i="34"/>
  <c r="R748" i="34"/>
  <c r="R747" i="34"/>
  <c r="R746" i="34"/>
  <c r="R745" i="34"/>
  <c r="R744" i="34"/>
  <c r="R743" i="34"/>
  <c r="R742" i="34"/>
  <c r="R741" i="34"/>
  <c r="R740" i="34"/>
  <c r="R739" i="34"/>
  <c r="R738" i="34"/>
  <c r="R737" i="34"/>
  <c r="R736" i="34"/>
  <c r="R735" i="34"/>
  <c r="R734" i="34"/>
  <c r="R733" i="34"/>
  <c r="R732" i="34"/>
  <c r="R731" i="34"/>
  <c r="R730" i="34"/>
  <c r="R729" i="34"/>
  <c r="R728" i="34"/>
  <c r="R727" i="34"/>
  <c r="R726" i="34"/>
  <c r="R725" i="34"/>
  <c r="R724" i="34"/>
  <c r="R723" i="34"/>
  <c r="R722" i="34"/>
  <c r="R721" i="34"/>
  <c r="R720" i="34"/>
  <c r="R719" i="34"/>
  <c r="R718" i="34"/>
  <c r="R717" i="34"/>
  <c r="R716" i="34"/>
  <c r="R715" i="34"/>
  <c r="R714" i="34"/>
  <c r="R713" i="34"/>
  <c r="R712" i="34"/>
  <c r="R711" i="34"/>
  <c r="R710" i="34"/>
  <c r="R709" i="34"/>
  <c r="R708" i="34"/>
  <c r="R707" i="34"/>
  <c r="R706" i="34"/>
  <c r="R705" i="34"/>
  <c r="R704" i="34"/>
  <c r="R703" i="34"/>
  <c r="R702" i="34"/>
  <c r="R701" i="34"/>
  <c r="R700" i="34"/>
  <c r="R699" i="34"/>
  <c r="R698" i="34"/>
  <c r="R697" i="34"/>
  <c r="R696" i="34"/>
  <c r="R695" i="34"/>
  <c r="R694" i="34"/>
  <c r="R693" i="34"/>
  <c r="R692" i="34"/>
  <c r="R691" i="34"/>
  <c r="R690" i="34"/>
  <c r="R689" i="34"/>
  <c r="R688" i="34"/>
  <c r="R687" i="34"/>
  <c r="R686" i="34"/>
  <c r="R685" i="34"/>
  <c r="R684" i="34"/>
  <c r="R683" i="34"/>
  <c r="R682" i="34"/>
  <c r="R681" i="34"/>
  <c r="R680" i="34"/>
  <c r="R679" i="34"/>
  <c r="R678" i="34"/>
  <c r="R677" i="34"/>
  <c r="R676" i="34"/>
  <c r="R675" i="34"/>
  <c r="R674" i="34"/>
  <c r="R673" i="34"/>
  <c r="R672" i="34"/>
  <c r="R671" i="34"/>
  <c r="R670" i="34"/>
  <c r="R669" i="34"/>
  <c r="R668" i="34"/>
  <c r="R667" i="34"/>
  <c r="R666" i="34"/>
  <c r="R665" i="34"/>
  <c r="R664" i="34"/>
  <c r="R663" i="34"/>
  <c r="R662" i="34"/>
  <c r="R661" i="34"/>
  <c r="R660" i="34"/>
  <c r="R659" i="34"/>
  <c r="R658" i="34"/>
  <c r="R657" i="34"/>
  <c r="R656" i="34"/>
  <c r="R655" i="34"/>
  <c r="R654" i="34"/>
  <c r="R653" i="34"/>
  <c r="R652" i="34"/>
  <c r="R651" i="34"/>
  <c r="R650" i="34"/>
  <c r="R649" i="34"/>
  <c r="R648" i="34"/>
  <c r="R647" i="34"/>
  <c r="R646" i="34"/>
  <c r="R645" i="34"/>
  <c r="R644" i="34"/>
  <c r="R643" i="34"/>
  <c r="R642" i="34"/>
  <c r="R641" i="34"/>
  <c r="R640" i="34"/>
  <c r="R639" i="34"/>
  <c r="R638" i="34"/>
  <c r="R637" i="34"/>
  <c r="R636" i="34"/>
  <c r="R635" i="34"/>
  <c r="R634" i="34"/>
  <c r="R633" i="34"/>
  <c r="R632" i="34"/>
  <c r="R631" i="34"/>
  <c r="R630" i="34"/>
  <c r="R629" i="34"/>
  <c r="R628" i="34"/>
  <c r="R627" i="34"/>
  <c r="R626" i="34"/>
  <c r="R625" i="34"/>
  <c r="R624" i="34"/>
  <c r="R623" i="34"/>
  <c r="R622" i="34"/>
  <c r="R621" i="34"/>
  <c r="R620" i="34"/>
  <c r="R619" i="34"/>
  <c r="R618" i="34"/>
  <c r="R617" i="34"/>
  <c r="R616" i="34"/>
  <c r="R615" i="34"/>
  <c r="R614" i="34"/>
  <c r="R613" i="34"/>
  <c r="R612" i="34"/>
  <c r="R611" i="34"/>
  <c r="R610" i="34"/>
  <c r="R609" i="34"/>
  <c r="R608" i="34"/>
  <c r="R607" i="34"/>
  <c r="R606" i="34"/>
  <c r="R605" i="34"/>
  <c r="R604" i="34"/>
  <c r="R603" i="34"/>
  <c r="R602" i="34"/>
  <c r="R601" i="34"/>
  <c r="R600" i="34"/>
  <c r="R599" i="34"/>
  <c r="R598" i="34"/>
  <c r="R597" i="34"/>
  <c r="R596" i="34"/>
  <c r="R595" i="34"/>
  <c r="R594" i="34"/>
  <c r="R593" i="34"/>
  <c r="R592" i="34"/>
  <c r="R591" i="34"/>
  <c r="R590" i="34"/>
  <c r="R589" i="34"/>
  <c r="R588" i="34"/>
  <c r="R587" i="34"/>
  <c r="R586" i="34"/>
  <c r="R585" i="34"/>
  <c r="R584" i="34"/>
  <c r="R583" i="34"/>
  <c r="R582" i="34"/>
  <c r="R581" i="34"/>
  <c r="R580" i="34"/>
  <c r="R579" i="34"/>
  <c r="R578" i="34"/>
  <c r="R577" i="34"/>
  <c r="R576" i="34"/>
  <c r="R575" i="34"/>
  <c r="R574" i="34"/>
  <c r="R573" i="34"/>
  <c r="R572" i="34"/>
  <c r="R571" i="34"/>
  <c r="R570" i="34"/>
  <c r="R569" i="34"/>
  <c r="R568" i="34"/>
  <c r="R567" i="34"/>
  <c r="R566" i="34"/>
  <c r="R565" i="34"/>
  <c r="R564" i="34"/>
  <c r="R563" i="34"/>
  <c r="R562" i="34"/>
  <c r="R561" i="34"/>
  <c r="R560" i="34"/>
  <c r="R559" i="34"/>
  <c r="R558" i="34"/>
  <c r="R557" i="34"/>
  <c r="R556" i="34"/>
  <c r="R555" i="34"/>
  <c r="R554" i="34"/>
  <c r="R553" i="34"/>
  <c r="R552" i="34"/>
  <c r="R551" i="34"/>
  <c r="R550" i="34"/>
  <c r="R549" i="34"/>
  <c r="R548" i="34"/>
  <c r="R547" i="34"/>
  <c r="R546" i="34"/>
  <c r="R545" i="34"/>
  <c r="R544" i="34"/>
  <c r="R543" i="34"/>
  <c r="R542" i="34"/>
  <c r="R541" i="34"/>
  <c r="R540" i="34"/>
  <c r="R539" i="34"/>
  <c r="R538" i="34"/>
  <c r="R537" i="34"/>
  <c r="R536" i="34"/>
  <c r="R535" i="34"/>
  <c r="R534" i="34"/>
  <c r="R533" i="34"/>
  <c r="R532" i="34"/>
  <c r="R531" i="34"/>
  <c r="R530" i="34"/>
  <c r="R529" i="34"/>
  <c r="R528" i="34"/>
  <c r="R527" i="34"/>
  <c r="R526" i="34"/>
  <c r="R525" i="34"/>
  <c r="R524" i="34"/>
  <c r="R523" i="34"/>
  <c r="R522" i="34"/>
  <c r="R521" i="34"/>
  <c r="R520" i="34"/>
  <c r="R519" i="34"/>
  <c r="R518" i="34"/>
  <c r="R517" i="34"/>
  <c r="R516" i="34"/>
  <c r="R515" i="34"/>
  <c r="R514" i="34"/>
  <c r="R513" i="34"/>
  <c r="R512" i="34"/>
  <c r="R511" i="34"/>
  <c r="R510" i="34"/>
  <c r="R509" i="34"/>
  <c r="R508" i="34"/>
  <c r="R507" i="34"/>
  <c r="R506" i="34"/>
  <c r="R505" i="34"/>
  <c r="R504" i="34"/>
  <c r="R503" i="34"/>
  <c r="R502" i="34"/>
  <c r="R501" i="34"/>
  <c r="R500" i="34"/>
  <c r="R499" i="34"/>
  <c r="R498" i="34"/>
  <c r="R497" i="34"/>
  <c r="R496" i="34"/>
  <c r="R495" i="34"/>
  <c r="R494" i="34"/>
  <c r="R493" i="34"/>
  <c r="R492" i="34"/>
  <c r="R491" i="34"/>
  <c r="R490" i="34"/>
  <c r="R489" i="34"/>
  <c r="R488" i="34"/>
  <c r="R487" i="34"/>
  <c r="R486" i="34"/>
  <c r="R485" i="34"/>
  <c r="R484" i="34"/>
  <c r="R483" i="34"/>
  <c r="R482" i="34"/>
  <c r="R481" i="34"/>
  <c r="R480" i="34"/>
  <c r="R479" i="34"/>
  <c r="R478" i="34"/>
  <c r="R477" i="34"/>
  <c r="R476" i="34"/>
  <c r="R475" i="34"/>
  <c r="R474" i="34"/>
  <c r="R473" i="34"/>
  <c r="R472" i="34"/>
  <c r="R471" i="34"/>
  <c r="R470" i="34"/>
  <c r="R469" i="34"/>
  <c r="R468" i="34"/>
  <c r="R467" i="34"/>
  <c r="R466" i="34"/>
  <c r="R465" i="34"/>
  <c r="R464" i="34"/>
  <c r="R463" i="34"/>
  <c r="R462" i="34"/>
  <c r="R461" i="34"/>
  <c r="R460" i="34"/>
  <c r="R459" i="34"/>
  <c r="R458" i="34"/>
  <c r="R457" i="34"/>
  <c r="R456" i="34"/>
  <c r="R455" i="34"/>
  <c r="R454" i="34"/>
  <c r="R453" i="34"/>
  <c r="R452" i="34"/>
  <c r="R451" i="34"/>
  <c r="R450" i="34"/>
  <c r="R449" i="34"/>
  <c r="R448" i="34"/>
  <c r="R447" i="34"/>
  <c r="R446" i="34"/>
  <c r="R445" i="34"/>
  <c r="R444" i="34"/>
  <c r="R443" i="34"/>
  <c r="R442" i="34"/>
  <c r="R441" i="34"/>
  <c r="R440" i="34"/>
  <c r="R439" i="34"/>
  <c r="R438" i="34"/>
  <c r="R437" i="34"/>
  <c r="R436" i="34"/>
  <c r="R435" i="34"/>
  <c r="R434" i="34"/>
  <c r="R433" i="34"/>
  <c r="R432" i="34"/>
  <c r="R431" i="34"/>
  <c r="R430" i="34"/>
  <c r="R429" i="34"/>
  <c r="R428" i="34"/>
  <c r="R427" i="34"/>
  <c r="R426" i="34"/>
  <c r="R425" i="34"/>
  <c r="R424" i="34"/>
  <c r="R423" i="34"/>
  <c r="R422" i="34"/>
  <c r="R421" i="34"/>
  <c r="R420" i="34"/>
  <c r="R419" i="34"/>
  <c r="R418" i="34"/>
  <c r="R417" i="34"/>
  <c r="R416" i="34"/>
  <c r="R415" i="34"/>
  <c r="R414" i="34"/>
  <c r="R413" i="34"/>
  <c r="R412" i="34"/>
  <c r="R411" i="34"/>
  <c r="R410" i="34"/>
  <c r="R409" i="34"/>
  <c r="R408" i="34"/>
  <c r="R407" i="34"/>
  <c r="R406" i="34"/>
  <c r="R405" i="34"/>
  <c r="R404" i="34"/>
  <c r="R403" i="34"/>
  <c r="R402" i="34"/>
  <c r="R401" i="34"/>
  <c r="R400" i="34"/>
  <c r="R399" i="34"/>
  <c r="R398" i="34"/>
  <c r="R397" i="34"/>
  <c r="R396" i="34"/>
  <c r="R395" i="34"/>
  <c r="R394" i="34"/>
  <c r="R393" i="34"/>
  <c r="R392" i="34"/>
  <c r="R391" i="34"/>
  <c r="R390" i="34"/>
  <c r="R389" i="34"/>
  <c r="R388" i="34"/>
  <c r="R387" i="34"/>
  <c r="R386" i="34"/>
  <c r="R385" i="34"/>
  <c r="R384" i="34"/>
  <c r="R383" i="34"/>
  <c r="R382" i="34"/>
  <c r="R381" i="34"/>
  <c r="R380" i="34"/>
  <c r="R379" i="34"/>
  <c r="R378" i="34"/>
  <c r="R377" i="34"/>
  <c r="R376" i="34"/>
  <c r="R375" i="34"/>
  <c r="R374" i="34"/>
  <c r="R373" i="34"/>
  <c r="R372" i="34"/>
  <c r="R371" i="34"/>
  <c r="R370" i="34"/>
  <c r="R369" i="34"/>
  <c r="R368" i="34"/>
  <c r="R367" i="34"/>
  <c r="R366" i="34"/>
  <c r="R365" i="34"/>
  <c r="R364" i="34"/>
  <c r="R363" i="34"/>
  <c r="R362" i="34"/>
  <c r="R361" i="34"/>
  <c r="R360" i="34"/>
  <c r="R359" i="34"/>
  <c r="R358" i="34"/>
  <c r="R357" i="34"/>
  <c r="R356" i="34"/>
  <c r="R355" i="34"/>
  <c r="R354" i="34"/>
  <c r="R353" i="34"/>
  <c r="R352" i="34"/>
  <c r="R351" i="34"/>
  <c r="R350" i="34"/>
  <c r="R349" i="34"/>
  <c r="R348" i="34"/>
  <c r="R347" i="34"/>
  <c r="R346" i="34"/>
  <c r="R345" i="34"/>
  <c r="R344" i="34"/>
  <c r="R343" i="34"/>
  <c r="R342" i="34"/>
  <c r="R341" i="34"/>
  <c r="R340" i="34"/>
  <c r="R339" i="34"/>
  <c r="R338" i="34"/>
  <c r="R337" i="34"/>
  <c r="R336" i="34"/>
  <c r="R335" i="34"/>
  <c r="R334" i="34"/>
  <c r="R333" i="34"/>
  <c r="R332" i="34"/>
  <c r="R331" i="34"/>
  <c r="R330" i="34"/>
  <c r="R329" i="34"/>
  <c r="R328" i="34"/>
  <c r="R327" i="34"/>
  <c r="R326" i="34"/>
  <c r="R325" i="34"/>
  <c r="R324" i="34"/>
  <c r="R323" i="34"/>
  <c r="R322" i="34"/>
  <c r="R321" i="34"/>
  <c r="R320" i="34"/>
  <c r="R319" i="34"/>
  <c r="R318" i="34"/>
  <c r="R317" i="34"/>
  <c r="R316" i="34"/>
  <c r="R315" i="34"/>
  <c r="R314" i="34"/>
  <c r="R313" i="34"/>
  <c r="R312" i="34"/>
  <c r="R311" i="34"/>
  <c r="R310" i="34"/>
  <c r="R309" i="34"/>
  <c r="R308" i="34"/>
  <c r="R307" i="34"/>
  <c r="R306" i="34"/>
  <c r="R305" i="34"/>
  <c r="R304" i="34"/>
  <c r="R303" i="34"/>
  <c r="R302" i="34"/>
  <c r="R301" i="34"/>
  <c r="R300" i="34"/>
  <c r="R299" i="34"/>
  <c r="R298" i="34"/>
  <c r="R297" i="34"/>
  <c r="R296" i="34"/>
  <c r="R295" i="34"/>
  <c r="R294" i="34"/>
  <c r="R293" i="34"/>
  <c r="R292" i="34"/>
  <c r="R291" i="34"/>
  <c r="R290" i="34"/>
  <c r="R289" i="34"/>
  <c r="R288" i="34"/>
  <c r="R287" i="34"/>
  <c r="R286" i="34"/>
  <c r="R285" i="34"/>
  <c r="R284" i="34"/>
  <c r="R283" i="34"/>
  <c r="R282" i="34"/>
  <c r="R281" i="34"/>
  <c r="R280" i="34"/>
  <c r="R279" i="34"/>
  <c r="R278" i="34"/>
  <c r="R277" i="34"/>
  <c r="R276" i="34"/>
  <c r="R275" i="34"/>
  <c r="R274" i="34"/>
  <c r="R273" i="34"/>
  <c r="R272" i="34"/>
  <c r="R271" i="34"/>
  <c r="R270" i="34"/>
  <c r="R269" i="34"/>
  <c r="R268" i="34"/>
  <c r="R267" i="34"/>
  <c r="R266" i="34"/>
  <c r="R265" i="34"/>
  <c r="R264" i="34"/>
  <c r="R263" i="34"/>
  <c r="R262" i="34"/>
  <c r="R261" i="34"/>
  <c r="R260" i="34"/>
  <c r="R259" i="34"/>
  <c r="R258" i="34"/>
  <c r="R257" i="34"/>
  <c r="R256" i="34"/>
  <c r="R255" i="34"/>
  <c r="R254" i="34"/>
  <c r="R253" i="34"/>
  <c r="R252" i="34"/>
  <c r="R251" i="34"/>
  <c r="R250" i="34"/>
  <c r="R249" i="34"/>
  <c r="R248" i="34"/>
  <c r="R247" i="34"/>
  <c r="R246" i="34"/>
  <c r="R245" i="34"/>
  <c r="R244" i="34"/>
  <c r="R243" i="34"/>
  <c r="R242" i="34"/>
  <c r="R241" i="34"/>
  <c r="R240" i="34"/>
  <c r="R239" i="34"/>
  <c r="R238" i="34"/>
  <c r="R237" i="34"/>
  <c r="R236" i="34"/>
  <c r="R235" i="34"/>
  <c r="R234" i="34"/>
  <c r="R233" i="34"/>
  <c r="R232" i="34"/>
  <c r="R231" i="34"/>
  <c r="R230" i="34"/>
  <c r="R229" i="34"/>
  <c r="R228" i="34"/>
  <c r="R227" i="34"/>
  <c r="R226" i="34"/>
  <c r="R225" i="34"/>
  <c r="R224" i="34"/>
  <c r="R223" i="34"/>
  <c r="R222" i="34"/>
  <c r="R221" i="34"/>
  <c r="R220" i="34"/>
  <c r="R219" i="34"/>
  <c r="R218" i="34"/>
  <c r="R217" i="34"/>
  <c r="R216" i="34"/>
  <c r="R215" i="34"/>
  <c r="R214" i="34"/>
  <c r="R213" i="34"/>
  <c r="R212" i="34"/>
  <c r="R211" i="34"/>
  <c r="R210" i="34"/>
  <c r="R209" i="34"/>
  <c r="R208" i="34"/>
  <c r="R207" i="34"/>
  <c r="R206" i="34"/>
  <c r="R205" i="34"/>
  <c r="R204" i="34"/>
  <c r="R203" i="34"/>
  <c r="R202" i="34"/>
  <c r="R201" i="34"/>
  <c r="R200" i="34"/>
  <c r="R199" i="34"/>
  <c r="R198" i="34"/>
  <c r="R197" i="34"/>
  <c r="R196" i="34"/>
  <c r="R195" i="34"/>
  <c r="R194" i="34"/>
  <c r="R193" i="34"/>
  <c r="R192" i="34"/>
  <c r="R191" i="34"/>
  <c r="R190" i="34"/>
  <c r="R189" i="34"/>
  <c r="R188" i="34"/>
  <c r="R187" i="34"/>
  <c r="R186" i="34"/>
  <c r="R185" i="34"/>
  <c r="R184" i="34"/>
  <c r="R183" i="34"/>
  <c r="R182" i="34"/>
  <c r="R181" i="34"/>
  <c r="R180" i="34"/>
  <c r="R179" i="34"/>
  <c r="R178" i="34"/>
  <c r="R177" i="34"/>
  <c r="R176" i="34"/>
  <c r="R175" i="34"/>
  <c r="R174" i="34"/>
  <c r="R173" i="34"/>
  <c r="R172" i="34"/>
  <c r="R171" i="34"/>
  <c r="R170" i="34"/>
  <c r="R169" i="34"/>
  <c r="R168" i="34"/>
  <c r="R167" i="34"/>
  <c r="R166" i="34"/>
  <c r="R165" i="34"/>
  <c r="R164" i="34"/>
  <c r="R163" i="34"/>
  <c r="R162" i="34"/>
  <c r="R161" i="34"/>
  <c r="R160" i="34"/>
  <c r="R159" i="34"/>
  <c r="R158" i="34"/>
  <c r="R157" i="34"/>
  <c r="R156" i="34"/>
  <c r="R155" i="34"/>
  <c r="R154" i="34"/>
  <c r="R153" i="34"/>
  <c r="R152" i="34"/>
  <c r="R151" i="34"/>
  <c r="R150" i="34"/>
  <c r="R149" i="34"/>
  <c r="R148" i="34"/>
  <c r="R147" i="34"/>
  <c r="R146" i="34"/>
  <c r="R145" i="34"/>
  <c r="R144" i="34"/>
  <c r="R143" i="34"/>
  <c r="R142" i="34"/>
  <c r="R141" i="34"/>
  <c r="R140" i="34"/>
  <c r="R139" i="34"/>
  <c r="R138" i="34"/>
  <c r="R137" i="34"/>
  <c r="R136" i="34"/>
  <c r="R135" i="34"/>
  <c r="R134" i="34"/>
  <c r="R133" i="34"/>
  <c r="R132" i="34"/>
  <c r="R131" i="34"/>
  <c r="R130" i="34"/>
  <c r="R129" i="34"/>
  <c r="R128" i="34"/>
  <c r="R127" i="34"/>
  <c r="R126" i="34"/>
  <c r="R125" i="34"/>
  <c r="R124" i="34"/>
  <c r="R123" i="34"/>
  <c r="R122" i="34"/>
  <c r="R121" i="34"/>
  <c r="R120" i="34"/>
  <c r="R119" i="34"/>
  <c r="R118" i="34"/>
  <c r="R117" i="34"/>
  <c r="R116" i="34"/>
  <c r="R115" i="34"/>
  <c r="R114" i="34"/>
  <c r="R113" i="34"/>
  <c r="R112" i="34"/>
  <c r="R111" i="34"/>
  <c r="R110" i="34"/>
  <c r="R109" i="34"/>
  <c r="R108" i="34"/>
  <c r="R107" i="34"/>
  <c r="R106" i="34"/>
  <c r="R105" i="34"/>
  <c r="R104" i="34"/>
  <c r="R103" i="34"/>
  <c r="R102" i="34"/>
  <c r="R101" i="34"/>
  <c r="R100" i="34"/>
  <c r="R99" i="34"/>
  <c r="R98" i="34"/>
  <c r="R97" i="34"/>
  <c r="R96" i="34"/>
  <c r="R95" i="34"/>
  <c r="R94" i="34"/>
  <c r="R93" i="34"/>
  <c r="R92" i="34"/>
  <c r="R91" i="34"/>
  <c r="R90" i="34"/>
  <c r="R89" i="34"/>
  <c r="R88" i="34"/>
  <c r="R87" i="34"/>
  <c r="R86" i="34"/>
  <c r="R85" i="34"/>
  <c r="R84" i="34"/>
  <c r="R83" i="34"/>
  <c r="R82" i="34"/>
  <c r="R81" i="34"/>
  <c r="R80" i="34"/>
  <c r="R79" i="34"/>
  <c r="R78" i="34"/>
  <c r="R77" i="34"/>
  <c r="R76" i="34"/>
  <c r="R75" i="34"/>
  <c r="R74" i="34"/>
  <c r="R73" i="34"/>
  <c r="R72" i="34"/>
  <c r="R71" i="34"/>
  <c r="R70" i="34"/>
  <c r="R69" i="34"/>
  <c r="R68" i="34"/>
  <c r="R67" i="34"/>
  <c r="R66" i="34"/>
  <c r="R65" i="34"/>
  <c r="R64" i="34"/>
  <c r="R63" i="34"/>
  <c r="R62" i="34"/>
  <c r="R61" i="34"/>
  <c r="R60" i="34"/>
  <c r="R59" i="34"/>
  <c r="R58" i="34"/>
  <c r="R57" i="34"/>
  <c r="R56" i="34"/>
  <c r="R55" i="34"/>
  <c r="R54" i="34"/>
  <c r="R53" i="34"/>
  <c r="R52" i="34"/>
  <c r="R51" i="34"/>
  <c r="R50" i="34"/>
  <c r="R49" i="34"/>
  <c r="R48" i="34"/>
  <c r="R47" i="34"/>
  <c r="R46" i="34"/>
  <c r="R45" i="34"/>
  <c r="R44" i="34"/>
  <c r="R43" i="34"/>
  <c r="R42" i="34"/>
  <c r="R41" i="34"/>
  <c r="R40" i="34"/>
  <c r="R39" i="34"/>
  <c r="R38" i="34"/>
  <c r="R37" i="34"/>
  <c r="R36" i="34"/>
  <c r="R35" i="34"/>
  <c r="R34" i="34"/>
  <c r="R33" i="34"/>
  <c r="R32" i="34"/>
  <c r="R31" i="34"/>
  <c r="R30" i="34"/>
  <c r="R29" i="34"/>
  <c r="R28" i="34"/>
  <c r="R27" i="34"/>
  <c r="R26" i="34"/>
  <c r="R25" i="34"/>
  <c r="R24" i="34"/>
  <c r="R23" i="34"/>
  <c r="R22" i="34"/>
  <c r="R21" i="34"/>
  <c r="R20" i="34"/>
  <c r="R19" i="34"/>
  <c r="R18" i="34"/>
  <c r="R17" i="34"/>
  <c r="R16" i="34"/>
  <c r="R15" i="34"/>
  <c r="R14" i="34"/>
  <c r="R13" i="34"/>
  <c r="R12" i="34"/>
  <c r="R11" i="34"/>
  <c r="R10" i="34"/>
  <c r="R9" i="34"/>
  <c r="R8" i="34"/>
  <c r="R7" i="34"/>
  <c r="R6" i="34"/>
  <c r="N909" i="33"/>
  <c r="P906" i="33"/>
  <c r="K906" i="33"/>
  <c r="P905" i="33"/>
  <c r="K905" i="33"/>
  <c r="T904" i="33"/>
  <c r="P904" i="33"/>
  <c r="K904" i="33"/>
  <c r="P903" i="33"/>
  <c r="K903" i="33"/>
  <c r="P902" i="33"/>
  <c r="K902" i="33"/>
  <c r="P901" i="33"/>
  <c r="K901" i="33"/>
  <c r="P900" i="33"/>
  <c r="K900" i="33"/>
  <c r="P899" i="33"/>
  <c r="K899" i="33"/>
  <c r="P898" i="33"/>
  <c r="K898" i="33"/>
  <c r="T897" i="33"/>
  <c r="P897" i="33"/>
  <c r="K897" i="33"/>
  <c r="P896" i="33"/>
  <c r="K896" i="33"/>
  <c r="P895" i="33"/>
  <c r="K895" i="33"/>
  <c r="P894" i="33"/>
  <c r="K894" i="33"/>
  <c r="T893" i="33"/>
  <c r="P893" i="33"/>
  <c r="K893" i="33"/>
  <c r="P892" i="33"/>
  <c r="K892" i="33"/>
  <c r="P891" i="33"/>
  <c r="K891" i="33"/>
  <c r="T890" i="33"/>
  <c r="P890" i="33"/>
  <c r="K890" i="33"/>
  <c r="P889" i="33"/>
  <c r="K889" i="33"/>
  <c r="P888" i="33"/>
  <c r="K888" i="33"/>
  <c r="P887" i="33"/>
  <c r="K887" i="33"/>
  <c r="P886" i="33"/>
  <c r="K886" i="33"/>
  <c r="P885" i="33"/>
  <c r="K885" i="33"/>
  <c r="T884" i="33"/>
  <c r="P884" i="33"/>
  <c r="K884" i="33"/>
  <c r="P883" i="33"/>
  <c r="K883" i="33"/>
  <c r="P882" i="33"/>
  <c r="K882" i="33"/>
  <c r="T881" i="33"/>
  <c r="P881" i="33"/>
  <c r="K881" i="33"/>
  <c r="T880" i="33"/>
  <c r="P880" i="33"/>
  <c r="K880" i="33"/>
  <c r="P879" i="33"/>
  <c r="K879" i="33"/>
  <c r="P878" i="33"/>
  <c r="K878" i="33"/>
  <c r="P877" i="33"/>
  <c r="K877" i="33"/>
  <c r="P876" i="33"/>
  <c r="K876" i="33"/>
  <c r="P875" i="33"/>
  <c r="K875" i="33"/>
  <c r="P874" i="33"/>
  <c r="K874" i="33"/>
  <c r="P873" i="33"/>
  <c r="K873" i="33"/>
  <c r="P872" i="33"/>
  <c r="K872" i="33"/>
  <c r="T871" i="33"/>
  <c r="P871" i="33"/>
  <c r="K871" i="33"/>
  <c r="P870" i="33"/>
  <c r="K870" i="33"/>
  <c r="P869" i="33"/>
  <c r="K869" i="33"/>
  <c r="P868" i="33"/>
  <c r="K868" i="33"/>
  <c r="P867" i="33"/>
  <c r="K867" i="33"/>
  <c r="P866" i="33"/>
  <c r="K866" i="33"/>
  <c r="P865" i="33"/>
  <c r="K865" i="33"/>
  <c r="P864" i="33"/>
  <c r="K864" i="33"/>
  <c r="T863" i="33"/>
  <c r="P863" i="33"/>
  <c r="K863" i="33"/>
  <c r="P862" i="33"/>
  <c r="K862" i="33"/>
  <c r="P861" i="33"/>
  <c r="K861" i="33"/>
  <c r="P860" i="33"/>
  <c r="K860" i="33"/>
  <c r="P859" i="33"/>
  <c r="K859" i="33"/>
  <c r="T858" i="33"/>
  <c r="P858" i="33"/>
  <c r="K858" i="33"/>
  <c r="P857" i="33"/>
  <c r="K857" i="33"/>
  <c r="P856" i="33"/>
  <c r="K856" i="33"/>
  <c r="P855" i="33"/>
  <c r="K855" i="33"/>
  <c r="P854" i="33"/>
  <c r="K854" i="33"/>
  <c r="T853" i="33"/>
  <c r="P853" i="33"/>
  <c r="K853" i="33"/>
  <c r="T852" i="33"/>
  <c r="P852" i="33"/>
  <c r="K852" i="33"/>
  <c r="P851" i="33"/>
  <c r="K851" i="33"/>
  <c r="P850" i="33"/>
  <c r="K850" i="33"/>
  <c r="P849" i="33"/>
  <c r="K849" i="33"/>
  <c r="P848" i="33"/>
  <c r="K848" i="33"/>
  <c r="P847" i="33"/>
  <c r="K847" i="33"/>
  <c r="P846" i="33"/>
  <c r="K846" i="33"/>
  <c r="T845" i="33"/>
  <c r="P845" i="33"/>
  <c r="K845" i="33"/>
  <c r="P844" i="33"/>
  <c r="K844" i="33"/>
  <c r="P843" i="33"/>
  <c r="K843" i="33"/>
  <c r="P842" i="33"/>
  <c r="K842" i="33"/>
  <c r="P841" i="33"/>
  <c r="K841" i="33"/>
  <c r="T840" i="33"/>
  <c r="P840" i="33"/>
  <c r="K840" i="33"/>
  <c r="P839" i="33"/>
  <c r="K839" i="33"/>
  <c r="T838" i="33"/>
  <c r="P838" i="33"/>
  <c r="K838" i="33"/>
  <c r="T837" i="33"/>
  <c r="P837" i="33"/>
  <c r="K837" i="33"/>
  <c r="P836" i="33"/>
  <c r="K836" i="33"/>
  <c r="P835" i="33"/>
  <c r="K835" i="33"/>
  <c r="T834" i="33"/>
  <c r="P834" i="33"/>
  <c r="K834" i="33"/>
  <c r="P833" i="33"/>
  <c r="K833" i="33"/>
  <c r="P832" i="33"/>
  <c r="K832" i="33"/>
  <c r="P831" i="33"/>
  <c r="K831" i="33"/>
  <c r="P830" i="33"/>
  <c r="K830" i="33"/>
  <c r="P829" i="33"/>
  <c r="K829" i="33"/>
  <c r="P828" i="33"/>
  <c r="K828" i="33"/>
  <c r="T827" i="33"/>
  <c r="P827" i="33"/>
  <c r="K827" i="33"/>
  <c r="T826" i="33"/>
  <c r="P826" i="33"/>
  <c r="K826" i="33"/>
  <c r="P825" i="33"/>
  <c r="K825" i="33"/>
  <c r="T824" i="33"/>
  <c r="P824" i="33"/>
  <c r="K824" i="33"/>
  <c r="T823" i="33"/>
  <c r="P823" i="33"/>
  <c r="K823" i="33"/>
  <c r="P822" i="33"/>
  <c r="K822" i="33"/>
  <c r="P821" i="33"/>
  <c r="K821" i="33"/>
  <c r="T820" i="33"/>
  <c r="P820" i="33"/>
  <c r="K820" i="33"/>
  <c r="T819" i="33"/>
  <c r="P819" i="33"/>
  <c r="K819" i="33"/>
  <c r="P818" i="33"/>
  <c r="K818" i="33"/>
  <c r="P817" i="33"/>
  <c r="K817" i="33"/>
  <c r="P816" i="33"/>
  <c r="K816" i="33"/>
  <c r="T815" i="33"/>
  <c r="P815" i="33"/>
  <c r="K815" i="33"/>
  <c r="P814" i="33"/>
  <c r="K814" i="33"/>
  <c r="P813" i="33"/>
  <c r="K813" i="33"/>
  <c r="T812" i="33"/>
  <c r="P812" i="33"/>
  <c r="K812" i="33"/>
  <c r="P811" i="33"/>
  <c r="K811" i="33"/>
  <c r="P810" i="33"/>
  <c r="K810" i="33"/>
  <c r="P809" i="33"/>
  <c r="K809" i="33"/>
  <c r="T808" i="33"/>
  <c r="P808" i="33"/>
  <c r="K808" i="33"/>
  <c r="P807" i="33"/>
  <c r="K807" i="33"/>
  <c r="P806" i="33"/>
  <c r="K806" i="33"/>
  <c r="T805" i="33"/>
  <c r="P805" i="33"/>
  <c r="K805" i="33"/>
  <c r="P804" i="33"/>
  <c r="K804" i="33"/>
  <c r="P803" i="33"/>
  <c r="K803" i="33"/>
  <c r="P802" i="33"/>
  <c r="K802" i="33"/>
  <c r="P801" i="33"/>
  <c r="K801" i="33"/>
  <c r="P800" i="33"/>
  <c r="K800" i="33"/>
  <c r="T799" i="33"/>
  <c r="P799" i="33"/>
  <c r="K799" i="33"/>
  <c r="P798" i="33"/>
  <c r="K798" i="33"/>
  <c r="P797" i="33"/>
  <c r="K797" i="33"/>
  <c r="T796" i="33"/>
  <c r="P796" i="33"/>
  <c r="K796" i="33"/>
  <c r="T795" i="33"/>
  <c r="P795" i="33"/>
  <c r="K795" i="33"/>
  <c r="P794" i="33"/>
  <c r="K794" i="33"/>
  <c r="P793" i="33"/>
  <c r="K793" i="33"/>
  <c r="T792" i="33"/>
  <c r="S792" i="33"/>
  <c r="O792" i="33"/>
  <c r="P792" i="33" s="1"/>
  <c r="K792" i="33"/>
  <c r="J792" i="33"/>
  <c r="P791" i="33"/>
  <c r="K791" i="33"/>
  <c r="P790" i="33"/>
  <c r="K790" i="33"/>
  <c r="P789" i="33"/>
  <c r="K789" i="33"/>
  <c r="T788" i="33"/>
  <c r="P788" i="33"/>
  <c r="K788" i="33"/>
  <c r="P787" i="33"/>
  <c r="K787" i="33"/>
  <c r="T786" i="33"/>
  <c r="P786" i="33"/>
  <c r="K786" i="33"/>
  <c r="P785" i="33"/>
  <c r="K785" i="33"/>
  <c r="P784" i="33"/>
  <c r="K784" i="33"/>
  <c r="T783" i="33"/>
  <c r="P783" i="33"/>
  <c r="K783" i="33"/>
  <c r="T782" i="33"/>
  <c r="P782" i="33"/>
  <c r="K782" i="33"/>
  <c r="P781" i="33"/>
  <c r="K781" i="33"/>
  <c r="P780" i="33"/>
  <c r="K780" i="33"/>
  <c r="T779" i="33"/>
  <c r="S779" i="33"/>
  <c r="R779" i="33"/>
  <c r="R909" i="33" s="1"/>
  <c r="O779" i="33"/>
  <c r="M779" i="33"/>
  <c r="P779" i="33" s="1"/>
  <c r="I779" i="33"/>
  <c r="I909" i="33" s="1"/>
  <c r="G779" i="33"/>
  <c r="E779" i="33"/>
  <c r="E909" i="33" s="1"/>
  <c r="C779" i="33"/>
  <c r="P778" i="33"/>
  <c r="K778" i="33"/>
  <c r="T777" i="33"/>
  <c r="P777" i="33"/>
  <c r="K777" i="33"/>
  <c r="P776" i="33"/>
  <c r="K776" i="33"/>
  <c r="T775" i="33"/>
  <c r="P775" i="33"/>
  <c r="K775" i="33"/>
  <c r="P774" i="33"/>
  <c r="K774" i="33"/>
  <c r="P773" i="33"/>
  <c r="K773" i="33"/>
  <c r="T772" i="33"/>
  <c r="P772" i="33"/>
  <c r="K772" i="33"/>
  <c r="P771" i="33"/>
  <c r="K771" i="33"/>
  <c r="T770" i="33"/>
  <c r="P770" i="33"/>
  <c r="K770" i="33"/>
  <c r="P769" i="33"/>
  <c r="K769" i="33"/>
  <c r="T768" i="33"/>
  <c r="P768" i="33"/>
  <c r="K768" i="33"/>
  <c r="P767" i="33"/>
  <c r="K767" i="33"/>
  <c r="P766" i="33"/>
  <c r="K766" i="33"/>
  <c r="T765" i="33"/>
  <c r="P765" i="33"/>
  <c r="K765" i="33"/>
  <c r="P764" i="33"/>
  <c r="K764" i="33"/>
  <c r="P763" i="33"/>
  <c r="K763" i="33"/>
  <c r="P762" i="33"/>
  <c r="K762" i="33"/>
  <c r="P761" i="33"/>
  <c r="K761" i="33"/>
  <c r="P760" i="33"/>
  <c r="K760" i="33"/>
  <c r="T759" i="33"/>
  <c r="P759" i="33"/>
  <c r="K759" i="33"/>
  <c r="P758" i="33"/>
  <c r="K758" i="33"/>
  <c r="P757" i="33"/>
  <c r="K757" i="33"/>
  <c r="T756" i="33"/>
  <c r="P756" i="33"/>
  <c r="K756" i="33"/>
  <c r="P755" i="33"/>
  <c r="K755" i="33"/>
  <c r="P754" i="33"/>
  <c r="K754" i="33"/>
  <c r="T753" i="33"/>
  <c r="P753" i="33"/>
  <c r="K753" i="33"/>
  <c r="T752" i="33"/>
  <c r="P752" i="33"/>
  <c r="K752" i="33"/>
  <c r="P751" i="33"/>
  <c r="K751" i="33"/>
  <c r="P750" i="33"/>
  <c r="K750" i="33"/>
  <c r="P749" i="33"/>
  <c r="K749" i="33"/>
  <c r="P748" i="33"/>
  <c r="K748" i="33"/>
  <c r="P747" i="33"/>
  <c r="K747" i="33"/>
  <c r="T746" i="33"/>
  <c r="P746" i="33"/>
  <c r="K746" i="33"/>
  <c r="P745" i="33"/>
  <c r="K745" i="33"/>
  <c r="P744" i="33"/>
  <c r="K744" i="33"/>
  <c r="P743" i="33"/>
  <c r="K743" i="33"/>
  <c r="P742" i="33"/>
  <c r="K742" i="33"/>
  <c r="P741" i="33"/>
  <c r="K741" i="33"/>
  <c r="P740" i="33"/>
  <c r="K740" i="33"/>
  <c r="T739" i="33"/>
  <c r="P739" i="33"/>
  <c r="K739" i="33"/>
  <c r="P738" i="33"/>
  <c r="K738" i="33"/>
  <c r="P737" i="33"/>
  <c r="K737" i="33"/>
  <c r="T736" i="33"/>
  <c r="P736" i="33"/>
  <c r="K736" i="33"/>
  <c r="P735" i="33"/>
  <c r="K735" i="33"/>
  <c r="P734" i="33"/>
  <c r="K734" i="33"/>
  <c r="T733" i="33"/>
  <c r="P733" i="33"/>
  <c r="K733" i="33"/>
  <c r="P732" i="33"/>
  <c r="K732" i="33"/>
  <c r="P731" i="33"/>
  <c r="K731" i="33"/>
  <c r="P730" i="33"/>
  <c r="K730" i="33"/>
  <c r="T729" i="33"/>
  <c r="P729" i="33"/>
  <c r="K729" i="33"/>
  <c r="T728" i="33"/>
  <c r="P728" i="33"/>
  <c r="K728" i="33"/>
  <c r="P727" i="33"/>
  <c r="K727" i="33"/>
  <c r="P726" i="33"/>
  <c r="K726" i="33"/>
  <c r="P725" i="33"/>
  <c r="K725" i="33"/>
  <c r="P724" i="33"/>
  <c r="K724" i="33"/>
  <c r="P723" i="33"/>
  <c r="K723" i="33"/>
  <c r="T722" i="33"/>
  <c r="P722" i="33"/>
  <c r="K722" i="33"/>
  <c r="T721" i="33"/>
  <c r="P721" i="33"/>
  <c r="K721" i="33"/>
  <c r="P720" i="33"/>
  <c r="K720" i="33"/>
  <c r="P719" i="33"/>
  <c r="K719" i="33"/>
  <c r="T718" i="33"/>
  <c r="P718" i="33"/>
  <c r="K718" i="33"/>
  <c r="T717" i="33"/>
  <c r="P717" i="33"/>
  <c r="K717" i="33"/>
  <c r="T716" i="33"/>
  <c r="P716" i="33"/>
  <c r="K716" i="33"/>
  <c r="T715" i="33"/>
  <c r="P715" i="33"/>
  <c r="K715" i="33"/>
  <c r="P714" i="33"/>
  <c r="K714" i="33"/>
  <c r="P713" i="33"/>
  <c r="K713" i="33"/>
  <c r="P712" i="33"/>
  <c r="K712" i="33"/>
  <c r="P711" i="33"/>
  <c r="K711" i="33"/>
  <c r="P710" i="33"/>
  <c r="K710" i="33"/>
  <c r="P709" i="33"/>
  <c r="K709" i="33"/>
  <c r="P708" i="33"/>
  <c r="K708" i="33"/>
  <c r="T707" i="33"/>
  <c r="P707" i="33"/>
  <c r="K707" i="33"/>
  <c r="P706" i="33"/>
  <c r="K706" i="33"/>
  <c r="T705" i="33"/>
  <c r="P705" i="33"/>
  <c r="K705" i="33"/>
  <c r="P704" i="33"/>
  <c r="K704" i="33"/>
  <c r="P703" i="33"/>
  <c r="K703" i="33"/>
  <c r="P702" i="33"/>
  <c r="K702" i="33"/>
  <c r="P701" i="33"/>
  <c r="K701" i="33"/>
  <c r="P700" i="33"/>
  <c r="K700" i="33"/>
  <c r="P699" i="33"/>
  <c r="K699" i="33"/>
  <c r="P698" i="33"/>
  <c r="K698" i="33"/>
  <c r="P697" i="33"/>
  <c r="K697" i="33"/>
  <c r="T696" i="33"/>
  <c r="P696" i="33"/>
  <c r="K696" i="33"/>
  <c r="P695" i="33"/>
  <c r="K695" i="33"/>
  <c r="P694" i="33"/>
  <c r="K694" i="33"/>
  <c r="P693" i="33"/>
  <c r="K693" i="33"/>
  <c r="P692" i="33"/>
  <c r="K692" i="33"/>
  <c r="P691" i="33"/>
  <c r="K691" i="33"/>
  <c r="P690" i="33"/>
  <c r="K690" i="33"/>
  <c r="P689" i="33"/>
  <c r="K689" i="33"/>
  <c r="P688" i="33"/>
  <c r="K688" i="33"/>
  <c r="T687" i="33"/>
  <c r="P687" i="33"/>
  <c r="K687" i="33"/>
  <c r="P686" i="33"/>
  <c r="K686" i="33"/>
  <c r="P685" i="33"/>
  <c r="K685" i="33"/>
  <c r="P684" i="33"/>
  <c r="K684" i="33"/>
  <c r="T683" i="33"/>
  <c r="P683" i="33"/>
  <c r="K683" i="33"/>
  <c r="P682" i="33"/>
  <c r="K682" i="33"/>
  <c r="P681" i="33"/>
  <c r="K681" i="33"/>
  <c r="P680" i="33"/>
  <c r="K680" i="33"/>
  <c r="T679" i="33"/>
  <c r="P679" i="33"/>
  <c r="K679" i="33"/>
  <c r="P678" i="33"/>
  <c r="K678" i="33"/>
  <c r="P677" i="33"/>
  <c r="K677" i="33"/>
  <c r="P676" i="33"/>
  <c r="K676" i="33"/>
  <c r="P675" i="33"/>
  <c r="K675" i="33"/>
  <c r="P674" i="33"/>
  <c r="K674" i="33"/>
  <c r="P673" i="33"/>
  <c r="K673" i="33"/>
  <c r="P672" i="33"/>
  <c r="K672" i="33"/>
  <c r="P671" i="33"/>
  <c r="K671" i="33"/>
  <c r="P670" i="33"/>
  <c r="K670" i="33"/>
  <c r="P669" i="33"/>
  <c r="K669" i="33"/>
  <c r="P668" i="33"/>
  <c r="K668" i="33"/>
  <c r="P667" i="33"/>
  <c r="K667" i="33"/>
  <c r="P666" i="33"/>
  <c r="K666" i="33"/>
  <c r="P665" i="33"/>
  <c r="K665" i="33"/>
  <c r="P664" i="33"/>
  <c r="K664" i="33"/>
  <c r="P663" i="33"/>
  <c r="K663" i="33"/>
  <c r="P662" i="33"/>
  <c r="K662" i="33"/>
  <c r="P661" i="33"/>
  <c r="K661" i="33"/>
  <c r="T660" i="33"/>
  <c r="P660" i="33"/>
  <c r="K660" i="33"/>
  <c r="T659" i="33"/>
  <c r="P659" i="33"/>
  <c r="K659" i="33"/>
  <c r="P658" i="33"/>
  <c r="K658" i="33"/>
  <c r="P657" i="33"/>
  <c r="K657" i="33"/>
  <c r="T656" i="33"/>
  <c r="P656" i="33"/>
  <c r="K656" i="33"/>
  <c r="P655" i="33"/>
  <c r="K655" i="33"/>
  <c r="P654" i="33"/>
  <c r="K654" i="33"/>
  <c r="P653" i="33"/>
  <c r="K653" i="33"/>
  <c r="P652" i="33"/>
  <c r="K652" i="33"/>
  <c r="P651" i="33"/>
  <c r="K651" i="33"/>
  <c r="T650" i="33"/>
  <c r="P650" i="33"/>
  <c r="K650" i="33"/>
  <c r="P649" i="33"/>
  <c r="K649" i="33"/>
  <c r="P648" i="33"/>
  <c r="K648" i="33"/>
  <c r="P647" i="33"/>
  <c r="K647" i="33"/>
  <c r="P646" i="33"/>
  <c r="K646" i="33"/>
  <c r="P645" i="33"/>
  <c r="K645" i="33"/>
  <c r="P644" i="33"/>
  <c r="K644" i="33"/>
  <c r="P643" i="33"/>
  <c r="K643" i="33"/>
  <c r="P642" i="33"/>
  <c r="K642" i="33"/>
  <c r="P641" i="33"/>
  <c r="K641" i="33"/>
  <c r="P640" i="33"/>
  <c r="K640" i="33"/>
  <c r="P639" i="33"/>
  <c r="K639" i="33"/>
  <c r="P638" i="33"/>
  <c r="K638" i="33"/>
  <c r="P637" i="33"/>
  <c r="K637" i="33"/>
  <c r="T636" i="33"/>
  <c r="P636" i="33"/>
  <c r="K636" i="33"/>
  <c r="T635" i="33"/>
  <c r="P635" i="33"/>
  <c r="K635" i="33"/>
  <c r="P634" i="33"/>
  <c r="K634" i="33"/>
  <c r="P633" i="33"/>
  <c r="K633" i="33"/>
  <c r="P632" i="33"/>
  <c r="K632" i="33"/>
  <c r="T631" i="33"/>
  <c r="P631" i="33"/>
  <c r="K631" i="33"/>
  <c r="P630" i="33"/>
  <c r="K630" i="33"/>
  <c r="P629" i="33"/>
  <c r="K629" i="33"/>
  <c r="P628" i="33"/>
  <c r="K628" i="33"/>
  <c r="P627" i="33"/>
  <c r="K627" i="33"/>
  <c r="P626" i="33"/>
  <c r="K626" i="33"/>
  <c r="P625" i="33"/>
  <c r="K625" i="33"/>
  <c r="P624" i="33"/>
  <c r="K624" i="33"/>
  <c r="P623" i="33"/>
  <c r="K623" i="33"/>
  <c r="P622" i="33"/>
  <c r="K622" i="33"/>
  <c r="P621" i="33"/>
  <c r="K621" i="33"/>
  <c r="P620" i="33"/>
  <c r="K620" i="33"/>
  <c r="P619" i="33"/>
  <c r="K619" i="33"/>
  <c r="P618" i="33"/>
  <c r="K618" i="33"/>
  <c r="P617" i="33"/>
  <c r="K617" i="33"/>
  <c r="P616" i="33"/>
  <c r="K616" i="33"/>
  <c r="T615" i="33"/>
  <c r="P615" i="33"/>
  <c r="K615" i="33"/>
  <c r="P614" i="33"/>
  <c r="K614" i="33"/>
  <c r="P613" i="33"/>
  <c r="K613" i="33"/>
  <c r="T612" i="33"/>
  <c r="P612" i="33"/>
  <c r="K612" i="33"/>
  <c r="T611" i="33"/>
  <c r="P611" i="33"/>
  <c r="K611" i="33"/>
  <c r="P610" i="33"/>
  <c r="K610" i="33"/>
  <c r="T609" i="33"/>
  <c r="P609" i="33"/>
  <c r="K609" i="33"/>
  <c r="P608" i="33"/>
  <c r="K608" i="33"/>
  <c r="T607" i="33"/>
  <c r="P607" i="33"/>
  <c r="K607" i="33"/>
  <c r="T606" i="33"/>
  <c r="P606" i="33"/>
  <c r="K606" i="33"/>
  <c r="P605" i="33"/>
  <c r="K605" i="33"/>
  <c r="P604" i="33"/>
  <c r="K604" i="33"/>
  <c r="T603" i="33"/>
  <c r="P603" i="33"/>
  <c r="K603" i="33"/>
  <c r="P602" i="33"/>
  <c r="K602" i="33"/>
  <c r="T601" i="33"/>
  <c r="P601" i="33"/>
  <c r="K601" i="33"/>
  <c r="P600" i="33"/>
  <c r="K600" i="33"/>
  <c r="P599" i="33"/>
  <c r="K599" i="33"/>
  <c r="P598" i="33"/>
  <c r="K598" i="33"/>
  <c r="P597" i="33"/>
  <c r="K597" i="33"/>
  <c r="T596" i="33"/>
  <c r="P596" i="33"/>
  <c r="K596" i="33"/>
  <c r="P595" i="33"/>
  <c r="K595" i="33"/>
  <c r="P594" i="33"/>
  <c r="K594" i="33"/>
  <c r="T593" i="33"/>
  <c r="P593" i="33"/>
  <c r="K593" i="33"/>
  <c r="T592" i="33"/>
  <c r="P592" i="33"/>
  <c r="K592" i="33"/>
  <c r="P591" i="33"/>
  <c r="K591" i="33"/>
  <c r="P590" i="33"/>
  <c r="K590" i="33"/>
  <c r="P589" i="33"/>
  <c r="K589" i="33"/>
  <c r="P588" i="33"/>
  <c r="K588" i="33"/>
  <c r="P587" i="33"/>
  <c r="K587" i="33"/>
  <c r="P586" i="33"/>
  <c r="K586" i="33"/>
  <c r="P585" i="33"/>
  <c r="K585" i="33"/>
  <c r="P584" i="33"/>
  <c r="K584" i="33"/>
  <c r="P583" i="33"/>
  <c r="K583" i="33"/>
  <c r="P582" i="33"/>
  <c r="K582" i="33"/>
  <c r="P581" i="33"/>
  <c r="K581" i="33"/>
  <c r="T580" i="33"/>
  <c r="P580" i="33"/>
  <c r="K580" i="33"/>
  <c r="P579" i="33"/>
  <c r="K579" i="33"/>
  <c r="P578" i="33"/>
  <c r="K578" i="33"/>
  <c r="P577" i="33"/>
  <c r="K577" i="33"/>
  <c r="P576" i="33"/>
  <c r="K576" i="33"/>
  <c r="P575" i="33"/>
  <c r="K575" i="33"/>
  <c r="P574" i="33"/>
  <c r="K574" i="33"/>
  <c r="P573" i="33"/>
  <c r="K573" i="33"/>
  <c r="P572" i="33"/>
  <c r="K572" i="33"/>
  <c r="P571" i="33"/>
  <c r="K571" i="33"/>
  <c r="P570" i="33"/>
  <c r="K570" i="33"/>
  <c r="P569" i="33"/>
  <c r="K569" i="33"/>
  <c r="P568" i="33"/>
  <c r="K568" i="33"/>
  <c r="P567" i="33"/>
  <c r="K567" i="33"/>
  <c r="T566" i="33"/>
  <c r="P566" i="33"/>
  <c r="K566" i="33"/>
  <c r="P565" i="33"/>
  <c r="K565" i="33"/>
  <c r="T564" i="33"/>
  <c r="P564" i="33"/>
  <c r="K564" i="33"/>
  <c r="P563" i="33"/>
  <c r="K563" i="33"/>
  <c r="T562" i="33"/>
  <c r="P562" i="33"/>
  <c r="K562" i="33"/>
  <c r="P561" i="33"/>
  <c r="K561" i="33"/>
  <c r="P560" i="33"/>
  <c r="K560" i="33"/>
  <c r="P559" i="33"/>
  <c r="K559" i="33"/>
  <c r="P558" i="33"/>
  <c r="K558" i="33"/>
  <c r="P557" i="33"/>
  <c r="K557" i="33"/>
  <c r="P556" i="33"/>
  <c r="K556" i="33"/>
  <c r="P555" i="33"/>
  <c r="K555" i="33"/>
  <c r="P554" i="33"/>
  <c r="K554" i="33"/>
  <c r="P553" i="33"/>
  <c r="K553" i="33"/>
  <c r="P552" i="33"/>
  <c r="K552" i="33"/>
  <c r="P551" i="33"/>
  <c r="K551" i="33"/>
  <c r="P550" i="33"/>
  <c r="K550" i="33"/>
  <c r="P549" i="33"/>
  <c r="K549" i="33"/>
  <c r="P548" i="33"/>
  <c r="K548" i="33"/>
  <c r="P547" i="33"/>
  <c r="K547" i="33"/>
  <c r="P546" i="33"/>
  <c r="K546" i="33"/>
  <c r="P545" i="33"/>
  <c r="K545" i="33"/>
  <c r="P544" i="33"/>
  <c r="K544" i="33"/>
  <c r="T543" i="33"/>
  <c r="P543" i="33"/>
  <c r="K543" i="33"/>
  <c r="P542" i="33"/>
  <c r="K542" i="33"/>
  <c r="P541" i="33"/>
  <c r="K541" i="33"/>
  <c r="P540" i="33"/>
  <c r="K540" i="33"/>
  <c r="P539" i="33"/>
  <c r="K539" i="33"/>
  <c r="P538" i="33"/>
  <c r="K538" i="33"/>
  <c r="P537" i="33"/>
  <c r="K537" i="33"/>
  <c r="P536" i="33"/>
  <c r="K536" i="33"/>
  <c r="T535" i="33"/>
  <c r="P535" i="33"/>
  <c r="K535" i="33"/>
  <c r="P534" i="33"/>
  <c r="K534" i="33"/>
  <c r="P533" i="33"/>
  <c r="K533" i="33"/>
  <c r="P532" i="33"/>
  <c r="K532" i="33"/>
  <c r="P531" i="33"/>
  <c r="K531" i="33"/>
  <c r="P530" i="33"/>
  <c r="K530" i="33"/>
  <c r="T529" i="33"/>
  <c r="P529" i="33"/>
  <c r="K529" i="33"/>
  <c r="T528" i="33"/>
  <c r="P528" i="33"/>
  <c r="K528" i="33"/>
  <c r="P527" i="33"/>
  <c r="K527" i="33"/>
  <c r="P526" i="33"/>
  <c r="K526" i="33"/>
  <c r="P525" i="33"/>
  <c r="K525" i="33"/>
  <c r="T524" i="33"/>
  <c r="P524" i="33"/>
  <c r="K524" i="33"/>
  <c r="P523" i="33"/>
  <c r="K523" i="33"/>
  <c r="P522" i="33"/>
  <c r="K522" i="33"/>
  <c r="T521" i="33"/>
  <c r="P521" i="33"/>
  <c r="K521" i="33"/>
  <c r="P520" i="33"/>
  <c r="K520" i="33"/>
  <c r="T519" i="33"/>
  <c r="P519" i="33"/>
  <c r="K519" i="33"/>
  <c r="P518" i="33"/>
  <c r="K518" i="33"/>
  <c r="P517" i="33"/>
  <c r="K517" i="33"/>
  <c r="P516" i="33"/>
  <c r="K516" i="33"/>
  <c r="P515" i="33"/>
  <c r="K515" i="33"/>
  <c r="T514" i="33"/>
  <c r="P514" i="33"/>
  <c r="K514" i="33"/>
  <c r="P513" i="33"/>
  <c r="K513" i="33"/>
  <c r="P512" i="33"/>
  <c r="K512" i="33"/>
  <c r="T511" i="33"/>
  <c r="P511" i="33"/>
  <c r="K511" i="33"/>
  <c r="P510" i="33"/>
  <c r="K510" i="33"/>
  <c r="P509" i="33"/>
  <c r="K509" i="33"/>
  <c r="P508" i="33"/>
  <c r="K508" i="33"/>
  <c r="T507" i="33"/>
  <c r="P507" i="33"/>
  <c r="K507" i="33"/>
  <c r="P506" i="33"/>
  <c r="K506" i="33"/>
  <c r="P505" i="33"/>
  <c r="K505" i="33"/>
  <c r="P504" i="33"/>
  <c r="K504" i="33"/>
  <c r="P503" i="33"/>
  <c r="K503" i="33"/>
  <c r="P502" i="33"/>
  <c r="K502" i="33"/>
  <c r="P501" i="33"/>
  <c r="K501" i="33"/>
  <c r="T500" i="33"/>
  <c r="P500" i="33"/>
  <c r="K500" i="33"/>
  <c r="P499" i="33"/>
  <c r="K499" i="33"/>
  <c r="P498" i="33"/>
  <c r="K498" i="33"/>
  <c r="P497" i="33"/>
  <c r="K497" i="33"/>
  <c r="P496" i="33"/>
  <c r="K496" i="33"/>
  <c r="P495" i="33"/>
  <c r="K495" i="33"/>
  <c r="P494" i="33"/>
  <c r="K494" i="33"/>
  <c r="P493" i="33"/>
  <c r="K493" i="33"/>
  <c r="P492" i="33"/>
  <c r="K492" i="33"/>
  <c r="P491" i="33"/>
  <c r="K491" i="33"/>
  <c r="P490" i="33"/>
  <c r="K490" i="33"/>
  <c r="P489" i="33"/>
  <c r="K489" i="33"/>
  <c r="P488" i="33"/>
  <c r="K488" i="33"/>
  <c r="P487" i="33"/>
  <c r="K487" i="33"/>
  <c r="P486" i="33"/>
  <c r="K486" i="33"/>
  <c r="P485" i="33"/>
  <c r="K485" i="33"/>
  <c r="P484" i="33"/>
  <c r="K484" i="33"/>
  <c r="P483" i="33"/>
  <c r="K483" i="33"/>
  <c r="P482" i="33"/>
  <c r="K482" i="33"/>
  <c r="P481" i="33"/>
  <c r="K481" i="33"/>
  <c r="P480" i="33"/>
  <c r="K480" i="33"/>
  <c r="P479" i="33"/>
  <c r="K479" i="33"/>
  <c r="P478" i="33"/>
  <c r="K478" i="33"/>
  <c r="P477" i="33"/>
  <c r="K477" i="33"/>
  <c r="P476" i="33"/>
  <c r="K476" i="33"/>
  <c r="P475" i="33"/>
  <c r="K475" i="33"/>
  <c r="P474" i="33"/>
  <c r="K474" i="33"/>
  <c r="P473" i="33"/>
  <c r="K473" i="33"/>
  <c r="P472" i="33"/>
  <c r="K472" i="33"/>
  <c r="P471" i="33"/>
  <c r="K471" i="33"/>
  <c r="P470" i="33"/>
  <c r="K470" i="33"/>
  <c r="P469" i="33"/>
  <c r="K469" i="33"/>
  <c r="P468" i="33"/>
  <c r="K468" i="33"/>
  <c r="P467" i="33"/>
  <c r="K467" i="33"/>
  <c r="P466" i="33"/>
  <c r="K466" i="33"/>
  <c r="P465" i="33"/>
  <c r="K465" i="33"/>
  <c r="P464" i="33"/>
  <c r="K464" i="33"/>
  <c r="P463" i="33"/>
  <c r="K463" i="33"/>
  <c r="P462" i="33"/>
  <c r="K462" i="33"/>
  <c r="P461" i="33"/>
  <c r="K461" i="33"/>
  <c r="P460" i="33"/>
  <c r="K460" i="33"/>
  <c r="P459" i="33"/>
  <c r="K459" i="33"/>
  <c r="P458" i="33"/>
  <c r="K458" i="33"/>
  <c r="P457" i="33"/>
  <c r="K457" i="33"/>
  <c r="P456" i="33"/>
  <c r="K456" i="33"/>
  <c r="P455" i="33"/>
  <c r="K455" i="33"/>
  <c r="P454" i="33"/>
  <c r="K454" i="33"/>
  <c r="P453" i="33"/>
  <c r="K453" i="33"/>
  <c r="P452" i="33"/>
  <c r="K452" i="33"/>
  <c r="P451" i="33"/>
  <c r="K451" i="33"/>
  <c r="P450" i="33"/>
  <c r="K450" i="33"/>
  <c r="P449" i="33"/>
  <c r="K449" i="33"/>
  <c r="P448" i="33"/>
  <c r="K448" i="33"/>
  <c r="P447" i="33"/>
  <c r="K447" i="33"/>
  <c r="P446" i="33"/>
  <c r="K446" i="33"/>
  <c r="P445" i="33"/>
  <c r="K445" i="33"/>
  <c r="P444" i="33"/>
  <c r="K444" i="33"/>
  <c r="P443" i="33"/>
  <c r="K443" i="33"/>
  <c r="P442" i="33"/>
  <c r="K442" i="33"/>
  <c r="P441" i="33"/>
  <c r="K441" i="33"/>
  <c r="P440" i="33"/>
  <c r="K440" i="33"/>
  <c r="P439" i="33"/>
  <c r="K439" i="33"/>
  <c r="P438" i="33"/>
  <c r="K438" i="33"/>
  <c r="P437" i="33"/>
  <c r="K437" i="33"/>
  <c r="P436" i="33"/>
  <c r="K436" i="33"/>
  <c r="P435" i="33"/>
  <c r="K435" i="33"/>
  <c r="P434" i="33"/>
  <c r="K434" i="33"/>
  <c r="P433" i="33"/>
  <c r="K433" i="33"/>
  <c r="P432" i="33"/>
  <c r="K432" i="33"/>
  <c r="P431" i="33"/>
  <c r="K431" i="33"/>
  <c r="P430" i="33"/>
  <c r="K430" i="33"/>
  <c r="P429" i="33"/>
  <c r="K429" i="33"/>
  <c r="P428" i="33"/>
  <c r="K428" i="33"/>
  <c r="P427" i="33"/>
  <c r="K427" i="33"/>
  <c r="P426" i="33"/>
  <c r="K426" i="33"/>
  <c r="P425" i="33"/>
  <c r="K425" i="33"/>
  <c r="P424" i="33"/>
  <c r="K424" i="33"/>
  <c r="P423" i="33"/>
  <c r="K423" i="33"/>
  <c r="P422" i="33"/>
  <c r="K422" i="33"/>
  <c r="P421" i="33"/>
  <c r="K421" i="33"/>
  <c r="P420" i="33"/>
  <c r="K420" i="33"/>
  <c r="P419" i="33"/>
  <c r="K419" i="33"/>
  <c r="P418" i="33"/>
  <c r="K418" i="33"/>
  <c r="P417" i="33"/>
  <c r="K417" i="33"/>
  <c r="P416" i="33"/>
  <c r="K416" i="33"/>
  <c r="P415" i="33"/>
  <c r="K415" i="33"/>
  <c r="P414" i="33"/>
  <c r="K414" i="33"/>
  <c r="P413" i="33"/>
  <c r="K413" i="33"/>
  <c r="P412" i="33"/>
  <c r="K412" i="33"/>
  <c r="P411" i="33"/>
  <c r="K411" i="33"/>
  <c r="P410" i="33"/>
  <c r="K410" i="33"/>
  <c r="P409" i="33"/>
  <c r="K409" i="33"/>
  <c r="P408" i="33"/>
  <c r="K408" i="33"/>
  <c r="P407" i="33"/>
  <c r="K407" i="33"/>
  <c r="P406" i="33"/>
  <c r="K406" i="33"/>
  <c r="P405" i="33"/>
  <c r="K405" i="33"/>
  <c r="P404" i="33"/>
  <c r="K404" i="33"/>
  <c r="P403" i="33"/>
  <c r="K403" i="33"/>
  <c r="P402" i="33"/>
  <c r="K402" i="33"/>
  <c r="P401" i="33"/>
  <c r="K401" i="33"/>
  <c r="P400" i="33"/>
  <c r="K400" i="33"/>
  <c r="P399" i="33"/>
  <c r="K399" i="33"/>
  <c r="P398" i="33"/>
  <c r="K398" i="33"/>
  <c r="P397" i="33"/>
  <c r="K397" i="33"/>
  <c r="P396" i="33"/>
  <c r="K396" i="33"/>
  <c r="P395" i="33"/>
  <c r="K395" i="33"/>
  <c r="P394" i="33"/>
  <c r="K394" i="33"/>
  <c r="P393" i="33"/>
  <c r="K393" i="33"/>
  <c r="P392" i="33"/>
  <c r="K392" i="33"/>
  <c r="P391" i="33"/>
  <c r="K391" i="33"/>
  <c r="P390" i="33"/>
  <c r="K390" i="33"/>
  <c r="P389" i="33"/>
  <c r="K389" i="33"/>
  <c r="P388" i="33"/>
  <c r="K388" i="33"/>
  <c r="P387" i="33"/>
  <c r="K387" i="33"/>
  <c r="P386" i="33"/>
  <c r="K386" i="33"/>
  <c r="P385" i="33"/>
  <c r="K385" i="33"/>
  <c r="P384" i="33"/>
  <c r="K384" i="33"/>
  <c r="P383" i="33"/>
  <c r="K383" i="33"/>
  <c r="P382" i="33"/>
  <c r="K382" i="33"/>
  <c r="P381" i="33"/>
  <c r="K381" i="33"/>
  <c r="P380" i="33"/>
  <c r="K380" i="33"/>
  <c r="P379" i="33"/>
  <c r="K379" i="33"/>
  <c r="P378" i="33"/>
  <c r="K378" i="33"/>
  <c r="P377" i="33"/>
  <c r="K377" i="33"/>
  <c r="P376" i="33"/>
  <c r="K376" i="33"/>
  <c r="P375" i="33"/>
  <c r="K375" i="33"/>
  <c r="P374" i="33"/>
  <c r="K374" i="33"/>
  <c r="P373" i="33"/>
  <c r="K373" i="33"/>
  <c r="T372" i="33"/>
  <c r="P372" i="33"/>
  <c r="K372" i="33"/>
  <c r="P371" i="33"/>
  <c r="K371" i="33"/>
  <c r="P370" i="33"/>
  <c r="K370" i="33"/>
  <c r="P369" i="33"/>
  <c r="K369" i="33"/>
  <c r="P368" i="33"/>
  <c r="K368" i="33"/>
  <c r="P367" i="33"/>
  <c r="K367" i="33"/>
  <c r="P366" i="33"/>
  <c r="K366" i="33"/>
  <c r="T365" i="33"/>
  <c r="P365" i="33"/>
  <c r="K365" i="33"/>
  <c r="P364" i="33"/>
  <c r="K364" i="33"/>
  <c r="P363" i="33"/>
  <c r="K363" i="33"/>
  <c r="P362" i="33"/>
  <c r="K362" i="33"/>
  <c r="T361" i="33"/>
  <c r="P361" i="33"/>
  <c r="K361" i="33"/>
  <c r="P360" i="33"/>
  <c r="K360" i="33"/>
  <c r="P359" i="33"/>
  <c r="K359" i="33"/>
  <c r="P358" i="33"/>
  <c r="K358" i="33"/>
  <c r="P357" i="33"/>
  <c r="K357" i="33"/>
  <c r="T356" i="33"/>
  <c r="P356" i="33"/>
  <c r="K356" i="33"/>
  <c r="P355" i="33"/>
  <c r="K355" i="33"/>
  <c r="P354" i="33"/>
  <c r="K354" i="33"/>
  <c r="P353" i="33"/>
  <c r="K353" i="33"/>
  <c r="T352" i="33"/>
  <c r="P352" i="33"/>
  <c r="K352" i="33"/>
  <c r="P351" i="33"/>
  <c r="K351" i="33"/>
  <c r="P350" i="33"/>
  <c r="K350" i="33"/>
  <c r="T349" i="33"/>
  <c r="P349" i="33"/>
  <c r="K349" i="33"/>
  <c r="T348" i="33"/>
  <c r="P348" i="33"/>
  <c r="K348" i="33"/>
  <c r="P347" i="33"/>
  <c r="K347" i="33"/>
  <c r="P346" i="33"/>
  <c r="K346" i="33"/>
  <c r="T345" i="33"/>
  <c r="P345" i="33"/>
  <c r="K345" i="33"/>
  <c r="T344" i="33"/>
  <c r="P344" i="33"/>
  <c r="K344" i="33"/>
  <c r="P343" i="33"/>
  <c r="K343" i="33"/>
  <c r="P342" i="33"/>
  <c r="K342" i="33"/>
  <c r="P341" i="33"/>
  <c r="K341" i="33"/>
  <c r="P340" i="33"/>
  <c r="K340" i="33"/>
  <c r="T339" i="33"/>
  <c r="P339" i="33"/>
  <c r="K339" i="33"/>
  <c r="T338" i="33"/>
  <c r="P338" i="33"/>
  <c r="K338" i="33"/>
  <c r="P337" i="33"/>
  <c r="K337" i="33"/>
  <c r="P336" i="33"/>
  <c r="K336" i="33"/>
  <c r="P335" i="33"/>
  <c r="K335" i="33"/>
  <c r="P334" i="33"/>
  <c r="K334" i="33"/>
  <c r="P333" i="33"/>
  <c r="K333" i="33"/>
  <c r="P332" i="33"/>
  <c r="K332" i="33"/>
  <c r="P331" i="33"/>
  <c r="K331" i="33"/>
  <c r="P330" i="33"/>
  <c r="K330" i="33"/>
  <c r="T329" i="33"/>
  <c r="P329" i="33"/>
  <c r="K329" i="33"/>
  <c r="T328" i="33"/>
  <c r="P328" i="33"/>
  <c r="K328" i="33"/>
  <c r="P327" i="33"/>
  <c r="K327" i="33"/>
  <c r="T326" i="33"/>
  <c r="P326" i="33"/>
  <c r="K326" i="33"/>
  <c r="P325" i="33"/>
  <c r="K325" i="33"/>
  <c r="P324" i="33"/>
  <c r="K324" i="33"/>
  <c r="P323" i="33"/>
  <c r="K323" i="33"/>
  <c r="P322" i="33"/>
  <c r="K322" i="33"/>
  <c r="T321" i="33"/>
  <c r="P321" i="33"/>
  <c r="K321" i="33"/>
  <c r="T320" i="33"/>
  <c r="P320" i="33"/>
  <c r="K320" i="33"/>
  <c r="P319" i="33"/>
  <c r="K319" i="33"/>
  <c r="P318" i="33"/>
  <c r="K318" i="33"/>
  <c r="P317" i="33"/>
  <c r="K317" i="33"/>
  <c r="P316" i="33"/>
  <c r="K316" i="33"/>
  <c r="T315" i="33"/>
  <c r="P315" i="33"/>
  <c r="K315" i="33"/>
  <c r="T314" i="33"/>
  <c r="P314" i="33"/>
  <c r="K314" i="33"/>
  <c r="P313" i="33"/>
  <c r="K313" i="33"/>
  <c r="P312" i="33"/>
  <c r="K312" i="33"/>
  <c r="P311" i="33"/>
  <c r="K311" i="33"/>
  <c r="P310" i="33"/>
  <c r="K310" i="33"/>
  <c r="P309" i="33"/>
  <c r="K309" i="33"/>
  <c r="T308" i="33"/>
  <c r="P308" i="33"/>
  <c r="K308" i="33"/>
  <c r="P307" i="33"/>
  <c r="K307" i="33"/>
  <c r="P306" i="33"/>
  <c r="K306" i="33"/>
  <c r="P305" i="33"/>
  <c r="K305" i="33"/>
  <c r="P304" i="33"/>
  <c r="K304" i="33"/>
  <c r="T303" i="33"/>
  <c r="P303" i="33"/>
  <c r="K303" i="33"/>
  <c r="T302" i="33"/>
  <c r="P302" i="33"/>
  <c r="K302" i="33"/>
  <c r="P301" i="33"/>
  <c r="K301" i="33"/>
  <c r="P300" i="33"/>
  <c r="K300" i="33"/>
  <c r="P299" i="33"/>
  <c r="K299" i="33"/>
  <c r="P298" i="33"/>
  <c r="K298" i="33"/>
  <c r="T297" i="33"/>
  <c r="P297" i="33"/>
  <c r="K297" i="33"/>
  <c r="T296" i="33"/>
  <c r="P296" i="33"/>
  <c r="K296" i="33"/>
  <c r="P295" i="33"/>
  <c r="K295" i="33"/>
  <c r="P294" i="33"/>
  <c r="K294" i="33"/>
  <c r="P293" i="33"/>
  <c r="K293" i="33"/>
  <c r="P292" i="33"/>
  <c r="K292" i="33"/>
  <c r="P291" i="33"/>
  <c r="K291" i="33"/>
  <c r="P290" i="33"/>
  <c r="K290" i="33"/>
  <c r="P289" i="33"/>
  <c r="K289" i="33"/>
  <c r="P288" i="33"/>
  <c r="K288" i="33"/>
  <c r="P287" i="33"/>
  <c r="K287" i="33"/>
  <c r="P286" i="33"/>
  <c r="K286" i="33"/>
  <c r="P285" i="33"/>
  <c r="K285" i="33"/>
  <c r="P284" i="33"/>
  <c r="K284" i="33"/>
  <c r="T283" i="33"/>
  <c r="P283" i="33"/>
  <c r="K283" i="33"/>
  <c r="P282" i="33"/>
  <c r="K282" i="33"/>
  <c r="P281" i="33"/>
  <c r="K281" i="33"/>
  <c r="P280" i="33"/>
  <c r="K280" i="33"/>
  <c r="T279" i="33"/>
  <c r="P279" i="33"/>
  <c r="K279" i="33"/>
  <c r="T278" i="33"/>
  <c r="P278" i="33"/>
  <c r="K278" i="33"/>
  <c r="P277" i="33"/>
  <c r="K277" i="33"/>
  <c r="P276" i="33"/>
  <c r="K276" i="33"/>
  <c r="T275" i="33"/>
  <c r="P275" i="33"/>
  <c r="K275" i="33"/>
  <c r="P274" i="33"/>
  <c r="K274" i="33"/>
  <c r="P273" i="33"/>
  <c r="K273" i="33"/>
  <c r="P272" i="33"/>
  <c r="K272" i="33"/>
  <c r="P271" i="33"/>
  <c r="K271" i="33"/>
  <c r="T270" i="33"/>
  <c r="P270" i="33"/>
  <c r="K270" i="33"/>
  <c r="T269" i="33"/>
  <c r="P269" i="33"/>
  <c r="K269" i="33"/>
  <c r="T268" i="33"/>
  <c r="P268" i="33"/>
  <c r="K268" i="33"/>
  <c r="P267" i="33"/>
  <c r="K267" i="33"/>
  <c r="T266" i="33"/>
  <c r="P266" i="33"/>
  <c r="K266" i="33"/>
  <c r="P265" i="33"/>
  <c r="K265" i="33"/>
  <c r="T264" i="33"/>
  <c r="P264" i="33"/>
  <c r="K264" i="33"/>
  <c r="P263" i="33"/>
  <c r="K263" i="33"/>
  <c r="P262" i="33"/>
  <c r="K262" i="33"/>
  <c r="P261" i="33"/>
  <c r="K261" i="33"/>
  <c r="P260" i="33"/>
  <c r="K260" i="33"/>
  <c r="P259" i="33"/>
  <c r="K259" i="33"/>
  <c r="P258" i="33"/>
  <c r="K258" i="33"/>
  <c r="P257" i="33"/>
  <c r="K257" i="33"/>
  <c r="T256" i="33"/>
  <c r="P256" i="33"/>
  <c r="K256" i="33"/>
  <c r="P255" i="33"/>
  <c r="K255" i="33"/>
  <c r="P254" i="33"/>
  <c r="K254" i="33"/>
  <c r="T253" i="33"/>
  <c r="P253" i="33"/>
  <c r="K253" i="33"/>
  <c r="P252" i="33"/>
  <c r="K252" i="33"/>
  <c r="T251" i="33"/>
  <c r="P251" i="33"/>
  <c r="K251" i="33"/>
  <c r="P250" i="33"/>
  <c r="K250" i="33"/>
  <c r="P249" i="33"/>
  <c r="K249" i="33"/>
  <c r="P248" i="33"/>
  <c r="K248" i="33"/>
  <c r="P247" i="33"/>
  <c r="K247" i="33"/>
  <c r="T246" i="33"/>
  <c r="S246" i="33"/>
  <c r="S909" i="33" s="1"/>
  <c r="O246" i="33"/>
  <c r="J246" i="33"/>
  <c r="K246" i="33" s="1"/>
  <c r="T245" i="33"/>
  <c r="P245" i="33"/>
  <c r="K245" i="33"/>
  <c r="P244" i="33"/>
  <c r="K244" i="33"/>
  <c r="T243" i="33"/>
  <c r="P243" i="33"/>
  <c r="K243" i="33"/>
  <c r="P242" i="33"/>
  <c r="K242" i="33"/>
  <c r="P241" i="33"/>
  <c r="K241" i="33"/>
  <c r="P240" i="33"/>
  <c r="K240" i="33"/>
  <c r="P239" i="33"/>
  <c r="K239" i="33"/>
  <c r="P238" i="33"/>
  <c r="K238" i="33"/>
  <c r="T237" i="33"/>
  <c r="P237" i="33"/>
  <c r="K237" i="33"/>
  <c r="P236" i="33"/>
  <c r="K236" i="33"/>
  <c r="P235" i="33"/>
  <c r="K235" i="33"/>
  <c r="T234" i="33"/>
  <c r="P234" i="33"/>
  <c r="K234" i="33"/>
  <c r="P233" i="33"/>
  <c r="K233" i="33"/>
  <c r="P232" i="33"/>
  <c r="K232" i="33"/>
  <c r="P231" i="33"/>
  <c r="K231" i="33"/>
  <c r="P230" i="33"/>
  <c r="K230" i="33"/>
  <c r="P229" i="33"/>
  <c r="K229" i="33"/>
  <c r="P228" i="33"/>
  <c r="K228" i="33"/>
  <c r="T227" i="33"/>
  <c r="P227" i="33"/>
  <c r="K227" i="33"/>
  <c r="P226" i="33"/>
  <c r="K226" i="33"/>
  <c r="T225" i="33"/>
  <c r="P225" i="33"/>
  <c r="K225" i="33"/>
  <c r="T224" i="33"/>
  <c r="P224" i="33"/>
  <c r="K224" i="33"/>
  <c r="P223" i="33"/>
  <c r="K223" i="33"/>
  <c r="P222" i="33"/>
  <c r="K222" i="33"/>
  <c r="P221" i="33"/>
  <c r="K221" i="33"/>
  <c r="P220" i="33"/>
  <c r="K220" i="33"/>
  <c r="P219" i="33"/>
  <c r="K219" i="33"/>
  <c r="P218" i="33"/>
  <c r="K218" i="33"/>
  <c r="P217" i="33"/>
  <c r="K217" i="33"/>
  <c r="P216" i="33"/>
  <c r="K216" i="33"/>
  <c r="P215" i="33"/>
  <c r="K215" i="33"/>
  <c r="P214" i="33"/>
  <c r="K214" i="33"/>
  <c r="P213" i="33"/>
  <c r="K213" i="33"/>
  <c r="T212" i="33"/>
  <c r="P212" i="33"/>
  <c r="K212" i="33"/>
  <c r="P211" i="33"/>
  <c r="K211" i="33"/>
  <c r="T210" i="33"/>
  <c r="P210" i="33"/>
  <c r="K210" i="33"/>
  <c r="T209" i="33"/>
  <c r="P209" i="33"/>
  <c r="K209" i="33"/>
  <c r="P208" i="33"/>
  <c r="K208" i="33"/>
  <c r="T207" i="33"/>
  <c r="P207" i="33"/>
  <c r="K207" i="33"/>
  <c r="T206" i="33"/>
  <c r="P206" i="33"/>
  <c r="K206" i="33"/>
  <c r="P205" i="33"/>
  <c r="K205" i="33"/>
  <c r="P204" i="33"/>
  <c r="K204" i="33"/>
  <c r="P203" i="33"/>
  <c r="K203" i="33"/>
  <c r="P202" i="33"/>
  <c r="K202" i="33"/>
  <c r="P201" i="33"/>
  <c r="K201" i="33"/>
  <c r="P200" i="33"/>
  <c r="K200" i="33"/>
  <c r="P199" i="33"/>
  <c r="K199" i="33"/>
  <c r="P198" i="33"/>
  <c r="K198" i="33"/>
  <c r="P197" i="33"/>
  <c r="K197" i="33"/>
  <c r="T196" i="33"/>
  <c r="P196" i="33"/>
  <c r="K196" i="33"/>
  <c r="P195" i="33"/>
  <c r="K195" i="33"/>
  <c r="P194" i="33"/>
  <c r="K194" i="33"/>
  <c r="P193" i="33"/>
  <c r="K193" i="33"/>
  <c r="T192" i="33"/>
  <c r="P192" i="33"/>
  <c r="K192" i="33"/>
  <c r="P191" i="33"/>
  <c r="K191" i="33"/>
  <c r="T190" i="33"/>
  <c r="P190" i="33"/>
  <c r="K190" i="33"/>
  <c r="P189" i="33"/>
  <c r="K189" i="33"/>
  <c r="P188" i="33"/>
  <c r="K188" i="33"/>
  <c r="P187" i="33"/>
  <c r="K187" i="33"/>
  <c r="P186" i="33"/>
  <c r="K186" i="33"/>
  <c r="T185" i="33"/>
  <c r="P185" i="33"/>
  <c r="K185" i="33"/>
  <c r="P184" i="33"/>
  <c r="K184" i="33"/>
  <c r="P183" i="33"/>
  <c r="K183" i="33"/>
  <c r="P182" i="33"/>
  <c r="K182" i="33"/>
  <c r="P181" i="33"/>
  <c r="K181" i="33"/>
  <c r="T180" i="33"/>
  <c r="P180" i="33"/>
  <c r="K180" i="33"/>
  <c r="P179" i="33"/>
  <c r="K179" i="33"/>
  <c r="P178" i="33"/>
  <c r="K178" i="33"/>
  <c r="P177" i="33"/>
  <c r="K177" i="33"/>
  <c r="P176" i="33"/>
  <c r="K176" i="33"/>
  <c r="P175" i="33"/>
  <c r="K175" i="33"/>
  <c r="T174" i="33"/>
  <c r="P174" i="33"/>
  <c r="K174" i="33"/>
  <c r="P173" i="33"/>
  <c r="K173" i="33"/>
  <c r="P172" i="33"/>
  <c r="K172" i="33"/>
  <c r="T171" i="33"/>
  <c r="P171" i="33"/>
  <c r="K171" i="33"/>
  <c r="T170" i="33"/>
  <c r="P170" i="33"/>
  <c r="K170" i="33"/>
  <c r="P169" i="33"/>
  <c r="K169" i="33"/>
  <c r="P168" i="33"/>
  <c r="K168" i="33"/>
  <c r="P167" i="33"/>
  <c r="K167" i="33"/>
  <c r="P166" i="33"/>
  <c r="K166" i="33"/>
  <c r="T165" i="33"/>
  <c r="P165" i="33"/>
  <c r="K165" i="33"/>
  <c r="P164" i="33"/>
  <c r="K164" i="33"/>
  <c r="P163" i="33"/>
  <c r="K163" i="33"/>
  <c r="P162" i="33"/>
  <c r="K162" i="33"/>
  <c r="P161" i="33"/>
  <c r="K161" i="33"/>
  <c r="T160" i="33"/>
  <c r="P160" i="33"/>
  <c r="K160" i="33"/>
  <c r="P159" i="33"/>
  <c r="K159" i="33"/>
  <c r="P158" i="33"/>
  <c r="K158" i="33"/>
  <c r="P157" i="33"/>
  <c r="K157" i="33"/>
  <c r="P156" i="33"/>
  <c r="K156" i="33"/>
  <c r="T155" i="33"/>
  <c r="P155" i="33"/>
  <c r="K155" i="33"/>
  <c r="P154" i="33"/>
  <c r="K154" i="33"/>
  <c r="P153" i="33"/>
  <c r="K153" i="33"/>
  <c r="P152" i="33"/>
  <c r="K152" i="33"/>
  <c r="T151" i="33"/>
  <c r="P151" i="33"/>
  <c r="K151" i="33"/>
  <c r="P150" i="33"/>
  <c r="K150" i="33"/>
  <c r="T149" i="33"/>
  <c r="P149" i="33"/>
  <c r="K149" i="33"/>
  <c r="P148" i="33"/>
  <c r="K148" i="33"/>
  <c r="P147" i="33"/>
  <c r="K147" i="33"/>
  <c r="P146" i="33"/>
  <c r="K146" i="33"/>
  <c r="P145" i="33"/>
  <c r="K145" i="33"/>
  <c r="T144" i="33"/>
  <c r="P144" i="33"/>
  <c r="K144" i="33"/>
  <c r="P143" i="33"/>
  <c r="K143" i="33"/>
  <c r="T142" i="33"/>
  <c r="P142" i="33"/>
  <c r="K142" i="33"/>
  <c r="P141" i="33"/>
  <c r="K141" i="33"/>
  <c r="P140" i="33"/>
  <c r="K140" i="33"/>
  <c r="P139" i="33"/>
  <c r="K139" i="33"/>
  <c r="P138" i="33"/>
  <c r="K138" i="33"/>
  <c r="P137" i="33"/>
  <c r="K137" i="33"/>
  <c r="P136" i="33"/>
  <c r="K136" i="33"/>
  <c r="P135" i="33"/>
  <c r="K135" i="33"/>
  <c r="P134" i="33"/>
  <c r="K134" i="33"/>
  <c r="T133" i="33"/>
  <c r="P133" i="33"/>
  <c r="K133" i="33"/>
  <c r="P132" i="33"/>
  <c r="K132" i="33"/>
  <c r="P131" i="33"/>
  <c r="K131" i="33"/>
  <c r="T130" i="33"/>
  <c r="P130" i="33"/>
  <c r="K130" i="33"/>
  <c r="P129" i="33"/>
  <c r="K129" i="33"/>
  <c r="T128" i="33"/>
  <c r="P128" i="33"/>
  <c r="K128" i="33"/>
  <c r="T127" i="33"/>
  <c r="P127" i="33"/>
  <c r="K127" i="33"/>
  <c r="T126" i="33"/>
  <c r="P126" i="33"/>
  <c r="K126" i="33"/>
  <c r="P125" i="33"/>
  <c r="K125" i="33"/>
  <c r="P124" i="33"/>
  <c r="K124" i="33"/>
  <c r="P123" i="33"/>
  <c r="K123" i="33"/>
  <c r="P122" i="33"/>
  <c r="K122" i="33"/>
  <c r="T121" i="33"/>
  <c r="P121" i="33"/>
  <c r="K121" i="33"/>
  <c r="P120" i="33"/>
  <c r="K120" i="33"/>
  <c r="P119" i="33"/>
  <c r="K119" i="33"/>
  <c r="P118" i="33"/>
  <c r="K118" i="33"/>
  <c r="P117" i="33"/>
  <c r="K117" i="33"/>
  <c r="P116" i="33"/>
  <c r="K116" i="33"/>
  <c r="P115" i="33"/>
  <c r="K115" i="33"/>
  <c r="P114" i="33"/>
  <c r="K114" i="33"/>
  <c r="T113" i="33"/>
  <c r="P113" i="33"/>
  <c r="K113" i="33"/>
  <c r="P112" i="33"/>
  <c r="K112" i="33"/>
  <c r="T111" i="33"/>
  <c r="P111" i="33"/>
  <c r="K111" i="33"/>
  <c r="P110" i="33"/>
  <c r="K110" i="33"/>
  <c r="T109" i="33"/>
  <c r="P109" i="33"/>
  <c r="K109" i="33"/>
  <c r="P108" i="33"/>
  <c r="K108" i="33"/>
  <c r="P107" i="33"/>
  <c r="K107" i="33"/>
  <c r="P106" i="33"/>
  <c r="K106" i="33"/>
  <c r="P105" i="33"/>
  <c r="K105" i="33"/>
  <c r="T104" i="33"/>
  <c r="P104" i="33"/>
  <c r="K104" i="33"/>
  <c r="P103" i="33"/>
  <c r="K103" i="33"/>
  <c r="T102" i="33"/>
  <c r="P102" i="33"/>
  <c r="K102" i="33"/>
  <c r="P101" i="33"/>
  <c r="K101" i="33"/>
  <c r="P100" i="33"/>
  <c r="K100" i="33"/>
  <c r="T99" i="33"/>
  <c r="P99" i="33"/>
  <c r="K99" i="33"/>
  <c r="P98" i="33"/>
  <c r="K98" i="33"/>
  <c r="T97" i="33"/>
  <c r="P97" i="33"/>
  <c r="K97" i="33"/>
  <c r="P96" i="33"/>
  <c r="K96" i="33"/>
  <c r="P95" i="33"/>
  <c r="K95" i="33"/>
  <c r="P94" i="33"/>
  <c r="K94" i="33"/>
  <c r="T93" i="33"/>
  <c r="P93" i="33"/>
  <c r="K93" i="33"/>
  <c r="P92" i="33"/>
  <c r="K92" i="33"/>
  <c r="T91" i="33"/>
  <c r="P91" i="33"/>
  <c r="K91" i="33"/>
  <c r="P90" i="33"/>
  <c r="K90" i="33"/>
  <c r="P89" i="33"/>
  <c r="K89" i="33"/>
  <c r="P88" i="33"/>
  <c r="K88" i="33"/>
  <c r="P87" i="33"/>
  <c r="K87" i="33"/>
  <c r="P86" i="33"/>
  <c r="K86" i="33"/>
  <c r="P85" i="33"/>
  <c r="K85" i="33"/>
  <c r="P84" i="33"/>
  <c r="K84" i="33"/>
  <c r="P83" i="33"/>
  <c r="K83" i="33"/>
  <c r="P82" i="33"/>
  <c r="K82" i="33"/>
  <c r="P81" i="33"/>
  <c r="K81" i="33"/>
  <c r="T80" i="33"/>
  <c r="P80" i="33"/>
  <c r="K80" i="33"/>
  <c r="P79" i="33"/>
  <c r="K79" i="33"/>
  <c r="P78" i="33"/>
  <c r="K78" i="33"/>
  <c r="T77" i="33"/>
  <c r="P77" i="33"/>
  <c r="K77" i="33"/>
  <c r="P76" i="33"/>
  <c r="K76" i="33"/>
  <c r="P75" i="33"/>
  <c r="K75" i="33"/>
  <c r="P74" i="33"/>
  <c r="K74" i="33"/>
  <c r="P73" i="33"/>
  <c r="K73" i="33"/>
  <c r="T72" i="33"/>
  <c r="P72" i="33"/>
  <c r="K72" i="33"/>
  <c r="P71" i="33"/>
  <c r="K71" i="33"/>
  <c r="P70" i="33"/>
  <c r="K70" i="33"/>
  <c r="T69" i="33"/>
  <c r="P69" i="33"/>
  <c r="K69" i="33"/>
  <c r="P68" i="33"/>
  <c r="K68" i="33"/>
  <c r="P67" i="33"/>
  <c r="K67" i="33"/>
  <c r="P66" i="33"/>
  <c r="K66" i="33"/>
  <c r="P65" i="33"/>
  <c r="K65" i="33"/>
  <c r="P64" i="33"/>
  <c r="K64" i="33"/>
  <c r="P63" i="33"/>
  <c r="K63" i="33"/>
  <c r="T62" i="33"/>
  <c r="P62" i="33"/>
  <c r="K62" i="33"/>
  <c r="P61" i="33"/>
  <c r="K61" i="33"/>
  <c r="P60" i="33"/>
  <c r="K60" i="33"/>
  <c r="P59" i="33"/>
  <c r="K59" i="33"/>
  <c r="T58" i="33"/>
  <c r="P58" i="33"/>
  <c r="K58" i="33"/>
  <c r="P57" i="33"/>
  <c r="K57" i="33"/>
  <c r="T56" i="33"/>
  <c r="P56" i="33"/>
  <c r="K56" i="33"/>
  <c r="P55" i="33"/>
  <c r="K55" i="33"/>
  <c r="T54" i="33"/>
  <c r="P54" i="33"/>
  <c r="K54" i="33"/>
  <c r="P53" i="33"/>
  <c r="K53" i="33"/>
  <c r="P52" i="33"/>
  <c r="K52" i="33"/>
  <c r="P51" i="33"/>
  <c r="K51" i="33"/>
  <c r="T50" i="33"/>
  <c r="P50" i="33"/>
  <c r="K50" i="33"/>
  <c r="T49" i="33"/>
  <c r="P49" i="33"/>
  <c r="K49" i="33"/>
  <c r="P48" i="33"/>
  <c r="K48" i="33"/>
  <c r="P47" i="33"/>
  <c r="K47" i="33"/>
  <c r="T46" i="33"/>
  <c r="P46" i="33"/>
  <c r="K46" i="33"/>
  <c r="P45" i="33"/>
  <c r="K45" i="33"/>
  <c r="P44" i="33"/>
  <c r="K44" i="33"/>
  <c r="T43" i="33"/>
  <c r="P43" i="33"/>
  <c r="K43" i="33"/>
  <c r="T42" i="33"/>
  <c r="P42" i="33"/>
  <c r="K42" i="33"/>
  <c r="P41" i="33"/>
  <c r="K41" i="33"/>
  <c r="P40" i="33"/>
  <c r="K40" i="33"/>
  <c r="P39" i="33"/>
  <c r="K39" i="33"/>
  <c r="T38" i="33"/>
  <c r="P38" i="33"/>
  <c r="K38" i="33"/>
  <c r="P37" i="33"/>
  <c r="K37" i="33"/>
  <c r="P36" i="33"/>
  <c r="K36" i="33"/>
  <c r="P35" i="33"/>
  <c r="K35" i="33"/>
  <c r="P34" i="33"/>
  <c r="K34" i="33"/>
  <c r="P33" i="33"/>
  <c r="K33" i="33"/>
  <c r="P32" i="33"/>
  <c r="K32" i="33"/>
  <c r="P31" i="33"/>
  <c r="K31" i="33"/>
  <c r="P30" i="33"/>
  <c r="K30" i="33"/>
  <c r="P29" i="33"/>
  <c r="K29" i="33"/>
  <c r="P28" i="33"/>
  <c r="K28" i="33"/>
  <c r="P27" i="33"/>
  <c r="K27" i="33"/>
  <c r="P26" i="33"/>
  <c r="K26" i="33"/>
  <c r="P25" i="33"/>
  <c r="K25" i="33"/>
  <c r="P24" i="33"/>
  <c r="K24" i="33"/>
  <c r="P23" i="33"/>
  <c r="K23" i="33"/>
  <c r="P22" i="33"/>
  <c r="K22" i="33"/>
  <c r="T21" i="33"/>
  <c r="P21" i="33"/>
  <c r="K21" i="33"/>
  <c r="P20" i="33"/>
  <c r="K20" i="33"/>
  <c r="P19" i="33"/>
  <c r="K19" i="33"/>
  <c r="T18" i="33"/>
  <c r="P18" i="33"/>
  <c r="K18" i="33"/>
  <c r="P17" i="33"/>
  <c r="K17" i="33"/>
  <c r="P16" i="33"/>
  <c r="K16" i="33"/>
  <c r="P15" i="33"/>
  <c r="K15" i="33"/>
  <c r="T14" i="33"/>
  <c r="P14" i="33"/>
  <c r="K14" i="33"/>
  <c r="P13" i="33"/>
  <c r="K13" i="33"/>
  <c r="P12" i="33"/>
  <c r="K12" i="33"/>
  <c r="T11" i="33"/>
  <c r="P11" i="33"/>
  <c r="K11" i="33"/>
  <c r="P10" i="33"/>
  <c r="K10" i="33"/>
  <c r="P9" i="33"/>
  <c r="K9" i="33"/>
  <c r="P8" i="33"/>
  <c r="K8" i="33"/>
  <c r="P7" i="33"/>
  <c r="K7" i="33"/>
  <c r="K909" i="33" l="1"/>
  <c r="T909" i="33"/>
  <c r="O909" i="33"/>
  <c r="M909" i="33"/>
  <c r="K779" i="33"/>
  <c r="J909" i="33"/>
  <c r="P246" i="33"/>
  <c r="P909" i="33" s="1"/>
  <c r="G909" i="33"/>
  <c r="N87" i="15" l="1"/>
  <c r="D125" i="18" l="1"/>
  <c r="Q26" i="25" l="1"/>
  <c r="C26" i="25"/>
  <c r="O26" i="25"/>
  <c r="M26" i="25"/>
  <c r="H26" i="25"/>
  <c r="L26" i="25"/>
  <c r="G26" i="25"/>
  <c r="J26" i="25"/>
  <c r="V26" i="25"/>
  <c r="K26" i="25"/>
  <c r="F26" i="25"/>
  <c r="T26" i="25"/>
  <c r="R26" i="25"/>
  <c r="D26" i="25"/>
  <c r="U26" i="25"/>
  <c r="E175" i="18"/>
  <c r="AW249" i="1" l="1"/>
  <c r="L57" i="31"/>
  <c r="L49" i="31"/>
  <c r="L48" i="31"/>
  <c r="D93" i="31" s="1"/>
  <c r="K47" i="31"/>
  <c r="C93" i="31" s="1"/>
  <c r="C91" i="31"/>
  <c r="L45" i="31"/>
  <c r="D91" i="31" s="1"/>
  <c r="L44" i="31"/>
  <c r="D92" i="31" s="1"/>
  <c r="K43" i="31"/>
  <c r="C92" i="31" s="1"/>
  <c r="K42" i="31"/>
  <c r="C90" i="31" s="1"/>
  <c r="L41" i="31"/>
  <c r="D90" i="31" s="1"/>
  <c r="K40" i="31"/>
  <c r="L39" i="31"/>
  <c r="D88" i="31" s="1"/>
  <c r="K38" i="31"/>
  <c r="C88" i="31" s="1"/>
  <c r="C89" i="31" l="1"/>
  <c r="E89" i="31" s="1"/>
  <c r="E90" i="31"/>
  <c r="H90" i="31" s="1"/>
  <c r="E92" i="31"/>
  <c r="H92" i="31" s="1"/>
  <c r="D72" i="31" s="1"/>
  <c r="AN141" i="1" s="1"/>
  <c r="E91" i="31"/>
  <c r="D98" i="31"/>
  <c r="E93" i="31"/>
  <c r="E88" i="31"/>
  <c r="C74" i="31"/>
  <c r="AK75" i="1" s="1"/>
  <c r="L53" i="31"/>
  <c r="K50" i="31"/>
  <c r="L50" i="31"/>
  <c r="G90" i="31" l="1"/>
  <c r="C69" i="31" s="1"/>
  <c r="AK78" i="1" s="1"/>
  <c r="C98" i="31"/>
  <c r="G92" i="31"/>
  <c r="C72" i="31" s="1"/>
  <c r="AK141" i="1" s="1"/>
  <c r="H93" i="31"/>
  <c r="D73" i="31" s="1"/>
  <c r="AN143" i="1" s="1"/>
  <c r="G93" i="31"/>
  <c r="C73" i="31" s="1"/>
  <c r="AK143" i="1" s="1"/>
  <c r="H91" i="31"/>
  <c r="D70" i="31" s="1"/>
  <c r="AN80" i="1" s="1"/>
  <c r="G91" i="31"/>
  <c r="C70" i="31" s="1"/>
  <c r="AK80" i="1" s="1"/>
  <c r="H88" i="31"/>
  <c r="D67" i="31" s="1"/>
  <c r="AN131" i="1" s="1"/>
  <c r="AW131" i="1" s="1"/>
  <c r="BA131" i="1" s="1"/>
  <c r="G88" i="31"/>
  <c r="C67" i="31" s="1"/>
  <c r="AK131" i="1" s="1"/>
  <c r="E98" i="31"/>
  <c r="G89" i="31" s="1"/>
  <c r="D74" i="31"/>
  <c r="C66" i="31"/>
  <c r="D66" i="31"/>
  <c r="D69" i="31"/>
  <c r="AN78" i="1" s="1"/>
  <c r="Q231" i="15"/>
  <c r="Y231" i="15" s="1"/>
  <c r="H89" i="31" l="1"/>
  <c r="G98" i="31"/>
  <c r="H98" i="31"/>
  <c r="C68" i="31"/>
  <c r="AK153" i="1"/>
  <c r="AK249" i="1" l="1"/>
  <c r="AV249" i="1" s="1"/>
  <c r="C78" i="31"/>
  <c r="D68" i="31"/>
  <c r="E64" i="25"/>
  <c r="D78" i="31" l="1"/>
  <c r="U904" i="30"/>
  <c r="T904" i="30"/>
  <c r="S904" i="30"/>
  <c r="Q904" i="30"/>
  <c r="P904" i="30"/>
  <c r="O904" i="30"/>
  <c r="N904" i="30"/>
  <c r="L904" i="30"/>
  <c r="K904" i="30"/>
  <c r="J904" i="30"/>
  <c r="I904" i="30"/>
  <c r="G904" i="30"/>
  <c r="F904" i="30"/>
  <c r="E904" i="30"/>
  <c r="D904" i="30"/>
  <c r="C904" i="30"/>
  <c r="O35" i="25" l="1"/>
  <c r="O39" i="25" s="1"/>
  <c r="D35" i="25"/>
  <c r="H35" i="25"/>
  <c r="M35" i="25"/>
  <c r="M39" i="25" s="1"/>
  <c r="C35" i="25"/>
  <c r="L35" i="25"/>
  <c r="L39" i="25" s="1"/>
  <c r="V35" i="25"/>
  <c r="V39" i="25" s="1"/>
  <c r="K35" i="25"/>
  <c r="K39" i="25" s="1"/>
  <c r="U35" i="25"/>
  <c r="U39" i="25" s="1"/>
  <c r="J35" i="25"/>
  <c r="J39" i="25" s="1"/>
  <c r="R35" i="25"/>
  <c r="R39" i="25" s="1"/>
  <c r="G35" i="25"/>
  <c r="T35" i="25"/>
  <c r="T39" i="25" s="1"/>
  <c r="Q35" i="25"/>
  <c r="Q39" i="25" s="1"/>
  <c r="F35" i="25"/>
  <c r="G189" i="18"/>
  <c r="R13" i="25" l="1"/>
  <c r="AC155" i="1" l="1"/>
  <c r="AB155" i="1"/>
  <c r="AC154" i="1"/>
  <c r="AE154" i="1" s="1"/>
  <c r="AB154" i="1"/>
  <c r="AD154" i="1" s="1"/>
  <c r="B35" i="25" l="1"/>
  <c r="B26" i="25"/>
  <c r="AC30" i="1" l="1"/>
  <c r="AE30" i="1" s="1"/>
  <c r="AB30" i="1"/>
  <c r="AC149" i="1"/>
  <c r="AE149" i="1" s="1"/>
  <c r="AB149" i="1"/>
  <c r="AD149" i="1" s="1"/>
  <c r="AC144" i="1"/>
  <c r="AB144" i="1"/>
  <c r="AD144" i="1" s="1"/>
  <c r="AC142" i="1"/>
  <c r="AB142" i="1"/>
  <c r="AD142" i="1" s="1"/>
  <c r="AC140" i="1"/>
  <c r="AB140" i="1"/>
  <c r="AD140" i="1" s="1"/>
  <c r="AC139" i="1"/>
  <c r="AB139" i="1"/>
  <c r="AD139" i="1" s="1"/>
  <c r="AC81" i="1"/>
  <c r="AE81" i="1" s="1"/>
  <c r="AB81" i="1"/>
  <c r="AC79" i="1"/>
  <c r="AE79" i="1" s="1"/>
  <c r="AB79" i="1"/>
  <c r="AC77" i="1"/>
  <c r="AE77" i="1" s="1"/>
  <c r="AB77" i="1"/>
  <c r="AC76" i="1"/>
  <c r="AE76" i="1" s="1"/>
  <c r="AB76" i="1"/>
  <c r="AC74" i="1"/>
  <c r="AE74" i="1" s="1"/>
  <c r="AB74" i="1"/>
  <c r="B37" i="25" l="1"/>
  <c r="B28" i="25" l="1"/>
  <c r="U904" i="28"/>
  <c r="T904" i="28"/>
  <c r="S904" i="28"/>
  <c r="Q904" i="28"/>
  <c r="P904" i="28"/>
  <c r="O904" i="28"/>
  <c r="N904" i="28"/>
  <c r="L904" i="28"/>
  <c r="K904" i="28"/>
  <c r="J904" i="28"/>
  <c r="I904" i="28"/>
  <c r="G904" i="28"/>
  <c r="F904" i="28"/>
  <c r="E904" i="28"/>
  <c r="V30" i="25" l="1"/>
  <c r="D47" i="25" s="1"/>
  <c r="T30" i="25"/>
  <c r="G39" i="25"/>
  <c r="E50" i="25"/>
  <c r="D54" i="25"/>
  <c r="D39" i="25"/>
  <c r="H39" i="25"/>
  <c r="E51" i="25"/>
  <c r="D55" i="25"/>
  <c r="F39" i="25"/>
  <c r="D53" i="25" l="1"/>
  <c r="E49" i="25"/>
  <c r="D30" i="25"/>
  <c r="F30" i="25"/>
  <c r="G30" i="25"/>
  <c r="D45" i="25" s="1"/>
  <c r="J30" i="25"/>
  <c r="D56" i="25" s="1"/>
  <c r="K30" i="25"/>
  <c r="D57" i="25" s="1"/>
  <c r="L30" i="25"/>
  <c r="D58" i="25" s="1"/>
  <c r="R30" i="25"/>
  <c r="E63" i="25" s="1"/>
  <c r="O30" i="25"/>
  <c r="E60" i="25" s="1"/>
  <c r="M30" i="25"/>
  <c r="D59" i="25" s="1"/>
  <c r="Q30" i="25"/>
  <c r="E62" i="25" s="1"/>
  <c r="U30" i="25"/>
  <c r="H30" i="25"/>
  <c r="E46" i="25" s="1"/>
  <c r="C30" i="25"/>
  <c r="D52" i="25"/>
  <c r="E48" i="25"/>
  <c r="E26" i="25"/>
  <c r="E35" i="25"/>
  <c r="C39" i="25"/>
  <c r="D65" i="25" l="1"/>
  <c r="E65" i="25"/>
  <c r="E39" i="25"/>
  <c r="E30" i="25"/>
  <c r="C76" i="25"/>
  <c r="C173" i="18"/>
  <c r="G186" i="23"/>
  <c r="G187" i="23"/>
  <c r="G188" i="23"/>
  <c r="G185" i="23"/>
  <c r="E167" i="23"/>
  <c r="E168" i="23"/>
  <c r="E169" i="23"/>
  <c r="E170" i="23"/>
  <c r="E166" i="23"/>
  <c r="G186" i="24"/>
  <c r="G187" i="24"/>
  <c r="G188" i="24"/>
  <c r="G185" i="24"/>
  <c r="E167" i="24"/>
  <c r="E168" i="24"/>
  <c r="E169" i="24"/>
  <c r="E170" i="24"/>
  <c r="E166" i="24"/>
  <c r="E177" i="18"/>
  <c r="E176" i="18"/>
  <c r="E174" i="18"/>
  <c r="C75" i="25"/>
  <c r="AG139" i="1" l="1"/>
  <c r="AF74" i="1"/>
  <c r="AG132" i="1"/>
  <c r="AF151" i="1"/>
  <c r="C139" i="25"/>
  <c r="AF81" i="1"/>
  <c r="C126" i="25"/>
  <c r="D135" i="25"/>
  <c r="D142" i="25"/>
  <c r="C135" i="25"/>
  <c r="D76" i="25"/>
  <c r="D143" i="25"/>
  <c r="C142" i="25"/>
  <c r="D137" i="25"/>
  <c r="D138" i="25"/>
  <c r="D139" i="25"/>
  <c r="C136" i="25"/>
  <c r="C137" i="25"/>
  <c r="D126" i="25"/>
  <c r="D136" i="25"/>
  <c r="C138" i="25"/>
  <c r="AG144" i="1"/>
  <c r="C140" i="25"/>
  <c r="D140" i="25"/>
  <c r="D141" i="25"/>
  <c r="D66" i="25"/>
  <c r="D67" i="25" s="1"/>
  <c r="C143" i="25"/>
  <c r="C141" i="25"/>
  <c r="E66" i="25"/>
  <c r="AG140" i="1"/>
  <c r="AF77" i="1"/>
  <c r="AG142" i="1"/>
  <c r="AF79" i="1"/>
  <c r="AF76" i="1"/>
  <c r="AD77" i="1"/>
  <c r="AE139" i="1"/>
  <c r="AP76" i="1"/>
  <c r="AP77" i="1"/>
  <c r="AS142" i="1"/>
  <c r="AD74" i="1"/>
  <c r="AD30" i="1"/>
  <c r="AD76" i="1"/>
  <c r="AD79" i="1"/>
  <c r="AE142" i="1"/>
  <c r="AE140" i="1"/>
  <c r="AP81" i="1"/>
  <c r="AP79" i="1"/>
  <c r="L170" i="15"/>
  <c r="E173" i="18"/>
  <c r="AP74" i="1" s="1"/>
  <c r="C127" i="25" l="1"/>
  <c r="AF155" i="1"/>
  <c r="AG155" i="1"/>
  <c r="E67" i="25"/>
  <c r="AE155" i="1"/>
  <c r="AD155" i="1"/>
  <c r="AD81" i="1"/>
  <c r="AE144" i="1"/>
  <c r="C77" i="25"/>
  <c r="AW155" i="1" l="1"/>
  <c r="AV155" i="1"/>
  <c r="G193" i="18"/>
  <c r="AS144" i="1" s="1"/>
  <c r="G194" i="18"/>
  <c r="AS140" i="1" s="1"/>
  <c r="G195" i="18"/>
  <c r="AS139" i="1" s="1"/>
  <c r="G192" i="18"/>
  <c r="E143" i="25" l="1"/>
  <c r="E168" i="18"/>
  <c r="AP30" i="1" s="1"/>
  <c r="G143" i="25" l="1"/>
  <c r="C113" i="25" s="1"/>
  <c r="H143" i="25"/>
  <c r="D113" i="25" s="1"/>
  <c r="AN74" i="1" s="1"/>
  <c r="AW74" i="1" s="1"/>
  <c r="E140" i="25"/>
  <c r="E138" i="25"/>
  <c r="E142" i="25"/>
  <c r="AW291" i="1"/>
  <c r="AW284" i="1"/>
  <c r="AW277" i="1"/>
  <c r="AW270" i="1"/>
  <c r="AW263" i="1"/>
  <c r="AW256" i="1"/>
  <c r="H142" i="25" l="1"/>
  <c r="D112" i="25" s="1"/>
  <c r="G142" i="25"/>
  <c r="C112" i="25" s="1"/>
  <c r="G138" i="25"/>
  <c r="C108" i="25" s="1"/>
  <c r="AK76" i="1" s="1"/>
  <c r="AV76" i="1" s="1"/>
  <c r="H138" i="25"/>
  <c r="D108" i="25" s="1"/>
  <c r="AN76" i="1" s="1"/>
  <c r="AW76" i="1" s="1"/>
  <c r="H140" i="25"/>
  <c r="D110" i="25" s="1"/>
  <c r="AN144" i="1" s="1"/>
  <c r="G140" i="25"/>
  <c r="C110" i="25" s="1"/>
  <c r="AK144" i="1" s="1"/>
  <c r="E136" i="25"/>
  <c r="C88" i="25"/>
  <c r="C87" i="25"/>
  <c r="C86" i="25"/>
  <c r="C85" i="25"/>
  <c r="C84" i="25"/>
  <c r="C83" i="25"/>
  <c r="C82" i="25"/>
  <c r="C81" i="25"/>
  <c r="N178" i="15"/>
  <c r="X221" i="15" s="1"/>
  <c r="N177" i="15"/>
  <c r="X220" i="15" s="1"/>
  <c r="N176" i="15"/>
  <c r="X219" i="15" s="1"/>
  <c r="N175" i="15"/>
  <c r="X218" i="15" s="1"/>
  <c r="N174" i="15"/>
  <c r="X217" i="15" s="1"/>
  <c r="N173" i="15"/>
  <c r="X216" i="15" s="1"/>
  <c r="N172" i="15"/>
  <c r="X215" i="15" s="1"/>
  <c r="N171" i="15"/>
  <c r="X214" i="15" s="1"/>
  <c r="W223" i="15"/>
  <c r="L165" i="15"/>
  <c r="N165" i="15" s="1"/>
  <c r="L154" i="15"/>
  <c r="N154" i="15" s="1"/>
  <c r="D127" i="25" l="1"/>
  <c r="C131" i="25"/>
  <c r="D131" i="25"/>
  <c r="D128" i="25"/>
  <c r="C128" i="25"/>
  <c r="C132" i="25"/>
  <c r="D132" i="25"/>
  <c r="C129" i="25"/>
  <c r="D129" i="25"/>
  <c r="C133" i="25"/>
  <c r="D133" i="25"/>
  <c r="D130" i="25"/>
  <c r="C130" i="25"/>
  <c r="C134" i="25"/>
  <c r="D134" i="25"/>
  <c r="E141" i="25"/>
  <c r="G141" i="25" s="1"/>
  <c r="G136" i="25"/>
  <c r="C106" i="25" s="1"/>
  <c r="AK81" i="1" s="1"/>
  <c r="AV81" i="1" s="1"/>
  <c r="H136" i="25"/>
  <c r="D106" i="25" s="1"/>
  <c r="AN81" i="1" s="1"/>
  <c r="C89" i="25"/>
  <c r="D89" i="25" s="1"/>
  <c r="C78" i="25"/>
  <c r="D78" i="25" s="1"/>
  <c r="C27" i="27"/>
  <c r="AK139" i="1" l="1"/>
  <c r="AV139" i="1" s="1"/>
  <c r="C111" i="25"/>
  <c r="AK142" i="1" s="1"/>
  <c r="AV142" i="1" s="1"/>
  <c r="E126" i="25"/>
  <c r="H141" i="25"/>
  <c r="AV200" i="1"/>
  <c r="AW248" i="1"/>
  <c r="AW241" i="1"/>
  <c r="AV241" i="1"/>
  <c r="AW240" i="1"/>
  <c r="AK248" i="1"/>
  <c r="AV248" i="1" s="1"/>
  <c r="AN139" i="1" l="1"/>
  <c r="D111" i="25"/>
  <c r="AN142" i="1" s="1"/>
  <c r="AW142" i="1" s="1"/>
  <c r="G126" i="25"/>
  <c r="H126" i="25"/>
  <c r="D28" i="27"/>
  <c r="AN200" i="1" s="1"/>
  <c r="AW200" i="1" s="1"/>
  <c r="Y223" i="15"/>
  <c r="C30" i="27"/>
  <c r="D96" i="25" l="1"/>
  <c r="AN132" i="1" s="1"/>
  <c r="C96" i="25"/>
  <c r="AK132" i="1" s="1"/>
  <c r="AV132" i="1" s="1"/>
  <c r="AA223" i="15"/>
  <c r="N196" i="15" s="1"/>
  <c r="Z223" i="15"/>
  <c r="L196" i="15" s="1"/>
  <c r="AK74" i="1" s="1"/>
  <c r="AV74" i="1" s="1"/>
  <c r="D30" i="27"/>
  <c r="AC138" i="1"/>
  <c r="AE138" i="1" s="1"/>
  <c r="AB138" i="1"/>
  <c r="AD138" i="1" s="1"/>
  <c r="I208" i="4"/>
  <c r="L291" i="19"/>
  <c r="AS171" i="1" s="1"/>
  <c r="L290" i="19"/>
  <c r="AS170" i="1" s="1"/>
  <c r="K52" i="14"/>
  <c r="G27" i="22"/>
  <c r="AV302" i="1"/>
  <c r="R113" i="13"/>
  <c r="K113" i="13"/>
  <c r="S113" i="13" s="1"/>
  <c r="N86" i="13" s="1"/>
  <c r="AN302" i="1" s="1"/>
  <c r="AW302" i="1" s="1"/>
  <c r="L289" i="19"/>
  <c r="AS169" i="1" s="1"/>
  <c r="G23" i="22"/>
  <c r="AR169" i="1"/>
  <c r="AC169" i="1"/>
  <c r="AE169" i="1" s="1"/>
  <c r="AB169" i="1"/>
  <c r="AD169" i="1" s="1"/>
  <c r="AV169" i="1" s="1"/>
  <c r="AG333" i="1"/>
  <c r="G47" i="5"/>
  <c r="G182" i="24"/>
  <c r="G182" i="23"/>
  <c r="AS132" i="1" s="1"/>
  <c r="G190" i="18"/>
  <c r="AS133" i="1" s="1"/>
  <c r="N98" i="15"/>
  <c r="O107" i="15" s="1"/>
  <c r="L224" i="15"/>
  <c r="L222" i="15"/>
  <c r="L221" i="15"/>
  <c r="L220" i="15"/>
  <c r="L219" i="15"/>
  <c r="J40" i="15"/>
  <c r="F214" i="15" s="1"/>
  <c r="L214" i="15"/>
  <c r="U214" i="15"/>
  <c r="L27" i="15"/>
  <c r="J214" i="15" s="1"/>
  <c r="J41" i="15"/>
  <c r="F215" i="15" s="1"/>
  <c r="L215" i="15"/>
  <c r="U215" i="15"/>
  <c r="L28" i="15"/>
  <c r="J215" i="15" s="1"/>
  <c r="J42" i="15"/>
  <c r="F216" i="15" s="1"/>
  <c r="L216" i="15"/>
  <c r="U216" i="15"/>
  <c r="L29" i="15"/>
  <c r="J216" i="15" s="1"/>
  <c r="J43" i="15"/>
  <c r="F217" i="15" s="1"/>
  <c r="L217" i="15"/>
  <c r="U217" i="15"/>
  <c r="L30" i="15"/>
  <c r="J217" i="15" s="1"/>
  <c r="J44" i="15"/>
  <c r="F218" i="15" s="1"/>
  <c r="L218" i="15"/>
  <c r="U218" i="15"/>
  <c r="L31" i="15"/>
  <c r="J218" i="15" s="1"/>
  <c r="J45" i="15"/>
  <c r="F219" i="15" s="1"/>
  <c r="U219" i="15"/>
  <c r="L32" i="15"/>
  <c r="J219" i="15" s="1"/>
  <c r="J46" i="15"/>
  <c r="F220" i="15" s="1"/>
  <c r="U220" i="15"/>
  <c r="L33" i="15"/>
  <c r="J220" i="15" s="1"/>
  <c r="J47" i="15"/>
  <c r="F221" i="15" s="1"/>
  <c r="R221" i="15"/>
  <c r="U221" i="15"/>
  <c r="L34" i="15"/>
  <c r="J221" i="15" s="1"/>
  <c r="U222" i="15"/>
  <c r="F224" i="15"/>
  <c r="U224" i="15"/>
  <c r="L48" i="15"/>
  <c r="J35" i="15"/>
  <c r="N226" i="15"/>
  <c r="V229" i="15"/>
  <c r="Y229" i="15" s="1"/>
  <c r="AA229" i="15" s="1"/>
  <c r="N198" i="15" s="1"/>
  <c r="AN129" i="1" s="1"/>
  <c r="V230" i="15"/>
  <c r="Y230" i="15" s="1"/>
  <c r="Z230" i="15" s="1"/>
  <c r="L199" i="15" s="1"/>
  <c r="AK130" i="1" s="1"/>
  <c r="Z231" i="15"/>
  <c r="L202" i="15" s="1"/>
  <c r="AK152" i="1" s="1"/>
  <c r="AM133" i="1"/>
  <c r="AB133" i="1"/>
  <c r="AD133" i="1" s="1"/>
  <c r="AC133" i="1"/>
  <c r="AE133" i="1" s="1"/>
  <c r="N116" i="13"/>
  <c r="AC331" i="1"/>
  <c r="AE331" i="1" s="1"/>
  <c r="AB331" i="1"/>
  <c r="AD331" i="1" s="1"/>
  <c r="AC327" i="1"/>
  <c r="AE327" i="1" s="1"/>
  <c r="AW327" i="1" s="1"/>
  <c r="AB327" i="1"/>
  <c r="AD327" i="1" s="1"/>
  <c r="AC330" i="1"/>
  <c r="AE330" i="1" s="1"/>
  <c r="AB330" i="1"/>
  <c r="AD330" i="1" s="1"/>
  <c r="AV330" i="1" s="1"/>
  <c r="L56" i="12"/>
  <c r="AK300" i="1" s="1"/>
  <c r="AV300" i="1" s="1"/>
  <c r="AC18" i="1"/>
  <c r="AE18" i="1" s="1"/>
  <c r="AW18" i="1" s="1"/>
  <c r="AW39" i="1"/>
  <c r="AB36" i="1"/>
  <c r="AD36" i="1" s="1"/>
  <c r="AB37" i="1"/>
  <c r="AD37" i="1" s="1"/>
  <c r="AB38" i="1"/>
  <c r="AD38" i="1" s="1"/>
  <c r="AC36" i="1"/>
  <c r="AE36" i="1" s="1"/>
  <c r="AC37" i="1"/>
  <c r="AE37" i="1" s="1"/>
  <c r="AC38" i="1"/>
  <c r="AE38" i="1" s="1"/>
  <c r="AW38" i="1" s="1"/>
  <c r="AB287" i="1"/>
  <c r="AD287" i="1" s="1"/>
  <c r="Z353" i="4"/>
  <c r="AB353" i="4" s="1"/>
  <c r="M275" i="4" s="1"/>
  <c r="AK290" i="1" s="1"/>
  <c r="AV290" i="1" s="1"/>
  <c r="X332" i="4"/>
  <c r="AB332" i="4" s="1"/>
  <c r="M254" i="4" s="1"/>
  <c r="AK289" i="1" s="1"/>
  <c r="AB289" i="1"/>
  <c r="AD289" i="1" s="1"/>
  <c r="AB288" i="1"/>
  <c r="AD288" i="1" s="1"/>
  <c r="AC287" i="1"/>
  <c r="AE287" i="1" s="1"/>
  <c r="AC288" i="1"/>
  <c r="AE288" i="1" s="1"/>
  <c r="AC289" i="1"/>
  <c r="AE289" i="1" s="1"/>
  <c r="Z352" i="4"/>
  <c r="AB352" i="4" s="1"/>
  <c r="M274" i="4"/>
  <c r="AK283" i="1" s="1"/>
  <c r="AV283" i="1" s="1"/>
  <c r="AB280" i="1"/>
  <c r="AD280" i="1" s="1"/>
  <c r="X331" i="4"/>
  <c r="AB331" i="4" s="1"/>
  <c r="M253" i="4" s="1"/>
  <c r="AK282" i="1" s="1"/>
  <c r="AB282" i="1"/>
  <c r="AD282" i="1" s="1"/>
  <c r="AB281" i="1"/>
  <c r="AD281" i="1" s="1"/>
  <c r="AC280" i="1"/>
  <c r="AE280" i="1" s="1"/>
  <c r="AC281" i="1"/>
  <c r="AE281" i="1" s="1"/>
  <c r="AC282" i="1"/>
  <c r="AE282" i="1" s="1"/>
  <c r="Z351" i="4"/>
  <c r="AB351" i="4" s="1"/>
  <c r="M273" i="4" s="1"/>
  <c r="AK276" i="1" s="1"/>
  <c r="AV276" i="1" s="1"/>
  <c r="X330" i="4"/>
  <c r="AB330" i="4" s="1"/>
  <c r="M252" i="4" s="1"/>
  <c r="AK275" i="1" s="1"/>
  <c r="AB275" i="1"/>
  <c r="AD275" i="1" s="1"/>
  <c r="J58" i="5"/>
  <c r="AK273" i="1" s="1"/>
  <c r="AB273" i="1"/>
  <c r="AD273" i="1" s="1"/>
  <c r="AB274" i="1"/>
  <c r="AD274" i="1" s="1"/>
  <c r="AC273" i="1"/>
  <c r="AE273" i="1" s="1"/>
  <c r="AC274" i="1"/>
  <c r="AE274" i="1" s="1"/>
  <c r="AC275" i="1"/>
  <c r="AE275" i="1" s="1"/>
  <c r="Z350" i="4"/>
  <c r="AB350" i="4" s="1"/>
  <c r="M272" i="4" s="1"/>
  <c r="AK269" i="1"/>
  <c r="AV269" i="1" s="1"/>
  <c r="X329" i="4"/>
  <c r="AB329" i="4" s="1"/>
  <c r="M251" i="4" s="1"/>
  <c r="AK268" i="1" s="1"/>
  <c r="AB268" i="1"/>
  <c r="AD268" i="1" s="1"/>
  <c r="J57" i="5"/>
  <c r="AK266" i="1" s="1"/>
  <c r="AB266" i="1"/>
  <c r="AD266" i="1" s="1"/>
  <c r="AB267" i="1"/>
  <c r="AD267" i="1" s="1"/>
  <c r="AC266" i="1"/>
  <c r="AE266" i="1" s="1"/>
  <c r="AC267" i="1"/>
  <c r="AE267" i="1" s="1"/>
  <c r="AC268" i="1"/>
  <c r="AE268" i="1" s="1"/>
  <c r="Z349" i="4"/>
  <c r="AB349" i="4" s="1"/>
  <c r="M271" i="4" s="1"/>
  <c r="AK262" i="1" s="1"/>
  <c r="AV262" i="1" s="1"/>
  <c r="X328" i="4"/>
  <c r="AB328" i="4" s="1"/>
  <c r="M250" i="4" s="1"/>
  <c r="AK261" i="1" s="1"/>
  <c r="AB261" i="1"/>
  <c r="AD261" i="1" s="1"/>
  <c r="AB259" i="1"/>
  <c r="AD259" i="1" s="1"/>
  <c r="AB260" i="1"/>
  <c r="AD260" i="1" s="1"/>
  <c r="AC259" i="1"/>
  <c r="AE259" i="1" s="1"/>
  <c r="AC260" i="1"/>
  <c r="AE260" i="1" s="1"/>
  <c r="AC261" i="1"/>
  <c r="AE261" i="1" s="1"/>
  <c r="Z348" i="4"/>
  <c r="AB348" i="4" s="1"/>
  <c r="M270" i="4" s="1"/>
  <c r="AK255" i="1" s="1"/>
  <c r="AV255" i="1" s="1"/>
  <c r="X327" i="4"/>
  <c r="AB327" i="4" s="1"/>
  <c r="M249" i="4" s="1"/>
  <c r="AK254" i="1" s="1"/>
  <c r="AB254" i="1"/>
  <c r="AD254" i="1" s="1"/>
  <c r="J55" i="5"/>
  <c r="AK252" i="1" s="1"/>
  <c r="AB252" i="1"/>
  <c r="AD252" i="1" s="1"/>
  <c r="AB253" i="1"/>
  <c r="AD253" i="1" s="1"/>
  <c r="AC252" i="1"/>
  <c r="AE252" i="1" s="1"/>
  <c r="AC253" i="1"/>
  <c r="AE253" i="1" s="1"/>
  <c r="AC254" i="1"/>
  <c r="AE254" i="1" s="1"/>
  <c r="Z347" i="4"/>
  <c r="AB347" i="4" s="1"/>
  <c r="M269" i="4" s="1"/>
  <c r="AK246" i="1" s="1"/>
  <c r="AV246" i="1" s="1"/>
  <c r="X326" i="4"/>
  <c r="AB326" i="4" s="1"/>
  <c r="M248" i="4" s="1"/>
  <c r="AK245" i="1" s="1"/>
  <c r="AB245" i="1"/>
  <c r="AD245" i="1" s="1"/>
  <c r="J54" i="5"/>
  <c r="AK243" i="1" s="1"/>
  <c r="AB243" i="1"/>
  <c r="AD243" i="1" s="1"/>
  <c r="AB244" i="1"/>
  <c r="AD244" i="1" s="1"/>
  <c r="AC243" i="1"/>
  <c r="AE243" i="1" s="1"/>
  <c r="AC244" i="1"/>
  <c r="AE244" i="1" s="1"/>
  <c r="AC245" i="1"/>
  <c r="AE245" i="1" s="1"/>
  <c r="AW239" i="1"/>
  <c r="Z346" i="4"/>
  <c r="AB346" i="4" s="1"/>
  <c r="M268" i="4" s="1"/>
  <c r="AK239" i="1" s="1"/>
  <c r="AV239" i="1" s="1"/>
  <c r="L98" i="4"/>
  <c r="M98" i="4"/>
  <c r="O98" i="4"/>
  <c r="P98" i="4"/>
  <c r="Q98" i="4"/>
  <c r="AB236" i="1"/>
  <c r="AD236" i="1" s="1"/>
  <c r="AB237" i="1"/>
  <c r="AD237" i="1" s="1"/>
  <c r="AB238" i="1"/>
  <c r="AD238" i="1" s="1"/>
  <c r="J53" i="5"/>
  <c r="AK235" i="1" s="1"/>
  <c r="AB235" i="1"/>
  <c r="AD235" i="1" s="1"/>
  <c r="AC235" i="1"/>
  <c r="AE235" i="1" s="1"/>
  <c r="AC236" i="1"/>
  <c r="AE236" i="1" s="1"/>
  <c r="AC237" i="1"/>
  <c r="AE237" i="1" s="1"/>
  <c r="AC238" i="1"/>
  <c r="AE238" i="1" s="1"/>
  <c r="AA345" i="4"/>
  <c r="AC345" i="4" s="1"/>
  <c r="O267" i="4" s="1"/>
  <c r="AN331" i="1" s="1"/>
  <c r="Z345" i="4"/>
  <c r="AB345" i="4" s="1"/>
  <c r="M267" i="4" s="1"/>
  <c r="AK327" i="1" s="1"/>
  <c r="AA344" i="4"/>
  <c r="AC344" i="4" s="1"/>
  <c r="O266" i="4" s="1"/>
  <c r="AN187" i="1" s="1"/>
  <c r="AA343" i="4"/>
  <c r="AC343" i="4" s="1"/>
  <c r="O265" i="4" s="1"/>
  <c r="AN67" i="1" s="1"/>
  <c r="AA342" i="4"/>
  <c r="AC342" i="4" s="1"/>
  <c r="O264" i="4" s="1"/>
  <c r="AN63" i="1" s="1"/>
  <c r="AA341" i="4"/>
  <c r="AC341" i="4" s="1"/>
  <c r="O263" i="4" s="1"/>
  <c r="AN59" i="1" s="1"/>
  <c r="AA340" i="4"/>
  <c r="AC340" i="4" s="1"/>
  <c r="O262" i="4" s="1"/>
  <c r="AN55" i="1" s="1"/>
  <c r="AA339" i="4"/>
  <c r="AC339" i="4" s="1"/>
  <c r="O261" i="4" s="1"/>
  <c r="AN51" i="1" s="1"/>
  <c r="AA338" i="4"/>
  <c r="AC338" i="4" s="1"/>
  <c r="O260" i="4" s="1"/>
  <c r="AN47" i="1" s="1"/>
  <c r="AA337" i="4"/>
  <c r="AC337" i="4" s="1"/>
  <c r="O259" i="4" s="1"/>
  <c r="AN43" i="1" s="1"/>
  <c r="AA336" i="4"/>
  <c r="AC336" i="4" s="1"/>
  <c r="O258" i="4" s="1"/>
  <c r="AN37" i="1" s="1"/>
  <c r="AB336" i="4"/>
  <c r="M258" i="4" s="1"/>
  <c r="AK39" i="1" s="1"/>
  <c r="AV39" i="1" s="1"/>
  <c r="Z335" i="4"/>
  <c r="AB335" i="4" s="1"/>
  <c r="M257" i="4" s="1"/>
  <c r="AK318" i="1" s="1"/>
  <c r="AC292" i="4"/>
  <c r="O214" i="4" s="1"/>
  <c r="AC293" i="4"/>
  <c r="O215" i="4" s="1"/>
  <c r="AC294" i="4"/>
  <c r="O216" i="4" s="1"/>
  <c r="AC295" i="4"/>
  <c r="O217" i="4" s="1"/>
  <c r="AC296" i="4"/>
  <c r="O218" i="4" s="1"/>
  <c r="AC297" i="4"/>
  <c r="O219" i="4"/>
  <c r="AC298" i="4"/>
  <c r="O220" i="4" s="1"/>
  <c r="AC299" i="4"/>
  <c r="O221" i="4" s="1"/>
  <c r="AC300" i="4"/>
  <c r="O222" i="4" s="1"/>
  <c r="AC301" i="4"/>
  <c r="O223" i="4" s="1"/>
  <c r="AC302" i="4"/>
  <c r="O224" i="4" s="1"/>
  <c r="M303" i="4"/>
  <c r="P303" i="4"/>
  <c r="R303" i="4"/>
  <c r="T303" i="4"/>
  <c r="M304" i="4"/>
  <c r="P304" i="4"/>
  <c r="R304" i="4"/>
  <c r="T304" i="4"/>
  <c r="M305" i="4"/>
  <c r="P305" i="4"/>
  <c r="R305" i="4"/>
  <c r="T305" i="4"/>
  <c r="P306" i="4"/>
  <c r="R306" i="4"/>
  <c r="T306" i="4"/>
  <c r="P307" i="4"/>
  <c r="R307" i="4"/>
  <c r="T307" i="4"/>
  <c r="T308" i="4"/>
  <c r="AC308" i="4" s="1"/>
  <c r="O230" i="4" s="1"/>
  <c r="AN58" i="1" s="1"/>
  <c r="M309" i="4"/>
  <c r="P309" i="4"/>
  <c r="R309" i="4"/>
  <c r="T309" i="4"/>
  <c r="M310" i="4"/>
  <c r="P310" i="4"/>
  <c r="R310" i="4"/>
  <c r="T310" i="4"/>
  <c r="L59" i="4"/>
  <c r="L65" i="4" s="1"/>
  <c r="M59" i="4"/>
  <c r="M65" i="4" s="1"/>
  <c r="O59" i="4"/>
  <c r="O65" i="4" s="1"/>
  <c r="P59" i="4"/>
  <c r="P65" i="4" s="1"/>
  <c r="Q59" i="4"/>
  <c r="Q65" i="4" s="1"/>
  <c r="L41" i="4"/>
  <c r="L45" i="4" s="1"/>
  <c r="M41" i="4"/>
  <c r="M45" i="4" s="1"/>
  <c r="O41" i="4"/>
  <c r="O45" i="4" s="1"/>
  <c r="AC314" i="4"/>
  <c r="O236" i="4" s="1"/>
  <c r="AC315" i="4"/>
  <c r="O237" i="4" s="1"/>
  <c r="AC316" i="4"/>
  <c r="O238" i="4" s="1"/>
  <c r="AC317" i="4"/>
  <c r="O239" i="4" s="1"/>
  <c r="AC318" i="4"/>
  <c r="O240" i="4" s="1"/>
  <c r="AC319" i="4"/>
  <c r="O241" i="4" s="1"/>
  <c r="AC320" i="4"/>
  <c r="O242" i="4" s="1"/>
  <c r="AC321" i="4"/>
  <c r="O243" i="4" s="1"/>
  <c r="W322" i="4"/>
  <c r="AC322" i="4" s="1"/>
  <c r="O244" i="4" s="1"/>
  <c r="AN186" i="1" s="1"/>
  <c r="W323" i="4"/>
  <c r="AC323" i="4" s="1"/>
  <c r="O245" i="4" s="1"/>
  <c r="AN330" i="1" s="1"/>
  <c r="W324" i="4"/>
  <c r="AC324" i="4" s="1"/>
  <c r="O246" i="4" s="1"/>
  <c r="AN309" i="1" s="1"/>
  <c r="AC326" i="4"/>
  <c r="O248" i="4" s="1"/>
  <c r="AC327" i="4"/>
  <c r="O249" i="4" s="1"/>
  <c r="AC328" i="4"/>
  <c r="O250" i="4" s="1"/>
  <c r="AC329" i="4"/>
  <c r="O251" i="4" s="1"/>
  <c r="AC330" i="4"/>
  <c r="O252" i="4" s="1"/>
  <c r="AC331" i="4"/>
  <c r="O253" i="4" s="1"/>
  <c r="AC332" i="4"/>
  <c r="O254" i="4" s="1"/>
  <c r="Y333" i="4"/>
  <c r="AC333" i="4" s="1"/>
  <c r="O255" i="4" s="1"/>
  <c r="AN295" i="1" s="1"/>
  <c r="AW295" i="1" s="1"/>
  <c r="AC346" i="4"/>
  <c r="O268" i="4" s="1"/>
  <c r="AC347" i="4"/>
  <c r="O269" i="4" s="1"/>
  <c r="AC348" i="4"/>
  <c r="O270" i="4" s="1"/>
  <c r="AC349" i="4"/>
  <c r="O271" i="4" s="1"/>
  <c r="AC350" i="4"/>
  <c r="O272" i="4" s="1"/>
  <c r="AC351" i="4"/>
  <c r="O273" i="4" s="1"/>
  <c r="AC352" i="4"/>
  <c r="O274" i="4" s="1"/>
  <c r="AC353" i="4"/>
  <c r="O275" i="4" s="1"/>
  <c r="L292" i="4"/>
  <c r="O292" i="4"/>
  <c r="Q292" i="4"/>
  <c r="S292" i="4"/>
  <c r="L293" i="4"/>
  <c r="O293" i="4"/>
  <c r="Q293" i="4"/>
  <c r="S293" i="4"/>
  <c r="O294" i="4"/>
  <c r="Q294" i="4"/>
  <c r="S294" i="4"/>
  <c r="O295" i="4"/>
  <c r="Q295" i="4"/>
  <c r="S295" i="4"/>
  <c r="AB295" i="4" s="1"/>
  <c r="L296" i="4"/>
  <c r="O296" i="4"/>
  <c r="Q296" i="4"/>
  <c r="S296" i="4"/>
  <c r="L297" i="4"/>
  <c r="O297" i="4"/>
  <c r="Q297" i="4"/>
  <c r="S297" i="4"/>
  <c r="S298" i="4"/>
  <c r="AB298" i="4" s="1"/>
  <c r="M220" i="4" s="1"/>
  <c r="AK61" i="1" s="1"/>
  <c r="L299" i="4"/>
  <c r="O299" i="4"/>
  <c r="O300" i="4"/>
  <c r="AB300" i="4" s="1"/>
  <c r="M222" i="4" s="1"/>
  <c r="AK185" i="1" s="1"/>
  <c r="S302" i="4"/>
  <c r="AB302" i="4" s="1"/>
  <c r="M224" i="4" s="1"/>
  <c r="AK310" i="1" s="1"/>
  <c r="AB303" i="4"/>
  <c r="M225" i="4"/>
  <c r="AK37" i="1" s="1"/>
  <c r="Q304" i="4"/>
  <c r="AB304" i="4" s="1"/>
  <c r="M226" i="4" s="1"/>
  <c r="AK43" i="1" s="1"/>
  <c r="Q305" i="4"/>
  <c r="AB305" i="4" s="1"/>
  <c r="M227" i="4" s="1"/>
  <c r="AK47" i="1" s="1"/>
  <c r="Q306" i="4"/>
  <c r="AB306" i="4" s="1"/>
  <c r="M228" i="4" s="1"/>
  <c r="AK51" i="1" s="1"/>
  <c r="Q307" i="4"/>
  <c r="AB307" i="4" s="1"/>
  <c r="M229" i="4" s="1"/>
  <c r="AK55" i="1" s="1"/>
  <c r="AB308" i="4"/>
  <c r="M230" i="4" s="1"/>
  <c r="AK59" i="1" s="1"/>
  <c r="Q309" i="4"/>
  <c r="AB309" i="4" s="1"/>
  <c r="M231" i="4" s="1"/>
  <c r="AK63" i="1" s="1"/>
  <c r="Q310" i="4"/>
  <c r="AB310" i="4" s="1"/>
  <c r="M232" i="4" s="1"/>
  <c r="AK67" i="1" s="1"/>
  <c r="V314" i="4"/>
  <c r="AB314" i="4" s="1"/>
  <c r="M236" i="4" s="1"/>
  <c r="AK38" i="1" s="1"/>
  <c r="V315" i="4"/>
  <c r="AB315" i="4" s="1"/>
  <c r="M237" i="4" s="1"/>
  <c r="AK44" i="1" s="1"/>
  <c r="V316" i="4"/>
  <c r="AB316" i="4" s="1"/>
  <c r="M238" i="4" s="1"/>
  <c r="AK48" i="1" s="1"/>
  <c r="V317" i="4"/>
  <c r="AB317" i="4" s="1"/>
  <c r="M239" i="4" s="1"/>
  <c r="AK52" i="1" s="1"/>
  <c r="V318" i="4"/>
  <c r="AB318" i="4" s="1"/>
  <c r="M240" i="4" s="1"/>
  <c r="AK56" i="1" s="1"/>
  <c r="V319" i="4"/>
  <c r="AB319" i="4" s="1"/>
  <c r="M241" i="4" s="1"/>
  <c r="AK60" i="1" s="1"/>
  <c r="V320" i="4"/>
  <c r="AB320" i="4" s="1"/>
  <c r="M242" i="4" s="1"/>
  <c r="AK64" i="1" s="1"/>
  <c r="V321" i="4"/>
  <c r="AB321" i="4" s="1"/>
  <c r="M243" i="4" s="1"/>
  <c r="AK68" i="1" s="1"/>
  <c r="AB322" i="4"/>
  <c r="M244" i="4" s="1"/>
  <c r="AB323" i="4"/>
  <c r="M245" i="4" s="1"/>
  <c r="AB324" i="4"/>
  <c r="M246" i="4" s="1"/>
  <c r="AB333" i="4"/>
  <c r="M255" i="4"/>
  <c r="AB337" i="4"/>
  <c r="M259" i="4" s="1"/>
  <c r="AB338" i="4"/>
  <c r="M260" i="4" s="1"/>
  <c r="AB339" i="4"/>
  <c r="M261" i="4" s="1"/>
  <c r="AB340" i="4"/>
  <c r="M262" i="4" s="1"/>
  <c r="AB341" i="4"/>
  <c r="M263" i="4" s="1"/>
  <c r="AB342" i="4"/>
  <c r="M264" i="4" s="1"/>
  <c r="AB343" i="4"/>
  <c r="M265" i="4" s="1"/>
  <c r="AB344" i="4"/>
  <c r="M266" i="4" s="1"/>
  <c r="L154" i="4"/>
  <c r="M154" i="4"/>
  <c r="O154" i="4"/>
  <c r="P154" i="4"/>
  <c r="Q154" i="4"/>
  <c r="M161" i="4"/>
  <c r="M164" i="4"/>
  <c r="Q164" i="4" s="1"/>
  <c r="Q167" i="4"/>
  <c r="AC325" i="4"/>
  <c r="AC334" i="4"/>
  <c r="AC335" i="4"/>
  <c r="AB325" i="4"/>
  <c r="AB334" i="4"/>
  <c r="H179" i="4"/>
  <c r="V177" i="4"/>
  <c r="M130" i="4"/>
  <c r="O128" i="4" s="1"/>
  <c r="AB177" i="1"/>
  <c r="AD177" i="1" s="1"/>
  <c r="J53" i="6"/>
  <c r="AK177" i="1" s="1"/>
  <c r="AC177" i="1"/>
  <c r="AE177" i="1" s="1"/>
  <c r="L59" i="6"/>
  <c r="AN177" i="1" s="1"/>
  <c r="E170" i="18"/>
  <c r="E163" i="23"/>
  <c r="E163" i="24"/>
  <c r="AB42" i="1"/>
  <c r="AD42" i="1" s="1"/>
  <c r="L53" i="3"/>
  <c r="AK42" i="1" s="1"/>
  <c r="AC42" i="1"/>
  <c r="AE42" i="1" s="1"/>
  <c r="AB43" i="1"/>
  <c r="AD43" i="1" s="1"/>
  <c r="AB44" i="1"/>
  <c r="AD44" i="1" s="1"/>
  <c r="AC43" i="1"/>
  <c r="AE43" i="1" s="1"/>
  <c r="AC44" i="1"/>
  <c r="AE44" i="1" s="1"/>
  <c r="AW44" i="1" s="1"/>
  <c r="E171" i="18"/>
  <c r="E164" i="23"/>
  <c r="E164" i="24"/>
  <c r="AB50" i="1"/>
  <c r="AD50" i="1" s="1"/>
  <c r="L55" i="3"/>
  <c r="AK50" i="1" s="1"/>
  <c r="AB51" i="1"/>
  <c r="AD51" i="1" s="1"/>
  <c r="AB52" i="1"/>
  <c r="AD52" i="1" s="1"/>
  <c r="AC50" i="1"/>
  <c r="AE50" i="1" s="1"/>
  <c r="AC51" i="1"/>
  <c r="AE51" i="1" s="1"/>
  <c r="AC52" i="1"/>
  <c r="AE52" i="1" s="1"/>
  <c r="AW52" i="1" s="1"/>
  <c r="E172" i="18"/>
  <c r="E165" i="23"/>
  <c r="E165" i="24"/>
  <c r="AB54" i="1"/>
  <c r="AD54" i="1" s="1"/>
  <c r="L56" i="3"/>
  <c r="AK54" i="1" s="1"/>
  <c r="AB55" i="1"/>
  <c r="AD55" i="1" s="1"/>
  <c r="AB56" i="1"/>
  <c r="AD56" i="1" s="1"/>
  <c r="AC54" i="1"/>
  <c r="AE54" i="1" s="1"/>
  <c r="AC55" i="1"/>
  <c r="AE55" i="1" s="1"/>
  <c r="AC56" i="1"/>
  <c r="AE56" i="1" s="1"/>
  <c r="AW56" i="1" s="1"/>
  <c r="L51" i="3"/>
  <c r="E169" i="18"/>
  <c r="E162" i="23"/>
  <c r="E162" i="24"/>
  <c r="AB41" i="1"/>
  <c r="AD41" i="1" s="1"/>
  <c r="AV41" i="1" s="1"/>
  <c r="AC41" i="1"/>
  <c r="AE41" i="1" s="1"/>
  <c r="AW41" i="1" s="1"/>
  <c r="AB46" i="1"/>
  <c r="AD46" i="1" s="1"/>
  <c r="L54" i="3"/>
  <c r="AK46" i="1" s="1"/>
  <c r="AB47" i="1"/>
  <c r="AD47" i="1" s="1"/>
  <c r="AB48" i="1"/>
  <c r="AD48" i="1" s="1"/>
  <c r="AC46" i="1"/>
  <c r="AE46" i="1" s="1"/>
  <c r="AC47" i="1"/>
  <c r="AE47" i="1" s="1"/>
  <c r="AC48" i="1"/>
  <c r="AE48" i="1" s="1"/>
  <c r="AW48" i="1" s="1"/>
  <c r="AB58" i="1"/>
  <c r="AD58" i="1" s="1"/>
  <c r="L57" i="3"/>
  <c r="AK58" i="1" s="1"/>
  <c r="AB59" i="1"/>
  <c r="AD59" i="1" s="1"/>
  <c r="AB60" i="1"/>
  <c r="AD60" i="1" s="1"/>
  <c r="AC58" i="1"/>
  <c r="AE58" i="1" s="1"/>
  <c r="AC59" i="1"/>
  <c r="AE59" i="1" s="1"/>
  <c r="AC60" i="1"/>
  <c r="AE60" i="1" s="1"/>
  <c r="AW60" i="1" s="1"/>
  <c r="AB62" i="1"/>
  <c r="AD62" i="1" s="1"/>
  <c r="L58" i="3"/>
  <c r="AK62" i="1" s="1"/>
  <c r="AB63" i="1"/>
  <c r="AD63" i="1" s="1"/>
  <c r="AB64" i="1"/>
  <c r="AD64" i="1" s="1"/>
  <c r="AC62" i="1"/>
  <c r="AE62" i="1" s="1"/>
  <c r="AC63" i="1"/>
  <c r="AE63" i="1" s="1"/>
  <c r="AC64" i="1"/>
  <c r="AE64" i="1" s="1"/>
  <c r="AW64" i="1" s="1"/>
  <c r="AB66" i="1"/>
  <c r="AD66" i="1" s="1"/>
  <c r="L59" i="3"/>
  <c r="AK66" i="1" s="1"/>
  <c r="AB67" i="1"/>
  <c r="AD67" i="1" s="1"/>
  <c r="AB68" i="1"/>
  <c r="AD68" i="1" s="1"/>
  <c r="AC66" i="1"/>
  <c r="AE66" i="1" s="1"/>
  <c r="AC67" i="1"/>
  <c r="AE67" i="1" s="1"/>
  <c r="AC68" i="1"/>
  <c r="AE68" i="1" s="1"/>
  <c r="AW68" i="1" s="1"/>
  <c r="AB40" i="1"/>
  <c r="AD40" i="1" s="1"/>
  <c r="L52" i="3"/>
  <c r="AK40" i="1" s="1"/>
  <c r="AC40" i="1"/>
  <c r="AE40" i="1" s="1"/>
  <c r="AW40" i="1" s="1"/>
  <c r="AC45" i="1"/>
  <c r="AE45" i="1" s="1"/>
  <c r="G181" i="18"/>
  <c r="G174" i="23"/>
  <c r="G174" i="24"/>
  <c r="AB45" i="1"/>
  <c r="AD45" i="1" s="1"/>
  <c r="AC53" i="1"/>
  <c r="AE53" i="1" s="1"/>
  <c r="L64" i="5"/>
  <c r="AN53" i="1" s="1"/>
  <c r="G182" i="18"/>
  <c r="G175" i="23"/>
  <c r="G175" i="24"/>
  <c r="AB53" i="1"/>
  <c r="AD53" i="1" s="1"/>
  <c r="L65" i="5"/>
  <c r="AN57" i="1" s="1"/>
  <c r="AC57" i="1"/>
  <c r="AE57" i="1" s="1"/>
  <c r="G183" i="18"/>
  <c r="G176" i="23"/>
  <c r="G176" i="24"/>
  <c r="AB57" i="1"/>
  <c r="AD57" i="1" s="1"/>
  <c r="N60" i="3"/>
  <c r="AD318" i="1"/>
  <c r="AE318" i="1"/>
  <c r="AW318" i="1" s="1"/>
  <c r="J240" i="19"/>
  <c r="AP243" i="1" s="1"/>
  <c r="J268" i="19"/>
  <c r="AP245" i="1" s="1"/>
  <c r="N61" i="3"/>
  <c r="AN243" i="1" s="1"/>
  <c r="D126" i="18"/>
  <c r="E52" i="18"/>
  <c r="E60" i="18"/>
  <c r="D119" i="23"/>
  <c r="D120" i="23" s="1"/>
  <c r="E48" i="23"/>
  <c r="E56" i="23"/>
  <c r="G44" i="23" s="1"/>
  <c r="D119" i="24"/>
  <c r="D120" i="24" s="1"/>
  <c r="E48" i="24"/>
  <c r="E56" i="24"/>
  <c r="G39" i="24" s="1"/>
  <c r="I133" i="14"/>
  <c r="L133" i="14"/>
  <c r="O133" i="14"/>
  <c r="L268" i="19"/>
  <c r="AS245" i="1" s="1"/>
  <c r="AB251" i="1"/>
  <c r="AD251" i="1" s="1"/>
  <c r="AC251" i="1"/>
  <c r="AE251" i="1" s="1"/>
  <c r="L96" i="2"/>
  <c r="AH178" i="1" s="1"/>
  <c r="AE254" i="11"/>
  <c r="K207" i="11" s="1"/>
  <c r="AK178" i="1" s="1"/>
  <c r="AB178" i="1"/>
  <c r="AD178" i="1" s="1"/>
  <c r="AF254" i="11"/>
  <c r="M207" i="11" s="1"/>
  <c r="AN178" i="1" s="1"/>
  <c r="AC178" i="1"/>
  <c r="AE178" i="1" s="1"/>
  <c r="L97" i="2"/>
  <c r="AH179" i="1" s="1"/>
  <c r="I255" i="11"/>
  <c r="M255" i="11"/>
  <c r="S255" i="11"/>
  <c r="U255" i="11"/>
  <c r="AB179" i="1"/>
  <c r="AD179" i="1" s="1"/>
  <c r="K255" i="11"/>
  <c r="O255" i="11"/>
  <c r="T255" i="11"/>
  <c r="V255" i="11"/>
  <c r="AC179" i="1"/>
  <c r="AE179" i="1" s="1"/>
  <c r="L98" i="2"/>
  <c r="AH180" i="1" s="1"/>
  <c r="AE256" i="11"/>
  <c r="K209" i="11" s="1"/>
  <c r="AK180" i="1" s="1"/>
  <c r="AB180" i="1"/>
  <c r="AD180" i="1" s="1"/>
  <c r="AF256" i="11"/>
  <c r="M209" i="11" s="1"/>
  <c r="AN180" i="1" s="1"/>
  <c r="AC180" i="1"/>
  <c r="AE180" i="1" s="1"/>
  <c r="L99" i="2"/>
  <c r="AH181" i="1" s="1"/>
  <c r="AE257" i="11"/>
  <c r="K210" i="11" s="1"/>
  <c r="AK181" i="1" s="1"/>
  <c r="AB181" i="1"/>
  <c r="AD181" i="1" s="1"/>
  <c r="AF257" i="11"/>
  <c r="M210" i="11" s="1"/>
  <c r="AN181" i="1" s="1"/>
  <c r="AC181" i="1"/>
  <c r="AE181" i="1" s="1"/>
  <c r="L100" i="2"/>
  <c r="AH182" i="1" s="1"/>
  <c r="AE258" i="11"/>
  <c r="K211" i="11" s="1"/>
  <c r="AK182" i="1" s="1"/>
  <c r="AB182" i="1"/>
  <c r="AD182" i="1" s="1"/>
  <c r="AF258" i="11"/>
  <c r="M211" i="11" s="1"/>
  <c r="AN182" i="1" s="1"/>
  <c r="AC182" i="1"/>
  <c r="AE182" i="1" s="1"/>
  <c r="L101" i="2"/>
  <c r="AH183" i="1" s="1"/>
  <c r="AC260" i="11"/>
  <c r="AE260" i="11" s="1"/>
  <c r="K213" i="11" s="1"/>
  <c r="AK183" i="1" s="1"/>
  <c r="L141" i="19"/>
  <c r="N141" i="19"/>
  <c r="AB183" i="1"/>
  <c r="AD183" i="1" s="1"/>
  <c r="AD260" i="11"/>
  <c r="AF260" i="11" s="1"/>
  <c r="M213" i="11" s="1"/>
  <c r="AN183" i="1" s="1"/>
  <c r="G200" i="18"/>
  <c r="G193" i="23"/>
  <c r="G193" i="24"/>
  <c r="AC183" i="1"/>
  <c r="AE183" i="1" s="1"/>
  <c r="L102" i="2"/>
  <c r="AH184" i="1" s="1"/>
  <c r="AA259" i="11"/>
  <c r="AE259" i="11" s="1"/>
  <c r="K212" i="11" s="1"/>
  <c r="AK184" i="1" s="1"/>
  <c r="AB184" i="1"/>
  <c r="AD184" i="1" s="1"/>
  <c r="AB185" i="1"/>
  <c r="AD185" i="1" s="1"/>
  <c r="AB186" i="1"/>
  <c r="AD186" i="1" s="1"/>
  <c r="F128" i="14"/>
  <c r="R128" i="14" s="1"/>
  <c r="L106" i="14" s="1"/>
  <c r="AK187" i="1" s="1"/>
  <c r="AB187" i="1"/>
  <c r="AD187" i="1" s="1"/>
  <c r="AB259" i="11"/>
  <c r="AF259" i="11" s="1"/>
  <c r="M212" i="11" s="1"/>
  <c r="AN184" i="1" s="1"/>
  <c r="L279" i="19"/>
  <c r="AS184" i="1" s="1"/>
  <c r="AC184" i="1"/>
  <c r="AE184" i="1" s="1"/>
  <c r="AC185" i="1"/>
  <c r="AE185" i="1" s="1"/>
  <c r="AC186" i="1"/>
  <c r="AE186" i="1" s="1"/>
  <c r="AC187" i="1"/>
  <c r="AE187" i="1" s="1"/>
  <c r="L103" i="2"/>
  <c r="AH189" i="1" s="1"/>
  <c r="AB189" i="1"/>
  <c r="AD189" i="1" s="1"/>
  <c r="AC189" i="1"/>
  <c r="AE189" i="1" s="1"/>
  <c r="AW189" i="1" s="1"/>
  <c r="L104" i="2"/>
  <c r="AH190" i="1" s="1"/>
  <c r="AB190" i="1"/>
  <c r="AD190" i="1" s="1"/>
  <c r="AC190" i="1"/>
  <c r="AE190" i="1" s="1"/>
  <c r="AW190" i="1" s="1"/>
  <c r="AB191" i="1"/>
  <c r="AD191" i="1" s="1"/>
  <c r="AV191" i="1" s="1"/>
  <c r="AC191" i="1"/>
  <c r="AE191" i="1" s="1"/>
  <c r="AW191" i="1" s="1"/>
  <c r="AB192" i="1"/>
  <c r="AD192" i="1" s="1"/>
  <c r="AV192" i="1" s="1"/>
  <c r="AC192" i="1"/>
  <c r="AE192" i="1" s="1"/>
  <c r="AW192" i="1" s="1"/>
  <c r="Y263" i="11"/>
  <c r="AA263" i="11"/>
  <c r="J217" i="19"/>
  <c r="AP193" i="1" s="1"/>
  <c r="AB193" i="1"/>
  <c r="AD193" i="1" s="1"/>
  <c r="N107" i="2"/>
  <c r="AI193" i="1" s="1"/>
  <c r="Z263" i="11"/>
  <c r="AB263" i="11"/>
  <c r="G201" i="18"/>
  <c r="G194" i="23"/>
  <c r="G194" i="24"/>
  <c r="AC193" i="1"/>
  <c r="AE193" i="1" s="1"/>
  <c r="AA272" i="11"/>
  <c r="AE272" i="11" s="1"/>
  <c r="K224" i="11" s="1"/>
  <c r="AK194" i="1" s="1"/>
  <c r="AB194" i="1"/>
  <c r="AD194" i="1" s="1"/>
  <c r="N108" i="2"/>
  <c r="AI194" i="1" s="1"/>
  <c r="AB272" i="11"/>
  <c r="AF272" i="11" s="1"/>
  <c r="M224" i="11" s="1"/>
  <c r="AN194" i="1" s="1"/>
  <c r="L249" i="19"/>
  <c r="AS194" i="1" s="1"/>
  <c r="AC194" i="1"/>
  <c r="AE194" i="1" s="1"/>
  <c r="W281" i="11"/>
  <c r="AA281" i="11"/>
  <c r="AB195" i="1"/>
  <c r="AD195" i="1" s="1"/>
  <c r="N109" i="2"/>
  <c r="AI195" i="1" s="1"/>
  <c r="X281" i="11"/>
  <c r="AB281" i="11"/>
  <c r="L257" i="19"/>
  <c r="AS195" i="1" s="1"/>
  <c r="AC195" i="1"/>
  <c r="AE195" i="1" s="1"/>
  <c r="AB196" i="1"/>
  <c r="AD196" i="1" s="1"/>
  <c r="AV196" i="1" s="1"/>
  <c r="AC196" i="1"/>
  <c r="AE196" i="1" s="1"/>
  <c r="AW196" i="1" s="1"/>
  <c r="AB197" i="1"/>
  <c r="AD197" i="1" s="1"/>
  <c r="AV197" i="1" s="1"/>
  <c r="AC197" i="1"/>
  <c r="AE197" i="1" s="1"/>
  <c r="AW197" i="1" s="1"/>
  <c r="AA264" i="11"/>
  <c r="AE264" i="11" s="1"/>
  <c r="K216" i="11" s="1"/>
  <c r="AK198" i="1" s="1"/>
  <c r="AB198" i="1"/>
  <c r="AD198" i="1" s="1"/>
  <c r="N110" i="2"/>
  <c r="AI198" i="1" s="1"/>
  <c r="AB264" i="11"/>
  <c r="AF264" i="11" s="1"/>
  <c r="M216" i="11" s="1"/>
  <c r="AN198" i="1" s="1"/>
  <c r="AC198" i="1"/>
  <c r="AE198" i="1" s="1"/>
  <c r="Q273" i="11"/>
  <c r="AA273" i="11"/>
  <c r="AB199" i="1"/>
  <c r="AD199" i="1" s="1"/>
  <c r="N111" i="2"/>
  <c r="AI199" i="1" s="1"/>
  <c r="R273" i="11"/>
  <c r="AB273" i="11"/>
  <c r="L250" i="19"/>
  <c r="AS199" i="1" s="1"/>
  <c r="AC199" i="1"/>
  <c r="AE199" i="1" s="1"/>
  <c r="AA282" i="11"/>
  <c r="AE282" i="11" s="1"/>
  <c r="K234" i="11" s="1"/>
  <c r="AK201" i="1" s="1"/>
  <c r="AB201" i="1"/>
  <c r="AD201" i="1" s="1"/>
  <c r="N112" i="2"/>
  <c r="AI201" i="1" s="1"/>
  <c r="AB282" i="11"/>
  <c r="AF282" i="11" s="1"/>
  <c r="M234" i="11" s="1"/>
  <c r="AN201" i="1" s="1"/>
  <c r="L258" i="19"/>
  <c r="AS201" i="1" s="1"/>
  <c r="AC201" i="1"/>
  <c r="AE201" i="1" s="1"/>
  <c r="AB202" i="1"/>
  <c r="AD202" i="1" s="1"/>
  <c r="AV202" i="1" s="1"/>
  <c r="AC202" i="1"/>
  <c r="AE202" i="1" s="1"/>
  <c r="AW202" i="1" s="1"/>
  <c r="AB203" i="1"/>
  <c r="AD203" i="1" s="1"/>
  <c r="AV203" i="1" s="1"/>
  <c r="AC203" i="1"/>
  <c r="AE203" i="1" s="1"/>
  <c r="AW203" i="1" s="1"/>
  <c r="Y265" i="11"/>
  <c r="AA265" i="11"/>
  <c r="J218" i="19"/>
  <c r="AP204" i="1" s="1"/>
  <c r="AB204" i="1"/>
  <c r="AD204" i="1" s="1"/>
  <c r="N113" i="2"/>
  <c r="AI204" i="1" s="1"/>
  <c r="Z265" i="11"/>
  <c r="AB265" i="11"/>
  <c r="AC204" i="1"/>
  <c r="AE204" i="1" s="1"/>
  <c r="AA274" i="11"/>
  <c r="AE274" i="11" s="1"/>
  <c r="K226" i="11" s="1"/>
  <c r="AK205" i="1" s="1"/>
  <c r="AB205" i="1"/>
  <c r="AD205" i="1" s="1"/>
  <c r="N114" i="2"/>
  <c r="AI205" i="1" s="1"/>
  <c r="AB274" i="11"/>
  <c r="AF274" i="11" s="1"/>
  <c r="M226" i="11" s="1"/>
  <c r="AN205" i="1" s="1"/>
  <c r="L251" i="19"/>
  <c r="AS205" i="1" s="1"/>
  <c r="AC205" i="1"/>
  <c r="AE205" i="1" s="1"/>
  <c r="W283" i="11"/>
  <c r="AA283" i="11"/>
  <c r="AB206" i="1"/>
  <c r="AD206" i="1" s="1"/>
  <c r="N115" i="2"/>
  <c r="AI206" i="1" s="1"/>
  <c r="X283" i="11"/>
  <c r="AB283" i="11"/>
  <c r="AF283" i="11" s="1"/>
  <c r="M235" i="11" s="1"/>
  <c r="AN206" i="1" s="1"/>
  <c r="L259" i="19"/>
  <c r="AS206" i="1" s="1"/>
  <c r="AC206" i="1"/>
  <c r="AE206" i="1" s="1"/>
  <c r="AB207" i="1"/>
  <c r="AD207" i="1" s="1"/>
  <c r="AV207" i="1" s="1"/>
  <c r="AC207" i="1"/>
  <c r="AE207" i="1" s="1"/>
  <c r="AW207" i="1" s="1"/>
  <c r="AB208" i="1"/>
  <c r="AD208" i="1" s="1"/>
  <c r="AV208" i="1" s="1"/>
  <c r="AC208" i="1"/>
  <c r="AE208" i="1" s="1"/>
  <c r="AW208" i="1" s="1"/>
  <c r="Y266" i="11"/>
  <c r="AA266" i="11"/>
  <c r="AB209" i="1"/>
  <c r="AD209" i="1" s="1"/>
  <c r="N116" i="2"/>
  <c r="AI209" i="1" s="1"/>
  <c r="Z266" i="11"/>
  <c r="AB266" i="11"/>
  <c r="AC209" i="1"/>
  <c r="AE209" i="1" s="1"/>
  <c r="AA275" i="11"/>
  <c r="AE275" i="11" s="1"/>
  <c r="K227" i="11" s="1"/>
  <c r="AK210" i="1" s="1"/>
  <c r="AB210" i="1"/>
  <c r="AD210" i="1" s="1"/>
  <c r="N117" i="2"/>
  <c r="AI210" i="1" s="1"/>
  <c r="AB275" i="11"/>
  <c r="AF275" i="11" s="1"/>
  <c r="M227" i="11" s="1"/>
  <c r="AN210" i="1" s="1"/>
  <c r="L252" i="19"/>
  <c r="AS210" i="1" s="1"/>
  <c r="AC210" i="1"/>
  <c r="AE210" i="1" s="1"/>
  <c r="W284" i="11"/>
  <c r="AA284" i="11"/>
  <c r="AB211" i="1"/>
  <c r="AD211" i="1" s="1"/>
  <c r="N118" i="2"/>
  <c r="AI211" i="1" s="1"/>
  <c r="X284" i="11"/>
  <c r="AB284" i="11"/>
  <c r="L260" i="19"/>
  <c r="AS211" i="1" s="1"/>
  <c r="AC211" i="1"/>
  <c r="AE211" i="1" s="1"/>
  <c r="AB212" i="1"/>
  <c r="AD212" i="1" s="1"/>
  <c r="AV212" i="1" s="1"/>
  <c r="AC212" i="1"/>
  <c r="AE212" i="1" s="1"/>
  <c r="AW212" i="1" s="1"/>
  <c r="AB213" i="1"/>
  <c r="AD213" i="1" s="1"/>
  <c r="AV213" i="1" s="1"/>
  <c r="AC213" i="1"/>
  <c r="AE213" i="1" s="1"/>
  <c r="AW213" i="1" s="1"/>
  <c r="Y267" i="11"/>
  <c r="AA267" i="11"/>
  <c r="AB214" i="1"/>
  <c r="AD214" i="1" s="1"/>
  <c r="N119" i="2"/>
  <c r="AI214" i="1" s="1"/>
  <c r="Z267" i="11"/>
  <c r="AF267" i="11" s="1"/>
  <c r="M219" i="11" s="1"/>
  <c r="AN214" i="1" s="1"/>
  <c r="AB267" i="11"/>
  <c r="AC214" i="1"/>
  <c r="AE214" i="1" s="1"/>
  <c r="AA276" i="11"/>
  <c r="AE276" i="11" s="1"/>
  <c r="K228" i="11" s="1"/>
  <c r="AK215" i="1" s="1"/>
  <c r="AB215" i="1"/>
  <c r="AD215" i="1" s="1"/>
  <c r="N120" i="2"/>
  <c r="AI215" i="1" s="1"/>
  <c r="AB276" i="11"/>
  <c r="AF276" i="11" s="1"/>
  <c r="M228" i="11" s="1"/>
  <c r="AN215" i="1" s="1"/>
  <c r="L253" i="19"/>
  <c r="AS215" i="1" s="1"/>
  <c r="AC215" i="1"/>
  <c r="AE215" i="1" s="1"/>
  <c r="W285" i="11"/>
  <c r="AA285" i="11"/>
  <c r="AB216" i="1"/>
  <c r="AD216" i="1" s="1"/>
  <c r="N121" i="2"/>
  <c r="AI216" i="1" s="1"/>
  <c r="X285" i="11"/>
  <c r="AB285" i="11"/>
  <c r="L261" i="19"/>
  <c r="AS216" i="1" s="1"/>
  <c r="AC216" i="1"/>
  <c r="AE216" i="1" s="1"/>
  <c r="AB217" i="1"/>
  <c r="AD217" i="1" s="1"/>
  <c r="AV217" i="1" s="1"/>
  <c r="AC217" i="1"/>
  <c r="AE217" i="1" s="1"/>
  <c r="AW217" i="1" s="1"/>
  <c r="AB218" i="1"/>
  <c r="AD218" i="1" s="1"/>
  <c r="AV218" i="1" s="1"/>
  <c r="AC218" i="1"/>
  <c r="AE218" i="1" s="1"/>
  <c r="AW218" i="1" s="1"/>
  <c r="AA268" i="11"/>
  <c r="AE268" i="11" s="1"/>
  <c r="K220" i="11" s="1"/>
  <c r="AK219" i="1" s="1"/>
  <c r="AB219" i="1"/>
  <c r="AD219" i="1" s="1"/>
  <c r="N122" i="2"/>
  <c r="AI219" i="1" s="1"/>
  <c r="AB268" i="11"/>
  <c r="AF268" i="11" s="1"/>
  <c r="M220" i="11" s="1"/>
  <c r="AN219" i="1" s="1"/>
  <c r="AC219" i="1"/>
  <c r="AE219" i="1" s="1"/>
  <c r="AA277" i="11"/>
  <c r="AE277" i="11" s="1"/>
  <c r="K229" i="11" s="1"/>
  <c r="AK220" i="1" s="1"/>
  <c r="AB220" i="1"/>
  <c r="AD220" i="1" s="1"/>
  <c r="N123" i="2"/>
  <c r="AI220" i="1" s="1"/>
  <c r="AB277" i="11"/>
  <c r="AF277" i="11" s="1"/>
  <c r="M229" i="11" s="1"/>
  <c r="AN220" i="1" s="1"/>
  <c r="L254" i="19"/>
  <c r="AS220" i="1" s="1"/>
  <c r="AC220" i="1"/>
  <c r="AE220" i="1" s="1"/>
  <c r="AA286" i="11"/>
  <c r="AE286" i="11" s="1"/>
  <c r="K238" i="11" s="1"/>
  <c r="AK221" i="1" s="1"/>
  <c r="AB221" i="1"/>
  <c r="AD221" i="1" s="1"/>
  <c r="N124" i="2"/>
  <c r="AI221" i="1" s="1"/>
  <c r="AB286" i="11"/>
  <c r="AF286" i="11" s="1"/>
  <c r="M238" i="11" s="1"/>
  <c r="AN221" i="1" s="1"/>
  <c r="L262" i="19"/>
  <c r="AS221" i="1" s="1"/>
  <c r="AC221" i="1"/>
  <c r="AE221" i="1" s="1"/>
  <c r="AB222" i="1"/>
  <c r="AD222" i="1" s="1"/>
  <c r="AV222" i="1" s="1"/>
  <c r="AC222" i="1"/>
  <c r="AE222" i="1" s="1"/>
  <c r="AW222" i="1" s="1"/>
  <c r="AB223" i="1"/>
  <c r="AD223" i="1" s="1"/>
  <c r="AV223" i="1" s="1"/>
  <c r="AC223" i="1"/>
  <c r="AE223" i="1" s="1"/>
  <c r="AW223" i="1" s="1"/>
  <c r="Y269" i="11"/>
  <c r="AA269" i="11"/>
  <c r="AB224" i="1"/>
  <c r="AD224" i="1" s="1"/>
  <c r="N125" i="2"/>
  <c r="AI224" i="1" s="1"/>
  <c r="Z269" i="11"/>
  <c r="AB269" i="11"/>
  <c r="AC224" i="1"/>
  <c r="AE224" i="1" s="1"/>
  <c r="AA278" i="11"/>
  <c r="AE278" i="11" s="1"/>
  <c r="K230" i="11" s="1"/>
  <c r="AK225" i="1" s="1"/>
  <c r="AB225" i="1"/>
  <c r="AD225" i="1" s="1"/>
  <c r="N126" i="2"/>
  <c r="AI225" i="1" s="1"/>
  <c r="AB278" i="11"/>
  <c r="AF278" i="11" s="1"/>
  <c r="M230" i="11" s="1"/>
  <c r="AN225" i="1" s="1"/>
  <c r="L255" i="19"/>
  <c r="AS225" i="1" s="1"/>
  <c r="AC225" i="1"/>
  <c r="AE225" i="1" s="1"/>
  <c r="W287" i="11"/>
  <c r="AA287" i="11"/>
  <c r="AB226" i="1"/>
  <c r="AD226" i="1" s="1"/>
  <c r="N127" i="2"/>
  <c r="AI226" i="1" s="1"/>
  <c r="X287" i="11"/>
  <c r="AB287" i="11"/>
  <c r="L263" i="19"/>
  <c r="AS226" i="1" s="1"/>
  <c r="AC226" i="1"/>
  <c r="AE226" i="1" s="1"/>
  <c r="AB227" i="1"/>
  <c r="AD227" i="1" s="1"/>
  <c r="AV227" i="1" s="1"/>
  <c r="AC227" i="1"/>
  <c r="AE227" i="1" s="1"/>
  <c r="AW227" i="1" s="1"/>
  <c r="AB228" i="1"/>
  <c r="AD228" i="1" s="1"/>
  <c r="AV228" i="1" s="1"/>
  <c r="AC228" i="1"/>
  <c r="AE228" i="1" s="1"/>
  <c r="AW228" i="1" s="1"/>
  <c r="Y270" i="11"/>
  <c r="AA270" i="11"/>
  <c r="AB229" i="1"/>
  <c r="AD229" i="1" s="1"/>
  <c r="N128" i="2"/>
  <c r="AI229" i="1" s="1"/>
  <c r="Z270" i="11"/>
  <c r="AB270" i="11"/>
  <c r="AC229" i="1"/>
  <c r="AE229" i="1" s="1"/>
  <c r="AA279" i="11"/>
  <c r="AE279" i="11" s="1"/>
  <c r="K231" i="11" s="1"/>
  <c r="AK230" i="1" s="1"/>
  <c r="AB230" i="1"/>
  <c r="AD230" i="1" s="1"/>
  <c r="N129" i="2"/>
  <c r="AI230" i="1" s="1"/>
  <c r="AB279" i="11"/>
  <c r="AF279" i="11" s="1"/>
  <c r="M231" i="11" s="1"/>
  <c r="AN230" i="1" s="1"/>
  <c r="L256" i="19"/>
  <c r="AS230" i="1" s="1"/>
  <c r="AC230" i="1"/>
  <c r="AE230" i="1" s="1"/>
  <c r="W288" i="11"/>
  <c r="AA288" i="11"/>
  <c r="AB231" i="1"/>
  <c r="AD231" i="1" s="1"/>
  <c r="N130" i="2"/>
  <c r="AI231" i="1" s="1"/>
  <c r="X288" i="11"/>
  <c r="AB288" i="11"/>
  <c r="L264" i="19"/>
  <c r="AS231" i="1" s="1"/>
  <c r="AC231" i="1"/>
  <c r="AE231" i="1" s="1"/>
  <c r="AB232" i="1"/>
  <c r="AD232" i="1" s="1"/>
  <c r="AV232" i="1" s="1"/>
  <c r="AC232" i="1"/>
  <c r="AE232" i="1" s="1"/>
  <c r="AW232" i="1" s="1"/>
  <c r="AB233" i="1"/>
  <c r="AD233" i="1" s="1"/>
  <c r="AV233" i="1" s="1"/>
  <c r="AC233" i="1"/>
  <c r="AE233" i="1" s="1"/>
  <c r="AW233" i="1" s="1"/>
  <c r="AB234" i="1"/>
  <c r="AD234" i="1" s="1"/>
  <c r="AV234" i="1" s="1"/>
  <c r="AC234" i="1"/>
  <c r="AE234" i="1" s="1"/>
  <c r="AW234" i="1" s="1"/>
  <c r="E202" i="18"/>
  <c r="E195" i="23"/>
  <c r="E195" i="24"/>
  <c r="J239" i="19"/>
  <c r="AP236" i="1" s="1"/>
  <c r="O111" i="13"/>
  <c r="R111" i="13" s="1"/>
  <c r="J267" i="19"/>
  <c r="AP237" i="1" s="1"/>
  <c r="J277" i="19"/>
  <c r="AP238" i="1" s="1"/>
  <c r="I132" i="14"/>
  <c r="L132" i="14"/>
  <c r="O132" i="14"/>
  <c r="L219" i="19"/>
  <c r="AS236" i="1" s="1"/>
  <c r="L267" i="19"/>
  <c r="AS237" i="1" s="1"/>
  <c r="AB242" i="1"/>
  <c r="AD242" i="1" s="1"/>
  <c r="AC242" i="1"/>
  <c r="AE242" i="1" s="1"/>
  <c r="J241" i="19"/>
  <c r="AP252" i="1" s="1"/>
  <c r="J269" i="19"/>
  <c r="AP254" i="1" s="1"/>
  <c r="N62" i="3"/>
  <c r="AN252" i="1" s="1"/>
  <c r="I134" i="14"/>
  <c r="L134" i="14"/>
  <c r="O134" i="14"/>
  <c r="L220" i="19"/>
  <c r="AS253" i="1" s="1"/>
  <c r="L269" i="19"/>
  <c r="AS254" i="1" s="1"/>
  <c r="AB258" i="1"/>
  <c r="AD258" i="1" s="1"/>
  <c r="AC258" i="1"/>
  <c r="AE258" i="1" s="1"/>
  <c r="AW258" i="1" s="1"/>
  <c r="J56" i="5"/>
  <c r="AK259" i="1" s="1"/>
  <c r="J242" i="19"/>
  <c r="AP259" i="1" s="1"/>
  <c r="J270" i="19"/>
  <c r="AP261" i="1" s="1"/>
  <c r="N63" i="3"/>
  <c r="AN259" i="1" s="1"/>
  <c r="I135" i="14"/>
  <c r="L135" i="14"/>
  <c r="O135" i="14"/>
  <c r="L270" i="19"/>
  <c r="AS261" i="1" s="1"/>
  <c r="AB265" i="1"/>
  <c r="AD265" i="1" s="1"/>
  <c r="AC265" i="1"/>
  <c r="AE265" i="1" s="1"/>
  <c r="J243" i="19"/>
  <c r="AP266" i="1" s="1"/>
  <c r="J271" i="19"/>
  <c r="AP268" i="1" s="1"/>
  <c r="N64" i="3"/>
  <c r="AN266" i="1" s="1"/>
  <c r="I136" i="14"/>
  <c r="L136" i="14"/>
  <c r="O136" i="14"/>
  <c r="L271" i="19"/>
  <c r="AS268" i="1" s="1"/>
  <c r="AB272" i="1"/>
  <c r="AD272" i="1" s="1"/>
  <c r="AC272" i="1"/>
  <c r="AE272" i="1" s="1"/>
  <c r="J244" i="19"/>
  <c r="AP273" i="1" s="1"/>
  <c r="J272" i="19"/>
  <c r="AP275" i="1" s="1"/>
  <c r="N65" i="3"/>
  <c r="AN273" i="1" s="1"/>
  <c r="I137" i="14"/>
  <c r="L137" i="14"/>
  <c r="O137" i="14"/>
  <c r="S137" i="14" s="1"/>
  <c r="N115" i="14" s="1"/>
  <c r="AN274" i="1" s="1"/>
  <c r="L272" i="19"/>
  <c r="AS275" i="1" s="1"/>
  <c r="AB279" i="1"/>
  <c r="AD279" i="1" s="1"/>
  <c r="AC279" i="1"/>
  <c r="AE279" i="1" s="1"/>
  <c r="J59" i="5"/>
  <c r="AK280" i="1" s="1"/>
  <c r="J245" i="19"/>
  <c r="AP280" i="1" s="1"/>
  <c r="J273" i="19"/>
  <c r="AP282" i="1" s="1"/>
  <c r="N67" i="3"/>
  <c r="AN280" i="1" s="1"/>
  <c r="I138" i="14"/>
  <c r="L138" i="14"/>
  <c r="O138" i="14"/>
  <c r="L273" i="19"/>
  <c r="AS282" i="1" s="1"/>
  <c r="AB286" i="1"/>
  <c r="AD286" i="1" s="1"/>
  <c r="AC286" i="1"/>
  <c r="AE286" i="1" s="1"/>
  <c r="J60" i="5"/>
  <c r="AK287" i="1" s="1"/>
  <c r="J246" i="19"/>
  <c r="AP287" i="1" s="1"/>
  <c r="J274" i="19"/>
  <c r="AP289" i="1" s="1"/>
  <c r="N68" i="3"/>
  <c r="AN287" i="1" s="1"/>
  <c r="I139" i="14"/>
  <c r="L139" i="14"/>
  <c r="O139" i="14"/>
  <c r="L274" i="19"/>
  <c r="AS289" i="1" s="1"/>
  <c r="N66" i="3"/>
  <c r="AN294" i="1" s="1"/>
  <c r="AC294" i="1"/>
  <c r="AE294" i="1" s="1"/>
  <c r="AB294" i="1"/>
  <c r="AD294" i="1" s="1"/>
  <c r="AV294" i="1" s="1"/>
  <c r="AV295" i="1"/>
  <c r="L28" i="12"/>
  <c r="N50" i="12" s="1"/>
  <c r="AN298" i="1" s="1"/>
  <c r="AC298" i="1"/>
  <c r="AE298" i="1" s="1"/>
  <c r="AB298" i="1"/>
  <c r="AD298" i="1" s="1"/>
  <c r="AV298" i="1" s="1"/>
  <c r="O115" i="13"/>
  <c r="R115" i="13" s="1"/>
  <c r="E203" i="18"/>
  <c r="E196" i="23"/>
  <c r="E196" i="24"/>
  <c r="AB299" i="1"/>
  <c r="AD299" i="1" s="1"/>
  <c r="N56" i="12"/>
  <c r="AN299" i="1" s="1"/>
  <c r="J141" i="19"/>
  <c r="L247" i="19" s="1"/>
  <c r="AS299" i="1" s="1"/>
  <c r="AC299" i="1"/>
  <c r="AE299" i="1" s="1"/>
  <c r="AW300" i="1"/>
  <c r="K112" i="13"/>
  <c r="N112" i="13"/>
  <c r="AC301" i="1"/>
  <c r="AE301" i="1" s="1"/>
  <c r="AB301" i="1"/>
  <c r="AD301" i="1" s="1"/>
  <c r="AV301" i="1" s="1"/>
  <c r="N114" i="13"/>
  <c r="S114" i="13" s="1"/>
  <c r="AC303" i="1"/>
  <c r="AE303" i="1" s="1"/>
  <c r="AB303" i="1"/>
  <c r="AD303" i="1" s="1"/>
  <c r="AV303" i="1" s="1"/>
  <c r="J61" i="5"/>
  <c r="AK305" i="1" s="1"/>
  <c r="AB305" i="1"/>
  <c r="AD305" i="1" s="1"/>
  <c r="AC305" i="1"/>
  <c r="AE305" i="1" s="1"/>
  <c r="AW305" i="1" s="1"/>
  <c r="J198" i="19"/>
  <c r="AP309" i="1" s="1"/>
  <c r="AB309" i="1"/>
  <c r="AD309" i="1" s="1"/>
  <c r="G204" i="18"/>
  <c r="G197" i="23"/>
  <c r="G197" i="24"/>
  <c r="AC309" i="1"/>
  <c r="AE309" i="1" s="1"/>
  <c r="E205" i="18"/>
  <c r="E198" i="23"/>
  <c r="E198" i="24"/>
  <c r="AB310" i="1"/>
  <c r="AD310" i="1" s="1"/>
  <c r="L199" i="19"/>
  <c r="AS310" i="1" s="1"/>
  <c r="AC310" i="1"/>
  <c r="AE310" i="1" s="1"/>
  <c r="J104" i="13"/>
  <c r="R104" i="13" s="1"/>
  <c r="AB311" i="1"/>
  <c r="AD311" i="1" s="1"/>
  <c r="AC311" i="1"/>
  <c r="AE311" i="1" s="1"/>
  <c r="AW311" i="1" s="1"/>
  <c r="J105" i="13"/>
  <c r="R105" i="13" s="1"/>
  <c r="AB312" i="1"/>
  <c r="AD312" i="1" s="1"/>
  <c r="AC312" i="1"/>
  <c r="AE312" i="1" s="1"/>
  <c r="AW312" i="1" s="1"/>
  <c r="J106" i="13"/>
  <c r="L106" i="13"/>
  <c r="AB313" i="1"/>
  <c r="AD313" i="1" s="1"/>
  <c r="AC313" i="1"/>
  <c r="AE313" i="1" s="1"/>
  <c r="AW313" i="1" s="1"/>
  <c r="J107" i="13"/>
  <c r="L107" i="13"/>
  <c r="AB314" i="1"/>
  <c r="AD314" i="1" s="1"/>
  <c r="AC314" i="1"/>
  <c r="AE314" i="1" s="1"/>
  <c r="AW314" i="1" s="1"/>
  <c r="K116" i="13"/>
  <c r="AC315" i="1"/>
  <c r="AE315" i="1" s="1"/>
  <c r="AB315" i="1"/>
  <c r="AD315" i="1" s="1"/>
  <c r="AV315" i="1" s="1"/>
  <c r="N117" i="13"/>
  <c r="S117" i="13" s="1"/>
  <c r="AC316" i="1"/>
  <c r="AE316" i="1" s="1"/>
  <c r="AB316" i="1"/>
  <c r="AD316" i="1" s="1"/>
  <c r="AV316" i="1" s="1"/>
  <c r="AB317" i="1"/>
  <c r="AD317" i="1" s="1"/>
  <c r="AC317" i="1"/>
  <c r="AE317" i="1" s="1"/>
  <c r="AW317" i="1" s="1"/>
  <c r="K39" i="14"/>
  <c r="H129" i="14" s="1"/>
  <c r="R129" i="14" s="1"/>
  <c r="L107" i="14" s="1"/>
  <c r="AK320" i="1" s="1"/>
  <c r="AB320" i="1"/>
  <c r="AD320" i="1" s="1"/>
  <c r="AC320" i="1"/>
  <c r="AE320" i="1" s="1"/>
  <c r="AW320" i="1" s="1"/>
  <c r="K61" i="14"/>
  <c r="K130" i="14" s="1"/>
  <c r="AB321" i="1"/>
  <c r="AD321" i="1" s="1"/>
  <c r="AC321" i="1"/>
  <c r="AE321" i="1" s="1"/>
  <c r="AW321" i="1" s="1"/>
  <c r="J278" i="19"/>
  <c r="AP325" i="1" s="1"/>
  <c r="AB325" i="1"/>
  <c r="AD325" i="1" s="1"/>
  <c r="AC325" i="1"/>
  <c r="AE325" i="1" s="1"/>
  <c r="AB326" i="1"/>
  <c r="AD326" i="1" s="1"/>
  <c r="AC326" i="1"/>
  <c r="AE326" i="1" s="1"/>
  <c r="L105" i="2"/>
  <c r="AH329" i="1" s="1"/>
  <c r="AB329" i="1"/>
  <c r="AD329" i="1" s="1"/>
  <c r="N131" i="2"/>
  <c r="AI329" i="1" s="1"/>
  <c r="AC329" i="1"/>
  <c r="AE329" i="1" s="1"/>
  <c r="L106" i="2"/>
  <c r="AH331" i="1" s="1"/>
  <c r="N132" i="2"/>
  <c r="AI331" i="1" s="1"/>
  <c r="AB293" i="1"/>
  <c r="AD293" i="1" s="1"/>
  <c r="AC293" i="1"/>
  <c r="AE293" i="1" s="1"/>
  <c r="AB296" i="1"/>
  <c r="AD296" i="1" s="1"/>
  <c r="AV296" i="1" s="1"/>
  <c r="AC296" i="1"/>
  <c r="AE296" i="1" s="1"/>
  <c r="AW296" i="1" s="1"/>
  <c r="AB297" i="1"/>
  <c r="AD297" i="1" s="1"/>
  <c r="AV297" i="1" s="1"/>
  <c r="AC297" i="1"/>
  <c r="AE297" i="1" s="1"/>
  <c r="AW297" i="1" s="1"/>
  <c r="AB304" i="1"/>
  <c r="AD304" i="1" s="1"/>
  <c r="AV304" i="1" s="1"/>
  <c r="AC304" i="1"/>
  <c r="AE304" i="1" s="1"/>
  <c r="AW304" i="1" s="1"/>
  <c r="AB306" i="1"/>
  <c r="AD306" i="1" s="1"/>
  <c r="AV306" i="1" s="1"/>
  <c r="AC306" i="1"/>
  <c r="AE306" i="1" s="1"/>
  <c r="AW306" i="1" s="1"/>
  <c r="AB307" i="1"/>
  <c r="AD307" i="1" s="1"/>
  <c r="AV307" i="1" s="1"/>
  <c r="AC307" i="1"/>
  <c r="AE307" i="1" s="1"/>
  <c r="AW307" i="1" s="1"/>
  <c r="AB308" i="1"/>
  <c r="AD308" i="1" s="1"/>
  <c r="AV308" i="1" s="1"/>
  <c r="AC308" i="1"/>
  <c r="AE308" i="1" s="1"/>
  <c r="AW308" i="1" s="1"/>
  <c r="AB319" i="1"/>
  <c r="AD319" i="1" s="1"/>
  <c r="AV319" i="1" s="1"/>
  <c r="AC319" i="1"/>
  <c r="AE319" i="1" s="1"/>
  <c r="AW319" i="1" s="1"/>
  <c r="AB322" i="1"/>
  <c r="AD322" i="1" s="1"/>
  <c r="AV322" i="1" s="1"/>
  <c r="AC322" i="1"/>
  <c r="AE322" i="1" s="1"/>
  <c r="AW322" i="1" s="1"/>
  <c r="AB323" i="1"/>
  <c r="AD323" i="1" s="1"/>
  <c r="AV323" i="1" s="1"/>
  <c r="AC323" i="1"/>
  <c r="AE323" i="1" s="1"/>
  <c r="AW323" i="1" s="1"/>
  <c r="AB324" i="1"/>
  <c r="AD324" i="1" s="1"/>
  <c r="AV324" i="1" s="1"/>
  <c r="AC324" i="1"/>
  <c r="AE324" i="1" s="1"/>
  <c r="AW324" i="1" s="1"/>
  <c r="K28" i="14"/>
  <c r="G140" i="14" s="1"/>
  <c r="S140" i="14" s="1"/>
  <c r="N118" i="14" s="1"/>
  <c r="AN188" i="1" s="1"/>
  <c r="AB188" i="1"/>
  <c r="AD188" i="1" s="1"/>
  <c r="L52" i="12"/>
  <c r="AK151" i="1" s="1"/>
  <c r="AB151" i="1"/>
  <c r="AD151" i="1" s="1"/>
  <c r="J275" i="19"/>
  <c r="AP152" i="1" s="1"/>
  <c r="AB152" i="1"/>
  <c r="AD152" i="1" s="1"/>
  <c r="AB153" i="1"/>
  <c r="AD153" i="1" s="1"/>
  <c r="AV153" i="1" s="1"/>
  <c r="H30" i="6"/>
  <c r="G198" i="18"/>
  <c r="G191" i="23"/>
  <c r="G191" i="24"/>
  <c r="AC151" i="1"/>
  <c r="AE151" i="1" s="1"/>
  <c r="K261" i="11"/>
  <c r="O261" i="11"/>
  <c r="R261" i="11"/>
  <c r="R289" i="11" s="1"/>
  <c r="T261" i="11"/>
  <c r="V261" i="11"/>
  <c r="V289" i="11" s="1"/>
  <c r="X261" i="11"/>
  <c r="Z261" i="11"/>
  <c r="AB261" i="11"/>
  <c r="AD261" i="11"/>
  <c r="AD289" i="11" s="1"/>
  <c r="L275" i="19"/>
  <c r="AS152" i="1" s="1"/>
  <c r="AC152" i="1"/>
  <c r="AE152" i="1" s="1"/>
  <c r="G141" i="14"/>
  <c r="O141" i="14"/>
  <c r="AC153" i="1"/>
  <c r="AE153" i="1" s="1"/>
  <c r="AC26" i="1"/>
  <c r="AE26" i="1" s="1"/>
  <c r="L209" i="19"/>
  <c r="AS32" i="1" s="1"/>
  <c r="L210" i="19"/>
  <c r="AS21" i="1" s="1"/>
  <c r="J206" i="19"/>
  <c r="AP106" i="1" s="1"/>
  <c r="J207" i="19"/>
  <c r="AP94" i="1" s="1"/>
  <c r="AB26" i="1"/>
  <c r="AD26" i="1" s="1"/>
  <c r="J266" i="19"/>
  <c r="AP27" i="1" s="1"/>
  <c r="AB27" i="1"/>
  <c r="AD27" i="1" s="1"/>
  <c r="L266" i="19"/>
  <c r="AS27" i="1" s="1"/>
  <c r="AC27" i="1"/>
  <c r="AE27" i="1" s="1"/>
  <c r="N176" i="19"/>
  <c r="L293" i="19"/>
  <c r="AS173" i="1" s="1"/>
  <c r="AC173" i="1"/>
  <c r="AE173" i="1" s="1"/>
  <c r="AB173" i="1"/>
  <c r="AD173" i="1" s="1"/>
  <c r="AV173" i="1" s="1"/>
  <c r="AC162" i="1"/>
  <c r="AE162" i="1" s="1"/>
  <c r="AB162" i="1"/>
  <c r="AD162" i="1" s="1"/>
  <c r="AV162" i="1" s="1"/>
  <c r="L63" i="5"/>
  <c r="AN49" i="1" s="1"/>
  <c r="AC49" i="1"/>
  <c r="AE49" i="1" s="1"/>
  <c r="AB49" i="1"/>
  <c r="AD49" i="1" s="1"/>
  <c r="E162" i="18"/>
  <c r="E156" i="23"/>
  <c r="E156" i="24"/>
  <c r="AB8" i="1"/>
  <c r="AD8" i="1" s="1"/>
  <c r="AC8" i="1"/>
  <c r="AE8" i="1" s="1"/>
  <c r="AB9" i="1"/>
  <c r="AD9" i="1" s="1"/>
  <c r="AV9" i="1" s="1"/>
  <c r="AC9" i="1"/>
  <c r="E163" i="18"/>
  <c r="E157" i="23"/>
  <c r="E157" i="24"/>
  <c r="AB10" i="1"/>
  <c r="AD10" i="1" s="1"/>
  <c r="AC10" i="1"/>
  <c r="AE10" i="1" s="1"/>
  <c r="AW10" i="1" s="1"/>
  <c r="AB11" i="1"/>
  <c r="AD11" i="1" s="1"/>
  <c r="AV11" i="1" s="1"/>
  <c r="AC11" i="1"/>
  <c r="AE11" i="1" s="1"/>
  <c r="AW11" i="1" s="1"/>
  <c r="AB12" i="1"/>
  <c r="AD12" i="1" s="1"/>
  <c r="AV12" i="1" s="1"/>
  <c r="AC12" i="1"/>
  <c r="AE12" i="1" s="1"/>
  <c r="AW12" i="1" s="1"/>
  <c r="J54" i="6"/>
  <c r="AK13" i="1" s="1"/>
  <c r="AB13" i="1"/>
  <c r="AD13" i="1" s="1"/>
  <c r="J58" i="6"/>
  <c r="AK14" i="1" s="1"/>
  <c r="AB14" i="1"/>
  <c r="AC252" i="11"/>
  <c r="AE252" i="11" s="1"/>
  <c r="K205" i="11" s="1"/>
  <c r="AK15" i="1" s="1"/>
  <c r="AB15" i="1"/>
  <c r="AD15" i="1" s="1"/>
  <c r="L58" i="6"/>
  <c r="AN14" i="1" s="1"/>
  <c r="AC14" i="1"/>
  <c r="AE14" i="1" s="1"/>
  <c r="AC13" i="1"/>
  <c r="AE13" i="1" s="1"/>
  <c r="AW13" i="1" s="1"/>
  <c r="AC15" i="1"/>
  <c r="AE15" i="1" s="1"/>
  <c r="AW15" i="1" s="1"/>
  <c r="AB16" i="1"/>
  <c r="AD16" i="1" s="1"/>
  <c r="AV16" i="1" s="1"/>
  <c r="AC16" i="1"/>
  <c r="AE16" i="1" s="1"/>
  <c r="AW16" i="1" s="1"/>
  <c r="AB17" i="1"/>
  <c r="AD17" i="1" s="1"/>
  <c r="AV17" i="1" s="1"/>
  <c r="AC17" i="1"/>
  <c r="AE17" i="1" s="1"/>
  <c r="AW17" i="1" s="1"/>
  <c r="AB18" i="1"/>
  <c r="AD18" i="1" s="1"/>
  <c r="AV18" i="1" s="1"/>
  <c r="AB19" i="1"/>
  <c r="AD19" i="1" s="1"/>
  <c r="AV19" i="1" s="1"/>
  <c r="AC19" i="1"/>
  <c r="AE19" i="1" s="1"/>
  <c r="AW19" i="1" s="1"/>
  <c r="E164" i="18"/>
  <c r="E158" i="23"/>
  <c r="E158" i="24"/>
  <c r="AB20" i="1"/>
  <c r="AD20" i="1" s="1"/>
  <c r="AB21" i="1"/>
  <c r="AD21" i="1" s="1"/>
  <c r="AV21" i="1" s="1"/>
  <c r="AB22" i="1"/>
  <c r="AD22" i="1" s="1"/>
  <c r="AV22" i="1" s="1"/>
  <c r="L203" i="19"/>
  <c r="AS20" i="1" s="1"/>
  <c r="AC20" i="1"/>
  <c r="AE20" i="1" s="1"/>
  <c r="AC21" i="1"/>
  <c r="AE21" i="1" s="1"/>
  <c r="L213" i="19"/>
  <c r="AC22" i="1"/>
  <c r="AE22" i="1" s="1"/>
  <c r="J212" i="19"/>
  <c r="AP23" i="1" s="1"/>
  <c r="AB23" i="1"/>
  <c r="AD23" i="1" s="1"/>
  <c r="AC23" i="1"/>
  <c r="AE23" i="1" s="1"/>
  <c r="AW23" i="1" s="1"/>
  <c r="AB24" i="1"/>
  <c r="AD24" i="1" s="1"/>
  <c r="AV24" i="1" s="1"/>
  <c r="AC24" i="1"/>
  <c r="AE24" i="1" s="1"/>
  <c r="AW24" i="1" s="1"/>
  <c r="AB25" i="1"/>
  <c r="AD25" i="1" s="1"/>
  <c r="AV25" i="1" s="1"/>
  <c r="AC25" i="1"/>
  <c r="AE25" i="1" s="1"/>
  <c r="AW25" i="1" s="1"/>
  <c r="E166" i="18"/>
  <c r="E160" i="23"/>
  <c r="E160" i="24"/>
  <c r="AB28" i="1"/>
  <c r="AD28" i="1" s="1"/>
  <c r="AC28" i="1"/>
  <c r="AE28" i="1" s="1"/>
  <c r="AW28" i="1" s="1"/>
  <c r="E167" i="18"/>
  <c r="E161" i="23"/>
  <c r="E161" i="24"/>
  <c r="AB29" i="1"/>
  <c r="AD29" i="1" s="1"/>
  <c r="AC29" i="1"/>
  <c r="AE29" i="1" s="1"/>
  <c r="AW29" i="1" s="1"/>
  <c r="E165" i="18"/>
  <c r="E159" i="23"/>
  <c r="E159" i="24"/>
  <c r="AB31" i="1"/>
  <c r="AD31" i="1" s="1"/>
  <c r="AB32" i="1"/>
  <c r="AD32" i="1" s="1"/>
  <c r="AV32" i="1" s="1"/>
  <c r="L204" i="19"/>
  <c r="AS31" i="1" s="1"/>
  <c r="AC31" i="1"/>
  <c r="AE31" i="1" s="1"/>
  <c r="AC32" i="1"/>
  <c r="AE32" i="1" s="1"/>
  <c r="N131" i="14"/>
  <c r="R131" i="14" s="1"/>
  <c r="L109" i="14" s="1"/>
  <c r="AK33" i="1" s="1"/>
  <c r="AB33" i="1"/>
  <c r="AD33" i="1" s="1"/>
  <c r="AC33" i="1"/>
  <c r="AE33" i="1" s="1"/>
  <c r="AW33" i="1" s="1"/>
  <c r="J109" i="13"/>
  <c r="L109" i="13"/>
  <c r="AB34" i="1"/>
  <c r="AD34" i="1" s="1"/>
  <c r="N109" i="13"/>
  <c r="Q109" i="13"/>
  <c r="S109" i="13" s="1"/>
  <c r="N82" i="13" s="1"/>
  <c r="AN34" i="1" s="1"/>
  <c r="AC34" i="1"/>
  <c r="AE34" i="1" s="1"/>
  <c r="L110" i="13"/>
  <c r="R110" i="13" s="1"/>
  <c r="L83" i="13" s="1"/>
  <c r="AK73" i="1" s="1"/>
  <c r="AB73" i="1"/>
  <c r="AD73" i="1" s="1"/>
  <c r="Q110" i="13"/>
  <c r="S110" i="13" s="1"/>
  <c r="N83" i="13" s="1"/>
  <c r="AN73" i="1" s="1"/>
  <c r="AC73" i="1"/>
  <c r="AE73" i="1" s="1"/>
  <c r="AB61" i="1"/>
  <c r="AD61" i="1" s="1"/>
  <c r="L66" i="5"/>
  <c r="AN61" i="1" s="1"/>
  <c r="AC61" i="1"/>
  <c r="AE61" i="1" s="1"/>
  <c r="AB65" i="1"/>
  <c r="AD65" i="1" s="1"/>
  <c r="L67" i="5"/>
  <c r="AN65" i="1" s="1"/>
  <c r="AC65" i="1"/>
  <c r="AE65" i="1" s="1"/>
  <c r="AB69" i="1"/>
  <c r="AD69" i="1" s="1"/>
  <c r="L68" i="5"/>
  <c r="AN69" i="1" s="1"/>
  <c r="AC69" i="1"/>
  <c r="AE69" i="1" s="1"/>
  <c r="F127" i="14"/>
  <c r="AB70" i="1"/>
  <c r="AD70" i="1" s="1"/>
  <c r="AC70" i="1"/>
  <c r="AE70" i="1" s="1"/>
  <c r="AW70" i="1" s="1"/>
  <c r="AB71" i="1"/>
  <c r="AD71" i="1" s="1"/>
  <c r="AV71" i="1" s="1"/>
  <c r="AC71" i="1"/>
  <c r="AE71" i="1" s="1"/>
  <c r="AW71" i="1" s="1"/>
  <c r="AB89" i="1"/>
  <c r="AD89" i="1" s="1"/>
  <c r="AV89" i="1" s="1"/>
  <c r="AC89" i="1"/>
  <c r="AE89" i="1" s="1"/>
  <c r="AW89" i="1" s="1"/>
  <c r="AB90" i="1"/>
  <c r="AD90" i="1" s="1"/>
  <c r="AV90" i="1" s="1"/>
  <c r="G184" i="18"/>
  <c r="G177" i="23"/>
  <c r="G177" i="24"/>
  <c r="AC90" i="1"/>
  <c r="AE90" i="1" s="1"/>
  <c r="J201" i="19"/>
  <c r="AP93" i="1" s="1"/>
  <c r="AB93" i="1"/>
  <c r="AD93" i="1" s="1"/>
  <c r="AB94" i="1"/>
  <c r="AD94" i="1" s="1"/>
  <c r="J214" i="19"/>
  <c r="AP95" i="1" s="1"/>
  <c r="AB95" i="1"/>
  <c r="AD95" i="1" s="1"/>
  <c r="G185" i="18"/>
  <c r="G178" i="23"/>
  <c r="G178" i="24"/>
  <c r="AC93" i="1"/>
  <c r="AE93" i="1" s="1"/>
  <c r="AC94" i="1"/>
  <c r="AE94" i="1" s="1"/>
  <c r="AW94" i="1" s="1"/>
  <c r="AC95" i="1"/>
  <c r="AE95" i="1" s="1"/>
  <c r="AW95" i="1" s="1"/>
  <c r="J57" i="6"/>
  <c r="AK138" i="1" s="1"/>
  <c r="AB97" i="1"/>
  <c r="AD97" i="1" s="1"/>
  <c r="AV97" i="1" s="1"/>
  <c r="I253" i="11"/>
  <c r="M253" i="11"/>
  <c r="M289" i="11" s="1"/>
  <c r="Q253" i="11"/>
  <c r="Q289" i="11" s="1"/>
  <c r="S253" i="11"/>
  <c r="U253" i="11"/>
  <c r="W253" i="11"/>
  <c r="Y253" i="11"/>
  <c r="AA253" i="11"/>
  <c r="AB98" i="1"/>
  <c r="AD98" i="1" s="1"/>
  <c r="M98" i="11"/>
  <c r="X253" i="11" s="1"/>
  <c r="M135" i="11"/>
  <c r="Z253" i="11" s="1"/>
  <c r="AC97" i="1"/>
  <c r="AE97" i="1" s="1"/>
  <c r="AW97" i="1" s="1"/>
  <c r="AB99" i="1"/>
  <c r="AD99" i="1" s="1"/>
  <c r="AV99" i="1" s="1"/>
  <c r="AC98" i="1"/>
  <c r="AE98" i="1" s="1"/>
  <c r="AW98" i="1" s="1"/>
  <c r="AC99" i="1"/>
  <c r="AE99" i="1" s="1"/>
  <c r="AW99" i="1" s="1"/>
  <c r="L215" i="19"/>
  <c r="AS103" i="1" s="1"/>
  <c r="AC103" i="1"/>
  <c r="AE103" i="1" s="1"/>
  <c r="AB103" i="1"/>
  <c r="AD103" i="1" s="1"/>
  <c r="AV103" i="1" s="1"/>
  <c r="J202" i="19"/>
  <c r="AP105" i="1" s="1"/>
  <c r="AB105" i="1"/>
  <c r="AD105" i="1" s="1"/>
  <c r="AB106" i="1"/>
  <c r="AD106" i="1" s="1"/>
  <c r="G186" i="18"/>
  <c r="G179" i="23"/>
  <c r="G179" i="24"/>
  <c r="AC105" i="1"/>
  <c r="AE105" i="1" s="1"/>
  <c r="AC106" i="1"/>
  <c r="AE106" i="1" s="1"/>
  <c r="AW106" i="1" s="1"/>
  <c r="L55" i="12"/>
  <c r="AK108" i="1" s="1"/>
  <c r="AB108" i="1"/>
  <c r="AD108" i="1" s="1"/>
  <c r="AV109" i="1"/>
  <c r="N53" i="12"/>
  <c r="AN108" i="1" s="1"/>
  <c r="AC108" i="1"/>
  <c r="AE108" i="1" s="1"/>
  <c r="N55" i="12"/>
  <c r="AN109" i="1" s="1"/>
  <c r="AW109" i="1" s="1"/>
  <c r="AB110" i="1"/>
  <c r="AD110" i="1" s="1"/>
  <c r="AV110" i="1" s="1"/>
  <c r="L230" i="19"/>
  <c r="AS110" i="1" s="1"/>
  <c r="AC110" i="1"/>
  <c r="AE110" i="1" s="1"/>
  <c r="AB111" i="1"/>
  <c r="AD111" i="1" s="1"/>
  <c r="AV111" i="1" s="1"/>
  <c r="L231" i="19"/>
  <c r="AS111" i="1" s="1"/>
  <c r="AC111" i="1"/>
  <c r="AE111" i="1" s="1"/>
  <c r="AB112" i="1"/>
  <c r="AD112" i="1" s="1"/>
  <c r="AV112" i="1" s="1"/>
  <c r="L232" i="19"/>
  <c r="AS112" i="1" s="1"/>
  <c r="AC112" i="1"/>
  <c r="AE112" i="1" s="1"/>
  <c r="AB113" i="1"/>
  <c r="AD113" i="1" s="1"/>
  <c r="AV113" i="1" s="1"/>
  <c r="L233" i="19"/>
  <c r="AS113" i="1" s="1"/>
  <c r="AC113" i="1"/>
  <c r="AE113" i="1" s="1"/>
  <c r="AB114" i="1"/>
  <c r="AD114" i="1" s="1"/>
  <c r="AV114" i="1" s="1"/>
  <c r="L234" i="19"/>
  <c r="AS114" i="1" s="1"/>
  <c r="AC114" i="1"/>
  <c r="AE114" i="1" s="1"/>
  <c r="AB115" i="1"/>
  <c r="AD115" i="1" s="1"/>
  <c r="AV115" i="1" s="1"/>
  <c r="L235" i="19"/>
  <c r="AS115" i="1" s="1"/>
  <c r="AC115" i="1"/>
  <c r="AE115" i="1" s="1"/>
  <c r="AB116" i="1"/>
  <c r="AD116" i="1" s="1"/>
  <c r="AV116" i="1" s="1"/>
  <c r="L236" i="19"/>
  <c r="AS116" i="1" s="1"/>
  <c r="AC116" i="1"/>
  <c r="AE116" i="1" s="1"/>
  <c r="AB117" i="1"/>
  <c r="AD117" i="1" s="1"/>
  <c r="AV117" i="1" s="1"/>
  <c r="L237" i="19"/>
  <c r="AS117" i="1" s="1"/>
  <c r="AC117" i="1"/>
  <c r="AE117" i="1" s="1"/>
  <c r="AB118" i="1"/>
  <c r="AD118" i="1" s="1"/>
  <c r="AV118" i="1" s="1"/>
  <c r="AC118" i="1"/>
  <c r="AE118" i="1" s="1"/>
  <c r="AW118" i="1" s="1"/>
  <c r="L46" i="12"/>
  <c r="J224" i="19"/>
  <c r="AP119" i="1" s="1"/>
  <c r="AB119" i="1"/>
  <c r="AD119" i="1" s="1"/>
  <c r="L119" i="13"/>
  <c r="R119" i="13" s="1"/>
  <c r="L92" i="13" s="1"/>
  <c r="AK120" i="1" s="1"/>
  <c r="AB120" i="1"/>
  <c r="AD120" i="1" s="1"/>
  <c r="AC119" i="1"/>
  <c r="AE119" i="1" s="1"/>
  <c r="AW119" i="1" s="1"/>
  <c r="K119" i="13"/>
  <c r="N119" i="13"/>
  <c r="AC120" i="1"/>
  <c r="AE120" i="1" s="1"/>
  <c r="L118" i="13"/>
  <c r="O118" i="13"/>
  <c r="AB121" i="1"/>
  <c r="AD121" i="1" s="1"/>
  <c r="K118" i="13"/>
  <c r="N118" i="13"/>
  <c r="AC121" i="1"/>
  <c r="AE121" i="1" s="1"/>
  <c r="J108" i="13"/>
  <c r="L108" i="13"/>
  <c r="AB122" i="1"/>
  <c r="AD122" i="1" s="1"/>
  <c r="N108" i="13"/>
  <c r="Q108" i="13"/>
  <c r="AC122" i="1"/>
  <c r="AE122" i="1" s="1"/>
  <c r="L47" i="12"/>
  <c r="AK123" i="1" s="1"/>
  <c r="AB123" i="1"/>
  <c r="AD123" i="1" s="1"/>
  <c r="K120" i="13"/>
  <c r="S120" i="13" s="1"/>
  <c r="AC123" i="1"/>
  <c r="AE123" i="1" s="1"/>
  <c r="L48" i="12"/>
  <c r="AK124" i="1" s="1"/>
  <c r="J223" i="19"/>
  <c r="AP124" i="1" s="1"/>
  <c r="AB124" i="1"/>
  <c r="AD124" i="1" s="1"/>
  <c r="K121" i="13"/>
  <c r="AC124" i="1"/>
  <c r="AE124" i="1" s="1"/>
  <c r="L49" i="12"/>
  <c r="AK125" i="1" s="1"/>
  <c r="J226" i="19"/>
  <c r="AP125" i="1" s="1"/>
  <c r="AB125" i="1"/>
  <c r="AD125" i="1" s="1"/>
  <c r="K122" i="13"/>
  <c r="S122" i="13" s="1"/>
  <c r="AC125" i="1"/>
  <c r="AE125" i="1" s="1"/>
  <c r="J225" i="19"/>
  <c r="AP126" i="1" s="1"/>
  <c r="AB126" i="1"/>
  <c r="AD126" i="1" s="1"/>
  <c r="G191" i="18"/>
  <c r="G184" i="23"/>
  <c r="G184" i="24"/>
  <c r="AC126" i="1"/>
  <c r="AE126" i="1" s="1"/>
  <c r="J227" i="19"/>
  <c r="AP127" i="1" s="1"/>
  <c r="AB127" i="1"/>
  <c r="AD127" i="1" s="1"/>
  <c r="G187" i="18"/>
  <c r="G180" i="23"/>
  <c r="G180" i="24"/>
  <c r="AC127" i="1"/>
  <c r="AE127" i="1" s="1"/>
  <c r="J222" i="19"/>
  <c r="AP128" i="1" s="1"/>
  <c r="AB128" i="1"/>
  <c r="AD128" i="1" s="1"/>
  <c r="G188" i="18"/>
  <c r="G181" i="23"/>
  <c r="G181" i="24"/>
  <c r="AC128" i="1"/>
  <c r="AE128" i="1" s="1"/>
  <c r="J228" i="19"/>
  <c r="AP129" i="1" s="1"/>
  <c r="AB129" i="1"/>
  <c r="AD129" i="1" s="1"/>
  <c r="AC129" i="1"/>
  <c r="AE129" i="1" s="1"/>
  <c r="J229" i="19"/>
  <c r="AP130" i="1" s="1"/>
  <c r="AB130" i="1"/>
  <c r="AD130" i="1" s="1"/>
  <c r="AC130" i="1"/>
  <c r="AE130" i="1" s="1"/>
  <c r="AC161" i="1"/>
  <c r="AE161" i="1" s="1"/>
  <c r="AW161" i="1" s="1"/>
  <c r="AB161" i="1"/>
  <c r="AD161" i="1" s="1"/>
  <c r="AV161" i="1" s="1"/>
  <c r="L283" i="19"/>
  <c r="AS163" i="1" s="1"/>
  <c r="AC163" i="1"/>
  <c r="AE163" i="1" s="1"/>
  <c r="AB163" i="1"/>
  <c r="AD163" i="1" s="1"/>
  <c r="AV163" i="1" s="1"/>
  <c r="L284" i="19"/>
  <c r="AS164" i="1" s="1"/>
  <c r="AC164" i="1"/>
  <c r="AE164" i="1" s="1"/>
  <c r="AB164" i="1"/>
  <c r="AD164" i="1" s="1"/>
  <c r="AV164" i="1" s="1"/>
  <c r="L285" i="19"/>
  <c r="AS165" i="1" s="1"/>
  <c r="AC165" i="1"/>
  <c r="AE165" i="1" s="1"/>
  <c r="AB165" i="1"/>
  <c r="AD165" i="1" s="1"/>
  <c r="AV165" i="1" s="1"/>
  <c r="L286" i="19"/>
  <c r="AS166" i="1" s="1"/>
  <c r="AC166" i="1"/>
  <c r="AE166" i="1" s="1"/>
  <c r="AB166" i="1"/>
  <c r="AD166" i="1" s="1"/>
  <c r="AV166" i="1" s="1"/>
  <c r="L287" i="19"/>
  <c r="AS167" i="1" s="1"/>
  <c r="AC167" i="1"/>
  <c r="AE167" i="1" s="1"/>
  <c r="AB167" i="1"/>
  <c r="AD167" i="1" s="1"/>
  <c r="AV167" i="1" s="1"/>
  <c r="AC170" i="1"/>
  <c r="AE170" i="1" s="1"/>
  <c r="AB170" i="1"/>
  <c r="AD170" i="1" s="1"/>
  <c r="AV170" i="1" s="1"/>
  <c r="AC171" i="1"/>
  <c r="AE171" i="1" s="1"/>
  <c r="AB171" i="1"/>
  <c r="AD171" i="1" s="1"/>
  <c r="AV171" i="1" s="1"/>
  <c r="L292" i="19"/>
  <c r="AS172" i="1" s="1"/>
  <c r="AC172" i="1"/>
  <c r="AE172" i="1" s="1"/>
  <c r="AB172" i="1"/>
  <c r="AD172" i="1" s="1"/>
  <c r="AV172" i="1" s="1"/>
  <c r="AC174" i="1"/>
  <c r="AE174" i="1" s="1"/>
  <c r="AW174" i="1" s="1"/>
  <c r="AB174" i="1"/>
  <c r="AD174" i="1" s="1"/>
  <c r="AV174" i="1" s="1"/>
  <c r="AB91" i="1"/>
  <c r="AD91" i="1" s="1"/>
  <c r="AV91" i="1" s="1"/>
  <c r="AC91" i="1"/>
  <c r="AE91" i="1" s="1"/>
  <c r="AW91" i="1" s="1"/>
  <c r="AB92" i="1"/>
  <c r="AD92" i="1" s="1"/>
  <c r="AV92" i="1" s="1"/>
  <c r="AC92" i="1"/>
  <c r="AE92" i="1" s="1"/>
  <c r="AW92" i="1" s="1"/>
  <c r="AB96" i="1"/>
  <c r="AD96" i="1" s="1"/>
  <c r="AV96" i="1" s="1"/>
  <c r="AC96" i="1"/>
  <c r="AE96" i="1" s="1"/>
  <c r="AW96" i="1" s="1"/>
  <c r="AB137" i="1"/>
  <c r="AD137" i="1" s="1"/>
  <c r="AV137" i="1" s="1"/>
  <c r="AC137" i="1"/>
  <c r="AE137" i="1" s="1"/>
  <c r="AW137" i="1" s="1"/>
  <c r="AB101" i="1"/>
  <c r="AD101" i="1" s="1"/>
  <c r="AV101" i="1" s="1"/>
  <c r="AC101" i="1"/>
  <c r="AE101" i="1" s="1"/>
  <c r="AW101" i="1" s="1"/>
  <c r="AB102" i="1"/>
  <c r="AD102" i="1" s="1"/>
  <c r="AV102" i="1" s="1"/>
  <c r="AC102" i="1"/>
  <c r="AE102" i="1" s="1"/>
  <c r="AW102" i="1" s="1"/>
  <c r="AB104" i="1"/>
  <c r="AD104" i="1" s="1"/>
  <c r="AV104" i="1" s="1"/>
  <c r="AC104" i="1"/>
  <c r="AE104" i="1" s="1"/>
  <c r="AW104" i="1" s="1"/>
  <c r="L288" i="19"/>
  <c r="AS168" i="1" s="1"/>
  <c r="AW168" i="1" s="1"/>
  <c r="AV168" i="1"/>
  <c r="AT333" i="1"/>
  <c r="AU333" i="1"/>
  <c r="J59" i="6"/>
  <c r="K134" i="2"/>
  <c r="L57" i="6"/>
  <c r="L54" i="6"/>
  <c r="L53" i="6"/>
  <c r="H44" i="6"/>
  <c r="AE261" i="11"/>
  <c r="K241" i="11" s="1"/>
  <c r="AF262" i="11"/>
  <c r="AF271" i="11"/>
  <c r="AF280" i="11"/>
  <c r="AE262" i="11"/>
  <c r="AE271" i="11"/>
  <c r="AE280" i="11"/>
  <c r="K146" i="11"/>
  <c r="M145" i="11" s="1"/>
  <c r="K130" i="11"/>
  <c r="M128" i="11" s="1"/>
  <c r="K109" i="11"/>
  <c r="M107" i="11" s="1"/>
  <c r="K93" i="11"/>
  <c r="M92" i="11" s="1"/>
  <c r="M168" i="11"/>
  <c r="K168" i="11"/>
  <c r="I168" i="11"/>
  <c r="L189" i="11"/>
  <c r="M189" i="11"/>
  <c r="K189" i="11"/>
  <c r="I189" i="11"/>
  <c r="H168" i="11"/>
  <c r="H189" i="11"/>
  <c r="L289" i="11"/>
  <c r="AC168" i="1"/>
  <c r="AB168" i="1"/>
  <c r="AO325" i="1"/>
  <c r="AO238" i="1"/>
  <c r="AR184" i="1"/>
  <c r="AM330" i="1"/>
  <c r="AM309" i="1"/>
  <c r="AJ310" i="1"/>
  <c r="AR168" i="1"/>
  <c r="AB158" i="1"/>
  <c r="AD158" i="1" s="1"/>
  <c r="AV158" i="1" s="1"/>
  <c r="AB159" i="1"/>
  <c r="AD159" i="1" s="1"/>
  <c r="AV159" i="1" s="1"/>
  <c r="AB160" i="1"/>
  <c r="AD160" i="1" s="1"/>
  <c r="AB175" i="1"/>
  <c r="AD175" i="1" s="1"/>
  <c r="AV175" i="1" s="1"/>
  <c r="AB332" i="1"/>
  <c r="AD332" i="1" s="1"/>
  <c r="AV332" i="1" s="1"/>
  <c r="AC188" i="1"/>
  <c r="AE188" i="1" s="1"/>
  <c r="AC159" i="1"/>
  <c r="AE159" i="1" s="1"/>
  <c r="AW159" i="1" s="1"/>
  <c r="AM295" i="1"/>
  <c r="AJ289" i="1"/>
  <c r="AJ282" i="1"/>
  <c r="AJ275" i="1"/>
  <c r="AJ268" i="1"/>
  <c r="AJ261" i="1"/>
  <c r="AJ254" i="1"/>
  <c r="AJ245" i="1"/>
  <c r="AC158" i="1"/>
  <c r="AE158" i="1" s="1"/>
  <c r="AW158" i="1" s="1"/>
  <c r="AC160" i="1"/>
  <c r="AE160" i="1" s="1"/>
  <c r="AC175" i="1"/>
  <c r="AE175" i="1" s="1"/>
  <c r="AW175" i="1" s="1"/>
  <c r="AC332" i="1"/>
  <c r="AE332" i="1" s="1"/>
  <c r="AW332" i="1" s="1"/>
  <c r="T333" i="1"/>
  <c r="U333" i="1"/>
  <c r="V333" i="1"/>
  <c r="W333" i="1"/>
  <c r="X333" i="1"/>
  <c r="Y333" i="1"/>
  <c r="F333" i="1"/>
  <c r="G333" i="1"/>
  <c r="AM188" i="1"/>
  <c r="AJ188" i="1"/>
  <c r="AJ130" i="1"/>
  <c r="AJ129" i="1"/>
  <c r="AJ329" i="1"/>
  <c r="AJ53" i="1"/>
  <c r="AM53" i="1"/>
  <c r="AR173" i="1"/>
  <c r="AR172" i="1"/>
  <c r="AR171" i="1"/>
  <c r="AR170" i="1"/>
  <c r="AR167" i="1"/>
  <c r="AR166" i="1"/>
  <c r="AR165" i="1"/>
  <c r="AR164" i="1"/>
  <c r="AR163" i="1"/>
  <c r="AR162" i="1"/>
  <c r="AO154" i="1"/>
  <c r="AO119" i="1"/>
  <c r="AR117" i="1"/>
  <c r="AR116" i="1"/>
  <c r="AR114" i="1"/>
  <c r="AR113" i="1"/>
  <c r="AR112" i="1"/>
  <c r="AR111" i="1"/>
  <c r="AR110" i="1"/>
  <c r="AO130" i="1"/>
  <c r="AO129" i="1"/>
  <c r="AO125" i="1"/>
  <c r="AO126" i="1"/>
  <c r="AO124" i="1"/>
  <c r="AO128" i="1"/>
  <c r="AJ15" i="1"/>
  <c r="AR152" i="1"/>
  <c r="AO152" i="1"/>
  <c r="AR289" i="1"/>
  <c r="AO289" i="1"/>
  <c r="AR282" i="1"/>
  <c r="AO282" i="1"/>
  <c r="AR275" i="1"/>
  <c r="AO275" i="1"/>
  <c r="AR268" i="1"/>
  <c r="AO268" i="1"/>
  <c r="AR261" i="1"/>
  <c r="AO261" i="1"/>
  <c r="AR254" i="1"/>
  <c r="AO254" i="1"/>
  <c r="AR245" i="1"/>
  <c r="AO245" i="1"/>
  <c r="AR237" i="1"/>
  <c r="AO237" i="1"/>
  <c r="AO27" i="1"/>
  <c r="AR27" i="1"/>
  <c r="AR230" i="1"/>
  <c r="AR231" i="1"/>
  <c r="AR226" i="1"/>
  <c r="AR221" i="1"/>
  <c r="AR216" i="1"/>
  <c r="AR211" i="1"/>
  <c r="AR206" i="1"/>
  <c r="AR201" i="1"/>
  <c r="AR195" i="1"/>
  <c r="AR225" i="1"/>
  <c r="AR220" i="1"/>
  <c r="AR215" i="1"/>
  <c r="AR210" i="1"/>
  <c r="AR205" i="1"/>
  <c r="AR199" i="1"/>
  <c r="AR194" i="1"/>
  <c r="AO183" i="1"/>
  <c r="AR299" i="1"/>
  <c r="AO287" i="1"/>
  <c r="AO280" i="1"/>
  <c r="AO273" i="1"/>
  <c r="AO266" i="1"/>
  <c r="AO259" i="1"/>
  <c r="AO252" i="1"/>
  <c r="AO243" i="1"/>
  <c r="AO236" i="1"/>
  <c r="AR115" i="1"/>
  <c r="AO127" i="1"/>
  <c r="AR253" i="1"/>
  <c r="AR236" i="1"/>
  <c r="AO204" i="1"/>
  <c r="AO193" i="1"/>
  <c r="AR103" i="1"/>
  <c r="AO95" i="1"/>
  <c r="AR22" i="1"/>
  <c r="AO23" i="1"/>
  <c r="AJ14" i="1"/>
  <c r="AJ13" i="1"/>
  <c r="AJ321" i="1"/>
  <c r="AJ320" i="1"/>
  <c r="AR32" i="1"/>
  <c r="AR21" i="1"/>
  <c r="AO26" i="1"/>
  <c r="AO94" i="1"/>
  <c r="AO106" i="1"/>
  <c r="AR31" i="1"/>
  <c r="AR20" i="1"/>
  <c r="AO105" i="1"/>
  <c r="AO93" i="1"/>
  <c r="AR310" i="1"/>
  <c r="AO309" i="1"/>
  <c r="AQ333" i="1"/>
  <c r="AM130" i="1"/>
  <c r="AM129" i="1"/>
  <c r="AM128" i="1"/>
  <c r="AM127" i="1"/>
  <c r="AJ127" i="1"/>
  <c r="AM326" i="1"/>
  <c r="AJ326" i="1"/>
  <c r="AM325" i="1"/>
  <c r="AJ325" i="1"/>
  <c r="AM289" i="1"/>
  <c r="AJ288" i="1"/>
  <c r="AM282" i="1"/>
  <c r="AJ281" i="1"/>
  <c r="AM275" i="1"/>
  <c r="AJ274" i="1"/>
  <c r="AM268" i="1"/>
  <c r="AJ267" i="1"/>
  <c r="AM261" i="1"/>
  <c r="AJ260" i="1"/>
  <c r="AM254" i="1"/>
  <c r="AJ253" i="1"/>
  <c r="AM245" i="1"/>
  <c r="AJ244" i="1"/>
  <c r="AM237" i="1"/>
  <c r="AJ238" i="1"/>
  <c r="AM153" i="1"/>
  <c r="AM288" i="1"/>
  <c r="AM281" i="1"/>
  <c r="AM274" i="1"/>
  <c r="AM267" i="1"/>
  <c r="AM260" i="1"/>
  <c r="AJ187" i="1"/>
  <c r="AM253" i="1"/>
  <c r="AM244" i="1"/>
  <c r="AM236" i="1"/>
  <c r="AJ33" i="1"/>
  <c r="AJ70" i="1"/>
  <c r="AM125" i="1"/>
  <c r="AM124" i="1"/>
  <c r="AM123" i="1"/>
  <c r="AM120" i="1"/>
  <c r="AJ120" i="1"/>
  <c r="AM121" i="1"/>
  <c r="AJ121" i="1"/>
  <c r="AM316" i="1"/>
  <c r="AM315" i="1"/>
  <c r="AJ299" i="1"/>
  <c r="AM303" i="1"/>
  <c r="AM301" i="1"/>
  <c r="AJ237" i="1"/>
  <c r="AM73" i="1"/>
  <c r="AJ36" i="1"/>
  <c r="AJ73" i="1"/>
  <c r="AM34" i="1"/>
  <c r="AJ34" i="1"/>
  <c r="AM122" i="1"/>
  <c r="AJ122" i="1"/>
  <c r="AJ314" i="1"/>
  <c r="AJ313" i="1"/>
  <c r="AJ312" i="1"/>
  <c r="AJ311" i="1"/>
  <c r="AM299" i="1"/>
  <c r="AJ108" i="1"/>
  <c r="AM108" i="1"/>
  <c r="AJ151" i="1"/>
  <c r="AM298" i="1"/>
  <c r="AJ125" i="1"/>
  <c r="AJ124" i="1"/>
  <c r="AJ123" i="1"/>
  <c r="AJ119" i="1"/>
  <c r="AM186" i="1"/>
  <c r="AJ68" i="1"/>
  <c r="AJ64" i="1"/>
  <c r="AJ60" i="1"/>
  <c r="AJ56" i="1"/>
  <c r="AJ52" i="1"/>
  <c r="AJ48" i="1"/>
  <c r="AJ44" i="1"/>
  <c r="AJ38" i="1"/>
  <c r="AM329" i="1"/>
  <c r="AJ186" i="1"/>
  <c r="AM185" i="1"/>
  <c r="AM66" i="1"/>
  <c r="AJ67" i="1"/>
  <c r="AM62" i="1"/>
  <c r="AJ63" i="1"/>
  <c r="AM58" i="1"/>
  <c r="AJ59" i="1"/>
  <c r="AM54" i="1"/>
  <c r="AJ55" i="1"/>
  <c r="AM50" i="1"/>
  <c r="AJ51" i="1"/>
  <c r="AM46" i="1"/>
  <c r="AJ47" i="1"/>
  <c r="AM42" i="1"/>
  <c r="AJ43" i="1"/>
  <c r="AM36" i="1"/>
  <c r="AJ37" i="1"/>
  <c r="AJ236" i="1"/>
  <c r="AJ185" i="1"/>
  <c r="AJ317" i="1"/>
  <c r="AJ61" i="1"/>
  <c r="AJ69" i="1"/>
  <c r="AJ65" i="1"/>
  <c r="AJ57" i="1"/>
  <c r="AJ49" i="1"/>
  <c r="AJ45" i="1"/>
  <c r="AM294" i="1"/>
  <c r="AM287" i="1"/>
  <c r="AM280" i="1"/>
  <c r="AM273" i="1"/>
  <c r="AM266" i="1"/>
  <c r="AM259" i="1"/>
  <c r="AM252" i="1"/>
  <c r="AM243" i="1"/>
  <c r="AM235" i="1"/>
  <c r="AJ66" i="1"/>
  <c r="AJ62" i="1"/>
  <c r="AJ58" i="1"/>
  <c r="AJ54" i="1"/>
  <c r="AJ50" i="1"/>
  <c r="AJ46" i="1"/>
  <c r="AJ42" i="1"/>
  <c r="AJ40" i="1"/>
  <c r="AM152" i="1"/>
  <c r="AJ201" i="1"/>
  <c r="AM231" i="1"/>
  <c r="AM230" i="1"/>
  <c r="AM229" i="1"/>
  <c r="AJ231" i="1"/>
  <c r="AJ230" i="1"/>
  <c r="AJ229" i="1"/>
  <c r="AM226" i="1"/>
  <c r="AM225" i="1"/>
  <c r="AM224" i="1"/>
  <c r="AJ226" i="1"/>
  <c r="AJ225" i="1"/>
  <c r="AJ224" i="1"/>
  <c r="AM221" i="1"/>
  <c r="AM220" i="1"/>
  <c r="AM219" i="1"/>
  <c r="AJ221" i="1"/>
  <c r="AJ220" i="1"/>
  <c r="AJ219" i="1"/>
  <c r="AM216" i="1"/>
  <c r="AM215" i="1"/>
  <c r="AJ216" i="1"/>
  <c r="AJ215" i="1"/>
  <c r="AM214" i="1"/>
  <c r="AJ214" i="1"/>
  <c r="AM211" i="1"/>
  <c r="AM210" i="1"/>
  <c r="AJ211" i="1"/>
  <c r="AJ210" i="1"/>
  <c r="AM209" i="1"/>
  <c r="AJ209" i="1"/>
  <c r="AM206" i="1"/>
  <c r="AM205" i="1"/>
  <c r="AJ206" i="1"/>
  <c r="AJ205" i="1"/>
  <c r="AM204" i="1"/>
  <c r="AJ204" i="1"/>
  <c r="AM201" i="1"/>
  <c r="AM199" i="1"/>
  <c r="AJ199" i="1"/>
  <c r="AM198" i="1"/>
  <c r="AJ198" i="1"/>
  <c r="AM195" i="1"/>
  <c r="AM194" i="1"/>
  <c r="AM193" i="1"/>
  <c r="AJ195" i="1"/>
  <c r="AJ194" i="1"/>
  <c r="AJ193" i="1"/>
  <c r="AM184" i="1"/>
  <c r="AJ184" i="1"/>
  <c r="AM183" i="1"/>
  <c r="AM182" i="1"/>
  <c r="AJ183" i="1"/>
  <c r="AJ182" i="1"/>
  <c r="AM181" i="1"/>
  <c r="AJ181" i="1"/>
  <c r="AM180" i="1"/>
  <c r="AJ180" i="1"/>
  <c r="AM179" i="1"/>
  <c r="AJ179" i="1"/>
  <c r="AM178" i="1"/>
  <c r="AJ178" i="1"/>
  <c r="AM138" i="1"/>
  <c r="AJ98" i="1"/>
  <c r="AM177" i="1"/>
  <c r="AJ177" i="1"/>
  <c r="AJ138" i="1"/>
  <c r="AM151" i="1"/>
  <c r="AM69" i="1"/>
  <c r="AM65" i="1"/>
  <c r="AM61" i="1"/>
  <c r="AM57" i="1"/>
  <c r="AM49" i="1"/>
  <c r="AM45" i="1"/>
  <c r="AJ305" i="1"/>
  <c r="AJ287" i="1"/>
  <c r="AJ280" i="1"/>
  <c r="AJ273" i="1"/>
  <c r="AJ266" i="1"/>
  <c r="AJ259" i="1"/>
  <c r="AJ252" i="1"/>
  <c r="AJ243" i="1"/>
  <c r="AJ235" i="1"/>
  <c r="AF333" i="1"/>
  <c r="L333" i="1"/>
  <c r="I333" i="1"/>
  <c r="K333" i="1"/>
  <c r="M333" i="1"/>
  <c r="O333" i="1"/>
  <c r="Q333" i="1"/>
  <c r="S333" i="1"/>
  <c r="H333" i="1"/>
  <c r="J333" i="1"/>
  <c r="N333" i="1"/>
  <c r="P333" i="1"/>
  <c r="R333" i="1"/>
  <c r="AC334" i="1"/>
  <c r="AE334" i="1" s="1"/>
  <c r="AC338" i="1"/>
  <c r="AE338" i="1" s="1"/>
  <c r="AC339" i="1"/>
  <c r="AE339" i="1" s="1"/>
  <c r="AC340" i="1"/>
  <c r="AE340" i="1" s="1"/>
  <c r="G33" i="5"/>
  <c r="G46" i="3"/>
  <c r="T84" i="4"/>
  <c r="T73" i="4"/>
  <c r="T76" i="4"/>
  <c r="T79" i="4"/>
  <c r="R82" i="4"/>
  <c r="S82" i="4"/>
  <c r="T78" i="4"/>
  <c r="Q82" i="4"/>
  <c r="P82" i="4"/>
  <c r="O82" i="4"/>
  <c r="M82" i="4"/>
  <c r="L82" i="4"/>
  <c r="L50" i="12"/>
  <c r="N47" i="12"/>
  <c r="N48" i="12"/>
  <c r="N49" i="12"/>
  <c r="N46" i="12"/>
  <c r="M57" i="12"/>
  <c r="R120" i="13"/>
  <c r="K58" i="13"/>
  <c r="K50" i="13"/>
  <c r="S104" i="13"/>
  <c r="S105" i="13"/>
  <c r="S106" i="13"/>
  <c r="S107" i="13"/>
  <c r="S111" i="13"/>
  <c r="S115" i="13"/>
  <c r="R112" i="13"/>
  <c r="R114" i="13"/>
  <c r="N87" i="13" s="1"/>
  <c r="AN303" i="1" s="1"/>
  <c r="R116" i="13"/>
  <c r="R117" i="13"/>
  <c r="R121" i="13"/>
  <c r="R122" i="13"/>
  <c r="P124" i="13"/>
  <c r="M124" i="13"/>
  <c r="J30" i="13"/>
  <c r="K75" i="14"/>
  <c r="S127" i="14"/>
  <c r="N105" i="14" s="1"/>
  <c r="S128" i="14"/>
  <c r="N106" i="14" s="1"/>
  <c r="S129" i="14"/>
  <c r="N107" i="14" s="1"/>
  <c r="S130" i="14"/>
  <c r="N108" i="14" s="1"/>
  <c r="S131" i="14"/>
  <c r="N109" i="14" s="1"/>
  <c r="R132" i="14"/>
  <c r="L110" i="14" s="1"/>
  <c r="R133" i="14"/>
  <c r="L111" i="14" s="1"/>
  <c r="R134" i="14"/>
  <c r="L112" i="14" s="1"/>
  <c r="R135" i="14"/>
  <c r="L113" i="14" s="1"/>
  <c r="R136" i="14"/>
  <c r="L114" i="14" s="1"/>
  <c r="R137" i="14"/>
  <c r="L115" i="14" s="1"/>
  <c r="R138" i="14"/>
  <c r="L116" i="14" s="1"/>
  <c r="R139" i="14"/>
  <c r="L117" i="14" s="1"/>
  <c r="R141" i="14"/>
  <c r="L119" i="14" s="1"/>
  <c r="K98" i="14"/>
  <c r="N86" i="14"/>
  <c r="AA231" i="15"/>
  <c r="O140" i="15"/>
  <c r="O142" i="15" s="1"/>
  <c r="J140" i="15"/>
  <c r="J142" i="15" s="1"/>
  <c r="N140" i="15"/>
  <c r="N142" i="15" s="1"/>
  <c r="L140" i="15"/>
  <c r="L142" i="15" s="1"/>
  <c r="H140" i="15"/>
  <c r="H142" i="15" s="1"/>
  <c r="G140" i="15"/>
  <c r="G142" i="15" s="1"/>
  <c r="O123" i="15"/>
  <c r="N123" i="15"/>
  <c r="N79" i="15"/>
  <c r="O75" i="15" s="1"/>
  <c r="J79" i="15"/>
  <c r="L75" i="15" s="1"/>
  <c r="G79" i="15"/>
  <c r="H75" i="15" s="1"/>
  <c r="N64" i="15"/>
  <c r="N48" i="15"/>
  <c r="H48" i="15"/>
  <c r="N35" i="15"/>
  <c r="H35" i="15"/>
  <c r="M233" i="15"/>
  <c r="I233" i="15"/>
  <c r="M89" i="15"/>
  <c r="G226" i="18"/>
  <c r="E127" i="18"/>
  <c r="C153" i="18"/>
  <c r="C152" i="18"/>
  <c r="C145" i="18"/>
  <c r="C144" i="18"/>
  <c r="C143" i="18"/>
  <c r="G219" i="23"/>
  <c r="E121" i="23"/>
  <c r="C147" i="23"/>
  <c r="C146" i="23"/>
  <c r="C139" i="23"/>
  <c r="C138" i="23"/>
  <c r="C137" i="23"/>
  <c r="G219" i="24"/>
  <c r="E121" i="24"/>
  <c r="C147" i="24"/>
  <c r="C146" i="24"/>
  <c r="C139" i="24"/>
  <c r="C138" i="24"/>
  <c r="C137" i="24"/>
  <c r="N158" i="19"/>
  <c r="L158" i="19"/>
  <c r="N102" i="19"/>
  <c r="C78" i="22"/>
  <c r="G25" i="22"/>
  <c r="G21" i="22"/>
  <c r="G24" i="22"/>
  <c r="G17" i="22"/>
  <c r="G20" i="22"/>
  <c r="G18" i="22"/>
  <c r="G19" i="22"/>
  <c r="G22" i="22"/>
  <c r="G26" i="22"/>
  <c r="G87" i="22"/>
  <c r="G88" i="22"/>
  <c r="G90" i="22"/>
  <c r="G93" i="22"/>
  <c r="G94" i="22"/>
  <c r="G96" i="22"/>
  <c r="G97" i="22"/>
  <c r="F91" i="22"/>
  <c r="F98" i="22" s="1"/>
  <c r="E91" i="22"/>
  <c r="E98" i="22" s="1"/>
  <c r="D92" i="22"/>
  <c r="C91" i="22"/>
  <c r="C98" i="22" s="1"/>
  <c r="F29" i="22"/>
  <c r="E29" i="22"/>
  <c r="D29" i="22"/>
  <c r="C29" i="22"/>
  <c r="G36" i="22"/>
  <c r="G37" i="22"/>
  <c r="G38" i="22"/>
  <c r="G39" i="22"/>
  <c r="G40" i="22"/>
  <c r="G41" i="22"/>
  <c r="F43" i="22"/>
  <c r="E43" i="22"/>
  <c r="D43" i="22"/>
  <c r="C43" i="22"/>
  <c r="G120" i="23"/>
  <c r="G121" i="23" s="1"/>
  <c r="G52" i="23"/>
  <c r="G147" i="23" s="1"/>
  <c r="G216" i="23" s="1"/>
  <c r="D333" i="1"/>
  <c r="E333" i="1"/>
  <c r="L282" i="19"/>
  <c r="AS162" i="1" s="1"/>
  <c r="G39" i="23"/>
  <c r="G31" i="3"/>
  <c r="L62" i="5"/>
  <c r="AN45" i="1" s="1"/>
  <c r="AE288" i="11"/>
  <c r="K240" i="11" s="1"/>
  <c r="AK231" i="1" s="1"/>
  <c r="H89" i="2"/>
  <c r="H39" i="2"/>
  <c r="AK36" i="1"/>
  <c r="S141" i="14" l="1"/>
  <c r="N119" i="14" s="1"/>
  <c r="AN153" i="1" s="1"/>
  <c r="AW153" i="1" s="1"/>
  <c r="U289" i="11"/>
  <c r="AE284" i="11"/>
  <c r="K236" i="11" s="1"/>
  <c r="AK211" i="1" s="1"/>
  <c r="AE265" i="11"/>
  <c r="K217" i="11" s="1"/>
  <c r="AK204" i="1" s="1"/>
  <c r="AB297" i="4"/>
  <c r="M219" i="4" s="1"/>
  <c r="AK69" i="1" s="1"/>
  <c r="S112" i="13"/>
  <c r="N85" i="13" s="1"/>
  <c r="AN301" i="1" s="1"/>
  <c r="AW301" i="1" s="1"/>
  <c r="AX301" i="1" s="1"/>
  <c r="AC307" i="4"/>
  <c r="O229" i="4" s="1"/>
  <c r="AN54" i="1" s="1"/>
  <c r="AW54" i="1" s="1"/>
  <c r="N202" i="15"/>
  <c r="AW154" i="1" s="1"/>
  <c r="AG334" i="1"/>
  <c r="M167" i="4"/>
  <c r="M184" i="4" s="1"/>
  <c r="J207" i="4" s="1"/>
  <c r="E137" i="23"/>
  <c r="G200" i="23" s="1"/>
  <c r="AF285" i="11"/>
  <c r="M237" i="11" s="1"/>
  <c r="AN216" i="1" s="1"/>
  <c r="AW216" i="1" s="1"/>
  <c r="AE287" i="11"/>
  <c r="K239" i="11" s="1"/>
  <c r="AK226" i="1" s="1"/>
  <c r="AV226" i="1" s="1"/>
  <c r="O289" i="11"/>
  <c r="AE281" i="11"/>
  <c r="K233" i="11" s="1"/>
  <c r="AK195" i="1" s="1"/>
  <c r="AV195" i="1" s="1"/>
  <c r="AS151" i="1"/>
  <c r="S138" i="14"/>
  <c r="N116" i="14" s="1"/>
  <c r="AN281" i="1" s="1"/>
  <c r="AW281" i="1" s="1"/>
  <c r="L97" i="14"/>
  <c r="N188" i="19"/>
  <c r="L192" i="19" s="1"/>
  <c r="AF288" i="11"/>
  <c r="M240" i="11" s="1"/>
  <c r="AN231" i="1" s="1"/>
  <c r="AW231" i="1" s="1"/>
  <c r="R108" i="13"/>
  <c r="L81" i="13" s="1"/>
  <c r="AK122" i="1" s="1"/>
  <c r="AV122" i="1" s="1"/>
  <c r="E142" i="23"/>
  <c r="G205" i="23" s="1"/>
  <c r="Q227" i="15"/>
  <c r="Q233" i="15" s="1"/>
  <c r="O227" i="15"/>
  <c r="AX302" i="1"/>
  <c r="AY228" i="1"/>
  <c r="G48" i="23"/>
  <c r="E65" i="23" s="1"/>
  <c r="R107" i="13"/>
  <c r="L80" i="13" s="1"/>
  <c r="AK314" i="1" s="1"/>
  <c r="AV314" i="1" s="1"/>
  <c r="AX314" i="1" s="1"/>
  <c r="J248" i="19"/>
  <c r="AP183" i="1" s="1"/>
  <c r="AV183" i="1" s="1"/>
  <c r="G142" i="14"/>
  <c r="Z354" i="4"/>
  <c r="H142" i="14"/>
  <c r="AV230" i="1"/>
  <c r="AE269" i="11"/>
  <c r="K221" i="11" s="1"/>
  <c r="AK224" i="1" s="1"/>
  <c r="AV224" i="1" s="1"/>
  <c r="AS193" i="1"/>
  <c r="W354" i="4"/>
  <c r="G43" i="23"/>
  <c r="E141" i="23" s="1"/>
  <c r="G204" i="23" s="1"/>
  <c r="O124" i="13"/>
  <c r="N93" i="13"/>
  <c r="AN123" i="1" s="1"/>
  <c r="AW123" i="1" s="1"/>
  <c r="AP235" i="1"/>
  <c r="AV235" i="1" s="1"/>
  <c r="AE285" i="11"/>
  <c r="K237" i="11" s="1"/>
  <c r="AK216" i="1" s="1"/>
  <c r="AV216" i="1" s="1"/>
  <c r="AF266" i="11"/>
  <c r="M218" i="11" s="1"/>
  <c r="AN209" i="1" s="1"/>
  <c r="AW209" i="1" s="1"/>
  <c r="AE266" i="11"/>
  <c r="K218" i="11" s="1"/>
  <c r="AK209" i="1" s="1"/>
  <c r="AV209" i="1" s="1"/>
  <c r="K289" i="11"/>
  <c r="AE255" i="11"/>
  <c r="K208" i="11" s="1"/>
  <c r="AK179" i="1" s="1"/>
  <c r="AV179" i="1" s="1"/>
  <c r="AB296" i="4"/>
  <c r="M218" i="4" s="1"/>
  <c r="AK65" i="1" s="1"/>
  <c r="AV65" i="1" s="1"/>
  <c r="AC309" i="4"/>
  <c r="O231" i="4" s="1"/>
  <c r="AN62" i="1" s="1"/>
  <c r="AW62" i="1" s="1"/>
  <c r="R118" i="13"/>
  <c r="L91" i="13" s="1"/>
  <c r="AK121" i="1" s="1"/>
  <c r="AV121" i="1" s="1"/>
  <c r="J124" i="13"/>
  <c r="AW58" i="1"/>
  <c r="S301" i="4"/>
  <c r="AB301" i="4" s="1"/>
  <c r="M223" i="4" s="1"/>
  <c r="AK236" i="1" s="1"/>
  <c r="AV236" i="1" s="1"/>
  <c r="G44" i="24"/>
  <c r="E142" i="24" s="1"/>
  <c r="G205" i="24" s="1"/>
  <c r="AC289" i="11"/>
  <c r="G53" i="23"/>
  <c r="G148" i="23" s="1"/>
  <c r="G217" i="23" s="1"/>
  <c r="G56" i="23"/>
  <c r="G58" i="23" s="1"/>
  <c r="N95" i="13"/>
  <c r="AN125" i="1" s="1"/>
  <c r="AW125" i="1" s="1"/>
  <c r="G54" i="23"/>
  <c r="G149" i="23" s="1"/>
  <c r="G218" i="23" s="1"/>
  <c r="AF265" i="11"/>
  <c r="M217" i="11" s="1"/>
  <c r="AN204" i="1" s="1"/>
  <c r="AW204" i="1" s="1"/>
  <c r="AF273" i="11"/>
  <c r="M225" i="11" s="1"/>
  <c r="AN199" i="1" s="1"/>
  <c r="AW199" i="1" s="1"/>
  <c r="AE273" i="11"/>
  <c r="K225" i="11" s="1"/>
  <c r="AK199" i="1" s="1"/>
  <c r="AV199" i="1" s="1"/>
  <c r="AF281" i="11"/>
  <c r="M233" i="11" s="1"/>
  <c r="AN195" i="1" s="1"/>
  <c r="AW195" i="1" s="1"/>
  <c r="AF263" i="11"/>
  <c r="M215" i="11" s="1"/>
  <c r="AN193" i="1" s="1"/>
  <c r="AV182" i="1"/>
  <c r="AB299" i="4"/>
  <c r="M221" i="4" s="1"/>
  <c r="AK317" i="1" s="1"/>
  <c r="AV317" i="1" s="1"/>
  <c r="AY317" i="1" s="1"/>
  <c r="AB294" i="4"/>
  <c r="M216" i="4" s="1"/>
  <c r="AK53" i="1" s="1"/>
  <c r="AV53" i="1" s="1"/>
  <c r="X354" i="4"/>
  <c r="AA354" i="4"/>
  <c r="AV320" i="1"/>
  <c r="AY320" i="1" s="1"/>
  <c r="G40" i="23"/>
  <c r="E138" i="23" s="1"/>
  <c r="G201" i="23" s="1"/>
  <c r="G46" i="23"/>
  <c r="E144" i="23" s="1"/>
  <c r="G207" i="23" s="1"/>
  <c r="Z289" i="11"/>
  <c r="S289" i="11"/>
  <c r="R106" i="13"/>
  <c r="L79" i="13" s="1"/>
  <c r="AK313" i="1" s="1"/>
  <c r="AV313" i="1" s="1"/>
  <c r="E58" i="23"/>
  <c r="E62" i="23" s="1"/>
  <c r="AW67" i="1"/>
  <c r="L312" i="4"/>
  <c r="AB312" i="4" s="1"/>
  <c r="M234" i="4" s="1"/>
  <c r="AK329" i="1" s="1"/>
  <c r="AV329" i="1" s="1"/>
  <c r="AC310" i="4"/>
  <c r="O232" i="4" s="1"/>
  <c r="AN66" i="1" s="1"/>
  <c r="AW66" i="1" s="1"/>
  <c r="R354" i="4"/>
  <c r="Y354" i="4"/>
  <c r="L51" i="14"/>
  <c r="G42" i="23"/>
  <c r="E140" i="23" s="1"/>
  <c r="G203" i="23" s="1"/>
  <c r="G45" i="23"/>
  <c r="E143" i="23" s="1"/>
  <c r="G206" i="23" s="1"/>
  <c r="G41" i="23"/>
  <c r="E139" i="23" s="1"/>
  <c r="G202" i="23" s="1"/>
  <c r="G51" i="23"/>
  <c r="G146" i="23" s="1"/>
  <c r="G215" i="23" s="1"/>
  <c r="L88" i="13"/>
  <c r="AK299" i="1" s="1"/>
  <c r="O189" i="11"/>
  <c r="O185" i="11" s="1"/>
  <c r="O168" i="11"/>
  <c r="O164" i="11" s="1"/>
  <c r="AF270" i="11"/>
  <c r="M222" i="11" s="1"/>
  <c r="AN229" i="1" s="1"/>
  <c r="AW229" i="1" s="1"/>
  <c r="AE270" i="11"/>
  <c r="K222" i="11" s="1"/>
  <c r="AK229" i="1" s="1"/>
  <c r="AV229" i="1" s="1"/>
  <c r="AF287" i="11"/>
  <c r="M239" i="11" s="1"/>
  <c r="AN226" i="1" s="1"/>
  <c r="AW226" i="1" s="1"/>
  <c r="AE267" i="11"/>
  <c r="K219" i="11" s="1"/>
  <c r="AK214" i="1" s="1"/>
  <c r="AV214" i="1" s="1"/>
  <c r="AF284" i="11"/>
  <c r="M236" i="11" s="1"/>
  <c r="AN211" i="1" s="1"/>
  <c r="AW211" i="1" s="1"/>
  <c r="AE263" i="11"/>
  <c r="K215" i="11" s="1"/>
  <c r="AK193" i="1" s="1"/>
  <c r="AV193" i="1" s="1"/>
  <c r="T289" i="11"/>
  <c r="S133" i="14"/>
  <c r="N111" i="14" s="1"/>
  <c r="AN244" i="1" s="1"/>
  <c r="AW244" i="1" s="1"/>
  <c r="O142" i="14"/>
  <c r="D335" i="1"/>
  <c r="L74" i="14"/>
  <c r="AW186" i="1"/>
  <c r="AV63" i="1"/>
  <c r="AE283" i="11"/>
  <c r="K235" i="11" s="1"/>
  <c r="AK206" i="1" s="1"/>
  <c r="AV206" i="1" s="1"/>
  <c r="W289" i="11"/>
  <c r="G41" i="24"/>
  <c r="E139" i="24" s="1"/>
  <c r="G202" i="24" s="1"/>
  <c r="G53" i="24"/>
  <c r="G148" i="24" s="1"/>
  <c r="G217" i="24" s="1"/>
  <c r="G42" i="24"/>
  <c r="E140" i="24" s="1"/>
  <c r="G203" i="24" s="1"/>
  <c r="E58" i="24"/>
  <c r="E62" i="24" s="1"/>
  <c r="G43" i="24"/>
  <c r="E141" i="24" s="1"/>
  <c r="G204" i="24" s="1"/>
  <c r="R109" i="13"/>
  <c r="L82" i="13" s="1"/>
  <c r="AK34" i="1" s="1"/>
  <c r="AV34" i="1" s="1"/>
  <c r="M312" i="4"/>
  <c r="AC312" i="4" s="1"/>
  <c r="O234" i="4" s="1"/>
  <c r="AN329" i="1" s="1"/>
  <c r="AW329" i="1" s="1"/>
  <c r="Q354" i="4"/>
  <c r="Z229" i="15"/>
  <c r="L198" i="15" s="1"/>
  <c r="AK129" i="1" s="1"/>
  <c r="AV129" i="1" s="1"/>
  <c r="L124" i="13"/>
  <c r="S118" i="13"/>
  <c r="N91" i="13" s="1"/>
  <c r="AN121" i="1" s="1"/>
  <c r="AW121" i="1" s="1"/>
  <c r="N142" i="14"/>
  <c r="J55" i="6"/>
  <c r="J61" i="6" s="1"/>
  <c r="L55" i="6"/>
  <c r="AN151" i="1" s="1"/>
  <c r="AV151" i="1"/>
  <c r="R127" i="14"/>
  <c r="L105" i="14" s="1"/>
  <c r="AK70" i="1" s="1"/>
  <c r="AV70" i="1" s="1"/>
  <c r="AF261" i="11"/>
  <c r="AC305" i="4"/>
  <c r="O227" i="4" s="1"/>
  <c r="AN46" i="1" s="1"/>
  <c r="AW46" i="1" s="1"/>
  <c r="AC304" i="4"/>
  <c r="O226" i="4" s="1"/>
  <c r="AN42" i="1" s="1"/>
  <c r="AW42" i="1" s="1"/>
  <c r="AC303" i="4"/>
  <c r="O225" i="4" s="1"/>
  <c r="AB289" i="11"/>
  <c r="G45" i="24"/>
  <c r="E143" i="24" s="1"/>
  <c r="G206" i="24" s="1"/>
  <c r="Y289" i="11"/>
  <c r="T82" i="4"/>
  <c r="U84" i="4" s="1"/>
  <c r="V354" i="4"/>
  <c r="V233" i="15"/>
  <c r="L57" i="12"/>
  <c r="AK119" i="1"/>
  <c r="AV119" i="1" s="1"/>
  <c r="X289" i="11"/>
  <c r="AF253" i="11"/>
  <c r="M206" i="11" s="1"/>
  <c r="AN138" i="1" s="1"/>
  <c r="F140" i="14"/>
  <c r="R140" i="14" s="1"/>
  <c r="L118" i="14" s="1"/>
  <c r="AK188" i="1" s="1"/>
  <c r="AV188" i="1" s="1"/>
  <c r="N90" i="13"/>
  <c r="AN316" i="1" s="1"/>
  <c r="AW316" i="1" s="1"/>
  <c r="AX316" i="1" s="1"/>
  <c r="S139" i="14"/>
  <c r="N117" i="14" s="1"/>
  <c r="AN288" i="1" s="1"/>
  <c r="AW288" i="1" s="1"/>
  <c r="AF269" i="11"/>
  <c r="M221" i="11" s="1"/>
  <c r="AN224" i="1" s="1"/>
  <c r="AW224" i="1" s="1"/>
  <c r="AF255" i="11"/>
  <c r="M208" i="11" s="1"/>
  <c r="AN179" i="1" s="1"/>
  <c r="AW179" i="1" s="1"/>
  <c r="AB293" i="4"/>
  <c r="M215" i="4" s="1"/>
  <c r="AK49" i="1" s="1"/>
  <c r="AV49" i="1" s="1"/>
  <c r="AB292" i="4"/>
  <c r="M214" i="4" s="1"/>
  <c r="AK45" i="1" s="1"/>
  <c r="AV45" i="1" s="1"/>
  <c r="AV327" i="1"/>
  <c r="G43" i="22"/>
  <c r="G91" i="22"/>
  <c r="G98" i="22" s="1"/>
  <c r="S119" i="13"/>
  <c r="N92" i="13" s="1"/>
  <c r="AN120" i="1" s="1"/>
  <c r="AW120" i="1" s="1"/>
  <c r="S116" i="13"/>
  <c r="N89" i="13" s="1"/>
  <c r="AN315" i="1" s="1"/>
  <c r="AW315" i="1" s="1"/>
  <c r="E62" i="18"/>
  <c r="E66" i="18" s="1"/>
  <c r="AP50" i="1"/>
  <c r="AV50" i="1" s="1"/>
  <c r="AC306" i="4"/>
  <c r="O228" i="4" s="1"/>
  <c r="AN50" i="1" s="1"/>
  <c r="AW50" i="1" s="1"/>
  <c r="N124" i="13"/>
  <c r="S135" i="14"/>
  <c r="N113" i="14" s="1"/>
  <c r="AN260" i="1" s="1"/>
  <c r="AW260" i="1" s="1"/>
  <c r="S134" i="14"/>
  <c r="N112" i="14" s="1"/>
  <c r="AN253" i="1" s="1"/>
  <c r="AW253" i="1" s="1"/>
  <c r="AX251" i="1"/>
  <c r="S132" i="14"/>
  <c r="N110" i="14" s="1"/>
  <c r="AN236" i="1" s="1"/>
  <c r="AW236" i="1" s="1"/>
  <c r="G29" i="22"/>
  <c r="C102" i="22" s="1"/>
  <c r="J281" i="19"/>
  <c r="AP154" i="1" s="1"/>
  <c r="L208" i="19"/>
  <c r="L294" i="19" s="1"/>
  <c r="J208" i="19"/>
  <c r="AP26" i="1" s="1"/>
  <c r="AV26" i="1" s="1"/>
  <c r="K142" i="14"/>
  <c r="R130" i="14"/>
  <c r="L108" i="14" s="1"/>
  <c r="AK321" i="1" s="1"/>
  <c r="AV321" i="1" s="1"/>
  <c r="AY321" i="1" s="1"/>
  <c r="L78" i="13"/>
  <c r="AK312" i="1" s="1"/>
  <c r="AV312" i="1" s="1"/>
  <c r="AY312" i="1" s="1"/>
  <c r="T354" i="4"/>
  <c r="P311" i="4"/>
  <c r="AC311" i="4" s="1"/>
  <c r="O233" i="4" s="1"/>
  <c r="AN185" i="1" s="1"/>
  <c r="AW185" i="1" s="1"/>
  <c r="O311" i="4"/>
  <c r="L69" i="3"/>
  <c r="I46" i="3"/>
  <c r="N69" i="3"/>
  <c r="L69" i="5"/>
  <c r="N134" i="2"/>
  <c r="L134" i="2"/>
  <c r="J87" i="2"/>
  <c r="AW73" i="1"/>
  <c r="AW198" i="1"/>
  <c r="AW169" i="1"/>
  <c r="BA169" i="1" s="1"/>
  <c r="AS53" i="1"/>
  <c r="AW53" i="1" s="1"/>
  <c r="AS126" i="1"/>
  <c r="AW126" i="1" s="1"/>
  <c r="AS90" i="1"/>
  <c r="AW90" i="1" s="1"/>
  <c r="BA90" i="1" s="1"/>
  <c r="G120" i="24"/>
  <c r="G121" i="24" s="1"/>
  <c r="AS105" i="1"/>
  <c r="AW105" i="1" s="1"/>
  <c r="AS93" i="1"/>
  <c r="AW93" i="1" s="1"/>
  <c r="AP310" i="1"/>
  <c r="AV310" i="1" s="1"/>
  <c r="AS309" i="1"/>
  <c r="AW309" i="1" s="1"/>
  <c r="E137" i="24"/>
  <c r="G200" i="24" s="1"/>
  <c r="G51" i="24"/>
  <c r="G146" i="24" s="1"/>
  <c r="G56" i="24"/>
  <c r="G58" i="24" s="1"/>
  <c r="G46" i="24"/>
  <c r="E144" i="24" s="1"/>
  <c r="G207" i="24" s="1"/>
  <c r="G52" i="24"/>
  <c r="G147" i="24" s="1"/>
  <c r="G216" i="24" s="1"/>
  <c r="G48" i="24"/>
  <c r="G54" i="24"/>
  <c r="G149" i="24" s="1"/>
  <c r="G218" i="24" s="1"/>
  <c r="G40" i="24"/>
  <c r="E138" i="24" s="1"/>
  <c r="AP299" i="1"/>
  <c r="AS183" i="1"/>
  <c r="AW183" i="1" s="1"/>
  <c r="AS128" i="1"/>
  <c r="AS45" i="1"/>
  <c r="AW45" i="1" s="1"/>
  <c r="AP8" i="1"/>
  <c r="AV8" i="1" s="1"/>
  <c r="AP36" i="1"/>
  <c r="AV36" i="1" s="1"/>
  <c r="AP54" i="1"/>
  <c r="AV54" i="1" s="1"/>
  <c r="AP42" i="1"/>
  <c r="AV42" i="1" s="1"/>
  <c r="AP28" i="1"/>
  <c r="AV28" i="1" s="1"/>
  <c r="AS57" i="1"/>
  <c r="AW57" i="1" s="1"/>
  <c r="AP10" i="1"/>
  <c r="AV10" i="1" s="1"/>
  <c r="AP31" i="1"/>
  <c r="AV31" i="1" s="1"/>
  <c r="E217" i="18"/>
  <c r="AS127" i="1"/>
  <c r="AP29" i="1"/>
  <c r="AV29" i="1" s="1"/>
  <c r="BA29" i="1" s="1"/>
  <c r="AP20" i="1"/>
  <c r="AV20" i="1" s="1"/>
  <c r="AX208" i="1"/>
  <c r="AV60" i="1"/>
  <c r="AW303" i="1"/>
  <c r="AX303" i="1" s="1"/>
  <c r="AV185" i="1"/>
  <c r="AV61" i="1"/>
  <c r="AV305" i="1"/>
  <c r="AY305" i="1" s="1"/>
  <c r="AX258" i="1"/>
  <c r="AV252" i="1"/>
  <c r="AW184" i="1"/>
  <c r="AX323" i="1"/>
  <c r="AW274" i="1"/>
  <c r="AW299" i="1"/>
  <c r="AX279" i="1"/>
  <c r="AX307" i="1"/>
  <c r="AV55" i="1"/>
  <c r="AX308" i="1"/>
  <c r="AX296" i="1"/>
  <c r="AX293" i="1"/>
  <c r="AW59" i="1"/>
  <c r="AW55" i="1"/>
  <c r="AV43" i="1"/>
  <c r="AW187" i="1"/>
  <c r="AV48" i="1"/>
  <c r="AX306" i="1"/>
  <c r="AX272" i="1"/>
  <c r="AX202" i="1"/>
  <c r="AV245" i="1"/>
  <c r="Y224" i="15"/>
  <c r="AA224" i="15" s="1"/>
  <c r="N194" i="15" s="1"/>
  <c r="AN326" i="1" s="1"/>
  <c r="AW326" i="1" s="1"/>
  <c r="Y217" i="15"/>
  <c r="Z217" i="15" s="1"/>
  <c r="L188" i="15" s="1"/>
  <c r="AK260" i="1" s="1"/>
  <c r="AV260" i="1" s="1"/>
  <c r="U233" i="15"/>
  <c r="Y215" i="15"/>
  <c r="Z215" i="15" s="1"/>
  <c r="L186" i="15" s="1"/>
  <c r="AK244" i="1" s="1"/>
  <c r="AV244" i="1" s="1"/>
  <c r="Y221" i="15"/>
  <c r="AA221" i="15" s="1"/>
  <c r="Y218" i="15"/>
  <c r="Z218" i="15" s="1"/>
  <c r="L189" i="15" s="1"/>
  <c r="AK267" i="1" s="1"/>
  <c r="AV267" i="1" s="1"/>
  <c r="Y216" i="15"/>
  <c r="Z216" i="15" s="1"/>
  <c r="L187" i="15" s="1"/>
  <c r="Y214" i="15"/>
  <c r="Z214" i="15" s="1"/>
  <c r="L185" i="15" s="1"/>
  <c r="Y222" i="15"/>
  <c r="AA222" i="15" s="1"/>
  <c r="N193" i="15" s="1"/>
  <c r="AN325" i="1" s="1"/>
  <c r="AW325" i="1" s="1"/>
  <c r="Y220" i="15"/>
  <c r="Y226" i="15"/>
  <c r="AA226" i="15" s="1"/>
  <c r="N197" i="15" s="1"/>
  <c r="AN128" i="1" s="1"/>
  <c r="Y219" i="15"/>
  <c r="Z219" i="15" s="1"/>
  <c r="L190" i="15" s="1"/>
  <c r="AK274" i="1" s="1"/>
  <c r="AV274" i="1" s="1"/>
  <c r="R233" i="15"/>
  <c r="N233" i="15"/>
  <c r="L35" i="15"/>
  <c r="H225" i="15" s="1"/>
  <c r="H233" i="15" s="1"/>
  <c r="F233" i="15"/>
  <c r="J233" i="15"/>
  <c r="L233" i="15"/>
  <c r="J48" i="15"/>
  <c r="G225" i="15" s="1"/>
  <c r="G233" i="15" s="1"/>
  <c r="AX319" i="1"/>
  <c r="AY319" i="1"/>
  <c r="AV289" i="1"/>
  <c r="AY208" i="1"/>
  <c r="AH333" i="1"/>
  <c r="AV180" i="1"/>
  <c r="AV318" i="1"/>
  <c r="AY318" i="1" s="1"/>
  <c r="AW294" i="1"/>
  <c r="AY294" i="1" s="1"/>
  <c r="AX297" i="1"/>
  <c r="AW298" i="1"/>
  <c r="AX298" i="1" s="1"/>
  <c r="AV51" i="1"/>
  <c r="AX304" i="1"/>
  <c r="AW310" i="1"/>
  <c r="AV68" i="1"/>
  <c r="AW51" i="1"/>
  <c r="AW214" i="1"/>
  <c r="AW20" i="1"/>
  <c r="AV204" i="1"/>
  <c r="AW162" i="1"/>
  <c r="BA162" i="1" s="1"/>
  <c r="AV231" i="1"/>
  <c r="AV106" i="1"/>
  <c r="AY222" i="1"/>
  <c r="AX222" i="1"/>
  <c r="AX227" i="1"/>
  <c r="AY227" i="1"/>
  <c r="AV187" i="1"/>
  <c r="AV259" i="1"/>
  <c r="AV225" i="1"/>
  <c r="AV201" i="1"/>
  <c r="AV190" i="1"/>
  <c r="AX190" i="1" s="1"/>
  <c r="AZ92" i="1"/>
  <c r="AW188" i="1"/>
  <c r="AV215" i="1"/>
  <c r="AV189" i="1"/>
  <c r="AX189" i="1" s="1"/>
  <c r="AY218" i="1"/>
  <c r="AX218" i="1"/>
  <c r="AX232" i="1"/>
  <c r="AY232" i="1"/>
  <c r="AY207" i="1"/>
  <c r="AX207" i="1"/>
  <c r="AX196" i="1"/>
  <c r="AY196" i="1"/>
  <c r="AY191" i="1"/>
  <c r="AX191" i="1"/>
  <c r="AY233" i="1"/>
  <c r="AX233" i="1"/>
  <c r="AY217" i="1"/>
  <c r="AX217" i="1"/>
  <c r="AX213" i="1"/>
  <c r="AY213" i="1"/>
  <c r="AX212" i="1"/>
  <c r="AY212" i="1"/>
  <c r="AY203" i="1"/>
  <c r="AX203" i="1"/>
  <c r="AY197" i="1"/>
  <c r="AX197" i="1"/>
  <c r="AX192" i="1"/>
  <c r="AY192" i="1"/>
  <c r="AV184" i="1"/>
  <c r="AW170" i="1"/>
  <c r="AZ170" i="1" s="1"/>
  <c r="BA168" i="1"/>
  <c r="AW167" i="1"/>
  <c r="AZ167" i="1" s="1"/>
  <c r="AX265" i="1"/>
  <c r="AV221" i="1"/>
  <c r="AV210" i="1"/>
  <c r="AV198" i="1"/>
  <c r="AV194" i="1"/>
  <c r="AV211" i="1"/>
  <c r="AX286" i="1"/>
  <c r="AY234" i="1"/>
  <c r="AX228" i="1"/>
  <c r="AX223" i="1"/>
  <c r="AV220" i="1"/>
  <c r="AY202" i="1"/>
  <c r="AW21" i="1"/>
  <c r="AV254" i="1"/>
  <c r="AV37" i="1"/>
  <c r="AW230" i="1"/>
  <c r="AW225" i="1"/>
  <c r="AW219" i="1"/>
  <c r="AW215" i="1"/>
  <c r="AW205" i="1"/>
  <c r="AV67" i="1"/>
  <c r="AW63" i="1"/>
  <c r="AV46" i="1"/>
  <c r="AW177" i="1"/>
  <c r="AV64" i="1"/>
  <c r="AV59" i="1"/>
  <c r="AV268" i="1"/>
  <c r="AY302" i="1"/>
  <c r="AW49" i="1"/>
  <c r="AV56" i="1"/>
  <c r="AW108" i="1"/>
  <c r="AV105" i="1"/>
  <c r="AV309" i="1"/>
  <c r="AZ102" i="1"/>
  <c r="BA102" i="1"/>
  <c r="AV93" i="1"/>
  <c r="AW178" i="1"/>
  <c r="BA92" i="1"/>
  <c r="AZ161" i="1"/>
  <c r="AV178" i="1"/>
  <c r="BA101" i="1"/>
  <c r="AZ101" i="1"/>
  <c r="AW113" i="1"/>
  <c r="AZ113" i="1" s="1"/>
  <c r="BA104" i="1"/>
  <c r="AV95" i="1"/>
  <c r="BA118" i="1"/>
  <c r="AZ118" i="1"/>
  <c r="BA174" i="1"/>
  <c r="AZ174" i="1"/>
  <c r="AW129" i="1"/>
  <c r="AZ104" i="1"/>
  <c r="AW220" i="1"/>
  <c r="AW210" i="1"/>
  <c r="AW201" i="1"/>
  <c r="AW103" i="1"/>
  <c r="AV58" i="1"/>
  <c r="AV52" i="1"/>
  <c r="AW172" i="1"/>
  <c r="AZ172" i="1" s="1"/>
  <c r="AW165" i="1"/>
  <c r="BA165" i="1" s="1"/>
  <c r="AW114" i="1"/>
  <c r="AZ114" i="1" s="1"/>
  <c r="AW110" i="1"/>
  <c r="BA110" i="1" s="1"/>
  <c r="AW182" i="1"/>
  <c r="AW180" i="1"/>
  <c r="AZ89" i="1"/>
  <c r="AV44" i="1"/>
  <c r="AW111" i="1"/>
  <c r="BA111" i="1" s="1"/>
  <c r="AV108" i="1"/>
  <c r="AZ12" i="1"/>
  <c r="AV27" i="1"/>
  <c r="AI333" i="1"/>
  <c r="AW194" i="1"/>
  <c r="AV47" i="1"/>
  <c r="AW47" i="1"/>
  <c r="AW331" i="1"/>
  <c r="BA18" i="1"/>
  <c r="AW37" i="1"/>
  <c r="AV266" i="1"/>
  <c r="AV273" i="1"/>
  <c r="AV23" i="1"/>
  <c r="AZ23" i="1" s="1"/>
  <c r="AZ16" i="1"/>
  <c r="AW173" i="1"/>
  <c r="BA24" i="1"/>
  <c r="AZ24" i="1"/>
  <c r="AV125" i="1"/>
  <c r="AW32" i="1"/>
  <c r="AW69" i="1"/>
  <c r="AZ25" i="1"/>
  <c r="BA11" i="1"/>
  <c r="AW27" i="1"/>
  <c r="AV287" i="1"/>
  <c r="AV181" i="1"/>
  <c r="AW206" i="1"/>
  <c r="AV261" i="1"/>
  <c r="BA89" i="1"/>
  <c r="AW14" i="1"/>
  <c r="AV15" i="1"/>
  <c r="BA12" i="1"/>
  <c r="AV38" i="1"/>
  <c r="AZ18" i="1"/>
  <c r="AW164" i="1"/>
  <c r="AZ164" i="1" s="1"/>
  <c r="AV123" i="1"/>
  <c r="AV120" i="1"/>
  <c r="AW116" i="1"/>
  <c r="AW115" i="1"/>
  <c r="AW112" i="1"/>
  <c r="BA112" i="1" s="1"/>
  <c r="AV94" i="1"/>
  <c r="AW65" i="1"/>
  <c r="AW61" i="1"/>
  <c r="AZ17" i="1"/>
  <c r="AV219" i="1"/>
  <c r="AV40" i="1"/>
  <c r="BA40" i="1" s="1"/>
  <c r="AZ91" i="1"/>
  <c r="BA91" i="1"/>
  <c r="AZ41" i="1"/>
  <c r="C58" i="22" s="1"/>
  <c r="BA41" i="1"/>
  <c r="AZ19" i="1"/>
  <c r="BA19" i="1"/>
  <c r="BA16" i="1"/>
  <c r="AV126" i="1"/>
  <c r="AW31" i="1"/>
  <c r="AV275" i="1"/>
  <c r="AW166" i="1"/>
  <c r="AW163" i="1"/>
  <c r="AV128" i="1"/>
  <c r="AW117" i="1"/>
  <c r="BA17" i="1"/>
  <c r="AV13" i="1"/>
  <c r="AW221" i="1"/>
  <c r="AV205" i="1"/>
  <c r="AV243" i="1"/>
  <c r="AV282" i="1"/>
  <c r="AW330" i="1"/>
  <c r="AV331" i="1"/>
  <c r="AW34" i="1"/>
  <c r="L77" i="13"/>
  <c r="K124" i="13"/>
  <c r="S121" i="13"/>
  <c r="N94" i="13" s="1"/>
  <c r="AN124" i="1" s="1"/>
  <c r="AW124" i="1" s="1"/>
  <c r="AS22" i="1"/>
  <c r="I289" i="11"/>
  <c r="AE253" i="11"/>
  <c r="AW8" i="1"/>
  <c r="AY322" i="1"/>
  <c r="AX322" i="1"/>
  <c r="M217" i="4"/>
  <c r="AV33" i="1"/>
  <c r="AE9" i="1"/>
  <c r="AW9" i="1" s="1"/>
  <c r="AC333" i="1"/>
  <c r="M241" i="11"/>
  <c r="AN152" i="1" s="1"/>
  <c r="AW152" i="1" s="1"/>
  <c r="E65" i="24"/>
  <c r="AZ96" i="1"/>
  <c r="BA96" i="1"/>
  <c r="S108" i="13"/>
  <c r="N81" i="13" s="1"/>
  <c r="Q124" i="13"/>
  <c r="BA71" i="1"/>
  <c r="AZ71" i="1"/>
  <c r="AD14" i="1"/>
  <c r="AB333" i="1"/>
  <c r="AN235" i="1"/>
  <c r="AZ137" i="1"/>
  <c r="BA137" i="1"/>
  <c r="BA25" i="1"/>
  <c r="AZ11" i="1"/>
  <c r="G126" i="18"/>
  <c r="G127" i="18" s="1"/>
  <c r="K127" i="18" s="1"/>
  <c r="L354" i="4"/>
  <c r="AA289" i="11"/>
  <c r="AY223" i="1"/>
  <c r="AX234" i="1"/>
  <c r="J69" i="5"/>
  <c r="I142" i="14"/>
  <c r="N57" i="12"/>
  <c r="AV130" i="1"/>
  <c r="AV124" i="1"/>
  <c r="AV69" i="1"/>
  <c r="AV73" i="1"/>
  <c r="AX324" i="1"/>
  <c r="AA230" i="15"/>
  <c r="N199" i="15" s="1"/>
  <c r="AN130" i="1" s="1"/>
  <c r="AW130" i="1" s="1"/>
  <c r="AZ332" i="1"/>
  <c r="AW171" i="1"/>
  <c r="BA171" i="1" s="1"/>
  <c r="S136" i="14"/>
  <c r="L142" i="14"/>
  <c r="AV280" i="1"/>
  <c r="L84" i="13"/>
  <c r="AK237" i="1" s="1"/>
  <c r="AV237" i="1" s="1"/>
  <c r="AW181" i="1"/>
  <c r="AV62" i="1"/>
  <c r="AV138" i="1"/>
  <c r="AV66" i="1"/>
  <c r="AW43" i="1"/>
  <c r="AV177" i="1"/>
  <c r="I179" i="4" l="1"/>
  <c r="S354" i="4"/>
  <c r="AK253" i="1"/>
  <c r="AV253" i="1" s="1"/>
  <c r="AW151" i="1"/>
  <c r="Y227" i="15"/>
  <c r="AA227" i="15" s="1"/>
  <c r="N200" i="15" s="1"/>
  <c r="O233" i="15"/>
  <c r="G48" i="18"/>
  <c r="E148" i="18" s="1"/>
  <c r="G212" i="18" s="1"/>
  <c r="AS273" i="1" s="1"/>
  <c r="AW273" i="1" s="1"/>
  <c r="Z227" i="15"/>
  <c r="L200" i="15" s="1"/>
  <c r="AW193" i="1"/>
  <c r="AY193" i="1" s="1"/>
  <c r="AY199" i="1"/>
  <c r="AX230" i="1"/>
  <c r="AV299" i="1"/>
  <c r="AY299" i="1" s="1"/>
  <c r="AX320" i="1"/>
  <c r="Z222" i="15"/>
  <c r="L193" i="15" s="1"/>
  <c r="AK325" i="1" s="1"/>
  <c r="AV325" i="1" s="1"/>
  <c r="AX325" i="1" s="1"/>
  <c r="G220" i="23"/>
  <c r="AF289" i="11"/>
  <c r="Z224" i="15"/>
  <c r="L194" i="15" s="1"/>
  <c r="AK326" i="1" s="1"/>
  <c r="AV326" i="1" s="1"/>
  <c r="AY326" i="1" s="1"/>
  <c r="G150" i="23"/>
  <c r="G208" i="23" s="1"/>
  <c r="G210" i="23" s="1"/>
  <c r="AZ125" i="1"/>
  <c r="AY226" i="1"/>
  <c r="E150" i="23"/>
  <c r="M354" i="4"/>
  <c r="AV154" i="1"/>
  <c r="AZ159" i="1" s="1"/>
  <c r="G55" i="18"/>
  <c r="G152" i="18" s="1"/>
  <c r="G222" i="18" s="1"/>
  <c r="G46" i="18"/>
  <c r="E146" i="18" s="1"/>
  <c r="G210" i="18" s="1"/>
  <c r="AS259" i="1" s="1"/>
  <c r="AW259" i="1" s="1"/>
  <c r="G50" i="18"/>
  <c r="E150" i="18" s="1"/>
  <c r="G214" i="18" s="1"/>
  <c r="AS287" i="1" s="1"/>
  <c r="AW287" i="1" s="1"/>
  <c r="G56" i="18"/>
  <c r="G153" i="18" s="1"/>
  <c r="G223" i="18" s="1"/>
  <c r="G47" i="18"/>
  <c r="E147" i="18" s="1"/>
  <c r="G211" i="18" s="1"/>
  <c r="AS266" i="1" s="1"/>
  <c r="AW266" i="1" s="1"/>
  <c r="G49" i="18"/>
  <c r="E149" i="18" s="1"/>
  <c r="G213" i="18" s="1"/>
  <c r="AS280" i="1" s="1"/>
  <c r="AW280" i="1" s="1"/>
  <c r="G57" i="18"/>
  <c r="G154" i="18" s="1"/>
  <c r="G224" i="18" s="1"/>
  <c r="G45" i="18"/>
  <c r="G43" i="18"/>
  <c r="E143" i="18" s="1"/>
  <c r="G58" i="18"/>
  <c r="G155" i="18" s="1"/>
  <c r="G225" i="18" s="1"/>
  <c r="G44" i="18"/>
  <c r="E144" i="18" s="1"/>
  <c r="G208" i="18" s="1"/>
  <c r="AY301" i="1"/>
  <c r="AZ169" i="1"/>
  <c r="AY195" i="1"/>
  <c r="AY224" i="1"/>
  <c r="AX206" i="1"/>
  <c r="AY178" i="1"/>
  <c r="AY206" i="1"/>
  <c r="AX180" i="1"/>
  <c r="AY214" i="1"/>
  <c r="AZ70" i="1"/>
  <c r="BA70" i="1"/>
  <c r="AY198" i="1"/>
  <c r="AY190" i="1"/>
  <c r="AX321" i="1"/>
  <c r="AX204" i="1"/>
  <c r="AX305" i="1"/>
  <c r="AX209" i="1"/>
  <c r="BA65" i="1"/>
  <c r="D64" i="22" s="1"/>
  <c r="AX198" i="1"/>
  <c r="AY189" i="1"/>
  <c r="L61" i="6"/>
  <c r="R142" i="14"/>
  <c r="AY303" i="1"/>
  <c r="AY231" i="1"/>
  <c r="AX214" i="1"/>
  <c r="Z226" i="15"/>
  <c r="L197" i="15" s="1"/>
  <c r="J294" i="19"/>
  <c r="R124" i="13"/>
  <c r="AZ58" i="1"/>
  <c r="C63" i="22" s="1"/>
  <c r="AY316" i="1"/>
  <c r="F142" i="14"/>
  <c r="AZ162" i="1"/>
  <c r="L120" i="14"/>
  <c r="AX312" i="1"/>
  <c r="AX317" i="1"/>
  <c r="AC354" i="4"/>
  <c r="P354" i="4"/>
  <c r="O354" i="4"/>
  <c r="AB311" i="4"/>
  <c r="AY331" i="1"/>
  <c r="AX231" i="1"/>
  <c r="AX224" i="1"/>
  <c r="AX215" i="1"/>
  <c r="AX183" i="1"/>
  <c r="AZ112" i="1"/>
  <c r="AY314" i="1"/>
  <c r="AY298" i="1"/>
  <c r="BA58" i="1"/>
  <c r="BA93" i="1"/>
  <c r="AY215" i="1"/>
  <c r="AX194" i="1"/>
  <c r="AY216" i="1"/>
  <c r="AZ105" i="1"/>
  <c r="AZ34" i="1"/>
  <c r="AX201" i="1"/>
  <c r="G201" i="24"/>
  <c r="E150" i="24"/>
  <c r="AW128" i="1"/>
  <c r="BA128" i="1" s="1"/>
  <c r="G150" i="24"/>
  <c r="G215" i="24"/>
  <c r="G220" i="24" s="1"/>
  <c r="AX178" i="1"/>
  <c r="AP333" i="1"/>
  <c r="BA8" i="1"/>
  <c r="AZ93" i="1"/>
  <c r="BA105" i="1"/>
  <c r="BA170" i="1"/>
  <c r="AY230" i="1"/>
  <c r="AX294" i="1"/>
  <c r="AY209" i="1"/>
  <c r="BA61" i="1"/>
  <c r="D63" i="22" s="1"/>
  <c r="AX220" i="1"/>
  <c r="AY229" i="1"/>
  <c r="AZ54" i="1"/>
  <c r="C62" i="22" s="1"/>
  <c r="AX199" i="1"/>
  <c r="AX179" i="1"/>
  <c r="AA214" i="15"/>
  <c r="AA217" i="15"/>
  <c r="N188" i="15" s="1"/>
  <c r="AN261" i="1" s="1"/>
  <c r="AW261" i="1" s="1"/>
  <c r="AA218" i="15"/>
  <c r="N189" i="15" s="1"/>
  <c r="AN268" i="1" s="1"/>
  <c r="AW268" i="1" s="1"/>
  <c r="Z221" i="15"/>
  <c r="Y225" i="15"/>
  <c r="Y228" i="15"/>
  <c r="AA215" i="15"/>
  <c r="N186" i="15" s="1"/>
  <c r="AN245" i="1" s="1"/>
  <c r="AW245" i="1" s="1"/>
  <c r="AA216" i="15"/>
  <c r="N187" i="15" s="1"/>
  <c r="AN254" i="1" s="1"/>
  <c r="AW254" i="1" s="1"/>
  <c r="AA219" i="15"/>
  <c r="N190" i="15" s="1"/>
  <c r="AN275" i="1" s="1"/>
  <c r="AW275" i="1" s="1"/>
  <c r="AA220" i="15"/>
  <c r="N191" i="15" s="1"/>
  <c r="AN282" i="1" s="1"/>
  <c r="AW282" i="1" s="1"/>
  <c r="Z220" i="15"/>
  <c r="L191" i="15" s="1"/>
  <c r="AK281" i="1" s="1"/>
  <c r="AV281" i="1" s="1"/>
  <c r="AX226" i="1"/>
  <c r="AZ45" i="1"/>
  <c r="AY204" i="1"/>
  <c r="AX329" i="1"/>
  <c r="BA172" i="1"/>
  <c r="BA123" i="1"/>
  <c r="AZ49" i="1"/>
  <c r="AX225" i="1"/>
  <c r="AX216" i="1"/>
  <c r="AY220" i="1"/>
  <c r="BA167" i="1"/>
  <c r="AX229" i="1"/>
  <c r="AZ53" i="1"/>
  <c r="AY194" i="1"/>
  <c r="AX210" i="1"/>
  <c r="AX309" i="1"/>
  <c r="BA54" i="1"/>
  <c r="AW138" i="1"/>
  <c r="AZ138" i="1" s="1"/>
  <c r="BA113" i="1"/>
  <c r="BA164" i="1"/>
  <c r="AZ110" i="1"/>
  <c r="AX331" i="1"/>
  <c r="AX211" i="1"/>
  <c r="AY210" i="1"/>
  <c r="BA125" i="1"/>
  <c r="AY183" i="1"/>
  <c r="AY225" i="1"/>
  <c r="AY180" i="1"/>
  <c r="AY181" i="1"/>
  <c r="AX205" i="1"/>
  <c r="AX195" i="1"/>
  <c r="BA114" i="1"/>
  <c r="AY211" i="1"/>
  <c r="AZ29" i="1"/>
  <c r="AY179" i="1"/>
  <c r="AY309" i="1"/>
  <c r="AZ31" i="1"/>
  <c r="AZ65" i="1"/>
  <c r="AZ90" i="1"/>
  <c r="AZ123" i="1"/>
  <c r="BA45" i="1"/>
  <c r="D59" i="22" s="1"/>
  <c r="AZ165" i="1"/>
  <c r="AZ111" i="1"/>
  <c r="AY201" i="1"/>
  <c r="BA23" i="1"/>
  <c r="AY205" i="1"/>
  <c r="BA119" i="1"/>
  <c r="BA46" i="1"/>
  <c r="BA50" i="1"/>
  <c r="AZ50" i="1"/>
  <c r="C61" i="22" s="1"/>
  <c r="AZ103" i="1"/>
  <c r="BA103" i="1"/>
  <c r="AZ61" i="1"/>
  <c r="AZ119" i="1"/>
  <c r="AZ108" i="1"/>
  <c r="BA108" i="1"/>
  <c r="AZ46" i="1"/>
  <c r="C60" i="22" s="1"/>
  <c r="AZ40" i="1"/>
  <c r="C66" i="22" s="1"/>
  <c r="BA53" i="1"/>
  <c r="D61" i="22" s="1"/>
  <c r="BA49" i="1"/>
  <c r="D60" i="22" s="1"/>
  <c r="BA34" i="1"/>
  <c r="AZ173" i="1"/>
  <c r="BA173" i="1"/>
  <c r="AX219" i="1"/>
  <c r="AY219" i="1"/>
  <c r="AZ115" i="1"/>
  <c r="BA115" i="1"/>
  <c r="AZ116" i="1"/>
  <c r="BA116" i="1"/>
  <c r="AZ166" i="1"/>
  <c r="BA166" i="1"/>
  <c r="AY329" i="1"/>
  <c r="AX182" i="1"/>
  <c r="AY182" i="1"/>
  <c r="AE333" i="1"/>
  <c r="BA163" i="1"/>
  <c r="AZ163" i="1"/>
  <c r="BA28" i="1"/>
  <c r="AZ28" i="1"/>
  <c r="BA31" i="1"/>
  <c r="AX221" i="1"/>
  <c r="AY221" i="1"/>
  <c r="AZ117" i="1"/>
  <c r="BA117" i="1"/>
  <c r="BA126" i="1"/>
  <c r="AZ126" i="1"/>
  <c r="AZ66" i="1"/>
  <c r="C65" i="22" s="1"/>
  <c r="BA66" i="1"/>
  <c r="AY315" i="1"/>
  <c r="AX315" i="1"/>
  <c r="AZ73" i="1"/>
  <c r="BA73" i="1"/>
  <c r="AV14" i="1"/>
  <c r="AD333" i="1"/>
  <c r="AZ9" i="1"/>
  <c r="BA9" i="1"/>
  <c r="AE289" i="11"/>
  <c r="K206" i="11"/>
  <c r="AK311" i="1"/>
  <c r="AV311" i="1" s="1"/>
  <c r="L96" i="13"/>
  <c r="N114" i="14"/>
  <c r="S142" i="14"/>
  <c r="BA130" i="1"/>
  <c r="AZ130" i="1"/>
  <c r="AX181" i="1"/>
  <c r="S124" i="13"/>
  <c r="AX310" i="1"/>
  <c r="AY310" i="1"/>
  <c r="BA69" i="1"/>
  <c r="D65" i="22" s="1"/>
  <c r="AZ69" i="1"/>
  <c r="AZ121" i="1"/>
  <c r="BA121" i="1"/>
  <c r="AK238" i="1"/>
  <c r="AV238" i="1" s="1"/>
  <c r="AZ42" i="1"/>
  <c r="C59" i="22" s="1"/>
  <c r="BA42" i="1"/>
  <c r="AX313" i="1"/>
  <c r="AY313" i="1"/>
  <c r="N96" i="13"/>
  <c r="AN122" i="1"/>
  <c r="AW122" i="1" s="1"/>
  <c r="BA122" i="1" s="1"/>
  <c r="AK57" i="1"/>
  <c r="AW22" i="1"/>
  <c r="AY177" i="1"/>
  <c r="AX177" i="1"/>
  <c r="BA62" i="1"/>
  <c r="AZ62" i="1"/>
  <c r="C64" i="22" s="1"/>
  <c r="BA124" i="1"/>
  <c r="AZ124" i="1"/>
  <c r="N192" i="15"/>
  <c r="AZ10" i="1"/>
  <c r="BA10" i="1"/>
  <c r="AZ129" i="1"/>
  <c r="BA129" i="1"/>
  <c r="BA33" i="1"/>
  <c r="AZ33" i="1"/>
  <c r="M242" i="11"/>
  <c r="AZ8" i="1"/>
  <c r="AZ171" i="1"/>
  <c r="AN36" i="1"/>
  <c r="O277" i="4"/>
  <c r="I150" i="23" l="1"/>
  <c r="I150" i="24"/>
  <c r="E156" i="18"/>
  <c r="L192" i="15"/>
  <c r="N185" i="15"/>
  <c r="AN237" i="1" s="1"/>
  <c r="AW237" i="1" s="1"/>
  <c r="E214" i="23"/>
  <c r="E220" i="23" s="1"/>
  <c r="G207" i="18"/>
  <c r="AX193" i="1"/>
  <c r="AX299" i="1"/>
  <c r="AY325" i="1"/>
  <c r="AX326" i="1"/>
  <c r="G60" i="18"/>
  <c r="G52" i="18"/>
  <c r="E69" i="18" s="1"/>
  <c r="AZ128" i="1"/>
  <c r="AS243" i="1"/>
  <c r="AW243" i="1" s="1"/>
  <c r="M233" i="4"/>
  <c r="AB354" i="4"/>
  <c r="G208" i="24"/>
  <c r="G210" i="24" s="1"/>
  <c r="E214" i="24"/>
  <c r="E220" i="24" s="1"/>
  <c r="G156" i="18"/>
  <c r="G227" i="18"/>
  <c r="AV144" i="1"/>
  <c r="E139" i="25"/>
  <c r="Y233" i="15"/>
  <c r="T233" i="15"/>
  <c r="AA225" i="15"/>
  <c r="Z225" i="15"/>
  <c r="L195" i="15" s="1"/>
  <c r="AK127" i="1" s="1"/>
  <c r="AV127" i="1" s="1"/>
  <c r="AZ122" i="1"/>
  <c r="BA138" i="1"/>
  <c r="AK98" i="1"/>
  <c r="AV98" i="1" s="1"/>
  <c r="K242" i="11"/>
  <c r="AN289" i="1"/>
  <c r="AW289" i="1" s="1"/>
  <c r="BA20" i="1"/>
  <c r="AZ20" i="1"/>
  <c r="AN267" i="1"/>
  <c r="AW267" i="1" s="1"/>
  <c r="N120" i="14"/>
  <c r="AW36" i="1"/>
  <c r="AV57" i="1"/>
  <c r="AY311" i="1"/>
  <c r="AX311" i="1"/>
  <c r="BA13" i="1"/>
  <c r="AZ13" i="1"/>
  <c r="AS235" i="1" l="1"/>
  <c r="AW235" i="1" s="1"/>
  <c r="G209" i="18"/>
  <c r="AS252" i="1" s="1"/>
  <c r="AW252" i="1" s="1"/>
  <c r="AK288" i="1"/>
  <c r="AV288" i="1" s="1"/>
  <c r="E221" i="18"/>
  <c r="E227" i="18" s="1"/>
  <c r="G215" i="18"/>
  <c r="AS26" i="1" s="1"/>
  <c r="AW26" i="1" s="1"/>
  <c r="I156" i="18"/>
  <c r="G62" i="18"/>
  <c r="H139" i="25"/>
  <c r="D109" i="25" s="1"/>
  <c r="AN140" i="1" s="1"/>
  <c r="AW140" i="1" s="1"/>
  <c r="G139" i="25"/>
  <c r="E137" i="25"/>
  <c r="G137" i="25" s="1"/>
  <c r="C107" i="25" s="1"/>
  <c r="AK79" i="1" s="1"/>
  <c r="AV79" i="1" s="1"/>
  <c r="AK186" i="1"/>
  <c r="AV186" i="1" s="1"/>
  <c r="M277" i="4"/>
  <c r="E124" i="25"/>
  <c r="Z228" i="15"/>
  <c r="Z233" i="15" s="1"/>
  <c r="AA228" i="15"/>
  <c r="N201" i="15" s="1"/>
  <c r="AN133" i="1" s="1"/>
  <c r="AW133" i="1" s="1"/>
  <c r="N195" i="15"/>
  <c r="AZ57" i="1"/>
  <c r="BA57" i="1"/>
  <c r="D62" i="22" s="1"/>
  <c r="D67" i="22" s="1"/>
  <c r="AZ36" i="1"/>
  <c r="C57" i="22" s="1"/>
  <c r="C67" i="22" s="1"/>
  <c r="BA36" i="1"/>
  <c r="AZ97" i="1"/>
  <c r="BA97" i="1"/>
  <c r="AA233" i="15" l="1"/>
  <c r="N204" i="15"/>
  <c r="C109" i="25"/>
  <c r="AK140" i="1" s="1"/>
  <c r="AV140" i="1" s="1"/>
  <c r="AZ142" i="1"/>
  <c r="AW81" i="1"/>
  <c r="BA81" i="1" s="1"/>
  <c r="H137" i="25"/>
  <c r="D107" i="25" s="1"/>
  <c r="AN79" i="1" s="1"/>
  <c r="AW79" i="1" s="1"/>
  <c r="AY184" i="1"/>
  <c r="AX184" i="1"/>
  <c r="AS333" i="1"/>
  <c r="G217" i="18"/>
  <c r="E135" i="25"/>
  <c r="H124" i="25"/>
  <c r="D94" i="25" s="1"/>
  <c r="G124" i="25"/>
  <c r="C94" i="25" s="1"/>
  <c r="L201" i="15"/>
  <c r="L204" i="15" s="1"/>
  <c r="AN127" i="1"/>
  <c r="AW127" i="1" s="1"/>
  <c r="E67" i="22"/>
  <c r="C80" i="22" s="1"/>
  <c r="C103" i="22" s="1"/>
  <c r="BA26" i="1"/>
  <c r="AZ26" i="1"/>
  <c r="AK133" i="1" l="1"/>
  <c r="AV133" i="1" s="1"/>
  <c r="AZ79" i="1"/>
  <c r="AP335" i="1"/>
  <c r="AZ81" i="1"/>
  <c r="BA142" i="1"/>
  <c r="BA140" i="1"/>
  <c r="AW144" i="1"/>
  <c r="E129" i="25"/>
  <c r="H135" i="25"/>
  <c r="D105" i="25" s="1"/>
  <c r="AN77" i="1" s="1"/>
  <c r="AW77" i="1" s="1"/>
  <c r="G135" i="25"/>
  <c r="AZ127" i="1"/>
  <c r="BA127" i="1"/>
  <c r="AZ133" i="1" l="1"/>
  <c r="BA133" i="1"/>
  <c r="BA79" i="1"/>
  <c r="C105" i="25"/>
  <c r="AK77" i="1" s="1"/>
  <c r="AV77" i="1" s="1"/>
  <c r="AZ140" i="1"/>
  <c r="AZ74" i="1"/>
  <c r="BA74" i="1"/>
  <c r="BA144" i="1"/>
  <c r="AZ144" i="1"/>
  <c r="E132" i="25"/>
  <c r="H132" i="25" s="1"/>
  <c r="E133" i="25"/>
  <c r="H133" i="25" s="1"/>
  <c r="E134" i="25"/>
  <c r="H134" i="25" s="1"/>
  <c r="H129" i="25"/>
  <c r="G129" i="25"/>
  <c r="D144" i="25"/>
  <c r="E125" i="25"/>
  <c r="H125" i="25" s="1"/>
  <c r="D95" i="25" s="1"/>
  <c r="C144" i="25"/>
  <c r="E131" i="25"/>
  <c r="E128" i="25"/>
  <c r="E130" i="25"/>
  <c r="E127" i="25"/>
  <c r="BA77" i="1" l="1"/>
  <c r="C99" i="25"/>
  <c r="AK256" i="1" s="1"/>
  <c r="AV256" i="1" s="1"/>
  <c r="D104" i="25"/>
  <c r="AN290" i="1" s="1"/>
  <c r="AW290" i="1" s="1"/>
  <c r="D103" i="25"/>
  <c r="AN283" i="1" s="1"/>
  <c r="AW283" i="1" s="1"/>
  <c r="D102" i="25"/>
  <c r="AN276" i="1" s="1"/>
  <c r="AW276" i="1" s="1"/>
  <c r="D99" i="25"/>
  <c r="AN255" i="1" s="1"/>
  <c r="AW255" i="1" s="1"/>
  <c r="AW139" i="1"/>
  <c r="BA139" i="1" s="1"/>
  <c r="G132" i="25"/>
  <c r="G133" i="25"/>
  <c r="G134" i="25"/>
  <c r="G125" i="25"/>
  <c r="C95" i="25" s="1"/>
  <c r="E144" i="25"/>
  <c r="G127" i="25" s="1"/>
  <c r="C97" i="25" s="1"/>
  <c r="AK240" i="1" s="1"/>
  <c r="H127" i="25"/>
  <c r="G131" i="25"/>
  <c r="H131" i="25"/>
  <c r="H130" i="25"/>
  <c r="G130" i="25"/>
  <c r="H128" i="25"/>
  <c r="G128" i="25"/>
  <c r="AY252" i="1" l="1"/>
  <c r="AX252" i="1"/>
  <c r="AZ77" i="1"/>
  <c r="C98" i="25"/>
  <c r="AK247" i="1" s="1"/>
  <c r="AV247" i="1" s="1"/>
  <c r="D97" i="25"/>
  <c r="AN238" i="1" s="1"/>
  <c r="D98" i="25"/>
  <c r="AN246" i="1" s="1"/>
  <c r="AW246" i="1" s="1"/>
  <c r="D100" i="25"/>
  <c r="AN262" i="1" s="1"/>
  <c r="AW262" i="1" s="1"/>
  <c r="C101" i="25"/>
  <c r="AK270" i="1" s="1"/>
  <c r="AV270" i="1" s="1"/>
  <c r="C104" i="25"/>
  <c r="AK291" i="1" s="1"/>
  <c r="AV291" i="1" s="1"/>
  <c r="C103" i="25"/>
  <c r="AK284" i="1" s="1"/>
  <c r="AV284" i="1" s="1"/>
  <c r="C102" i="25"/>
  <c r="AK277" i="1" s="1"/>
  <c r="AV277" i="1" s="1"/>
  <c r="C100" i="25"/>
  <c r="AK263" i="1" s="1"/>
  <c r="AV263" i="1" s="1"/>
  <c r="D101" i="25"/>
  <c r="AN269" i="1" s="1"/>
  <c r="AW269" i="1" s="1"/>
  <c r="AZ139" i="1"/>
  <c r="BA76" i="1"/>
  <c r="AZ76" i="1"/>
  <c r="AV240" i="1"/>
  <c r="AN30" i="1"/>
  <c r="AW30" i="1" s="1"/>
  <c r="H144" i="25"/>
  <c r="G144" i="25"/>
  <c r="AY266" i="1" l="1"/>
  <c r="AX266" i="1"/>
  <c r="AX259" i="1"/>
  <c r="AY259" i="1"/>
  <c r="AX243" i="1"/>
  <c r="AY243" i="1"/>
  <c r="AY273" i="1"/>
  <c r="AX273" i="1"/>
  <c r="AX280" i="1"/>
  <c r="AY280" i="1"/>
  <c r="AY287" i="1"/>
  <c r="AX287" i="1"/>
  <c r="AV152" i="1"/>
  <c r="BA151" i="1" s="1"/>
  <c r="AK30" i="1"/>
  <c r="C116" i="25"/>
  <c r="AW132" i="1"/>
  <c r="BA132" i="1" s="1"/>
  <c r="D116" i="25"/>
  <c r="AW238" i="1"/>
  <c r="AZ151" i="1" l="1"/>
  <c r="AZ132" i="1"/>
  <c r="AN333" i="1"/>
  <c r="AK333" i="1"/>
  <c r="AV30" i="1"/>
  <c r="AV333" i="1" s="1"/>
  <c r="AX235" i="1"/>
  <c r="AY235" i="1"/>
  <c r="AY333" i="1" s="1"/>
  <c r="AW333" i="1"/>
  <c r="AV335" i="1" l="1"/>
  <c r="AK335" i="1"/>
  <c r="AX333" i="1"/>
  <c r="AY335" i="1" s="1"/>
  <c r="AZ158" i="1" s="1"/>
  <c r="BA30" i="1"/>
  <c r="AZ30" i="1"/>
  <c r="AX335" i="1" l="1"/>
  <c r="AZ335" i="1"/>
  <c r="AY337" i="1"/>
  <c r="AZ175" i="1"/>
  <c r="BA158" i="1" l="1"/>
  <c r="AX337" i="1"/>
  <c r="AZ333" i="1"/>
  <c r="L193" i="19" l="1"/>
  <c r="BA175" i="1"/>
  <c r="C101" i="22"/>
  <c r="C104" i="22" s="1"/>
  <c r="N191" i="19" l="1"/>
  <c r="BA33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LGC</author>
    <author>lgc0206</author>
  </authors>
  <commentList>
    <comment ref="C33" authorId="0" shapeId="0" xr:uid="{00000000-0006-0000-0100-000001000000}">
      <text>
        <r>
          <rPr>
            <b/>
            <sz val="8"/>
            <color indexed="81"/>
            <rFont val="Tahoma"/>
            <family val="2"/>
          </rPr>
          <t>LGC:</t>
        </r>
        <r>
          <rPr>
            <sz val="8"/>
            <color indexed="81"/>
            <rFont val="Tahoma"/>
            <family val="2"/>
          </rPr>
          <t xml:space="preserve">
Negative NPO should be reported as a prepaid expense per GASB codification P20.113</t>
        </r>
      </text>
    </comment>
    <comment ref="C41" authorId="0" shapeId="0" xr:uid="{00000000-0006-0000-0100-000002000000}">
      <text>
        <r>
          <rPr>
            <b/>
            <sz val="8"/>
            <color indexed="81"/>
            <rFont val="Tahoma"/>
            <family val="2"/>
          </rPr>
          <t>LGC:</t>
        </r>
        <r>
          <rPr>
            <sz val="8"/>
            <color indexed="81"/>
            <rFont val="Tahoma"/>
            <family val="2"/>
          </rPr>
          <t xml:space="preserve">
At this time there are no material amounts for this category, but if material non-depreciable assets do exist (in addition to land) they must be separately disclosed.</t>
        </r>
      </text>
    </comment>
    <comment ref="AF42" authorId="1" shapeId="0" xr:uid="{00000000-0006-0000-0100-000003000000}">
      <text>
        <r>
          <rPr>
            <b/>
            <sz val="8"/>
            <color indexed="81"/>
            <rFont val="Tahoma"/>
            <family val="2"/>
          </rPr>
          <t>LGC: Exclude the internal service fund capital assets since they will be added in entry K.1-3.</t>
        </r>
        <r>
          <rPr>
            <sz val="8"/>
            <color indexed="81"/>
            <rFont val="Tahoma"/>
            <family val="2"/>
          </rPr>
          <t xml:space="preserve">
</t>
        </r>
      </text>
    </comment>
    <comment ref="AG45" authorId="1" shapeId="0" xr:uid="{00000000-0006-0000-0100-000004000000}">
      <text>
        <r>
          <rPr>
            <sz val="8"/>
            <color indexed="81"/>
            <rFont val="Tahoma"/>
            <family val="2"/>
          </rPr>
          <t xml:space="preserve">LGC: Exclude the internal service fund capital assets deprec. since it will be added in entry K.1-3. Use the beginning balance.
</t>
        </r>
      </text>
    </comment>
    <comment ref="C137" authorId="0" shapeId="0" xr:uid="{00000000-0006-0000-0100-000005000000}">
      <text>
        <r>
          <rPr>
            <b/>
            <sz val="8"/>
            <color indexed="81"/>
            <rFont val="Tahoma"/>
            <family val="2"/>
          </rPr>
          <t>LGC:</t>
        </r>
        <r>
          <rPr>
            <sz val="8"/>
            <color indexed="81"/>
            <rFont val="Tahoma"/>
            <family val="2"/>
          </rPr>
          <t xml:space="preserve">
Previously treated as the prepaid portion of deferred revenue. Reported as unearned revenue in both modified and full accrual.</t>
        </r>
      </text>
    </comment>
    <comment ref="AF151" authorId="0" shapeId="0" xr:uid="{00000000-0006-0000-0100-000006000000}">
      <text>
        <r>
          <rPr>
            <b/>
            <sz val="8"/>
            <color indexed="81"/>
            <rFont val="Tahoma"/>
            <family val="2"/>
          </rPr>
          <t>LGC:</t>
        </r>
        <r>
          <rPr>
            <sz val="8"/>
            <color indexed="81"/>
            <rFont val="Tahoma"/>
            <family val="2"/>
          </rPr>
          <t xml:space="preserve">
Effect to equity for long-term debt.</t>
        </r>
      </text>
    </comment>
    <comment ref="AG151" authorId="0" shapeId="0" xr:uid="{00000000-0006-0000-0100-000007000000}">
      <text>
        <r>
          <rPr>
            <b/>
            <sz val="8"/>
            <color indexed="81"/>
            <rFont val="Tahoma"/>
            <family val="2"/>
          </rPr>
          <t>LGC:</t>
        </r>
        <r>
          <rPr>
            <sz val="8"/>
            <color indexed="81"/>
            <rFont val="Tahoma"/>
            <family val="2"/>
          </rPr>
          <t xml:space="preserve">
Effect to equity for net of capital asset entries (gross assets less
 accum deprec).</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248" authorId="0" shapeId="0" xr:uid="{59E7B059-CB89-4A32-A684-16F69689B8EF}">
      <text>
        <r>
          <rPr>
            <b/>
            <sz val="9"/>
            <color indexed="81"/>
            <rFont val="Tahoma"/>
            <family val="2"/>
          </rPr>
          <t>Becky Dzingeleski:</t>
        </r>
        <r>
          <rPr>
            <sz val="9"/>
            <color indexed="81"/>
            <rFont val="Tahoma"/>
            <family val="2"/>
          </rPr>
          <t xml:space="preserve">
per FOD</t>
        </r>
      </text>
    </comment>
    <comment ref="B249" authorId="0" shapeId="0" xr:uid="{91BB228E-A53F-438C-BE5C-3B0A40479E81}">
      <text>
        <r>
          <rPr>
            <b/>
            <sz val="9"/>
            <color indexed="81"/>
            <rFont val="Tahoma"/>
            <family val="2"/>
          </rPr>
          <t>Becky Dzingeleski:</t>
        </r>
        <r>
          <rPr>
            <sz val="9"/>
            <color indexed="81"/>
            <rFont val="Tahoma"/>
            <family val="2"/>
          </rPr>
          <t xml:space="preserve">
per FOD</t>
        </r>
      </text>
    </comment>
    <comment ref="B539" authorId="0" shapeId="0" xr:uid="{CE90BDD8-CCA5-44EE-85E1-4B72E320C27F}">
      <text>
        <r>
          <rPr>
            <b/>
            <sz val="9"/>
            <color indexed="81"/>
            <rFont val="Tahoma"/>
            <family val="2"/>
          </rPr>
          <t>Becky Dzingeleski:</t>
        </r>
        <r>
          <rPr>
            <sz val="9"/>
            <color indexed="81"/>
            <rFont val="Tahoma"/>
            <family val="2"/>
          </rPr>
          <t xml:space="preserve">
Unit went inactive in Sept 2016, restarted as active May 2017. Contributions in FY17 were $609.75, too small to be within the 5 decimals for allocations. Contrib of $2011.84 in FY18, but their PV of future salary is 0%. If they keep their employee, they may go back to having an allocation next time.</t>
        </r>
      </text>
    </comment>
    <comment ref="B681" authorId="0" shapeId="0" xr:uid="{0FAE1511-2C1E-4341-BC11-985AC922DE64}">
      <text>
        <r>
          <rPr>
            <b/>
            <sz val="9"/>
            <color indexed="81"/>
            <rFont val="Tahoma"/>
            <family val="2"/>
          </rPr>
          <t>Becky Dzingeleski:</t>
        </r>
        <r>
          <rPr>
            <sz val="9"/>
            <color indexed="81"/>
            <rFont val="Tahoma"/>
            <family val="2"/>
          </rPr>
          <t xml:space="preserve">
per FOD
</t>
        </r>
      </text>
    </comment>
    <comment ref="B682" authorId="0" shapeId="0" xr:uid="{1CB509BE-CF62-4256-9845-A3B7DA794DA3}">
      <text>
        <r>
          <rPr>
            <b/>
            <sz val="9"/>
            <color indexed="81"/>
            <rFont val="Tahoma"/>
            <family val="2"/>
          </rPr>
          <t>Becky Dzingeleski:</t>
        </r>
        <r>
          <rPr>
            <sz val="9"/>
            <color indexed="81"/>
            <rFont val="Tahoma"/>
            <family val="2"/>
          </rPr>
          <t xml:space="preserve">
per FOD Ayden HA pension merged with Twon of Ayden</t>
        </r>
      </text>
    </comment>
    <comment ref="B791" authorId="0" shapeId="0" xr:uid="{1CF2224A-9EAD-4A1D-BC4A-88AA69A541DF}">
      <text>
        <r>
          <rPr>
            <b/>
            <sz val="9"/>
            <color indexed="81"/>
            <rFont val="Tahoma"/>
            <family val="2"/>
          </rPr>
          <t>Becky Dzingeleski:</t>
        </r>
        <r>
          <rPr>
            <sz val="9"/>
            <color indexed="81"/>
            <rFont val="Tahoma"/>
            <family val="2"/>
          </rPr>
          <t xml:space="preserve">
per FOD combined Misenheimer 71786 with 98414 </t>
        </r>
      </text>
    </comment>
    <comment ref="B806" authorId="0" shapeId="0" xr:uid="{0E7D52A4-6001-4A79-A619-18700A8729C3}">
      <text>
        <r>
          <rPr>
            <b/>
            <sz val="9"/>
            <color indexed="81"/>
            <rFont val="Tahoma"/>
            <family val="2"/>
          </rPr>
          <t>Becky Dzingeleski:</t>
        </r>
        <r>
          <rPr>
            <sz val="9"/>
            <color indexed="81"/>
            <rFont val="Tahoma"/>
            <family val="2"/>
          </rPr>
          <t xml:space="preserve">
per FOD Elkin ABC merged with Yadkin Valley ABC</t>
        </r>
      </text>
    </comment>
    <comment ref="B807" authorId="0" shapeId="0" xr:uid="{15945539-8FB2-4016-B0C0-2AD0F2DD63CC}">
      <text>
        <r>
          <rPr>
            <b/>
            <sz val="9"/>
            <color indexed="81"/>
            <rFont val="Tahoma"/>
            <family val="2"/>
          </rPr>
          <t>Becky Dzingeleski:</t>
        </r>
        <r>
          <rPr>
            <sz val="9"/>
            <color indexed="81"/>
            <rFont val="Tahoma"/>
            <family val="2"/>
          </rPr>
          <t xml:space="preserve">
Per FOD Elkin ABC merged with Yadkin Valley ABC</t>
        </r>
      </text>
    </comment>
    <comment ref="B1455" authorId="0" shapeId="0" xr:uid="{9E6CC67B-187F-4DD6-8583-E4D7DEEF0A14}">
      <text>
        <r>
          <rPr>
            <b/>
            <sz val="9"/>
            <color indexed="81"/>
            <rFont val="Tahoma"/>
            <family val="2"/>
          </rPr>
          <t>Becky Dzingeleski:</t>
        </r>
        <r>
          <rPr>
            <sz val="9"/>
            <color indexed="81"/>
            <rFont val="Tahoma"/>
            <family val="2"/>
          </rPr>
          <t xml:space="preserve">
per FOD combined Misenheimer 71786 with 98414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Susan McCullen</author>
  </authors>
  <commentList>
    <comment ref="J32" authorId="0" shapeId="0" xr:uid="{00000000-0006-0000-1400-000001000000}">
      <text>
        <r>
          <rPr>
            <b/>
            <sz val="9"/>
            <color indexed="81"/>
            <rFont val="Tahoma"/>
            <family val="2"/>
          </rPr>
          <t>Susan McCullen:</t>
        </r>
        <r>
          <rPr>
            <sz val="9"/>
            <color indexed="81"/>
            <rFont val="Tahoma"/>
            <family val="2"/>
          </rPr>
          <t xml:space="preserve">
Preeta Number very diff from $39m in prior year.  Plrase verify</t>
        </r>
      </text>
    </comment>
    <comment ref="J41" authorId="0" shapeId="0" xr:uid="{0FB089C3-C563-4B92-8EB9-2FB035D1B5C3}">
      <text>
        <r>
          <rPr>
            <b/>
            <sz val="9"/>
            <color indexed="81"/>
            <rFont val="Tahoma"/>
            <family val="2"/>
          </rPr>
          <t>Susan McCullen:</t>
        </r>
        <r>
          <rPr>
            <sz val="9"/>
            <color indexed="81"/>
            <rFont val="Tahoma"/>
            <family val="2"/>
          </rPr>
          <t xml:space="preserve">
Preeta Number very diff from $39m in prior year.  Plrase verify</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773" authorId="0" shapeId="0" xr:uid="{E4679BED-205C-4488-8E00-40CA09EC3C2F}">
      <text>
        <r>
          <rPr>
            <b/>
            <sz val="9"/>
            <color indexed="81"/>
            <rFont val="Tahoma"/>
            <family val="2"/>
          </rPr>
          <t>Becky Dzingeleski:</t>
        </r>
        <r>
          <rPr>
            <sz val="9"/>
            <color indexed="81"/>
            <rFont val="Tahoma"/>
            <family val="2"/>
          </rPr>
          <t xml:space="preserve">
per FOD combined Misenheimer 71786 with 98414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LGC</author>
  </authors>
  <commentList>
    <comment ref="C36" authorId="0" shapeId="0" xr:uid="{00000000-0006-0000-0200-000001000000}">
      <text>
        <r>
          <rPr>
            <b/>
            <sz val="8"/>
            <color indexed="81"/>
            <rFont val="Tahoma"/>
            <family val="2"/>
          </rPr>
          <t>LGC:</t>
        </r>
        <r>
          <rPr>
            <sz val="8"/>
            <color indexed="81"/>
            <rFont val="Tahoma"/>
            <family val="2"/>
          </rPr>
          <t xml:space="preserve">
Significant items, subject to management control, that meet one of the criteria of 1)unusual in nature, or 2) infrequent in occurrence - not reasonably expected to recur in the foreseeable future.)</t>
        </r>
      </text>
    </comment>
    <comment ref="C37" authorId="0" shapeId="0" xr:uid="{00000000-0006-0000-0200-000002000000}">
      <text>
        <r>
          <rPr>
            <b/>
            <sz val="8"/>
            <color indexed="81"/>
            <rFont val="Tahoma"/>
            <family val="2"/>
          </rPr>
          <t>LGC:</t>
        </r>
        <r>
          <rPr>
            <sz val="8"/>
            <color indexed="81"/>
            <rFont val="Tahoma"/>
            <family val="2"/>
          </rPr>
          <t xml:space="preserve">
Significant events that must be both unusual in nature and infrequent in occurrence</t>
        </r>
      </text>
    </comment>
    <comment ref="C86" authorId="0" shapeId="0" xr:uid="{00000000-0006-0000-0200-000003000000}">
      <text>
        <r>
          <rPr>
            <b/>
            <sz val="8"/>
            <color indexed="81"/>
            <rFont val="Tahoma"/>
            <family val="2"/>
          </rPr>
          <t>LGC:</t>
        </r>
        <r>
          <rPr>
            <sz val="8"/>
            <color indexed="81"/>
            <rFont val="Tahoma"/>
            <family val="2"/>
          </rPr>
          <t xml:space="preserve">
Significant items, subject to management control, that meet one of the criteria of 1)unusual in nature, or 2) infrequent in occurrence - not reasonably expected to recur in the foreseeable future.)</t>
        </r>
      </text>
    </comment>
    <comment ref="C87" authorId="0" shapeId="0" xr:uid="{00000000-0006-0000-0200-000004000000}">
      <text>
        <r>
          <rPr>
            <b/>
            <sz val="8"/>
            <color indexed="81"/>
            <rFont val="Tahoma"/>
            <family val="2"/>
          </rPr>
          <t>LGC:</t>
        </r>
        <r>
          <rPr>
            <sz val="8"/>
            <color indexed="81"/>
            <rFont val="Tahoma"/>
            <family val="2"/>
          </rPr>
          <t xml:space="preserve">
Significant events that must be both unusual in nature and infrequent in occurrence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LGC</author>
  </authors>
  <commentList>
    <comment ref="D43" authorId="0" shapeId="0" xr:uid="{00000000-0006-0000-0700-000001000000}">
      <text>
        <r>
          <rPr>
            <b/>
            <sz val="8"/>
            <color indexed="81"/>
            <rFont val="Tahoma"/>
            <family val="2"/>
          </rPr>
          <t>LGC:</t>
        </r>
        <r>
          <rPr>
            <sz val="8"/>
            <color indexed="81"/>
            <rFont val="Tahoma"/>
            <family val="2"/>
          </rPr>
          <t xml:space="preserve">
Assumes that this was recorded as an other 
financing source since it is a special item.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LGC</author>
  </authors>
  <commentList>
    <comment ref="C68" authorId="0" shapeId="0" xr:uid="{00000000-0006-0000-0900-000001000000}">
      <text>
        <r>
          <rPr>
            <b/>
            <sz val="8"/>
            <color indexed="81"/>
            <rFont val="Tahoma"/>
            <family val="2"/>
          </rPr>
          <t>LGC:</t>
        </r>
        <r>
          <rPr>
            <sz val="8"/>
            <color indexed="81"/>
            <rFont val="Tahoma"/>
            <family val="2"/>
          </rPr>
          <t xml:space="preserve">
The deferred charge is amortized over the shorter of the life of the old debt or the new debt.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LGC</author>
  </authors>
  <commentList>
    <comment ref="B56" authorId="0" shapeId="0" xr:uid="{00000000-0006-0000-0A00-000001000000}">
      <text>
        <r>
          <rPr>
            <b/>
            <sz val="8"/>
            <color indexed="81"/>
            <rFont val="Tahoma"/>
            <family val="2"/>
          </rPr>
          <t>LGC:</t>
        </r>
        <r>
          <rPr>
            <sz val="8"/>
            <color indexed="81"/>
            <rFont val="Tahoma"/>
            <family val="2"/>
          </rPr>
          <t xml:space="preserve">
Recognizing an expenditure at the time of purchase.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LGC</author>
  </authors>
  <commentList>
    <comment ref="C132" authorId="0" shapeId="0" xr:uid="{00000000-0006-0000-0C00-000001000000}">
      <text>
        <r>
          <rPr>
            <b/>
            <sz val="8"/>
            <color indexed="81"/>
            <rFont val="Tahoma"/>
            <family val="2"/>
          </rPr>
          <t>LGC:</t>
        </r>
        <r>
          <rPr>
            <sz val="8"/>
            <color indexed="81"/>
            <rFont val="Tahoma"/>
            <family val="2"/>
          </rPr>
          <t xml:space="preserve">
This serves as the cumulative effect to beginning fund equity over time for the due to/froms generated each year in the internal service fund allocation. For business type activities, if the business activities owe govt. activities it is a debit and reduces equity. If govt. activities owe business type, it is a credit and increases equity.</t>
        </r>
      </text>
    </comment>
    <comment ref="C135" authorId="0" shapeId="0" xr:uid="{00000000-0006-0000-0C00-000002000000}">
      <text>
        <r>
          <rPr>
            <b/>
            <sz val="8"/>
            <color indexed="81"/>
            <rFont val="Tahoma"/>
            <family val="2"/>
          </rPr>
          <t>LGC:</t>
        </r>
        <r>
          <rPr>
            <sz val="8"/>
            <color indexed="81"/>
            <rFont val="Tahoma"/>
            <family val="2"/>
          </rPr>
          <t xml:space="preserve">
This serves as the cumulative effect to beginning fund equity over time for the due to/froms generated each year in the internal service fund allocation. For government type activities, if the govt. activities owe business activities it is a credit and reduces equity. If business activities owe govt. activities, it is a debit and increases equity.</t>
        </r>
      </text>
    </comment>
    <comment ref="G215" authorId="0" shapeId="0" xr:uid="{00000000-0006-0000-0C00-000003000000}">
      <text>
        <r>
          <rPr>
            <b/>
            <sz val="8"/>
            <color indexed="81"/>
            <rFont val="Tahoma"/>
            <family val="2"/>
          </rPr>
          <t>LGC:</t>
        </r>
        <r>
          <rPr>
            <sz val="8"/>
            <color indexed="81"/>
            <rFont val="Tahoma"/>
            <family val="2"/>
          </rPr>
          <t xml:space="preserve">
Formula assumes a normal credit balance. If a receivable occurs from allocation, a negative credit will result. The negative sign and its presentation will be resolved in the conversion worksheet.</t>
        </r>
      </text>
    </comment>
    <comment ref="E221" authorId="0" shapeId="0" xr:uid="{00000000-0006-0000-0C00-000004000000}">
      <text>
        <r>
          <rPr>
            <b/>
            <sz val="8"/>
            <color indexed="81"/>
            <rFont val="Tahoma"/>
            <family val="2"/>
          </rPr>
          <t>LGC:</t>
        </r>
        <r>
          <rPr>
            <sz val="8"/>
            <color indexed="81"/>
            <rFont val="Tahoma"/>
            <family val="2"/>
          </rPr>
          <t xml:space="preserve">
Formula assumes a normal debit balance. If a payable occurs from allocation, a negative debit will result. The negative sign and its presentation will be resolved in the conversion worksheet.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LGC</author>
  </authors>
  <commentList>
    <comment ref="C126" authorId="0" shapeId="0" xr:uid="{00000000-0006-0000-0D00-000001000000}">
      <text>
        <r>
          <rPr>
            <b/>
            <sz val="8"/>
            <color indexed="81"/>
            <rFont val="Tahoma"/>
            <family val="2"/>
          </rPr>
          <t>LGC:</t>
        </r>
        <r>
          <rPr>
            <sz val="8"/>
            <color indexed="81"/>
            <rFont val="Tahoma"/>
            <family val="2"/>
          </rPr>
          <t xml:space="preserve">
This serves as the cumulative effect to beginning fund equity over time for the due to/froms generated each year in the internal service fund allocation. For business type activities, if the business activities owe govt. activities it is a debit and reduces equity. If govt. activities owe business type, it is a credit and increase equity.</t>
        </r>
      </text>
    </comment>
    <comment ref="C129" authorId="0" shapeId="0" xr:uid="{00000000-0006-0000-0D00-000002000000}">
      <text>
        <r>
          <rPr>
            <b/>
            <sz val="8"/>
            <color indexed="81"/>
            <rFont val="Tahoma"/>
            <family val="2"/>
          </rPr>
          <t>LGC:</t>
        </r>
        <r>
          <rPr>
            <sz val="8"/>
            <color indexed="81"/>
            <rFont val="Tahoma"/>
            <family val="2"/>
          </rPr>
          <t xml:space="preserve">
This services as the cumulative effect to beginning fund equity over time for the due to/froms generated each year in the internal service fund allocation. For government type activities, if the govt. activities owe business activities it is a credit and reduces equity. If business activities owe govt. activities, it is a debit and increases equity.</t>
        </r>
      </text>
    </comment>
    <comment ref="G208" authorId="0" shapeId="0" xr:uid="{00000000-0006-0000-0D00-000003000000}">
      <text>
        <r>
          <rPr>
            <b/>
            <sz val="8"/>
            <color indexed="81"/>
            <rFont val="Tahoma"/>
            <family val="2"/>
          </rPr>
          <t>LGC:</t>
        </r>
        <r>
          <rPr>
            <sz val="8"/>
            <color indexed="81"/>
            <rFont val="Tahoma"/>
            <family val="2"/>
          </rPr>
          <t xml:space="preserve">
Formula assumes a normal credit balance. If a receivable occurs from allocation, a negative credit will result. The negative sign and its presentation will be resolved in the conversion worksheet.</t>
        </r>
      </text>
    </comment>
    <comment ref="E214" authorId="0" shapeId="0" xr:uid="{00000000-0006-0000-0D00-000004000000}">
      <text>
        <r>
          <rPr>
            <b/>
            <sz val="8"/>
            <color indexed="81"/>
            <rFont val="Tahoma"/>
            <family val="2"/>
          </rPr>
          <t>LGC:</t>
        </r>
        <r>
          <rPr>
            <sz val="8"/>
            <color indexed="81"/>
            <rFont val="Tahoma"/>
            <family val="2"/>
          </rPr>
          <t xml:space="preserve">
Formula assumes a normal debit balance. If a payable occurs from allocation, a negative debit will result. The negative sign and its presentation will be resolved in the conversion worksheet.</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LGC</author>
  </authors>
  <commentList>
    <comment ref="C126" authorId="0" shapeId="0" xr:uid="{00000000-0006-0000-0E00-000001000000}">
      <text>
        <r>
          <rPr>
            <b/>
            <sz val="8"/>
            <color indexed="81"/>
            <rFont val="Tahoma"/>
            <family val="2"/>
          </rPr>
          <t>LGC:</t>
        </r>
        <r>
          <rPr>
            <sz val="8"/>
            <color indexed="81"/>
            <rFont val="Tahoma"/>
            <family val="2"/>
          </rPr>
          <t xml:space="preserve">
This serves as the cumulative effect to beginning fund equity over time for the due to/froms generated each year in the internal service fund allocation. For business type activities, if the business activities owe govt. activities it is a debit and reduces equity. If govt. activities owe business type, it is a credit and increase equity.</t>
        </r>
      </text>
    </comment>
    <comment ref="C129" authorId="0" shapeId="0" xr:uid="{00000000-0006-0000-0E00-000002000000}">
      <text>
        <r>
          <rPr>
            <b/>
            <sz val="8"/>
            <color indexed="81"/>
            <rFont val="Tahoma"/>
            <family val="2"/>
          </rPr>
          <t>LGC:</t>
        </r>
        <r>
          <rPr>
            <sz val="8"/>
            <color indexed="81"/>
            <rFont val="Tahoma"/>
            <family val="2"/>
          </rPr>
          <t xml:space="preserve">
This services as the cumulative effect to beginning fund equity over time for the due to/froms generated each year in the internal service fund allocation. For government type activities, if the govt. activities owe business activities it is a credit and reduces equity. If business activities owe govt. activities, it is a debit and increases equity.</t>
        </r>
      </text>
    </comment>
    <comment ref="G208" authorId="0" shapeId="0" xr:uid="{00000000-0006-0000-0E00-000003000000}">
      <text>
        <r>
          <rPr>
            <b/>
            <sz val="8"/>
            <color indexed="81"/>
            <rFont val="Tahoma"/>
            <family val="2"/>
          </rPr>
          <t>LGC:</t>
        </r>
        <r>
          <rPr>
            <sz val="8"/>
            <color indexed="81"/>
            <rFont val="Tahoma"/>
            <family val="2"/>
          </rPr>
          <t xml:space="preserve">
Formula assumes a normal credit balance. If a receivable occurs from allocation, a negative credit will result. The negative sign and its presentation will be resolved in the conversion worksheet.</t>
        </r>
      </text>
    </comment>
    <comment ref="E214" authorId="0" shapeId="0" xr:uid="{00000000-0006-0000-0E00-000004000000}">
      <text>
        <r>
          <rPr>
            <b/>
            <sz val="8"/>
            <color indexed="81"/>
            <rFont val="Tahoma"/>
            <family val="2"/>
          </rPr>
          <t>LGC:</t>
        </r>
        <r>
          <rPr>
            <sz val="8"/>
            <color indexed="81"/>
            <rFont val="Tahoma"/>
            <family val="2"/>
          </rPr>
          <t xml:space="preserve">
Formula assumes a normal debit balance. If a payable occurs from allocation, a negative debit will result. The negative sign and its presentation will be resolved in the conversion worksheet.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LGC0206</author>
  </authors>
  <commentList>
    <comment ref="C165" authorId="0" shapeId="0" xr:uid="{00000000-0006-0000-0F00-000001000000}">
      <text>
        <r>
          <rPr>
            <b/>
            <sz val="8"/>
            <color indexed="81"/>
            <rFont val="Tahoma"/>
            <family val="2"/>
          </rPr>
          <t>LGC:</t>
        </r>
        <r>
          <rPr>
            <sz val="8"/>
            <color indexed="81"/>
            <rFont val="Tahoma"/>
            <family val="2"/>
          </rPr>
          <t xml:space="preserve">
Special item - subject to management control and unusual in nature (possessing a high degree of abnormality and clearly unrelated to ordinary or typical activity) or infrequent in occurrence - should be a material amount to justify such treatment. </t>
        </r>
      </text>
    </comment>
  </commentList>
</comments>
</file>

<file path=xl/sharedStrings.xml><?xml version="1.0" encoding="utf-8"?>
<sst xmlns="http://schemas.openxmlformats.org/spreadsheetml/2006/main" count="15467" uniqueCount="4904">
  <si>
    <t>Construction in progress</t>
  </si>
  <si>
    <t>Parking</t>
  </si>
  <si>
    <t>Governmental Activities</t>
  </si>
  <si>
    <t xml:space="preserve">  Land</t>
  </si>
  <si>
    <t xml:space="preserve">  Other non-depreciable assets</t>
  </si>
  <si>
    <t xml:space="preserve">  Buildings</t>
  </si>
  <si>
    <t xml:space="preserve">  Improvements other than buildings</t>
  </si>
  <si>
    <t xml:space="preserve">  Equipment</t>
  </si>
  <si>
    <t xml:space="preserve">Trade-in's of equipment or vehicles should also be recorded and they are treated similarly to sales of assets. Any expenditure made as part of the trade-in transaction was recorded with the capital outlay entry. Now we must remove the old asset from the capital asset accounts and adjust the true cost of the newly acquired asset.  Enter the amounts by asset class in section B of the worksheet below. For question d, please enter the net book value of the old asset in the cell for the asset class of the new asset, e.g., if a vehicle is traded for another vehicle then the number would be placed in the field for the same asset class "vehicles", however if a vehicle is traded for equipment place the number in the asset class of the new asset "equipment". Trading across asset classes will be rare but the worksheet should accommodate the entry. </t>
  </si>
  <si>
    <t>Determine the function / program to which the revenue applies for those revenues which are program specific. Note that special assessments in section F. and G. have additional questions regarding new levies for the current year and current year collections.</t>
  </si>
  <si>
    <r>
      <t>Complete section A below indicating the amount of revenue in all governmental funds which should be noted as program specific on the Statement of Activities.  Note that items that are classified as special or extraordinary at the fund level typically will be classified as such when viewed at the government-wide level although there could be</t>
    </r>
    <r>
      <rPr>
        <sz val="10"/>
        <rFont val="Arial"/>
        <family val="2"/>
      </rPr>
      <t xml:space="preserve"> </t>
    </r>
    <r>
      <rPr>
        <u/>
        <sz val="10"/>
        <rFont val="Arial"/>
        <family val="2"/>
      </rPr>
      <t>rare occurrences</t>
    </r>
    <r>
      <rPr>
        <sz val="10"/>
        <rFont val="Arial"/>
        <family val="2"/>
      </rPr>
      <t xml:space="preserve"> when special and/or extraordinary items at the fund level will not be treated as such on the government-wide statements.</t>
    </r>
  </si>
  <si>
    <t xml:space="preserve">What is the amount of Bonds payable that will be due and payable within one year? </t>
  </si>
  <si>
    <t>What is the amount of notes payable that will be due and payable within one year?</t>
  </si>
  <si>
    <t>Working</t>
  </si>
  <si>
    <t>Subtotal</t>
  </si>
  <si>
    <t xml:space="preserve">   Net OPEB liability</t>
  </si>
  <si>
    <t>Expenses need to be accrued for those liabilities incurred during the period which are not normally paid with current available resources. This includes items such as compensated absences, claims and judgments, landfill closure and post-closure costs, the net pension cost of unit managed benefit plans, any other postemployment benefits or other long-term liabilities. The results will need to be posted to permanent accounts for next year's beginning balances.</t>
  </si>
  <si>
    <t>The staff has tried to anticipate the most likely scenarios for governments in North Carolina . However, it is impossible for us to anticipate every unique situation that exists in our local governments. If you need assistance with your particular data, please call and we will make every attempt to help you enter the data into the workbook. However, some instances will exist for which the workbook will not make the necessary calculation. The "manual entry" columns on the summary worksheet are there for this purpose. The user can determine the necessary entry and post it in this columns to the appropriate accounts. Be especially aware of extraordinary and special items that have not been handled elsewhere in the workbook.</t>
  </si>
  <si>
    <t xml:space="preserve">What is the original cost at the beginning of the year for assets sold during current year? </t>
  </si>
  <si>
    <t>What is the amount of claims payable that will be due and payable within one year?</t>
  </si>
  <si>
    <t xml:space="preserve">What is the amount of capital leases payable that will be due and payable within one year? </t>
  </si>
  <si>
    <t>What is the amount of other long-term debt #1 that will be due and payable within one year?</t>
  </si>
  <si>
    <t>What is the amount of other long-term debt #2 that will be due and payable within one year?</t>
  </si>
  <si>
    <t>What is the amount of the unit's equity interest in all joint ventures at the end of the current year (ending balance.)</t>
  </si>
  <si>
    <r>
      <t xml:space="preserve">Equity interest in joint ventures  -  </t>
    </r>
    <r>
      <rPr>
        <b/>
        <sz val="8"/>
        <rFont val="Arial"/>
        <family val="2"/>
      </rPr>
      <t xml:space="preserve">( Underlying contract creates explicit, measurable equity interest - otherwise note disclosure only) </t>
    </r>
  </si>
  <si>
    <t>Total of pension over funding</t>
  </si>
  <si>
    <t>Special and extraordinary items</t>
  </si>
  <si>
    <t>Extraordinary item - expenditure</t>
  </si>
  <si>
    <r>
      <t xml:space="preserve">Answer either a. or b. </t>
    </r>
    <r>
      <rPr>
        <sz val="10"/>
        <rFont val="Arial"/>
        <family val="2"/>
      </rPr>
      <t>below,</t>
    </r>
    <r>
      <rPr>
        <sz val="10"/>
        <color indexed="10"/>
        <rFont val="Arial"/>
        <family val="2"/>
      </rPr>
      <t xml:space="preserve"> </t>
    </r>
    <r>
      <rPr>
        <b/>
        <sz val="10"/>
        <color indexed="10"/>
        <rFont val="Arial"/>
        <family val="2"/>
      </rPr>
      <t>but not both</t>
    </r>
    <r>
      <rPr>
        <sz val="10"/>
        <rFont val="Arial"/>
        <family val="2"/>
      </rPr>
      <t xml:space="preserve"> - (either the replacement cost method or the deflation factor method is used to calculate loss.)</t>
    </r>
  </si>
  <si>
    <t>What is the replacement cost for a new asset of the type damaged in 1a. Above?</t>
  </si>
  <si>
    <t>Restoration cost ratio</t>
  </si>
  <si>
    <t>based on replacement cost</t>
  </si>
  <si>
    <t xml:space="preserve">either or </t>
  </si>
  <si>
    <t>What is the appropriate deflation factor to use if replacement cost is not known?</t>
  </si>
  <si>
    <t>Deflated restoration cost</t>
  </si>
  <si>
    <t>based on deflation factor</t>
  </si>
  <si>
    <t>Other financing source - insurance recovery</t>
  </si>
  <si>
    <t>Net Gain / loss on insurance recovery</t>
  </si>
  <si>
    <t>3a. Replacement cost method</t>
  </si>
  <si>
    <t xml:space="preserve"> 3.b  Deflator method</t>
  </si>
  <si>
    <r>
      <t xml:space="preserve">What is the amount of compensated absences that will be due and payable within one year?    </t>
    </r>
    <r>
      <rPr>
        <sz val="8"/>
        <color indexed="10"/>
        <rFont val="Arial"/>
        <family val="2"/>
      </rPr>
      <t>(Use of the FIFO assumption will be based on average leave taken over the years. Typically, use of the LIFO method will not have a current portion.)</t>
    </r>
  </si>
  <si>
    <t>Reclassify capital outlay expenditures where the city does not hold title to the assets:</t>
  </si>
  <si>
    <t>Public safety - Operating grants and contributions</t>
  </si>
  <si>
    <t>Public safety - Capital grants and contributions</t>
  </si>
  <si>
    <t>Transportation - Charges for services</t>
  </si>
  <si>
    <t>Transportation - Operating grants and contributions</t>
  </si>
  <si>
    <t>Special items are assumed to be gains and posted as such. If a loss results then the amount posted will be a debit.</t>
  </si>
  <si>
    <r>
      <t xml:space="preserve">Method 1 - </t>
    </r>
    <r>
      <rPr>
        <sz val="10"/>
        <color indexed="10"/>
        <rFont val="Arial"/>
        <family val="2"/>
      </rPr>
      <t>know current year amounts earned</t>
    </r>
  </si>
  <si>
    <r>
      <t>Method 2 -</t>
    </r>
    <r>
      <rPr>
        <sz val="10"/>
        <color indexed="10"/>
        <rFont val="Arial"/>
        <family val="2"/>
      </rPr>
      <t xml:space="preserve"> know current year amounts taken</t>
    </r>
  </si>
  <si>
    <r>
      <t>Note</t>
    </r>
    <r>
      <rPr>
        <sz val="10"/>
        <rFont val="Arial"/>
        <family val="2"/>
      </rPr>
      <t xml:space="preserve">: </t>
    </r>
    <r>
      <rPr>
        <i/>
        <sz val="10"/>
        <rFont val="Arial"/>
        <family val="2"/>
      </rPr>
      <t>If the composite method is used for computing depreciation and useful life, no gain or loss should be recognized. The proceeds received upon the asset's removal reduces the amount that would have been charged to accumulated depreciation. For the case where the composite method is used, adjust accumulated depreciation such that gain/loss computes as zero ($0).</t>
    </r>
  </si>
  <si>
    <t>Total of principal payments</t>
  </si>
  <si>
    <t>Accrued interest receivable</t>
  </si>
  <si>
    <t>What is the accumulated depreciation at the beginning of the year for the assets sold in a. above?</t>
  </si>
  <si>
    <t>Cemetery Care</t>
  </si>
  <si>
    <r>
      <t>Assumptions were made in journal entry F.1  (</t>
    </r>
    <r>
      <rPr>
        <i/>
        <sz val="10"/>
        <rFont val="Arial"/>
        <family val="2"/>
      </rPr>
      <t>from Tab F.Other Capital Asset Entries</t>
    </r>
    <r>
      <rPr>
        <sz val="10"/>
        <rFont val="Arial"/>
        <family val="2"/>
      </rPr>
      <t xml:space="preserve">) that all sales/disposals of capital assets resulted in gains to miscellaneous revenue. If however a material loss occurred, it should be reclassified as a General Government expense.  </t>
    </r>
    <r>
      <rPr>
        <i/>
        <sz val="10"/>
        <rFont val="Arial"/>
        <family val="2"/>
      </rPr>
      <t>(Question #131 from Implementation Guide 1.)</t>
    </r>
    <r>
      <rPr>
        <sz val="10"/>
        <rFont val="Arial"/>
        <family val="2"/>
      </rPr>
      <t xml:space="preserve"> For material losses, complete the question in section</t>
    </r>
    <r>
      <rPr>
        <sz val="10"/>
        <rFont val="Times New Roman"/>
        <family val="1"/>
      </rPr>
      <t xml:space="preserve"> I.</t>
    </r>
    <r>
      <rPr>
        <sz val="10"/>
        <rFont val="Arial"/>
        <family val="2"/>
      </rPr>
      <t xml:space="preserve"> below. Indicate the amount of the loss that qualifies as a General Government expense and any material portion that meets the criteria for a special expense.</t>
    </r>
  </si>
  <si>
    <t>Culture and recreation expenditures</t>
  </si>
  <si>
    <t>Business-type Activities Adjustments:</t>
  </si>
  <si>
    <t>Water and sewer expenses</t>
  </si>
  <si>
    <t>Electric expenses</t>
  </si>
  <si>
    <t>Charges to external customers</t>
  </si>
  <si>
    <r>
      <t xml:space="preserve">What is the amount of expenditures incurred and revenues collected that is truly a cost of the user function, e.g. services such as data processing, printing, accounting, garage, etc. </t>
    </r>
    <r>
      <rPr>
        <u/>
        <sz val="10"/>
        <rFont val="Arial"/>
        <family val="2"/>
      </rPr>
      <t>For this entry to be required, revenue has been recorded in the function providing the service</t>
    </r>
    <r>
      <rPr>
        <sz val="10"/>
        <rFont val="Arial"/>
        <family val="2"/>
      </rPr>
      <t xml:space="preserve">. Indicate the amount by function below. Include charges to and revenues collected from business type activities. </t>
    </r>
    <r>
      <rPr>
        <sz val="8"/>
        <color indexed="10"/>
        <rFont val="Arial"/>
        <family val="2"/>
      </rPr>
      <t>Assumption is that expenditures and revenue are equal and there is no material profit or loss to be allocated</t>
    </r>
    <r>
      <rPr>
        <sz val="10"/>
        <rFont val="Arial"/>
        <family val="2"/>
      </rPr>
      <t xml:space="preserve">.  </t>
    </r>
    <r>
      <rPr>
        <b/>
        <sz val="8"/>
        <color indexed="10"/>
        <rFont val="Arial"/>
        <family val="2"/>
      </rPr>
      <t>If reimbursement method was used, leave this section blank</t>
    </r>
    <r>
      <rPr>
        <sz val="10"/>
        <rFont val="Arial"/>
        <family val="2"/>
      </rPr>
      <t>.</t>
    </r>
  </si>
  <si>
    <t>Charges for services</t>
  </si>
  <si>
    <t>Amount</t>
  </si>
  <si>
    <t>Restricted intergovernmental</t>
  </si>
  <si>
    <t>Sales &amp; Services</t>
  </si>
  <si>
    <t>Debit</t>
  </si>
  <si>
    <t>Credit</t>
  </si>
  <si>
    <r>
      <t xml:space="preserve">OFS - Premium on debt issued </t>
    </r>
    <r>
      <rPr>
        <sz val="8"/>
        <color indexed="10"/>
        <rFont val="Arial"/>
        <family val="2"/>
      </rPr>
      <t>- other financing source</t>
    </r>
  </si>
  <si>
    <r>
      <t xml:space="preserve">Debt service </t>
    </r>
    <r>
      <rPr>
        <sz val="10"/>
        <rFont val="Arial"/>
        <family val="2"/>
      </rPr>
      <t>- bond issuance cost</t>
    </r>
  </si>
  <si>
    <r>
      <t>Debt service</t>
    </r>
    <r>
      <rPr>
        <sz val="8"/>
        <color indexed="10"/>
        <rFont val="Arial"/>
        <family val="2"/>
      </rPr>
      <t xml:space="preserve"> </t>
    </r>
    <r>
      <rPr>
        <sz val="10"/>
        <rFont val="Arial"/>
        <family val="2"/>
      </rPr>
      <t>- advance refunding escrow</t>
    </r>
  </si>
  <si>
    <r>
      <t>Premium on debt issued</t>
    </r>
    <r>
      <rPr>
        <sz val="8"/>
        <color indexed="10"/>
        <rFont val="Arial"/>
        <family val="2"/>
      </rPr>
      <t>- liability</t>
    </r>
  </si>
  <si>
    <t>liabilities</t>
  </si>
  <si>
    <r>
      <t>Debt service</t>
    </r>
    <r>
      <rPr>
        <sz val="10"/>
        <rFont val="Arial"/>
        <family val="2"/>
      </rPr>
      <t xml:space="preserve"> - advance refunding escrow</t>
    </r>
  </si>
  <si>
    <r>
      <t xml:space="preserve">If there is a </t>
    </r>
    <r>
      <rPr>
        <b/>
        <sz val="10"/>
        <rFont val="Arial"/>
        <family val="2"/>
      </rPr>
      <t>net gain</t>
    </r>
    <r>
      <rPr>
        <sz val="10"/>
        <rFont val="Arial"/>
        <family val="2"/>
      </rPr>
      <t xml:space="preserve">, is it an extraordinary gain or miscellaneous revenue? </t>
    </r>
    <r>
      <rPr>
        <b/>
        <sz val="10"/>
        <color indexed="10"/>
        <rFont val="Arial"/>
        <family val="2"/>
      </rPr>
      <t>Can only be one, not both</t>
    </r>
    <r>
      <rPr>
        <sz val="10"/>
        <rFont val="Arial"/>
        <family val="2"/>
      </rPr>
      <t>.</t>
    </r>
  </si>
  <si>
    <t>What are the adjustments to expenses and liabilities for claims and judgments ?</t>
  </si>
  <si>
    <t xml:space="preserve"> Payments</t>
  </si>
  <si>
    <t>New claims</t>
  </si>
  <si>
    <r>
      <t xml:space="preserve">What was the balance at the end of the </t>
    </r>
    <r>
      <rPr>
        <u/>
        <sz val="10"/>
        <rFont val="Arial"/>
        <family val="2"/>
      </rPr>
      <t>prior year</t>
    </r>
    <r>
      <rPr>
        <sz val="10"/>
        <rFont val="Arial"/>
        <family val="2"/>
      </rPr>
      <t xml:space="preserve"> for claims and judgments?</t>
    </r>
  </si>
  <si>
    <t>Restricted for Capital Projects</t>
  </si>
  <si>
    <t xml:space="preserve">Cultural and recreation </t>
  </si>
  <si>
    <t>Restricted for Cultural and Recreation</t>
  </si>
  <si>
    <t>Debt activity under the modified accrual basis of accounting is treated as an expenditure or as an other financing source - debt proceeds. For the full accrual basis of accounting used on the government-wide statements, these debt service expenditures must be adjusted to report the reduction in the principal balance for the permanent liability account. New debt issued during the year  will be addressed in Schedule H. Interest expense will be determined by the period the debt is outstanding rather than by the cash payment. Refunding bonds will also be addressed in Schedule H. Please note that these adjustments to debt accounts must be posted to the unit's permanent accounts for debt in order to have proper beginning balances for next year.</t>
  </si>
  <si>
    <t>Determine the asset categories for which the expenditures noted in Section A were made and enter amounts by asset class. The total amount for section A and B should be equal.</t>
  </si>
  <si>
    <t>a.</t>
  </si>
  <si>
    <t xml:space="preserve">What is the original cost at the beginning of the year for an asset sold during current year? </t>
  </si>
  <si>
    <t>b.</t>
  </si>
  <si>
    <t>Due to other governments</t>
  </si>
  <si>
    <r>
      <t xml:space="preserve">Reclassify inter-activity receivables and payables to internal balances </t>
    </r>
    <r>
      <rPr>
        <sz val="10"/>
        <rFont val="Arial"/>
        <family val="2"/>
      </rPr>
      <t>(transactions between government type activities and business type activities.)</t>
    </r>
    <r>
      <rPr>
        <b/>
        <sz val="10"/>
        <rFont val="Arial"/>
        <family val="2"/>
      </rPr>
      <t xml:space="preserve">  </t>
    </r>
    <r>
      <rPr>
        <b/>
        <sz val="8"/>
        <color indexed="10"/>
        <rFont val="Arial"/>
        <family val="2"/>
      </rPr>
      <t>Note: Due to/from Fiduciary funds are not included here.  It is best to separately classify them at the fund level but if that was not done, then complete Section D below.</t>
    </r>
  </si>
  <si>
    <t>Reclassify receivables and payables to the fiduciary funds from governmental activities.</t>
  </si>
  <si>
    <t>Review the accounts for deferred charges from refunding and issuance cost and any discounts or premiums that must be amortized over the life of the debt. Indicate the amount for the annual expense.</t>
  </si>
  <si>
    <t>Adjust Property Tax Revenue From Modified Accrual to Full Accrual</t>
  </si>
  <si>
    <t>Fund Balance - beginning</t>
  </si>
  <si>
    <t>Enter the amount of the new levy in the function below where the proceeds will be/have been expended. The sum below, must equal the amount listed in step 2 above.</t>
  </si>
  <si>
    <t xml:space="preserve">Add any additional assessments made in the current year in the cell to the right. </t>
  </si>
  <si>
    <t>Entry prepared assuming that Special Assessments were charged appropriately to program revenue in worksheet A.</t>
  </si>
  <si>
    <t>Restricted for Other restrictions #3</t>
  </si>
  <si>
    <r>
      <t xml:space="preserve">What is debt related to capital assets </t>
    </r>
    <r>
      <rPr>
        <u/>
        <sz val="10"/>
        <rFont val="Arial"/>
        <family val="2"/>
      </rPr>
      <t>excluding unexpended debt proceeds</t>
    </r>
    <r>
      <rPr>
        <sz val="10"/>
        <rFont val="Arial"/>
        <family val="2"/>
      </rPr>
      <t>?</t>
    </r>
  </si>
  <si>
    <t xml:space="preserve">        Government-wide Statement</t>
  </si>
  <si>
    <t>Compute if not separately disclosed</t>
  </si>
  <si>
    <t>K.1</t>
  </si>
  <si>
    <t>Other program 1 - Charges for services</t>
  </si>
  <si>
    <t>Cultural and recreational</t>
  </si>
  <si>
    <t>Conversion Entries</t>
  </si>
  <si>
    <t>Total</t>
  </si>
  <si>
    <t>Statement of</t>
  </si>
  <si>
    <t>Activities</t>
  </si>
  <si>
    <t>Permits and Fees</t>
  </si>
  <si>
    <t>Investment Earnings</t>
  </si>
  <si>
    <t>Miscellaneous</t>
  </si>
  <si>
    <t>General Fund</t>
  </si>
  <si>
    <t xml:space="preserve">Dr </t>
  </si>
  <si>
    <t>Emergency Telephone</t>
  </si>
  <si>
    <t>Subtotal Non-Major</t>
  </si>
  <si>
    <t>Governmental Funds</t>
  </si>
  <si>
    <t>Accum. Depreciation - Vehicles + Mot. Equip</t>
  </si>
  <si>
    <t>Fund Equity - Beginning</t>
  </si>
  <si>
    <r>
      <t xml:space="preserve">Miscellaneous revenue </t>
    </r>
    <r>
      <rPr>
        <sz val="8"/>
        <color indexed="10"/>
        <rFont val="Arial"/>
        <family val="2"/>
      </rPr>
      <t>- not program specific</t>
    </r>
  </si>
  <si>
    <t>Eliminate the "doubling up effect" that may occur with inter-function activities when expenditures have been recorded twice.</t>
  </si>
  <si>
    <t>Due from fiduciary funds</t>
  </si>
  <si>
    <t>Due to fiduciary funds</t>
  </si>
  <si>
    <t>Journal entry for conversion worksheet to record additions and reductions in outstanding debt.   [Entry J.1]</t>
  </si>
  <si>
    <t>Add any additional assessments made in the current year in the cell to the right.</t>
  </si>
  <si>
    <t>Other Non-Major #8</t>
  </si>
  <si>
    <t>Major Governmental Funds</t>
  </si>
  <si>
    <r>
      <t xml:space="preserve">Preliminary judgment made on which funds are major and which are non-major before conversion worksheet is done. Reconfirm if any adjusting entries for </t>
    </r>
    <r>
      <rPr>
        <u/>
        <sz val="10"/>
        <rFont val="Arial"/>
        <family val="2"/>
      </rPr>
      <t>modified accrual are made</t>
    </r>
    <r>
      <rPr>
        <sz val="10"/>
        <rFont val="Arial"/>
        <family val="2"/>
      </rPr>
      <t>.</t>
    </r>
  </si>
  <si>
    <t>What was the amount of the net negative pension obligation at the beginning of the year. If multiple benefit plans are involved enter the sum of all plans.</t>
  </si>
  <si>
    <t>Intangible asset - advance funding of pension</t>
  </si>
  <si>
    <t>Capital grants &amp; contributions</t>
  </si>
  <si>
    <t>General government - operating grants &amp; contributions</t>
  </si>
  <si>
    <t>Transportation - operating grants &amp; contributions</t>
  </si>
  <si>
    <t>Economic &amp; physical development - operating grants &amp; contributions</t>
  </si>
  <si>
    <t>Environmental protection - operating grants &amp; contributions</t>
  </si>
  <si>
    <t>Accounts in tan have multiple</t>
  </si>
  <si>
    <t>Manually Posted</t>
  </si>
  <si>
    <t>Entries</t>
  </si>
  <si>
    <t>As Needed</t>
  </si>
  <si>
    <t>This workbook has been provided as a tool to facilitate your unit's conversion to the full accrual statements required by GASB 34. In preparation of this workbook, the staff of the LGC has assumed that the user has a good working knowledge of Excel.  The LGC's staff will provide accounting support for use of this workbook; however, we cannot give detailed instruction in the use of Excel.</t>
  </si>
  <si>
    <t>Cultural and recreation-operating grants &amp; contributions</t>
  </si>
  <si>
    <t>Other program 1-operating grants &amp; contributions</t>
  </si>
  <si>
    <t>General government-capital grants &amp; contributions</t>
  </si>
  <si>
    <t>Public Safety-capital grants &amp; contributions</t>
  </si>
  <si>
    <t>Transportation-capital grants &amp; contributions</t>
  </si>
  <si>
    <r>
      <t xml:space="preserve">Premium on debt issued </t>
    </r>
    <r>
      <rPr>
        <sz val="8"/>
        <color indexed="10"/>
        <rFont val="Arial"/>
        <family val="2"/>
      </rPr>
      <t>- liability</t>
    </r>
  </si>
  <si>
    <r>
      <t xml:space="preserve">Capital leases </t>
    </r>
    <r>
      <rPr>
        <sz val="8"/>
        <color indexed="10"/>
        <rFont val="Arial"/>
        <family val="2"/>
      </rPr>
      <t xml:space="preserve"> - liability</t>
    </r>
  </si>
  <si>
    <r>
      <t>OFS - Capital leases</t>
    </r>
    <r>
      <rPr>
        <sz val="8"/>
        <color indexed="10"/>
        <rFont val="Arial"/>
        <family val="2"/>
      </rPr>
      <t xml:space="preserve"> (proceeds)</t>
    </r>
  </si>
  <si>
    <r>
      <t>OFS - Installment purchases/COPS</t>
    </r>
    <r>
      <rPr>
        <sz val="8"/>
        <color indexed="10"/>
        <rFont val="Arial"/>
        <family val="2"/>
      </rPr>
      <t xml:space="preserve"> (proceeds)</t>
    </r>
  </si>
  <si>
    <r>
      <t xml:space="preserve">OFS - Bond issued </t>
    </r>
    <r>
      <rPr>
        <sz val="8"/>
        <color indexed="10"/>
        <rFont val="Arial"/>
        <family val="2"/>
      </rPr>
      <t>(proceeds)</t>
    </r>
  </si>
  <si>
    <t>H.</t>
  </si>
  <si>
    <t>J.</t>
  </si>
  <si>
    <t>What was the accrued investment earnings at the end of the prior year?</t>
  </si>
  <si>
    <t>Entry J</t>
  </si>
  <si>
    <t>Any investment earnings that should be reclassified as program revenue will be adjusted in worksheet L.</t>
  </si>
  <si>
    <t>Fund balance - beginning</t>
  </si>
  <si>
    <t>What is the amount of the unit's equity interest in all joint ventures at the end of the prior year (beginning balance.)</t>
  </si>
  <si>
    <t xml:space="preserve">Conversion entries to convert from modified accrual to full accrual are generated from the worksheets B through J. </t>
  </si>
  <si>
    <t>7.</t>
  </si>
  <si>
    <t>Unamortized
Discount =</t>
  </si>
  <si>
    <t>Unamortized
Premium =</t>
  </si>
  <si>
    <r>
      <t xml:space="preserve">Classify current portion of long-term liabilities.   </t>
    </r>
    <r>
      <rPr>
        <b/>
        <sz val="8"/>
        <color indexed="10"/>
        <rFont val="Arial"/>
        <family val="2"/>
      </rPr>
      <t>(Leave the cell blank if account does not apply or classification has been handled previously.)</t>
    </r>
  </si>
  <si>
    <t>presentation</t>
  </si>
  <si>
    <t>Other long-term liability #1</t>
  </si>
  <si>
    <t>Other long-term liability #2</t>
  </si>
  <si>
    <t>Notes payable</t>
  </si>
  <si>
    <t>Bonds payable</t>
  </si>
  <si>
    <t>COPs payable</t>
  </si>
  <si>
    <t>Claims payable</t>
  </si>
  <si>
    <t>Claims payable - current</t>
  </si>
  <si>
    <r>
      <t xml:space="preserve">Conversion worksheet: </t>
    </r>
    <r>
      <rPr>
        <sz val="10"/>
        <rFont val="Arial"/>
        <family val="2"/>
      </rPr>
      <t xml:space="preserve">includes trial balances for all governmental funds, columns for prior year capital assets and long-term debt balances, and columns for posting the various reclassification, conversion, elimination and consolidation entries resulting in the final numbers for governmental activities for the statements. </t>
    </r>
  </si>
  <si>
    <t>9.</t>
  </si>
  <si>
    <t>Environmental protection - Capital grants and contributions</t>
  </si>
  <si>
    <t>Economic and physical development - Charges for services</t>
  </si>
  <si>
    <t>Pre-closing trial balance entered at the function level for each governmental fund (for the fund balance number - use ending fund balance from prior year).</t>
  </si>
  <si>
    <t>Economic and physical development - Operating grants and contributions</t>
  </si>
  <si>
    <t>Economic and physical development - Capital grants and contributions</t>
  </si>
  <si>
    <t>Cultural and recreation - Charges for services</t>
  </si>
  <si>
    <t>Cultural and recreation - Operating grants and contributions</t>
  </si>
  <si>
    <t>Cultural and recreation - Capital grants and contributions</t>
  </si>
  <si>
    <t>Other Improvements</t>
  </si>
  <si>
    <t>Vehicles &amp; Motorized Equipment</t>
  </si>
  <si>
    <t>Accumulated depreciation - Buildings</t>
  </si>
  <si>
    <t>Accumulated depreciation - Other improvements</t>
  </si>
  <si>
    <t>Accumulated depreciation - Equipment</t>
  </si>
  <si>
    <t>Accumulated depreciation - Vehicles &amp; motorized equipment</t>
  </si>
  <si>
    <t>Accumulated depreciation - Infrastructure</t>
  </si>
  <si>
    <t>Special Item</t>
  </si>
  <si>
    <t>Description</t>
  </si>
  <si>
    <t>Balance Sheet Accounts</t>
  </si>
  <si>
    <t xml:space="preserve"> </t>
  </si>
  <si>
    <t>Extraordinary item - revenue</t>
  </si>
  <si>
    <r>
      <t>Miscellaneous……………………</t>
    </r>
    <r>
      <rPr>
        <sz val="8"/>
        <color indexed="10"/>
        <rFont val="Arial"/>
        <family val="2"/>
      </rPr>
      <t>(Typically general)</t>
    </r>
  </si>
  <si>
    <r>
      <t xml:space="preserve">Extraordinary item  </t>
    </r>
    <r>
      <rPr>
        <i/>
        <sz val="10"/>
        <rFont val="Arial"/>
        <family val="2"/>
      </rPr>
      <t>(revenue)</t>
    </r>
  </si>
  <si>
    <t>What is the depreciation expense for the current year up to the date of sale for the asset above?</t>
  </si>
  <si>
    <t>Improvements</t>
  </si>
  <si>
    <t>Vehicles + Mot. Equip</t>
  </si>
  <si>
    <t>…. Automatically computed ….</t>
  </si>
  <si>
    <t>Advances from other funds</t>
  </si>
  <si>
    <t>Advances to other funds</t>
  </si>
  <si>
    <t>What is the current year annual amortization for deferred charge (loss) from refunding?</t>
  </si>
  <si>
    <t>Indicate the amount of any distributions during the current year that were recognized as revenue under modified accrual.</t>
  </si>
  <si>
    <t>accounts to internal</t>
  </si>
  <si>
    <t>The journal entry for the conversion worksheet, to reclassify these expenditures as capital assets, will be automatically created.</t>
  </si>
  <si>
    <t xml:space="preserve">Indicate the function to which the expenditures in 1 above apply. </t>
  </si>
  <si>
    <t>Extraordinary gain/ioss</t>
  </si>
  <si>
    <t>Other program 2</t>
  </si>
  <si>
    <t>Other program 2 - Charges for services</t>
  </si>
  <si>
    <t>Other program 2 - Operating grants and contributions</t>
  </si>
  <si>
    <t>Other program 2 - Capital grants and contributions</t>
  </si>
  <si>
    <t>Other program 2 - charge for service</t>
  </si>
  <si>
    <t>Other program 2 - operating grants &amp; contributions</t>
  </si>
  <si>
    <t>Other program 2 - capital grants &amp; contributions</t>
  </si>
  <si>
    <t>Other program 1 expenditures</t>
  </si>
  <si>
    <t>Other program 2 expenditures</t>
  </si>
  <si>
    <t>Other program 2-operating grants &amp; contributions</t>
  </si>
  <si>
    <t>Other program 2-capital grants &amp; contributions</t>
  </si>
  <si>
    <t xml:space="preserve">  Vehicles and other motorized equipment</t>
  </si>
  <si>
    <t xml:space="preserve">  Infrastructure</t>
  </si>
  <si>
    <t xml:space="preserve">  Asset class 1</t>
  </si>
  <si>
    <t xml:space="preserve">  Asset class 2</t>
  </si>
  <si>
    <t xml:space="preserve">  Construction in progress</t>
  </si>
  <si>
    <t>Net fixed assets</t>
  </si>
  <si>
    <t>Capital debt calculation</t>
  </si>
  <si>
    <t xml:space="preserve">  Total capital debt, gross</t>
  </si>
  <si>
    <t>Add:</t>
  </si>
  <si>
    <t>Total capital debt</t>
  </si>
  <si>
    <t>Capital assets net of related debt</t>
  </si>
  <si>
    <t>Landfill or</t>
  </si>
  <si>
    <t>Business Type</t>
  </si>
  <si>
    <t>Gain / loss qualifying as special item</t>
  </si>
  <si>
    <t>Gain / loss on sale of assets</t>
  </si>
  <si>
    <t>Review all governmental funds for sales of assets. For those items that meet the definition of a special item* enter the amounts by asset class for each question in section A.1. Typically there would not be more than one sale that qualified under the definition of special item. Enter the amounts under the proper asset class.</t>
  </si>
  <si>
    <t>Other</t>
  </si>
  <si>
    <t>Other asset</t>
  </si>
  <si>
    <t>For those items sold that qualify as a regular sale of assets, enter the amounts by asset class for each question in section A.2</t>
  </si>
  <si>
    <t>Trade-in of Capital assets:</t>
  </si>
  <si>
    <r>
      <t xml:space="preserve">Ending balance for other long-term liabilities for the current year. - </t>
    </r>
    <r>
      <rPr>
        <sz val="8"/>
        <color indexed="10"/>
        <rFont val="Arial"/>
        <family val="2"/>
      </rPr>
      <t>calculated</t>
    </r>
  </si>
  <si>
    <t>Indicate to which function the new "other liabilities" listed in step 2 apply. The sum of the amounts below must equal the amount in the corresponding step above. Indicate to which function the payment was charged in step 3. Indicate to which function any adjustments noted in step 4 should be recorded. Indicate any amounts that should be reported as special or extraordinary items.</t>
  </si>
  <si>
    <t>p</t>
  </si>
  <si>
    <t>q</t>
  </si>
  <si>
    <t>r</t>
  </si>
  <si>
    <t>s</t>
  </si>
  <si>
    <t>Final Entry for Conversion Worksheet   [Entry L.1 to L.9]</t>
  </si>
  <si>
    <t>consolidation entries - Worksheets K &amp; L</t>
  </si>
  <si>
    <t>Other financing source - Sale of assets</t>
  </si>
  <si>
    <t>Class #1</t>
  </si>
  <si>
    <t>Class #2</t>
  </si>
  <si>
    <t>Other asset class #1</t>
  </si>
  <si>
    <t>Other asset class #2</t>
  </si>
  <si>
    <t>Indicate amount of revenue recorded for sale.</t>
  </si>
  <si>
    <t>Entry B</t>
  </si>
  <si>
    <t>Entry C</t>
  </si>
  <si>
    <t>Entry D</t>
  </si>
  <si>
    <t>Totals</t>
  </si>
  <si>
    <t>Other non-depreciable assets</t>
  </si>
  <si>
    <t>What was the amount outstanding for the old debt at the time it was refunded?</t>
  </si>
  <si>
    <t>What was the amount of any unamortized discount, premium  or issuance cost on the old debt?</t>
  </si>
  <si>
    <r>
      <t xml:space="preserve">What is the amount of receivables-"Advances to other funds" due to the governmental activities from business type activities? </t>
    </r>
    <r>
      <rPr>
        <sz val="8"/>
        <color indexed="10"/>
        <rFont val="Arial"/>
        <family val="2"/>
      </rPr>
      <t>Follow the directions in step 1 above - entering the number from the Conversion worksheet - exclude fiduciary funds portion.</t>
    </r>
  </si>
  <si>
    <t>Units may elect to amortize the discount or premium on bonds and the deferred charge (loss) on refunding using the straight-line method or the effective interest rate amortization method.</t>
  </si>
  <si>
    <t>Grant Project</t>
  </si>
  <si>
    <t>Other Non-Major #3</t>
  </si>
  <si>
    <t>Other Non-Major #4</t>
  </si>
  <si>
    <t>Other Non-Major #5</t>
  </si>
  <si>
    <t>Other Non-Major #6</t>
  </si>
  <si>
    <t>Other Non-Major #7</t>
  </si>
  <si>
    <r>
      <t xml:space="preserve">What was the amount of Reserve for inventory </t>
    </r>
    <r>
      <rPr>
        <sz val="10"/>
        <rFont val="Arial"/>
        <family val="2"/>
      </rPr>
      <t>at the end of the current year?</t>
    </r>
  </si>
  <si>
    <t>The entry is automatically generated from all the data provided and mapped to the Reclassifications and Eliminations column of the Conversion Worksheet as entry K.1-3. Additional worksheets are provided for other internal service funds and their entries are mapped together such that K.1 + K.2 + K.3 results in the final K.1-3 entry. Please note that if rounding causes a slight inaccuracy,  adjustments can be made.</t>
  </si>
  <si>
    <t>Consolidate transfers to arrive at net transfers to business type activities.</t>
  </si>
  <si>
    <t xml:space="preserve">Eliminate interfund balances for receivables and payables between governmental funds. </t>
  </si>
  <si>
    <t>Fund Balance</t>
  </si>
  <si>
    <t>Indicate to which function the net change in prepaid expenses applies. The sum of the amounts below must equal the amount in the net change field above .</t>
  </si>
  <si>
    <t>Interfund receivables and payables between the governmental funds must be eliminated so as not to overstate the assets and liabilities for governmental activities. There are four accounts which are affected, "due to/from" and "advances to/from."  Interfund receivables and payables to fiduciary funds are treated as external parties at the government-wide level. They are best reported in a separate account entitled due to/from fiduciary funds on the funds' Balance Sheet. If receivables/payables from fiduciary funds have not already been recorded on a separate line, complete the questions in Section D.</t>
  </si>
  <si>
    <r>
      <t>k</t>
    </r>
    <r>
      <rPr>
        <sz val="12"/>
        <rFont val="Wingdings 2"/>
        <family val="1"/>
        <charset val="2"/>
      </rPr>
      <t xml:space="preserve"> </t>
    </r>
    <r>
      <rPr>
        <b/>
        <sz val="10"/>
        <rFont val="Arial"/>
        <family val="2"/>
      </rPr>
      <t>The method used throughout this worksheet</t>
    </r>
    <r>
      <rPr>
        <sz val="10"/>
        <rFont val="Arial"/>
        <family val="2"/>
      </rPr>
      <t xml:space="preserve"> </t>
    </r>
    <r>
      <rPr>
        <b/>
        <sz val="10"/>
        <rFont val="Arial"/>
        <family val="2"/>
      </rPr>
      <t>differs from the GAAFR</t>
    </r>
    <r>
      <rPr>
        <sz val="10"/>
        <rFont val="Arial"/>
        <family val="2"/>
      </rPr>
      <t xml:space="preserve"> by using beginning fund balance rather than ending balance. This method generates a calculation for beginning equity on the full accrual basis of accounting.</t>
    </r>
  </si>
  <si>
    <r>
      <t>k</t>
    </r>
    <r>
      <rPr>
        <sz val="10"/>
        <rFont val="Arial"/>
        <family val="2"/>
      </rPr>
      <t xml:space="preserve"> </t>
    </r>
    <r>
      <rPr>
        <b/>
        <sz val="10"/>
        <rFont val="Arial"/>
        <family val="2"/>
      </rPr>
      <t>The method used throughout this worksheet differs from the GAAFR</t>
    </r>
    <r>
      <rPr>
        <sz val="10"/>
        <rFont val="Arial"/>
        <family val="2"/>
      </rPr>
      <t xml:space="preserve"> by using beginning fund balance rather than ending balance. This method generates a calculation for beginning equity on the full accrual basis of accounting.</t>
    </r>
  </si>
  <si>
    <t>Cultural and Recreation</t>
  </si>
  <si>
    <t>Indicate the amount by program/function for interest expense or investment earnings that should be included with program cost or revenue due to being integral to the operation or required by a third party restriction. If the investment earnings were classified as anything other than general revenues in worksheet A no additional entry to adjust revenue is necessary on this worksheet.</t>
  </si>
  <si>
    <t>I.</t>
  </si>
  <si>
    <t>L.9</t>
  </si>
  <si>
    <t>Restricted for capital projects</t>
  </si>
  <si>
    <t>Restricted for Debt Service</t>
  </si>
  <si>
    <t>Restricted for Transportation</t>
  </si>
  <si>
    <t>Restricted for Public Safety</t>
  </si>
  <si>
    <t>Restricted for Economic Development</t>
  </si>
  <si>
    <t>Restricted for Other restrictions #1</t>
  </si>
  <si>
    <t>Restricted for Other restrictions #2</t>
  </si>
  <si>
    <t>Water and</t>
  </si>
  <si>
    <t>Other Business</t>
  </si>
  <si>
    <t xml:space="preserve">Internal </t>
  </si>
  <si>
    <t>Sewer Fund</t>
  </si>
  <si>
    <t>Fund</t>
  </si>
  <si>
    <t>Type Fund</t>
  </si>
  <si>
    <t>Service Fund</t>
  </si>
  <si>
    <t>Total fixed assets, all business-type activities</t>
  </si>
  <si>
    <t xml:space="preserve">Less: </t>
  </si>
  <si>
    <t xml:space="preserve">  Accumulated depreciation, 6/30/02</t>
  </si>
  <si>
    <t>Less:</t>
  </si>
  <si>
    <t xml:space="preserve">  Unspent proceeds of debt</t>
  </si>
  <si>
    <t>Operating Grants &amp; Contributions</t>
  </si>
  <si>
    <t>Capital Grants &amp; Contributions</t>
  </si>
  <si>
    <r>
      <t xml:space="preserve">Special Assessments - Assessment results in </t>
    </r>
    <r>
      <rPr>
        <b/>
        <u/>
        <sz val="10"/>
        <rFont val="Arial"/>
        <family val="2"/>
      </rPr>
      <t>ownership of an asset</t>
    </r>
    <r>
      <rPr>
        <b/>
        <sz val="10"/>
        <rFont val="Arial"/>
        <family val="2"/>
      </rPr>
      <t xml:space="preserve">  - </t>
    </r>
    <r>
      <rPr>
        <b/>
        <sz val="9"/>
        <rFont val="Arial"/>
        <family val="2"/>
      </rPr>
      <t xml:space="preserve"> (Miscellaneous Revenue for Modified Accrual)
                                                                                                           (Program Revenue - Capital grants &amp; contributions for Full Accrual)</t>
    </r>
  </si>
  <si>
    <t>Review the various governmental funds and identify debt service expenditures that should be recorded as a reduction to a liability as principal is paid down. Enter information in Section A below.</t>
  </si>
  <si>
    <t>Enter the amount of principal paid as debt service in all governmental funds for the categories below?</t>
  </si>
  <si>
    <t>Capital leases</t>
  </si>
  <si>
    <t>The user should download a blank workbook appropriate for his/her unit of government and save it permanently on a local computer. It would be best to then make another copy for the current year's data. If for whatever reason the current file becomes corrupted, the user should reload the blank copy from their local computer (or download another from the web) and begin again. For maximum protection, users should save their work frequently as they enter data.</t>
  </si>
  <si>
    <t>Parking &amp; Recreation</t>
  </si>
  <si>
    <t>Powell Bill moneys reserved in General Fund</t>
  </si>
  <si>
    <t xml:space="preserve">What is the original cost at the beginning of the year for assets physically damaged during current year? </t>
  </si>
  <si>
    <t>What is the accumulated depreciation at the beginning of the year for the assets damaged in a. above?</t>
  </si>
  <si>
    <t>What is the depreciation expense for the current year up to the
 date of the damage for the assets above?</t>
  </si>
  <si>
    <t>Net book value of capital assets damaged</t>
  </si>
  <si>
    <t>COPs payable - current</t>
  </si>
  <si>
    <t>Bonds payable - current</t>
  </si>
  <si>
    <t>Notes payable - current</t>
  </si>
  <si>
    <t>Capital leases - current</t>
  </si>
  <si>
    <t>Other long-term liability #2 - current</t>
  </si>
  <si>
    <t>Other long-term liability #1 - current</t>
  </si>
  <si>
    <t xml:space="preserve">What are net capital assets (capital assets less accumulated depreciation.) </t>
  </si>
  <si>
    <t>Restricted for:</t>
  </si>
  <si>
    <t>Capital projects</t>
  </si>
  <si>
    <t>Economic Development</t>
  </si>
  <si>
    <t>Other restrictions #1</t>
  </si>
  <si>
    <t>Other restrictions #2</t>
  </si>
  <si>
    <t>Unrestricted:</t>
  </si>
  <si>
    <r>
      <t>General Government [</t>
    </r>
    <r>
      <rPr>
        <i/>
        <sz val="8"/>
        <rFont val="Arial"/>
        <family val="2"/>
      </rPr>
      <t>Loss on disposal</t>
    </r>
    <r>
      <rPr>
        <sz val="10"/>
        <rFont val="Arial"/>
        <family val="2"/>
      </rPr>
      <t>]</t>
    </r>
  </si>
  <si>
    <r>
      <t>General Government…….</t>
    </r>
    <r>
      <rPr>
        <sz val="8"/>
        <color indexed="10"/>
        <rFont val="Arial"/>
        <family val="2"/>
      </rPr>
      <t>loss on disposal</t>
    </r>
  </si>
  <si>
    <t>Retiring, scrapping or donating Capital assets:</t>
  </si>
  <si>
    <r>
      <t xml:space="preserve">Retiring, scrapping and donating capital assets (with no proceeds): </t>
    </r>
    <r>
      <rPr>
        <b/>
        <sz val="12"/>
        <rFont val="Arial"/>
        <family val="2"/>
      </rPr>
      <t xml:space="preserve"> </t>
    </r>
    <r>
      <rPr>
        <b/>
        <sz val="12"/>
        <rFont val="Wingdings 2"/>
        <family val="1"/>
        <charset val="2"/>
      </rPr>
      <t>j</t>
    </r>
    <r>
      <rPr>
        <b/>
        <sz val="10"/>
        <rFont val="Arial"/>
        <family val="2"/>
      </rPr>
      <t xml:space="preserve">   </t>
    </r>
  </si>
  <si>
    <t xml:space="preserve">j  </t>
  </si>
  <si>
    <t>Accumulated depreciation - Other asset class #1</t>
  </si>
  <si>
    <t>Accumulated depreciation - Other asset class #2</t>
  </si>
  <si>
    <t>6.</t>
  </si>
  <si>
    <t>Entry A.1</t>
  </si>
  <si>
    <t>Entry A.2</t>
  </si>
  <si>
    <t>Loss on disposal of assets</t>
  </si>
  <si>
    <t xml:space="preserve">Debit </t>
  </si>
  <si>
    <r>
      <t xml:space="preserve">Miscellaneous revenue  </t>
    </r>
    <r>
      <rPr>
        <i/>
        <sz val="10"/>
        <rFont val="Arial"/>
        <family val="2"/>
      </rPr>
      <t>(fund statements)</t>
    </r>
  </si>
  <si>
    <t>General obligation bonds payable</t>
  </si>
  <si>
    <t>Bond anticipation notes payable</t>
  </si>
  <si>
    <t>Installment purchases/COPs payable</t>
  </si>
  <si>
    <t>Review the governmental funds for additions to the various debt categories which would have been recorded as an other financing source - debt proceeds. Enter information in Section B below. New issuance of refunding bonds will be handled in section B.</t>
  </si>
  <si>
    <t>Debt Issues and Other Debt Related Transactions</t>
  </si>
  <si>
    <t>Enter the face amount of newly issued debt and any discount, premium or issuance cost for all governmental funds by the categories below?</t>
  </si>
  <si>
    <t>What was issuance cost for new debt?</t>
  </si>
  <si>
    <t>Complete the questions below regarding bond refunding.</t>
  </si>
  <si>
    <t>Old Debt:</t>
  </si>
  <si>
    <t>Net change for the year</t>
  </si>
  <si>
    <t>Net Change amount</t>
  </si>
  <si>
    <t>Compensated absences</t>
  </si>
  <si>
    <t>Claims &amp; Judgments</t>
  </si>
  <si>
    <t>What was accrued interest at the beginning of the year under full accrual?</t>
  </si>
  <si>
    <t>Face</t>
  </si>
  <si>
    <t>Discount</t>
  </si>
  <si>
    <t>Premium</t>
  </si>
  <si>
    <r>
      <t xml:space="preserve">Discount - GO Bonds </t>
    </r>
    <r>
      <rPr>
        <sz val="8"/>
        <color indexed="10"/>
        <rFont val="Arial"/>
        <family val="2"/>
      </rPr>
      <t>- contra-liability</t>
    </r>
  </si>
  <si>
    <t xml:space="preserve">Work Section </t>
  </si>
  <si>
    <t>Other transactions affecting capital assets must also be adjusted from their treatment under modified accrual to full accrual for the government-wide financial statements. This covers the  disposal of assets such as the sales, trade-ins or the scrapping of fully depreciated assets, and the donations of capital assets. Please be aware that in addition to posting to the conversion worksheets, capital assets eventually must be added to the unit's permanent accounts for recording capital assets in order to have proper beginning balances for next year's statements.  (Capital assets acquired through leases should have been recorded in the capital outlay worksheet; the debt side of the entry will be made later. Depreciation expense was calculated in a previous worksheet.)</t>
  </si>
  <si>
    <t>Cash and cash equivalents</t>
  </si>
  <si>
    <t>Intangible asset - advance funding of pension obligation</t>
  </si>
  <si>
    <r>
      <t xml:space="preserve">Inventory </t>
    </r>
    <r>
      <rPr>
        <sz val="10"/>
        <rFont val="Arial"/>
        <family val="2"/>
      </rPr>
      <t>- if recorded at the fund level using the purchases method</t>
    </r>
  </si>
  <si>
    <r>
      <t xml:space="preserve">Sum of amounts in step 2. </t>
    </r>
    <r>
      <rPr>
        <sz val="8"/>
        <color indexed="10"/>
        <rFont val="Arial"/>
        <family val="2"/>
      </rPr>
      <t>- calculated</t>
    </r>
    <r>
      <rPr>
        <sz val="10"/>
        <rFont val="Arial"/>
        <family val="2"/>
      </rPr>
      <t xml:space="preserve"> </t>
    </r>
  </si>
  <si>
    <r>
      <t xml:space="preserve">Amount to be allocated </t>
    </r>
    <r>
      <rPr>
        <sz val="8"/>
        <color indexed="10"/>
        <rFont val="Arial"/>
        <family val="2"/>
      </rPr>
      <t xml:space="preserve"> - calculated</t>
    </r>
  </si>
  <si>
    <r>
      <t xml:space="preserve">What was the amount of the net pension obligation at the beginning of the year. If multiple benefit plans are involved enter the sum of all plans. </t>
    </r>
    <r>
      <rPr>
        <sz val="8"/>
        <color indexed="10"/>
        <rFont val="Arial"/>
        <family val="2"/>
      </rPr>
      <t>(Beginning balances were recorded in Columns AF &amp; AG in the main Conversion Worksheet.)</t>
    </r>
  </si>
  <si>
    <t>Note 5: Conversion and annual accruals</t>
  </si>
  <si>
    <t>Note 6: Reclassifications, eliminations, and</t>
  </si>
  <si>
    <r>
      <t xml:space="preserve">Capital Outlay </t>
    </r>
    <r>
      <rPr>
        <i/>
        <sz val="9"/>
        <rFont val="Arial"/>
        <family val="2"/>
      </rPr>
      <t>(capital projects)</t>
    </r>
  </si>
  <si>
    <t>Other asset class 1</t>
  </si>
  <si>
    <t>Other asset class 2</t>
  </si>
  <si>
    <t>Other sales of assets that do not qualify as special items:</t>
  </si>
  <si>
    <r>
      <t xml:space="preserve">What was the amount of capital outlay to be capitalized by function in all governmental funds?  </t>
    </r>
    <r>
      <rPr>
        <b/>
        <i/>
        <sz val="10"/>
        <color indexed="10"/>
        <rFont val="Arial"/>
        <family val="2"/>
      </rPr>
      <t>This includes expenditures related to impairment losses.</t>
    </r>
  </si>
  <si>
    <t>Net Change Amount</t>
  </si>
  <si>
    <t>What was the amount of debt service paid by category of debt for all governmental funds?</t>
  </si>
  <si>
    <t>Used*</t>
  </si>
  <si>
    <t>Earned*</t>
  </si>
  <si>
    <t>F.3</t>
  </si>
  <si>
    <t>Capital outlay</t>
  </si>
  <si>
    <t>What was the amount to be capitalized by asset class?</t>
  </si>
  <si>
    <r>
      <t xml:space="preserve">Infrastructure </t>
    </r>
    <r>
      <rPr>
        <i/>
        <sz val="8"/>
        <rFont val="Arial"/>
        <family val="2"/>
      </rPr>
      <t>(e.g. street improvements)</t>
    </r>
  </si>
  <si>
    <r>
      <t xml:space="preserve">Enter the amount of the </t>
    </r>
    <r>
      <rPr>
        <u/>
        <sz val="10"/>
        <rFont val="Arial"/>
        <family val="2"/>
      </rPr>
      <t>current year collections</t>
    </r>
    <r>
      <rPr>
        <sz val="10"/>
        <rFont val="Arial"/>
        <family val="2"/>
      </rPr>
      <t xml:space="preserve"> in the function where the proceeds will be/have been expended. The sum of the amounts entered must equal the calculated amount for current collections. </t>
    </r>
  </si>
  <si>
    <t>The journal entry will reverse the original entry in the trial balance and credit an entry by function and revenue category. It is posted only to the conversion worksheet not to the general ledger or accounting system.</t>
  </si>
  <si>
    <t>Cultural &amp; recreation</t>
  </si>
  <si>
    <t>Unallocated depreciation</t>
  </si>
  <si>
    <t>Annual</t>
  </si>
  <si>
    <t>Expense</t>
  </si>
  <si>
    <r>
      <t>Sales &amp; services…………….</t>
    </r>
    <r>
      <rPr>
        <sz val="8"/>
        <color indexed="10"/>
        <rFont val="Arial"/>
        <family val="2"/>
      </rPr>
      <t>(Charges for services)</t>
    </r>
  </si>
  <si>
    <r>
      <t>Taxes - Ad valorem    …………………...</t>
    </r>
    <r>
      <rPr>
        <sz val="8"/>
        <color indexed="10"/>
        <rFont val="Arial"/>
        <family val="2"/>
      </rPr>
      <t>(General)</t>
    </r>
  </si>
  <si>
    <r>
      <t>Other taxes &amp; licenses…………………..</t>
    </r>
    <r>
      <rPr>
        <sz val="8"/>
        <color indexed="10"/>
        <rFont val="Arial"/>
        <family val="2"/>
      </rPr>
      <t>(General)</t>
    </r>
  </si>
  <si>
    <r>
      <t>Permits and fees…………….</t>
    </r>
    <r>
      <rPr>
        <sz val="8"/>
        <color indexed="10"/>
        <rFont val="Arial"/>
        <family val="2"/>
      </rPr>
      <t>(Charges for services)</t>
    </r>
  </si>
  <si>
    <r>
      <t>Investment earnings……………..</t>
    </r>
    <r>
      <rPr>
        <sz val="8"/>
        <color indexed="10"/>
        <rFont val="Arial"/>
        <family val="2"/>
      </rPr>
      <t>(Typically general)</t>
    </r>
  </si>
  <si>
    <t>Modified Accrual Revenue Class</t>
  </si>
  <si>
    <t>Interfund balances between governmental funds must be eliminated for purposes of presenting the government-wide Statements. Only those net balances between governmental and business type activities will remain and they will be classified as internal balances. Interfund transfers  must be consolidated to arrive at net transfers between governmental and business type activities. Reclassifications to programs or to current versus long-term assets and liabilities may also be necessary. These are the final steps to produce the trial balance that will become the government-wide statements. Entries are posted only to the conversion worksheet.</t>
  </si>
  <si>
    <t>What is the accumulated depreciation at the beginning of the year for the asset sold in a. above?</t>
  </si>
  <si>
    <t>c.</t>
  </si>
  <si>
    <t>Permits and fess</t>
  </si>
  <si>
    <t>Were there any additional payments to the escrow agent charged to debt service?</t>
  </si>
  <si>
    <t xml:space="preserve">Deferred Charge - refunding </t>
  </si>
  <si>
    <t>OFU - Payment to escrow agent</t>
  </si>
  <si>
    <t>Change in OPEB obligation during the year</t>
  </si>
  <si>
    <t>Total of incremental net OPEB costs</t>
  </si>
  <si>
    <t>Net OPEB Obligation</t>
  </si>
  <si>
    <t>This workbook is designed to calculate the government-wide numbers for all governmental -type activities, including any internal service funds deemed to be primarily governmental in nature.  A separate workbook is available to calculate the government-wide numbers for all business-type activities.</t>
  </si>
  <si>
    <t>Specific Instructions:</t>
  </si>
  <si>
    <t xml:space="preserve">Special assessments receivable </t>
  </si>
  <si>
    <t>Miscellaneous liabilities</t>
  </si>
  <si>
    <t>What was the amount of Reserve for Inventory at the end of the prior year?</t>
  </si>
  <si>
    <t>Culture and Recreation</t>
  </si>
  <si>
    <t>Identify the proper asset class to which the depreciation should be recorded in section B. below.</t>
  </si>
  <si>
    <t>The data provided in sections A. and B. will provide the information to create the proper entry for the conversion worksheet.</t>
  </si>
  <si>
    <r>
      <t xml:space="preserve">Piped Natural Gas Tax  </t>
    </r>
    <r>
      <rPr>
        <b/>
        <sz val="9"/>
        <rFont val="Arial"/>
        <family val="2"/>
      </rPr>
      <t xml:space="preserve"> (Unrestricted intergovernmental for Modified Accrual  --  Unrestricted - General for Full Accrual)</t>
    </r>
  </si>
  <si>
    <t>The entry is automatically generated from all the data provided and mapped to the Reclassifications and Eliminations column of the Conversion Worksheet as entry K.1-3. Additional worksheets are provided for other internal service funds and their entries are mapped together such that K.1 + K.2 + K.3 results in the final K.1-3 entry. Please note that if rounding causes a slight inaccuracy, minor adjustments can be made.</t>
  </si>
  <si>
    <r>
      <t xml:space="preserve">     Proof Total - </t>
    </r>
    <r>
      <rPr>
        <sz val="8"/>
        <color indexed="10"/>
        <rFont val="Arial"/>
        <family val="2"/>
      </rPr>
      <t>(debits and credits should balance)</t>
    </r>
  </si>
  <si>
    <t>Transfers that occur during the year between governmental funds and between enterprise funds must be eliminated. Only transfers between governmental and enterprise funds remain. Transfers to/from discretely presented component units should now be reported as revenue and expenditures in the appropriate governmental fund and will not need reclassification. The transfers between governmental funds and the internal service funds must be eliminated for any internal service fund that has been consolidated with the governmental activities. After these entries, the remaining transfers should be those between business type activities or fiduciary funds.</t>
  </si>
  <si>
    <t>Reclassification, elimination and consolidation entries are in worksheets K and L including the required Internal Service Fund entries in worksheet K.1, K.2, and K.3.</t>
  </si>
  <si>
    <t>One column on the govt funds</t>
  </si>
  <si>
    <t>Grand total of major + non-major funds   --   computed</t>
  </si>
  <si>
    <t>statement   --   computed</t>
  </si>
  <si>
    <t>Accum Depreciation - asset class 2</t>
  </si>
  <si>
    <r>
      <t xml:space="preserve">The conversion journal entry in section J. will reverse the beginning and ending of year deferral in the trial balance. </t>
    </r>
    <r>
      <rPr>
        <b/>
        <sz val="10"/>
        <rFont val="Arial"/>
        <family val="2"/>
      </rPr>
      <t xml:space="preserve">It is posted only to the conversion worksheet, not to the general ledger or accounting system. </t>
    </r>
  </si>
  <si>
    <r>
      <t>Other revenues not previously covered that require adjustment from modified to full accrual -</t>
    </r>
    <r>
      <rPr>
        <sz val="10"/>
        <rFont val="Arial"/>
        <family val="2"/>
      </rPr>
      <t xml:space="preserve"> </t>
    </r>
    <r>
      <rPr>
        <sz val="8"/>
        <rFont val="Arial"/>
        <family val="2"/>
      </rPr>
      <t>including misc. charges, services &amp; fees</t>
    </r>
  </si>
  <si>
    <t>Final Entry for Conversion Worksheet   [Entry B.1 and B.2]</t>
  </si>
  <si>
    <t>Entry A</t>
  </si>
  <si>
    <t>Entry E</t>
  </si>
  <si>
    <t>Entry F</t>
  </si>
  <si>
    <t>Entry G</t>
  </si>
  <si>
    <t>Other program 1 - charge for service</t>
  </si>
  <si>
    <t>Other program 1 - operating grants &amp; contributions</t>
  </si>
  <si>
    <t>Other program 1 - capital grants &amp; contributions</t>
  </si>
  <si>
    <t>Operating grants and contributions</t>
  </si>
  <si>
    <t>Capital grants and contributions</t>
  </si>
  <si>
    <t>Cultural and recreation</t>
  </si>
  <si>
    <t>Total program revenues</t>
  </si>
  <si>
    <t>General government - Charges for services</t>
  </si>
  <si>
    <t>General government - Operating grants and contributions</t>
  </si>
  <si>
    <t>General government - Capital grants and contributions</t>
  </si>
  <si>
    <t>Public safety - Charges for services</t>
  </si>
  <si>
    <t>Enter the amounts as positive numbers in the debit or credit columns for the internal balance and the functions noted below. This entry was generated in the internal service fund allocation worksheet for business type activities elsewhere on the website. The entry must balance. If multiple internal service funds exist with dominant user of business type, please add the entries together to arrive at the net debit or credit.</t>
  </si>
  <si>
    <t>Notes:</t>
  </si>
  <si>
    <r>
      <t xml:space="preserve">What is the fair value of </t>
    </r>
    <r>
      <rPr>
        <u/>
        <sz val="10"/>
        <rFont val="Arial"/>
        <family val="2"/>
      </rPr>
      <t>all</t>
    </r>
    <r>
      <rPr>
        <sz val="10"/>
        <rFont val="Arial"/>
        <family val="2"/>
      </rPr>
      <t xml:space="preserve"> the assets donated to the unit?  Enter the amounts in the appropriate asset class.</t>
    </r>
  </si>
  <si>
    <t xml:space="preserve">   Transfers in</t>
  </si>
  <si>
    <t xml:space="preserve">   Transfers out</t>
  </si>
  <si>
    <t>Unallocated amounts for operating accounts</t>
  </si>
  <si>
    <t>Allocation of profit or loss</t>
  </si>
  <si>
    <t>See Memo # 964 for the proper classification of revenue sources to operating, capital or charges for service.</t>
  </si>
  <si>
    <t xml:space="preserve">See Memos # 949 and # 964 for a discussion of the proper recognition of revenue under modified accrual and full accrual for GASB 33 and 34. </t>
  </si>
  <si>
    <t>Entry for Conversion worksheet to record depreciation expense.       [Entry D.1]</t>
  </si>
  <si>
    <t>Journal entry for conversion worksheet to capitalize capital outlay expenditures.   [Entry E.1]</t>
  </si>
  <si>
    <t>Miscellaneous revenue</t>
  </si>
  <si>
    <t xml:space="preserve">Miscellaneous revenue </t>
  </si>
  <si>
    <t>F.2</t>
  </si>
  <si>
    <t>F.1</t>
  </si>
  <si>
    <t>G.1</t>
  </si>
  <si>
    <t>G.2</t>
  </si>
  <si>
    <t>G.3</t>
  </si>
  <si>
    <r>
      <t xml:space="preserve">Entry for conversion worksheet to record reductions in outstanding debt and interest expense and liability. </t>
    </r>
    <r>
      <rPr>
        <b/>
        <sz val="8"/>
        <rFont val="Arial"/>
        <family val="2"/>
      </rPr>
      <t>[Entry G.1, G.2 &amp; G.3]</t>
    </r>
  </si>
  <si>
    <t>Entry for conversion worksheet to record additions to outstanding debt and all refunding activity.   [Entry H.1]</t>
  </si>
  <si>
    <t xml:space="preserve">Adjustments to Other Liability and Expense Accounts </t>
  </si>
  <si>
    <t>Work Section for Conversion entry J</t>
  </si>
  <si>
    <t>Reclassify any interest expense or investment income that should be related to a specific program.</t>
  </si>
  <si>
    <t>Other financing source - sale of capital assets</t>
  </si>
  <si>
    <r>
      <t xml:space="preserve">OFS - Sale of capital assets </t>
    </r>
    <r>
      <rPr>
        <sz val="8"/>
        <color indexed="10"/>
        <rFont val="Arial"/>
        <family val="2"/>
      </rPr>
      <t>- other financing source</t>
    </r>
  </si>
  <si>
    <t>Advance funding of pension occurs when the benefit plan has a negative net pension obligation. A net pension obligation (liability - which is the normal case) should be addressed in worksheet J.</t>
  </si>
  <si>
    <t>Please be aware that in addition to posting to the conversion worksheets, capital assets and depreciation must be added to the unit's permanent accounts for recording capital assets in order to have proper beginning balances for next year's statements.</t>
  </si>
  <si>
    <t>Worksheet A</t>
  </si>
  <si>
    <t>Unrestricted intergovernmental</t>
  </si>
  <si>
    <t>Journal entry for conversion worksheet to reclassify revenue to functional categories:   [Entry  A.1]</t>
  </si>
  <si>
    <t>WORK SECTION for ENTRY</t>
  </si>
  <si>
    <t xml:space="preserve">Credit </t>
  </si>
  <si>
    <t xml:space="preserve">be presented as such in the General Revenue section of the Statement of Activities. </t>
  </si>
  <si>
    <t>Revenue Reclassification by Function</t>
  </si>
  <si>
    <t>C.</t>
  </si>
  <si>
    <t>Ad Valorem taxes:</t>
  </si>
  <si>
    <t>Accrued interest rec. on ad valorem - "beginning of year"</t>
  </si>
  <si>
    <t>Adjust Capital Outlay Expenditures Under Modified Accrual to Full Accrual</t>
  </si>
  <si>
    <t>Environmental protection</t>
  </si>
  <si>
    <t xml:space="preserve">3. </t>
  </si>
  <si>
    <t>D.</t>
  </si>
  <si>
    <t>Vehicles and motorized equipment</t>
  </si>
  <si>
    <t>Equipment</t>
  </si>
  <si>
    <t>Infrastructure</t>
  </si>
  <si>
    <t>Land</t>
  </si>
  <si>
    <t>Buildings</t>
  </si>
  <si>
    <t>Other Improvement</t>
  </si>
  <si>
    <t>Construction in Progress</t>
  </si>
  <si>
    <t>Economic and Physical Development</t>
  </si>
  <si>
    <t>Economic &amp; physical development</t>
  </si>
  <si>
    <t>Adjust Other Capital Asset Entries to Full Accrual</t>
  </si>
  <si>
    <t>Depreciation</t>
  </si>
  <si>
    <t xml:space="preserve">Other </t>
  </si>
  <si>
    <t>Trade-in of capital assets.</t>
  </si>
  <si>
    <t>Vehicles &amp; motorized equip.</t>
  </si>
  <si>
    <t>N/A</t>
  </si>
  <si>
    <t>E.</t>
  </si>
  <si>
    <t xml:space="preserve">Capital Assets &amp; Long-term Debt accounts are those previously carried in the General Fixed Asset Account Group (GFAAG) and the General Long Term Debt Account Group (GLTDAG) plus the respective accumulated depreciation and the category of infrastructure (according to the phased implementation rules of GASB 34). </t>
  </si>
  <si>
    <t>Other long-term debt #1</t>
  </si>
  <si>
    <t xml:space="preserve">The work section of this worksheet following section G compiles the data for the final entries in section G. Entry F.1 is for disposals; entry F.2 is to record the revenue when assets are donated to the unit; entry F.3 is to reclassify capital outlay expenditures to the proper function when title to the asset is not held by the unit; F.4 is for asset impairment loss due to physical damage. The work section is not defined in the initial print range but provides the components of the final entry. Print ranges can be modified if needed. Please note that reductions due from changes in capitalization thresholds should be handled with the beginning balances loaded in the conversion worksheet. </t>
  </si>
  <si>
    <r>
      <t xml:space="preserve">Expenditures for capital outlay </t>
    </r>
    <r>
      <rPr>
        <u/>
        <sz val="10"/>
        <rFont val="Arial"/>
        <family val="2"/>
      </rPr>
      <t>where title is held by other parties</t>
    </r>
    <r>
      <rPr>
        <sz val="10"/>
        <rFont val="Arial"/>
        <family val="2"/>
      </rPr>
      <t xml:space="preserve"> must be reclassified as a functional expenditure. A prime example of this situation is the county expenditure for school construction where the Board of Education holds title to the property but municipalities could have a similar situation perhaps in an Economic Development project.  In Section E, indicate the amount of capital outlay that must be reclassified and indicate the function to which it should be charged. Section F addresses asset impairment losses. See Section F below for further discussion.</t>
    </r>
  </si>
  <si>
    <t>Bond anticipation notes</t>
  </si>
  <si>
    <t>Liabilities payable from restricted assets</t>
  </si>
  <si>
    <t>Compensated absences payable</t>
  </si>
  <si>
    <t>Capital leases payable</t>
  </si>
  <si>
    <t>Operating Accounts - Revenues</t>
  </si>
  <si>
    <t>General Government</t>
  </si>
  <si>
    <t>Charges for Services</t>
  </si>
  <si>
    <t>The journal entry for the conversion worksheet, to reclassify these expenditures and other financing sources to increases and decreases in the proper liability accounts will be automatically created.</t>
  </si>
  <si>
    <t>What was the accrued interest at the end of the year under full accrual?</t>
  </si>
  <si>
    <t>Entry H</t>
  </si>
  <si>
    <t>Both amounts should be net of estimated uncollectible amounts.</t>
  </si>
  <si>
    <t>Retiring/scrapping or donating assets is a matter of removing those amounts from the capital asset accounts including removing the related accumulated depreciation. Enter amounts by asset class in section C.</t>
  </si>
  <si>
    <t>Cultural and recreation - operating grants &amp; contributions</t>
  </si>
  <si>
    <t>Current year collections</t>
  </si>
  <si>
    <r>
      <t xml:space="preserve">Misc. Rev. </t>
    </r>
    <r>
      <rPr>
        <sz val="8"/>
        <color indexed="10"/>
        <rFont val="Arial"/>
        <family val="2"/>
      </rPr>
      <t>not program specific</t>
    </r>
  </si>
  <si>
    <t>Beginning fund balance from fund statement</t>
  </si>
  <si>
    <t xml:space="preserve">Revenues are reclassified from the summary levels in the fund statements to the classification required for the Statement of Activities in Worksheet A. A separate worksheet on the website is available to assist with this classification process. </t>
  </si>
  <si>
    <t>Please note that the numbers in this column will not be included in the reconciliation from modified to full accrual.</t>
  </si>
  <si>
    <t>OFS - Insurance recovery</t>
  </si>
  <si>
    <t>Reclassification of</t>
  </si>
  <si>
    <t>Revenues by Function</t>
  </si>
  <si>
    <t>Reclassifications and</t>
  </si>
  <si>
    <t>Eliminations</t>
  </si>
  <si>
    <r>
      <t>Charges for Services</t>
    </r>
    <r>
      <rPr>
        <b/>
        <sz val="10"/>
        <color indexed="10"/>
        <rFont val="Arial"/>
        <family val="2"/>
      </rPr>
      <t xml:space="preserve"> *</t>
    </r>
  </si>
  <si>
    <r>
      <t xml:space="preserve">Special items </t>
    </r>
    <r>
      <rPr>
        <sz val="8"/>
        <color indexed="10"/>
        <rFont val="Arial"/>
        <family val="2"/>
      </rPr>
      <t>- government-wide</t>
    </r>
  </si>
  <si>
    <r>
      <t xml:space="preserve">Extraordinary items </t>
    </r>
    <r>
      <rPr>
        <sz val="8"/>
        <color indexed="10"/>
        <rFont val="Arial"/>
        <family val="2"/>
      </rPr>
      <t>- government-wide</t>
    </r>
  </si>
  <si>
    <r>
      <t xml:space="preserve">Special item </t>
    </r>
    <r>
      <rPr>
        <sz val="8"/>
        <color indexed="10"/>
        <rFont val="Arial"/>
        <family val="2"/>
      </rPr>
      <t>- fund statements</t>
    </r>
  </si>
  <si>
    <r>
      <t xml:space="preserve">Extraordinary item </t>
    </r>
    <r>
      <rPr>
        <sz val="8"/>
        <color indexed="10"/>
        <rFont val="Arial"/>
        <family val="2"/>
      </rPr>
      <t xml:space="preserve"> - fund statements</t>
    </r>
  </si>
  <si>
    <r>
      <t>*</t>
    </r>
    <r>
      <rPr>
        <sz val="9"/>
        <rFont val="Arial"/>
        <family val="2"/>
      </rPr>
      <t xml:space="preserve">  would include sales and services and permits and fees</t>
    </r>
  </si>
  <si>
    <t>Govt-wide</t>
  </si>
  <si>
    <t>Unrestricted</t>
  </si>
  <si>
    <r>
      <t>Depreciation for shared capital assets should be allocated over the functions/programs based on usage, square footage, etc. Depreciation for capital assets that essentially serve all functions can be reported as a separate line entitled "unallocated depreciation" or charged to General Government</t>
    </r>
    <r>
      <rPr>
        <sz val="10"/>
        <rFont val="Arial"/>
        <family val="2"/>
      </rPr>
      <t xml:space="preserve">.  Unallocated depreciation should be a rare exception. The depreciation on infrastructure must follow the same principles and be charged to the function where repairs and maintenance are charged, e.g., the depreciation on streets would be charged to Transportation. Please remember that depreciation must be posted to the unit's permanent accounts in order to correctly reflect next year's beginning balances, but will not be shown in the fund statements. </t>
    </r>
  </si>
  <si>
    <t>Reacquisition cost:</t>
  </si>
  <si>
    <t>Examine the trial balance and summary reports of revenues by function and by source code to determine which revenue items need to be reclassified. If units do not have a chart of accounts that breaks out revenues by functional source codes, a manual classification of revenues must be prepared. A worksheet to assist you is available at this website.</t>
  </si>
  <si>
    <t>In addition to the elimination, consolidation and reclassification entries made in this worksheet, it may be necessary to record manual entries in the "Other Miscellaneous Entries As Needed" column on the Conversion worksheet. Any such entries would be conversion or reclassification entries that are unique for your unit which have not been previously handled throughout the workbook. This is especially true of any unusual special or extraordinary revenue or expense items. The special and extraordinary item accounts are at the end of the trial balance in the Conversion Worksheet. Remember that any manual entries which are entered to the "Other Miscellaneous Entries As Needed" columns must have balanced debits and credits.</t>
  </si>
  <si>
    <r>
      <t xml:space="preserve">What is the </t>
    </r>
    <r>
      <rPr>
        <u/>
        <sz val="10"/>
        <rFont val="Arial"/>
        <family val="2"/>
      </rPr>
      <t>"material" amount of loss</t>
    </r>
    <r>
      <rPr>
        <sz val="10"/>
        <rFont val="Arial"/>
        <family val="2"/>
      </rPr>
      <t xml:space="preserve"> on disposal that should be reclassified as an expense to General Government.</t>
    </r>
    <r>
      <rPr>
        <sz val="8"/>
        <color indexed="10"/>
        <rFont val="Arial"/>
        <family val="2"/>
      </rPr>
      <t>(Enter as a positive number. Miscellaneous revenue will be adjusted in this entry.)</t>
    </r>
  </si>
  <si>
    <r>
      <t xml:space="preserve">What is the </t>
    </r>
    <r>
      <rPr>
        <u/>
        <sz val="10"/>
        <rFont val="Arial"/>
        <family val="2"/>
      </rPr>
      <t>"material" amount of loss</t>
    </r>
    <r>
      <rPr>
        <sz val="10"/>
        <rFont val="Arial"/>
        <family val="2"/>
      </rPr>
      <t xml:space="preserve"> on disposal that meets the criteria to be reported as a special expense item. </t>
    </r>
    <r>
      <rPr>
        <sz val="8"/>
        <color indexed="10"/>
        <rFont val="Arial"/>
        <family val="2"/>
      </rPr>
      <t>(Enter as a positive number - Miscellaneous revenue will be adjusted in this entry.)</t>
    </r>
  </si>
  <si>
    <t>Reclassify material losses in the sale of capital assets. (Entry initially generated as F.1 from Tab F.Other Cap Asset Entries)</t>
  </si>
  <si>
    <r>
      <t>Miscellaneous revenue</t>
    </r>
    <r>
      <rPr>
        <sz val="8"/>
        <color indexed="10"/>
        <rFont val="Arial"/>
        <family val="2"/>
      </rPr>
      <t xml:space="preserve"> (Adjusts journal entry F.1 created earlier)</t>
    </r>
  </si>
  <si>
    <r>
      <t xml:space="preserve">Miscellaneous general revenue </t>
    </r>
    <r>
      <rPr>
        <sz val="8"/>
        <color indexed="10"/>
        <rFont val="Arial"/>
        <family val="2"/>
      </rPr>
      <t>(gain or loss on sale)</t>
    </r>
    <r>
      <rPr>
        <sz val="10"/>
        <rFont val="Arial"/>
        <family val="2"/>
      </rPr>
      <t xml:space="preserve"> </t>
    </r>
  </si>
  <si>
    <t xml:space="preserve">Miscellaneous revenue  </t>
  </si>
  <si>
    <r>
      <t>Miscellaneous general revenue [</t>
    </r>
    <r>
      <rPr>
        <i/>
        <sz val="10"/>
        <rFont val="Arial"/>
        <family val="2"/>
      </rPr>
      <t>gain (loss) on sale]</t>
    </r>
    <r>
      <rPr>
        <sz val="12"/>
        <rFont val="Wingdings 2"/>
        <family val="1"/>
        <charset val="2"/>
      </rPr>
      <t xml:space="preserve"> k</t>
    </r>
  </si>
  <si>
    <r>
      <t>Special Item - gain (loss) on sale of asset</t>
    </r>
    <r>
      <rPr>
        <sz val="10"/>
        <rFont val="Wingdings 2"/>
        <family val="1"/>
        <charset val="2"/>
      </rPr>
      <t xml:space="preserve"> </t>
    </r>
    <r>
      <rPr>
        <sz val="12"/>
        <rFont val="Wingdings 2"/>
        <family val="1"/>
        <charset val="2"/>
      </rPr>
      <t xml:space="preserve"> l</t>
    </r>
  </si>
  <si>
    <t>Sales of assets are assumed to generate gains which post to miscellaneous revenue. If losses result the number will appear as a debit. Material losses should be reported as a General Government expense unless they qualify as a "special" item expense.  Reclassification of these material losses will be made during the final stages in worksheet L - entry L.10.</t>
  </si>
  <si>
    <r>
      <t xml:space="preserve">Enter the amount of </t>
    </r>
    <r>
      <rPr>
        <u/>
        <sz val="10"/>
        <rFont val="Arial"/>
        <family val="2"/>
      </rPr>
      <t>current year collections</t>
    </r>
    <r>
      <rPr>
        <sz val="10"/>
        <rFont val="Arial"/>
        <family val="2"/>
      </rPr>
      <t xml:space="preserve"> in the function where the proceeds will be/have been expended. The sum of the amounts entered must equal the calculated amount for current collections.</t>
    </r>
  </si>
  <si>
    <t>n</t>
  </si>
  <si>
    <t>o</t>
  </si>
  <si>
    <t>Final Entry for Conversion Worksheet   [Entry C.1]</t>
  </si>
  <si>
    <t>The carrying value of an asset must be adjusted if its service utility has been significantly impaired. This example addresses the most common, physical damage. To meet the requirements of GASB 42 both of the following must be true: 1) magnitude of decline in service utility is significant; and 2) it is unexpected. This entry will calculate the capital asset impairment loss (or gain if an insurance recovery was received) when pysical damage occurs using the restoration cost approach.  Within that approach, the damage ratio can be calculated by the replacment cost method or the deflator method depending on what information is known. If replacement cost in current dollars is not known, then the restoration cost can be deflated to the year of acquisition. Deflation factors can be computed if the inflation factor per year is known or obtained from the internet by using engineering construction indexes or the consumer price index and selecting factors for the date of acquisition of the impaired asset.</t>
  </si>
  <si>
    <t>Restoration expenditures or insurance recovery may occur in another fiscal year. In that case, the impairment loss is recorded in the year of the loss and the recovery would be recorded as as a gain (miscellaneous revenue or extrarodinary gain) depending on the magnitude of the amount.</t>
  </si>
  <si>
    <r>
      <t>Full accrual Beginning net equity + change in net equity</t>
    </r>
    <r>
      <rPr>
        <sz val="10"/>
        <rFont val="Arial"/>
        <family val="2"/>
      </rPr>
      <t xml:space="preserve"> </t>
    </r>
    <r>
      <rPr>
        <sz val="8"/>
        <rFont val="Arial"/>
        <family val="2"/>
      </rPr>
      <t>- (from conversion worksheet)</t>
    </r>
  </si>
  <si>
    <t>If positive, an excess charge will be allocated; if negative, a loss or undercharge will be allocated to the functions that used the service.</t>
  </si>
  <si>
    <t>Entry must balance !</t>
  </si>
  <si>
    <t>Internal balances  *</t>
  </si>
  <si>
    <t>Net</t>
  </si>
  <si>
    <t>Unexpended</t>
  </si>
  <si>
    <t>Unearned</t>
  </si>
  <si>
    <t>Restricted</t>
  </si>
  <si>
    <t>Governmental Activities By Function</t>
  </si>
  <si>
    <t>Cash</t>
  </si>
  <si>
    <t>Income</t>
  </si>
  <si>
    <t>Economic and physical development</t>
  </si>
  <si>
    <t>Debt service</t>
  </si>
  <si>
    <t>Accounts</t>
  </si>
  <si>
    <t>Business Type Activities</t>
  </si>
  <si>
    <t>Receivable</t>
  </si>
  <si>
    <t>Payable</t>
  </si>
  <si>
    <t>Water</t>
  </si>
  <si>
    <t>Sewer</t>
  </si>
  <si>
    <t>Solid Waste</t>
  </si>
  <si>
    <r>
      <t xml:space="preserve">Compute and record asset impairment loss or gain per GASB Statement 42 for physical damage:   </t>
    </r>
    <r>
      <rPr>
        <b/>
        <sz val="10"/>
        <color indexed="10"/>
        <rFont val="Arial"/>
        <family val="2"/>
      </rPr>
      <t>(Asset must have been restored or be planned for restoration otherwise asset is written off.)</t>
    </r>
  </si>
  <si>
    <t>Complete explanations and instructions are presented on each of the worksheets following the Conversion Worksheet. A brief synopsis is presented below.</t>
  </si>
  <si>
    <t>The workbook is color-coded.  Blue cells are calculated numbers and are protected and locked.  Yellow cells are those that need data entered by the user.  However, every yellow cell may not be applicable to your unit and can be left blank. The tan sections on the summary worksheet are those accounts that have multiple rows included for one account to be summed at the end of the conversion process. The purple rows are proof totals.</t>
  </si>
  <si>
    <t>Printing:</t>
  </si>
  <si>
    <t>GASB 34 - Allocation of Internal Service Funds (Fund #1)</t>
  </si>
  <si>
    <t>GASB 34 - Allocation of Internal Service Funds (Fund #2)</t>
  </si>
  <si>
    <t>GASB 34 - Allocation of Internal Service Funds (Fund #3)</t>
  </si>
  <si>
    <r>
      <t xml:space="preserve"> </t>
    </r>
    <r>
      <rPr>
        <sz val="8"/>
        <color indexed="10"/>
        <rFont val="Arial"/>
        <family val="2"/>
      </rPr>
      <t>Eliminates intra-governmental</t>
    </r>
  </si>
  <si>
    <t xml:space="preserve">Closes out inter-activity </t>
  </si>
  <si>
    <t>balance account</t>
  </si>
  <si>
    <t>Proceeds of New Debt:</t>
  </si>
  <si>
    <t>Adjust Debt Service Expenditures Under Modified Accrual to Full Accrual</t>
  </si>
  <si>
    <t>L.10</t>
  </si>
  <si>
    <t>J</t>
  </si>
  <si>
    <t>Accum. Depreciation - Buildings</t>
  </si>
  <si>
    <r>
      <t xml:space="preserve">What was the amount of transfers between governmental funds? The amount transferred in and out will be the same.  </t>
    </r>
    <r>
      <rPr>
        <sz val="8"/>
        <rFont val="Arial"/>
        <family val="2"/>
      </rPr>
      <t>(Includes General fund, special revenue funds, capital projects, debt service, and permanent funds)</t>
    </r>
    <r>
      <rPr>
        <sz val="10"/>
        <rFont val="Arial"/>
        <family val="2"/>
      </rPr>
      <t>.</t>
    </r>
  </si>
  <si>
    <t>Consolidation, Elimination and Reclassification Entries</t>
  </si>
  <si>
    <t>L.1</t>
  </si>
  <si>
    <t>OFS - Transfers in</t>
  </si>
  <si>
    <t>OFU - Transfers out</t>
  </si>
  <si>
    <t>L.2</t>
  </si>
  <si>
    <t>L.3</t>
  </si>
  <si>
    <r>
      <t xml:space="preserve">   activity</t>
    </r>
    <r>
      <rPr>
        <sz val="10"/>
        <rFont val="Arial"/>
        <family val="2"/>
      </rPr>
      <t xml:space="preserve"> </t>
    </r>
  </si>
  <si>
    <t>E.1</t>
  </si>
  <si>
    <t>Calculated   -        Do not enter data into both tables !</t>
  </si>
  <si>
    <t>Expenditures for prior years</t>
  </si>
  <si>
    <t>Expenditures for this year</t>
  </si>
  <si>
    <t xml:space="preserve">   Accrued vacation/compensated absences</t>
  </si>
  <si>
    <t>Internal balances</t>
  </si>
  <si>
    <r>
      <t xml:space="preserve">   Investment Earnings - </t>
    </r>
    <r>
      <rPr>
        <sz val="8"/>
        <color indexed="10"/>
        <rFont val="Arial"/>
        <family val="2"/>
      </rPr>
      <t>General revenue</t>
    </r>
  </si>
  <si>
    <r>
      <t xml:space="preserve">Final entry for Conversion worksheet - [Entry K.1]  - </t>
    </r>
    <r>
      <rPr>
        <sz val="10"/>
        <rFont val="Arial"/>
        <family val="2"/>
      </rPr>
      <t>Posted to the Reclassification &amp; Elimination Column</t>
    </r>
  </si>
  <si>
    <t xml:space="preserve">    Economic &amp; physical development</t>
  </si>
  <si>
    <t>Permanent balance sheet accounts</t>
  </si>
  <si>
    <t>Review the governmental funds to determine the amount of interest paid under modified accrual. Also estimate the amount of accrued interest payable at the beginning of the year and for the end of the year under the full accrual basis of accounting.</t>
  </si>
  <si>
    <t>Calculated based on mark-up, e.g. if mark up is 10% then cost for revenue of $330 is $300.</t>
  </si>
  <si>
    <t xml:space="preserve">Adjustment to
Governmental
Activities  </t>
  </si>
  <si>
    <t>Adjustment to
Business-type
Activities</t>
  </si>
  <si>
    <t>Total Allocations</t>
  </si>
  <si>
    <t>Cash &amp; cash equivalents</t>
  </si>
  <si>
    <t>Vehicles</t>
  </si>
  <si>
    <t xml:space="preserve">   Buildings - Accum. Depreciation</t>
  </si>
  <si>
    <t xml:space="preserve">   Equipment - Accum. Depreciation</t>
  </si>
  <si>
    <t xml:space="preserve">   Vehicles - Accum. Depreciation</t>
  </si>
  <si>
    <t xml:space="preserve">   Accounts Payable</t>
  </si>
  <si>
    <t xml:space="preserve">   Charges for service - General government</t>
  </si>
  <si>
    <t xml:space="preserve">   Direct expenses - General government</t>
  </si>
  <si>
    <t>General government expenditures</t>
  </si>
  <si>
    <r>
      <t xml:space="preserve">What is the addition to the net OPEB obligation for the year for the Total Governmental Funds portion?   </t>
    </r>
    <r>
      <rPr>
        <sz val="8"/>
        <color indexed="10"/>
        <rFont val="Arial"/>
        <family val="2"/>
      </rPr>
      <t>Please refer to Memorandum #2010-1 for a journal entry overview.</t>
    </r>
  </si>
  <si>
    <t>Enter the dollar amount of revenues paid by each function to the internal service fund. The percentage of total internal charges will be automatically calculated. This will provide the information to determine the primary activity type. The activity which is the primary beneficiary will be the activity to which balance sheet accounts are recorded later in the entry.</t>
  </si>
  <si>
    <t>Improvements other than buildings</t>
  </si>
  <si>
    <t>Recording Depreciation Expense</t>
  </si>
  <si>
    <r>
      <t xml:space="preserve">The net pension obligation has always been calculated for the note disclosure if the unit had an actuarial study performed. If material, most units also recorded the amount in the General Long Term Debt account. The beginning balance was recorded earlier when the capital assets and long term debt accounts were recorded. The information to be recorded in Section C is the incremental change in the current year. If the pension obligation has been advance funded, please complete the questions on the Worksheet </t>
    </r>
    <r>
      <rPr>
        <sz val="11"/>
        <rFont val="Times New Roman"/>
        <family val="1"/>
      </rPr>
      <t>I</t>
    </r>
    <r>
      <rPr>
        <sz val="10"/>
        <rFont val="Arial"/>
        <family val="2"/>
      </rPr>
      <t xml:space="preserve"> and leave this section blank.</t>
    </r>
  </si>
  <si>
    <t xml:space="preserve">For other long term liabilities, the incremental changes will need to be recorded charging the expense to the corresponding function. For counties with landfills in the general fund who have a liability for post-closure cost, use the other liability accounts in Section E.  The function to be effected for the changes is the function in which the unit accounts for the landfill. </t>
  </si>
  <si>
    <r>
      <t xml:space="preserve">The other post-employment benefits (OPEB) may be calculated through an actuarial study or by calculations using the alternative method.  All units must record the amount in their General Long Term Debt account, if the benefits are offered. The information to be recorded here is the incremental change in the current year, based on beginning and ending computed liabilities.  If the OPEB obligation has been advance funded, please complete the questions on the Worksheet </t>
    </r>
    <r>
      <rPr>
        <sz val="11"/>
        <rFont val="Times New Roman"/>
        <family val="1"/>
      </rPr>
      <t>I</t>
    </r>
    <r>
      <rPr>
        <sz val="10"/>
        <rFont val="Arial"/>
        <family val="2"/>
      </rPr>
      <t xml:space="preserve"> and leave this section blank.</t>
    </r>
  </si>
  <si>
    <r>
      <t xml:space="preserve">If there is a </t>
    </r>
    <r>
      <rPr>
        <b/>
        <sz val="10"/>
        <rFont val="Arial"/>
        <family val="2"/>
      </rPr>
      <t>net loss</t>
    </r>
    <r>
      <rPr>
        <sz val="10"/>
        <rFont val="Arial"/>
        <family val="2"/>
      </rPr>
      <t xml:space="preserve">, is it an extraordinary loss or a program expense? (GASB definition for extraordinary loss can be found in the authoritative literature.) </t>
    </r>
    <r>
      <rPr>
        <b/>
        <sz val="10"/>
        <color indexed="10"/>
        <rFont val="Arial"/>
        <family val="2"/>
      </rPr>
      <t>Enter amount as negative number.</t>
    </r>
  </si>
  <si>
    <t xml:space="preserve">Total for 6a and 6b above </t>
  </si>
  <si>
    <t>--------------------     Asset  impairment Loss  Entry     --------------------</t>
  </si>
  <si>
    <r>
      <t xml:space="preserve">Special Assessments - No new asset on unit's books -  </t>
    </r>
    <r>
      <rPr>
        <b/>
        <sz val="9"/>
        <rFont val="Arial"/>
        <family val="2"/>
      </rPr>
      <t>(Miscellaneous revenue for Modified Accrual)
                                                                                                 (Program revenue - charge for service for Full Accrual)</t>
    </r>
  </si>
  <si>
    <t>Indicate to which function the new claims and judgments listed in step 2 apply. The sum of the amounts below must equal the amount in the corresponding step above. Indicate to which function the payment was charged in step 3. Indicate to which function any adjustments noted in step 4 should be recorded. Indicate any amounts that should be reported as special or extraordinary items.</t>
  </si>
  <si>
    <r>
      <t xml:space="preserve">Indicate the amount of </t>
    </r>
    <r>
      <rPr>
        <u/>
        <sz val="10"/>
        <rFont val="Arial"/>
        <family val="2"/>
      </rPr>
      <t>payments</t>
    </r>
    <r>
      <rPr>
        <sz val="10"/>
        <rFont val="Arial"/>
        <family val="2"/>
      </rPr>
      <t xml:space="preserve"> made on other long-term liabilities.</t>
    </r>
  </si>
  <si>
    <r>
      <t xml:space="preserve">OFS - Capital leases </t>
    </r>
    <r>
      <rPr>
        <sz val="8"/>
        <color indexed="10"/>
        <rFont val="Arial"/>
        <family val="2"/>
      </rPr>
      <t>(proceeds)</t>
    </r>
  </si>
  <si>
    <r>
      <t xml:space="preserve">OFS - Installment purchases/COPS </t>
    </r>
    <r>
      <rPr>
        <sz val="8"/>
        <color indexed="10"/>
        <rFont val="Arial"/>
        <family val="2"/>
      </rPr>
      <t>(proceeds)</t>
    </r>
  </si>
  <si>
    <r>
      <t xml:space="preserve">OFS - Premiums on debt issued </t>
    </r>
    <r>
      <rPr>
        <sz val="8"/>
        <color indexed="10"/>
        <rFont val="Arial"/>
        <family val="2"/>
      </rPr>
      <t>- other financing source</t>
    </r>
  </si>
  <si>
    <r>
      <t xml:space="preserve">Discounts on debt issued </t>
    </r>
    <r>
      <rPr>
        <sz val="8"/>
        <color indexed="10"/>
        <rFont val="Arial"/>
        <family val="2"/>
      </rPr>
      <t>- contra-liability</t>
    </r>
  </si>
  <si>
    <r>
      <t>OFU - Discount on debt issued -</t>
    </r>
    <r>
      <rPr>
        <sz val="8"/>
        <color indexed="10"/>
        <rFont val="Arial"/>
        <family val="2"/>
      </rPr>
      <t xml:space="preserve"> other financing use</t>
    </r>
  </si>
  <si>
    <r>
      <t>Review the governmental funds and record the information regarding bond refunding including the new debt, the old debt, the payment to the escrow agent,  and any issuance costs.</t>
    </r>
    <r>
      <rPr>
        <i/>
        <sz val="8"/>
        <rFont val="Arial"/>
        <family val="2"/>
      </rPr>
      <t xml:space="preserve"> </t>
    </r>
    <r>
      <rPr>
        <i/>
        <sz val="9"/>
        <rFont val="Arial"/>
        <family val="2"/>
      </rPr>
      <t>(If there were multiple refundings in the year, combine the numbers.)</t>
    </r>
  </si>
  <si>
    <r>
      <t>Unrestricted intergovernmental..</t>
    </r>
    <r>
      <rPr>
        <sz val="10"/>
        <color indexed="10"/>
        <rFont val="Arial"/>
        <family val="2"/>
      </rPr>
      <t>(</t>
    </r>
    <r>
      <rPr>
        <sz val="8"/>
        <color indexed="10"/>
        <rFont val="Arial"/>
        <family val="2"/>
      </rPr>
      <t>Typically general)</t>
    </r>
  </si>
  <si>
    <r>
      <t>Restricted intergovernmental…………...</t>
    </r>
    <r>
      <rPr>
        <sz val="8"/>
        <color indexed="10"/>
        <rFont val="Arial"/>
        <family val="2"/>
      </rPr>
      <t>(Program)</t>
    </r>
  </si>
  <si>
    <t>Contract retainage</t>
  </si>
  <si>
    <t>Accounts payable &amp; accrued liabilities</t>
  </si>
  <si>
    <t>Sample workbooks are available for Carolina County, City of Dogwood, and Carolina Board of Education. Refer to the proper workbook for your particular unit type. Please note that in some cases immaterial amounts have been used to demonstrate a transaction in the three examples above.  For your statements, determine materiality by the proper criteria and please do not be mislead by the small amounts in our examples.</t>
  </si>
  <si>
    <t>Accum. Depreciation - other asset class 1</t>
  </si>
  <si>
    <t>Accum. Depreciation - other asset class 2</t>
  </si>
  <si>
    <t>from Section A above</t>
  </si>
  <si>
    <t>from Section B above</t>
  </si>
  <si>
    <t>from the Conversion worksheet</t>
  </si>
  <si>
    <t>If proceeds received then treat transaction as a sale and enter in section A. above</t>
  </si>
  <si>
    <t>Donations of capital assets received by the unit:</t>
  </si>
  <si>
    <t>Capital assets received by the unit as donations:</t>
  </si>
  <si>
    <t>Internal balances *</t>
  </si>
  <si>
    <t>From fund Statement of Revenues, Expenses, and</t>
  </si>
  <si>
    <t>Review the governmental funds for expenditures made during the year for claims &amp; judgments. Enter the payment amounts in section B.1 below. Also, determine additions to claims &amp; judgments from management. Enter the amounts of the new liability by function in section B.2.</t>
  </si>
  <si>
    <r>
      <t>Compute the adjustment to the expenses in the functional categories by multiplying the proportionate participation percentage determined in Step A</t>
    </r>
    <r>
      <rPr>
        <b/>
        <i/>
        <sz val="10"/>
        <rFont val="Arial"/>
        <family val="2"/>
      </rPr>
      <t xml:space="preserve"> </t>
    </r>
    <r>
      <rPr>
        <b/>
        <sz val="10"/>
        <rFont val="Arial"/>
        <family val="2"/>
      </rPr>
      <t>by the amount of profit or loss to be allocated as calculated in Step D</t>
    </r>
    <r>
      <rPr>
        <b/>
        <i/>
        <sz val="10"/>
        <rFont val="Arial"/>
        <family val="2"/>
      </rPr>
      <t>.</t>
    </r>
  </si>
  <si>
    <t>What was discount on the new debt?</t>
  </si>
  <si>
    <t>What was the premium on the new debt?</t>
  </si>
  <si>
    <t>Payments to Escrow Agent:</t>
  </si>
  <si>
    <t>What is the face amount of the new debt issued?</t>
  </si>
  <si>
    <t>What is the current year annual amortization for discounts?</t>
  </si>
  <si>
    <t>What is the current year annual amortization for premiums?</t>
  </si>
  <si>
    <t>Bond issuance costs</t>
  </si>
  <si>
    <t>Advance refunding escrow</t>
  </si>
  <si>
    <r>
      <t xml:space="preserve">Cross-referencing has been used throughout the workbook to tie together relevant numbers and or comments to better clarify an entry. In each case we have used the following denotation </t>
    </r>
    <r>
      <rPr>
        <sz val="11"/>
        <rFont val="Wingdings 2"/>
        <family val="1"/>
        <charset val="2"/>
      </rPr>
      <t>j k l</t>
    </r>
    <r>
      <rPr>
        <sz val="10"/>
        <rFont val="Arial"/>
        <family val="2"/>
      </rPr>
      <t xml:space="preserve"> (circled numbers) which uses the font type "Wingdings2." If your computer does not support this font you may see Greek alphabetic characters or some other notation. We apologize for any confusion but notes and numbers will still cross-reference consistently by whatever character your computer displays.</t>
    </r>
  </si>
  <si>
    <t>Investment earnings*</t>
  </si>
  <si>
    <t xml:space="preserve">   Accrued vacation/Compensated absences</t>
  </si>
  <si>
    <t xml:space="preserve">   Claims and judgments</t>
  </si>
  <si>
    <t xml:space="preserve">   Bonds, notes and loans payable</t>
  </si>
  <si>
    <t xml:space="preserve">    Entries must net to zero.</t>
  </si>
  <si>
    <r>
      <t xml:space="preserve">Were there any </t>
    </r>
    <r>
      <rPr>
        <u/>
        <sz val="10"/>
        <rFont val="Arial"/>
        <family val="2"/>
      </rPr>
      <t>adjustments</t>
    </r>
    <r>
      <rPr>
        <sz val="10"/>
        <rFont val="Arial"/>
        <family val="2"/>
      </rPr>
      <t xml:space="preserve"> in the current year for prior year claims?  
</t>
    </r>
    <r>
      <rPr>
        <sz val="8"/>
        <color indexed="10"/>
        <rFont val="Arial"/>
        <family val="2"/>
      </rPr>
      <t>Please enter reductions as negative amounts and increases as positive amounts.</t>
    </r>
  </si>
  <si>
    <r>
      <t xml:space="preserve">Were there any </t>
    </r>
    <r>
      <rPr>
        <u/>
        <sz val="10"/>
        <rFont val="Arial"/>
        <family val="2"/>
      </rPr>
      <t>adjustments</t>
    </r>
    <r>
      <rPr>
        <sz val="10"/>
        <rFont val="Arial"/>
        <family val="2"/>
      </rPr>
      <t xml:space="preserve"> to these account balances during the year? </t>
    </r>
    <r>
      <rPr>
        <sz val="8"/>
        <color indexed="10"/>
        <rFont val="Arial"/>
        <family val="2"/>
      </rPr>
      <t xml:space="preserve"> Please enter reductions as negative amounts and increases as positive amounts.</t>
    </r>
  </si>
  <si>
    <t>A</t>
  </si>
  <si>
    <t>B</t>
  </si>
  <si>
    <t>C</t>
  </si>
  <si>
    <t>D</t>
  </si>
  <si>
    <t>E</t>
  </si>
  <si>
    <t>F</t>
  </si>
  <si>
    <t>G</t>
  </si>
  <si>
    <t>H</t>
  </si>
  <si>
    <t>I</t>
  </si>
  <si>
    <t>From Section Above</t>
  </si>
  <si>
    <t>General government - capital grants &amp; contributions</t>
  </si>
  <si>
    <t>l</t>
  </si>
  <si>
    <r>
      <t xml:space="preserve">In order to present the net cost per function in the Statement of Activities, any "doubling up" of expenditures or revenues must be eliminated. This occurs when administrative activities such as printing, data processing, accounting staff, etc. are accounted for in function/fund #1 and charged out or allocated to other functions or funds </t>
    </r>
    <r>
      <rPr>
        <u/>
        <sz val="10"/>
        <rFont val="Arial"/>
        <family val="2"/>
      </rPr>
      <t>where the payment for the service is treated as revenue in function #1.</t>
    </r>
    <r>
      <rPr>
        <sz val="10"/>
        <rFont val="Arial"/>
        <family val="2"/>
      </rPr>
      <t xml:space="preserve"> In this scenario, the expenditures are presented twice and the revenues are overstated for governmental activities. In this case, the costs should be presented in the functions that were charged and the revenue and expense in function/fund #1 must be eliminated. </t>
    </r>
    <r>
      <rPr>
        <b/>
        <sz val="10"/>
        <rFont val="Arial"/>
        <family val="2"/>
      </rPr>
      <t>IF THE PAYMENTS FROM THE USERS ARE TREATED AS A REIMBURSEMENT</t>
    </r>
    <r>
      <rPr>
        <sz val="10"/>
        <rFont val="Arial"/>
        <family val="2"/>
      </rPr>
      <t xml:space="preserve"> </t>
    </r>
    <r>
      <rPr>
        <b/>
        <sz val="10"/>
        <rFont val="Arial"/>
        <family val="2"/>
      </rPr>
      <t>(the expenditure in function/fund #1 is reduced by payment from the user function),  NO ADJUSTMENT IS NECESSARY.</t>
    </r>
    <r>
      <rPr>
        <sz val="10"/>
        <rFont val="Arial"/>
        <family val="2"/>
      </rPr>
      <t xml:space="preserve"> The entry created will reduce revenues and expenses in function/fund #1 for the expenditure amount allocated to other functions. Profits or losses are presumed to be immaterial in this entry. If material, any profit or loss must be allocated back to the functions using the service by a manual entry to the worksheet.</t>
    </r>
  </si>
  <si>
    <t>Capital assets, all governmental activities</t>
  </si>
  <si>
    <t>Gross Capital</t>
  </si>
  <si>
    <t>Net Capital Assets</t>
  </si>
  <si>
    <t>Accum.</t>
  </si>
  <si>
    <t xml:space="preserve">Net Capital </t>
  </si>
  <si>
    <t xml:space="preserve">  Unmerited liabilities related to debt</t>
  </si>
  <si>
    <t xml:space="preserve">  Unmerited assets related to debt</t>
  </si>
  <si>
    <t>K.1-3</t>
  </si>
  <si>
    <t>Other enterprise #1</t>
  </si>
  <si>
    <t>Other enterprise #2</t>
  </si>
  <si>
    <t>There may be instances in the individual worksheets where negative debits or credits are generated in an entry and we did not create formulas to reclassify as a positive number. If this occurs do not be alarmed, it will be corrected in the final columns of the Conversion Worksheet.</t>
  </si>
  <si>
    <r>
      <t xml:space="preserve">Debt Issues: </t>
    </r>
    <r>
      <rPr>
        <sz val="10"/>
        <rFont val="Arial"/>
        <family val="2"/>
      </rPr>
      <t>addresses all other debt transactions including new debt issues, refunding, and amortization.</t>
    </r>
  </si>
  <si>
    <r>
      <t xml:space="preserve">Other Asset Entries: </t>
    </r>
    <r>
      <rPr>
        <sz val="10"/>
        <rFont val="Arial"/>
        <family val="2"/>
      </rPr>
      <t>addresses the asset accounts, equity interest in joint venture, prepaid expenses, inventory, and advance funding of pensions.</t>
    </r>
  </si>
  <si>
    <r>
      <t xml:space="preserve">Most of the workbook is protected to prevent accidental changes in formulas and the mapping of cells.  The </t>
    </r>
    <r>
      <rPr>
        <b/>
        <sz val="10"/>
        <rFont val="Arial"/>
        <family val="2"/>
      </rPr>
      <t xml:space="preserve">password </t>
    </r>
    <r>
      <rPr>
        <sz val="10"/>
        <rFont val="Arial"/>
        <family val="2"/>
      </rPr>
      <t>to unlock the workbook is</t>
    </r>
    <r>
      <rPr>
        <b/>
        <sz val="10"/>
        <rFont val="Arial"/>
        <family val="2"/>
      </rPr>
      <t xml:space="preserve"> gasb34</t>
    </r>
    <r>
      <rPr>
        <sz val="10"/>
        <rFont val="Arial"/>
        <family val="2"/>
      </rPr>
      <t xml:space="preserve"> (must be entered in lower case, no spaces).  Only users with advanced Excel skills should attempt to change the workbook by releasing the protection.</t>
    </r>
  </si>
  <si>
    <t>The entry is automatically generated from all the data provided and mapped to the Reclassifications and Eliminations column of the Conversion Worksheet as entry K.1-3. Additional worksheets are provided for other internal service funds and their entries are mapped together such that K.1 + K.2 + K.3 results in the final K.1-3 entry. Please note that if rounding causes a slight inaccuracy, adjustments can be made.</t>
  </si>
  <si>
    <r>
      <t xml:space="preserve">From the financial records, indicate the appropriate program classification to which the revenue should be reclassified.
</t>
    </r>
    <r>
      <rPr>
        <sz val="10"/>
        <rFont val="Arial"/>
        <family val="2"/>
      </rPr>
      <t>The total of Section B must agree to the total of Section A above.</t>
    </r>
  </si>
  <si>
    <t>Assets</t>
  </si>
  <si>
    <t>Liabilities</t>
  </si>
  <si>
    <t>Unamortized assets related to capital debt</t>
  </si>
  <si>
    <t xml:space="preserve">    Unamortized liabilities related to capital debt</t>
  </si>
  <si>
    <t>Intangible Asset - Advance Funding of Pension - (net negative pension obligation. -  Net pension liability found on Worksheet J.)</t>
  </si>
  <si>
    <t>Public safety expenditures</t>
  </si>
  <si>
    <t>Transportation expenditures</t>
  </si>
  <si>
    <r>
      <t xml:space="preserve">Enter the cost by function for the increment above, e.g. for Retirees Healthcare. If plans exist covering employees then their respective function should be charged. The total for the detail in step 3 must equal the amount in step 2. </t>
    </r>
    <r>
      <rPr>
        <sz val="8"/>
        <color indexed="10"/>
        <rFont val="Arial"/>
        <family val="2"/>
      </rPr>
      <t>(If the change above is negative, the sum of step 3 should also be negative.)</t>
    </r>
  </si>
  <si>
    <t>Environmental protection expenditures</t>
  </si>
  <si>
    <r>
      <t>The information collected in this worksheet and presented in the gold colored cells will provide the specific information that must be input into Worksheet L. Section</t>
    </r>
    <r>
      <rPr>
        <sz val="10"/>
        <rFont val="Times New Roman"/>
        <family val="1"/>
      </rPr>
      <t xml:space="preserve"> </t>
    </r>
    <r>
      <rPr>
        <sz val="10"/>
        <rFont val="Arial"/>
        <family val="2"/>
      </rPr>
      <t>J</t>
    </r>
    <r>
      <rPr>
        <sz val="10"/>
        <rFont val="Arial"/>
        <family val="2"/>
      </rPr>
      <t>. Entering these final numbers into worksheet L should complete the conversion process.</t>
    </r>
  </si>
  <si>
    <t>Donations of assets and transfers in from an enterprise or internal service fund reported as business-type activity, are not recorded in the fund statements; however, this data would have been picked up previously in the capital asset note under additions. For reporting on the government-wide statements, the donations must be reflected as revenue and as an increase to the specific asset account. The revenue amount will be reflected in "miscellaneous general revenues" or as a special item if appropriate. The transfers in of capital assets from business type activities must be reported as transfers.  Enter amounts in section D.</t>
  </si>
  <si>
    <r>
      <t>Sales that qualify as a "special item" for statement presentation:</t>
    </r>
    <r>
      <rPr>
        <sz val="10"/>
        <color indexed="10"/>
        <rFont val="Arial"/>
        <family val="2"/>
      </rPr>
      <t>*</t>
    </r>
  </si>
  <si>
    <t>Asset Impariment Loss - continued</t>
  </si>
  <si>
    <t>Total of F.1, F.2, F.3 and F.4</t>
  </si>
  <si>
    <r>
      <t xml:space="preserve">What is the net book values of any assets </t>
    </r>
    <r>
      <rPr>
        <b/>
        <sz val="10"/>
        <rFont val="Arial"/>
        <family val="2"/>
      </rPr>
      <t xml:space="preserve">donated from or transferred in </t>
    </r>
    <r>
      <rPr>
        <sz val="10"/>
        <rFont val="Arial"/>
        <family val="2"/>
      </rPr>
      <t>from</t>
    </r>
    <r>
      <rPr>
        <sz val="10"/>
        <rFont val="Arial"/>
        <family val="2"/>
      </rPr>
      <t xml:space="preserve"> the Enterprise Funds or an Internal Service Fund accounted for in Business-type activities included in the amount above?</t>
    </r>
  </si>
  <si>
    <t>Indicate any amounts from above that would qualify as a special item.</t>
  </si>
  <si>
    <r>
      <t>Of any assets donated above, what is the net book value (</t>
    </r>
    <r>
      <rPr>
        <i/>
        <sz val="10"/>
        <rFont val="Arial"/>
        <family val="2"/>
      </rPr>
      <t>cost less total accum. deprec. for all asset classes</t>
    </r>
    <r>
      <rPr>
        <sz val="10"/>
        <rFont val="Arial"/>
        <family val="2"/>
      </rPr>
      <t xml:space="preserve">) of any assets </t>
    </r>
    <r>
      <rPr>
        <b/>
        <sz val="10"/>
        <rFont val="Arial"/>
        <family val="2"/>
      </rPr>
      <t>donated to</t>
    </r>
    <r>
      <rPr>
        <sz val="10"/>
        <rFont val="Arial"/>
        <family val="2"/>
      </rPr>
      <t xml:space="preserve"> the Enterprise Funds or an Internal Service Fund reported in business-type activities?</t>
    </r>
  </si>
  <si>
    <r>
      <t xml:space="preserve">Property taxes:  </t>
    </r>
    <r>
      <rPr>
        <sz val="10"/>
        <rFont val="Arial"/>
        <family val="2"/>
      </rPr>
      <t>addresses the prior year and current year revenue recognition for ad valorem taxes.</t>
    </r>
  </si>
  <si>
    <r>
      <t xml:space="preserve">Other revenues: </t>
    </r>
    <r>
      <rPr>
        <sz val="10"/>
        <rFont val="Arial"/>
        <family val="2"/>
      </rPr>
      <t>addresses the prior year and current year revenue recognition for all other revenue.</t>
    </r>
  </si>
  <si>
    <r>
      <t xml:space="preserve">Depreciation: </t>
    </r>
    <r>
      <rPr>
        <sz val="10"/>
        <rFont val="Arial"/>
        <family val="2"/>
      </rPr>
      <t>records depreciation expense for all asset classes by program/function and records unallocated amounts.</t>
    </r>
  </si>
  <si>
    <r>
      <t xml:space="preserve">Capital Outlay: </t>
    </r>
    <r>
      <rPr>
        <sz val="10"/>
        <rFont val="Arial"/>
        <family val="2"/>
      </rPr>
      <t>converts capital outlay expenditures for items above the capitalization threshold to the proper asset class and reduces respective program/function expenditures.</t>
    </r>
  </si>
  <si>
    <r>
      <t xml:space="preserve">Debt Service: </t>
    </r>
    <r>
      <rPr>
        <sz val="10"/>
        <rFont val="Arial"/>
        <family val="2"/>
      </rPr>
      <t>converts debt service expenditures to the proper reductions in liability accounts.</t>
    </r>
  </si>
  <si>
    <t xml:space="preserve">Expenditures recorded under the modified accrual basis of accounting for the purchase or construction of capital assets must be reported as additions to capital assets under the full accrual basis of accounting on the government-wide statements. The capital assets acquired in these transactions will be added to the amounts previously recorded when the Capital Assets were entered on the conversion worksheet. Note that all expenditures for capital assets may not have been coded as capital outlay so a careful review of expenditures is needed to find all transactions related to capital assets such as expenditures for land or infrastructure coded as street improvements. </t>
  </si>
  <si>
    <r>
      <t xml:space="preserve">What was the amount of new debt issued by category for all governmental funds?  </t>
    </r>
    <r>
      <rPr>
        <b/>
        <sz val="10"/>
        <color indexed="10"/>
        <rFont val="Arial"/>
        <family val="2"/>
      </rPr>
      <t>(Exclude refunding bonds.)</t>
    </r>
  </si>
  <si>
    <r>
      <t xml:space="preserve">The Predominant Activity Type is 
(business or governmental):  --  </t>
    </r>
    <r>
      <rPr>
        <sz val="8"/>
        <color indexed="10"/>
        <rFont val="Arial"/>
        <family val="2"/>
      </rPr>
      <t xml:space="preserve">automatic calculation   </t>
    </r>
  </si>
  <si>
    <t>Must be manually posted to business type worksheet elsewhere on the website.</t>
  </si>
  <si>
    <t>Public safety</t>
  </si>
  <si>
    <t>General government</t>
  </si>
  <si>
    <t xml:space="preserve">Environmental protection </t>
  </si>
  <si>
    <t>m</t>
  </si>
  <si>
    <t>Net Pension Obligation</t>
  </si>
  <si>
    <t>A.1</t>
  </si>
  <si>
    <t>A.2</t>
  </si>
  <si>
    <t>B.1</t>
  </si>
  <si>
    <t>B.2</t>
  </si>
  <si>
    <t>C.1</t>
  </si>
  <si>
    <t>D.1</t>
  </si>
  <si>
    <t>Special item - revenue</t>
  </si>
  <si>
    <t>Notes 1 &amp; 2  ---  Data is entered</t>
  </si>
  <si>
    <t>Note 4 -- Entry A.1  from</t>
  </si>
  <si>
    <t>Special item - expenditure</t>
  </si>
  <si>
    <t>Total of new debt</t>
  </si>
  <si>
    <t>Claims and judgments</t>
  </si>
  <si>
    <t>Debt Service -principal retirement</t>
  </si>
  <si>
    <t>Installment purchases/COPs</t>
  </si>
  <si>
    <t>Adjustments to Other Asset Accounts</t>
  </si>
  <si>
    <t xml:space="preserve">Beginning </t>
  </si>
  <si>
    <t>Balance</t>
  </si>
  <si>
    <t>Current year</t>
  </si>
  <si>
    <t>Earned</t>
  </si>
  <si>
    <t>Used</t>
  </si>
  <si>
    <t xml:space="preserve">Ending </t>
  </si>
  <si>
    <t xml:space="preserve">Transportation </t>
  </si>
  <si>
    <t>Restricted cash</t>
  </si>
  <si>
    <t>Taxes receivable</t>
  </si>
  <si>
    <t>Accounts receivable</t>
  </si>
  <si>
    <t>Due from other funds</t>
  </si>
  <si>
    <t>Due from other governments</t>
  </si>
  <si>
    <t>Due from component unit</t>
  </si>
  <si>
    <t>Inventories</t>
  </si>
  <si>
    <t>Prepaid items</t>
  </si>
  <si>
    <t>Due to other funds</t>
  </si>
  <si>
    <t>Customer deposits</t>
  </si>
  <si>
    <t>Due to primary government</t>
  </si>
  <si>
    <t>Intergovernmental payable</t>
  </si>
  <si>
    <t>General obligation bonds</t>
  </si>
  <si>
    <t>8.</t>
  </si>
  <si>
    <r>
      <t xml:space="preserve">General Government </t>
    </r>
    <r>
      <rPr>
        <sz val="8"/>
        <color indexed="10"/>
        <rFont val="Arial"/>
        <family val="2"/>
      </rPr>
      <t>- expense</t>
    </r>
  </si>
  <si>
    <t>Debt service - interest and fees</t>
  </si>
  <si>
    <t>Other Misc Entries</t>
  </si>
  <si>
    <t>What was the amount of the Reserve for Prepaid Expenses at the end of the prior year?</t>
  </si>
  <si>
    <t>What was the amount of Reserve for Prepaid Expenses at the end of the current year?</t>
  </si>
  <si>
    <t>Change in reserve for prepaid expenses</t>
  </si>
  <si>
    <t>Change in reserve for inventories</t>
  </si>
  <si>
    <t xml:space="preserve">What expenditures classified as "capital outlay" were spent for assets where the city does not hold title to the asset, (e.g. economic development project)? </t>
  </si>
  <si>
    <r>
      <t xml:space="preserve">WORK SECTION - </t>
    </r>
    <r>
      <rPr>
        <sz val="11"/>
        <rFont val="Arial"/>
        <family val="2"/>
      </rPr>
      <t>Entries for each step above</t>
    </r>
    <r>
      <rPr>
        <b/>
        <sz val="11"/>
        <rFont val="Arial"/>
        <family val="2"/>
      </rPr>
      <t>.</t>
    </r>
  </si>
  <si>
    <t>General government - charge for service</t>
  </si>
  <si>
    <t>Public Safety - charge for service</t>
  </si>
  <si>
    <t>Transportation - charge for service</t>
  </si>
  <si>
    <t>Economic &amp; physical development - charge for service</t>
  </si>
  <si>
    <t>Environmental protection - charge for service</t>
  </si>
  <si>
    <t>Cultural and recreation - charge for service</t>
  </si>
  <si>
    <t>j</t>
  </si>
  <si>
    <t>k</t>
  </si>
  <si>
    <t>Public Safety - capital grants &amp; contributions</t>
  </si>
  <si>
    <t>Transportation - capital grants and contributions</t>
  </si>
  <si>
    <t xml:space="preserve">Enter the amount of the new levy in the function below where the proceeds will be/have been expended. The sum below must equal the amount in step 2. </t>
  </si>
  <si>
    <t xml:space="preserve">   </t>
  </si>
  <si>
    <t>d.</t>
  </si>
  <si>
    <t>Building</t>
  </si>
  <si>
    <t>Improvement</t>
  </si>
  <si>
    <t>Vehicles +</t>
  </si>
  <si>
    <t>Mot. Equip</t>
  </si>
  <si>
    <t>Miscellaneous Revenue</t>
  </si>
  <si>
    <t>Net book value of capital assets sold</t>
  </si>
  <si>
    <t>Indicate by amount the appropriate full accrual revenue classification. The sum of amounts in step 3 must equal the amount in step 2.</t>
  </si>
  <si>
    <t>Sales and services</t>
  </si>
  <si>
    <t>* In this scenario the governmental activities, as primary beneficiary, will have a balance payable to the business type activity of $304 which will be posted to the internal balance account to avoid an elimination entry later.</t>
  </si>
  <si>
    <r>
      <t xml:space="preserve">What was the prior year internal balance entry for the internal service fund allocation for governmental type activity? </t>
    </r>
    <r>
      <rPr>
        <sz val="8"/>
        <color indexed="10"/>
        <rFont val="Arial"/>
        <family val="2"/>
      </rPr>
      <t>Indicate sign - this amount will be negative if government activities owe (have a balance payable to) business type activities, and positive if government type activities have a balance receivable from business type activities.</t>
    </r>
  </si>
  <si>
    <r>
      <t xml:space="preserve"> If the</t>
    </r>
    <r>
      <rPr>
        <b/>
        <sz val="9"/>
        <color indexed="10"/>
        <rFont val="Arial"/>
        <family val="2"/>
      </rPr>
      <t xml:space="preserve"> predominant activity is business type</t>
    </r>
    <r>
      <rPr>
        <sz val="9"/>
        <color indexed="10"/>
        <rFont val="Arial"/>
        <family val="2"/>
      </rPr>
      <t xml:space="preserve">, please copy your numbers into the business type activities worksheet contained in the conversion worksheet for business type activities and </t>
    </r>
    <r>
      <rPr>
        <u/>
        <sz val="9"/>
        <color indexed="10"/>
        <rFont val="Arial"/>
        <family val="2"/>
      </rPr>
      <t>delete</t>
    </r>
    <r>
      <rPr>
        <sz val="9"/>
        <color indexed="10"/>
        <rFont val="Arial"/>
        <family val="2"/>
      </rPr>
      <t xml:space="preserve"> them here. </t>
    </r>
  </si>
  <si>
    <t xml:space="preserve">OFS - Transfers in </t>
  </si>
  <si>
    <r>
      <t xml:space="preserve">OFS - Installment purchase/COPS </t>
    </r>
    <r>
      <rPr>
        <sz val="8"/>
        <color indexed="10"/>
        <rFont val="Arial"/>
        <family val="2"/>
      </rPr>
      <t>(proceeds)</t>
    </r>
  </si>
  <si>
    <r>
      <t xml:space="preserve">OFS - Bonds issued </t>
    </r>
    <r>
      <rPr>
        <sz val="8"/>
        <color indexed="10"/>
        <rFont val="Arial"/>
        <family val="2"/>
      </rPr>
      <t>(proceeds)</t>
    </r>
  </si>
  <si>
    <t xml:space="preserve">OFS - Premiums on debt issued </t>
  </si>
  <si>
    <t>OFU - Discounts on debt issued</t>
  </si>
  <si>
    <t>OFU - Payments to escrow agent</t>
  </si>
  <si>
    <t>This workbook is mapped using cell references.  Any addition of columns and/or rows could alter the formulas and corrupt the data.  There are columns and rows placed in the program in areas where we felt that you may need to add additional text and data. Using these columns and rows will help prevent the altering of formulas and cell references. In most cases they are named "other" funds or "other" accounts, etc. They should be obvious.</t>
  </si>
  <si>
    <r>
      <t xml:space="preserve">Enter net book value of traded asset calculated above into the cell for the asset class for the newly acquired asset?  </t>
    </r>
    <r>
      <rPr>
        <sz val="10"/>
        <color indexed="10"/>
        <rFont val="Arial"/>
        <family val="2"/>
      </rPr>
      <t>(</t>
    </r>
    <r>
      <rPr>
        <i/>
        <sz val="10"/>
        <color indexed="10"/>
        <rFont val="Arial"/>
        <family val="2"/>
      </rPr>
      <t>typically it will be the same asset class as the old asset but it may be a different class.)</t>
    </r>
    <r>
      <rPr>
        <i/>
        <sz val="10"/>
        <rFont val="Arial"/>
        <family val="2"/>
      </rPr>
      <t xml:space="preserve"> </t>
    </r>
  </si>
  <si>
    <t xml:space="preserve">What is the amount of installment purchases/COPs payable that will be due and payable within one year? </t>
  </si>
  <si>
    <t>Determine the proportionate participation of each function by matching the charge for service with the functional category and determine which activity primarily benefits from the internal service fund - governmental or business type in Step A. If business type activity is determined as the primary beneficiary, please delete data from this form and enter it in the business type worksheet provided on the website.</t>
  </si>
  <si>
    <r>
      <t xml:space="preserve">The following entries will be done in two stages. The first journal entry will reverse the beginning of year entry and restate fund balance. The second entry will reverse the ending balance and recognize revenue on the full accrual basis. </t>
    </r>
    <r>
      <rPr>
        <b/>
        <sz val="10"/>
        <rFont val="Arial"/>
        <family val="2"/>
      </rPr>
      <t>It is posted only to the conversion worksheet, not to the general ledger or accounting system.</t>
    </r>
    <r>
      <rPr>
        <sz val="10"/>
        <rFont val="Arial"/>
        <family val="2"/>
      </rPr>
      <t xml:space="preserve"> Unearned revenue for prepaid taxes at year end will not be adjusted.</t>
    </r>
  </si>
  <si>
    <t>L.4</t>
  </si>
  <si>
    <t>L.5</t>
  </si>
  <si>
    <t xml:space="preserve">Transportation - charge for service </t>
  </si>
  <si>
    <t>L.6</t>
  </si>
  <si>
    <t>Compensated absences - current</t>
  </si>
  <si>
    <t>L.7</t>
  </si>
  <si>
    <t>Capital related</t>
  </si>
  <si>
    <t>Operating</t>
  </si>
  <si>
    <t>What was the amount of the pension obligation at the end of the year. If multiple benefit plans are involved enter the sum of all plans.</t>
  </si>
  <si>
    <t>Change in pension obligation during the year</t>
  </si>
  <si>
    <t>Net change in value over the year</t>
  </si>
  <si>
    <t>Transfers in</t>
  </si>
  <si>
    <t>Transfers out</t>
  </si>
  <si>
    <t>Review the different revenue accounts - any amounts earned but not available under modified accrual should be adjusted if not previously covered in this worksheet or in the Property Taxes Revenue worksheet ( Worksheet B.) Any amount not earned at year end would not be adjusted.</t>
  </si>
  <si>
    <t>What are the accrued investment earnings at the end of the current year?</t>
  </si>
  <si>
    <t>Reclassifies material losses on sale of cap. assets as expense of Gen. Govt. or records as special exp item</t>
  </si>
  <si>
    <r>
      <t xml:space="preserve">Controlled Substance Abuse Tax  </t>
    </r>
    <r>
      <rPr>
        <b/>
        <sz val="9"/>
        <rFont val="Arial"/>
        <family val="2"/>
      </rPr>
      <t>(Restricted governmental for Modified Accrual  --  Public Safety - operating for Full Accrual)</t>
    </r>
  </si>
  <si>
    <r>
      <t xml:space="preserve">Telecommunications Tax  </t>
    </r>
    <r>
      <rPr>
        <b/>
        <sz val="9"/>
        <rFont val="Arial"/>
        <family val="2"/>
      </rPr>
      <t>(Unrestricted governmental for Modified Accrual  --  Unrestricted - General for Full Accrual)</t>
    </r>
  </si>
  <si>
    <t>Other program 1 - Operating grants and contributions</t>
  </si>
  <si>
    <t>Other program 1 - Capital grants and contributions</t>
  </si>
  <si>
    <t>* Interest is typically a general revenue but if earned on investments legally restricted for a specific program it will follow the initial revenue source as in this capital grant.</t>
  </si>
  <si>
    <t>Taxes - ad valorem*</t>
  </si>
  <si>
    <t>Taxes - Ad valorem*</t>
  </si>
  <si>
    <t xml:space="preserve">Work Section to compile numbers for entry in Section E - </t>
  </si>
  <si>
    <r>
      <t xml:space="preserve">Sale of assets:          </t>
    </r>
    <r>
      <rPr>
        <b/>
        <sz val="10"/>
        <color indexed="17"/>
        <rFont val="Arial"/>
        <family val="2"/>
      </rPr>
      <t/>
    </r>
  </si>
  <si>
    <t>Adjust Other Revenues From Modified Accrual to Full Accrual</t>
  </si>
  <si>
    <t>F.</t>
  </si>
  <si>
    <t>G.</t>
  </si>
  <si>
    <t>Other taxes and licenses</t>
  </si>
  <si>
    <t>Intergovernmental - restricted</t>
  </si>
  <si>
    <t>Intergovernmental - unrestricted</t>
  </si>
  <si>
    <t>Other revenue 1</t>
  </si>
  <si>
    <t>There are asset accounts that may not be recorded on the fund statements which will be required to be reported in the government-wide financial statements. These assets include such items as equity interests in joint ventures, advance funding of pension costs, and prepaid expenses and inventory when the purchases method is used. If the consumption method was used, no entry is required, but if the purchases method was used an adjustment must be made if the amount is material. If inventories or prepaid expenses are not recorded in the fund financial statements because they are not material, they are assumed not to be material to the government-wide statements. The results will be need to be posted to the unit's permanent accounts to properly reflect next year's beginning balances.</t>
  </si>
  <si>
    <r>
      <t xml:space="preserve">The amounts recorded are the ending balances from the prior year (this year's beginning balances) plus any reductions resulting from changes in capitalization threshold. </t>
    </r>
    <r>
      <rPr>
        <b/>
        <sz val="10"/>
        <rFont val="Arial"/>
        <family val="2"/>
      </rPr>
      <t>Current year activity will be recorded in a later step.</t>
    </r>
  </si>
  <si>
    <t>Under the full accrual basis of accounting, accrued interest on uncollected taxes should be recognized as revenue after adjusting for uncollectible amounts. It may be necessary to estimate the amount of that receivable. Penalties that are known at year-end should already be recorded in taxes receivable. Penalties related to discoveries should be recorded when the discovery occurs.</t>
  </si>
  <si>
    <r>
      <t xml:space="preserve">Compensated Absences - What are current and prior year expenses under full accrual?   </t>
    </r>
    <r>
      <rPr>
        <b/>
        <sz val="10"/>
        <color indexed="10"/>
        <rFont val="Arial"/>
        <family val="2"/>
      </rPr>
      <t xml:space="preserve">(Choose Method 1 </t>
    </r>
    <r>
      <rPr>
        <b/>
        <u/>
        <sz val="10"/>
        <color indexed="10"/>
        <rFont val="Arial"/>
        <family val="2"/>
      </rPr>
      <t>or</t>
    </r>
    <r>
      <rPr>
        <b/>
        <sz val="10"/>
        <color indexed="10"/>
        <rFont val="Arial"/>
        <family val="2"/>
      </rPr>
      <t xml:space="preserve">  2)</t>
    </r>
  </si>
  <si>
    <t>Public Safety - operating grants &amp; contributions</t>
  </si>
  <si>
    <t>Installment purchases/COPS</t>
  </si>
  <si>
    <t>H.1</t>
  </si>
  <si>
    <t>OFS - Sale of capital assets</t>
  </si>
  <si>
    <t>Deferred Charges - refunding</t>
  </si>
  <si>
    <t>Change in reserve for prepaid expense</t>
  </si>
  <si>
    <t>Change in reserve for inventory</t>
  </si>
  <si>
    <t>Change in Reserve for prepaid expense</t>
  </si>
  <si>
    <t>Other L.T. Liability 2</t>
  </si>
  <si>
    <t>Other L.T. Liability 1</t>
  </si>
  <si>
    <r>
      <t xml:space="preserve">Entry for Conversion worksheet to record changes in assets.  (Entry </t>
    </r>
    <r>
      <rPr>
        <b/>
        <sz val="10"/>
        <rFont val="Times New Roman"/>
        <family val="1"/>
      </rPr>
      <t>I.1</t>
    </r>
    <r>
      <rPr>
        <b/>
        <sz val="10"/>
        <rFont val="Arial"/>
        <family val="2"/>
      </rPr>
      <t>)</t>
    </r>
  </si>
  <si>
    <t>Investments</t>
  </si>
  <si>
    <t>Complete section B of the worksheet indicating the functional and categorical reclassifications of the amounts in Section A., then the entry required for the Conversion worksheet will be created in Section C.  Any items that qualify for the definitions of special items or extraordinary items should be reported separately in order to be properly reported on the Statement of Activities. See definitions in the comment fields - place cursor over the field with a red triangle in the corner.</t>
  </si>
  <si>
    <t>Indicate to which function the net change in inventory reserve apply. The sum of the amounts below must equal the amount in the net change field above.</t>
  </si>
  <si>
    <t>Purchases method</t>
  </si>
  <si>
    <t>Change in reserve for Inventory</t>
  </si>
  <si>
    <t>Indicate insurance recovery amount if received in this fiscal year?</t>
  </si>
  <si>
    <t>What was the payment to the escrow agent to defease old debt?</t>
  </si>
  <si>
    <r>
      <t xml:space="preserve">Other Liability &amp; Expenses: </t>
    </r>
    <r>
      <rPr>
        <sz val="10"/>
        <rFont val="Arial"/>
        <family val="2"/>
      </rPr>
      <t>addresses compensated absences, claims &amp; judgments, net pension obligation, net OPEB liability and other long-term liabilities.</t>
    </r>
  </si>
  <si>
    <r>
      <t xml:space="preserve">What was the balance at the end of the </t>
    </r>
    <r>
      <rPr>
        <u/>
        <sz val="10"/>
        <rFont val="Arial"/>
        <family val="2"/>
      </rPr>
      <t>prior year</t>
    </r>
    <r>
      <rPr>
        <sz val="10"/>
        <rFont val="Arial"/>
        <family val="2"/>
      </rPr>
      <t xml:space="preserve"> for other long-term liabilities?</t>
    </r>
  </si>
  <si>
    <t>General Instructions for Use</t>
  </si>
  <si>
    <t>K.</t>
  </si>
  <si>
    <t>L.</t>
  </si>
  <si>
    <t>M.</t>
  </si>
  <si>
    <r>
      <t>Specific Instructions</t>
    </r>
    <r>
      <rPr>
        <sz val="10"/>
        <rFont val="Arial"/>
        <family val="2"/>
      </rPr>
      <t xml:space="preserve"> - </t>
    </r>
    <r>
      <rPr>
        <sz val="9"/>
        <rFont val="Arial"/>
        <family val="2"/>
      </rPr>
      <t>continued</t>
    </r>
  </si>
  <si>
    <t xml:space="preserve">Deferred Charges - refunding </t>
  </si>
  <si>
    <t>Premium - GO Bonds</t>
  </si>
  <si>
    <t>J.1</t>
  </si>
  <si>
    <t xml:space="preserve">   Notes and loans payable</t>
  </si>
  <si>
    <t>Notes and loans payable</t>
  </si>
  <si>
    <r>
      <t xml:space="preserve">   Fund balance - </t>
    </r>
    <r>
      <rPr>
        <sz val="8"/>
        <color indexed="10"/>
        <rFont val="Arial"/>
        <family val="2"/>
      </rPr>
      <t>Beginning balance</t>
    </r>
  </si>
  <si>
    <t xml:space="preserve">   Interest and fees </t>
  </si>
  <si>
    <t>What is the amount of interfund receivables and payables between governmental funds in the "advances to/from" account?  This is the amount only between governmental funds. Do not include any advances to/from between governmental and enterprise funds.</t>
  </si>
  <si>
    <t>Economic &amp; physical development-capital grts &amp; cont.</t>
  </si>
  <si>
    <t>Environmental protection-capital grants &amp; contributions</t>
  </si>
  <si>
    <t>Cultural and recreation-capital grants &amp; contributions</t>
  </si>
  <si>
    <t>Other program 1-capital grants &amp; contributions</t>
  </si>
  <si>
    <t>lines to which entries are posted.</t>
  </si>
  <si>
    <t>A.</t>
  </si>
  <si>
    <t>B.</t>
  </si>
  <si>
    <t>4.</t>
  </si>
  <si>
    <t>5.</t>
  </si>
  <si>
    <t xml:space="preserve">Unearned revenue  </t>
  </si>
  <si>
    <t>Transportation - Capital grants and contributions</t>
  </si>
  <si>
    <t>Environmental protection - Charges for services</t>
  </si>
  <si>
    <t>Environmental protection - Operating grants and contributions</t>
  </si>
  <si>
    <r>
      <t xml:space="preserve">What is the amount of payables -"due to other funds" due to the business type activities from the governmental activities? </t>
    </r>
    <r>
      <rPr>
        <sz val="8"/>
        <color indexed="10"/>
        <rFont val="Arial"/>
        <family val="2"/>
      </rPr>
      <t>Follow the directions in step 1 above - entering the number from the Conversion worksheet - exclude fiduciary funds portion.</t>
    </r>
  </si>
  <si>
    <t>From the financial records, determine the amount in the following categories that must be reclassified to functional revenues, special or extraordinary items.  Also, include any items that were special or extraordinary items at the fund level that will be general revenues in the government-wide statements.</t>
  </si>
  <si>
    <t xml:space="preserve">Any expenditures during the year on completed projects at year end should be recorded in the appropriate category rather than in construction in progress. </t>
  </si>
  <si>
    <t>Enter the  function which paid the amount above. For the amount for the Law Enforcement Officer's Separation Allowance, the  Public Safety function would have made the overpayment. If multiple functions contribute to other plans, the overpayment may be prorated based on total payments. The sum of these amounts must equal the  amount in the change in pension obligation field above.</t>
  </si>
  <si>
    <r>
      <t xml:space="preserve">Indicate the amount of </t>
    </r>
    <r>
      <rPr>
        <u/>
        <sz val="10"/>
        <rFont val="Arial"/>
        <family val="2"/>
      </rPr>
      <t>payments</t>
    </r>
    <r>
      <rPr>
        <sz val="10"/>
        <rFont val="Arial"/>
        <family val="2"/>
      </rPr>
      <t xml:space="preserve"> made on claims &amp; judgments during current year.</t>
    </r>
  </si>
  <si>
    <r>
      <t xml:space="preserve">Ending balance for claims &amp; judgments for the current year. </t>
    </r>
    <r>
      <rPr>
        <sz val="8"/>
        <color indexed="10"/>
        <rFont val="Arial"/>
        <family val="2"/>
      </rPr>
      <t>- calculated</t>
    </r>
  </si>
  <si>
    <r>
      <t xml:space="preserve">General Government </t>
    </r>
    <r>
      <rPr>
        <sz val="8"/>
        <color indexed="10"/>
        <rFont val="Arial"/>
        <family val="2"/>
      </rPr>
      <t>(expense)</t>
    </r>
  </si>
  <si>
    <r>
      <t>General Instructions:</t>
    </r>
    <r>
      <rPr>
        <sz val="10"/>
        <rFont val="Arial"/>
        <family val="2"/>
      </rPr>
      <t xml:space="preserve"> synopsis and general guidelines for use of the workbook. </t>
    </r>
  </si>
  <si>
    <r>
      <t>What is the amount of payables -"Advances from other funds" due to the business type activities from the governmental activities?</t>
    </r>
    <r>
      <rPr>
        <sz val="8"/>
        <color indexed="10"/>
        <rFont val="Arial"/>
        <family val="2"/>
      </rPr>
      <t xml:space="preserve"> Follow the directions in step 1 above - entering the number from the Conversion worksheet - exclude fiduciary funds portion.</t>
    </r>
  </si>
  <si>
    <t>Accrued interest receivable on taxes</t>
  </si>
  <si>
    <t>Includes penalties</t>
  </si>
  <si>
    <t>Public Safety</t>
  </si>
  <si>
    <t>Transportation</t>
  </si>
  <si>
    <t>Environmental Protection</t>
  </si>
  <si>
    <t>Debt Service</t>
  </si>
  <si>
    <t>Principal retirement</t>
  </si>
  <si>
    <t>Interest and fees</t>
  </si>
  <si>
    <t>Non-major Governmental Funds</t>
  </si>
  <si>
    <t xml:space="preserve">Total </t>
  </si>
  <si>
    <t>Allowance for uncollectible accounts</t>
  </si>
  <si>
    <t>Allowance for uncollectible interest</t>
  </si>
  <si>
    <t>Allowance for uncollectible tax accounts</t>
  </si>
  <si>
    <t>Cultural &amp; Recreation</t>
  </si>
  <si>
    <t>Capital Outlay</t>
  </si>
  <si>
    <t>Dr</t>
  </si>
  <si>
    <t>Cr</t>
  </si>
  <si>
    <t>Accum. Depreciation - Improvements</t>
  </si>
  <si>
    <t>Accum. Depreciation - Equipment</t>
  </si>
  <si>
    <t>Accum. Depreciation - Infrastructure</t>
  </si>
  <si>
    <t>Ref</t>
  </si>
  <si>
    <t>Leave this section blank if a separate account(s) entitled "Due to/from fiduciary funds" has been used at the fund level.</t>
  </si>
  <si>
    <t xml:space="preserve">What is the amount in "Due from other funds" that is due from fiduciary funds ? </t>
  </si>
  <si>
    <t>+</t>
  </si>
  <si>
    <t>-</t>
  </si>
  <si>
    <t>Debt for assets to which the city does 
not hold title</t>
  </si>
  <si>
    <t>Enter the amount of debt related to capital assets.
Enter as a positive number.</t>
  </si>
  <si>
    <t>Note:</t>
  </si>
  <si>
    <t>Other revenue 2</t>
  </si>
  <si>
    <t>Operating Accounts - Expenditures</t>
  </si>
  <si>
    <t>Other financing sources (uses)</t>
  </si>
  <si>
    <t>Special item</t>
  </si>
  <si>
    <t>Extraordinary item</t>
  </si>
  <si>
    <t>Other program 1</t>
  </si>
  <si>
    <t>See Memos # 949 and #964 for discussion of the proper recognition of revenue under modified accrual and full accrual for GASB 33 and 34.</t>
  </si>
  <si>
    <t>Investment in joint venture</t>
  </si>
  <si>
    <t>Net investment in joint venture</t>
  </si>
  <si>
    <t>Equity in joint ventures is defined by GASB 14 and should be recorded as an asset if there is an underlying contract which creates an explicit, measurable equity interest. The increase (or decrease) will be recognized as revenue (or loss) on the Statement of Activities.</t>
  </si>
  <si>
    <t>I.1</t>
  </si>
  <si>
    <t>Fund balance</t>
  </si>
  <si>
    <t>Other Enterprise 1</t>
  </si>
  <si>
    <t>Other Enterprise 2</t>
  </si>
  <si>
    <t>Other enterprise 1</t>
  </si>
  <si>
    <t>Other enterprise 2</t>
  </si>
  <si>
    <t>`</t>
  </si>
  <si>
    <t>It is assumed that the balance at the beginning of the year for construction in progress for projects that were completed during the year has been reclassified to the appropriate category.</t>
  </si>
  <si>
    <t xml:space="preserve">Record any entries from Internal Service Fund Allocation where the Business type activity was dominant. </t>
  </si>
  <si>
    <t>What is the amount in "Due to other funds" that is due to fiduciary funds?</t>
  </si>
  <si>
    <t>Interest Expense</t>
  </si>
  <si>
    <t>Internal balance</t>
  </si>
  <si>
    <t>---  Computed  ---</t>
  </si>
  <si>
    <t>-- Computed --</t>
  </si>
  <si>
    <t>Total revenue to be reclassified</t>
  </si>
  <si>
    <t>*</t>
  </si>
  <si>
    <t>1.</t>
  </si>
  <si>
    <t>2.</t>
  </si>
  <si>
    <t>3.</t>
  </si>
  <si>
    <t>Working Column</t>
  </si>
  <si>
    <t>Economic &amp; physical development - capital grants &amp; contributions</t>
  </si>
  <si>
    <t>Environmental protection - capital grants &amp; contributions</t>
  </si>
  <si>
    <t>Reclasses external</t>
  </si>
  <si>
    <t>receivables &amp; payables</t>
  </si>
  <si>
    <t>of interfunction activity</t>
  </si>
  <si>
    <t>Eliminates doubling up effect</t>
  </si>
  <si>
    <t>Reclass program revenue</t>
  </si>
  <si>
    <t>not adjusted previously</t>
  </si>
  <si>
    <t>Record internal service</t>
  </si>
  <si>
    <t xml:space="preserve">fund allocation where </t>
  </si>
  <si>
    <t>Classify for liquidity</t>
  </si>
  <si>
    <t>General government -operating grants &amp; contributions</t>
  </si>
  <si>
    <t>Public Safety-operating grants &amp; contributions</t>
  </si>
  <si>
    <t>Transportation-operating grants &amp; contributions</t>
  </si>
  <si>
    <t>Economic &amp; physical development-operating grts &amp; contrib.</t>
  </si>
  <si>
    <t>Environmental protection-operating grants &amp; contributions</t>
  </si>
  <si>
    <t xml:space="preserve">Revenues must be adjusted to the full accrual basis of accounting on the Statement of Activities. Under modified accrual, taxes must be both measurable and available (for full accrual they are measurable and earned.)  This means that some revenue received in the current year may have actually  been earned in the prior year and some revenue deferred for the current year due to unavailability may actually be earned for full accrual. Taxes collected in advance of the period the taxes are intended to finance will be "unearned revenue" under both full and modified accrual. Estimates for uncollectibles is the same for both methods, if material.  </t>
  </si>
  <si>
    <t>F.4</t>
  </si>
  <si>
    <t>What is (or was) the restoration cost ? (Amount would have been included in the capital outlay entry - Tab E - if spent in the same fiscal year.)</t>
  </si>
  <si>
    <t>Impairment Loss Calculation</t>
  </si>
  <si>
    <t>Extraordinary loss</t>
  </si>
  <si>
    <t>Extraordinary gain</t>
  </si>
  <si>
    <t>Based on the computation in 5.b above. Enter the gain or loss against the proper accounts below:</t>
  </si>
  <si>
    <t>Assets physically damaged during the year from accidents or natural causes which have been or are planned to be restored:</t>
  </si>
  <si>
    <r>
      <t>Governmental funds have the option to record inventories and prepaid expenses using the purchases method; i.e. recognizing an expenditure at the time of purchase rather than based on consumption. GASB 34 requires that inventories and prepaid expenses be accounted for as assets regardless of their treatment in the fund financial statements</t>
    </r>
    <r>
      <rPr>
        <sz val="10"/>
        <rFont val="Arial"/>
        <family val="2"/>
      </rPr>
      <t xml:space="preserve"> </t>
    </r>
    <r>
      <rPr>
        <u/>
        <sz val="10"/>
        <rFont val="Arial"/>
        <family val="2"/>
      </rPr>
      <t>if material</t>
    </r>
    <r>
      <rPr>
        <sz val="10"/>
        <rFont val="Arial"/>
        <family val="2"/>
      </rPr>
      <t>. Therefore balances remaining in inventories or prepaid expenses must be recorded as assets for the government-wide statements and the corresponding expenditures must be reduced.</t>
    </r>
  </si>
  <si>
    <r>
      <t xml:space="preserve">Misc. Revenue - </t>
    </r>
    <r>
      <rPr>
        <sz val="8"/>
        <color indexed="10"/>
        <rFont val="Arial"/>
        <family val="2"/>
      </rPr>
      <t>[Net Income (loss) in joint venture]</t>
    </r>
  </si>
  <si>
    <r>
      <t>Misc. Rev</t>
    </r>
    <r>
      <rPr>
        <sz val="8"/>
        <color indexed="10"/>
        <rFont val="Arial"/>
        <family val="2"/>
      </rPr>
      <t>-Net Inc/(loss) in joint venture</t>
    </r>
  </si>
  <si>
    <t xml:space="preserve">Compensated absences earned during the current period must be reported as an expense under full accrual accounting. This may be a number that is not easily determined. Typically, you will know the beginning and ending balances and either the leave earned during the current year (Method 1) or the leave used during the current year (Method 2).  Choose ONE of the tables below in Section A. Enter the data in the yellow fields. The cells in blue with the red caption will be calculated. The information must be entered by function in order to calculate functional expense for the current year and prior years. This data will provide the information to create the entry to record current year expense and  the entry to eliminate expenditures related to prior years. (Choose only one method, if data is entered into both tables the resulting entry will be overstated.) </t>
  </si>
  <si>
    <t>This amount will be classified as a "transfer out" for the governmental activities column. It should also be included as a reconciling item to the fund statements.</t>
  </si>
  <si>
    <t>This amount will be classified as a "transfer in" for the governmental activities column. It should also be included as a reconciling item to the fund statements.</t>
  </si>
  <si>
    <t>OFS - Transfer In</t>
  </si>
  <si>
    <t>OFU - Transfer Out</t>
  </si>
  <si>
    <r>
      <t xml:space="preserve">Identify assets by function and calculate the annual depreciation in section A below. For those items that are shared and no clear allocation method is available, place those figures into General Government or the unallocated depreciation line </t>
    </r>
    <r>
      <rPr>
        <sz val="8"/>
        <rFont val="Arial"/>
        <family val="2"/>
      </rPr>
      <t xml:space="preserve">(use of "unallocated depreciation" will typically be the exception). </t>
    </r>
  </si>
  <si>
    <t>Proof Totals:</t>
  </si>
  <si>
    <t>Does not include penalties (accounted for in Agency Fund).</t>
  </si>
  <si>
    <t>Determination of Proportionate Participation</t>
  </si>
  <si>
    <t>$</t>
  </si>
  <si>
    <t>%</t>
  </si>
  <si>
    <t>Internal Charges</t>
  </si>
  <si>
    <t>Governmental Activities:</t>
  </si>
  <si>
    <t>Culture and recreation</t>
  </si>
  <si>
    <t>Total Governmental Activities</t>
  </si>
  <si>
    <t>Business-type Activities:</t>
  </si>
  <si>
    <t>Water and sewer</t>
  </si>
  <si>
    <t>Electric</t>
  </si>
  <si>
    <t>Total Business-type Activities</t>
  </si>
  <si>
    <t>Total Internal Charges</t>
  </si>
  <si>
    <t>External Charges</t>
  </si>
  <si>
    <t>Total Charges for Services</t>
  </si>
  <si>
    <t>Expenses for services provided externally</t>
  </si>
  <si>
    <t>What is the depreciation expense for the current year up to the
 date of sale for the assets above?</t>
  </si>
  <si>
    <t>Indicate revenue account to which items were recorded?</t>
  </si>
  <si>
    <t xml:space="preserve">What is the original cost at the beginning of the year for assets traded-in during current year? </t>
  </si>
  <si>
    <t>What is the accumulated depreciation at the beginning of the year for the assets traded-in a. above?</t>
  </si>
  <si>
    <t>What is the depreciation expense for the current year up to the
 date of trade-in for the asset above?</t>
  </si>
  <si>
    <t>Net book value of capital assets traded</t>
  </si>
  <si>
    <t>Final Entry to Conversion Worksheet for sales, disposals, donations to the unit of capital assets and asset impairment loss:   [Entry F.1, 2, 3 &amp; 4]</t>
  </si>
  <si>
    <t>Record permanent balance sheet accounts.</t>
  </si>
  <si>
    <t>Enter unallocated amounts</t>
  </si>
  <si>
    <t xml:space="preserve">Interest expense </t>
  </si>
  <si>
    <t xml:space="preserve">General government </t>
  </si>
  <si>
    <t>L.8</t>
  </si>
  <si>
    <t>Cultural and recreation - capital grants &amp; contributions</t>
  </si>
  <si>
    <t>Accrued interest rec. on ad valorem - "end of year"</t>
  </si>
  <si>
    <t>Indicate the annual depreciation expense by function:</t>
  </si>
  <si>
    <t>Indicate the appropriate asset class for the depreciation amount computed in section A above.</t>
  </si>
  <si>
    <t>Investment earnings</t>
  </si>
  <si>
    <t>Workbook Contents:</t>
  </si>
  <si>
    <t xml:space="preserve">  Total debt, gross</t>
  </si>
  <si>
    <t>Unexpended proceeds</t>
  </si>
  <si>
    <t xml:space="preserve">Other debt not issued for capital </t>
  </si>
  <si>
    <t xml:space="preserve">Note that any revenue items or other financing sources qualifying as "special" or "extraordinary" as defined by GASB 34 will have to </t>
  </si>
  <si>
    <r>
      <t xml:space="preserve">Special item  </t>
    </r>
    <r>
      <rPr>
        <i/>
        <sz val="10"/>
        <rFont val="Arial"/>
        <family val="2"/>
      </rPr>
      <t>(revenue)</t>
    </r>
  </si>
  <si>
    <t>Accrued interest payable</t>
  </si>
  <si>
    <t>Beginning fund balance</t>
  </si>
  <si>
    <t>Interest expense</t>
  </si>
  <si>
    <t>What was the interest activity for debt over the year?</t>
  </si>
  <si>
    <t>Major Fund #4</t>
  </si>
  <si>
    <t>Education</t>
  </si>
  <si>
    <t>Net Proceeds of New Debt Issue:</t>
  </si>
  <si>
    <r>
      <t xml:space="preserve">What was the </t>
    </r>
    <r>
      <rPr>
        <u/>
        <sz val="10"/>
        <rFont val="Arial"/>
        <family val="2"/>
      </rPr>
      <t>net</t>
    </r>
    <r>
      <rPr>
        <sz val="10"/>
        <rFont val="Arial"/>
        <family val="2"/>
      </rPr>
      <t xml:space="preserve"> amount of transfers between the governmental funds and the internal service funds whose predominant user is governmental?</t>
    </r>
  </si>
  <si>
    <t>What is the amount of interfund receivables and payables between governmental funds in the "due to/from account"?  This is the amount only between governmental funds. Do not include any due to/due froms between governmental and enterprise funds.</t>
  </si>
  <si>
    <t>Other long-term debt #2</t>
  </si>
  <si>
    <t>Other long-term debt liabilities - What are adjustments to expenses and liabilities?</t>
  </si>
  <si>
    <r>
      <t xml:space="preserve">What was the amount of </t>
    </r>
    <r>
      <rPr>
        <u/>
        <sz val="10"/>
        <rFont val="Arial"/>
        <family val="2"/>
      </rPr>
      <t>new claims</t>
    </r>
    <r>
      <rPr>
        <sz val="10"/>
        <rFont val="Arial"/>
        <family val="2"/>
      </rPr>
      <t xml:space="preserve"> incurred during this current year?</t>
    </r>
  </si>
  <si>
    <t>Adjustments</t>
  </si>
  <si>
    <t>Review the governmental funds, including capital projects, and identify capital outlay expenditures that should be capitalized and recorded as capital assets in the city's permanent records . Accumulate by function for entry to Section A below. The amount for capital outlay for property where title is not held by the city will be excluded from this entry and reclassified as a functional expenditure in worksheet F. This entry will include any capital outlay for the restoration of assets subject to impairment loss. The associated impariment entries are handled in Worksheet F.</t>
  </si>
  <si>
    <t>Indicate to which asset class the loss in 3a or 3b should be credited. Should be same class as that indicated in 1 above.</t>
  </si>
  <si>
    <r>
      <t xml:space="preserve">What was the prior year internal balance entry for internal service funds allocation for business type activity? </t>
    </r>
    <r>
      <rPr>
        <sz val="8"/>
        <color indexed="10"/>
        <rFont val="Arial"/>
        <family val="2"/>
      </rPr>
      <t>Indicate sign - this amount will be negative if business type activities owe (have a balance payable to) government type activities and positive if business type activities have a balance receivable from government type activities.</t>
    </r>
  </si>
  <si>
    <t>*  This amount will become the reconciling amount to be entered in Section C, steps 1 &amp; 2 for the next year. In subsequent years the amount for Section C becomes cumulative, with year 1's balance added to year 2 etc. over time.</t>
  </si>
  <si>
    <r>
      <t xml:space="preserve">* </t>
    </r>
    <r>
      <rPr>
        <i/>
        <sz val="10"/>
        <rFont val="Arial"/>
        <family val="2"/>
      </rPr>
      <t xml:space="preserve">Special item - Subject to management control and unusual in nature (possessing a high degree of abnormality and clearly unrelated to ordinary or typical activity) </t>
    </r>
    <r>
      <rPr>
        <i/>
        <u/>
        <sz val="10"/>
        <rFont val="Arial"/>
        <family val="2"/>
      </rPr>
      <t>or</t>
    </r>
    <r>
      <rPr>
        <i/>
        <sz val="10"/>
        <rFont val="Arial"/>
        <family val="2"/>
      </rPr>
      <t xml:space="preserve"> infrequent in occurrence; should be a material amount to justify such treatment. </t>
    </r>
  </si>
  <si>
    <r>
      <t xml:space="preserve">Special item - expense </t>
    </r>
    <r>
      <rPr>
        <sz val="8"/>
        <color indexed="10"/>
        <rFont val="Arial"/>
        <family val="2"/>
      </rPr>
      <t>(loss on sale or disposal of assets)</t>
    </r>
  </si>
  <si>
    <t xml:space="preserve">As previously stated, revenues that result in the ownership of a capital asset are classified as capital. If no capital asset results, the revenue should be classified as operating. </t>
  </si>
  <si>
    <t>Computer software</t>
  </si>
  <si>
    <t>Computer software - asset class 1</t>
  </si>
  <si>
    <t>Restricted for Stabilization by State Statute</t>
  </si>
  <si>
    <t>Stabilzation by State Statute</t>
  </si>
  <si>
    <t>Stabilization by State Statute</t>
  </si>
  <si>
    <t>Reserved for Stabilization by State Statute</t>
  </si>
  <si>
    <t>Economic Development Fund</t>
  </si>
  <si>
    <t>E 911 Fund *,**</t>
  </si>
  <si>
    <t>Grant Projects Fund *,**</t>
  </si>
  <si>
    <t>Cash and receivables in Cemetery Care Permanent Fund *</t>
  </si>
  <si>
    <r>
      <t xml:space="preserve">Payables </t>
    </r>
    <r>
      <rPr>
        <b/>
        <sz val="10"/>
        <color indexed="10"/>
        <rFont val="Arial"/>
        <family val="2"/>
      </rPr>
      <t>**</t>
    </r>
  </si>
  <si>
    <r>
      <t xml:space="preserve">Receivables </t>
    </r>
    <r>
      <rPr>
        <b/>
        <sz val="10"/>
        <color indexed="10"/>
        <rFont val="Arial"/>
        <family val="2"/>
      </rPr>
      <t>*</t>
    </r>
  </si>
  <si>
    <t>Economic development CRF</t>
  </si>
  <si>
    <t>This workbook is set up in a series of worksheets that address the various entries required to convert from modified to full accrual. Some entries must be initially recorded, some are simple reclassifications, and others are allocations to programs or functions. The workbook is based on the premise of answering a series of questions for those areas where modified and full accrual differ in their treatment of a transaction. The answers to these questions will generate accounting entries which are automatically mapped or linked to the conversion worksheet. Many entries are recorded only in this conversion worksheet and are not to be recorded in the general ledger, but some affect permanent accounts like capital assets, depreciation, and liabilities. These entries must be posted to the unit's ledger accounts in order to properly reflect the beginning balances for the next year. In each case, the specific instructions to the individual worksheets indicate whether an entry to the permanent accounts is required.</t>
  </si>
  <si>
    <r>
      <t xml:space="preserve">The first worksheet is the "summary" sheet titled </t>
    </r>
    <r>
      <rPr>
        <b/>
        <sz val="10"/>
        <rFont val="Arial"/>
        <family val="2"/>
      </rPr>
      <t>"Conversion Worksheet."</t>
    </r>
    <r>
      <rPr>
        <sz val="10"/>
        <rFont val="Arial"/>
        <family val="2"/>
      </rPr>
      <t xml:space="preserve"> This is the sheet to which all the other sheets flow. It is also the sheet where you will begin your data entry. The far most left columns are the trial balance columns. Please enter your adjusted pre-closing trial balance numbers here. We have assumed that you have prepared your fund statements at this point and that the trial balance is adjusted to reflect any changes that are needed to be made at the fund level. The</t>
    </r>
    <r>
      <rPr>
        <u/>
        <sz val="10"/>
        <rFont val="Arial"/>
        <family val="2"/>
      </rPr>
      <t xml:space="preserve"> prior year's ending balances</t>
    </r>
    <r>
      <rPr>
        <sz val="10"/>
        <rFont val="Arial"/>
        <family val="2"/>
      </rPr>
      <t xml:space="preserve"> for capital assets and long-term liabilities must also be manually posted to the "Capital Assets and Long-term Debt" column.  </t>
    </r>
  </si>
  <si>
    <t xml:space="preserve">When you have worked through all the other worksheets (A-M), this sheet will have your government-wide numbers for the governmental activities column of the Statement of Net Position and the Statement of Activities. You may change fund titles as you see fit but if you unprotect the sheet and add lines or columns, formulas will be affected. Please do not do so unless you have strong Excel skills. Some "other" asset and "other" liability accounts have been added to handle the case where you need another account. These titles can be changed but should then be used consistently throughout the workbook. </t>
  </si>
  <si>
    <r>
      <t xml:space="preserve">Revenue by function : </t>
    </r>
    <r>
      <rPr>
        <sz val="10"/>
        <rFont val="Arial"/>
        <family val="2"/>
      </rPr>
      <t>allocates revenue to the proper government-wide financial statement categories (Charges for Services, Operating Grants and Contributions, and Capital Grants and Contributions) and their respective programs/functions for presentation on the Statement of Activities. Note that these reclassification entries only change the presentation of revenue and will not be a factor in the reconciliation from modified to full accrual.</t>
    </r>
  </si>
  <si>
    <r>
      <t xml:space="preserve">Other Capital Asset Entries: </t>
    </r>
    <r>
      <rPr>
        <sz val="10"/>
        <rFont val="Arial"/>
        <family val="2"/>
      </rPr>
      <t>addresses all other capital asset entries, sales, trades, retirements, donations, impairment losses/gains, etc. and generates the correct entry to asset classes, programs/functions, and revenue or expenditure accounts. Please be aware that any reductions that result from a change in capitalization threshold should be recorded with the beginning capital asset numbers in columns AF and AG of the conversion worksheet.</t>
    </r>
  </si>
  <si>
    <r>
      <t xml:space="preserve">K.1 - K.3 Internal Service Fund Allocation: </t>
    </r>
    <r>
      <rPr>
        <sz val="10"/>
        <rFont val="Arial"/>
        <family val="2"/>
      </rPr>
      <t xml:space="preserve">There are worksheets for three internal service funds, </t>
    </r>
    <r>
      <rPr>
        <u/>
        <sz val="10"/>
        <rFont val="Arial"/>
        <family val="2"/>
      </rPr>
      <t>each of which must serve governmental funds as the primary beneficiary</t>
    </r>
    <r>
      <rPr>
        <sz val="10"/>
        <rFont val="Arial"/>
        <family val="2"/>
      </rPr>
      <t xml:space="preserve">. If enterprise funds are the primary beneficiary then they should be entered in the Business-type conversion worksheet elsewhere on the website. </t>
    </r>
  </si>
  <si>
    <r>
      <t xml:space="preserve">Eliminations - Consolidations: </t>
    </r>
    <r>
      <rPr>
        <sz val="10"/>
        <rFont val="Arial"/>
        <family val="2"/>
      </rPr>
      <t>addresses</t>
    </r>
    <r>
      <rPr>
        <b/>
        <sz val="10"/>
        <rFont val="Arial"/>
        <family val="2"/>
      </rPr>
      <t xml:space="preserve"> </t>
    </r>
    <r>
      <rPr>
        <sz val="10"/>
        <rFont val="Arial"/>
        <family val="2"/>
      </rPr>
      <t>all elimination and consolidation entries related to interfund payables, receivables, and transfers, creates the entries for recording the current portion of long-term liabilities, and records internal service funds for which business-type activities are the predominant user.</t>
    </r>
  </si>
  <si>
    <r>
      <t xml:space="preserve">Net Position Calculation: </t>
    </r>
    <r>
      <rPr>
        <sz val="10"/>
        <rFont val="Arial"/>
        <family val="2"/>
      </rPr>
      <t>facilitates the determination of the net position equity section. The resulting numbers are not mapped but are provided for manual entry into worksheet L to avoid circular logic.</t>
    </r>
  </si>
  <si>
    <r>
      <t>Program revenues must be reclassified for presentation on the Statement of Activities to report</t>
    </r>
    <r>
      <rPr>
        <sz val="10"/>
        <rFont val="Arial"/>
        <family val="2"/>
      </rPr>
      <t xml:space="preserve"> revenues by function (program)</t>
    </r>
    <r>
      <rPr>
        <sz val="10"/>
        <rFont val="Arial"/>
        <family val="2"/>
      </rPr>
      <t xml:space="preserve">. Ad valorem taxes and other revenues that will be classified as general revenue will not be affected in this entry. These program revenues will be categorized into charges for services, operating grants and contributions, and capital grants and contributions. In order for grants or contributions to be classified as capital in nature, the </t>
    </r>
    <r>
      <rPr>
        <u/>
        <sz val="10"/>
        <rFont val="Arial"/>
        <family val="2"/>
      </rPr>
      <t>unit must own the asset</t>
    </r>
    <r>
      <rPr>
        <sz val="10"/>
        <rFont val="Arial"/>
        <family val="2"/>
      </rPr>
      <t xml:space="preserve">. Grants that can be considered either operating or capital at the recipient's discretion are classified as operating grants. </t>
    </r>
  </si>
  <si>
    <t>Determine beginning of year balances for unavailable (previously non-cash deferred revenue) revenue and accrued interest receivable of ad valorem taxes. Enter those amounts in section A below.</t>
  </si>
  <si>
    <t>Determine end of year balances for unavailable (previously non-cash deferred revenue) revenue and accrued interest receivable on ad valorem taxes. Enter those amounts in section B below.</t>
  </si>
  <si>
    <t>What was the amount in unavailable tax receipts at the beginning of the year?  -  (Exclude prepaid taxes.)
What was the amount of accrued interest receivable on tax receipts at the beginning of the year?</t>
  </si>
  <si>
    <t>Unavailable revenue (ad valorem tax) - "beginning of year"</t>
  </si>
  <si>
    <t>What was amount in unavailable tax receipts at the end of the year?  -  (Exclude prepaid taxes.)
What was the amount of accrued interest receivable on tax receipts at the end of the year?</t>
  </si>
  <si>
    <t>Unavailable revenue (ad valorem tax) - "end of year"</t>
  </si>
  <si>
    <t>Unavailable Revenues*</t>
  </si>
  <si>
    <t>In addition to ad valorem taxes, other revenues must be adjusted to reflect the full accrual basis of accounting on the Statement of Activities. The availability criteria is not considered for revenue recognition under full accrual accounting.  This means that some unavailable revenue at year end under modified accrual will be recognized as revenue under full accrual on the Statement of Activities. Also, revenues recorded under modified accrual in the current year which were unavailable in the prior year were already recognized as revenue under full accrual in the prior year. Receipts that have not been earned at year end will not be recognized as revenue under the full accrual basis of accounting.</t>
  </si>
  <si>
    <t>It is presumed that unavailable revenues not recorded on the fund's modified accrual statements because of materiality, will not be material on the government-wide statements. A work section, presented in this spreadsheet following the final entry, shows the individual entries for each section in Worksheet C. It is not included in the normal print range. If you wish to print the work section, you will need to adjust the print range.</t>
  </si>
  <si>
    <t>Determine ending balance from prior fiscal year (or beginning of year balances) in unavailable revenue for each revenue source below. Enter the amount in question 1 of each section below.</t>
  </si>
  <si>
    <t>Determine end of current year balances for unavailable revenue for all revenue sources listed below. Enter those amounts for question 2 in each section below.</t>
  </si>
  <si>
    <r>
      <t xml:space="preserve">Alcoholic Beverage Tax  </t>
    </r>
    <r>
      <rPr>
        <b/>
        <sz val="9"/>
        <rFont val="Arial"/>
        <family val="2"/>
      </rPr>
      <t xml:space="preserve"> (Unrestricted intergovernmental for Modified Accrual -- Unrestricted - General for Full Accrual)</t>
    </r>
  </si>
  <si>
    <r>
      <t xml:space="preserve">Indicate the amount of beer and wine excise tax included in unavailable revenue utilizing the modified accrual basis of accounting at the end of the </t>
    </r>
    <r>
      <rPr>
        <u/>
        <sz val="10"/>
        <rFont val="Arial"/>
        <family val="2"/>
      </rPr>
      <t>prior year</t>
    </r>
    <r>
      <rPr>
        <sz val="10"/>
        <rFont val="Arial"/>
        <family val="2"/>
      </rPr>
      <t>.</t>
    </r>
  </si>
  <si>
    <r>
      <t xml:space="preserve">Indicate the amount of beer and wine excise tax included in unavailable revenue utilizing the modified accrual basis of accounting at the end of the </t>
    </r>
    <r>
      <rPr>
        <u/>
        <sz val="10"/>
        <rFont val="Arial"/>
        <family val="2"/>
      </rPr>
      <t>current year.</t>
    </r>
  </si>
  <si>
    <r>
      <t xml:space="preserve">Indicate the amount of piped natural gas tax included in unavailable revenue utilizing the modified accrual basis of accounting at the end of the </t>
    </r>
    <r>
      <rPr>
        <u/>
        <sz val="10"/>
        <rFont val="Arial"/>
        <family val="2"/>
      </rPr>
      <t>prior year</t>
    </r>
    <r>
      <rPr>
        <sz val="10"/>
        <rFont val="Arial"/>
        <family val="2"/>
      </rPr>
      <t>.</t>
    </r>
  </si>
  <si>
    <r>
      <t xml:space="preserve">Indicate the amount of piped natural gas tax included in unavailable revenue utilizing the modified accrual basis of accounting at the end of the </t>
    </r>
    <r>
      <rPr>
        <u/>
        <sz val="10"/>
        <rFont val="Arial"/>
        <family val="2"/>
      </rPr>
      <t>current year</t>
    </r>
    <r>
      <rPr>
        <sz val="10"/>
        <rFont val="Arial"/>
        <family val="2"/>
      </rPr>
      <t>.</t>
    </r>
  </si>
  <si>
    <r>
      <t xml:space="preserve">Indicate the amount of controlled substance tax included in unavailable revenue utilizing the modified accrual basis of accounting at the end of the </t>
    </r>
    <r>
      <rPr>
        <u/>
        <sz val="10"/>
        <rFont val="Arial"/>
        <family val="2"/>
      </rPr>
      <t>prior year</t>
    </r>
    <r>
      <rPr>
        <sz val="10"/>
        <rFont val="Arial"/>
        <family val="2"/>
      </rPr>
      <t>.</t>
    </r>
  </si>
  <si>
    <r>
      <t xml:space="preserve">Indicate the amount of controlled substance tax included in unavailable revenue utilizing the modified accrual basis of accounting at the end of the </t>
    </r>
    <r>
      <rPr>
        <u/>
        <sz val="10"/>
        <rFont val="Arial"/>
        <family val="2"/>
      </rPr>
      <t>current year</t>
    </r>
    <r>
      <rPr>
        <sz val="10"/>
        <rFont val="Arial"/>
        <family val="2"/>
      </rPr>
      <t>.</t>
    </r>
  </si>
  <si>
    <r>
      <t xml:space="preserve">Franchise UtilitiesTax   </t>
    </r>
    <r>
      <rPr>
        <b/>
        <sz val="9"/>
        <rFont val="Arial"/>
        <family val="2"/>
      </rPr>
      <t>(Unrestricted governmental for Modified Accrual  --  Unrestricted - General for Full Accrual)</t>
    </r>
    <r>
      <rPr>
        <b/>
        <sz val="10"/>
        <rFont val="Arial"/>
        <family val="2"/>
      </rPr>
      <t xml:space="preserve">    </t>
    </r>
  </si>
  <si>
    <r>
      <t xml:space="preserve">Indicate the amount of utility franchise tax included in unavailable revenue utilizing the modified accrual basis of accounting at the end of the </t>
    </r>
    <r>
      <rPr>
        <u/>
        <sz val="10"/>
        <rFont val="Arial"/>
        <family val="2"/>
      </rPr>
      <t>prior year</t>
    </r>
    <r>
      <rPr>
        <sz val="10"/>
        <rFont val="Arial"/>
        <family val="2"/>
      </rPr>
      <t>.</t>
    </r>
  </si>
  <si>
    <r>
      <t xml:space="preserve">Indicate the amount of utility franchise tax included in unavailable revenue utilizing the modified accrual basis of accounting at the end of the </t>
    </r>
    <r>
      <rPr>
        <u/>
        <sz val="10"/>
        <rFont val="Arial"/>
        <family val="2"/>
      </rPr>
      <t>current year</t>
    </r>
    <r>
      <rPr>
        <sz val="10"/>
        <rFont val="Arial"/>
        <family val="2"/>
      </rPr>
      <t>.</t>
    </r>
  </si>
  <si>
    <r>
      <t xml:space="preserve">Indicate the amount of Telecommunications tax included in unavailable revenue utilizing the modified accrual basis of accounting at the end of the </t>
    </r>
    <r>
      <rPr>
        <u/>
        <sz val="10"/>
        <rFont val="Arial"/>
        <family val="2"/>
      </rPr>
      <t>prior year</t>
    </r>
    <r>
      <rPr>
        <sz val="10"/>
        <rFont val="Arial"/>
        <family val="2"/>
      </rPr>
      <t>.</t>
    </r>
  </si>
  <si>
    <r>
      <t xml:space="preserve">Indicate the amount of Telecommunications tax included in unavailable revenue utilizing the modified accrual basis of accounting at the end of the </t>
    </r>
    <r>
      <rPr>
        <u/>
        <sz val="10"/>
        <rFont val="Arial"/>
        <family val="2"/>
      </rPr>
      <t>current year</t>
    </r>
    <r>
      <rPr>
        <sz val="10"/>
        <rFont val="Arial"/>
        <family val="2"/>
      </rPr>
      <t>.</t>
    </r>
  </si>
  <si>
    <r>
      <t xml:space="preserve">Indicate the amount of special assessments included in unavailable revenue utilizing the modified accrual basis of accounting at the end of the </t>
    </r>
    <r>
      <rPr>
        <u/>
        <sz val="10"/>
        <rFont val="Arial"/>
        <family val="2"/>
      </rPr>
      <t>prior year</t>
    </r>
    <r>
      <rPr>
        <sz val="10"/>
        <rFont val="Arial"/>
        <family val="2"/>
      </rPr>
      <t>.</t>
    </r>
  </si>
  <si>
    <r>
      <t xml:space="preserve">Indicate the amount of special assessments included in unavailable revenue utilizing the modified accrual basis of accounting at the end of the </t>
    </r>
    <r>
      <rPr>
        <u/>
        <sz val="10"/>
        <rFont val="Arial"/>
        <family val="2"/>
      </rPr>
      <t>current year</t>
    </r>
    <r>
      <rPr>
        <sz val="10"/>
        <rFont val="Arial"/>
        <family val="2"/>
      </rPr>
      <t>.</t>
    </r>
  </si>
  <si>
    <r>
      <t xml:space="preserve">Indicate the amount of other revenues included in unavailable revenue utilizing the modified accrual basis of accounting at the end of the </t>
    </r>
    <r>
      <rPr>
        <u/>
        <sz val="10"/>
        <rFont val="Arial"/>
        <family val="2"/>
      </rPr>
      <t xml:space="preserve">prior year </t>
    </r>
    <r>
      <rPr>
        <sz val="10"/>
        <rFont val="Arial"/>
        <family val="2"/>
      </rPr>
      <t>that were not recognized as revenue because they were not considered available.</t>
    </r>
    <r>
      <rPr>
        <sz val="10"/>
        <rFont val="Arial"/>
        <family val="2"/>
      </rPr>
      <t xml:space="preserve"> Also, indicate by amount the appropriate full accrual revenue classification.</t>
    </r>
  </si>
  <si>
    <r>
      <t xml:space="preserve">Indicate the amount of other revenues included in unavailable revenue utilizing the modified accrual basis of accounting at the end of the </t>
    </r>
    <r>
      <rPr>
        <u/>
        <sz val="10"/>
        <rFont val="Arial"/>
        <family val="2"/>
      </rPr>
      <t>current year</t>
    </r>
    <r>
      <rPr>
        <sz val="10"/>
        <rFont val="Arial"/>
        <family val="2"/>
      </rPr>
      <t xml:space="preserve"> that were not recognized as revenue because they were not considered available</t>
    </r>
    <r>
      <rPr>
        <sz val="10"/>
        <rFont val="Arial"/>
        <family val="2"/>
      </rPr>
      <t>. Be careful not to duplicate unavailable revenues that have been handled in previous entries.</t>
    </r>
  </si>
  <si>
    <t>Unavailable revenue</t>
  </si>
  <si>
    <r>
      <t xml:space="preserve">See Memo #934 for further discussion of depreciation particularly as related to long lived assets like infrastructure. Note that infrastructure previously held does not have to be recorded in year 1 of implementation, for governments implementing in 2002 (phase 1) or 2003 (phase II). These phase I and II governments had 4 years to get all their existing infrastructure properly recorded.  Governments implementing in 2004 (phase III) were not required to record their old infrastructure. </t>
    </r>
    <r>
      <rPr>
        <b/>
        <sz val="10"/>
        <color indexed="10"/>
        <rFont val="Arial"/>
        <family val="2"/>
      </rPr>
      <t>All governments must begin to record new additions to infrastructure in year 1 of implementation.</t>
    </r>
  </si>
  <si>
    <t xml:space="preserve">Depreciation expense must be calculated and reported in relation to all of the unit's depreciable capital assets. Some units may have a capital asset software system that can easily calculate annual depreciation expense. Others may need to calculate the expense manually. This function has previously been done for all the proprietary or business-type activities funds. It has now been expanded to general capital assets.  The challenge may be the requirement to record the expense by function, e.g. the depreciation for police cars must be charged to public safety. If function or department codes are not currently in the capital asset system, perhaps location can identify the function. Capital assets that can be specifically identified with a function or program will have their depreciation charged respectively. For those units that prepare CAFRs the capital asset schedules required for that publication should give you helpful information about classifying your capital assets by function. </t>
  </si>
  <si>
    <t xml:space="preserve">Also be aware that some expenditures may fall below the capitalization threshold that the Governing Board has set for your unit. If certain purchases fall below the capitalization threshold,  a legitimate balance may remain in Capital Outlay after this adjustment. For example, if the unit has chosen $1,000 as the minimum for capitalization, any items purchased costing less than that amount would remain an expenditure with no addition made to the various capital asset accounts. Only those items above the unit's capitalization threshold would be adjusted and reported as capital assets in the government-wide statement of net position.  </t>
  </si>
  <si>
    <t>The issuance of debt needs to be reflected in the proper liability accounts rather than as other financing sources in order to prepare the government-wide Statement of Net Position. Also, corresponding transactions for premiums, discounts and prepaid insurance costs must be adjusted from other financing uses to assets, liabilities, contra-liabilities, and deferred inflows of resources. Refunding bonds must also be adjusted to the proper permanent accounts. Refunding bonds and their corresponding defeased debt will be handled together in the same section below. Prepaid insurance costs and deferred charges must be amortized over the life of any debt issued from the year of implementation forward to correctly state expenses on the Statement of Activities. The unit's permanent accounts will need to be adjusted to properly reflect next year's beginning balances for debt related accounts.</t>
  </si>
  <si>
    <t>Prepaid</t>
  </si>
  <si>
    <t>Insurance</t>
  </si>
  <si>
    <t>Unamortized Prepaid Insurance Cost =</t>
  </si>
  <si>
    <t>Amortize deferred charges for the current year.</t>
  </si>
  <si>
    <t>What is the current year annual amortization for prepaid insurance costs?</t>
  </si>
  <si>
    <t>Deferred Charges - prepaid insurance cost</t>
  </si>
  <si>
    <t>Debt service - prepaid insurance cost</t>
  </si>
  <si>
    <t>Deferred Charge - prepaid insurance cost</t>
  </si>
  <si>
    <r>
      <t>Prepaid expenses  -</t>
    </r>
    <r>
      <rPr>
        <sz val="10"/>
        <rFont val="Arial"/>
        <family val="2"/>
      </rPr>
      <t xml:space="preserve"> if recorded at the fund level using the purchases method. This does not include prepaid insurance costs associated with bond refundings.</t>
    </r>
  </si>
  <si>
    <r>
      <t xml:space="preserve">Adjust for the prior year's internal balance in Step C. This adjusts beginning net position to match the government-wide presentation. </t>
    </r>
    <r>
      <rPr>
        <sz val="13"/>
        <rFont val="Wingdings 2"/>
        <family val="1"/>
        <charset val="2"/>
      </rPr>
      <t>k</t>
    </r>
    <r>
      <rPr>
        <sz val="10"/>
        <rFont val="Arial"/>
        <family val="2"/>
      </rPr>
      <t xml:space="preserve"> 
</t>
    </r>
  </si>
  <si>
    <t>Section D is the actual allocation of the residual profit or loss computation. These are the amounts that will be included in your reconciliation from the fund balance on the fund statements to the government-wide net position amount.</t>
  </si>
  <si>
    <t>Record the trial balance for permanent balance sheet accounts of the internal service fund. Amounts should be ending balances except for net position (fund balance.) It should be recorded at the beginning amount for the fiscal year. In step 2 enter the amounts for those items which should be eliminated when allocating the Internal Service fund's net profit or loss. In step 3 enter the amount for "Change in Net Position" from the income statement.</t>
  </si>
  <si>
    <r>
      <t xml:space="preserve">   Net position - </t>
    </r>
    <r>
      <rPr>
        <sz val="8"/>
        <color indexed="10"/>
        <rFont val="Arial"/>
        <family val="2"/>
      </rPr>
      <t>Beginning balance</t>
    </r>
  </si>
  <si>
    <t>From fund Statement of Net Position at end of year</t>
  </si>
  <si>
    <t>Changes in Net Position</t>
  </si>
  <si>
    <r>
      <t xml:space="preserve">Enter the fund's "change in net position"    </t>
    </r>
    <r>
      <rPr>
        <sz val="8"/>
        <rFont val="Arial"/>
        <family val="2"/>
      </rPr>
      <t>Enter a positive amount for income; enter a negative amount for a loss.</t>
    </r>
  </si>
  <si>
    <t>From fund Statement of Revenues, Expenses, and Changes in Net Position</t>
  </si>
  <si>
    <r>
      <t xml:space="preserve">Adjust beginning net position (fund balance) for prior year consolidation(s) of internal service funds. (This amount will be the Internal balance amount created from last year's final entry for this fund and will become cumulative over time.) 
</t>
    </r>
    <r>
      <rPr>
        <b/>
        <sz val="10"/>
        <color indexed="10"/>
        <rFont val="Arial"/>
        <family val="2"/>
      </rPr>
      <t>This will not be an issue in year 1 of implementation. It will only be required in later years.</t>
    </r>
  </si>
  <si>
    <t xml:space="preserve">Enter the amounts in Step B for the permanent balance sheet accounts for the given internal service fund. These amounts will be posted to the governmental activity column as determined in Step A to be the primary beneficiary of the internal service fund's activities. This worksheet will handle only those determined to benefit governmental activities. In step 2 of Section B enter the amounts that must be excluded from the allocation. These amounts come directly from the fund statements. Also, in step 3 enter the change in net position from the income statement for the fund being allocated. </t>
  </si>
  <si>
    <t>Section D is the actual allocation of the residual profit or loss computation. These are the amounts that will be included in your reconciliation from the fund balance to the government-wide net position amount.</t>
  </si>
  <si>
    <r>
      <t xml:space="preserve">Adjust beginning net position (fund balance) for prior year consolidation of internal service funds. (This amount will be the Internal balance amount created from last year's final entry for this fund.) 
</t>
    </r>
    <r>
      <rPr>
        <b/>
        <sz val="10"/>
        <color indexed="10"/>
        <rFont val="Arial"/>
        <family val="2"/>
      </rPr>
      <t>This will not be an issue in year 1 of implementation. It will only be required in later years.</t>
    </r>
  </si>
  <si>
    <t>Enter the amounts in Step B for the permanent balance sheet accounts for the given internal service fund. These amounts will be posted to the governmental activity column as determined in Step A to be the primary beneficiary of the internal service fund's activities. This worksheet will handle only those funds determined to benefit governmental activities. In step 2 of Section B enter the amounts that must be excluded from the allocation. These amounts come directly from the fund statements. Also, in step 3 enter the change in net position from the income statement for the fund being allocated.</t>
  </si>
  <si>
    <t>The balances remaining after eliminating the activity between governmental funds should be the activity between governmental activities and business-type activities. These reciprocal balances between activity types must be eliminated and reclassified as internal balances. The numbers for the entry will be pulled from the Conversion worksheet by going to the appropriate account and looking for the balance reported in the Statement of Net Position column. Once the entries in Section C and D have posted to the worksheet, all of these accounts should have a zero balance and an "internal balance" account should remain with the net difference.</t>
  </si>
  <si>
    <t>The Statement of Net Position should be presented in order of liquidity and the current portion of long-term liabilities such as bonds and notes payable, compensated liabilities, and other long-term liabilities must be identified separately. For compensated absences, this will depend on the assumption of FIFO or LIFO as the method for computing leave to be taken. For the FIFO method, typically the estimate will be based on expected leave or average leave taken over the last several years. Indicate the amount to be paid from current resources in Section F below. If the LIFO method is used, the assumption is made that typically employees take leave as it is earned and that there is no current portion. If the portion payable and due within one year for other liability accounts has been handled elsewhere, the question can be left blank.</t>
  </si>
  <si>
    <t>Worksheets K.1-3 only handled internal service funds if the governmental activities were the primary users. For those internal service funds where the business-type activity was the primary user and the allocation entries were created in the business-type conversion worksheet, those entries applying to governmental activities must be entered in Section H below.</t>
  </si>
  <si>
    <r>
      <t xml:space="preserve">Fund balance must be reclassified to the net position categories required for the presentation on the government-wide statements. Data for this entry is entered manually to avoid circular logic. </t>
    </r>
    <r>
      <rPr>
        <b/>
        <sz val="10"/>
        <rFont val="Arial"/>
        <family val="2"/>
      </rPr>
      <t>It should be one of the last steps performed</t>
    </r>
    <r>
      <rPr>
        <sz val="10"/>
        <rFont val="Arial"/>
        <family val="2"/>
      </rPr>
      <t xml:space="preserve">. Worksheet M has been presented to help you calculate the correct amounts to enter into Section </t>
    </r>
    <r>
      <rPr>
        <sz val="10"/>
        <rFont val="Arial"/>
        <family val="2"/>
      </rPr>
      <t>J.</t>
    </r>
    <r>
      <rPr>
        <sz val="10"/>
        <rFont val="Arial"/>
        <family val="2"/>
      </rPr>
      <t xml:space="preserve"> below.</t>
    </r>
  </si>
  <si>
    <r>
      <t xml:space="preserve">What is the amount of receivables -"due from other funds" due to the governmental activities from business type activities? </t>
    </r>
    <r>
      <rPr>
        <sz val="8"/>
        <color indexed="10"/>
        <rFont val="Arial"/>
        <family val="2"/>
      </rPr>
      <t xml:space="preserve"> Go to the conversion worksheet and look at the balance in the Statement of Net Position column for this account. Enter that amount (less any portion related to fiduciary funds) in the box to the right. </t>
    </r>
  </si>
  <si>
    <t>Net position - unrestricted</t>
  </si>
  <si>
    <r>
      <t xml:space="preserve">Reclassify fund balance to net position.    </t>
    </r>
    <r>
      <rPr>
        <b/>
        <sz val="8"/>
        <color indexed="10"/>
        <rFont val="Arial"/>
        <family val="2"/>
      </rPr>
      <t xml:space="preserve"> (See worksheet M for assistance with computation of this entry.) </t>
    </r>
  </si>
  <si>
    <t>Net investment in capital assets:</t>
  </si>
  <si>
    <r>
      <t>Total net position</t>
    </r>
    <r>
      <rPr>
        <sz val="10"/>
        <rFont val="Arial"/>
        <family val="2"/>
      </rPr>
      <t xml:space="preserve">  </t>
    </r>
    <r>
      <rPr>
        <sz val="8"/>
        <rFont val="Arial"/>
        <family val="2"/>
      </rPr>
      <t>………….. (from entries above)</t>
    </r>
  </si>
  <si>
    <t>Net investment in capital assets</t>
  </si>
  <si>
    <t xml:space="preserve">Classifies net position and maps to the Statement of Net Position Column </t>
  </si>
  <si>
    <t>Net Position</t>
  </si>
  <si>
    <t>Prepaid insurance costs</t>
  </si>
  <si>
    <t>Deferred Charges - Prepaid insurance cost</t>
  </si>
  <si>
    <t>Deferred Outflows of Resources</t>
  </si>
  <si>
    <t xml:space="preserve">Unavailable revenue (previously non-cash deferred revenue).  Unearned revenues (from cash receipts) typically found below.  </t>
  </si>
  <si>
    <t>Deferred Inflows of Resources</t>
  </si>
  <si>
    <t xml:space="preserve">     Change in net position</t>
  </si>
  <si>
    <t xml:space="preserve">     Reclassification to net position</t>
  </si>
  <si>
    <t>Net Investment in Capital Assets</t>
  </si>
  <si>
    <t>Change in Net Position</t>
  </si>
  <si>
    <t>Proof totals for Net Position</t>
  </si>
  <si>
    <t>Calculation of Net Position</t>
  </si>
  <si>
    <t>Calculation of Net Position-Governmental Activities</t>
  </si>
  <si>
    <t>Fund balance must be reclassified to a Net Position presentation for the government-wide statements. This worksheet will assist you in the calculation of the numbers that must be entered manually into worksheet L. Worksheet L creates the entry that posts to the conversion worksheet to reclassify net position. It was not automatically generated in order to avoid circular logic. This step will be one of the last performed in finalizing data in the conversion worksheet.</t>
  </si>
  <si>
    <t>Restricted Net  Position - Data From Fund Statements</t>
  </si>
  <si>
    <t>Position</t>
  </si>
  <si>
    <t>Total Net Position</t>
  </si>
  <si>
    <t>Less Restricted Net Position</t>
  </si>
  <si>
    <t>Less Net Investment in Capital Assets</t>
  </si>
  <si>
    <t>Unrestricted Net Position</t>
  </si>
  <si>
    <r>
      <rPr>
        <sz val="10"/>
        <color indexed="10"/>
        <rFont val="Arial"/>
        <family val="2"/>
      </rPr>
      <t>**</t>
    </r>
    <r>
      <rPr>
        <sz val="10"/>
        <rFont val="Arial"/>
        <family val="2"/>
      </rPr>
      <t xml:space="preserve"> Payables are included in the Payable column up to the amount that will not make Restricted Net Position negative.</t>
    </r>
  </si>
  <si>
    <t>Capital asset data pulled from the St. of Net Position Column in Conversion Worksheet</t>
  </si>
  <si>
    <r>
      <rPr>
        <sz val="10"/>
        <color indexed="10"/>
        <rFont val="Arial"/>
        <family val="2"/>
      </rPr>
      <t>*</t>
    </r>
    <r>
      <rPr>
        <sz val="10"/>
        <rFont val="Arial"/>
        <family val="2"/>
      </rPr>
      <t xml:space="preserve">  Receivables offset by unavailable revenues should not be included in the Receivables column</t>
    </r>
  </si>
  <si>
    <t xml:space="preserve">Unavailable revenue (previously non-cash deferred revenue).   </t>
  </si>
  <si>
    <t>Agency Number</t>
  </si>
  <si>
    <t>Deferred Outflows Of Resources</t>
  </si>
  <si>
    <t>Deferred Inflows Of Resources</t>
  </si>
  <si>
    <t>Pension Expense</t>
  </si>
  <si>
    <t>Agency</t>
  </si>
  <si>
    <t>Net Pension Liability - End of Year</t>
  </si>
  <si>
    <t>Differences Between Expected And Actual Experience</t>
  </si>
  <si>
    <t>Net Difference Between Projected And Actual Investment Earnings On Plan Investments</t>
  </si>
  <si>
    <t>Changes Of Assumptions</t>
  </si>
  <si>
    <t>Changes In Proportion And Differences Between Employer Contributions And Proportional Share Of Contributions</t>
  </si>
  <si>
    <t>Proportional Share Of Pension Expense</t>
  </si>
  <si>
    <t>Net Amortization Of Deferred Amounts From Changes In Proportion And Differences Between Employer Contributions And Proportional Share Of Contributions</t>
  </si>
  <si>
    <t>Total Employer Pension Expense</t>
  </si>
  <si>
    <t>Net Pension Liability</t>
  </si>
  <si>
    <t>Eastern Band Of Cherokee Indians</t>
  </si>
  <si>
    <t>Misenheimer, Village Of</t>
  </si>
  <si>
    <t>Piedmont Triad Airport Authority</t>
  </si>
  <si>
    <t>Sparta, Town Of</t>
  </si>
  <si>
    <t>Yancey County</t>
  </si>
  <si>
    <t>Yancey Soil &amp; Water Conservation District</t>
  </si>
  <si>
    <t>Burnsville, Town Of</t>
  </si>
  <si>
    <t>Martin-Tyrell-Washington D.H.D</t>
  </si>
  <si>
    <t xml:space="preserve">Pas.-Per.-Camden-Chowan D.H.D. </t>
  </si>
  <si>
    <t xml:space="preserve">Toe River District Health Department </t>
  </si>
  <si>
    <t>Appalachian District Health Department</t>
  </si>
  <si>
    <t>Alamance County</t>
  </si>
  <si>
    <t>Burlington, City Of</t>
  </si>
  <si>
    <t>Mebane, Town Of</t>
  </si>
  <si>
    <t>Burlington-Graham A.B.C. Board</t>
  </si>
  <si>
    <t>Graham, City Of</t>
  </si>
  <si>
    <t>Elon College, Town Of</t>
  </si>
  <si>
    <t>Haw River, Town Of</t>
  </si>
  <si>
    <t>Alamance, Village Of</t>
  </si>
  <si>
    <t>Green Level, Town Of</t>
  </si>
  <si>
    <t>Alexander County</t>
  </si>
  <si>
    <t>Alexander County Health Department</t>
  </si>
  <si>
    <t>Alexander County Library</t>
  </si>
  <si>
    <t>Alexander County Welfare Department</t>
  </si>
  <si>
    <t>Taylorsville, Town Of</t>
  </si>
  <si>
    <t>Alleghany County</t>
  </si>
  <si>
    <t>Northwestern Regional Library</t>
  </si>
  <si>
    <t>Sparta A.B.C. Board</t>
  </si>
  <si>
    <t>Anson County</t>
  </si>
  <si>
    <t>Wadesboro, Town Of</t>
  </si>
  <si>
    <t>Wadesboro Housing Authority</t>
  </si>
  <si>
    <t>Wadesboro A.B.C. Board</t>
  </si>
  <si>
    <t>Lilesville, Town Of</t>
  </si>
  <si>
    <t>Polkton, Town Of</t>
  </si>
  <si>
    <t>Peachland, Town Of</t>
  </si>
  <si>
    <t>Ansonville, Town Of</t>
  </si>
  <si>
    <t>Morven, Town Of</t>
  </si>
  <si>
    <t>Ashe County</t>
  </si>
  <si>
    <t>WEST JEFFERSON ABC BOARD</t>
  </si>
  <si>
    <t>Jefferson, Town Of</t>
  </si>
  <si>
    <t>West Jefferson, Town Of</t>
  </si>
  <si>
    <t>Avery County</t>
  </si>
  <si>
    <t>Avery-Mitchell-Yancey Dist. Library</t>
  </si>
  <si>
    <t>Banner Elk, Town Of</t>
  </si>
  <si>
    <t>High Country Municipal A.B.C. Board</t>
  </si>
  <si>
    <t>Newland, Town Of</t>
  </si>
  <si>
    <t>Beech Mountain, Town Of</t>
  </si>
  <si>
    <t>Elk Park, Town Of</t>
  </si>
  <si>
    <t>Sugar Mountain, Town Of</t>
  </si>
  <si>
    <t>Beaufort County</t>
  </si>
  <si>
    <t>Beaufort County A.B.C. Board</t>
  </si>
  <si>
    <t>B.H.M. Regional Library</t>
  </si>
  <si>
    <t>Mideast Economic Development Comm</t>
  </si>
  <si>
    <t>Washington, City Of</t>
  </si>
  <si>
    <t>Aurora, Town Of</t>
  </si>
  <si>
    <t>Belhaven, Town Of</t>
  </si>
  <si>
    <t>Washington Park, Town Of</t>
  </si>
  <si>
    <t>Chocowinity, Town Of</t>
  </si>
  <si>
    <t>Bertie County</t>
  </si>
  <si>
    <t>Bertie County A.B.C. Board</t>
  </si>
  <si>
    <t>Albemarle Regional Library</t>
  </si>
  <si>
    <t>Bertie-Martin Regional Jail Comm</t>
  </si>
  <si>
    <t>Aulander, Town Of</t>
  </si>
  <si>
    <t>Windsor, Town Of</t>
  </si>
  <si>
    <t>Colerain, Town Of</t>
  </si>
  <si>
    <t>Lewiston-Woodville, Town Of</t>
  </si>
  <si>
    <t>Bladen County</t>
  </si>
  <si>
    <t>Elizabethtown, Town Of</t>
  </si>
  <si>
    <t>Elizabethtown A.B.C. Board</t>
  </si>
  <si>
    <t>Southeastern Economic Develop. Com</t>
  </si>
  <si>
    <t>White Lake, Town Of</t>
  </si>
  <si>
    <t>Clarkton, Town Of</t>
  </si>
  <si>
    <t>Bladenboro, Town Of</t>
  </si>
  <si>
    <t>Brunswick County</t>
  </si>
  <si>
    <t>Leland, Town Of</t>
  </si>
  <si>
    <t>Brunswick County Health Department</t>
  </si>
  <si>
    <t>Brunswick County A.B.C. Board</t>
  </si>
  <si>
    <t>Brunswick County Welfare Department</t>
  </si>
  <si>
    <t>Calabash A.B.C. Board</t>
  </si>
  <si>
    <t>Cape Fear Council Of Governments</t>
  </si>
  <si>
    <t>Brunswick County Tourism Develop. Authority</t>
  </si>
  <si>
    <t>Calabash, Town Of</t>
  </si>
  <si>
    <t>Southport, City Of</t>
  </si>
  <si>
    <t>Northwest, City Of</t>
  </si>
  <si>
    <t>Holden Beach, Town Of</t>
  </si>
  <si>
    <t>Southport A.B.C. Board</t>
  </si>
  <si>
    <t>Belville, Town Of</t>
  </si>
  <si>
    <t>Oak Island, Town Of</t>
  </si>
  <si>
    <t>Carolina Shores, Town of</t>
  </si>
  <si>
    <t>TOWN OF NAVASSA</t>
  </si>
  <si>
    <t>Oak Island A.B.C. Board</t>
  </si>
  <si>
    <t>St. James, Town Of</t>
  </si>
  <si>
    <t>Sunset Beach, Town Of</t>
  </si>
  <si>
    <t>North Brunswick Sanitary District</t>
  </si>
  <si>
    <t>Sunset Beach A.B.C. Board</t>
  </si>
  <si>
    <t>Caswell Beach, Town Of</t>
  </si>
  <si>
    <t>Shallotte A.B.C. Board</t>
  </si>
  <si>
    <t>Ocean Isle Beach, Town Of</t>
  </si>
  <si>
    <t>Ocean Isle A.B.C. Board</t>
  </si>
  <si>
    <t>Boiling Spring Lakes, City Of</t>
  </si>
  <si>
    <t>Boiling Spring Lakes A.B.C. Board</t>
  </si>
  <si>
    <t>Shallotte, Town Of</t>
  </si>
  <si>
    <t>Bald Head Island, Village Of</t>
  </si>
  <si>
    <t>Buncombe County</t>
  </si>
  <si>
    <t>Land-Of-Sky Regional Council</t>
  </si>
  <si>
    <t>Woodfin ABC Commission</t>
  </si>
  <si>
    <t>Western NC Regional Air Pollution Control</t>
  </si>
  <si>
    <t>Metro Sewerage Dist Of Buncombe County</t>
  </si>
  <si>
    <t>Woodfin Sanitary Water &amp; Sewer District</t>
  </si>
  <si>
    <t>Biltmore Forest, Town Of</t>
  </si>
  <si>
    <t>WESTERN HIGHLAND AREA AUTHORITY</t>
  </si>
  <si>
    <t>West Buncombe Fire Department</t>
  </si>
  <si>
    <t>Asheville, City Of</t>
  </si>
  <si>
    <t>Asheville A.B.C. Board</t>
  </si>
  <si>
    <t>Asheville Regional Airport Authority</t>
  </si>
  <si>
    <t>Skyland Volunteer Fire Department</t>
  </si>
  <si>
    <t>Weaverville, Town Of</t>
  </si>
  <si>
    <t>Weaverville A.B.C. Board</t>
  </si>
  <si>
    <t>Black Mountain, Town Of</t>
  </si>
  <si>
    <t>Black Mountain A.B.C. Board</t>
  </si>
  <si>
    <t>Montreat, Town Of</t>
  </si>
  <si>
    <t>Woodfin, Town Of</t>
  </si>
  <si>
    <t>Burke County</t>
  </si>
  <si>
    <t>Burke-Catawba Dist. Confinement Fa</t>
  </si>
  <si>
    <t>Burke County Health Department</t>
  </si>
  <si>
    <t>Burke County Welfare Department</t>
  </si>
  <si>
    <t xml:space="preserve">Burke County Tourism Development Authority </t>
  </si>
  <si>
    <t>Valdese, Town Of</t>
  </si>
  <si>
    <t>Valdese Housing Authority</t>
  </si>
  <si>
    <t>Rutherford College, Town of</t>
  </si>
  <si>
    <t>Morganton A.B.C. Board</t>
  </si>
  <si>
    <t>Drexel, Town Of</t>
  </si>
  <si>
    <t>Morganton, City Of</t>
  </si>
  <si>
    <t>Morganton Housing Authority</t>
  </si>
  <si>
    <t>Glen Alpine, Town Of</t>
  </si>
  <si>
    <t>Hildebrand, Town Of</t>
  </si>
  <si>
    <t>Connelly Springs, Town Of</t>
  </si>
  <si>
    <t>Cabarrus County</t>
  </si>
  <si>
    <t>Water &amp; Sewer Authority Of Cabarrus County</t>
  </si>
  <si>
    <t>Cabarrus Co. Public Health Auth</t>
  </si>
  <si>
    <t>Cabarrus Co. Tourism Auth</t>
  </si>
  <si>
    <t>Concord, City Of</t>
  </si>
  <si>
    <t>Concord A.B.C. Board</t>
  </si>
  <si>
    <t>Mount Pleasant, Town Of</t>
  </si>
  <si>
    <t>Mt. Pleasant A.B.C. Board</t>
  </si>
  <si>
    <t>Kannapolis, Town Of</t>
  </si>
  <si>
    <t>Midland, Town of</t>
  </si>
  <si>
    <t>Caldwell County</t>
  </si>
  <si>
    <t>Granite Falls, Town Of</t>
  </si>
  <si>
    <t>Granite Falls A.B.C. Board</t>
  </si>
  <si>
    <t>Sawmills, Town Of</t>
  </si>
  <si>
    <t>Lenoir Housing Authority</t>
  </si>
  <si>
    <t>Hudson, Town Of</t>
  </si>
  <si>
    <t>Harrisburg, Town Of</t>
  </si>
  <si>
    <t>Lenoir, City Of</t>
  </si>
  <si>
    <t>Lenoir A.B.C. Board</t>
  </si>
  <si>
    <t>Cajah's Mountain, Town Of</t>
  </si>
  <si>
    <t>Camden County</t>
  </si>
  <si>
    <t>Camden County A.B.C. Board</t>
  </si>
  <si>
    <t>Carteret County</t>
  </si>
  <si>
    <t>Carteret County A.B.C. Board</t>
  </si>
  <si>
    <t>Western Cartert Interlocal Agency</t>
  </si>
  <si>
    <t>Morehead City, Town Of</t>
  </si>
  <si>
    <t>Newport, Town Of</t>
  </si>
  <si>
    <t>Beaufort, Town Of</t>
  </si>
  <si>
    <t>Beaufort Housing Authority</t>
  </si>
  <si>
    <t>Pine Knoll Shores, Town Of</t>
  </si>
  <si>
    <t>Emerald Isle, Town Of</t>
  </si>
  <si>
    <t>Indian Beach, Town Of</t>
  </si>
  <si>
    <t>Cape Carteret, Town Of</t>
  </si>
  <si>
    <t>Atlantic Beach, Town Of</t>
  </si>
  <si>
    <t>Cedar Point, Town Of</t>
  </si>
  <si>
    <t>Caswell County</t>
  </si>
  <si>
    <t>Caswell County A.B.C. Board</t>
  </si>
  <si>
    <t>Caswell County Welfare Department</t>
  </si>
  <si>
    <t>Yanceyville, Town Of</t>
  </si>
  <si>
    <t>Catawba County</t>
  </si>
  <si>
    <t>Catawba County A.B.C. Board</t>
  </si>
  <si>
    <t>Hickory, City Of</t>
  </si>
  <si>
    <t>Hickory/Conover Tourism Dev. Authority</t>
  </si>
  <si>
    <t>Hickory Housing Authority</t>
  </si>
  <si>
    <t>Western Piedmont Council of Governments</t>
  </si>
  <si>
    <t>Western Piedmont Regional Transit Authority</t>
  </si>
  <si>
    <t>Claremont, Town Of</t>
  </si>
  <si>
    <t>Maiden, Town Of</t>
  </si>
  <si>
    <t>Long View, Town Of</t>
  </si>
  <si>
    <t>Conover, Town Of</t>
  </si>
  <si>
    <t>Brookford, Town Of</t>
  </si>
  <si>
    <t>Newton, Town Of</t>
  </si>
  <si>
    <t>Catawba, Town Of</t>
  </si>
  <si>
    <t>Chatham County</t>
  </si>
  <si>
    <t>Chatham County Housing Authority</t>
  </si>
  <si>
    <t>Chatham County A.B.C. Board</t>
  </si>
  <si>
    <t>Goldston-Gulf Sanitary District</t>
  </si>
  <si>
    <t>Siler City, Town Of</t>
  </si>
  <si>
    <t>Siler City A.B.C. Board</t>
  </si>
  <si>
    <t>Pittsboro, Town Of</t>
  </si>
  <si>
    <t>Cherokee County</t>
  </si>
  <si>
    <t>Nantahala Regional Library</t>
  </si>
  <si>
    <t>Murphy, Town Of</t>
  </si>
  <si>
    <t>Murphy A.B.C. Board</t>
  </si>
  <si>
    <t>Andrews, Town Of</t>
  </si>
  <si>
    <t>Chowan County</t>
  </si>
  <si>
    <t>Chowan County A.B.C. Board</t>
  </si>
  <si>
    <t>Albemarle Regional Plan. &amp; Develop. Com</t>
  </si>
  <si>
    <t>Edenton, Town Of</t>
  </si>
  <si>
    <t>The New Edenton Housing Authority</t>
  </si>
  <si>
    <t>Clay County</t>
  </si>
  <si>
    <t>Cleveland County</t>
  </si>
  <si>
    <t>Cleveland County Sanitary District</t>
  </si>
  <si>
    <t>Shelby, City Of</t>
  </si>
  <si>
    <t>Shelby A.B.C. Board</t>
  </si>
  <si>
    <t>Kings Mountain, City Of</t>
  </si>
  <si>
    <t>Kings Mountain A.B.C. Board</t>
  </si>
  <si>
    <t>Boiling Springs, Town Of</t>
  </si>
  <si>
    <t>Lawndale, Town Of</t>
  </si>
  <si>
    <t>Grover, Town Of</t>
  </si>
  <si>
    <t>Columbus County</t>
  </si>
  <si>
    <t>Whiteville Housing Authority</t>
  </si>
  <si>
    <t>Whiteville, City Of</t>
  </si>
  <si>
    <t>TOWN OF BOLTON</t>
  </si>
  <si>
    <t>Whiteville A.B.C. Board</t>
  </si>
  <si>
    <t>Brunswick, Town Of</t>
  </si>
  <si>
    <t>Lake Waccamaw A.B.C. Board</t>
  </si>
  <si>
    <t>Fair Bluff, Town Of</t>
  </si>
  <si>
    <t>Chadbourn, Town Of</t>
  </si>
  <si>
    <t>Chadburn A.B.C. Board</t>
  </si>
  <si>
    <t>Tabor City, Town Of</t>
  </si>
  <si>
    <t>Lake Woccamaw, Town Of</t>
  </si>
  <si>
    <t>Craven County</t>
  </si>
  <si>
    <t>First Craven Sanitary District</t>
  </si>
  <si>
    <t>Craven County A.B.C. Board</t>
  </si>
  <si>
    <t>Craven-Pamlico-Carteret Regional Library</t>
  </si>
  <si>
    <t>Craven County Airport Authority</t>
  </si>
  <si>
    <t>Neuse River Council Of Governments</t>
  </si>
  <si>
    <t>Coastal Regional Waste Management Authority</t>
  </si>
  <si>
    <t>Neuse Clinic</t>
  </si>
  <si>
    <t>New Bern, City Of</t>
  </si>
  <si>
    <t>Trent Woods, Town Of</t>
  </si>
  <si>
    <t>Havelock, City Of</t>
  </si>
  <si>
    <t>River Bend, Town Of</t>
  </si>
  <si>
    <t>Vanceboro, Town Of</t>
  </si>
  <si>
    <t>Bridgeton, Town Of</t>
  </si>
  <si>
    <t>Cove City, Town Of</t>
  </si>
  <si>
    <t>Cumberland County</t>
  </si>
  <si>
    <t>Westarea Volunteer Fire Department</t>
  </si>
  <si>
    <t>Cumberland County A.B.C. Board</t>
  </si>
  <si>
    <t>Region M Council Of Governments</t>
  </si>
  <si>
    <t>Cumberland Memorial Auditorium Com</t>
  </si>
  <si>
    <t>Fayetteville, City Of</t>
  </si>
  <si>
    <t>Fayetteville Metro. Housing Authority</t>
  </si>
  <si>
    <t>Fayetteville Public Works Commission</t>
  </si>
  <si>
    <t>Stedman, Town Of</t>
  </si>
  <si>
    <t>Hope Mills, Town Of</t>
  </si>
  <si>
    <t>Wade, Town Of</t>
  </si>
  <si>
    <t>Linden, Town Of</t>
  </si>
  <si>
    <t>Spring Lake, Town Of</t>
  </si>
  <si>
    <t>Falcon, Town Of</t>
  </si>
  <si>
    <t>Eastover, Town Of</t>
  </si>
  <si>
    <t>Currituck County</t>
  </si>
  <si>
    <t>Currituck County A.B.C. Board</t>
  </si>
  <si>
    <t>Dare County</t>
  </si>
  <si>
    <t>Dare County Tourism Board</t>
  </si>
  <si>
    <t>Dare County A.B.C. Board</t>
  </si>
  <si>
    <t>Nags Head, Town Of</t>
  </si>
  <si>
    <t>Kill Devil Hills, Town Of</t>
  </si>
  <si>
    <t>Manteo, Town Of</t>
  </si>
  <si>
    <t>Southern Shores, Town Of</t>
  </si>
  <si>
    <t>Kitty Hawk, Town Of</t>
  </si>
  <si>
    <t>Duck, Town Of</t>
  </si>
  <si>
    <t>Davidson County</t>
  </si>
  <si>
    <t>Thomasville, City Of</t>
  </si>
  <si>
    <t>Thomasville Housing Authority</t>
  </si>
  <si>
    <t>Lexington A.B.C. Board</t>
  </si>
  <si>
    <t>Denton, Town Of</t>
  </si>
  <si>
    <t>Lexington, City Of</t>
  </si>
  <si>
    <t>TOWN OF MIDWAY</t>
  </si>
  <si>
    <t>Davie County</t>
  </si>
  <si>
    <t>Davie Soil &amp; Water Conservation District</t>
  </si>
  <si>
    <t>Mocksville, Town Of</t>
  </si>
  <si>
    <t>Bermuda Run, Town Of</t>
  </si>
  <si>
    <t>Cooleemee A.B.C. Board</t>
  </si>
  <si>
    <t>Cooleemee, Town Of</t>
  </si>
  <si>
    <t>Duplin County</t>
  </si>
  <si>
    <t>Duplin-Sampson Area Mental Health</t>
  </si>
  <si>
    <t>Beulaville, Town Of</t>
  </si>
  <si>
    <t>Kenansville, Town Of</t>
  </si>
  <si>
    <t>Kenansville A.B.C. Board</t>
  </si>
  <si>
    <t>Warsaw, Town Of</t>
  </si>
  <si>
    <t>Warsaw A.B.C. Board</t>
  </si>
  <si>
    <t>Faison, Town Of</t>
  </si>
  <si>
    <t>Wallace, Town Of</t>
  </si>
  <si>
    <t>Wallace A.B.C. Board</t>
  </si>
  <si>
    <t>Rose Hill, Town Of</t>
  </si>
  <si>
    <t>Calypso, Town Of</t>
  </si>
  <si>
    <t>Teachey, Town Of</t>
  </si>
  <si>
    <t>Magnolia, Town Of</t>
  </si>
  <si>
    <t>Durham County</t>
  </si>
  <si>
    <t>Parkwood Fire Department</t>
  </si>
  <si>
    <t>Durham County A.B.C. Board</t>
  </si>
  <si>
    <t>Alliance Behavioral Healthcare</t>
  </si>
  <si>
    <t>Durham, City Of</t>
  </si>
  <si>
    <t>Durham Convention and Visitors Bureau</t>
  </si>
  <si>
    <t>Triangle J Council Of Governments</t>
  </si>
  <si>
    <t>Edgecombe County</t>
  </si>
  <si>
    <t>Edgecombe County A.B.C. Board</t>
  </si>
  <si>
    <t>Edgecombe-Nash Memorial Library</t>
  </si>
  <si>
    <t>Region L Council Of Governments</t>
  </si>
  <si>
    <t>Tarboro, Town Of</t>
  </si>
  <si>
    <t>Tarboro Redevelopment Commission</t>
  </si>
  <si>
    <t>Rocky Mount, City Of</t>
  </si>
  <si>
    <t>Rocky Mount-Wilson Airport Authority</t>
  </si>
  <si>
    <t>Pinetops, Town Of</t>
  </si>
  <si>
    <t>Rocky Mount Housing Authority</t>
  </si>
  <si>
    <t>Macclesfield, Town Of</t>
  </si>
  <si>
    <t>Princeville, Town Of</t>
  </si>
  <si>
    <t>Forsyth County</t>
  </si>
  <si>
    <t>Airport Commission Of Forsyth County</t>
  </si>
  <si>
    <t>Piedmont Triad Regional Council</t>
  </si>
  <si>
    <t>Forsyth-Stokes Mental Health Authority</t>
  </si>
  <si>
    <t>Winston-Salem, City Of</t>
  </si>
  <si>
    <t>Winston-Salem Housing Authority</t>
  </si>
  <si>
    <t>Winston-Salem A.B.C. Board</t>
  </si>
  <si>
    <t>Kernersville, Town Of</t>
  </si>
  <si>
    <t>Rural Hall, Town Of</t>
  </si>
  <si>
    <t>Clemmons,  Village Of</t>
  </si>
  <si>
    <t>Clemmons Fire Department</t>
  </si>
  <si>
    <t>Lewisville, Town Of</t>
  </si>
  <si>
    <t>Walkertown, Town Of</t>
  </si>
  <si>
    <t>Tobaccoville,  Village Of</t>
  </si>
  <si>
    <t>Franklin County</t>
  </si>
  <si>
    <t>Franklinton, Town Of</t>
  </si>
  <si>
    <t>Franklinton A.B.C. Board</t>
  </si>
  <si>
    <t>Louisburg, Town Of</t>
  </si>
  <si>
    <t>Louisburg A.B.C. Board</t>
  </si>
  <si>
    <t>Bunn, Town Of</t>
  </si>
  <si>
    <t>Bunn A.B.C. Board</t>
  </si>
  <si>
    <t>Youngsville, Town Of</t>
  </si>
  <si>
    <t>Gaston County</t>
  </si>
  <si>
    <t>Stanley, Town Of</t>
  </si>
  <si>
    <t>Gaston-Lincoln Area Mental Health</t>
  </si>
  <si>
    <t>Mcadenville, Town Of</t>
  </si>
  <si>
    <t>Gastonia, City Of</t>
  </si>
  <si>
    <t>Gastonia A.B.C. Board</t>
  </si>
  <si>
    <t>Gaston Co. Economic Dev. Commission</t>
  </si>
  <si>
    <t>Belmont, City Of</t>
  </si>
  <si>
    <t>Belmont Housing Authority</t>
  </si>
  <si>
    <t>Cramerton, Town Of</t>
  </si>
  <si>
    <t>Cherryville, City Of</t>
  </si>
  <si>
    <t>Cherryville A.B.C. Board</t>
  </si>
  <si>
    <t>Dallas, Town Of</t>
  </si>
  <si>
    <t>Lowell, Town Of</t>
  </si>
  <si>
    <t>Bessemer City, City Of</t>
  </si>
  <si>
    <t>BESSEMER CITY A.B.C. BOARD</t>
  </si>
  <si>
    <t>Ranlo, Town Of</t>
  </si>
  <si>
    <t>Mt. Holly, City Of</t>
  </si>
  <si>
    <t>Gates County</t>
  </si>
  <si>
    <t>Gates County A.B.C. Board</t>
  </si>
  <si>
    <t>Graham County</t>
  </si>
  <si>
    <t>Graham County Health Department</t>
  </si>
  <si>
    <t>Graham County Welfare Department</t>
  </si>
  <si>
    <t>Robbinsville, Town of</t>
  </si>
  <si>
    <t>Granville County</t>
  </si>
  <si>
    <t>Granville County A.B.C. Board</t>
  </si>
  <si>
    <t>Granville County Hospital</t>
  </si>
  <si>
    <t>Granville-Vance Health District</t>
  </si>
  <si>
    <t>South Granville Water and Sewer Authority</t>
  </si>
  <si>
    <t>Oxford, City Of</t>
  </si>
  <si>
    <t>Oxford Housing Authority</t>
  </si>
  <si>
    <t>Stovall, Town Of</t>
  </si>
  <si>
    <t>Creedmoor, City Of</t>
  </si>
  <si>
    <t>Butner, Town Of</t>
  </si>
  <si>
    <t>Greene County</t>
  </si>
  <si>
    <t>Maury Sanitary Land District</t>
  </si>
  <si>
    <t>Greene County A.B.C. Board</t>
  </si>
  <si>
    <t>Neuse Regional Library - Greene County</t>
  </si>
  <si>
    <t>Hookerton, Town Of</t>
  </si>
  <si>
    <t>Snow Hill, Town Of</t>
  </si>
  <si>
    <t>Walstonburg, Town Of</t>
  </si>
  <si>
    <t>Guilford, County Of</t>
  </si>
  <si>
    <t>Guil-Rand Fire Department</t>
  </si>
  <si>
    <t>Pinecroft-Sedgefield Fire District</t>
  </si>
  <si>
    <t>Alamance Community Fire Dist.,Inc</t>
  </si>
  <si>
    <t>Greensboro, City Of</t>
  </si>
  <si>
    <t>Piedmont Triad Regional Water Authority</t>
  </si>
  <si>
    <t>Greensboro A.B.C. Board</t>
  </si>
  <si>
    <t>Guilford Fire District</t>
  </si>
  <si>
    <t>High Point, City Of</t>
  </si>
  <si>
    <t>High Point A.B.C. Board</t>
  </si>
  <si>
    <t>Jamestown, Town Of</t>
  </si>
  <si>
    <t>Gibsonville, Town Of</t>
  </si>
  <si>
    <t>Gibsonville A.B.C. Board</t>
  </si>
  <si>
    <t>Oak Ridge, Town Of</t>
  </si>
  <si>
    <t>Colfax Volunteer Fire Department</t>
  </si>
  <si>
    <t>Summerfield, Town Of</t>
  </si>
  <si>
    <t>Summerfield Fire District</t>
  </si>
  <si>
    <t>Halifax County</t>
  </si>
  <si>
    <t>Halifax County A.B.C. Board</t>
  </si>
  <si>
    <t>Halifax County Tourism Development Authority</t>
  </si>
  <si>
    <t>Roanoke Rapids Sanitary District</t>
  </si>
  <si>
    <t>Enfield, Town Of</t>
  </si>
  <si>
    <t>Roanoke Rapids, City Of</t>
  </si>
  <si>
    <t>Weldon, Town Of</t>
  </si>
  <si>
    <t>Scotland Neck, Town Of</t>
  </si>
  <si>
    <t>Hobgood, Town Of</t>
  </si>
  <si>
    <t>Littleton, Town Of</t>
  </si>
  <si>
    <t>Harnett County</t>
  </si>
  <si>
    <t>Dunn, Town Of</t>
  </si>
  <si>
    <t>Dunn Housing Authority</t>
  </si>
  <si>
    <t>Dunn A.B.C. Board</t>
  </si>
  <si>
    <t>Lillington, Town Of</t>
  </si>
  <si>
    <t>Erwin, Town Of</t>
  </si>
  <si>
    <t>Coats, Town Of</t>
  </si>
  <si>
    <t>Angier A.B.C. Board</t>
  </si>
  <si>
    <t>Angier, Town Of</t>
  </si>
  <si>
    <t>Haywood County</t>
  </si>
  <si>
    <t>Haywood Medical Center</t>
  </si>
  <si>
    <t>Junaluska Sanitary District</t>
  </si>
  <si>
    <t>Waynesville, Town Of</t>
  </si>
  <si>
    <t>Waynesville A.B.C. Board</t>
  </si>
  <si>
    <t>Maggie Valley, Town Of</t>
  </si>
  <si>
    <t>Maggie Valley A.B.C. Board</t>
  </si>
  <si>
    <t>Maggie Valley Sanitary District</t>
  </si>
  <si>
    <t>Canton, Town Of</t>
  </si>
  <si>
    <t>Canton A.B.C. Board</t>
  </si>
  <si>
    <t>Henderson County</t>
  </si>
  <si>
    <t>Hendersonville, City Of</t>
  </si>
  <si>
    <t>Hendersonville Water Commission</t>
  </si>
  <si>
    <t>Hendersonville A.B.C. Board</t>
  </si>
  <si>
    <t>Laurel Park, Town Of</t>
  </si>
  <si>
    <t>Laurel Park A.B.C. Board</t>
  </si>
  <si>
    <t>Flat Rock, Village Of</t>
  </si>
  <si>
    <t>Blue Ridge Fire Department</t>
  </si>
  <si>
    <t>Fletcher, Town Of</t>
  </si>
  <si>
    <t>Fletcher A.B.C. Board</t>
  </si>
  <si>
    <t>Mills River, Town Of</t>
  </si>
  <si>
    <t>Hertford County</t>
  </si>
  <si>
    <t>Hertford County A.B.C. Board</t>
  </si>
  <si>
    <t>Hertford County Public Health Authority</t>
  </si>
  <si>
    <t>Ahoskie, Town Of</t>
  </si>
  <si>
    <t>Murfreesboro, Town Of</t>
  </si>
  <si>
    <t>Winton, Town Of</t>
  </si>
  <si>
    <t>Cofield, Town Of</t>
  </si>
  <si>
    <t>Hoke County</t>
  </si>
  <si>
    <t>Hoke County A.B.C. Board</t>
  </si>
  <si>
    <t>Raeford, Town Of</t>
  </si>
  <si>
    <t>Hyde County</t>
  </si>
  <si>
    <t>Hyde County A.B.C. Board</t>
  </si>
  <si>
    <t>Ocracoke Sanitary District</t>
  </si>
  <si>
    <t>Iredell County</t>
  </si>
  <si>
    <t>Greater Statesville Development Co</t>
  </si>
  <si>
    <t>Statesville, City Of</t>
  </si>
  <si>
    <t>Statesville A.B.C. Board</t>
  </si>
  <si>
    <t>Mooresville, City Of</t>
  </si>
  <si>
    <t>Mooresville Housing Authority</t>
  </si>
  <si>
    <t>Mooresville A.B.C. Board</t>
  </si>
  <si>
    <t>Troutman, Town Of</t>
  </si>
  <si>
    <t>MI Connection Communications System</t>
  </si>
  <si>
    <t>Jackson County</t>
  </si>
  <si>
    <t>Tuckaseigee Water And Sewer Auth</t>
  </si>
  <si>
    <t>Fontana Regional Library</t>
  </si>
  <si>
    <t>Southwestern Plan. &amp; Econ. Dev. Co</t>
  </si>
  <si>
    <t>Smoky Mountain Mental Health Center</t>
  </si>
  <si>
    <t>Sylva, Town Of</t>
  </si>
  <si>
    <t>Sylva A.B.C. Board</t>
  </si>
  <si>
    <t>Johnston County</t>
  </si>
  <si>
    <t>Benson Housing Authority</t>
  </si>
  <si>
    <t>Johnston County A.B.C. Board</t>
  </si>
  <si>
    <t>Johnston County Public Library</t>
  </si>
  <si>
    <t>Archer Lodge, Town Of</t>
  </si>
  <si>
    <t>Johnston County Memorial Hospital Authority</t>
  </si>
  <si>
    <t>Smithfield, Town Of</t>
  </si>
  <si>
    <t>Smithfield Housing Authority</t>
  </si>
  <si>
    <t>Selma, Town Of</t>
  </si>
  <si>
    <t>Micro, Town of</t>
  </si>
  <si>
    <t>Selma Housing Authority</t>
  </si>
  <si>
    <t>Clayton, Town Of</t>
  </si>
  <si>
    <t>Benson, Town Of</t>
  </si>
  <si>
    <t>Four Oaks, Town Of</t>
  </si>
  <si>
    <t>Pine Level, Town Of</t>
  </si>
  <si>
    <t>Kenly, Town Of</t>
  </si>
  <si>
    <t>Princeton, Town Of</t>
  </si>
  <si>
    <t>Wilson's Mills, Town Of</t>
  </si>
  <si>
    <t>Jones County</t>
  </si>
  <si>
    <t>Jones County A.B.C. Board</t>
  </si>
  <si>
    <t>Neuse Regional Library - Jones County</t>
  </si>
  <si>
    <t>Pollocksville, Town Of</t>
  </si>
  <si>
    <t>Maysville, Town Of</t>
  </si>
  <si>
    <t>Lee County</t>
  </si>
  <si>
    <t>Sanford, City Of</t>
  </si>
  <si>
    <t>Sanford A.B.C. Board</t>
  </si>
  <si>
    <t>Broadway, Town Of</t>
  </si>
  <si>
    <t>Lenoir County</t>
  </si>
  <si>
    <t>Lenoir County A.B.C. Board</t>
  </si>
  <si>
    <t>Neuse Regional Library</t>
  </si>
  <si>
    <t>Kinston, City Of</t>
  </si>
  <si>
    <t>Global Transpark Development Comm</t>
  </si>
  <si>
    <t>Kinston Housing Authority</t>
  </si>
  <si>
    <t>Kinston-Lenoir County Library</t>
  </si>
  <si>
    <t>Pink Hill, Town Of</t>
  </si>
  <si>
    <t>Lagrange, Town Of</t>
  </si>
  <si>
    <t>Lincoln County</t>
  </si>
  <si>
    <t>Lincoln County A.B.C. Board</t>
  </si>
  <si>
    <t>Lincolnton, City Of</t>
  </si>
  <si>
    <t>Lincolnton Housing Authority</t>
  </si>
  <si>
    <t>Lincolnton A.B.C. Board</t>
  </si>
  <si>
    <t>Macon County</t>
  </si>
  <si>
    <t>Franklin, Town Of</t>
  </si>
  <si>
    <t>Highlands A.B.C. Board</t>
  </si>
  <si>
    <t>Highlands, Town Of</t>
  </si>
  <si>
    <t>Madison County</t>
  </si>
  <si>
    <t>Mars Hill, Town Of</t>
  </si>
  <si>
    <t>Marshall, Town Of</t>
  </si>
  <si>
    <t>Hot Springs Housing Authority</t>
  </si>
  <si>
    <t>Martin County</t>
  </si>
  <si>
    <t>Martin County Travel &amp; Tourism Authority</t>
  </si>
  <si>
    <t>Martin County A B C Board</t>
  </si>
  <si>
    <t>Williamston, City Of</t>
  </si>
  <si>
    <t>Williamston Housing Authority</t>
  </si>
  <si>
    <t>Oak City, Town Of</t>
  </si>
  <si>
    <t>Hamilton, Town Of</t>
  </si>
  <si>
    <t>Jamesville, Town Of</t>
  </si>
  <si>
    <t>Robersonville, Town Of</t>
  </si>
  <si>
    <t>Robersonville Housing Authority</t>
  </si>
  <si>
    <t>Mc Dowell County</t>
  </si>
  <si>
    <t>Pleasant Garden Fire Department</t>
  </si>
  <si>
    <t>Marion, Town Of</t>
  </si>
  <si>
    <t>Marion A.B.C. Board</t>
  </si>
  <si>
    <t>Old Fort, Town Of</t>
  </si>
  <si>
    <t>Mecklenburg County</t>
  </si>
  <si>
    <t>Charlott Housing Authority</t>
  </si>
  <si>
    <t>Mecklenburg County A.B.C. Board</t>
  </si>
  <si>
    <t>Charlotte-Mecklenburg Public Libra</t>
  </si>
  <si>
    <t>Mecklenburg County Ems Agency</t>
  </si>
  <si>
    <t>Centralina Council Of Governments</t>
  </si>
  <si>
    <t>Charlotte, City Of</t>
  </si>
  <si>
    <t>Charlotte Auditorium-Coliseum</t>
  </si>
  <si>
    <t>Charlotte Fire Ret Sys Board of Trust</t>
  </si>
  <si>
    <t>Pineville, Town Of</t>
  </si>
  <si>
    <t>Mint Hill, Town Of</t>
  </si>
  <si>
    <t>Huntersville, Town Of</t>
  </si>
  <si>
    <t>Cornelius, Town Of</t>
  </si>
  <si>
    <t>Stallings, Town Of</t>
  </si>
  <si>
    <t>Matthews, Town Of</t>
  </si>
  <si>
    <t>Davidson, Town Of</t>
  </si>
  <si>
    <t>Mitchell County</t>
  </si>
  <si>
    <t>Mitchell Soil &amp; Water Conserv. District</t>
  </si>
  <si>
    <t>Spruce Pine, Town Of</t>
  </si>
  <si>
    <t>Bakersville, Town Of</t>
  </si>
  <si>
    <t>Montgomery County</t>
  </si>
  <si>
    <t>Montgomery-Municipal A.B.C. Board</t>
  </si>
  <si>
    <t>Star, Town Of</t>
  </si>
  <si>
    <t>Troy, Town Of</t>
  </si>
  <si>
    <t>Biscoe, Town Of</t>
  </si>
  <si>
    <t>Candor, Town Of</t>
  </si>
  <si>
    <t>Mount Gilead, Town Of</t>
  </si>
  <si>
    <t>Moore County</t>
  </si>
  <si>
    <t>Taylortown, Town Of</t>
  </si>
  <si>
    <t>Moore County A.B.C. Board</t>
  </si>
  <si>
    <t>Moore County Tourism Develop. Auth.</t>
  </si>
  <si>
    <t>Moore County Airport Authority</t>
  </si>
  <si>
    <t>Southern Pines, Town Of</t>
  </si>
  <si>
    <t>Cameron, Town Of</t>
  </si>
  <si>
    <t>Vass, Town Of</t>
  </si>
  <si>
    <t>Aberdeen, Town Of</t>
  </si>
  <si>
    <t>Robbins, Town Of</t>
  </si>
  <si>
    <t>Pinehurst, Village Of</t>
  </si>
  <si>
    <t>Pinebluff, Town Of</t>
  </si>
  <si>
    <t>Whispering Pines, Village Of</t>
  </si>
  <si>
    <t>Foxfire Village</t>
  </si>
  <si>
    <t>Carthage, Town Of</t>
  </si>
  <si>
    <t>Nash County</t>
  </si>
  <si>
    <t>Nash County A.B.C. Board</t>
  </si>
  <si>
    <t>Braswell Memorial Library</t>
  </si>
  <si>
    <t>Spring Hope, Town Of</t>
  </si>
  <si>
    <t>Nashville, Town Of</t>
  </si>
  <si>
    <t>Middlesex, Town Of</t>
  </si>
  <si>
    <t>Whitakers, Town Of</t>
  </si>
  <si>
    <t>Bailey, Town Of</t>
  </si>
  <si>
    <t>Sharpsburg, Town of</t>
  </si>
  <si>
    <t>New Hanover County</t>
  </si>
  <si>
    <t>New Hanover Airport Authority</t>
  </si>
  <si>
    <t>Wilmington Housing Authority</t>
  </si>
  <si>
    <t>New Hanover County A.B.C. Board</t>
  </si>
  <si>
    <t>Cape Fear Public Utility Authority</t>
  </si>
  <si>
    <t>Lower Cape Fear Water &amp; Sewer Auth</t>
  </si>
  <si>
    <t>Wrightsville Beach, Town Of</t>
  </si>
  <si>
    <t>Cape Fear Public Transportation Authority</t>
  </si>
  <si>
    <t>Coastal Care</t>
  </si>
  <si>
    <t>Carolina Beach, Town Of</t>
  </si>
  <si>
    <t>Wilmington, City Of</t>
  </si>
  <si>
    <t>Kure Beach, Town Of</t>
  </si>
  <si>
    <t>Northampton County</t>
  </si>
  <si>
    <t>Northampton County A.B.C. Board</t>
  </si>
  <si>
    <t>Rich Square, Town Of</t>
  </si>
  <si>
    <t>Choanoke Public Transportation Authority</t>
  </si>
  <si>
    <t>Woodland, Town Of</t>
  </si>
  <si>
    <t>Garysburg, Town Of</t>
  </si>
  <si>
    <t>Conway, Town Of</t>
  </si>
  <si>
    <t>Gaston, Town Of</t>
  </si>
  <si>
    <t>Jackson, Town Of</t>
  </si>
  <si>
    <t>Severn, Town Of</t>
  </si>
  <si>
    <t>Seaboard, Town Of</t>
  </si>
  <si>
    <t>Onslow County</t>
  </si>
  <si>
    <t>Onslow County A.B.C. Board</t>
  </si>
  <si>
    <t>Onslow Water &amp; Sewage Authority</t>
  </si>
  <si>
    <t>Jacksonville, City Of</t>
  </si>
  <si>
    <t>Swansboro, Town Of</t>
  </si>
  <si>
    <t>Holly Ridge, Town Of</t>
  </si>
  <si>
    <t>Holly Ridge Housing Authority</t>
  </si>
  <si>
    <t>Richlands, Town Of</t>
  </si>
  <si>
    <t>North Topsail Beach, Town Of</t>
  </si>
  <si>
    <t>Orange County</t>
  </si>
  <si>
    <t>Orange County A.B.C. Board</t>
  </si>
  <si>
    <t>Orange Water &amp; Sewer Authority</t>
  </si>
  <si>
    <t>Chapel Hill, Town Of</t>
  </si>
  <si>
    <t>Carrboro, Town Of</t>
  </si>
  <si>
    <t>Hillsborough, Town Of</t>
  </si>
  <si>
    <t>Pamlico County</t>
  </si>
  <si>
    <t>Bayboro, Town Of</t>
  </si>
  <si>
    <t>Oriental, Town Of</t>
  </si>
  <si>
    <t>Bay River Metro Sewerage District</t>
  </si>
  <si>
    <t>Pasquotank County</t>
  </si>
  <si>
    <t>Pasquotank-Camden Ambulance Service</t>
  </si>
  <si>
    <t>Pasquotank County A.B.C Board</t>
  </si>
  <si>
    <t>East Albemarle Regional Library</t>
  </si>
  <si>
    <t>Albemarle District Jail Commission</t>
  </si>
  <si>
    <t>Albemarle Hospital Authority</t>
  </si>
  <si>
    <t>Elizabeth City</t>
  </si>
  <si>
    <t>Elizabeth-Pasquotank Co Airport Au</t>
  </si>
  <si>
    <t>Elizabeth City - Pasquotank Co. Tourism Dev. Auth.</t>
  </si>
  <si>
    <t>Pasquotank-Camden Library</t>
  </si>
  <si>
    <t>Elizabeth-Pasquotank Co Ind Dev Co</t>
  </si>
  <si>
    <t>Pender County</t>
  </si>
  <si>
    <t>Pender County A.B.C. Board</t>
  </si>
  <si>
    <t>Burgaw, Town Of</t>
  </si>
  <si>
    <t>Topsail Beach, Town Of</t>
  </si>
  <si>
    <t>Surf City</t>
  </si>
  <si>
    <t>Perquimans County</t>
  </si>
  <si>
    <t>Hertford, Town Of</t>
  </si>
  <si>
    <t>Hertford Housing Authority</t>
  </si>
  <si>
    <t>Hertford A.B.C. Board</t>
  </si>
  <si>
    <t>Winfall, Town Of</t>
  </si>
  <si>
    <t>Person County</t>
  </si>
  <si>
    <t>Person County A.B.C. Board</t>
  </si>
  <si>
    <t>Roxboro, City Of</t>
  </si>
  <si>
    <t>Pitt County</t>
  </si>
  <si>
    <t>Pitt-Greenville Convention &amp; Visitors Authority</t>
  </si>
  <si>
    <t>Pitt County A.B.C. Board</t>
  </si>
  <si>
    <t>Sheppard Memorial Library</t>
  </si>
  <si>
    <t>Contentnea Metro. Sewage District</t>
  </si>
  <si>
    <t>Greenville, City Of</t>
  </si>
  <si>
    <t>Greenville Utilities Commission</t>
  </si>
  <si>
    <t>Greenville Housing Authority</t>
  </si>
  <si>
    <t>Farmville, City Of</t>
  </si>
  <si>
    <t>Farmville Housing Authority</t>
  </si>
  <si>
    <t>Grifton, Town Of</t>
  </si>
  <si>
    <t>Bethel, Town Of</t>
  </si>
  <si>
    <t>Winterville, Town Of</t>
  </si>
  <si>
    <t>Ayden, Town Of</t>
  </si>
  <si>
    <t>Ayden Housing Authority</t>
  </si>
  <si>
    <t>Grimesland, Town Of</t>
  </si>
  <si>
    <t>Simpson, Village Of</t>
  </si>
  <si>
    <t>Fountain, Town of</t>
  </si>
  <si>
    <t>Polk County</t>
  </si>
  <si>
    <t>Tryon, Town Of</t>
  </si>
  <si>
    <t>Columbus, Town Of</t>
  </si>
  <si>
    <t>Saluda, Town Of</t>
  </si>
  <si>
    <t>Randolph County</t>
  </si>
  <si>
    <t>Asheboro A.B.C. Board</t>
  </si>
  <si>
    <t>Asheboro, City Of</t>
  </si>
  <si>
    <t>Asheboro Housing Authority</t>
  </si>
  <si>
    <t>Randleman, City Of</t>
  </si>
  <si>
    <t>Randleman Housing Authority</t>
  </si>
  <si>
    <t>Randleman A.B.C. Board</t>
  </si>
  <si>
    <t>Liberty, Town Of</t>
  </si>
  <si>
    <t>Liberty A.B.C. Board</t>
  </si>
  <si>
    <t>Ramseur, Town Of</t>
  </si>
  <si>
    <t>Archdale, City Of</t>
  </si>
  <si>
    <t>Trinity, City Of</t>
  </si>
  <si>
    <t>Richmond County</t>
  </si>
  <si>
    <t>Sandhill Regional Library</t>
  </si>
  <si>
    <t>Rockingham, City Of</t>
  </si>
  <si>
    <t>Rockingham Housing Authority</t>
  </si>
  <si>
    <t>Hamlet A.B.C. Board</t>
  </si>
  <si>
    <t>Hamlet, City Of</t>
  </si>
  <si>
    <t>Rockingham A.B.C. Board</t>
  </si>
  <si>
    <t>Ellerbe, Town Of</t>
  </si>
  <si>
    <t>Robeson County</t>
  </si>
  <si>
    <t>Lumber River Council Of Governments</t>
  </si>
  <si>
    <t>Robeson County Housing Authority</t>
  </si>
  <si>
    <t>Robeson County Public Library</t>
  </si>
  <si>
    <t>Lumberton, City Of</t>
  </si>
  <si>
    <t>Lumberton A.B.C. Board</t>
  </si>
  <si>
    <t>Lumberton Airport Commission</t>
  </si>
  <si>
    <t>Fairmont, Town Of</t>
  </si>
  <si>
    <t>Fairmont Housing Authority</t>
  </si>
  <si>
    <t>St. Pauls, Town Of</t>
  </si>
  <si>
    <t>Saint Paul's A.B.C. Board</t>
  </si>
  <si>
    <t>Maxton, Town Of</t>
  </si>
  <si>
    <t>Town of Parkton</t>
  </si>
  <si>
    <t>Maxton A.B.C. Board</t>
  </si>
  <si>
    <t>Pembroke, Town Of</t>
  </si>
  <si>
    <t>Pembroke Housing Authority</t>
  </si>
  <si>
    <t>Rowland, Town Of</t>
  </si>
  <si>
    <t>Red Springs, Town of</t>
  </si>
  <si>
    <t>Red Springs A.B.C. Board</t>
  </si>
  <si>
    <t>Rockingham County</t>
  </si>
  <si>
    <t>Reidsville, Town Of</t>
  </si>
  <si>
    <t>New Reidsville Housing Authority</t>
  </si>
  <si>
    <t>Reidsville A.B.C. Board</t>
  </si>
  <si>
    <t>Mayodan, Town Of</t>
  </si>
  <si>
    <t>Stoneville, Town Of</t>
  </si>
  <si>
    <t>Madison, Town Of</t>
  </si>
  <si>
    <t>Madison A.B.C. Board</t>
  </si>
  <si>
    <t>Madison-Mayodan Recreation Comm</t>
  </si>
  <si>
    <t>Eden, City Of</t>
  </si>
  <si>
    <t>Eden A.B.C. Board</t>
  </si>
  <si>
    <t>Rowan County</t>
  </si>
  <si>
    <t>Rowan County Tourism Development Board</t>
  </si>
  <si>
    <t>Rowan County Housing Authority</t>
  </si>
  <si>
    <t>Rowan County A.B.C. Board</t>
  </si>
  <si>
    <t>Rowan Soil and Water Conservation. Dist</t>
  </si>
  <si>
    <t>Salisbury, City Of</t>
  </si>
  <si>
    <t>Salisbury Housing Authority</t>
  </si>
  <si>
    <t>East Spencer, Town Of</t>
  </si>
  <si>
    <t>East Spencer Housing Authority</t>
  </si>
  <si>
    <t>Spencer, Town Of</t>
  </si>
  <si>
    <t>China Grove, Town Of</t>
  </si>
  <si>
    <t>Landis, Town Of</t>
  </si>
  <si>
    <t>Granite Quarry, Town Of</t>
  </si>
  <si>
    <t>Rockwell, Town Of</t>
  </si>
  <si>
    <t>Faith, Town Of</t>
  </si>
  <si>
    <t>Cleveland, Town Of</t>
  </si>
  <si>
    <t>Rutherford County</t>
  </si>
  <si>
    <t>Broad River Water Authority</t>
  </si>
  <si>
    <t>Rutherford-Polk-Mc Dowell D.H.D</t>
  </si>
  <si>
    <t>Forest City A.B.C. Board</t>
  </si>
  <si>
    <t>Isothermal Planning &amp; Develop Comm</t>
  </si>
  <si>
    <t>Forest City</t>
  </si>
  <si>
    <t>Forest City Housing Authority</t>
  </si>
  <si>
    <t>Spindale, Town Of</t>
  </si>
  <si>
    <t>Lake Lure, Town Of</t>
  </si>
  <si>
    <t>Rutherfordton, Town Of</t>
  </si>
  <si>
    <t>Rutherfordton A.B.C. Board</t>
  </si>
  <si>
    <t>Ellenboro, Town Of</t>
  </si>
  <si>
    <t>Sampson County</t>
  </si>
  <si>
    <t>J.C. Holliday Memorial Library</t>
  </si>
  <si>
    <t>Clinton, City Of</t>
  </si>
  <si>
    <t>Clinton A.B.C. Board</t>
  </si>
  <si>
    <t>Salemburg, Town Of</t>
  </si>
  <si>
    <t>Newton Grove, Town Of</t>
  </si>
  <si>
    <t>Roseboro A.B.C. Board</t>
  </si>
  <si>
    <t>Garland, Town Of</t>
  </si>
  <si>
    <t>Turkey, Town Of</t>
  </si>
  <si>
    <t>Roseboro, Town Of</t>
  </si>
  <si>
    <t>Autryville, Town Of</t>
  </si>
  <si>
    <t>Scotland County</t>
  </si>
  <si>
    <t>Scotland County A.B.C. Board</t>
  </si>
  <si>
    <t>Laurinburg-Maxton Airport Commission</t>
  </si>
  <si>
    <t>Laurinburg, City Of</t>
  </si>
  <si>
    <t>Laurenburg Housing Authority</t>
  </si>
  <si>
    <t>Wagram, Town Of</t>
  </si>
  <si>
    <t>Gibson, Town Of</t>
  </si>
  <si>
    <t>Stanly County</t>
  </si>
  <si>
    <t>Albemarle, City Of</t>
  </si>
  <si>
    <t>Albemarle A.B.C. Board</t>
  </si>
  <si>
    <t>Norwood, Town Of</t>
  </si>
  <si>
    <t>Norwood A.B.C. Board</t>
  </si>
  <si>
    <t>Locust, City Of</t>
  </si>
  <si>
    <t>Oakboro, Town Of</t>
  </si>
  <si>
    <t>Badin, Town Of</t>
  </si>
  <si>
    <t>Stanfield, Town Of</t>
  </si>
  <si>
    <t>Stokes County</t>
  </si>
  <si>
    <t>Walnut Cove, Town Of</t>
  </si>
  <si>
    <t>Walnut Cove A.B.C. Board</t>
  </si>
  <si>
    <t>King, Town Of</t>
  </si>
  <si>
    <t>Surry County</t>
  </si>
  <si>
    <t>Pilot Mountain A.B.C. Board</t>
  </si>
  <si>
    <t>Yadkin Valley Sewer Authority</t>
  </si>
  <si>
    <t>Pilot Mountain, Town Of</t>
  </si>
  <si>
    <t>Dobson, Town Of</t>
  </si>
  <si>
    <t>Dobson A.B.C. Board</t>
  </si>
  <si>
    <t>Mount Airy, Town Of</t>
  </si>
  <si>
    <t>Mt. Airy Alcoholic Board Of Control</t>
  </si>
  <si>
    <t>Elkin, Town Of</t>
  </si>
  <si>
    <t>Elkin A.B.C. Board</t>
  </si>
  <si>
    <t>Swain County</t>
  </si>
  <si>
    <t>Bryson City, Town Of</t>
  </si>
  <si>
    <t>Bryson City A.B.C. Board</t>
  </si>
  <si>
    <t>Transylvania County</t>
  </si>
  <si>
    <t>Brevard, City Of</t>
  </si>
  <si>
    <t>Brevard A.B.C. Board</t>
  </si>
  <si>
    <t>Tyrrell County</t>
  </si>
  <si>
    <t>Tyrrell County A.B.C. Board</t>
  </si>
  <si>
    <t>Columbia, Town Of</t>
  </si>
  <si>
    <t>Union County</t>
  </si>
  <si>
    <t>Monroe, City Of</t>
  </si>
  <si>
    <t>Monroe Housing Authority</t>
  </si>
  <si>
    <t>Monroe A.B.C. Board</t>
  </si>
  <si>
    <t>Marshville, Town Of</t>
  </si>
  <si>
    <t>TOWN OF MINERAL SPRINGS</t>
  </si>
  <si>
    <t>Wingate, Town Of</t>
  </si>
  <si>
    <t>Waxhaw, Town Of</t>
  </si>
  <si>
    <t>Waxhaw A.B.C. Board</t>
  </si>
  <si>
    <t>Indian Trail, Town Of</t>
  </si>
  <si>
    <t>Unionville, Town of</t>
  </si>
  <si>
    <t>Weddington, Town Of</t>
  </si>
  <si>
    <t>Marvin, Village Of</t>
  </si>
  <si>
    <t>Wesley Chapel, Village Of</t>
  </si>
  <si>
    <t>Vance County</t>
  </si>
  <si>
    <t>Vance County A.B.C. Board</t>
  </si>
  <si>
    <t>Kerr-Tar Regional Council Of Governments</t>
  </si>
  <si>
    <t>Kerr-Area Transportation Authority</t>
  </si>
  <si>
    <t>Henderson, City Of</t>
  </si>
  <si>
    <t>Wake County</t>
  </si>
  <si>
    <t>Holly Springs, Town Of</t>
  </si>
  <si>
    <t>Rolesville, Town Of</t>
  </si>
  <si>
    <t>Wake County A.B.C. Board</t>
  </si>
  <si>
    <t>Morrisville, Town Of</t>
  </si>
  <si>
    <t>Wake County Housing Authority</t>
  </si>
  <si>
    <t>Bayleaf Fire Department</t>
  </si>
  <si>
    <t>Electricities Of N.C., Inc</t>
  </si>
  <si>
    <t>Raleigh, City Of</t>
  </si>
  <si>
    <t>Durham Highway Fire Protection Age</t>
  </si>
  <si>
    <t>Raleigh Housing Authority</t>
  </si>
  <si>
    <t>Raleigh-Durham Airport Authority</t>
  </si>
  <si>
    <t>Cary, Town Of</t>
  </si>
  <si>
    <t>Centennial Authority, The</t>
  </si>
  <si>
    <t>Wendell, Town Of</t>
  </si>
  <si>
    <t>Zebulon, Town Of</t>
  </si>
  <si>
    <t>Garner, Town Of</t>
  </si>
  <si>
    <t>Garner Fire Department</t>
  </si>
  <si>
    <t>Fuquay-Varina, Town Of</t>
  </si>
  <si>
    <t>Apex, Town Of</t>
  </si>
  <si>
    <t>Wake Forest, Town Of</t>
  </si>
  <si>
    <t>Knightdale, Town Of</t>
  </si>
  <si>
    <t>Warren County</t>
  </si>
  <si>
    <t>Warren County A.B.C. Board</t>
  </si>
  <si>
    <t>Norlina, Town Of</t>
  </si>
  <si>
    <t>Warrenton, Town Of</t>
  </si>
  <si>
    <t>Washington County</t>
  </si>
  <si>
    <t>Washington County A.B.C. Board</t>
  </si>
  <si>
    <t>Pettigrew Regional Library</t>
  </si>
  <si>
    <t>Plymouth, Town Of</t>
  </si>
  <si>
    <t>Plymouth Housing Authority</t>
  </si>
  <si>
    <t>Roper, Town Of</t>
  </si>
  <si>
    <t>Creswell, Town Of</t>
  </si>
  <si>
    <t>Watauga County</t>
  </si>
  <si>
    <t>Region D Council Of Governments</t>
  </si>
  <si>
    <t>Blowing Rock Tourism Development Authority</t>
  </si>
  <si>
    <t>Watauga County Tourism Develop. Auth.</t>
  </si>
  <si>
    <t>Boone, Town Of</t>
  </si>
  <si>
    <t>Blowing Rock, Town Of</t>
  </si>
  <si>
    <t>Blowing Rock A.B.C. Board</t>
  </si>
  <si>
    <t>Seven Devils, Town Of</t>
  </si>
  <si>
    <t>Wayne County</t>
  </si>
  <si>
    <t>Fork Township Sanitary District</t>
  </si>
  <si>
    <t>Eastern Carolina Reg. Housing Auth</t>
  </si>
  <si>
    <t>Wayne County A.B.C. Board</t>
  </si>
  <si>
    <t>Southern Wayne Sanitary District</t>
  </si>
  <si>
    <t>Eastern Wayne Sanitary District</t>
  </si>
  <si>
    <t>Goldsboro, City Of</t>
  </si>
  <si>
    <t>Housing Auth. Of City Of Goldsboro</t>
  </si>
  <si>
    <t>Mount Olive, Town Of</t>
  </si>
  <si>
    <t>Mount Olive Housing Authority</t>
  </si>
  <si>
    <t>Fremont, Town Of</t>
  </si>
  <si>
    <t>Pikeville, Town Of</t>
  </si>
  <si>
    <t>Walnut Creek, Village Of</t>
  </si>
  <si>
    <t>Wilkes County</t>
  </si>
  <si>
    <t>Appalachian Regional Library</t>
  </si>
  <si>
    <t>North Wilkesboro, Town Of</t>
  </si>
  <si>
    <t>North Wilkesboro A.B.C. Board</t>
  </si>
  <si>
    <t>Wilkesboro, Town Of</t>
  </si>
  <si>
    <t>Wilkesboro A.B.C. Board</t>
  </si>
  <si>
    <t>Wilson County</t>
  </si>
  <si>
    <t>Wilson County Tourism Develop. Authority</t>
  </si>
  <si>
    <t>Wilson County A.B.C. Board</t>
  </si>
  <si>
    <t>Wilson, City Of</t>
  </si>
  <si>
    <t>Wilson Economic Development Council</t>
  </si>
  <si>
    <t>City of Wilson Cemetery Commission</t>
  </si>
  <si>
    <t>Stantonsburg, Town Of</t>
  </si>
  <si>
    <t>Black Creek, Town Of</t>
  </si>
  <si>
    <t>Lucama, Town Of</t>
  </si>
  <si>
    <t>Elm City, Town Of</t>
  </si>
  <si>
    <t>Yadkin County</t>
  </si>
  <si>
    <t>Yadkinville, Town Of</t>
  </si>
  <si>
    <t>Jonesville, Town Of</t>
  </si>
  <si>
    <t>East Bend, Town Of</t>
  </si>
  <si>
    <t>Boonville, Town Of</t>
  </si>
  <si>
    <t>N.C. Association Of County Comm</t>
  </si>
  <si>
    <t>N.C. League Of Municipalities</t>
  </si>
  <si>
    <t>TOTAL</t>
  </si>
  <si>
    <t>Agency Name (select from drop-down list)</t>
  </si>
  <si>
    <t>Deferred Outflow - Measurement Period Contributions</t>
  </si>
  <si>
    <t>debit</t>
  </si>
  <si>
    <t>credit</t>
  </si>
  <si>
    <r>
      <t xml:space="preserve">Entry for Conversion worksheet to record proportionate share of net pensions liability, pension expense, and deferred outflows and deferred inflows of resources related to pensions.  (Entry </t>
    </r>
    <r>
      <rPr>
        <b/>
        <sz val="10"/>
        <rFont val="Times New Roman"/>
        <family val="1"/>
      </rPr>
      <t>N1</t>
    </r>
    <r>
      <rPr>
        <b/>
        <sz val="10"/>
        <rFont val="Arial"/>
        <family val="2"/>
      </rPr>
      <t>)</t>
    </r>
  </si>
  <si>
    <t>Governmental Activities allocation percentage</t>
  </si>
  <si>
    <t>This worksheet prepares the journal entry to record the entity's proportionate share of the net pension expense and related revenue of the Firefighters' and Rescue Squad Workers' Pension Fund (FRSWPF) in accordance with GASB 68.  Note that the FRSWPF is a special funding situation in which the State makes contributions on behalf of employers participating in the plan, and that the employers therefore record no pension liability, deferred outlfows, or deferred inflows.  Participating employers should record their proportionate share of the pension expense and the related revenue for the support provided by the State.</t>
  </si>
  <si>
    <t xml:space="preserve">     Revenue - Support from the State</t>
  </si>
  <si>
    <r>
      <t xml:space="preserve">Entry for Conversion worksheet to record proportionate share of net pension expense and revenue related to support received from the State.  (Entry </t>
    </r>
    <r>
      <rPr>
        <b/>
        <sz val="10"/>
        <rFont val="Times New Roman"/>
        <family val="1"/>
      </rPr>
      <t>N2</t>
    </r>
    <r>
      <rPr>
        <b/>
        <sz val="10"/>
        <rFont val="Arial"/>
        <family val="2"/>
      </rPr>
      <t>)</t>
    </r>
  </si>
  <si>
    <t>GASB 68 Entries - LGERS</t>
  </si>
  <si>
    <t>GASB 68 Entries - FRSWPF</t>
  </si>
  <si>
    <t>Net pension asset</t>
  </si>
  <si>
    <t>N.1</t>
  </si>
  <si>
    <t>N.2</t>
  </si>
  <si>
    <t>Deferred Outflows for LGERS pension contributions made during the year.</t>
  </si>
  <si>
    <t>Deferred outflows - pensions</t>
  </si>
  <si>
    <t>Enterprise Funds - pension allocation percentage</t>
  </si>
  <si>
    <t>Total (should = 100%)</t>
  </si>
  <si>
    <t>(percentages entered in this section should be percentages of the whole government, not percentages of the Governmental Activities)</t>
  </si>
  <si>
    <t>General Government allocation percentage</t>
  </si>
  <si>
    <t>Public Safety allocation percentage</t>
  </si>
  <si>
    <t>Transportation allocation percentage</t>
  </si>
  <si>
    <t>Economic and Physical Development allocation percentage</t>
  </si>
  <si>
    <t>Enviromental Protection allocation percentage</t>
  </si>
  <si>
    <t>Cultural and Recreation allocation percentage</t>
  </si>
  <si>
    <t>Other program 1 allocation percentage</t>
  </si>
  <si>
    <t>Total (should = Governmental Activities Allocation)</t>
  </si>
  <si>
    <t>Other program 2 allocation percentage</t>
  </si>
  <si>
    <t>Entry to reclassify out of pension expense and into deferred outflows - pensions</t>
  </si>
  <si>
    <t>Enter the appropriate allocations</t>
  </si>
  <si>
    <t>From J</t>
  </si>
  <si>
    <t>Pension Expense - Public Safety</t>
  </si>
  <si>
    <t>Pension Expense - Transportation</t>
  </si>
  <si>
    <t>Pension Expense - Economic and Physical Development</t>
  </si>
  <si>
    <t>Pension Expense - Environmental Protection</t>
  </si>
  <si>
    <t>Pension Expense - Cultural and Recreation</t>
  </si>
  <si>
    <t>Pension Expense - Other program 1</t>
  </si>
  <si>
    <t>Pension Expense - Other program 2</t>
  </si>
  <si>
    <t>Work Section for Conversion entry N1</t>
  </si>
  <si>
    <t>Working Subtotal</t>
  </si>
  <si>
    <t>* In this scenario the governmental activities, as primary beneficiary, will have a balance payable to the business type activity of $300 which will be posted to the internal balance account to avoid an elimination entry later.</t>
  </si>
  <si>
    <t>Deferred inflows of resources - changes in assumptions</t>
  </si>
  <si>
    <t>Deferred inflows of resources - difference between actual and projected earnings on plan investments</t>
  </si>
  <si>
    <t>Deferred inflows of resources - difference between expected and actual experience</t>
  </si>
  <si>
    <t>Deferred inflows of resources - changes in proportion and differences between contributions and proportionate share of contributions</t>
  </si>
  <si>
    <t>Internal Service Funds (governmental activities)</t>
  </si>
  <si>
    <t>Internal service funds (governmental activities)</t>
  </si>
  <si>
    <t>K. 1-3</t>
  </si>
  <si>
    <t>Governmental Activities allocation percentage (excluding ISFs)</t>
  </si>
  <si>
    <t xml:space="preserve">Contributions made to the LGERS pension plan on the full accrual basis subsequent to the measurement date are presented as deferred inflows of resources.  The contributions made for the current fiscal year should be allocated among all applicable functions or departments.  </t>
  </si>
  <si>
    <t>What is the amount of full accrual contributions made to LGERS for the current fiscal year?</t>
  </si>
  <si>
    <t>FRSWPF eligible employees in current fiscal year</t>
  </si>
  <si>
    <t>Current fiscal year FRSWPF pension expense per eligible employee</t>
  </si>
  <si>
    <t>Enter the number of your FRSWPF plan eligible employees for the current fiscal year.</t>
  </si>
  <si>
    <t>Note:  The number entered below should not include volunteers.  The number entered below should also not include employees who were not eligible to participate in the FRSWPF plan during the current fiscal year.</t>
  </si>
  <si>
    <t>Current Proportional Share</t>
  </si>
  <si>
    <t>Prior Proportional Share</t>
  </si>
  <si>
    <t>Contributions - July 1, 2014 through June 30, 2015</t>
  </si>
  <si>
    <t>Net Pension Asset - Beginning of the Year</t>
  </si>
  <si>
    <t>No additional agency chosen</t>
  </si>
  <si>
    <t>AVERY COUNTY FIRE COMMISSION</t>
  </si>
  <si>
    <t>DUPLIN COUNTY TOURISM DEVELOPMENT AUTHORITY</t>
  </si>
  <si>
    <t>Aberdeen</t>
  </si>
  <si>
    <t>Ahoskie</t>
  </si>
  <si>
    <t>Alamance</t>
  </si>
  <si>
    <t>Albemarle</t>
  </si>
  <si>
    <t>Andrews</t>
  </si>
  <si>
    <t>Angier</t>
  </si>
  <si>
    <t>Ansonville</t>
  </si>
  <si>
    <t>Apex</t>
  </si>
  <si>
    <t>Archdale</t>
  </si>
  <si>
    <t>Archer Lodge</t>
  </si>
  <si>
    <t>Asheboro</t>
  </si>
  <si>
    <t>Asheville</t>
  </si>
  <si>
    <t>Atlantic Beach</t>
  </si>
  <si>
    <t>Aulander</t>
  </si>
  <si>
    <t>Aurora</t>
  </si>
  <si>
    <t>Autryville</t>
  </si>
  <si>
    <t>Ayden</t>
  </si>
  <si>
    <t>Badin</t>
  </si>
  <si>
    <t>Bailey</t>
  </si>
  <si>
    <t>Bakersville</t>
  </si>
  <si>
    <t>Bald Head Island</t>
  </si>
  <si>
    <t>Banner Elk</t>
  </si>
  <si>
    <t>Bayboro</t>
  </si>
  <si>
    <t>Beaufort</t>
  </si>
  <si>
    <t>Beech Mountain</t>
  </si>
  <si>
    <t>Belhaven</t>
  </si>
  <si>
    <t>Belmont</t>
  </si>
  <si>
    <t>Belville</t>
  </si>
  <si>
    <t>Benson</t>
  </si>
  <si>
    <t>Bermuda Run</t>
  </si>
  <si>
    <t>Bessemer City</t>
  </si>
  <si>
    <t>Bessemer City ABC Board</t>
  </si>
  <si>
    <t>Bethel</t>
  </si>
  <si>
    <t>Beulaville</t>
  </si>
  <si>
    <t>Biltmore Forest</t>
  </si>
  <si>
    <t>Biscoe</t>
  </si>
  <si>
    <t>Black Creek</t>
  </si>
  <si>
    <t>Black Mountain</t>
  </si>
  <si>
    <t>Bladenboro</t>
  </si>
  <si>
    <t>Blowing Rock</t>
  </si>
  <si>
    <t>Boiling Spring Lakes</t>
  </si>
  <si>
    <t>Boiling Springs</t>
  </si>
  <si>
    <t>Bolton</t>
  </si>
  <si>
    <t>Boone</t>
  </si>
  <si>
    <t>Boonville</t>
  </si>
  <si>
    <t>Brevard</t>
  </si>
  <si>
    <t>Bridgeton</t>
  </si>
  <si>
    <t>Broadway</t>
  </si>
  <si>
    <t>Brookford</t>
  </si>
  <si>
    <t>Brunswick</t>
  </si>
  <si>
    <t>Bryson City</t>
  </si>
  <si>
    <t>Bunn</t>
  </si>
  <si>
    <t>Burgaw</t>
  </si>
  <si>
    <t>Burlington</t>
  </si>
  <si>
    <t>Burnsville</t>
  </si>
  <si>
    <t>Butner</t>
  </si>
  <si>
    <t>Cajah's Mountain</t>
  </si>
  <si>
    <t>Calabash</t>
  </si>
  <si>
    <t>Calypso</t>
  </si>
  <si>
    <t>Cameron</t>
  </si>
  <si>
    <t>Candor</t>
  </si>
  <si>
    <t>Canton</t>
  </si>
  <si>
    <t>Cape Carteret</t>
  </si>
  <si>
    <t>Carolina Beach</t>
  </si>
  <si>
    <t>Carolina Shores</t>
  </si>
  <si>
    <t>Carrboro</t>
  </si>
  <si>
    <t>Carthage</t>
  </si>
  <si>
    <t>Cary</t>
  </si>
  <si>
    <t>Caswell Beach</t>
  </si>
  <si>
    <t>Catawba</t>
  </si>
  <si>
    <t>Cedar Point</t>
  </si>
  <si>
    <t>Chadbourn</t>
  </si>
  <si>
    <t>Chapel Hill</t>
  </si>
  <si>
    <t>Charlotte</t>
  </si>
  <si>
    <t>Cherryville</t>
  </si>
  <si>
    <t>China Grove</t>
  </si>
  <si>
    <t>Chocowinity</t>
  </si>
  <si>
    <t>Claremont</t>
  </si>
  <si>
    <t>Clarkton</t>
  </si>
  <si>
    <t>Clayton</t>
  </si>
  <si>
    <t>Clemmons</t>
  </si>
  <si>
    <t>Cleveland</t>
  </si>
  <si>
    <t>Clinton</t>
  </si>
  <si>
    <t>Coats</t>
  </si>
  <si>
    <t>Cofield</t>
  </si>
  <si>
    <t>Colerain</t>
  </si>
  <si>
    <t>Columbia</t>
  </si>
  <si>
    <t>Columbus</t>
  </si>
  <si>
    <t>Concord</t>
  </si>
  <si>
    <t>Connelly Springs</t>
  </si>
  <si>
    <t>Conover</t>
  </si>
  <si>
    <t>Conway</t>
  </si>
  <si>
    <t>Cooleemee</t>
  </si>
  <si>
    <t>Cornelius</t>
  </si>
  <si>
    <t>Cove City</t>
  </si>
  <si>
    <t>Cramerton</t>
  </si>
  <si>
    <t>Creedmoor</t>
  </si>
  <si>
    <t>Creswell</t>
  </si>
  <si>
    <t>Dallas</t>
  </si>
  <si>
    <t>Davidson</t>
  </si>
  <si>
    <t>Denton</t>
  </si>
  <si>
    <t>Dobson</t>
  </si>
  <si>
    <t>Drexel</t>
  </si>
  <si>
    <t>Duck</t>
  </si>
  <si>
    <t>Dunn</t>
  </si>
  <si>
    <t>Duplin County Tourism Development Authority</t>
  </si>
  <si>
    <t>Durham</t>
  </si>
  <si>
    <t>East Bend</t>
  </si>
  <si>
    <t>East Spencer</t>
  </si>
  <si>
    <t>Eastover</t>
  </si>
  <si>
    <t>Eden</t>
  </si>
  <si>
    <t>Edenton</t>
  </si>
  <si>
    <t>Elizabethtown</t>
  </si>
  <si>
    <t>Elk Park</t>
  </si>
  <si>
    <t>Elkin</t>
  </si>
  <si>
    <t>Ellenboro</t>
  </si>
  <si>
    <t>Ellerbe</t>
  </si>
  <si>
    <t>Elm City</t>
  </si>
  <si>
    <t>Elon College</t>
  </si>
  <si>
    <t>Emerald Isle</t>
  </si>
  <si>
    <t>Enfield</t>
  </si>
  <si>
    <t>Erwin</t>
  </si>
  <si>
    <t>Fair Bluff</t>
  </si>
  <si>
    <t>Fairmont</t>
  </si>
  <si>
    <t>Faison</t>
  </si>
  <si>
    <t>Faith</t>
  </si>
  <si>
    <t>Falcon</t>
  </si>
  <si>
    <t>Farmville</t>
  </si>
  <si>
    <t>Fayetteville</t>
  </si>
  <si>
    <t>Flat Rock</t>
  </si>
  <si>
    <t>Fletcher</t>
  </si>
  <si>
    <t>Fountain</t>
  </si>
  <si>
    <t>Four Oaks</t>
  </si>
  <si>
    <t>Franklin</t>
  </si>
  <si>
    <t>Franklinton</t>
  </si>
  <si>
    <t>Fremont</t>
  </si>
  <si>
    <t>Fuquay-Varina</t>
  </si>
  <si>
    <t>Garland</t>
  </si>
  <si>
    <t>Garner</t>
  </si>
  <si>
    <t>Garysburg</t>
  </si>
  <si>
    <t>Gaston</t>
  </si>
  <si>
    <t>Gastonia</t>
  </si>
  <si>
    <t>Gibson</t>
  </si>
  <si>
    <t>Gibsonville</t>
  </si>
  <si>
    <t>Glen Alpine</t>
  </si>
  <si>
    <t>Goldsboro</t>
  </si>
  <si>
    <t>Graham</t>
  </si>
  <si>
    <t>Granite Falls</t>
  </si>
  <si>
    <t>Granite Quarry</t>
  </si>
  <si>
    <t>Green Level</t>
  </si>
  <si>
    <t>Greensboro</t>
  </si>
  <si>
    <t>Greenville</t>
  </si>
  <si>
    <t>Grifton</t>
  </si>
  <si>
    <t>Grimesland</t>
  </si>
  <si>
    <t>Grover</t>
  </si>
  <si>
    <t>Guilford County</t>
  </si>
  <si>
    <t>Hamilton</t>
  </si>
  <si>
    <t>Hamlet</t>
  </si>
  <si>
    <t>Harrisburg</t>
  </si>
  <si>
    <t>Havelock</t>
  </si>
  <si>
    <t>Haw River</t>
  </si>
  <si>
    <t>Henderson</t>
  </si>
  <si>
    <t>Hendersonville</t>
  </si>
  <si>
    <t>Hertford</t>
  </si>
  <si>
    <t>Hickory</t>
  </si>
  <si>
    <t>High Point</t>
  </si>
  <si>
    <t>Highlands</t>
  </si>
  <si>
    <t>Hildebrand</t>
  </si>
  <si>
    <t>Hillsborough</t>
  </si>
  <si>
    <t>Hobgood</t>
  </si>
  <si>
    <t>Holden Beach</t>
  </si>
  <si>
    <t>Holly Ridge</t>
  </si>
  <si>
    <t>Holly Springs</t>
  </si>
  <si>
    <t>Hookerton</t>
  </si>
  <si>
    <t>Hope Mills</t>
  </si>
  <si>
    <t>Hudson</t>
  </si>
  <si>
    <t>Huntersville</t>
  </si>
  <si>
    <t>Indian Beach</t>
  </si>
  <si>
    <t>Indian Trail</t>
  </si>
  <si>
    <t>Jackson</t>
  </si>
  <si>
    <t>Jacksonville</t>
  </si>
  <si>
    <t>Jamestown</t>
  </si>
  <si>
    <t>Jamesville</t>
  </si>
  <si>
    <t>Jefferson</t>
  </si>
  <si>
    <t>Jonesville</t>
  </si>
  <si>
    <t>Kannapolis</t>
  </si>
  <si>
    <t>Kenansville</t>
  </si>
  <si>
    <t>Kenly</t>
  </si>
  <si>
    <t>Kernersville</t>
  </si>
  <si>
    <t>Kill Devil Hills</t>
  </si>
  <si>
    <t>King</t>
  </si>
  <si>
    <t>Kings Mountain</t>
  </si>
  <si>
    <t>Kinston</t>
  </si>
  <si>
    <t>Kitty Hawk</t>
  </si>
  <si>
    <t>Knightdale</t>
  </si>
  <si>
    <t>Kure Beach</t>
  </si>
  <si>
    <t>Lagrange</t>
  </si>
  <si>
    <t>Lake Lure</t>
  </si>
  <si>
    <t>Lake Woccamaw</t>
  </si>
  <si>
    <t>Landis</t>
  </si>
  <si>
    <t>Laurel Park</t>
  </si>
  <si>
    <t>Laurinburg</t>
  </si>
  <si>
    <t>Lawndale</t>
  </si>
  <si>
    <t>Leland</t>
  </si>
  <si>
    <t>Lenoir</t>
  </si>
  <si>
    <t>Lewiston-Woodville</t>
  </si>
  <si>
    <t>Lewisville</t>
  </si>
  <si>
    <t>Lexington</t>
  </si>
  <si>
    <t>Liberty</t>
  </si>
  <si>
    <t>Lilesville</t>
  </si>
  <si>
    <t>Lillington</t>
  </si>
  <si>
    <t>Lincolnton</t>
  </si>
  <si>
    <t>Linden</t>
  </si>
  <si>
    <t>Littleton</t>
  </si>
  <si>
    <t>Locust</t>
  </si>
  <si>
    <t>Long View</t>
  </si>
  <si>
    <t>Louisburg</t>
  </si>
  <si>
    <t>Lowell</t>
  </si>
  <si>
    <t>Lucama</t>
  </si>
  <si>
    <t>Lumberton</t>
  </si>
  <si>
    <t>Macclesfield</t>
  </si>
  <si>
    <t>Madison</t>
  </si>
  <si>
    <t>Maggie Valley</t>
  </si>
  <si>
    <t>Magnolia</t>
  </si>
  <si>
    <t>Maiden</t>
  </si>
  <si>
    <t>Manteo</t>
  </si>
  <si>
    <t>Marion</t>
  </si>
  <si>
    <t>Mars Hill</t>
  </si>
  <si>
    <t>Marshall</t>
  </si>
  <si>
    <t>Marshville</t>
  </si>
  <si>
    <t>Marvin</t>
  </si>
  <si>
    <t>Matthews</t>
  </si>
  <si>
    <t>Maxton</t>
  </si>
  <si>
    <t>Mayodan</t>
  </si>
  <si>
    <t>Maysville</t>
  </si>
  <si>
    <t>Mcadenville</t>
  </si>
  <si>
    <t>Mebane</t>
  </si>
  <si>
    <t>Micro</t>
  </si>
  <si>
    <t>Middlesex</t>
  </si>
  <si>
    <t>Midland</t>
  </si>
  <si>
    <t>Midway</t>
  </si>
  <si>
    <t>Mills River</t>
  </si>
  <si>
    <t>Mineral Springs</t>
  </si>
  <si>
    <t>Mint Hill</t>
  </si>
  <si>
    <t>Misenheimer</t>
  </si>
  <si>
    <t>Mocksville</t>
  </si>
  <si>
    <t>Monroe</t>
  </si>
  <si>
    <t>Montreat</t>
  </si>
  <si>
    <t>Mooresville</t>
  </si>
  <si>
    <t>Morehead City</t>
  </si>
  <si>
    <t>Morganton</t>
  </si>
  <si>
    <t>Morrisville</t>
  </si>
  <si>
    <t>Morven</t>
  </si>
  <si>
    <t>Mount Airy</t>
  </si>
  <si>
    <t>Mount Gilead</t>
  </si>
  <si>
    <t>Mount Olive</t>
  </si>
  <si>
    <t>Mount Pleasant</t>
  </si>
  <si>
    <t>Mt. Holly</t>
  </si>
  <si>
    <t>Murfreesboro</t>
  </si>
  <si>
    <t>Murphy</t>
  </si>
  <si>
    <t>Nags Head</t>
  </si>
  <si>
    <t>Nashville</t>
  </si>
  <si>
    <t>Navassa</t>
  </si>
  <si>
    <t>New Bern</t>
  </si>
  <si>
    <t>Newland</t>
  </si>
  <si>
    <t>Newport</t>
  </si>
  <si>
    <t>Newton</t>
  </si>
  <si>
    <t>Newton Grove</t>
  </si>
  <si>
    <t>Norlina</t>
  </si>
  <si>
    <t>North Topsail Beach</t>
  </si>
  <si>
    <t>North Wilkesboro</t>
  </si>
  <si>
    <t>Northwest</t>
  </si>
  <si>
    <t>Norwood</t>
  </si>
  <si>
    <t>Oak City</t>
  </si>
  <si>
    <t>Oak Island</t>
  </si>
  <si>
    <t>Oak Ridge</t>
  </si>
  <si>
    <t>Oakboro</t>
  </si>
  <si>
    <t>Ocean Isle Beach</t>
  </si>
  <si>
    <t>Old Fort</t>
  </si>
  <si>
    <t>Oriental</t>
  </si>
  <si>
    <t>Oxford</t>
  </si>
  <si>
    <t>Peachland</t>
  </si>
  <si>
    <t>Pembroke</t>
  </si>
  <si>
    <t>Pikeville</t>
  </si>
  <si>
    <t>Pilot Mountain</t>
  </si>
  <si>
    <t>Pine Knoll Shores</t>
  </si>
  <si>
    <t>Pine Level</t>
  </si>
  <si>
    <t>Pinebluff</t>
  </si>
  <si>
    <t>Pinehurst</t>
  </si>
  <si>
    <t>Pinetops</t>
  </si>
  <si>
    <t>Pineville</t>
  </si>
  <si>
    <t>Pink Hill</t>
  </si>
  <si>
    <t>Pittsboro</t>
  </si>
  <si>
    <t>Plymouth</t>
  </si>
  <si>
    <t>Polkton</t>
  </si>
  <si>
    <t>Pollocksville</t>
  </si>
  <si>
    <t>Princeton</t>
  </si>
  <si>
    <t>Princeville</t>
  </si>
  <si>
    <t>Raeford</t>
  </si>
  <si>
    <t>Raleigh</t>
  </si>
  <si>
    <t>Ramseur</t>
  </si>
  <si>
    <t>Randleman</t>
  </si>
  <si>
    <t>Ranlo</t>
  </si>
  <si>
    <t>Red Springs</t>
  </si>
  <si>
    <t>Reidsville</t>
  </si>
  <si>
    <t>Rich Square</t>
  </si>
  <si>
    <t>Richlands</t>
  </si>
  <si>
    <t>River Bend</t>
  </si>
  <si>
    <t>Roanoke Rapids</t>
  </si>
  <si>
    <t>Robbins</t>
  </si>
  <si>
    <t>Robbinsville</t>
  </si>
  <si>
    <t>Robersonville</t>
  </si>
  <si>
    <t>Rockingham</t>
  </si>
  <si>
    <t>Rockwell</t>
  </si>
  <si>
    <t>Rocky Mount</t>
  </si>
  <si>
    <t>Rolesville</t>
  </si>
  <si>
    <t>Roper</t>
  </si>
  <si>
    <t>Rose Hill</t>
  </si>
  <si>
    <t>Roseboro</t>
  </si>
  <si>
    <t>Rowland</t>
  </si>
  <si>
    <t>Roxboro</t>
  </si>
  <si>
    <t>Rural Hall</t>
  </si>
  <si>
    <t>Rutherford College</t>
  </si>
  <si>
    <t>Rutherfordton</t>
  </si>
  <si>
    <t>Salemburg</t>
  </si>
  <si>
    <t>Salisbury</t>
  </si>
  <si>
    <t>Saluda</t>
  </si>
  <si>
    <t>Sanford</t>
  </si>
  <si>
    <t>Sawmills</t>
  </si>
  <si>
    <t>Scotland Neck</t>
  </si>
  <si>
    <t>Seaboard</t>
  </si>
  <si>
    <t>Selma</t>
  </si>
  <si>
    <t>Seven Devils</t>
  </si>
  <si>
    <t>Severn</t>
  </si>
  <si>
    <t>Shallotte</t>
  </si>
  <si>
    <t>Sharpsburg</t>
  </si>
  <si>
    <t>Shelby</t>
  </si>
  <si>
    <t>Siler City</t>
  </si>
  <si>
    <t>Simpson</t>
  </si>
  <si>
    <t>Smithfield</t>
  </si>
  <si>
    <t>Snow Hill</t>
  </si>
  <si>
    <t>Southern Pines</t>
  </si>
  <si>
    <t>Southern Shores</t>
  </si>
  <si>
    <t>Southport</t>
  </si>
  <si>
    <t>Sparta</t>
  </si>
  <si>
    <t>Spencer</t>
  </si>
  <si>
    <t>Spindale</t>
  </si>
  <si>
    <t>Spring Hope</t>
  </si>
  <si>
    <t>Spring Lake</t>
  </si>
  <si>
    <t>Spruce Pine</t>
  </si>
  <si>
    <t>St. James</t>
  </si>
  <si>
    <t>St. Pauls</t>
  </si>
  <si>
    <t>Stallings</t>
  </si>
  <si>
    <t>Stanfield</t>
  </si>
  <si>
    <t>Stanley</t>
  </si>
  <si>
    <t>Stantonsburg</t>
  </si>
  <si>
    <t>Star</t>
  </si>
  <si>
    <t>Statesville</t>
  </si>
  <si>
    <t>Stedman</t>
  </si>
  <si>
    <t>Stoneville</t>
  </si>
  <si>
    <t>Stovall</t>
  </si>
  <si>
    <t>Sugar Mountain</t>
  </si>
  <si>
    <t>Summerfield</t>
  </si>
  <si>
    <t>Sunset Beach</t>
  </si>
  <si>
    <t>Swansboro</t>
  </si>
  <si>
    <t>Sylva</t>
  </si>
  <si>
    <t>Tabor City</t>
  </si>
  <si>
    <t>Tarboro</t>
  </si>
  <si>
    <t>Taylorsville</t>
  </si>
  <si>
    <t>Taylortown</t>
  </si>
  <si>
    <t>Teachey</t>
  </si>
  <si>
    <t>Thomasville</t>
  </si>
  <si>
    <t>Tobaccoville</t>
  </si>
  <si>
    <t>Topsail Beach</t>
  </si>
  <si>
    <t>Trent Woods</t>
  </si>
  <si>
    <t>Trinity</t>
  </si>
  <si>
    <t>Troutman</t>
  </si>
  <si>
    <t>Troy</t>
  </si>
  <si>
    <t>Tryon</t>
  </si>
  <si>
    <t>Turkey</t>
  </si>
  <si>
    <t>Unionville</t>
  </si>
  <si>
    <t>Valdese</t>
  </si>
  <si>
    <t>Vanceboro</t>
  </si>
  <si>
    <t>Vass</t>
  </si>
  <si>
    <t>Wade</t>
  </si>
  <si>
    <t>Wadesboro</t>
  </si>
  <si>
    <t>Wagram</t>
  </si>
  <si>
    <t>Wake Forest</t>
  </si>
  <si>
    <t>Walkertown</t>
  </si>
  <si>
    <t>Wallace</t>
  </si>
  <si>
    <t>Walnut Cove</t>
  </si>
  <si>
    <t>Walnut Creek</t>
  </si>
  <si>
    <t>Walstonburg</t>
  </si>
  <si>
    <t>Warrenton</t>
  </si>
  <si>
    <t>Warsaw</t>
  </si>
  <si>
    <t>Washington</t>
  </si>
  <si>
    <t>Washington Park</t>
  </si>
  <si>
    <t>Waxhaw</t>
  </si>
  <si>
    <t>Waynesville</t>
  </si>
  <si>
    <t>Weaverville</t>
  </si>
  <si>
    <t>Weddington</t>
  </si>
  <si>
    <t>Weldon</t>
  </si>
  <si>
    <t>Wendell</t>
  </si>
  <si>
    <t>Wesley Chapel</t>
  </si>
  <si>
    <t>West Jefferson</t>
  </si>
  <si>
    <t>Western Highland Area Authority</t>
  </si>
  <si>
    <t>Whispering Pines</t>
  </si>
  <si>
    <t>Whitakers</t>
  </si>
  <si>
    <t>White Lake</t>
  </si>
  <si>
    <t>Whiteville</t>
  </si>
  <si>
    <t>Wilkesboro</t>
  </si>
  <si>
    <t>Williamston</t>
  </si>
  <si>
    <t>Wilmington</t>
  </si>
  <si>
    <t>Wilson</t>
  </si>
  <si>
    <t>Wilson's Mills</t>
  </si>
  <si>
    <t>Windsor</t>
  </si>
  <si>
    <t>Winfall</t>
  </si>
  <si>
    <t>Wingate</t>
  </si>
  <si>
    <t>Winston-Salem</t>
  </si>
  <si>
    <t>Winterville</t>
  </si>
  <si>
    <t>Winton</t>
  </si>
  <si>
    <t>Woodfin</t>
  </si>
  <si>
    <t>Woodland</t>
  </si>
  <si>
    <t>Wrightsville Beach</t>
  </si>
  <si>
    <t>Yadkinville</t>
  </si>
  <si>
    <t>Yanceyville</t>
  </si>
  <si>
    <t>Youngsville</t>
  </si>
  <si>
    <t>Zebulon</t>
  </si>
  <si>
    <t>Dogwood</t>
  </si>
  <si>
    <t>9xxxx</t>
  </si>
  <si>
    <t>Change in Proportional Share</t>
  </si>
  <si>
    <t>ORBIT Unit Contributions to Plan in Measurement Year</t>
  </si>
  <si>
    <t>Net Pension Liability BOY</t>
  </si>
  <si>
    <t>Net Pension Liability EOY</t>
  </si>
  <si>
    <t>Total Employer Pension Expense*</t>
  </si>
  <si>
    <t>CURRENT YEAR</t>
  </si>
  <si>
    <t>Total All Employer Agencies</t>
  </si>
  <si>
    <t>PRIOR YEAR</t>
  </si>
  <si>
    <t>Additional Agency Name (if applicable)</t>
  </si>
  <si>
    <t>Net Pension Asset</t>
  </si>
  <si>
    <t>Net pension liability</t>
  </si>
  <si>
    <t>Pensions - Net Difference Between Actual and Expected Earnings on Plan Investments - All Years</t>
  </si>
  <si>
    <t>Net pension liability - LGERS</t>
  </si>
  <si>
    <t>Deferred Outlfow - Net Difference Between Projected and Actual Investment Earnings on Plan Investments - All Years</t>
  </si>
  <si>
    <t>Pursuant to loan requirements</t>
  </si>
  <si>
    <t>Capital Assets, Long-term Debt</t>
  </si>
  <si>
    <t>and Beginning Pension Accounts</t>
  </si>
  <si>
    <t>Note that the beginning asset and liability balances related to pensions, including deferred inflows and outflows, have been mapped to the Capital Assets, Long-term Debt and Beginning Pension Balances columns AF and AG (Conversion Worksheet tab) from the N tabs.  Cell C17 on tab N.1 must be completed as part of the population of the beginning balances in the Conversion Worksheet tab.  As the conversion worksheet converts all governmental funds into governmental activities for the full accrual statement of activities and statement of net position, allocating the beginning pension asset and liability balances between governmental funds is not necessary.</t>
  </si>
  <si>
    <t>source : LGERS GASB 68 FYE2017 - Client</t>
  </si>
  <si>
    <t>Contributions - July 1, 2015 through June 30, 2016</t>
  </si>
  <si>
    <t>Net Pension Liability - Beginning of the Year</t>
  </si>
  <si>
    <t>THE EASTERN BAND OF CHEROKEE INDIANS</t>
  </si>
  <si>
    <t>VILLAGE OF MISENHEIMER</t>
  </si>
  <si>
    <t>PIEDMONT TRIAD AIRPORT AUTHORITY</t>
  </si>
  <si>
    <t>TOWN OF SPARTA</t>
  </si>
  <si>
    <t>YANCEY COUNTY</t>
  </si>
  <si>
    <t>YANCEY SOIL &amp; WATER CONS</t>
  </si>
  <si>
    <t>TOWN OF BURNSVILLE</t>
  </si>
  <si>
    <t>MARTIN-TYRRELL-WASHINGTON DIST HEALTH DEPT</t>
  </si>
  <si>
    <t>ALBEMARLE REGIONAL HEALTH SERVICES</t>
  </si>
  <si>
    <t>TOE RIVER HEALTH DISTRICT</t>
  </si>
  <si>
    <t>APPALACHIAN DISTRICT HEALTH DEPT</t>
  </si>
  <si>
    <t>ALAMANCE COUNTY</t>
  </si>
  <si>
    <t>CITY OF BURLINGTON</t>
  </si>
  <si>
    <t>CITY OF MEBANE</t>
  </si>
  <si>
    <t>ALAMANCE MUNICIPAL ABC BOARD</t>
  </si>
  <si>
    <t>CITY OF GRAHAM</t>
  </si>
  <si>
    <t>TOWN OF ELON</t>
  </si>
  <si>
    <t>TOWN OF HAW RIVER</t>
  </si>
  <si>
    <t>VILLAGE OF ALAMANCE</t>
  </si>
  <si>
    <t>TOWN OF GREEN LEVEL</t>
  </si>
  <si>
    <t>ALEXANDER COUNTY</t>
  </si>
  <si>
    <t>ALEXANDER COUNTY HEALTH DEPT</t>
  </si>
  <si>
    <t>ALEXANDER COUNTY PUBLIC LIBRARY</t>
  </si>
  <si>
    <t>ALEXANDER COUNTY DEPT OF S S</t>
  </si>
  <si>
    <t>TOWN OF TAYLORSVILLE</t>
  </si>
  <si>
    <t>ALLEGHANY COUNTY</t>
  </si>
  <si>
    <t>NORTHWESTERN REGIONAL LIBRARY</t>
  </si>
  <si>
    <t>TOWN OF SPARTA ABC BOARD</t>
  </si>
  <si>
    <t>ANSON COUNTY</t>
  </si>
  <si>
    <t>TOWN OF WADESBORO</t>
  </si>
  <si>
    <t>WADESBORO HOUSING AUTHORITY</t>
  </si>
  <si>
    <t>WADESBORO ABC BOARD</t>
  </si>
  <si>
    <t>TOWN OF LILESVILLE</t>
  </si>
  <si>
    <t>TOWN OF POLKTON</t>
  </si>
  <si>
    <t>TOWN OF PEACHLAND</t>
  </si>
  <si>
    <t>TOWN OF ANSONVILLE</t>
  </si>
  <si>
    <t>TOWN OF MORVEN</t>
  </si>
  <si>
    <t>ASHE COUNTY</t>
  </si>
  <si>
    <t>TOWN OF JEFFERSON</t>
  </si>
  <si>
    <t>TOWN OF WEST JEFFERSON</t>
  </si>
  <si>
    <t>AVERY COUNTY</t>
  </si>
  <si>
    <t>AVERY-MITCHELL-YANCEY REG LIBRARY</t>
  </si>
  <si>
    <t>TOWN OF BANNER ELK</t>
  </si>
  <si>
    <t>HIGH COUNTRY ABC BOARD</t>
  </si>
  <si>
    <t>TOWN OF NEWLAND</t>
  </si>
  <si>
    <t>TOWN OF BEECH MOUNTAIN</t>
  </si>
  <si>
    <t>TOWN OF ELK PARK</t>
  </si>
  <si>
    <t>TOWN OF SUGAR MOUNTAIN</t>
  </si>
  <si>
    <t>COUNTY OF BEAUFORT</t>
  </si>
  <si>
    <t>BEAUFORT COUNTY ABC BOARD</t>
  </si>
  <si>
    <t>B H M REGIONAL LIBRARY</t>
  </si>
  <si>
    <t>MIDEAST COMMISSION</t>
  </si>
  <si>
    <t>CITY OF WASHINGTON</t>
  </si>
  <si>
    <t>TOWN OF AURORA</t>
  </si>
  <si>
    <t>TOWN OF BELHAVEN</t>
  </si>
  <si>
    <t>TOWN OF WASHINGTON PARK</t>
  </si>
  <si>
    <t>TOWN OF CHOCOWINITY</t>
  </si>
  <si>
    <t>BERTIE COUNTY</t>
  </si>
  <si>
    <t>BERTIE COUNTY ABC BOARD</t>
  </si>
  <si>
    <t>ALBEMARLE REGIONAL LIBRARY</t>
  </si>
  <si>
    <t>BERTIE-MARTIN REGIONAL JAIL COMM</t>
  </si>
  <si>
    <t>TOWN OF AULANDER</t>
  </si>
  <si>
    <t>TOWN OF WINDSOR</t>
  </si>
  <si>
    <t>TOWN OF COLERAIN</t>
  </si>
  <si>
    <t>TOWN OF LEWISTON WOODVILLE</t>
  </si>
  <si>
    <t>BLADEN COUNTY</t>
  </si>
  <si>
    <t>TOWN OF ELIZABETHTOWN</t>
  </si>
  <si>
    <t>ELIZABETHTOWN ABC BOARD</t>
  </si>
  <si>
    <t>SOUTH EASTERN ECONOMIC DEVELOPMENT COMM</t>
  </si>
  <si>
    <t>TOWN OF WHITE LAKE</t>
  </si>
  <si>
    <t>TOWN OF CLARKTON</t>
  </si>
  <si>
    <t>TOWN OF BLADENBORO</t>
  </si>
  <si>
    <t>BRUNSWICK COUNTY</t>
  </si>
  <si>
    <t>TOWN OF LELAND</t>
  </si>
  <si>
    <t>BRUNSWICK CO HEALTH DEPT</t>
  </si>
  <si>
    <t>BRUNSWICK COUNTY ABC BOARD</t>
  </si>
  <si>
    <t>BRUNSWICK CO DEPT OF SOCIAL SERVICES</t>
  </si>
  <si>
    <t>CALABASH ABC BOARD</t>
  </si>
  <si>
    <t>CAPE FEAR COUNCIL OF GOVERNMENTS</t>
  </si>
  <si>
    <t>BRUNSWICK COUNTY TOURISM AUTHORITY</t>
  </si>
  <si>
    <t>TOWN OF CALABASH</t>
  </si>
  <si>
    <t>CITY OF SOUTHPORT</t>
  </si>
  <si>
    <t>CITY OF NORTHWEST</t>
  </si>
  <si>
    <t>SOUTHEAST BRUNSWICK SANITARY DISTRICT</t>
  </si>
  <si>
    <t>TOWN OF HOLDEN BEACH</t>
  </si>
  <si>
    <t>CITY OF SOUTHPORT ABC BOARD</t>
  </si>
  <si>
    <t>TOWN OF BELVILLE</t>
  </si>
  <si>
    <t>TOWN OF OAK ISLAND</t>
  </si>
  <si>
    <t>TOWN OF CAROLINA SHORES</t>
  </si>
  <si>
    <t>OAK ISLAND ABC BD</t>
  </si>
  <si>
    <t>TOWN OF ST JAMES</t>
  </si>
  <si>
    <t>TOWN OF SUNSET BEACH</t>
  </si>
  <si>
    <t>BRUNSWICK REGIONAL WATER AND SEWER H2GO</t>
  </si>
  <si>
    <t>TOWN OF SUNSET BEACH ABC BOARD</t>
  </si>
  <si>
    <t>TOWN OF CASWELL BEACH</t>
  </si>
  <si>
    <t>SHALLOTTE ABC BOARD</t>
  </si>
  <si>
    <t>TOWN OF OCEAN ISLE BEACH</t>
  </si>
  <si>
    <t>OCEAN ISLE BEACH ABC BOARD</t>
  </si>
  <si>
    <t>CITY OF BOILING SPRG LAKES</t>
  </si>
  <si>
    <t>BOILING SPRING LAKES ABC BOARD</t>
  </si>
  <si>
    <t>TOWN OF SHALLOTTE</t>
  </si>
  <si>
    <t>VILLAGE OF BALD HEAD ISLAND</t>
  </si>
  <si>
    <t>BUNCOMBE COUNTY</t>
  </si>
  <si>
    <t>LAND-OF-SKY REGIONAL COUNCIL</t>
  </si>
  <si>
    <t>WOODFIN ABC COMMISSION</t>
  </si>
  <si>
    <t>WESTERN AIR POLLUTION CTL</t>
  </si>
  <si>
    <t>METRO SEWERAGE DIST OF BUNCOMBE COUNTY</t>
  </si>
  <si>
    <t>WOODFIN SANITARY WATER AND SEWER DIST</t>
  </si>
  <si>
    <t>TOWN OF BILTMORE FOREST</t>
  </si>
  <si>
    <t>WEST BUNCOMBE FIRE DEPT</t>
  </si>
  <si>
    <t>CITY OF ASHEVILLE</t>
  </si>
  <si>
    <t>ASHEVILLE ABC BOARD</t>
  </si>
  <si>
    <t>ASHEVILLE REGIONAL AIRPORT AUTHORITY</t>
  </si>
  <si>
    <t>SKYLAND VOL FIRE DEPT</t>
  </si>
  <si>
    <t>TOWN OF WEAVERVILLE</t>
  </si>
  <si>
    <t>WEAVERVILLE ABC BOARD</t>
  </si>
  <si>
    <t>TOWN OF BLACK MOUNTAIN</t>
  </si>
  <si>
    <t>BLACK MTN ABC BOARD</t>
  </si>
  <si>
    <t>TOWN OF MONTREAT</t>
  </si>
  <si>
    <t>TOWN OF WOODFIN</t>
  </si>
  <si>
    <t>BURKE COUNTY</t>
  </si>
  <si>
    <t>BURKE-CATAWBA DIST CONFINEMENT</t>
  </si>
  <si>
    <t>BURKE CO HEALTH DEPT</t>
  </si>
  <si>
    <t>BURKE CO DEPT OF SOCIAL SERVICES</t>
  </si>
  <si>
    <t>BURKE COUNTY TOURISM DEV. AUTHORITY</t>
  </si>
  <si>
    <t>TOWN OF VALDESE</t>
  </si>
  <si>
    <t>VALDESE HOUSING AUTHORITY</t>
  </si>
  <si>
    <t>TOWN OF RUTHERFORD COLLEGE</t>
  </si>
  <si>
    <t>MORGANTON ABC BOARD</t>
  </si>
  <si>
    <t>TOWN OF DREXEL</t>
  </si>
  <si>
    <t>CITY OF MORGANTON</t>
  </si>
  <si>
    <t>MORGANTON HOUSING AUTHORITY</t>
  </si>
  <si>
    <t>TOWN OF GLEN ALPINE</t>
  </si>
  <si>
    <t>TOWN OF HILDEBRAN</t>
  </si>
  <si>
    <t>TOWN OF CONNELLY SPRINGS</t>
  </si>
  <si>
    <t>CABARRUS COUNTY</t>
  </si>
  <si>
    <t>WATER &amp; SEWER AUTH CABARRUS CNTY</t>
  </si>
  <si>
    <t>CABARRUS CO PUBLIC HEALTH AUTH</t>
  </si>
  <si>
    <t>CABARRUS COUNTY TOURISM AUTHORITY</t>
  </si>
  <si>
    <t>CITY OF CONCORD</t>
  </si>
  <si>
    <t>CONCORD ABC BOARD</t>
  </si>
  <si>
    <t>TOWN OF MOUNT PLEASANT</t>
  </si>
  <si>
    <t>MT PLEASANT ABC BOARD</t>
  </si>
  <si>
    <t>CITY OF KANNAPOLIS</t>
  </si>
  <si>
    <t>TOWN OF MIDLAND</t>
  </si>
  <si>
    <t>CALDWELL COUNTY</t>
  </si>
  <si>
    <t>TOWN OF GRANITE FALLS</t>
  </si>
  <si>
    <t>GRANITE FALLS ABC BOARD</t>
  </si>
  <si>
    <t>TOWN OF SAWMILLS</t>
  </si>
  <si>
    <t>LENOIR HOUSING AUTHORITY</t>
  </si>
  <si>
    <t>TOWN OF HUDSON</t>
  </si>
  <si>
    <t>TOWN OF HARRISBURG</t>
  </si>
  <si>
    <t>CITY OF LENOIR</t>
  </si>
  <si>
    <t>CITY OF LENOIR ABC BRD</t>
  </si>
  <si>
    <t>TOWN OF CAJAH'S MOUNTAIN</t>
  </si>
  <si>
    <t>CAMDEN COUNTY</t>
  </si>
  <si>
    <t>CAMDEN COUNTY ABC BOARD</t>
  </si>
  <si>
    <t>CARTERET COUNTY</t>
  </si>
  <si>
    <t>CARTERET COUNTY ABC BOARD</t>
  </si>
  <si>
    <t>WESTERN CARTERET INTERLOCAL COOPERATION AGENCY</t>
  </si>
  <si>
    <t>TOWN OF MOREHEAD CITY</t>
  </si>
  <si>
    <t>TOWN OF NEWPORT</t>
  </si>
  <si>
    <t>TOWN OF BEAUFORT</t>
  </si>
  <si>
    <t>BEAUFORT HOUSING AUTH</t>
  </si>
  <si>
    <t>TOWN OF PINE KNOLL SHORES</t>
  </si>
  <si>
    <t>TOWN OF EMERALD ISLE</t>
  </si>
  <si>
    <t>TOWN OF INDIAN BEACH</t>
  </si>
  <si>
    <t>TOWN OF CAPE CARTERET</t>
  </si>
  <si>
    <t>TOWN OF ATLANTIC BEACH</t>
  </si>
  <si>
    <t>TOWN OF CEDAR POINT</t>
  </si>
  <si>
    <t>CASWELL COUNTY</t>
  </si>
  <si>
    <t>CASWELL COUNTY ABC BOARD</t>
  </si>
  <si>
    <t>CASWELL CO DEPT OF SOCIAL SERVICES</t>
  </si>
  <si>
    <t>TOWN OF YANCEYVILLE</t>
  </si>
  <si>
    <t>CATAWBA COUNTY</t>
  </si>
  <si>
    <t>CATAWBA COUNTY ABC BOARD</t>
  </si>
  <si>
    <t>CITY OF HICKORY</t>
  </si>
  <si>
    <t>HICKORY CONOVER TOURISM DEV AUTH</t>
  </si>
  <si>
    <t>HICKORY PUBLIC HOUSING AUTHORITY</t>
  </si>
  <si>
    <t>WESTERN PIEDMONT COUNCIL OF GVMTS</t>
  </si>
  <si>
    <t>WESTERN PIEDMONT REGIONAL TRANSIT AUTHORITY</t>
  </si>
  <si>
    <t>CITY OF CLAREMONT</t>
  </si>
  <si>
    <t>TOWN OF MAIDEN</t>
  </si>
  <si>
    <t>THE TOWN OF LONGVIEW</t>
  </si>
  <si>
    <t>TOWN OF CONOVER</t>
  </si>
  <si>
    <t>TOWN OF BROOKFORD</t>
  </si>
  <si>
    <t>CITY OF NEWTON</t>
  </si>
  <si>
    <t>TOWN OF CATAWBA</t>
  </si>
  <si>
    <t>CHATHAM COUNTY</t>
  </si>
  <si>
    <t>CHATHAM CO HOUSING AUTH</t>
  </si>
  <si>
    <t>CHATHAM COUNTY ABC BOARD</t>
  </si>
  <si>
    <t>GOLDSTON-GULF SANITARY DISTRICT</t>
  </si>
  <si>
    <t>TOWN OF SILER CITY</t>
  </si>
  <si>
    <t>SILER CITY ABC BOARD</t>
  </si>
  <si>
    <t>TOWN OF PITTSBORO</t>
  </si>
  <si>
    <t>CHEROKEE COUNTY</t>
  </si>
  <si>
    <t>NANTAHALA REGIONAL LIBRARY</t>
  </si>
  <si>
    <t>TOWN OF MURPHY</t>
  </si>
  <si>
    <t>MURPHY ABC BOARD</t>
  </si>
  <si>
    <t>TOWN OF ANDREWS</t>
  </si>
  <si>
    <t>CHOWAN COUNTY</t>
  </si>
  <si>
    <t>CHOWAN COUNTY ABC BOARD</t>
  </si>
  <si>
    <t>ALBEMARLE REGNL PLANNING &amp; DEVELOPMENT COMM</t>
  </si>
  <si>
    <t>TOWN OF EDENTON</t>
  </si>
  <si>
    <t>THE NEW EDENTON HOUSING AUTH</t>
  </si>
  <si>
    <t>CLAY COUNTY</t>
  </si>
  <si>
    <t>CLEVELAND COUNTY</t>
  </si>
  <si>
    <t>CLEVELAND CO SANITARY DIST</t>
  </si>
  <si>
    <t>CITY OF SHELBY</t>
  </si>
  <si>
    <t>SHELBY ABC BOARD</t>
  </si>
  <si>
    <t>CITY OF KINGS MOUNTAIN</t>
  </si>
  <si>
    <t>KINGS MOUNTAIN ABC BOARD</t>
  </si>
  <si>
    <t>TOWN OF BOILING SPRINGS</t>
  </si>
  <si>
    <t>TOWN OF LAWNDALE</t>
  </si>
  <si>
    <t>TOWN OF GROVER</t>
  </si>
  <si>
    <t>COLUMBUS COUNTY</t>
  </si>
  <si>
    <t>WHITEVILLE HOUSING AUTHORITY</t>
  </si>
  <si>
    <t>CITY OF WHITEVILLE</t>
  </si>
  <si>
    <t>WHITEVILLE ABC BOARD</t>
  </si>
  <si>
    <t>TOWN OF BRUNSWICK</t>
  </si>
  <si>
    <t>LAKE WACCAMAW ABC BOARD</t>
  </si>
  <si>
    <t>TOWN OF FAIR BLUFF</t>
  </si>
  <si>
    <t>TOWN OF CHADBOURN</t>
  </si>
  <si>
    <t>WEST COLUMBUS ABC BOARD</t>
  </si>
  <si>
    <t>TOWN OF TABOR CITY</t>
  </si>
  <si>
    <t>TOWN OF LAKE WACCAMAW</t>
  </si>
  <si>
    <t>CRAVEN COUNTY</t>
  </si>
  <si>
    <t>FIRST CRAVEN SANITARY DIST</t>
  </si>
  <si>
    <t>CRAVEN CO ABC BD</t>
  </si>
  <si>
    <t>CRAVEN-PAMLICO-CARTERET REGIONAL LIBRARY</t>
  </si>
  <si>
    <t>COASTAL CAROLINA REGIONAL AIRPORT</t>
  </si>
  <si>
    <t>NEUSE RIVER COUNCIL OF GOVERNMENTS</t>
  </si>
  <si>
    <t>COASTAL REGIONAL SOLID WASTE MNGT AUTH</t>
  </si>
  <si>
    <t>EAST CAROLINA BEHAVORIAL HEALTHCARE</t>
  </si>
  <si>
    <t>CITY OF NEW BERN</t>
  </si>
  <si>
    <t>TRILLIUM HEALTH RESOURCES</t>
  </si>
  <si>
    <t>TOWN OF TRENT WOODS</t>
  </si>
  <si>
    <t>CITY OF HAVELOCK</t>
  </si>
  <si>
    <t>TOWN OF RIVER BEND</t>
  </si>
  <si>
    <t>TOWN OF VANCEBORO</t>
  </si>
  <si>
    <t>TOWN OF BRIDGETON</t>
  </si>
  <si>
    <t>TOWN OF COVE CITY</t>
  </si>
  <si>
    <t>CUMBERLAND COUNTY</t>
  </si>
  <si>
    <t>WESTAREA VOLUNTEER FIRE DEPT</t>
  </si>
  <si>
    <t>CUMBERLAND CO ABC BOARD</t>
  </si>
  <si>
    <t>MID-CAROLINA COUNCIL OF GOVERNMENTS</t>
  </si>
  <si>
    <t>CUMBERLAND MEMORIAL AUDITORIUM COM</t>
  </si>
  <si>
    <t>CITY OF FAYETTEVILLE</t>
  </si>
  <si>
    <t>FAYETTEVILLE METROPOLITAN HOUSING AUTH</t>
  </si>
  <si>
    <t>PUBLIC WORKS COMM CTY OF FAYETTEVILLE</t>
  </si>
  <si>
    <t>TOWN OF STEDMAN</t>
  </si>
  <si>
    <t>TOWN OF HOPE MILLS</t>
  </si>
  <si>
    <t>TOWN OF WADE</t>
  </si>
  <si>
    <t>TOWN OF LINDEN</t>
  </si>
  <si>
    <t>TOWN OF SPRING LAKE</t>
  </si>
  <si>
    <t>TOWN OF FALCON</t>
  </si>
  <si>
    <t>TOWN OF EASTOVER</t>
  </si>
  <si>
    <t>CURRITUCK COUNTY</t>
  </si>
  <si>
    <t>CURRITUCK CO ABC BOARD</t>
  </si>
  <si>
    <t>DARE COUNTY</t>
  </si>
  <si>
    <t>DARE COUNTY TOURISM BOARD</t>
  </si>
  <si>
    <t>DARE COUNTY ABC BOARD</t>
  </si>
  <si>
    <t>TOWN OF NAGS HEAD</t>
  </si>
  <si>
    <t>TOWN OF KILL DEVIL HILLS</t>
  </si>
  <si>
    <t>TOWN OF MANTEO</t>
  </si>
  <si>
    <t>TOWN OF SOUTHERN SHORES</t>
  </si>
  <si>
    <t>TOWN OF KITTY HAWK</t>
  </si>
  <si>
    <t>TOWN OF DUCK</t>
  </si>
  <si>
    <t>DAVIDSON COUNTY</t>
  </si>
  <si>
    <t>CITY OF THOMASVILLE</t>
  </si>
  <si>
    <t>THOMASVILLE HOUSING AUTHORITY</t>
  </si>
  <si>
    <t>LEXINGTON ABC BOARD</t>
  </si>
  <si>
    <t>TOWN OF DENTON</t>
  </si>
  <si>
    <t>CITY OF LEXINGTON</t>
  </si>
  <si>
    <t>DAVIE COUNTY</t>
  </si>
  <si>
    <t>DAVIE SOIL AND WATER CONSERVATION DIST</t>
  </si>
  <si>
    <t>TOWN OF MOCKSVILLE</t>
  </si>
  <si>
    <t>TOWN OF BERMUDA RUN</t>
  </si>
  <si>
    <t>COOLEEMEE ABC BOARD</t>
  </si>
  <si>
    <t>TOWN OF COOLEEMEE</t>
  </si>
  <si>
    <t>DUPLIN COUNTY</t>
  </si>
  <si>
    <t>EASTPOINTE HUMAN SERVICES</t>
  </si>
  <si>
    <t>TOWN OF BEULAVILLE</t>
  </si>
  <si>
    <t>TOWN OF KENANSVILLE</t>
  </si>
  <si>
    <t>KENANSVILLE ABC BOARD</t>
  </si>
  <si>
    <t>TOWN OF WARSAW</t>
  </si>
  <si>
    <t>WARSAW ABC BOARD</t>
  </si>
  <si>
    <t>TOWN OF FAISON</t>
  </si>
  <si>
    <t>TOWN OF WALLACE</t>
  </si>
  <si>
    <t>WALLACE ABC BD</t>
  </si>
  <si>
    <t>TOWN OF ROSE HILL</t>
  </si>
  <si>
    <t>TOWN OF CALYPSO</t>
  </si>
  <si>
    <t>TOWN OF TEACHEY</t>
  </si>
  <si>
    <t>TOWN OF MAGNOLIA</t>
  </si>
  <si>
    <t>DURHAM COUNTY</t>
  </si>
  <si>
    <t>PARKWOOD FIRE DEPARTMENT</t>
  </si>
  <si>
    <t>DURHAM COUNTY ABC BOARD</t>
  </si>
  <si>
    <t>ALLIANCE BEHAVIORAL HEALTHCRE</t>
  </si>
  <si>
    <t>CITY OF DURHAM</t>
  </si>
  <si>
    <t>DURHAM CONVENTION &amp; VISITORS BUREAU</t>
  </si>
  <si>
    <t>TRIANGLE J COUNCIL OF GOVERNMENTS</t>
  </si>
  <si>
    <t>EDGECOMBE COUNTY</t>
  </si>
  <si>
    <t>EDGECOMBE COUNTY ABC BOARD</t>
  </si>
  <si>
    <t>EDGECOMBE COUNTY MEMORIAL LIBRARY</t>
  </si>
  <si>
    <t>UPPER COASTAL PLAIN COUNCIL OF GOVERNMENTS</t>
  </si>
  <si>
    <t>TOWN OF TARBORO</t>
  </si>
  <si>
    <t>TARBORO REDEVELOPMENT COMMISSION</t>
  </si>
  <si>
    <t>CITY OF ROCKY MOUNT</t>
  </si>
  <si>
    <t>ROCKY MOUNT-WILSON AIRPORT AUTHORITY</t>
  </si>
  <si>
    <t>TOWN OF PINETOPS</t>
  </si>
  <si>
    <t>ROCKY MT HOUSING AUTHORITY</t>
  </si>
  <si>
    <t>TOWN OF MACCLESFIELD</t>
  </si>
  <si>
    <t>TOWN OF PRINCEVILLE</t>
  </si>
  <si>
    <t>FORSYTH COUNTY</t>
  </si>
  <si>
    <t>AIRPORT COMMISSION OF FORSYTH COUNTY</t>
  </si>
  <si>
    <t>PIEDMONT TRIAD REGIONAL COUNCIL</t>
  </si>
  <si>
    <t>CENTERPOINT HUMAN SERVICES</t>
  </si>
  <si>
    <t>CITY OF WINSTON-SALEM</t>
  </si>
  <si>
    <t>WINSTON-SALEM HOUSING AUTHORITY</t>
  </si>
  <si>
    <t>TRIAD MUNICIPAL ABC BOARD</t>
  </si>
  <si>
    <t>TOWN OF KERNERSVILLE</t>
  </si>
  <si>
    <t>TOWN OF RURAL HALL</t>
  </si>
  <si>
    <t>VILLAGE OF CLEMMONS</t>
  </si>
  <si>
    <t>CLEMMONS FIRE DEPARTMENT</t>
  </si>
  <si>
    <t>TOWN OF LEWISVILLE</t>
  </si>
  <si>
    <t>TOWN OF WALKERTOWN</t>
  </si>
  <si>
    <t>VILLAGE OF TOBACCOVILLE</t>
  </si>
  <si>
    <t>FRANKLIN COUNTY</t>
  </si>
  <si>
    <t>TOWN OF FRANKLINTON</t>
  </si>
  <si>
    <t>FRANKLINTON ABC BOARD</t>
  </si>
  <si>
    <t>TOWN OF LOUISBURG</t>
  </si>
  <si>
    <t>LOUISBURG ABC BOARD</t>
  </si>
  <si>
    <t>TOWN OF BUNN</t>
  </si>
  <si>
    <t>ABC BOARD - TOWN OF BUNN</t>
  </si>
  <si>
    <t>TOWN OF YOUNGSVILLE</t>
  </si>
  <si>
    <t>GASTON COUNTY</t>
  </si>
  <si>
    <t>TOWN OF STANLEY</t>
  </si>
  <si>
    <t>PARTNERS BEHAVIORAL HEALTH MANAGEMENT</t>
  </si>
  <si>
    <t>TOWN OF MCADENVILLE</t>
  </si>
  <si>
    <t>CITY OF GASTONIA</t>
  </si>
  <si>
    <t>GASTONIA ABC BOARD</t>
  </si>
  <si>
    <t>GASTON COUNTY ECONOMIC DEV. COMMISSION</t>
  </si>
  <si>
    <t>CITY OF BELMONT</t>
  </si>
  <si>
    <t>BELMONT HOUSING AUTHORITY</t>
  </si>
  <si>
    <t>TOWN OF CRAMERTON</t>
  </si>
  <si>
    <t>CITY OF CHERRYVILLE</t>
  </si>
  <si>
    <t>CHERRYVILLE ABC BOARD</t>
  </si>
  <si>
    <t>TOWN OF DALLAS</t>
  </si>
  <si>
    <t>CITY OF LOWELL</t>
  </si>
  <si>
    <t>BESSEMER CITY</t>
  </si>
  <si>
    <t>TOWN OF RANLO</t>
  </si>
  <si>
    <t>CITY OF MOUNT HOLLY</t>
  </si>
  <si>
    <t>COUNTY OF GATES</t>
  </si>
  <si>
    <t>GATES COUNTY ABC BOARD</t>
  </si>
  <si>
    <t>GRAHAM COUNTY</t>
  </si>
  <si>
    <t>GRAHAM CO HEALTH DEPT</t>
  </si>
  <si>
    <t>GRAHAM COUNTY DEPT OF S S</t>
  </si>
  <si>
    <t>TOWN OF ROBBINSVILLE</t>
  </si>
  <si>
    <t>GRANVILLE COUNTY</t>
  </si>
  <si>
    <t>GRANVILLE CO ABC BD</t>
  </si>
  <si>
    <t>GRANVILLE COUNTY HOSPITAL</t>
  </si>
  <si>
    <t>GRANVILLE-VANCE HEALTH DIST</t>
  </si>
  <si>
    <t>SOUTH GRANVILLE WATER AND SEWER AUTHORITY</t>
  </si>
  <si>
    <t>CITY OF OXFORD</t>
  </si>
  <si>
    <t>OXFORD HOUSING AUTHORITY</t>
  </si>
  <si>
    <t>TOWN OF STOVALL</t>
  </si>
  <si>
    <t>CITY OF CREEDMOOR</t>
  </si>
  <si>
    <t>TOWN OF BUTNER</t>
  </si>
  <si>
    <t>GREENE COUNTY</t>
  </si>
  <si>
    <t>MAURY SANITARY LAND DISTRICT</t>
  </si>
  <si>
    <t>GREENE COUNTY ABC BOARD</t>
  </si>
  <si>
    <t>NEUSE REGIONAL LIBRARY-GREENE COUNTY</t>
  </si>
  <si>
    <t>TOWN OF HOOKERTON</t>
  </si>
  <si>
    <t>TOWN OF SNOW HILL</t>
  </si>
  <si>
    <t>TOWN OF WALSTONBURG</t>
  </si>
  <si>
    <t>GUILFORD COUNTY</t>
  </si>
  <si>
    <t>GUIL-RAND FIRE DEPARTMENT</t>
  </si>
  <si>
    <t>PINECROFT-SEDGEFIELD FIRE DIST INC</t>
  </si>
  <si>
    <t>ALAMANCE COMM FIRE DIST</t>
  </si>
  <si>
    <t>CITY OF GREENSBORO</t>
  </si>
  <si>
    <t>PIEDMONT TRIAD REG WATER AUTH</t>
  </si>
  <si>
    <t>GREENSBORO ABC BD</t>
  </si>
  <si>
    <t>GUILFORD FIRE DISTRICT # 13 INC</t>
  </si>
  <si>
    <t>CITY OF HIGH POINT</t>
  </si>
  <si>
    <t>HIGH POINT ABC BD</t>
  </si>
  <si>
    <t>TOWN OF JAMESTOWN</t>
  </si>
  <si>
    <t>TOWN OF GIBSONVILLE</t>
  </si>
  <si>
    <t>GIBSONVILLE ABC BOARD</t>
  </si>
  <si>
    <t>TOWN OF OAK RIDGE</t>
  </si>
  <si>
    <t>COLFAX VOLUNTEER FIRE DEPARTMENT</t>
  </si>
  <si>
    <t>TOWN OF SUMMERFIELD</t>
  </si>
  <si>
    <t>SUMMERFIELD FIRE DISTRICT</t>
  </si>
  <si>
    <t>HALIFAX COUNTY</t>
  </si>
  <si>
    <t>HALIFAX COUNTY ABC BOARD</t>
  </si>
  <si>
    <t>HALIFAX COUNTY TOURISM DEVELOPMENT AUTHORITY</t>
  </si>
  <si>
    <t>ROANOKE RAPIDS SANITARY DISTRICT</t>
  </si>
  <si>
    <t>TOWN OF ENFIELD</t>
  </si>
  <si>
    <t>CITY OF ROANOKE RAPIDS</t>
  </si>
  <si>
    <t>TOWN OF WELDON</t>
  </si>
  <si>
    <t>TOWN OF SCOTLAND NECK</t>
  </si>
  <si>
    <t>TOWN OF HOBGOOD</t>
  </si>
  <si>
    <t>TOWN OF LITTLETON</t>
  </si>
  <si>
    <t>HARNETT COUNTY</t>
  </si>
  <si>
    <t>CITY OF DUNN</t>
  </si>
  <si>
    <t>DUNN HOUSING AUTHORITY</t>
  </si>
  <si>
    <t>DUNN ABC BOARD</t>
  </si>
  <si>
    <t>TOWN OF LILLINGTON</t>
  </si>
  <si>
    <t>TOWN OF ERWIN</t>
  </si>
  <si>
    <t>TOWN OF COATS</t>
  </si>
  <si>
    <t>TOWN OF ANGIER ABC BOARD</t>
  </si>
  <si>
    <t>TOWN OF ANGIER</t>
  </si>
  <si>
    <t>HAYWOOD CO</t>
  </si>
  <si>
    <t>HAYWOOD MEDICAL CENTER</t>
  </si>
  <si>
    <t>JUNALUSKA SANITARY DISTRICT</t>
  </si>
  <si>
    <t>TOWN OF WAYNESVILLE</t>
  </si>
  <si>
    <t>WAYNESVILLE ABC BOARD</t>
  </si>
  <si>
    <t>TOWN OF MAGGIE VALLEY</t>
  </si>
  <si>
    <t>MAGGIE VALLEY ABC BOARD</t>
  </si>
  <si>
    <t>MAGGIE VALLEY SANITARY DIST</t>
  </si>
  <si>
    <t>TOWN OF CANTON</t>
  </si>
  <si>
    <t>CANTON ABC BOARD</t>
  </si>
  <si>
    <t>COUNTY OF HENDERSON</t>
  </si>
  <si>
    <t>CITY OF HENDERSONVILLE</t>
  </si>
  <si>
    <t>HENDERSONVILLE WATER COMMISSION</t>
  </si>
  <si>
    <t>HENDERSONVILLE ABC BD</t>
  </si>
  <si>
    <t>TOWN OF LAUREL PARK</t>
  </si>
  <si>
    <t>LAUREL PARK ABC BOARD</t>
  </si>
  <si>
    <t>THE VILLAGE OF FLAT ROCK</t>
  </si>
  <si>
    <t>BLUE RIDGE FIRE DEPARTMENT</t>
  </si>
  <si>
    <t>TOWN OF FLETCHER</t>
  </si>
  <si>
    <t>FLETCHER ABC BOARD</t>
  </si>
  <si>
    <t>TOWN OF MILLS RIVER</t>
  </si>
  <si>
    <t>HERTFORD COUNTY</t>
  </si>
  <si>
    <t>HERTFORD COUNTY ABC BOARD</t>
  </si>
  <si>
    <t>HERTFORD COUNTY PUBLIC HEALTH AUTHORITY</t>
  </si>
  <si>
    <t>TOWN OF AHOSKIE</t>
  </si>
  <si>
    <t>TOWN OF MURFREESBORO</t>
  </si>
  <si>
    <t>TOWN OF WINTON</t>
  </si>
  <si>
    <t>TOWN OF COFIELD</t>
  </si>
  <si>
    <t>HOKE COUNTY</t>
  </si>
  <si>
    <t>HOKE COUNTY ABC BOARD</t>
  </si>
  <si>
    <t>TOWN OF RAEFORD</t>
  </si>
  <si>
    <t>HYDE COUNTY</t>
  </si>
  <si>
    <t>HYDE COUNTY ABC BOARD</t>
  </si>
  <si>
    <t>OCRACOKE SANITARY DIST</t>
  </si>
  <si>
    <t>IREDELL COUNTY</t>
  </si>
  <si>
    <t>GREATER STATESVILLE DEVELOPMENT CORP</t>
  </si>
  <si>
    <t>CITY OF STATESVILLE</t>
  </si>
  <si>
    <t>STATESVILLE ABC BOARD</t>
  </si>
  <si>
    <t>CITY OF MOORESVILLE</t>
  </si>
  <si>
    <t>MOORESVILLE HOUSING AUTHORITY</t>
  </si>
  <si>
    <t>MOORESVILLE ABC BOARD</t>
  </si>
  <si>
    <t>TOWN OF TROUTMAN</t>
  </si>
  <si>
    <t>MI CONNECTION COMMUNICATIONS SYSTEM</t>
  </si>
  <si>
    <t>JACKSON COUNTY</t>
  </si>
  <si>
    <t>TUCKASEIGEE WATER AUTHORITY</t>
  </si>
  <si>
    <t>FONTANA REGIONAL LIBRARY</t>
  </si>
  <si>
    <t>SOUTHWESTERN NC PLANNING &amp; ECON.DEV.COMMIS.</t>
  </si>
  <si>
    <t>SMOKY MOUNTAIN M H C</t>
  </si>
  <si>
    <t>TOWN OF SYLVA</t>
  </si>
  <si>
    <t>JACKSON COUNTY ABC BOARD</t>
  </si>
  <si>
    <t>JOHNSTON COUNTY</t>
  </si>
  <si>
    <t>BENSON HOUSING AUTHORITY</t>
  </si>
  <si>
    <t>JOHNSTON COUNTY ABC BOARD</t>
  </si>
  <si>
    <t>PUBLIC LIBRARY OF JOHNSTON CO AND SMITHFIELD</t>
  </si>
  <si>
    <t>TOWN OF ARCHER LODGE</t>
  </si>
  <si>
    <t>JOHNSTON HEALTH CENTER</t>
  </si>
  <si>
    <t>TOWN OF SMITHFIELD</t>
  </si>
  <si>
    <t>SMITHFIELD HOUSING AUTHORITY</t>
  </si>
  <si>
    <t>TOWN OF SELMA</t>
  </si>
  <si>
    <t>TOWN OF MICRO</t>
  </si>
  <si>
    <t>SELMA HOUSING AUTHORITY</t>
  </si>
  <si>
    <t>TOWN OF CLAYTON</t>
  </si>
  <si>
    <t>TOWN OF BENSON</t>
  </si>
  <si>
    <t>TOWN OF FOUR OAKS</t>
  </si>
  <si>
    <t>TOWN OF PINE LEVEL</t>
  </si>
  <si>
    <t>TOWN OF KENLY</t>
  </si>
  <si>
    <t>TOWN OF PRINCETON</t>
  </si>
  <si>
    <t>TOWN OF WILSON'S MILLS</t>
  </si>
  <si>
    <t>JONES COUNTY</t>
  </si>
  <si>
    <t>JONES COUNTY ABC BOARD</t>
  </si>
  <si>
    <t>NEUSE REGIONAL LIBRARY-JONES COUNTY</t>
  </si>
  <si>
    <t>TOWN OF POLLOCKSVILLE</t>
  </si>
  <si>
    <t>TOWN OF MAYSVILLE</t>
  </si>
  <si>
    <t>LEE COUNTY</t>
  </si>
  <si>
    <t>CITY OF SANFORD</t>
  </si>
  <si>
    <t>SANFORD ABC BOARD</t>
  </si>
  <si>
    <t>TOWN OF BROADWAY</t>
  </si>
  <si>
    <t>LENOIR COUNTY</t>
  </si>
  <si>
    <t>LENOIR COUNTY ABC BOARD</t>
  </si>
  <si>
    <t>NEUSE REGIONAL LIBRARY</t>
  </si>
  <si>
    <t>CITY OF KINSTON</t>
  </si>
  <si>
    <t>GLOBAL TRANSPARK DEVELOPMENT COMM</t>
  </si>
  <si>
    <t>HOUSING AUTH FOR THE CTY OF KINSTON</t>
  </si>
  <si>
    <t>KINSTON-LENOIR CO PUB LIBRARY</t>
  </si>
  <si>
    <t>TOWN OF PINK HILL</t>
  </si>
  <si>
    <t>TOWN OF LAGRANGE</t>
  </si>
  <si>
    <t>LINCOLN COUNTY</t>
  </si>
  <si>
    <t>LINCOLN COUNTY ABC BOARD</t>
  </si>
  <si>
    <t>CITY OF LINCOLNTON</t>
  </si>
  <si>
    <t>LINCOLNTON HOUSING AUTHORITY</t>
  </si>
  <si>
    <t>TOWN OF LINCOLNTON ABC BOARD</t>
  </si>
  <si>
    <t>MACON COUNTY</t>
  </si>
  <si>
    <t>TOWN OF FRANKLIN</t>
  </si>
  <si>
    <t>HIGHLANDS ABC BOARD</t>
  </si>
  <si>
    <t>TOWN OF HIGHLANDS</t>
  </si>
  <si>
    <t>MADISON COUNTY</t>
  </si>
  <si>
    <t>TOWN OF MARS HILL</t>
  </si>
  <si>
    <t>TOWN OF MARSHALL</t>
  </si>
  <si>
    <t>HOT SPRINGS HOUSING AUTHORITY</t>
  </si>
  <si>
    <t>MARTIN COUNTY</t>
  </si>
  <si>
    <t>MARTIN CO TRAVEL &amp; TOURISM AUTH</t>
  </si>
  <si>
    <t>MARTIN COUNTY ABC BOARD</t>
  </si>
  <si>
    <t>TOWN OF WILLIAMSTON</t>
  </si>
  <si>
    <t>WILLIAMSTON HOUSING AUTHORITY</t>
  </si>
  <si>
    <t>TOWN OF OAK CITY</t>
  </si>
  <si>
    <t>TOWN OF HAMILTON</t>
  </si>
  <si>
    <t>TOWN OF JAMESVILLE</t>
  </si>
  <si>
    <t>TOWN OF ROBERSONVILLE</t>
  </si>
  <si>
    <t>ROBERSONVILLE HOUSING AUTHORITY</t>
  </si>
  <si>
    <t>MCDOWELL COUNTY</t>
  </si>
  <si>
    <t>PLEASANT GARDEN FIRE DEPT</t>
  </si>
  <si>
    <t>TOWN OF MARION</t>
  </si>
  <si>
    <t>MARION ABC BOARD</t>
  </si>
  <si>
    <t>TOWN OF OLD FORT</t>
  </si>
  <si>
    <t>MECKLENBURG COUNTY</t>
  </si>
  <si>
    <t>CHARLOTTE HOUSING AUTHORITY</t>
  </si>
  <si>
    <t>MECKLENBURG COUNTY ABC BOARD</t>
  </si>
  <si>
    <t>CHARLOTTE MECKLENBURG PUBLIC LIBRARY</t>
  </si>
  <si>
    <t>MECKLENBURG EMER MED SVCS AGCY</t>
  </si>
  <si>
    <t>CENTRALINA COUNCIL OF GOVERNMENTS</t>
  </si>
  <si>
    <t>CITY OF CHARLOTTE</t>
  </si>
  <si>
    <t>CHARLOTTE REGIONAL VISITORS AUTHORITY</t>
  </si>
  <si>
    <t>CHARLOTTE FIREMEN'S RET SYS</t>
  </si>
  <si>
    <t>TOWN OF PINEVILLE</t>
  </si>
  <si>
    <t>TOWN OF MINT HILL</t>
  </si>
  <si>
    <t>TOWN OF HUNTERSVILLE</t>
  </si>
  <si>
    <t>TOWN OF CORNELIUS</t>
  </si>
  <si>
    <t>TOWN OF STALLINGS</t>
  </si>
  <si>
    <t>TOWN OF MATTHEWS</t>
  </si>
  <si>
    <t>TOWN OF DAVIDSON</t>
  </si>
  <si>
    <t>MITCHELL COUNTY</t>
  </si>
  <si>
    <t>MITCHELL SOIL &amp; WATER CONSERVATION DIST</t>
  </si>
  <si>
    <t>TOWN OF SPRUCE PINE</t>
  </si>
  <si>
    <t>TOWN OF BAKERSVILLE</t>
  </si>
  <si>
    <t>MONTGOMERY COUNTY</t>
  </si>
  <si>
    <t>MONTGOMERY-MUNICIPAL ABC BOARD</t>
  </si>
  <si>
    <t>TOWN OF STAR</t>
  </si>
  <si>
    <t>TOWN OF TROY</t>
  </si>
  <si>
    <t>TOWN OF BISCOE</t>
  </si>
  <si>
    <t>TOWN OF CANDOR</t>
  </si>
  <si>
    <t>TOWN OF MOUNT GILEAD</t>
  </si>
  <si>
    <t>MOORE COUNTY</t>
  </si>
  <si>
    <t>TOWN OF TAYLORTOWN</t>
  </si>
  <si>
    <t>MOORE COUNTY ABC BOARD</t>
  </si>
  <si>
    <t>MOORE COUNTY TOURISM DEVELOPMENT AUTHORITY</t>
  </si>
  <si>
    <t>MOORE COUNTY AIRPORT AUTHORITY</t>
  </si>
  <si>
    <t>TOWN OF SOUTHERN PINES</t>
  </si>
  <si>
    <t>TOWN OF CAMERON</t>
  </si>
  <si>
    <t>SANDHILLS CENTER</t>
  </si>
  <si>
    <t>TOWN OF VASS</t>
  </si>
  <si>
    <t>TOWN OF ABERDEEN</t>
  </si>
  <si>
    <t>TOWN OF ROBBINS</t>
  </si>
  <si>
    <t>VILLAGE OF PINEHURST</t>
  </si>
  <si>
    <t>TOWN OF PINEBLUFF</t>
  </si>
  <si>
    <t>VILLAGE OF WHISPERING PINES</t>
  </si>
  <si>
    <t>FOXFIRE VILLAGE</t>
  </si>
  <si>
    <t>TOWN OF CARTHAGE</t>
  </si>
  <si>
    <t>NASH COUNTY</t>
  </si>
  <si>
    <t>NASH COUNTY ABC BOARD</t>
  </si>
  <si>
    <t>BRASWELL MEMORIAL LIBRARY</t>
  </si>
  <si>
    <t>TOWN OF SPRING HOPE</t>
  </si>
  <si>
    <t>TOWN OF NASHVILLE</t>
  </si>
  <si>
    <t>TOWN OF MIDDLESEX</t>
  </si>
  <si>
    <t>TOWN OF WHITAKERS</t>
  </si>
  <si>
    <t>TOWN OF BAILEY</t>
  </si>
  <si>
    <t>TOWN OF SHARPSBURG</t>
  </si>
  <si>
    <t>NEW HANOVER COUNTY</t>
  </si>
  <si>
    <t>NEW HANOVER AIRPORT AUTH</t>
  </si>
  <si>
    <t>HOUSING AUTH OF THE CITY OF WILMINGTON</t>
  </si>
  <si>
    <t>NEW HANOVER COUNTY ABC BOARD</t>
  </si>
  <si>
    <t>CAPE FEAR PUBLIC UTILITY AUTHORITY</t>
  </si>
  <si>
    <t>LOWER CAPE FEAR WATER &amp; SEWER AUTH</t>
  </si>
  <si>
    <t>TOWN OF WRIGHTSVILLE BEACH</t>
  </si>
  <si>
    <t>CAPE FEAR PUBLIC TRANSPORTATION AUTHORITY</t>
  </si>
  <si>
    <t>COASTALCARE</t>
  </si>
  <si>
    <t>TOWN OF CAROLINA BEACH</t>
  </si>
  <si>
    <t>CITY OF WILMINGTON</t>
  </si>
  <si>
    <t>TOWN OF KURE BEACH</t>
  </si>
  <si>
    <t>NORTHAMPTON COUNTY</t>
  </si>
  <si>
    <t>NORTHAMPTON COUNTY ABC BOARD</t>
  </si>
  <si>
    <t>TOWN OF RICH SQUARE</t>
  </si>
  <si>
    <t>CHOANOKE PUBLIC TRANSPORTATION AUTH</t>
  </si>
  <si>
    <t>TOWN OF WOODLAND</t>
  </si>
  <si>
    <t>TOWN OF GARYSBURG</t>
  </si>
  <si>
    <t>TOWN OF CONWAY</t>
  </si>
  <si>
    <t>TOWN OF GASTON</t>
  </si>
  <si>
    <t>TOWN OF JACKSON</t>
  </si>
  <si>
    <t>TOWN OF SEVERN</t>
  </si>
  <si>
    <t>TOWN OF SEABOARD</t>
  </si>
  <si>
    <t>ONSLOW COUNTY</t>
  </si>
  <si>
    <t>ONSLOW COUNTY ABC BOARD</t>
  </si>
  <si>
    <t>ONSLOW WATER &amp; SEWER AUTHORITY</t>
  </si>
  <si>
    <t>CITY OF JACKSONVILLE</t>
  </si>
  <si>
    <t>TOWN OF SWANSBORO</t>
  </si>
  <si>
    <t>TOWN OF HOLLY RIDGE</t>
  </si>
  <si>
    <t>HOLLY RIDGE HOUSING AUTHORITY</t>
  </si>
  <si>
    <t>TOWN OF RICHLANDS</t>
  </si>
  <si>
    <t>TOWN OF N TOPSAIL BEACH</t>
  </si>
  <si>
    <t>ORANGE COUNTY</t>
  </si>
  <si>
    <t>ORANGE COUNTY ABC BOARD</t>
  </si>
  <si>
    <t>ORANGE WATER AND SEWER AUTHORITY</t>
  </si>
  <si>
    <t>TOWN OF CHAPEL HILL</t>
  </si>
  <si>
    <t>TOWN OF CARRBORO</t>
  </si>
  <si>
    <t>TOWN OF HILLSBOROUGH</t>
  </si>
  <si>
    <t>PAMLICO COUNTY</t>
  </si>
  <si>
    <t>TOWN OF BAYBORO</t>
  </si>
  <si>
    <t>TOWN OF ORIENTAL</t>
  </si>
  <si>
    <t>BAY RIVER METRO SEWERAGE DISTRICT</t>
  </si>
  <si>
    <t>PASQUOTANK COUNTY</t>
  </si>
  <si>
    <t>PASQUOTANK-CAMDEN AMBULANCE SERVICE</t>
  </si>
  <si>
    <t>PASQUOTANK CO ABC BOARD</t>
  </si>
  <si>
    <t>EAST ALBEMARLE REGIONAL LIBRARY</t>
  </si>
  <si>
    <t>ALBEMARLE DISTRICT JAIL COMMISSION</t>
  </si>
  <si>
    <t>ALBEMARLE HOSPITAL AUTHORITY</t>
  </si>
  <si>
    <t>ELIZABETH CITY</t>
  </si>
  <si>
    <t>ELIZABETH CITY-PASQUOTANK CO AIRPORT AUTH</t>
  </si>
  <si>
    <t>ELIZABETH CITY PASQUOTANK COUNTY TDA</t>
  </si>
  <si>
    <t>PASQUOTANK-CAMDEN LIBRARY</t>
  </si>
  <si>
    <t>ELIZABETH CTY-PASQUOTANK CO INDUSTRL DEVELOPMENT C</t>
  </si>
  <si>
    <t>PENDER COUNTY</t>
  </si>
  <si>
    <t>PENDER COUNTY ABC BOARD</t>
  </si>
  <si>
    <t>TOWN OF BURGAW</t>
  </si>
  <si>
    <t>TOWN OF TOPSAIL BEACH</t>
  </si>
  <si>
    <t>TOWN OF SURF CITY</t>
  </si>
  <si>
    <t>PERQUIMANS COUNTY</t>
  </si>
  <si>
    <t>TOWN OF HERTFORD</t>
  </si>
  <si>
    <t>HERTFORD HOUSING AUTH</t>
  </si>
  <si>
    <t>TOWN OF HERTFORD ABC BOARD</t>
  </si>
  <si>
    <t>TOWN OF WINFALL</t>
  </si>
  <si>
    <t>PERSON COUNTY</t>
  </si>
  <si>
    <t>PERSON CO ABC BD</t>
  </si>
  <si>
    <t>CITY OF ROXBORO</t>
  </si>
  <si>
    <t>PITT COUNTY</t>
  </si>
  <si>
    <t>PITT-GREENVILLE CONV &amp; VISTORS</t>
  </si>
  <si>
    <t>PITT COUNTY ABC BOARD</t>
  </si>
  <si>
    <t>SHEPPARD MEMORIAL LIBRARY</t>
  </si>
  <si>
    <t>CONTENNEA METROPOLITAN SEWERAGE DIST</t>
  </si>
  <si>
    <t>CITY OF GREENVILLE</t>
  </si>
  <si>
    <t>GREENVILLE UTILITIES COMMISSION</t>
  </si>
  <si>
    <t>GREENVILLE HOUSING AUTHORITY</t>
  </si>
  <si>
    <t>TOWN OF FARMVILLE</t>
  </si>
  <si>
    <t>FARMVILLE HOUSING AUTHORITY</t>
  </si>
  <si>
    <t>TOWN OF GRIFTON</t>
  </si>
  <si>
    <t>TOWN OF BETHEL</t>
  </si>
  <si>
    <t>TOWN OF WINTERVILLE</t>
  </si>
  <si>
    <t>TOWN OF AYDEN</t>
  </si>
  <si>
    <t>AYDEN HOUSING AUTHORITY</t>
  </si>
  <si>
    <t>TOWN OF GRIMESLAND</t>
  </si>
  <si>
    <t>VILLAGE OF SIMPSON</t>
  </si>
  <si>
    <t>FOUNTAIN, TOWN OF</t>
  </si>
  <si>
    <t>POLK COUNTY</t>
  </si>
  <si>
    <t>TOWN OF TRYON</t>
  </si>
  <si>
    <t>TOWN OF COLUMBUS</t>
  </si>
  <si>
    <t>CITY OF SALUDA</t>
  </si>
  <si>
    <t>RANDOLPH COUNTY</t>
  </si>
  <si>
    <t>ASHEBORO ABC BOARD</t>
  </si>
  <si>
    <t>CITY OF ASHEBORO</t>
  </si>
  <si>
    <t>ASHEBORO HOUSING AUTH</t>
  </si>
  <si>
    <t>CITY OF RANDLEMAN</t>
  </si>
  <si>
    <t>CITY OF RANDLEMAN HOUSING AUTHORITY</t>
  </si>
  <si>
    <t>CITY OF RANDLEMAN ABC BOARD</t>
  </si>
  <si>
    <t>TOWN OF LIBERTY</t>
  </si>
  <si>
    <t>LIBERTY ABC BOARD</t>
  </si>
  <si>
    <t>TOWN OF RAMSEUR</t>
  </si>
  <si>
    <t>CITY OF ARCHDALE</t>
  </si>
  <si>
    <t>CITY OF TRINITY</t>
  </si>
  <si>
    <t>RICHMOND COUNTY</t>
  </si>
  <si>
    <t>SANDHILL REGIONAL LIBRARY</t>
  </si>
  <si>
    <t>CITY OF ROCKINGHAM</t>
  </si>
  <si>
    <t>ROCKINGHAM HOUSING AUTHORITY</t>
  </si>
  <si>
    <t>HAMLET ABC BOARD</t>
  </si>
  <si>
    <t>CITY OF HAMLET</t>
  </si>
  <si>
    <t>CITY OF ROCKINGHAM ABC BOARD</t>
  </si>
  <si>
    <t>TOWN OF ELLERBE</t>
  </si>
  <si>
    <t>COUNTY OF ROBESON</t>
  </si>
  <si>
    <t>LUMBER RIVER COUNCIL OF GOVERNMENTS</t>
  </si>
  <si>
    <t>ROBESON COUNTY HOUSING AUTHORITY</t>
  </si>
  <si>
    <t>ROBESON COUNTY PUBLIC LIBRARY</t>
  </si>
  <si>
    <t>CITY OF LUMBERTON</t>
  </si>
  <si>
    <t>LUMBERTON ABC BOARD</t>
  </si>
  <si>
    <t>LUMBERTON AIRPORT COMM</t>
  </si>
  <si>
    <t>TOWN OF FAIRMONT</t>
  </si>
  <si>
    <t>FAIRMONT HOUSING AUTHORITY</t>
  </si>
  <si>
    <t>TOWN OF ST PAULS</t>
  </si>
  <si>
    <t>ST PAUL'S BRD OF ALCOHOLIC CTL</t>
  </si>
  <si>
    <t>TOWN OF MAXTON</t>
  </si>
  <si>
    <t>TOWN OF PARKTON</t>
  </si>
  <si>
    <t>MAXTON ABC BOARD</t>
  </si>
  <si>
    <t>TOWN OF PEMBROKE</t>
  </si>
  <si>
    <t>PEMBROKE HOUSING AUTHORITY</t>
  </si>
  <si>
    <t>TOWN OF ROWLAND</t>
  </si>
  <si>
    <t>TOWN OF RED SPRINGS</t>
  </si>
  <si>
    <t>RED SPRINGS ABC BOARD</t>
  </si>
  <si>
    <t>ROCKINGHAM COUNTY</t>
  </si>
  <si>
    <t>CITY OF REIDSVILLE</t>
  </si>
  <si>
    <t>THE NEW REIDSVILLE HOUSING AUTH</t>
  </si>
  <si>
    <t>REIDSVILLE ABC BOARD</t>
  </si>
  <si>
    <t>TOWN OF MAYODAN</t>
  </si>
  <si>
    <t>TOWN OF STONEVILLE</t>
  </si>
  <si>
    <t>TOWN OF MADISON</t>
  </si>
  <si>
    <t>MADISON ABC BOARD</t>
  </si>
  <si>
    <t>MADISON-MAYODAN RECREATION COMM</t>
  </si>
  <si>
    <t>CITY OF EDEN</t>
  </si>
  <si>
    <t>EDEN ABC BOARD</t>
  </si>
  <si>
    <t>ROWAN COUNTY</t>
  </si>
  <si>
    <t>ROWAN CONVENTION &amp; VISTORS BUREAU</t>
  </si>
  <si>
    <t>ROWAN CO HOUSING AUTHORITY</t>
  </si>
  <si>
    <t>ROWAN COUNTY ABC BOARD</t>
  </si>
  <si>
    <t>ROWAN CO SOIL &amp; WATER CONV DIST</t>
  </si>
  <si>
    <t>CITY OF SALISBURY</t>
  </si>
  <si>
    <t>HOUSING AUTH OF THE CTY OF SALISBURY</t>
  </si>
  <si>
    <t>TOWN OF EAST SPENCER</t>
  </si>
  <si>
    <t>EAST SPENCER HOUSING AUTHORITY</t>
  </si>
  <si>
    <t>TOWN OF SPENCER</t>
  </si>
  <si>
    <t>TOWN OF CHINA GROVE</t>
  </si>
  <si>
    <t>TOWN OF LANDIS</t>
  </si>
  <si>
    <t>TOWN OF GRANITE QUARRY</t>
  </si>
  <si>
    <t>TOWN OF ROCKWELL</t>
  </si>
  <si>
    <t>TOWN OF FAITH</t>
  </si>
  <si>
    <t>TOWN OF CLEVELAND</t>
  </si>
  <si>
    <t>RUTHERFORD COUNTY</t>
  </si>
  <si>
    <t>BROAD RIVER WATER AUTHORITY</t>
  </si>
  <si>
    <t>RUTHERFORD POLK MCDOWELL DIST BRD OF HEALTH</t>
  </si>
  <si>
    <t>FOREST CITY ABC BOARD 168</t>
  </si>
  <si>
    <t>ISOTHERMAL PLANNING AND DEV COMM</t>
  </si>
  <si>
    <t>TOWN OF FOREST CITY</t>
  </si>
  <si>
    <t>FOREST CITY HOUSING AUTHORITY</t>
  </si>
  <si>
    <t>TOWN OF SPINDALE</t>
  </si>
  <si>
    <t>TOWN OF LAKE LURE</t>
  </si>
  <si>
    <t>TOWN OF RUTHERFORDTON</t>
  </si>
  <si>
    <t>TOWN OF RUTHERFORDTON ABC BRD</t>
  </si>
  <si>
    <t>TOWN OF ELLENBORO</t>
  </si>
  <si>
    <t>SAMPSON COUNTY</t>
  </si>
  <si>
    <t>J C HOLIDAY MEM LIBRARY</t>
  </si>
  <si>
    <t>CITY OF CLINTON</t>
  </si>
  <si>
    <t>CLINTON ABC BOARD</t>
  </si>
  <si>
    <t>TOWN OF SALEMBURG</t>
  </si>
  <si>
    <t>TOWN OF NEWTON GROVE</t>
  </si>
  <si>
    <t>ROSEBORO ABC BOARD</t>
  </si>
  <si>
    <t>TOWN OF GARLAND</t>
  </si>
  <si>
    <t>TOWN OF TURKEY</t>
  </si>
  <si>
    <t>TOWN OF ROSEBORO</t>
  </si>
  <si>
    <t>TOWN OF AUTRYVILLE</t>
  </si>
  <si>
    <t>SCOTLAND COUNTY</t>
  </si>
  <si>
    <t>SCOTLAND COUNTY ABC BOARD</t>
  </si>
  <si>
    <t>LAURINBURG-MAXTON AIRPORT COMMISSION</t>
  </si>
  <si>
    <t>CITY OF LAURINBURG</t>
  </si>
  <si>
    <t>LAURINBURG HOUSING AUTHORITY</t>
  </si>
  <si>
    <t>TOWN OF WAGRAM</t>
  </si>
  <si>
    <t>TOWN OF GIBSON</t>
  </si>
  <si>
    <t>STANLY COUNTY</t>
  </si>
  <si>
    <t>CITY OF ALBEMARLE</t>
  </si>
  <si>
    <t>ALBEMARLE ABC BOARD</t>
  </si>
  <si>
    <t>TOWN OF NORWOOD</t>
  </si>
  <si>
    <t>NORWOOD ABC BD</t>
  </si>
  <si>
    <t>CITY OF LOCUST</t>
  </si>
  <si>
    <t>TOWN OF OAKBORO</t>
  </si>
  <si>
    <t>TOWN OF BADIN</t>
  </si>
  <si>
    <t>TOWN OF STANFIELD</t>
  </si>
  <si>
    <t>STOKES COUNTY</t>
  </si>
  <si>
    <t>TOWN OF WALNUT COVE</t>
  </si>
  <si>
    <t>WALNUT COVE ABC BOARD</t>
  </si>
  <si>
    <t>CITY OF KING</t>
  </si>
  <si>
    <t>SURRY COUNTY</t>
  </si>
  <si>
    <t>YADKIN VALLEY ABC BOARD</t>
  </si>
  <si>
    <t>PILOT MOUNTAIN ABC BOARD</t>
  </si>
  <si>
    <t>YADKIN VALLEY SEWER AUTHORITY</t>
  </si>
  <si>
    <t>TOWN OF PILOT MOUNTAIN</t>
  </si>
  <si>
    <t>TOWN OF DOBSON</t>
  </si>
  <si>
    <t>DOBSON ABC BD</t>
  </si>
  <si>
    <t>CITY OF MOUNT AIRY</t>
  </si>
  <si>
    <t>MOUNT AIRY ALCOHOLIC BOARD OF CONTROL</t>
  </si>
  <si>
    <t>TOWN OF ELKIN</t>
  </si>
  <si>
    <t>ELKIN ABC BOARD</t>
  </si>
  <si>
    <t>SWAIN COUNTY</t>
  </si>
  <si>
    <t>TOWN OF BRYSON CITY</t>
  </si>
  <si>
    <t>BRYSON CITY ABC BOARD</t>
  </si>
  <si>
    <t>TRANSYLVANIA COUNTY</t>
  </si>
  <si>
    <t>CITY OF BREVARD</t>
  </si>
  <si>
    <t>BREVARD ABC BOARD</t>
  </si>
  <si>
    <t>TYRRELL COUNTY</t>
  </si>
  <si>
    <t>TYRRELL CO ABC BOARD</t>
  </si>
  <si>
    <t>TOWN OF COLUMBIA</t>
  </si>
  <si>
    <t>UNION COUNTY</t>
  </si>
  <si>
    <t>CITY OF MONROE</t>
  </si>
  <si>
    <t>CITY OF MONROE HOUSING AUTHORITY</t>
  </si>
  <si>
    <t>INDIAN TRAIL ABC BOARD</t>
  </si>
  <si>
    <t>MONROE ABC BOARD</t>
  </si>
  <si>
    <t>TOWN OF MARSHVILLE</t>
  </si>
  <si>
    <t>TOWN OF WINGATE</t>
  </si>
  <si>
    <t>TOWN OF WAXHAW</t>
  </si>
  <si>
    <t>WAXHAW ABC BOARD</t>
  </si>
  <si>
    <t>TOWN OF INDIAN TRAIL</t>
  </si>
  <si>
    <t>TOWN OF UNIONVILLE</t>
  </si>
  <si>
    <t>TOWN OF WEDDINGTON</t>
  </si>
  <si>
    <t>VILLAGE OF MARVIN</t>
  </si>
  <si>
    <t>VILLAGE OF WESLEY CHAPEL</t>
  </si>
  <si>
    <t>VANCE COUNTY</t>
  </si>
  <si>
    <t>VANCE COUNTY ABC BD</t>
  </si>
  <si>
    <t>KERR-TAR REGIONAL COUNCIL OF GOVTS</t>
  </si>
  <si>
    <t>KERR AREA TRANSPORTATION AUTHORITY</t>
  </si>
  <si>
    <t>CITY OF HENDERSON</t>
  </si>
  <si>
    <t>WAKE COUNTY</t>
  </si>
  <si>
    <t>TOWN OF HOLLY SPRINGS</t>
  </si>
  <si>
    <t>TOWN OF ROLESVILLE</t>
  </si>
  <si>
    <t>WAKE COUNTY ABC BOARD</t>
  </si>
  <si>
    <t>TOWN OF MORRISVILLE</t>
  </si>
  <si>
    <t>HOUSING AUTHORITY OF THE COUNTY OF WAKE</t>
  </si>
  <si>
    <t>BAYLEAF FIRE DEPARTMENT</t>
  </si>
  <si>
    <t>ELECTRICITIES OF NC</t>
  </si>
  <si>
    <t>CITY OF RALEIGH</t>
  </si>
  <si>
    <t>DURHAM HWY FIRE PROTECTION ASSOC</t>
  </si>
  <si>
    <t>CITY OF RALEIGH HOUSING AUTHORITY</t>
  </si>
  <si>
    <t>RALEIGH-DURHAM AIRPORT AUTHORITY</t>
  </si>
  <si>
    <t>TOWN OF CARY</t>
  </si>
  <si>
    <t>CENTENNIAL AUTHORITY</t>
  </si>
  <si>
    <t>TOWN OF WENDELL</t>
  </si>
  <si>
    <t>TOWN OF ZEBULON</t>
  </si>
  <si>
    <t>TOWN OF GARNER</t>
  </si>
  <si>
    <t>GARNER FIRE DEPT</t>
  </si>
  <si>
    <t>TOWN OF FUQUAY-VARINA</t>
  </si>
  <si>
    <t>TOWN OF APEX</t>
  </si>
  <si>
    <t>TOWN OF WAKE FOREST</t>
  </si>
  <si>
    <t>TOWN OF KNIGHTDALE</t>
  </si>
  <si>
    <t>WARREN COUNTY</t>
  </si>
  <si>
    <t>WARREN COUNTY ABC BOARD</t>
  </si>
  <si>
    <t>TOWN OF NORLINA</t>
  </si>
  <si>
    <t>TOWN OF WARRENTON</t>
  </si>
  <si>
    <t>WASHINGTON COUNTY</t>
  </si>
  <si>
    <t>WASHINGTON COUNTY ABC BOARD</t>
  </si>
  <si>
    <t>PETTIGREW REGIONAL LIBRARY</t>
  </si>
  <si>
    <t>TOWN OF PLYMOUTH</t>
  </si>
  <si>
    <t>PLYMOUTH HOUSING AUTHORITY</t>
  </si>
  <si>
    <t>TOWN OF ROPER</t>
  </si>
  <si>
    <t>TOWN OF CRESWELL</t>
  </si>
  <si>
    <t>WATAUGA COUNTY</t>
  </si>
  <si>
    <t>REGION D COUNCIL OF GOVERNMENTS</t>
  </si>
  <si>
    <t>BLOWING ROCK TOURISM DEVELOPMENT AUTHORITY</t>
  </si>
  <si>
    <t>WATAUGA COUNTY DISTRICT U TDA</t>
  </si>
  <si>
    <t>TOWN OF BOONE</t>
  </si>
  <si>
    <t>TOWN OF BLOWING ROCK</t>
  </si>
  <si>
    <t>BLOWING ROCK ABC BD</t>
  </si>
  <si>
    <t>TOWN OF SEVEN DEVILS</t>
  </si>
  <si>
    <t>WAYNE COUNTY</t>
  </si>
  <si>
    <t>FORK TOWNSHIP SANITARY DIST</t>
  </si>
  <si>
    <t>EASTERN CAROLINA REG'L HOUSING AUTH</t>
  </si>
  <si>
    <t>WAYNE COUNTY ABC BOARD</t>
  </si>
  <si>
    <t>SOUTHERN WAYNE SANITARY DISTRICT</t>
  </si>
  <si>
    <t>EASTERN WAYNE SANITARY DIST</t>
  </si>
  <si>
    <t>CITY OF GOLDSBORO</t>
  </si>
  <si>
    <t>HOUSING AUTHORITY OF GOLDSBORO</t>
  </si>
  <si>
    <t>TOWN OF MOUNT OLIVE</t>
  </si>
  <si>
    <t>MT OLIVE HOUSING AUTHORITY</t>
  </si>
  <si>
    <t>TOWN OF FREMONT</t>
  </si>
  <si>
    <t>TOWN OF PIKEVILLE</t>
  </si>
  <si>
    <t>VILLAGE OF WALNUT CREEK</t>
  </si>
  <si>
    <t>WILKES COUNTY</t>
  </si>
  <si>
    <t>APPALACHIAN REGIONAL LIBRARY</t>
  </si>
  <si>
    <t>TOWN OF N WILKESBORO</t>
  </si>
  <si>
    <t>TOWN OF N WILKESBORO ABC BOARD</t>
  </si>
  <si>
    <t>TOWN OF WILKESBORO</t>
  </si>
  <si>
    <t>WILKESBORO ABC BOARD</t>
  </si>
  <si>
    <t>WILSON COUNTY</t>
  </si>
  <si>
    <t>WILSON COUNTY TOURISM DEVELOPMENT AUTH</t>
  </si>
  <si>
    <t>WILSON COUNTY ABC BOARD</t>
  </si>
  <si>
    <t>CITY OF WILSON</t>
  </si>
  <si>
    <t>WILSON ECONOMIC DEV COUNCIL</t>
  </si>
  <si>
    <t>CITY OF WILSON CEMETERY COMMISSION</t>
  </si>
  <si>
    <t>TOWN OF STANTONSBURG</t>
  </si>
  <si>
    <t>TOWN OF BLACK CREEK</t>
  </si>
  <si>
    <t>TOWN OF LUCAMA</t>
  </si>
  <si>
    <t>TOWN OF ELM CITY</t>
  </si>
  <si>
    <t>YADKIN COUNTY</t>
  </si>
  <si>
    <t>TOWN OF YADKINVILLE</t>
  </si>
  <si>
    <t>TOWN OF JONESVILLE</t>
  </si>
  <si>
    <t>TOWN OF EAST BEND</t>
  </si>
  <si>
    <t>TOWN OF BOONVILLE</t>
  </si>
  <si>
    <t>N C ASSOC OF CO COMMISSIONERS</t>
  </si>
  <si>
    <t>N C LEAGUE OF MUNICIPALITIES</t>
  </si>
  <si>
    <t>Alamance Municipal ABC Board</t>
  </si>
  <si>
    <t>Albemarle Regional Health Services</t>
  </si>
  <si>
    <t>Brunswick County Dept of Social Services</t>
  </si>
  <si>
    <t>Brunswick Regional Water and Sewer H2GO</t>
  </si>
  <si>
    <t>Burke County Dept of Social Services</t>
  </si>
  <si>
    <t>Caswell County Dept of Social Services</t>
  </si>
  <si>
    <t>Centerpoint Human Services</t>
  </si>
  <si>
    <t>Charlotte Regional Visitors Authority</t>
  </si>
  <si>
    <t>Contennea Metro Sewer District</t>
  </si>
  <si>
    <t>East Carolina Behavorial Healthcare</t>
  </si>
  <si>
    <t>Eastpointe Human Services</t>
  </si>
  <si>
    <t>Goldsboro Housing Authority</t>
  </si>
  <si>
    <t>Graham County Dept of Social Services</t>
  </si>
  <si>
    <t>Indian Trail ABC Board</t>
  </si>
  <si>
    <t>Jackson County ABC Board</t>
  </si>
  <si>
    <t>Johnston Health Center</t>
  </si>
  <si>
    <t>McDowell County</t>
  </si>
  <si>
    <t>Mid-Carolina Council of Governments</t>
  </si>
  <si>
    <t>Mideast Commission</t>
  </si>
  <si>
    <t>Mineral Springs, Town of</t>
  </si>
  <si>
    <t>Parkton, Town of</t>
  </si>
  <si>
    <t>Partners Behavioral Health Management</t>
  </si>
  <si>
    <t>Rowan Convention and Visitors Bureau</t>
  </si>
  <si>
    <t>Sandhills Center</t>
  </si>
  <si>
    <t>Southeast Brunswick Sanitary District</t>
  </si>
  <si>
    <t>Triad Municipal ABC Board</t>
  </si>
  <si>
    <t>Trillium Health Resources</t>
  </si>
  <si>
    <t>Upper Coastal Plain Council of Governments</t>
  </si>
  <si>
    <t>West Columbus ABC Board</t>
  </si>
  <si>
    <t>Yadkin Valley ABC Board</t>
  </si>
  <si>
    <t>Beginning NPL</t>
  </si>
  <si>
    <t>Ending NPL</t>
  </si>
  <si>
    <t>Beginning DO - Experience</t>
  </si>
  <si>
    <t>Beginning DO - Earnings</t>
  </si>
  <si>
    <t>Beginning DO - Assumptions</t>
  </si>
  <si>
    <t>Beginning DO - Employer proportions</t>
  </si>
  <si>
    <t>Beginning DI - Experience</t>
  </si>
  <si>
    <t>Beginning DI - Earnings</t>
  </si>
  <si>
    <t>Beginning DI - Assumptions</t>
  </si>
  <si>
    <t>Beginning DI - Employer Proportions</t>
  </si>
  <si>
    <t>Ending DO - Experience</t>
  </si>
  <si>
    <t>Ending DO - Earnings</t>
  </si>
  <si>
    <t>Ending DO - Assumptions</t>
  </si>
  <si>
    <t>Ending DO - Employer proportions</t>
  </si>
  <si>
    <t>Ending DI - Experience</t>
  </si>
  <si>
    <t>Ending DI - Earnings</t>
  </si>
  <si>
    <t>Ending DI - Assumptions</t>
  </si>
  <si>
    <t>Ending DI - Employer Proportions</t>
  </si>
  <si>
    <t>Beginning DO - Contributions subsequent to PY measurement date</t>
  </si>
  <si>
    <t>Pension Expense - Actuary</t>
  </si>
  <si>
    <t>Pension Expense - Measurement period contributions b/w Actuary and Agency</t>
  </si>
  <si>
    <t>Pension Expense - Rounding</t>
  </si>
  <si>
    <t xml:space="preserve">Deferred Outflow - Changes in Proportion and Differences Between Employer Contributions and Proportionate Share of Contributions </t>
  </si>
  <si>
    <t xml:space="preserve">Deferred Outflow - Differences Between Expected and Actual Experience </t>
  </si>
  <si>
    <t xml:space="preserve">Deferred Outflow - Changes in Assumptions </t>
  </si>
  <si>
    <t xml:space="preserve">Deferred Inflow - Differences Between Expected and Actual Experience </t>
  </si>
  <si>
    <t xml:space="preserve">Deferred Inflow - Net Difference Between Projected and Actual Investment Earnings on Plan Investments </t>
  </si>
  <si>
    <t>Deferred Inflow - Changes in Proportion and Differences Between Employer Contributions and Proportionate Share of Contributions</t>
  </si>
  <si>
    <t xml:space="preserve">Deferred Inflow - Changes in Assumptions </t>
  </si>
  <si>
    <t>Pensions - Change in Proportion and Differences in Employer Contributions and Proportionate Share of Contributions</t>
  </si>
  <si>
    <t xml:space="preserve">Pensions - Differences Between Actual and Expected Experience </t>
  </si>
  <si>
    <t xml:space="preserve">Pensions - Changes in Assumptions </t>
  </si>
  <si>
    <t xml:space="preserve">Pensions - Change in Proportion and Differences in Employer Contributions and Proportionate Share of Contributions </t>
  </si>
  <si>
    <t>Change in pension obligation during the year to be restated.</t>
  </si>
  <si>
    <t>Total Pension Liability - Beginning of Year</t>
  </si>
  <si>
    <t>Total Pension Liability - End of Year</t>
  </si>
  <si>
    <t>From "Reconciliation of Total Pension Liability" table in Actuary Report</t>
  </si>
  <si>
    <t>Benefit Payments</t>
  </si>
  <si>
    <t>From "Pension Expense" table in Actuary Report</t>
  </si>
  <si>
    <t>From "Amortization of the Change due to the Difference between Expected and Actual Experience" table in Actuary Report</t>
  </si>
  <si>
    <t>From "Amortization of the Change due to Assumption Changes" table in Actuary Report</t>
  </si>
  <si>
    <t>Ending total pension liability</t>
  </si>
  <si>
    <t>Deferred outflows of resources - Difference b/w Expected and Actual Experience END</t>
  </si>
  <si>
    <t>Deferred inflows of resources - Difference b/w Expected and Actual Experience END</t>
  </si>
  <si>
    <t>Deferred outflows of resources - Change of Assumptions END</t>
  </si>
  <si>
    <t>Deferred inflows of resources - Change of Assumptions END</t>
  </si>
  <si>
    <t>To record current year activity from actuary report</t>
  </si>
  <si>
    <t>Deferred outflows of resources - employer benefit payments after the measurement date thru FYE</t>
  </si>
  <si>
    <t>To record deferred outflows of resources for benefit payments subsequent to measurement date</t>
  </si>
  <si>
    <t>Deferred outflows of resources - Pension administration costs subsequent to the measurement date thru FYE</t>
  </si>
  <si>
    <t>To record deferred outflows of resources for administration costs subsequent to the measurement date</t>
  </si>
  <si>
    <t xml:space="preserve">This worksheet prepares the journal entry to record the entity's proportionate share of the net pension liability, pension expense, and deferred outflows of the Local Governmental Employees' Retirement System (LGERS) in accordance with GASB 68, with the exception of the accounting for current year contributions to the LGERS plan.  See J. for accounting for current year contributions to the LGERS plan.
</t>
  </si>
  <si>
    <t>GASB 73 Entries - LEO</t>
  </si>
  <si>
    <t xml:space="preserve">This worksheet prepares the journal entry to record the entity's total pension liability, pension expense, and deferred outflows of the Law Enforcement Officers Pension Plan (LEO) in accordance with GASB 73.  This is the implementation year for GASB 73 and, as a result, the worksheet will include an entry to restate the beginning fund balance for the beginning GASB 73 total pension liability, measurement period benefit payments, and measurement period administrative costs. See J. for accounting for the prior year's net pension obligation for LEO under the old standard.
</t>
  </si>
  <si>
    <t>Enter amounts below from the actuarial report.</t>
  </si>
  <si>
    <t>Total Pension Liability</t>
  </si>
  <si>
    <t>Deferred Outflow - Benefit Payments and Administrative Costs subsequent to the measurement date</t>
  </si>
  <si>
    <t>Work Section for Conversion entry O1</t>
  </si>
  <si>
    <t>O.1</t>
  </si>
  <si>
    <t>Pensions - Current Year Contributions, Benefit Payments, Administrative Costs</t>
  </si>
  <si>
    <t>To select your agency from the drop down list, click in cell C13 and choose your unit name.</t>
  </si>
  <si>
    <t>Entry for Conversion worksheet to record total pension liability, pension expense, and deferred outflows and deferred inflows of resources related to pensions.  (Entry O1)</t>
  </si>
  <si>
    <t xml:space="preserve">What is the amount ofthe LEO net pension obligation to be restated for the year?   LEO entries for GASB 73 implementation can be found on Tab O.  </t>
  </si>
  <si>
    <t>2017 (Inflow)/Outflow Deferred Balance - Difference b/w Expected and Actual Experience</t>
  </si>
  <si>
    <t>2017 (Inflow)/Outflow Deferred Balance - Assumption Changes</t>
  </si>
  <si>
    <t>Pension Expense - include administrative expense here</t>
  </si>
  <si>
    <t>Beginning total pension liability</t>
  </si>
  <si>
    <t>Deferred outflows of resources - Difference b/w Expected and Actual Experience BEG</t>
  </si>
  <si>
    <t xml:space="preserve">Deferred inflows of resources - Difference b/w Expected and Actual Experience BEG </t>
  </si>
  <si>
    <t xml:space="preserve">Deferred outflows of resources - Change of Assumptions BEG </t>
  </si>
  <si>
    <t>Deferred inflows of resources - Change of Assumptions BEG</t>
  </si>
  <si>
    <t xml:space="preserve">Deferred outflows of resources - Employer benefit payments for the measurement period </t>
  </si>
  <si>
    <t xml:space="preserve">From prior year.  </t>
  </si>
  <si>
    <t>Enter information below</t>
  </si>
  <si>
    <t>1) Benefit payments that were recorded as a deferred outflows of resources for contributions subsequent to the measurement date in your prior year's audited financial statements</t>
  </si>
  <si>
    <t>2) Benefit payments that were made between the prior fiscal year end and the current year's measurement date</t>
  </si>
  <si>
    <t>4) LEOSSA administration costs that were recorded as a deferred outflows of resources for contributions subsequent to the measurement date in your prior year's audited financial statements</t>
  </si>
  <si>
    <t>5) LEOSSA administration costs that were made between the prior fiscal year end and the current year's measurement date</t>
  </si>
  <si>
    <t>6) LEOSSA administration costs that were made between the current year's measurement date and the curent fiscal year end (reporting date)</t>
  </si>
  <si>
    <t>Measurement date 6/30/2017</t>
  </si>
  <si>
    <t>Recognition period - 5.00 years</t>
  </si>
  <si>
    <t>Total Deferred Outflows of Resources</t>
  </si>
  <si>
    <t>Total Deferred Inflows of Resources</t>
  </si>
  <si>
    <t>TOWN OF SEAGROVE</t>
  </si>
  <si>
    <t>BEAUFORT COUNTY</t>
  </si>
  <si>
    <t>WESTERN NC REGIONAL AIR QUALITY</t>
  </si>
  <si>
    <t>WATER &amp; SEWER AUTH OF CABARRUS CNTY</t>
  </si>
  <si>
    <t>CLEVELAND COUNTY WATER</t>
  </si>
  <si>
    <t>THOMASVILLE ABC BOARD</t>
  </si>
  <si>
    <t>GATES COUNTY</t>
  </si>
  <si>
    <t>GRANVILLE-VANCE PUBLIC HEALTH</t>
  </si>
  <si>
    <t>HAYWOOD COUNTY</t>
  </si>
  <si>
    <t>HAYWOOD COUNTY TOURISM DEVELOPMENT AUTHORITY</t>
  </si>
  <si>
    <t>VAYA HEALTH</t>
  </si>
  <si>
    <t>WILMINGTON HOUSING AUTHORITY</t>
  </si>
  <si>
    <t>ROBESON COUNTY</t>
  </si>
  <si>
    <t>LOCUST ABC BOARD</t>
  </si>
  <si>
    <t>WAKE COUNTY HOUSING AUTHORITY</t>
  </si>
  <si>
    <t>Alamance Comm Fire Dist</t>
  </si>
  <si>
    <t>Albemarle ABC Board</t>
  </si>
  <si>
    <t>Albemarle Regnl Planning &amp; Development Comm</t>
  </si>
  <si>
    <t>Alexander County Dept Of S S</t>
  </si>
  <si>
    <t>Alexander County Health Dept</t>
  </si>
  <si>
    <t>Alexander County Public Library</t>
  </si>
  <si>
    <t>Alliance Behavioral Healthcre</t>
  </si>
  <si>
    <t>Angier ABC Board</t>
  </si>
  <si>
    <t>Appalachian District Health Dept</t>
  </si>
  <si>
    <t>Asheboro ABC Board</t>
  </si>
  <si>
    <t>Asheboro Housing Auth</t>
  </si>
  <si>
    <t>Asheville ABC Board</t>
  </si>
  <si>
    <t>Avery County Fire Commission</t>
  </si>
  <si>
    <t>Avery-Mitchell-Yancey Reg Library</t>
  </si>
  <si>
    <t>B H M Regional Library</t>
  </si>
  <si>
    <t>Beaufort County ABC Board</t>
  </si>
  <si>
    <t>Beaufort Housing Auth</t>
  </si>
  <si>
    <t>Bertie County ABC Board</t>
  </si>
  <si>
    <t>Black Mtn ABC Board</t>
  </si>
  <si>
    <t>Blowing Rock ABC Bd</t>
  </si>
  <si>
    <t>Boiling Sprg Lakes</t>
  </si>
  <si>
    <t>Boiling Spring Lakes ABC Board</t>
  </si>
  <si>
    <t>Brevard ABC Board</t>
  </si>
  <si>
    <t>Brunswick Co Dept Of Social Services</t>
  </si>
  <si>
    <t>Brunswick Co Health Dept</t>
  </si>
  <si>
    <t>Brunswick County ABC Board</t>
  </si>
  <si>
    <t>Brunswick County Tourism Authority</t>
  </si>
  <si>
    <t>Brunswick Regional Water And Sewer H2Go</t>
  </si>
  <si>
    <t>Bryson City ABC Board</t>
  </si>
  <si>
    <t>Bunn ABC Board</t>
  </si>
  <si>
    <t>Burke Co Dept Of Social Services</t>
  </si>
  <si>
    <t>Burke Co Health Dept</t>
  </si>
  <si>
    <t>Burke County Tourism Dev. Authority</t>
  </si>
  <si>
    <t>Burke-Catawba Dist Confinement</t>
  </si>
  <si>
    <t>Cabarrus Co Public Health Auth</t>
  </si>
  <si>
    <t>Cabarrus County Tourism Authority</t>
  </si>
  <si>
    <t>Cajah'S Mountain</t>
  </si>
  <si>
    <t>Calabash ABC Board</t>
  </si>
  <si>
    <t>Camden County ABC Board</t>
  </si>
  <si>
    <t>Canton ABC Board</t>
  </si>
  <si>
    <t>Carteret County ABC Board</t>
  </si>
  <si>
    <t>Caswell Co Dept Of Social Services</t>
  </si>
  <si>
    <t>Caswell County ABC Board</t>
  </si>
  <si>
    <t>Catawba County ABC Board</t>
  </si>
  <si>
    <t>Centennial Authority</t>
  </si>
  <si>
    <t>Charlotte Firemen'S Ret Sys</t>
  </si>
  <si>
    <t>Charlotte Housing Authority</t>
  </si>
  <si>
    <t>Charlotte Mecklenburg Public Library</t>
  </si>
  <si>
    <t>Chatham Co Housing Auth</t>
  </si>
  <si>
    <t>Chatham County ABC Board</t>
  </si>
  <si>
    <t>Cherryville ABC Board</t>
  </si>
  <si>
    <t>Choanoke Public Transportation Auth</t>
  </si>
  <si>
    <t>Chowan County Abc Board</t>
  </si>
  <si>
    <t>Cleveland County Water</t>
  </si>
  <si>
    <t>Clinton ABC Board</t>
  </si>
  <si>
    <t>Coastal Carolina Regional Airport</t>
  </si>
  <si>
    <t>Coastal Regional Solid Waste Mngt Auth</t>
  </si>
  <si>
    <t>Concord ABC Board</t>
  </si>
  <si>
    <t>Contennea Metropolitan Sewerage Dist</t>
  </si>
  <si>
    <t>Cooleemee ABC Board</t>
  </si>
  <si>
    <t>County Of Henderson</t>
  </si>
  <si>
    <t>Craven Co ABC Bd</t>
  </si>
  <si>
    <t>Cumberland Co ABC Board</t>
  </si>
  <si>
    <t>Currituck Co ABC Board</t>
  </si>
  <si>
    <t>Dare County ABC Board</t>
  </si>
  <si>
    <t>Davie Soil And Water Conservation Dist</t>
  </si>
  <si>
    <t>Dobson ABC Bd</t>
  </si>
  <si>
    <t>Dunn ABC Board</t>
  </si>
  <si>
    <t>Durham Convention &amp; Visitors Bureau</t>
  </si>
  <si>
    <t>Durham County ABC Board</t>
  </si>
  <si>
    <t>Durham Hwy Fire Protection Assoc</t>
  </si>
  <si>
    <t>Eastern Carolina Reg'L Housing Auth</t>
  </si>
  <si>
    <t>Eastern Wayne Sanitary Dist</t>
  </si>
  <si>
    <t>Eden ABC Board</t>
  </si>
  <si>
    <t>Edgecombe County ABC Board</t>
  </si>
  <si>
    <t>Edgecombe County Memorial Library</t>
  </si>
  <si>
    <t>Electricities Of Nc</t>
  </si>
  <si>
    <t>Elizabeth City Pasquotank County Tda</t>
  </si>
  <si>
    <t>Elizabeth City-Pasquotank Co Airport Auth</t>
  </si>
  <si>
    <t>Elizabeth Cty-Pasquotank Co Industrl Development C</t>
  </si>
  <si>
    <t>Elizabethtown ABC Board</t>
  </si>
  <si>
    <t>Elon</t>
  </si>
  <si>
    <t>Fayetteville Metropolitan Housing Auth</t>
  </si>
  <si>
    <t>First Craven Sanitary Dist</t>
  </si>
  <si>
    <t>Fletcher ABC Board</t>
  </si>
  <si>
    <t>Forest City ABC Board 168</t>
  </si>
  <si>
    <t>Fork Township Sanitary Dist</t>
  </si>
  <si>
    <t>Fountain, Town Of</t>
  </si>
  <si>
    <t>Franklinton ABC Board</t>
  </si>
  <si>
    <t>Garner Fire Dept</t>
  </si>
  <si>
    <t>Gaston County Economic Dev. Commission</t>
  </si>
  <si>
    <t>Gastonia ABC Board</t>
  </si>
  <si>
    <t>Gates County ABC Board</t>
  </si>
  <si>
    <t>Gibsonville ABC Board</t>
  </si>
  <si>
    <t>Graham Co Health Dept</t>
  </si>
  <si>
    <t>Graham County Dept Of S S</t>
  </si>
  <si>
    <t>Granite Falls ABC Board</t>
  </si>
  <si>
    <t>Granville Co ABC Bd</t>
  </si>
  <si>
    <t>Granville-Vance Public Health</t>
  </si>
  <si>
    <t>Greater Statesville Development Corp</t>
  </si>
  <si>
    <t>Greene County ABC Board</t>
  </si>
  <si>
    <t>Greensboro ABC Bd</t>
  </si>
  <si>
    <t>Guilford Fire District # 13 Inc</t>
  </si>
  <si>
    <t>Halifax County ABC Board</t>
  </si>
  <si>
    <t>Hamlet ABC Board</t>
  </si>
  <si>
    <t>Haywood County Tourism Development Authority</t>
  </si>
  <si>
    <t>Hendersonville ABC Bd</t>
  </si>
  <si>
    <t>Hertford ABC Board</t>
  </si>
  <si>
    <t>Hertford County ABC Board</t>
  </si>
  <si>
    <t>Hertford Housing Auth</t>
  </si>
  <si>
    <t>Hickory Conover Tourism Dev Auth</t>
  </si>
  <si>
    <t>Hickory Public Housing Authority</t>
  </si>
  <si>
    <t>High Country ABC Board</t>
  </si>
  <si>
    <t>High Point ABC Bd</t>
  </si>
  <si>
    <t>Highlands ABC Board</t>
  </si>
  <si>
    <t>HighPoint</t>
  </si>
  <si>
    <t>Hildebran</t>
  </si>
  <si>
    <t>Hoke County ABC Board</t>
  </si>
  <si>
    <t>Housing Auth For The Cty Of Kinston</t>
  </si>
  <si>
    <t>Housing Auth Of The Cty Of Salisbury</t>
  </si>
  <si>
    <t>Housing Authority Of Goldsboro</t>
  </si>
  <si>
    <t>Hyde County ABC Board</t>
  </si>
  <si>
    <t>Isothermal Planning And Dev Comm</t>
  </si>
  <si>
    <t>J C Holiday Mem Library</t>
  </si>
  <si>
    <t>Johnston County ABC Board</t>
  </si>
  <si>
    <t>Jones County ABC Board</t>
  </si>
  <si>
    <t>Kenansville ABC Board</t>
  </si>
  <si>
    <t>Kerr Area Transportation Authority</t>
  </si>
  <si>
    <t>Kerr-Tar Regional Council Of Govts</t>
  </si>
  <si>
    <t>Kings Mountain ABC Board</t>
  </si>
  <si>
    <t>KingsMountain</t>
  </si>
  <si>
    <t>Kinston-Lenoir Co Pub Library</t>
  </si>
  <si>
    <t>Lake Waccamaw</t>
  </si>
  <si>
    <t>Lake Waccamaw ABC Board</t>
  </si>
  <si>
    <t>Laurel Park ABC Board</t>
  </si>
  <si>
    <t>Laurinburg Housing Authority</t>
  </si>
  <si>
    <t>Lenoir County ABC Board</t>
  </si>
  <si>
    <t>LenoirABCBoard</t>
  </si>
  <si>
    <t>Lewiston Woodville</t>
  </si>
  <si>
    <t>Lexington ABC Board</t>
  </si>
  <si>
    <t>Liberty ABC Board</t>
  </si>
  <si>
    <t>Lincoln County ABC Board</t>
  </si>
  <si>
    <t>Lincolnton ABC Board</t>
  </si>
  <si>
    <t>Locust ABC Board</t>
  </si>
  <si>
    <t>Longview</t>
  </si>
  <si>
    <t>Louisburg ABC Board</t>
  </si>
  <si>
    <t>Lumberton ABC Board</t>
  </si>
  <si>
    <t>Lumberton Airport Comm</t>
  </si>
  <si>
    <t>Madison ABC Board</t>
  </si>
  <si>
    <t>Maggie Valley ABC Board</t>
  </si>
  <si>
    <t>Maggie Valley Sanitary Dist</t>
  </si>
  <si>
    <t>Marion ABC Board</t>
  </si>
  <si>
    <t>Martin Co Travel &amp; Tourism Auth</t>
  </si>
  <si>
    <t>Martin County ABC Board</t>
  </si>
  <si>
    <t>Martin-Tyrrell-Washington Dist Health Dept</t>
  </si>
  <si>
    <t>Maxton ABC Board</t>
  </si>
  <si>
    <t>Mcdowell County</t>
  </si>
  <si>
    <t>Mecklenburg County ABC Board</t>
  </si>
  <si>
    <t>Mecklenburg Emer Med Svcs Agcy</t>
  </si>
  <si>
    <t>Mi Connection Communications System</t>
  </si>
  <si>
    <t>Mid-Carolina Council Of Governments</t>
  </si>
  <si>
    <t>Mitchell Soil &amp; Water Conservation Dist</t>
  </si>
  <si>
    <t>Monroe ABC Board</t>
  </si>
  <si>
    <t>MonroeHousingAuthority</t>
  </si>
  <si>
    <t>Montgomery-Municipal ABC Board</t>
  </si>
  <si>
    <t>Moore County ABC Board</t>
  </si>
  <si>
    <t>Moore County Tourism Development Authority</t>
  </si>
  <si>
    <t>Mooresville ABC Board</t>
  </si>
  <si>
    <t>Morganton ABC Board</t>
  </si>
  <si>
    <t>Mount Airy Alcoholic Board Of Control</t>
  </si>
  <si>
    <t>MountAiry</t>
  </si>
  <si>
    <t>MountHolly</t>
  </si>
  <si>
    <t>Mt Olive Housing Authority</t>
  </si>
  <si>
    <t>Mt Pleasant ABC Board</t>
  </si>
  <si>
    <t>Murphy ABC Board</t>
  </si>
  <si>
    <t>N C Assoc Of Co Commissioners</t>
  </si>
  <si>
    <t>N C League Of Municipalities</t>
  </si>
  <si>
    <t>Nash County ABC Board</t>
  </si>
  <si>
    <t>Neuse Regional Library-Greene County</t>
  </si>
  <si>
    <t>Neuse Regional Library-Jones County</t>
  </si>
  <si>
    <t>New Edenton Housing Auth</t>
  </si>
  <si>
    <t>New Hanover Airport Auth</t>
  </si>
  <si>
    <t>New Hanover County ABC Board</t>
  </si>
  <si>
    <t>New Reidsville Housing Auth</t>
  </si>
  <si>
    <t>NewBern</t>
  </si>
  <si>
    <t>North Wilkesboro ABC Board</t>
  </si>
  <si>
    <t>Northampton County ABC Board</t>
  </si>
  <si>
    <t>Norwood ABC Bd</t>
  </si>
  <si>
    <t>Oak Island ABC Bd</t>
  </si>
  <si>
    <t>Ocean Isle Beach ABC Board</t>
  </si>
  <si>
    <t>Ocracoke Sanitary Dist</t>
  </si>
  <si>
    <t>Onslow County ABC Board</t>
  </si>
  <si>
    <t>Onslow Water &amp; Sewer Authority</t>
  </si>
  <si>
    <t>Orange County ABC Board</t>
  </si>
  <si>
    <t>Orange Water And Sewer Authority</t>
  </si>
  <si>
    <t>Parkton</t>
  </si>
  <si>
    <t>Pasquotank Co ABC Board</t>
  </si>
  <si>
    <t>Pender County ABC Board</t>
  </si>
  <si>
    <t>Person Co ABC Bd</t>
  </si>
  <si>
    <t>Piedmont Triad Reg Water Auth</t>
  </si>
  <si>
    <t>Pilot Mountain ABC Board</t>
  </si>
  <si>
    <t>Pinecroft-Sedgefield Fire Dist Inc</t>
  </si>
  <si>
    <t>Pitt County ABC Board</t>
  </si>
  <si>
    <t>Pitt-Greenville Conv &amp; Vistors</t>
  </si>
  <si>
    <t>Pleasant Garden Fire Dept</t>
  </si>
  <si>
    <t>Public Library Of Johnston Co And Smithfield</t>
  </si>
  <si>
    <t>Public Works Comm Cty Of Fayetteville</t>
  </si>
  <si>
    <t>RaleighHousingAuthority</t>
  </si>
  <si>
    <t>RandlemanABCBoard</t>
  </si>
  <si>
    <t>RandlemanHousingAuthority</t>
  </si>
  <si>
    <t>Red Springs ABC Board</t>
  </si>
  <si>
    <t>Reidsville ABC Board</t>
  </si>
  <si>
    <t>RoanokeRapids</t>
  </si>
  <si>
    <t>RockinghamABCBoard</t>
  </si>
  <si>
    <t>Rocky Mt Housing Authority</t>
  </si>
  <si>
    <t>RockyMount</t>
  </si>
  <si>
    <t>Roseboro ABC Board</t>
  </si>
  <si>
    <t>Rowan Co Housing Authority</t>
  </si>
  <si>
    <t>Rowan Co Soil &amp; Water Conv Dist</t>
  </si>
  <si>
    <t>Rowan Convention &amp; Vistors Bureau</t>
  </si>
  <si>
    <t>Rowan County ABC Board</t>
  </si>
  <si>
    <t>Rutherford Polk Mcdowell Dist Brd Of Health</t>
  </si>
  <si>
    <t>Rutherfordton ABC Brd</t>
  </si>
  <si>
    <t>Sanford ABC Board</t>
  </si>
  <si>
    <t>Scotland County ABC Board</t>
  </si>
  <si>
    <t>Seagrove</t>
  </si>
  <si>
    <t>Shallotte ABC Board</t>
  </si>
  <si>
    <t>Shelby ABC Board</t>
  </si>
  <si>
    <t>Siler City ABC Board</t>
  </si>
  <si>
    <t>Skyland Vol Fire Dept</t>
  </si>
  <si>
    <t>South Eastern Economic Development Comm</t>
  </si>
  <si>
    <t>South Granville Water And Sewer Authority</t>
  </si>
  <si>
    <t>SouthportABCBoard</t>
  </si>
  <si>
    <t>Southwestern Nc Planning &amp; Econ.Dev.Commis.</t>
  </si>
  <si>
    <t>Sparta ABC Board</t>
  </si>
  <si>
    <t>St James</t>
  </si>
  <si>
    <t>St Pauls</t>
  </si>
  <si>
    <t>St Paul'S Brd Of Alcoholic Ctl</t>
  </si>
  <si>
    <t>Statesville ABC Board</t>
  </si>
  <si>
    <t>Sunset Beach ABC Board</t>
  </si>
  <si>
    <t>Thomasville ABC Board</t>
  </si>
  <si>
    <t>Toe River Health District</t>
  </si>
  <si>
    <t>Tuckaseigee Water Authority</t>
  </si>
  <si>
    <t>Tyrrell Co ABC Board</t>
  </si>
  <si>
    <t>Upper Coastal Plain Council Of Governments</t>
  </si>
  <si>
    <t>Vance County ABC Bd</t>
  </si>
  <si>
    <t>Vaya Health</t>
  </si>
  <si>
    <t>Wadesboro ABC Board</t>
  </si>
  <si>
    <t>Wake County ABC Board</t>
  </si>
  <si>
    <t>Wallace ABC Bd</t>
  </si>
  <si>
    <t>Walnut Cove ABC Board</t>
  </si>
  <si>
    <t>Warren County ABC Board</t>
  </si>
  <si>
    <t>Warsaw ABC Board</t>
  </si>
  <si>
    <t>Washington County ABC Board</t>
  </si>
  <si>
    <t>Watauga County District U Tda</t>
  </si>
  <si>
    <t>Water &amp; Sewer Auth Of Cabarrus Cnty</t>
  </si>
  <si>
    <t>Waxhaw ABC Board</t>
  </si>
  <si>
    <t>Wayne County ABC Board</t>
  </si>
  <si>
    <t>Waynesville ABC Board</t>
  </si>
  <si>
    <t>Weaverville ABC Board</t>
  </si>
  <si>
    <t>West Buncombe Fire Dept</t>
  </si>
  <si>
    <t>West Jefferson ABC Board</t>
  </si>
  <si>
    <t>Westarea Volunteer Fire Dept</t>
  </si>
  <si>
    <t>Western Carteret Interlocal Cooperation Agency</t>
  </si>
  <si>
    <t>Western Nc Regional Air Quality</t>
  </si>
  <si>
    <t>Western Piedmont Council Of Gvmts</t>
  </si>
  <si>
    <t>Whiteville ABC Board</t>
  </si>
  <si>
    <t>Wilkesboro ABC Board</t>
  </si>
  <si>
    <t>Wilson Cemetery Commission</t>
  </si>
  <si>
    <t>Wilson County ABC Board</t>
  </si>
  <si>
    <t>Wilson County Tourism Development Auth</t>
  </si>
  <si>
    <t>Wilson Economic Dev Council</t>
  </si>
  <si>
    <t>Wilson'S Mills</t>
  </si>
  <si>
    <t>Woodfin Sanitary Water And Sewer Dist</t>
  </si>
  <si>
    <t>Yancey Soil &amp; Water Cons</t>
  </si>
  <si>
    <t>Measurement date 6/30/2016</t>
  </si>
  <si>
    <t>Recognition period - 4.86 years</t>
  </si>
  <si>
    <r>
      <t xml:space="preserve">Net DO/DI for Difference Between Projected and Actual Investment Earnings on Plan Investements </t>
    </r>
    <r>
      <rPr>
        <b/>
        <sz val="11"/>
        <color rgb="FFFF0000"/>
        <rFont val="Calibri"/>
        <family val="2"/>
        <scheme val="minor"/>
      </rPr>
      <t>(added by LGC)</t>
    </r>
  </si>
  <si>
    <t>Enter the amount of contributions subsequent to the measurement date that you recorded as a deferred outflow of resources in your June 30, 2017 financial statement for LGERS</t>
  </si>
  <si>
    <t>Agency Num</t>
  </si>
  <si>
    <t>Agency Name</t>
  </si>
  <si>
    <t>FY 2017 Total Contributions</t>
  </si>
  <si>
    <t>(Normal Contributions, Plus Liability Contributions, net of Court Costs Offsets)</t>
  </si>
  <si>
    <t>CAPE FEAR REGIONAL JETPORT</t>
  </si>
  <si>
    <t>COLUMBUS ABC BOARD</t>
  </si>
  <si>
    <t>TOWN OF NEW LONDON</t>
  </si>
  <si>
    <t>Totals:</t>
  </si>
  <si>
    <t>Total Plan - FYE 2018</t>
  </si>
  <si>
    <t>Deferred Outflow - Benefit payments made during the measurement period</t>
  </si>
  <si>
    <t xml:space="preserve">Pensions - Measurement Year Benefit Payments </t>
  </si>
  <si>
    <t>LGERS - Deferred outflows of resources contributions made to pension plan subsequent to measurement date</t>
  </si>
  <si>
    <t>LGERS - Deferred outflows of resources - changes in assumptions</t>
  </si>
  <si>
    <t>LGERS - Deferred outflows of resources - difference between actual and projected earnings on plan investments</t>
  </si>
  <si>
    <t>LGERS - Deferred outflows of resources - difference between expected and actual experience</t>
  </si>
  <si>
    <t>LGERS - Deferred outflows of resources - changes in proportion and differences between contributions and proportionate share of contributions</t>
  </si>
  <si>
    <t>OPEB - Deferred outflows of resources - changes in assumptions</t>
  </si>
  <si>
    <t>OPEB - Deferred outflows of resources - difference between expected and actual experience</t>
  </si>
  <si>
    <t>LGERS - Deferred inflows of resources - changes in assumptions</t>
  </si>
  <si>
    <t>LGERS - Deferred inflows of resources - difference between actual and projected earnings on plan investments</t>
  </si>
  <si>
    <t>LGERS - Deferred inflows of resources - difference between expected and actual experience</t>
  </si>
  <si>
    <t>LGERS - Deferred inflows of resources - changes in proportion and differences between contributions and proportionate share of contributions</t>
  </si>
  <si>
    <t>OPEB - Deferred inflows of resources - changes in assumptions</t>
  </si>
  <si>
    <t>OPEB - Deferred inflows of resources - difference between expected and actual experience</t>
  </si>
  <si>
    <t xml:space="preserve">OPEB - Differences Between Actual and Expected Experience </t>
  </si>
  <si>
    <t xml:space="preserve">OPEB - Changes in Assumptions </t>
  </si>
  <si>
    <t>OPEB - Deferred outflows of resources  - benefit payments and admin costs made subsequent to the measurement date</t>
  </si>
  <si>
    <t>OPEB - Deferred outflows of resources benefit payments and admin costs made subsequent to measurement date</t>
  </si>
  <si>
    <t>OPEB - Current Year Contributions, Benefit Payments, Administrative Costs</t>
  </si>
  <si>
    <t xml:space="preserve">Benefit payments </t>
  </si>
  <si>
    <t>Deferred Outflow - Benefit Payments made during measurement period</t>
  </si>
  <si>
    <t>Total/net pension liability (LEO)</t>
  </si>
  <si>
    <r>
      <t xml:space="preserve">What was the amount of the net OPEB obligation at the beginning of the year? If multiple benefit plans are involved enter the sum of all plans. </t>
    </r>
    <r>
      <rPr>
        <sz val="8"/>
        <color indexed="10"/>
        <rFont val="Arial"/>
        <family val="2"/>
      </rPr>
      <t>(Beginning balances for Governmental Funds only were recorded in Columns AF &amp; AG in the main Conversion Worksheet.)</t>
    </r>
  </si>
  <si>
    <t>1) Contributions that were made between the current year's measurement date and the curent fiscal year end (reporting date)</t>
  </si>
  <si>
    <t>1) Benefit payments that were made between the current year's measurement date and the current fiscal year end (reporting date)</t>
  </si>
  <si>
    <t>4) OPEB administration costs that were recorded as a deferred outflows of resources for contributions subsequent to the measurement date in your prior year's audited financial statements</t>
  </si>
  <si>
    <t>5) OPEB administration costs that were made between the prior fiscal year end and the current year's measurement date</t>
  </si>
  <si>
    <t>Net OPEB Liability (Asset)- Beginning of Year</t>
  </si>
  <si>
    <t>Net OPEB Liability (Asset) - End of Year</t>
  </si>
  <si>
    <t>Benefit payments</t>
  </si>
  <si>
    <t xml:space="preserve">Total OPEB Expense </t>
  </si>
  <si>
    <t>OPEB administrative expense only</t>
  </si>
  <si>
    <t>Ending Outflow/(Inflow) Deferred Balance - Difference b/w Expected and Actual Experience</t>
  </si>
  <si>
    <t>From valuation report</t>
  </si>
  <si>
    <t>Ending Outflow/(Inflow) Deferred Balance - Assumption Changes</t>
  </si>
  <si>
    <t>Beginning Outflow/(Inflow) Deferred Balance - Difference b/w Expected and Actual Experience</t>
  </si>
  <si>
    <t>From prior year.  Should be $0 in year of implementation.</t>
  </si>
  <si>
    <t>Beginning Outflow/(Inflow) Deferred Balance - Assumption Changes</t>
  </si>
  <si>
    <t>Beginning Outflow/(Inflow) Deferred Balance - Difference b/w Projected and Actual Investment Earnings</t>
  </si>
  <si>
    <t>GASB 75 Entries - OPEB</t>
  </si>
  <si>
    <t>Enter amounts from the actuarial valuation</t>
  </si>
  <si>
    <t>Enter information below from your financial records</t>
  </si>
  <si>
    <t>Total OPEB Liability</t>
  </si>
  <si>
    <t>Deferred Outflow - Benefit Payments and Administrative Costs made subsequent to measurement date</t>
  </si>
  <si>
    <t>P.1</t>
  </si>
  <si>
    <t>Adjustment to Beginning Fund Equity for LGERS</t>
  </si>
  <si>
    <t>Adjustment to Beginning Fund Equity for LEOSSA</t>
  </si>
  <si>
    <t>Deferred Outflow - Benefit Payments and Administrative Costs made subsequent to the measurement date</t>
  </si>
  <si>
    <t xml:space="preserve">The unit's Net OPEB Obligation will be included in a restatement required by the implementataion of GASB 75.  Please refer to tab O.1 for Total OPEB Liability entries.  </t>
  </si>
  <si>
    <t xml:space="preserve">Entry for Conversion worksheet to record proportionate share of net pensions liability, pension expense, and deferred outflows and deferred inflows of resources related to pensions.  </t>
  </si>
  <si>
    <t>General Government OPEB expense</t>
  </si>
  <si>
    <t>Public Safety OPEB expense</t>
  </si>
  <si>
    <t>Transportation OPEB expense</t>
  </si>
  <si>
    <t>Economic and Physical Development OPEB expense</t>
  </si>
  <si>
    <t>Enviromental Protection OPEB expense</t>
  </si>
  <si>
    <t>Cultural and Recreation OPEB expense</t>
  </si>
  <si>
    <t>Other program 1 OPEB expense</t>
  </si>
  <si>
    <t>Other program 2 OPEB expense</t>
  </si>
  <si>
    <t>Pension Expense - General Government</t>
  </si>
  <si>
    <t>General Government administrative expense</t>
  </si>
  <si>
    <t>Public Safety administrative expense</t>
  </si>
  <si>
    <t>Transportation administrative expense</t>
  </si>
  <si>
    <t>Economic and Physical Development administrative expense</t>
  </si>
  <si>
    <t>Enviromental Protection administrative expense</t>
  </si>
  <si>
    <t>Cultural and Recreation administrative expense</t>
  </si>
  <si>
    <t>Other program 1 administrative expense</t>
  </si>
  <si>
    <t>Other program 2 administrative expense</t>
  </si>
  <si>
    <t>General Government benefit payments</t>
  </si>
  <si>
    <t>Public Safety benefit payments</t>
  </si>
  <si>
    <t>Transportation benefit payments</t>
  </si>
  <si>
    <t>Economic and Physical Development benefit payments</t>
  </si>
  <si>
    <t>Enviromental Protection benefit payments</t>
  </si>
  <si>
    <t>Cultural and Recreation benefit payments</t>
  </si>
  <si>
    <t>Other program 1 benefit payments</t>
  </si>
  <si>
    <t>Other program 2 benefit payments</t>
  </si>
  <si>
    <t>3) Benefit payments that were made between the current year's measurement date and the current fiscal year end (reporting date)</t>
  </si>
  <si>
    <t>DO</t>
  </si>
  <si>
    <t xml:space="preserve">  Total OPEB liability</t>
  </si>
  <si>
    <t>Total OPEB liability/obligation</t>
  </si>
  <si>
    <t>LGERS - Deferred outflows of resources contributions made to pension plan</t>
  </si>
  <si>
    <t xml:space="preserve">   Net pension Liability</t>
  </si>
  <si>
    <t xml:space="preserve">   Net Pension Liability</t>
  </si>
  <si>
    <t xml:space="preserve">   Net pension liability</t>
  </si>
  <si>
    <t>Total OPEB liability</t>
  </si>
  <si>
    <t>Total OPEB liabiilty</t>
  </si>
  <si>
    <t>Entries from Worksheets B - J and N1-P3</t>
  </si>
  <si>
    <r>
      <t xml:space="preserve">Note 3 - Data except for pension and OPEB amounts must be </t>
    </r>
    <r>
      <rPr>
        <b/>
        <sz val="8"/>
        <rFont val="Arial"/>
        <family val="2"/>
      </rPr>
      <t>entered</t>
    </r>
    <r>
      <rPr>
        <sz val="8"/>
        <rFont val="Arial"/>
        <family val="2"/>
      </rPr>
      <t xml:space="preserve"> below to the proper accounts</t>
    </r>
  </si>
  <si>
    <t>P.1-3</t>
  </si>
  <si>
    <t>2) OPEB administration costs that were made between the current year's measurement date and the current fiscal year end (reporting date)</t>
  </si>
  <si>
    <t>Administrative costs</t>
  </si>
  <si>
    <t>O.</t>
  </si>
  <si>
    <t>P.</t>
  </si>
  <si>
    <r>
      <t xml:space="preserve">GASB 68 LGERS: </t>
    </r>
    <r>
      <rPr>
        <sz val="10"/>
        <rFont val="Arial"/>
        <family val="2"/>
      </rPr>
      <t>provides pension amounts for LGERS cost-sharing plan</t>
    </r>
  </si>
  <si>
    <r>
      <t xml:space="preserve">GASB 68 FRSWP: </t>
    </r>
    <r>
      <rPr>
        <sz val="10"/>
        <rFont val="Arial"/>
        <family val="2"/>
      </rPr>
      <t>provides pension amounts for FRSWP cost-sharing plan</t>
    </r>
  </si>
  <si>
    <r>
      <t xml:space="preserve">GASB 68 LEO: </t>
    </r>
    <r>
      <rPr>
        <sz val="10"/>
        <rFont val="Arial"/>
        <family val="2"/>
      </rPr>
      <t>provides pension amounts for LEOSSA single-employer plan</t>
    </r>
  </si>
  <si>
    <r>
      <t xml:space="preserve">GASB 75 OPEB: </t>
    </r>
    <r>
      <rPr>
        <sz val="10"/>
        <rFont val="Arial"/>
        <family val="2"/>
      </rPr>
      <t>provides pension amounts for single-employer OPEB plan with no trust</t>
    </r>
  </si>
  <si>
    <t>Measurement date 6/30/2018</t>
  </si>
  <si>
    <t xml:space="preserve"> SEAGROVE</t>
  </si>
  <si>
    <t xml:space="preserve"> SPARTA</t>
  </si>
  <si>
    <t xml:space="preserve"> BURNSVILLE</t>
  </si>
  <si>
    <t xml:space="preserve"> ELON</t>
  </si>
  <si>
    <t xml:space="preserve"> HAW RIVER</t>
  </si>
  <si>
    <t xml:space="preserve"> ALAMANCE</t>
  </si>
  <si>
    <t xml:space="preserve"> GREEN LEVEL</t>
  </si>
  <si>
    <t xml:space="preserve"> TAYLORSVILLE</t>
  </si>
  <si>
    <t xml:space="preserve"> SPARTA ABC BOARD</t>
  </si>
  <si>
    <t xml:space="preserve"> WADESBORO</t>
  </si>
  <si>
    <t xml:space="preserve"> LILESVILLE</t>
  </si>
  <si>
    <t xml:space="preserve"> POLKTON</t>
  </si>
  <si>
    <t xml:space="preserve"> PEACHLAND</t>
  </si>
  <si>
    <t xml:space="preserve"> ANSONVILLE</t>
  </si>
  <si>
    <t xml:space="preserve"> MORVEN</t>
  </si>
  <si>
    <t xml:space="preserve"> JEFFERSON</t>
  </si>
  <si>
    <t xml:space="preserve"> WEST JEFFERSON</t>
  </si>
  <si>
    <t xml:space="preserve"> BANNER ELK</t>
  </si>
  <si>
    <t xml:space="preserve"> NEWLAND</t>
  </si>
  <si>
    <t xml:space="preserve"> BEECH MOUNTAIN</t>
  </si>
  <si>
    <t xml:space="preserve"> ELK PARK</t>
  </si>
  <si>
    <t xml:space="preserve"> SUGAR MOUNTAIN</t>
  </si>
  <si>
    <t xml:space="preserve"> AURORA</t>
  </si>
  <si>
    <t xml:space="preserve"> BELHAVEN</t>
  </si>
  <si>
    <t xml:space="preserve"> WASHINGTON PARK</t>
  </si>
  <si>
    <t xml:space="preserve"> CHOCOWINITY</t>
  </si>
  <si>
    <t xml:space="preserve"> AULANDER</t>
  </si>
  <si>
    <t xml:space="preserve"> WINDSOR</t>
  </si>
  <si>
    <t xml:space="preserve"> COLERAIN</t>
  </si>
  <si>
    <t xml:space="preserve"> LEWISTON WOODVILLE</t>
  </si>
  <si>
    <t xml:space="preserve"> ELIZABETHTOWN</t>
  </si>
  <si>
    <t xml:space="preserve"> WHITE LAKE</t>
  </si>
  <si>
    <t xml:space="preserve"> CLARKTON</t>
  </si>
  <si>
    <t xml:space="preserve"> BLADENBORO</t>
  </si>
  <si>
    <t xml:space="preserve"> LELAND</t>
  </si>
  <si>
    <t xml:space="preserve"> CALABASH</t>
  </si>
  <si>
    <t xml:space="preserve"> HOLDEN BEACH</t>
  </si>
  <si>
    <t xml:space="preserve"> BELVILLE</t>
  </si>
  <si>
    <t xml:space="preserve"> OAK ISLAND</t>
  </si>
  <si>
    <t xml:space="preserve"> CAROLINA SHORES</t>
  </si>
  <si>
    <t xml:space="preserve"> NAVASSA</t>
  </si>
  <si>
    <t xml:space="preserve"> ST JAMES</t>
  </si>
  <si>
    <t xml:space="preserve"> SUNSET BEACH</t>
  </si>
  <si>
    <t xml:space="preserve"> SUNSET BEACH ABC BOARD</t>
  </si>
  <si>
    <t xml:space="preserve"> CASWELL BEACH</t>
  </si>
  <si>
    <t xml:space="preserve"> OCEAN ISLE BEACH</t>
  </si>
  <si>
    <t xml:space="preserve"> SHALLOTTE</t>
  </si>
  <si>
    <t xml:space="preserve"> BALD HEAD ISLAND</t>
  </si>
  <si>
    <t xml:space="preserve"> BILTMORE FOREST</t>
  </si>
  <si>
    <t xml:space="preserve"> WEAVERVILLE</t>
  </si>
  <si>
    <t xml:space="preserve"> BLACK MOUNTAIN</t>
  </si>
  <si>
    <t xml:space="preserve"> MONTREAT</t>
  </si>
  <si>
    <t xml:space="preserve"> WOODFIN</t>
  </si>
  <si>
    <t xml:space="preserve"> VALDESE</t>
  </si>
  <si>
    <t xml:space="preserve"> RUTHERFORD COLLEGE</t>
  </si>
  <si>
    <t xml:space="preserve"> DREXEL</t>
  </si>
  <si>
    <t xml:space="preserve"> GLEN ALPINE</t>
  </si>
  <si>
    <t xml:space="preserve"> HILDEBRAN</t>
  </si>
  <si>
    <t xml:space="preserve"> CONNELLY SPRINGS</t>
  </si>
  <si>
    <t>WATER &amp; SEWER AUTHORITY OF CABARRUS CNTY</t>
  </si>
  <si>
    <t>CABARRUS CO PUBLIC HEALTH AUTHORITY</t>
  </si>
  <si>
    <t xml:space="preserve"> MOUNT PLEASANT</t>
  </si>
  <si>
    <t xml:space="preserve"> MIDLAND</t>
  </si>
  <si>
    <t xml:space="preserve"> GRANITE FALLS</t>
  </si>
  <si>
    <t xml:space="preserve"> SAWMILLS</t>
  </si>
  <si>
    <t xml:space="preserve"> HUDSON</t>
  </si>
  <si>
    <t xml:space="preserve"> HARRISBURG</t>
  </si>
  <si>
    <t xml:space="preserve"> CAJAH'S MOUNTAIN</t>
  </si>
  <si>
    <t xml:space="preserve"> MOREHEAD CITY</t>
  </si>
  <si>
    <t xml:space="preserve"> NEWPORT</t>
  </si>
  <si>
    <t xml:space="preserve"> BEAUFORT</t>
  </si>
  <si>
    <t>BEAUFORT HOUSING AUTHORITY</t>
  </si>
  <si>
    <t xml:space="preserve"> PINE KNOLL SHORES</t>
  </si>
  <si>
    <t xml:space="preserve"> EMERALD ISLE</t>
  </si>
  <si>
    <t xml:space="preserve"> INDIAN BEACH</t>
  </si>
  <si>
    <t xml:space="preserve"> CAPE CARTERET</t>
  </si>
  <si>
    <t xml:space="preserve"> ATLANTIC BEACH</t>
  </si>
  <si>
    <t xml:space="preserve"> CEDAR POINT</t>
  </si>
  <si>
    <t xml:space="preserve"> YANCEYVILLE</t>
  </si>
  <si>
    <t>HICKORY CONOVER TOURISM DEV AUTHORITY</t>
  </si>
  <si>
    <t xml:space="preserve"> MAIDEN</t>
  </si>
  <si>
    <t>THE  LONGVIEW</t>
  </si>
  <si>
    <t xml:space="preserve"> CONOVER</t>
  </si>
  <si>
    <t xml:space="preserve"> BROOKFORD</t>
  </si>
  <si>
    <t xml:space="preserve"> CATAWBA</t>
  </si>
  <si>
    <t>CHATHAM CO HOUSING AUTHORITY</t>
  </si>
  <si>
    <t xml:space="preserve"> SILER CITY</t>
  </si>
  <si>
    <t xml:space="preserve"> PITTSBORO</t>
  </si>
  <si>
    <t xml:space="preserve"> MURPHY</t>
  </si>
  <si>
    <t xml:space="preserve"> ANDREWS</t>
  </si>
  <si>
    <t xml:space="preserve"> EDENTON</t>
  </si>
  <si>
    <t>THE NEW EDENTON HOUSING AUTHORITY</t>
  </si>
  <si>
    <t>CLAY COUNTY ABC BOARD</t>
  </si>
  <si>
    <t xml:space="preserve"> BOILING SPRINGS</t>
  </si>
  <si>
    <t xml:space="preserve"> LAWNDALE</t>
  </si>
  <si>
    <t xml:space="preserve"> GROVER</t>
  </si>
  <si>
    <t xml:space="preserve"> BOLTON</t>
  </si>
  <si>
    <t xml:space="preserve"> BRUNSWICK</t>
  </si>
  <si>
    <t xml:space="preserve"> FAIR BLUFF</t>
  </si>
  <si>
    <t xml:space="preserve"> CHADBOURN</t>
  </si>
  <si>
    <t xml:space="preserve"> TABOR CITY</t>
  </si>
  <si>
    <t xml:space="preserve"> LAKE WACCAMAW</t>
  </si>
  <si>
    <t>COASTAL REGIONAL SOLID WASTE MNGT AUTHORITY</t>
  </si>
  <si>
    <t>96519M</t>
  </si>
  <si>
    <t>COASTALCARE- MERGED WITH TRILLIUM</t>
  </si>
  <si>
    <t>92509M</t>
  </si>
  <si>
    <t>EAST CAROLINA BEHAVORIAL HEALTH - MERGED WITH TRILLIUM</t>
  </si>
  <si>
    <t>92513M</t>
  </si>
  <si>
    <t>TRILLIUM HEALTH RESOURCES (INCLUDES EAST CAROLINA BEHAVIORAL HEALTHCARE AND COASTALCARE)</t>
  </si>
  <si>
    <t xml:space="preserve"> TRENT WOODS</t>
  </si>
  <si>
    <t xml:space="preserve"> RIVER BEND</t>
  </si>
  <si>
    <t xml:space="preserve"> VANCEBORO</t>
  </si>
  <si>
    <t xml:space="preserve"> BRIDGETON</t>
  </si>
  <si>
    <t xml:space="preserve"> COVE CITY</t>
  </si>
  <si>
    <t>FAYETTEVILLE METROPOLITAN HOUSING AUTHORITY</t>
  </si>
  <si>
    <t xml:space="preserve"> STEDMAN</t>
  </si>
  <si>
    <t xml:space="preserve"> HOPE MILLS</t>
  </si>
  <si>
    <t xml:space="preserve"> WADE</t>
  </si>
  <si>
    <t xml:space="preserve"> LINDEN</t>
  </si>
  <si>
    <t xml:space="preserve"> SPRING LAKE</t>
  </si>
  <si>
    <t xml:space="preserve"> FALCON</t>
  </si>
  <si>
    <t xml:space="preserve"> EASTOVER</t>
  </si>
  <si>
    <t xml:space="preserve"> NAGS HEAD</t>
  </si>
  <si>
    <t xml:space="preserve"> KILL DEVIL HILLS</t>
  </si>
  <si>
    <t xml:space="preserve"> MANTEO</t>
  </si>
  <si>
    <t xml:space="preserve"> SOUTHERN SHORES</t>
  </si>
  <si>
    <t xml:space="preserve"> KITTY HAWK</t>
  </si>
  <si>
    <t xml:space="preserve"> DUCK</t>
  </si>
  <si>
    <t xml:space="preserve"> DENTON</t>
  </si>
  <si>
    <t xml:space="preserve"> MIDWAY</t>
  </si>
  <si>
    <t xml:space="preserve"> MOCKSVILLE</t>
  </si>
  <si>
    <t xml:space="preserve"> BERMUDA RUN</t>
  </si>
  <si>
    <t xml:space="preserve"> COOLEEMEE</t>
  </si>
  <si>
    <t xml:space="preserve"> BEULAVILLE</t>
  </si>
  <si>
    <t xml:space="preserve"> KENANSVILLE</t>
  </si>
  <si>
    <t xml:space="preserve"> WARSAW</t>
  </si>
  <si>
    <t xml:space="preserve"> FAISON</t>
  </si>
  <si>
    <t xml:space="preserve"> WALLACE</t>
  </si>
  <si>
    <t xml:space="preserve"> ROSE HILL</t>
  </si>
  <si>
    <t xml:space="preserve"> CALYPSO</t>
  </si>
  <si>
    <t xml:space="preserve"> TEACHEY</t>
  </si>
  <si>
    <t xml:space="preserve"> MAGNOLIA</t>
  </si>
  <si>
    <t xml:space="preserve"> TARBORO</t>
  </si>
  <si>
    <t xml:space="preserve"> PINETOPS</t>
  </si>
  <si>
    <t xml:space="preserve"> MACCLESFIELD</t>
  </si>
  <si>
    <t xml:space="preserve"> PRINCEVILLE</t>
  </si>
  <si>
    <t xml:space="preserve"> KERNERSVILLE</t>
  </si>
  <si>
    <t xml:space="preserve"> RURAL HALL</t>
  </si>
  <si>
    <t xml:space="preserve"> CLEMMONS</t>
  </si>
  <si>
    <t xml:space="preserve"> LEWISVILLE</t>
  </si>
  <si>
    <t>WALKERTOWN</t>
  </si>
  <si>
    <t>TOBACCOVILLE</t>
  </si>
  <si>
    <t xml:space="preserve"> FRANKLINTON</t>
  </si>
  <si>
    <t xml:space="preserve"> LOUISBURG</t>
  </si>
  <si>
    <t>BUNN</t>
  </si>
  <si>
    <t>ABC BOARD -  BUNN</t>
  </si>
  <si>
    <t xml:space="preserve"> YOUNGSVILLE</t>
  </si>
  <si>
    <t>STANLEY</t>
  </si>
  <si>
    <t>CRAMERTON ABC BOARD</t>
  </si>
  <si>
    <t>MCADENVILLE</t>
  </si>
  <si>
    <t xml:space="preserve"> CRAMERTON</t>
  </si>
  <si>
    <t xml:space="preserve"> DALLAS</t>
  </si>
  <si>
    <t xml:space="preserve"> RANLO</t>
  </si>
  <si>
    <t xml:space="preserve"> ROBBINSVILLE</t>
  </si>
  <si>
    <t xml:space="preserve"> STOVALL</t>
  </si>
  <si>
    <t xml:space="preserve"> BUTNER</t>
  </si>
  <si>
    <t xml:space="preserve"> HOOKERTON</t>
  </si>
  <si>
    <t xml:space="preserve"> SNOW HILL</t>
  </si>
  <si>
    <t xml:space="preserve"> WALSTONBURG</t>
  </si>
  <si>
    <t>PIEDMONT TRIAD REG WATER AUTHORITY</t>
  </si>
  <si>
    <t xml:space="preserve"> JAMESTOWN</t>
  </si>
  <si>
    <t xml:space="preserve"> GIBSONVILLE</t>
  </si>
  <si>
    <t xml:space="preserve"> OAK RIDGE</t>
  </si>
  <si>
    <t xml:space="preserve"> SUMMERFIELD</t>
  </si>
  <si>
    <t xml:space="preserve"> ENFIELD</t>
  </si>
  <si>
    <t xml:space="preserve"> WELDON</t>
  </si>
  <si>
    <t xml:space="preserve"> SCOTLAND NECK</t>
  </si>
  <si>
    <t xml:space="preserve"> HOBGOOD</t>
  </si>
  <si>
    <t xml:space="preserve"> LITTLETON</t>
  </si>
  <si>
    <t xml:space="preserve"> LILLINGTON</t>
  </si>
  <si>
    <t xml:space="preserve"> ERWIN</t>
  </si>
  <si>
    <t xml:space="preserve"> COATS</t>
  </si>
  <si>
    <t xml:space="preserve"> ANGIER ABC BOARD</t>
  </si>
  <si>
    <t xml:space="preserve"> ANGIER</t>
  </si>
  <si>
    <t xml:space="preserve"> WAYNESVILLE</t>
  </si>
  <si>
    <t xml:space="preserve"> MAGGIE VALLEY</t>
  </si>
  <si>
    <t xml:space="preserve"> CANTON</t>
  </si>
  <si>
    <t xml:space="preserve"> LAUREL PARK</t>
  </si>
  <si>
    <t>THE  FLAT ROCK</t>
  </si>
  <si>
    <t xml:space="preserve"> FLETCHER</t>
  </si>
  <si>
    <t xml:space="preserve"> MILLS RIVER</t>
  </si>
  <si>
    <t xml:space="preserve"> AHOSKIE</t>
  </si>
  <si>
    <t xml:space="preserve"> MURFREESBORO</t>
  </si>
  <si>
    <t xml:space="preserve"> WINTON</t>
  </si>
  <si>
    <t xml:space="preserve"> COFIELD</t>
  </si>
  <si>
    <t xml:space="preserve"> RAEFORD</t>
  </si>
  <si>
    <t xml:space="preserve"> TROUTMAN</t>
  </si>
  <si>
    <t xml:space="preserve"> TROUTMAN ABC BOARD</t>
  </si>
  <si>
    <t>VALDESE ABC BOARD</t>
  </si>
  <si>
    <t xml:space="preserve"> SYLVA</t>
  </si>
  <si>
    <t xml:space="preserve"> ARCHER LODGE</t>
  </si>
  <si>
    <t xml:space="preserve"> SMITHFIELD</t>
  </si>
  <si>
    <t xml:space="preserve"> SELMA</t>
  </si>
  <si>
    <t xml:space="preserve"> MICRO</t>
  </si>
  <si>
    <t xml:space="preserve"> CLAYTON</t>
  </si>
  <si>
    <t xml:space="preserve"> BENSON</t>
  </si>
  <si>
    <t xml:space="preserve"> FOUR OAKS</t>
  </si>
  <si>
    <t xml:space="preserve"> PINE LEVEL</t>
  </si>
  <si>
    <t xml:space="preserve"> KENLY</t>
  </si>
  <si>
    <t xml:space="preserve"> PRINCETON</t>
  </si>
  <si>
    <t xml:space="preserve"> WILSON'S MILLS</t>
  </si>
  <si>
    <t xml:space="preserve"> POLLOCKSVILLE</t>
  </si>
  <si>
    <t xml:space="preserve"> MAYSVILLE</t>
  </si>
  <si>
    <t xml:space="preserve"> BROADWAY</t>
  </si>
  <si>
    <t>HOUSING AUTHORITY FOR THE CTY OF KINSTON</t>
  </si>
  <si>
    <t xml:space="preserve"> PINK HILL</t>
  </si>
  <si>
    <t xml:space="preserve"> LAGRANGE</t>
  </si>
  <si>
    <t xml:space="preserve"> LINCOLNTON ABC BOARD</t>
  </si>
  <si>
    <t xml:space="preserve"> FRANKLIN</t>
  </si>
  <si>
    <t xml:space="preserve"> HIGHLANDS</t>
  </si>
  <si>
    <t xml:space="preserve"> MARS HILL</t>
  </si>
  <si>
    <t xml:space="preserve"> MARSHALL</t>
  </si>
  <si>
    <t>MARTIN CO TRAVEL &amp; TOURISM AUTHORITY</t>
  </si>
  <si>
    <t xml:space="preserve"> WILLIAMSTON</t>
  </si>
  <si>
    <t xml:space="preserve"> OAK CITY</t>
  </si>
  <si>
    <t xml:space="preserve"> HAMILTON</t>
  </si>
  <si>
    <t xml:space="preserve"> JAMESVILLE</t>
  </si>
  <si>
    <t xml:space="preserve"> ROBERSONVILLE</t>
  </si>
  <si>
    <t xml:space="preserve"> MARION</t>
  </si>
  <si>
    <t xml:space="preserve"> OLD FORT</t>
  </si>
  <si>
    <t xml:space="preserve"> PINEVILLE</t>
  </si>
  <si>
    <t xml:space="preserve"> MINT HILL</t>
  </si>
  <si>
    <t xml:space="preserve"> HUNTERSVILLE</t>
  </si>
  <si>
    <t xml:space="preserve"> CORNELIUS</t>
  </si>
  <si>
    <t xml:space="preserve"> STALLINGS</t>
  </si>
  <si>
    <t xml:space="preserve"> MATTHEWS</t>
  </si>
  <si>
    <t xml:space="preserve"> DAVIDSON</t>
  </si>
  <si>
    <t xml:space="preserve"> SPRUCE PINE</t>
  </si>
  <si>
    <t xml:space="preserve"> BAKERSVILLE</t>
  </si>
  <si>
    <t xml:space="preserve"> STAR</t>
  </si>
  <si>
    <t xml:space="preserve"> TROY</t>
  </si>
  <si>
    <t xml:space="preserve"> BISCOE</t>
  </si>
  <si>
    <t xml:space="preserve"> CANDOR</t>
  </si>
  <si>
    <t xml:space="preserve"> MOUNT GILEAD</t>
  </si>
  <si>
    <t xml:space="preserve"> TAYLORTOWN</t>
  </si>
  <si>
    <t xml:space="preserve"> SOUTHERN PINES</t>
  </si>
  <si>
    <t xml:space="preserve"> CAMERON</t>
  </si>
  <si>
    <t xml:space="preserve"> VASS</t>
  </si>
  <si>
    <t xml:space="preserve"> ABERDEEN</t>
  </si>
  <si>
    <t xml:space="preserve"> ROBBINS</t>
  </si>
  <si>
    <t xml:space="preserve"> PINEHURST</t>
  </si>
  <si>
    <t xml:space="preserve"> PINEBLUFF</t>
  </si>
  <si>
    <t xml:space="preserve"> WHISPERING PINES</t>
  </si>
  <si>
    <t xml:space="preserve"> CARTHAGE</t>
  </si>
  <si>
    <t xml:space="preserve"> SPRING HOPE</t>
  </si>
  <si>
    <t xml:space="preserve"> NASHVILLE</t>
  </si>
  <si>
    <t xml:space="preserve"> MIDDLESEX</t>
  </si>
  <si>
    <t xml:space="preserve"> WHITAKERS</t>
  </si>
  <si>
    <t xml:space="preserve"> BAILEY</t>
  </si>
  <si>
    <t xml:space="preserve"> SHARPSBURG</t>
  </si>
  <si>
    <t>NEW HANOVER AIRPORT AUTHORITY</t>
  </si>
  <si>
    <t>LOWER CAPE FEAR WATER &amp; SEWER AUTHORITY</t>
  </si>
  <si>
    <t xml:space="preserve"> WRIGHTSVILLE BEACH</t>
  </si>
  <si>
    <t xml:space="preserve"> CAROLINA BEACH</t>
  </si>
  <si>
    <t xml:space="preserve"> KURE BEACH</t>
  </si>
  <si>
    <t xml:space="preserve"> RICH SQUARE</t>
  </si>
  <si>
    <t>CHOANOKE PUBLIC TRANSPORTATION AUTHORITY</t>
  </si>
  <si>
    <t xml:space="preserve"> WOODLAND</t>
  </si>
  <si>
    <t xml:space="preserve"> GARYSBURG</t>
  </si>
  <si>
    <t xml:space="preserve"> CONWAY</t>
  </si>
  <si>
    <t xml:space="preserve"> GASTON</t>
  </si>
  <si>
    <t xml:space="preserve"> JACKSON</t>
  </si>
  <si>
    <t xml:space="preserve"> SEVERN</t>
  </si>
  <si>
    <t xml:space="preserve"> SEABOARD</t>
  </si>
  <si>
    <t xml:space="preserve"> SWANSBORO</t>
  </si>
  <si>
    <t xml:space="preserve"> HOLLY RIDGE</t>
  </si>
  <si>
    <t xml:space="preserve"> RICHLANDS</t>
  </si>
  <si>
    <t xml:space="preserve"> N TOPSAIL BEACH</t>
  </si>
  <si>
    <t xml:space="preserve"> CHAPEL HILL</t>
  </si>
  <si>
    <t xml:space="preserve"> CARRBORO</t>
  </si>
  <si>
    <t xml:space="preserve"> HILLSBOROUGH</t>
  </si>
  <si>
    <t xml:space="preserve"> BAYBORO</t>
  </si>
  <si>
    <t xml:space="preserve"> ORIENTAL</t>
  </si>
  <si>
    <t>ELIZABETH CITY-PASQUOTANK CO AIRPORT AUTHORITY</t>
  </si>
  <si>
    <t xml:space="preserve"> BURGAW</t>
  </si>
  <si>
    <t xml:space="preserve"> TOPSAIL BEACH</t>
  </si>
  <si>
    <t xml:space="preserve"> SURF CITY</t>
  </si>
  <si>
    <t xml:space="preserve"> HERTFORD</t>
  </si>
  <si>
    <t>HERTFORD HOUSING AUTHORITY</t>
  </si>
  <si>
    <t xml:space="preserve"> HERTFORD ABC BOARD</t>
  </si>
  <si>
    <t xml:space="preserve"> WINFALL</t>
  </si>
  <si>
    <t xml:space="preserve"> FARMVILLE</t>
  </si>
  <si>
    <t xml:space="preserve"> GRIFTON</t>
  </si>
  <si>
    <t xml:space="preserve"> BETHEL</t>
  </si>
  <si>
    <t xml:space="preserve"> WINTERVILLE</t>
  </si>
  <si>
    <t>97461M</t>
  </si>
  <si>
    <t xml:space="preserve"> AYDEN</t>
  </si>
  <si>
    <t>97463M</t>
  </si>
  <si>
    <t>AYDEN HOUSING AUTHORITY MERGED WITH TOWN OF AYDEN</t>
  </si>
  <si>
    <t xml:space="preserve"> GRIMESLAND</t>
  </si>
  <si>
    <t xml:space="preserve"> SIMPSON</t>
  </si>
  <si>
    <t xml:space="preserve">FOUNTAIN, </t>
  </si>
  <si>
    <t xml:space="preserve"> TRYON</t>
  </si>
  <si>
    <t xml:space="preserve"> COLUMBUS</t>
  </si>
  <si>
    <t>ASHEBORO HOUSING AUTHORITY</t>
  </si>
  <si>
    <t xml:space="preserve"> LIBERTY</t>
  </si>
  <si>
    <t xml:space="preserve"> RAMSEUR</t>
  </si>
  <si>
    <t xml:space="preserve"> ELLERBE</t>
  </si>
  <si>
    <t xml:space="preserve"> FAIRMONT</t>
  </si>
  <si>
    <t xml:space="preserve"> ST PAULS</t>
  </si>
  <si>
    <t xml:space="preserve"> MAXTON</t>
  </si>
  <si>
    <t xml:space="preserve"> PARKTON</t>
  </si>
  <si>
    <t xml:space="preserve"> PEMBROKE</t>
  </si>
  <si>
    <t xml:space="preserve"> ROWLAND</t>
  </si>
  <si>
    <t xml:space="preserve"> RED SPRINGS</t>
  </si>
  <si>
    <t>THE NEW REIDSVILLE HOUSING AUTHORITY</t>
  </si>
  <si>
    <t xml:space="preserve"> MAYODAN</t>
  </si>
  <si>
    <t xml:space="preserve"> STONEVILLE</t>
  </si>
  <si>
    <t xml:space="preserve"> MADISON</t>
  </si>
  <si>
    <t>HOUSING AUTHORITY OF THE CTY OF SALISBURY</t>
  </si>
  <si>
    <t xml:space="preserve"> EAST SPENCER</t>
  </si>
  <si>
    <t xml:space="preserve"> SPENCER</t>
  </si>
  <si>
    <t xml:space="preserve"> CHINA GROVE</t>
  </si>
  <si>
    <t xml:space="preserve"> LANDIS</t>
  </si>
  <si>
    <t xml:space="preserve"> GRANITE QUARRY</t>
  </si>
  <si>
    <t xml:space="preserve"> ROCKWELL</t>
  </si>
  <si>
    <t xml:space="preserve"> FAITH</t>
  </si>
  <si>
    <t xml:space="preserve"> CLEVELAND</t>
  </si>
  <si>
    <t xml:space="preserve"> FOREST CITY</t>
  </si>
  <si>
    <t xml:space="preserve"> SPINDALE</t>
  </si>
  <si>
    <t xml:space="preserve"> LAKE LURE</t>
  </si>
  <si>
    <t xml:space="preserve"> RUTHERFORDTON</t>
  </si>
  <si>
    <t xml:space="preserve"> RUTHERFORDTON ABC BRD</t>
  </si>
  <si>
    <t xml:space="preserve"> ELLENBORO</t>
  </si>
  <si>
    <t xml:space="preserve"> SALEMBURG</t>
  </si>
  <si>
    <t xml:space="preserve"> NEWTON GROVE</t>
  </si>
  <si>
    <t xml:space="preserve"> GARLAND</t>
  </si>
  <si>
    <t xml:space="preserve"> TURKEY</t>
  </si>
  <si>
    <t xml:space="preserve"> ROSEBORO</t>
  </si>
  <si>
    <t xml:space="preserve"> AUTRYVILLE</t>
  </si>
  <si>
    <t xml:space="preserve"> WAGRAM</t>
  </si>
  <si>
    <t xml:space="preserve"> GIBSON</t>
  </si>
  <si>
    <t>98414M</t>
  </si>
  <si>
    <t xml:space="preserve"> MISENHEIMER</t>
  </si>
  <si>
    <t>71786M</t>
  </si>
  <si>
    <t xml:space="preserve"> NORWOOD</t>
  </si>
  <si>
    <t xml:space="preserve"> OAKBORO</t>
  </si>
  <si>
    <t xml:space="preserve"> BADIN</t>
  </si>
  <si>
    <t xml:space="preserve"> NEW LONDON</t>
  </si>
  <si>
    <t xml:space="preserve"> STANFIELD</t>
  </si>
  <si>
    <t xml:space="preserve"> WALNUT COVE</t>
  </si>
  <si>
    <t>98604M</t>
  </si>
  <si>
    <t>98647M</t>
  </si>
  <si>
    <t>ELKIN ABC BOARD - merged with Yakdin Valley ABC Board</t>
  </si>
  <si>
    <t xml:space="preserve"> PILOT MOUNTAIN</t>
  </si>
  <si>
    <t xml:space="preserve"> DOBSON</t>
  </si>
  <si>
    <t xml:space="preserve"> ELKIN</t>
  </si>
  <si>
    <t xml:space="preserve"> BRYSON CITY</t>
  </si>
  <si>
    <t xml:space="preserve"> COLUMBIA</t>
  </si>
  <si>
    <t xml:space="preserve"> MARSHVILLE</t>
  </si>
  <si>
    <t xml:space="preserve"> MINERAL SPRINGS</t>
  </si>
  <si>
    <t xml:space="preserve"> WINGATE</t>
  </si>
  <si>
    <t xml:space="preserve"> WAXHAW</t>
  </si>
  <si>
    <t xml:space="preserve"> INDIAN TRAIL</t>
  </si>
  <si>
    <t xml:space="preserve"> UNIONVILLE</t>
  </si>
  <si>
    <t xml:space="preserve"> WEDDINGTON</t>
  </si>
  <si>
    <t xml:space="preserve"> MARVIN</t>
  </si>
  <si>
    <t xml:space="preserve"> WESLEY CHAPEL</t>
  </si>
  <si>
    <t xml:space="preserve"> HOLLY SPRINGS</t>
  </si>
  <si>
    <t xml:space="preserve"> ROLESVILLE</t>
  </si>
  <si>
    <t xml:space="preserve"> MORRISVILLE</t>
  </si>
  <si>
    <t xml:space="preserve"> CARY</t>
  </si>
  <si>
    <t xml:space="preserve"> WENDELL</t>
  </si>
  <si>
    <t xml:space="preserve"> ZEBULON</t>
  </si>
  <si>
    <t xml:space="preserve"> GARNER</t>
  </si>
  <si>
    <t xml:space="preserve"> FUQUAY-VARINA</t>
  </si>
  <si>
    <t xml:space="preserve"> APEX</t>
  </si>
  <si>
    <t xml:space="preserve"> WAKE FOREST</t>
  </si>
  <si>
    <t xml:space="preserve"> KNIGHTDALE</t>
  </si>
  <si>
    <t xml:space="preserve"> NORLINA</t>
  </si>
  <si>
    <t xml:space="preserve"> WARRENTON</t>
  </si>
  <si>
    <t xml:space="preserve"> PLYMOUTH</t>
  </si>
  <si>
    <t xml:space="preserve"> ROPER</t>
  </si>
  <si>
    <t xml:space="preserve"> CRESWELL</t>
  </si>
  <si>
    <t xml:space="preserve"> BOONE</t>
  </si>
  <si>
    <t xml:space="preserve"> BLOWING ROCK</t>
  </si>
  <si>
    <t xml:space="preserve"> SEVEN DEVILS</t>
  </si>
  <si>
    <t>EASTERN CAROLINA REG'L HOUSING AUTHORITY</t>
  </si>
  <si>
    <t xml:space="preserve"> MOUNT OLIVE</t>
  </si>
  <si>
    <t>MOUNT OLIVE HOUSING AUTHORITY</t>
  </si>
  <si>
    <t xml:space="preserve"> FREMONT</t>
  </si>
  <si>
    <t xml:space="preserve"> PIKEVILLE</t>
  </si>
  <si>
    <t xml:space="preserve"> WALNUT CREEK</t>
  </si>
  <si>
    <t xml:space="preserve"> N WILKESBORO</t>
  </si>
  <si>
    <t xml:space="preserve"> N WILKESBORO ABC BOARD</t>
  </si>
  <si>
    <t xml:space="preserve"> WILKESBORO</t>
  </si>
  <si>
    <t>WILSON COUNTY TOURISM DEVELOPMENT AUTHORITY</t>
  </si>
  <si>
    <t>WILSON</t>
  </si>
  <si>
    <t>WILSON CEMETERY COMMISSION</t>
  </si>
  <si>
    <t xml:space="preserve"> STANTONSBURG</t>
  </si>
  <si>
    <t xml:space="preserve"> BLACK CREEK</t>
  </si>
  <si>
    <t xml:space="preserve"> LUCAMA</t>
  </si>
  <si>
    <t xml:space="preserve"> ELM CITY</t>
  </si>
  <si>
    <t xml:space="preserve"> YADKINVILLE</t>
  </si>
  <si>
    <t xml:space="preserve"> JONESVILLE</t>
  </si>
  <si>
    <t xml:space="preserve"> EAST BEND</t>
  </si>
  <si>
    <t xml:space="preserve"> BOONVILLE</t>
  </si>
  <si>
    <t>Check total</t>
  </si>
  <si>
    <t>ABERDEEN</t>
  </si>
  <si>
    <t>AHOSKIE</t>
  </si>
  <si>
    <t>ALAMANCE</t>
  </si>
  <si>
    <t>ALBEMARLE</t>
  </si>
  <si>
    <t>ANDREWS</t>
  </si>
  <si>
    <t>ANGIER</t>
  </si>
  <si>
    <t>ANGIER ABC BOARD</t>
  </si>
  <si>
    <t>ANSONVILLE</t>
  </si>
  <si>
    <t>APEX</t>
  </si>
  <si>
    <t>ARCHDALE</t>
  </si>
  <si>
    <t>ARCHER LODGE</t>
  </si>
  <si>
    <t>ASHEBORO</t>
  </si>
  <si>
    <t>ASHEVILLE</t>
  </si>
  <si>
    <t>ATLANTIC BEACH</t>
  </si>
  <si>
    <t>AULANDER</t>
  </si>
  <si>
    <t>AURORA</t>
  </si>
  <si>
    <t>AUTRYVILLE</t>
  </si>
  <si>
    <t>AYDEN</t>
  </si>
  <si>
    <t>AYDEN HOUSING AUTHORITY - MERGED WITH TOWN OF AYDEN</t>
  </si>
  <si>
    <t>BADIN</t>
  </si>
  <si>
    <t>BAILEY</t>
  </si>
  <si>
    <t>BAKERSVILLE</t>
  </si>
  <si>
    <t>BALD HEAD ISLAND</t>
  </si>
  <si>
    <t>BANNER ELK</t>
  </si>
  <si>
    <t>BAYBORO</t>
  </si>
  <si>
    <t>BEAUFORT</t>
  </si>
  <si>
    <t>BEECH MOUNTAIN</t>
  </si>
  <si>
    <t>BELHAVEN</t>
  </si>
  <si>
    <t>BELMONT</t>
  </si>
  <si>
    <t>BELVILLE</t>
  </si>
  <si>
    <t>BENSON</t>
  </si>
  <si>
    <t>BERMUDA RUN</t>
  </si>
  <si>
    <t>BESSEMER CITY ABC BOARD</t>
  </si>
  <si>
    <t>BETHEL</t>
  </si>
  <si>
    <t>BEULAVILLE</t>
  </si>
  <si>
    <t>BILTMORE FOREST</t>
  </si>
  <si>
    <t>BISCOE</t>
  </si>
  <si>
    <t>BLACK CREEK</t>
  </si>
  <si>
    <t>BLACK MOUNTAIN</t>
  </si>
  <si>
    <t>BLADENBORO</t>
  </si>
  <si>
    <t>BLOWING ROCK</t>
  </si>
  <si>
    <t>BOILING SPRING LAKES</t>
  </si>
  <si>
    <t>BOILING SPRINGS</t>
  </si>
  <si>
    <t>BOLTON</t>
  </si>
  <si>
    <t>BOONE</t>
  </si>
  <si>
    <t>BOONVILLE</t>
  </si>
  <si>
    <t>BREVARD</t>
  </si>
  <si>
    <t>BRIDGETON</t>
  </si>
  <si>
    <t>BROADWAY</t>
  </si>
  <si>
    <t>BROOKFORD</t>
  </si>
  <si>
    <t>BRUNSWICK</t>
  </si>
  <si>
    <t>BRUNSWICK COUNTY DEPT OF SOCIAL SERVICES</t>
  </si>
  <si>
    <t>BRUNSWICK COUNTY HEALTH DEPT</t>
  </si>
  <si>
    <t>BRYSON CITY</t>
  </si>
  <si>
    <t>BUNN ABC BOARD</t>
  </si>
  <si>
    <t>BURGAW</t>
  </si>
  <si>
    <t>BURKE COUNTY DEPT OF SOCIAL SERVICES</t>
  </si>
  <si>
    <t>BURKE COUNTY HEALTH DEPT</t>
  </si>
  <si>
    <t>BURLINGTON</t>
  </si>
  <si>
    <t>BURNSVILLE</t>
  </si>
  <si>
    <t>BUTNER</t>
  </si>
  <si>
    <t>CABARRUS COUNTY PUBLIC HEALTH AUTHORITY</t>
  </si>
  <si>
    <t>CAJAH'S MOUNTAIN</t>
  </si>
  <si>
    <t>CALABASH</t>
  </si>
  <si>
    <t>CALYPSO</t>
  </si>
  <si>
    <t>CAMERON</t>
  </si>
  <si>
    <t>CANDOR</t>
  </si>
  <si>
    <t>CANTON</t>
  </si>
  <si>
    <t>CAPE CARTERET</t>
  </si>
  <si>
    <t>CAROLINA BEACH</t>
  </si>
  <si>
    <t>CAROLINA SHORES</t>
  </si>
  <si>
    <t>CARRBORO</t>
  </si>
  <si>
    <t>CARTHAGE</t>
  </si>
  <si>
    <t>CARY</t>
  </si>
  <si>
    <t>CASWELL BEACH</t>
  </si>
  <si>
    <t>CASWELL COUNTY DEPT OF SOCIAL SERVICES</t>
  </si>
  <si>
    <t>CATAWBA</t>
  </si>
  <si>
    <t>CEDAR POINT</t>
  </si>
  <si>
    <t>CHADBOURN</t>
  </si>
  <si>
    <t>CHAPEL HILL</t>
  </si>
  <si>
    <t>CHARLOTTE</t>
  </si>
  <si>
    <t>CHATHAM COUNTY HOUSING AUTHORITY</t>
  </si>
  <si>
    <t>CHERRYVILLE</t>
  </si>
  <si>
    <t>CHINA GROVE</t>
  </si>
  <si>
    <t>CHOCOWINITY</t>
  </si>
  <si>
    <t>CLAREMONT</t>
  </si>
  <si>
    <t>CLARKTON</t>
  </si>
  <si>
    <t>CLAYTON</t>
  </si>
  <si>
    <t>CLEMMONS</t>
  </si>
  <si>
    <t>CLEVELAND</t>
  </si>
  <si>
    <t>CLINTON</t>
  </si>
  <si>
    <t>COASTALCARE - MERGED WITH TRILLIUM</t>
  </si>
  <si>
    <t>COATS</t>
  </si>
  <si>
    <t>COFIELD</t>
  </si>
  <si>
    <t>COLERAIN</t>
  </si>
  <si>
    <t>COLUMBIA</t>
  </si>
  <si>
    <t>COLUMBUS</t>
  </si>
  <si>
    <t>CONCORD</t>
  </si>
  <si>
    <t>CONNELLY SPRINGS</t>
  </si>
  <si>
    <t>CONOVER</t>
  </si>
  <si>
    <t>CONWAY</t>
  </si>
  <si>
    <t>COOLEEMEE</t>
  </si>
  <si>
    <t>CORNELIUS</t>
  </si>
  <si>
    <t>COVE CITY</t>
  </si>
  <si>
    <t>CRAMERTON</t>
  </si>
  <si>
    <t>CREEDMOOR</t>
  </si>
  <si>
    <t>CRESWELL</t>
  </si>
  <si>
    <t>DALLAS</t>
  </si>
  <si>
    <t>DAVIDSON</t>
  </si>
  <si>
    <t>DENTON</t>
  </si>
  <si>
    <t>DOBSON</t>
  </si>
  <si>
    <t>DREXEL</t>
  </si>
  <si>
    <t>DUCK</t>
  </si>
  <si>
    <t>DUNN</t>
  </si>
  <si>
    <t>DURHAM</t>
  </si>
  <si>
    <t>EAST BEND</t>
  </si>
  <si>
    <t>EAST CAROLINA BEHAVORIAL HEALTHCARE - MERGED WITH TRILLIUM</t>
  </si>
  <si>
    <t>EAST SPENCER</t>
  </si>
  <si>
    <t>EASTERN BAND OF CHEROKEE INDIANS</t>
  </si>
  <si>
    <t>EASTOVER</t>
  </si>
  <si>
    <t>EDEN</t>
  </si>
  <si>
    <t>EDENTON</t>
  </si>
  <si>
    <t>ELIZABETHTOWN</t>
  </si>
  <si>
    <t>ELK PARK</t>
  </si>
  <si>
    <t>ELKIN</t>
  </si>
  <si>
    <t>ELKIN ABC BOARD (merged with Yadkin Valley ABC Board)</t>
  </si>
  <si>
    <t>ELLENBORO</t>
  </si>
  <si>
    <t>ELLERBE</t>
  </si>
  <si>
    <t>ELM CITY</t>
  </si>
  <si>
    <t>ELON</t>
  </si>
  <si>
    <t>EMERALD ISLE</t>
  </si>
  <si>
    <t>ENFIELD</t>
  </si>
  <si>
    <t>ERWIN</t>
  </si>
  <si>
    <t>FAIR BLUFF</t>
  </si>
  <si>
    <t>FAIRMONT</t>
  </si>
  <si>
    <t>FAISON</t>
  </si>
  <si>
    <t>FAITH</t>
  </si>
  <si>
    <t>FALCON</t>
  </si>
  <si>
    <t>FARMVILLE</t>
  </si>
  <si>
    <t>FAYETTEVILLE</t>
  </si>
  <si>
    <t>FAYETTEVILLE PUBLIC WORKS COMMISSION</t>
  </si>
  <si>
    <t>FLAT ROCK</t>
  </si>
  <si>
    <t>FLETCHER</t>
  </si>
  <si>
    <t>FOREST CITY</t>
  </si>
  <si>
    <t>FOUNTAIN</t>
  </si>
  <si>
    <t>FOUR OAKS</t>
  </si>
  <si>
    <t>FRANKLIN</t>
  </si>
  <si>
    <t>FRANKLINTON</t>
  </si>
  <si>
    <t>FREMONT</t>
  </si>
  <si>
    <t>FUQUAY-VARINA</t>
  </si>
  <si>
    <t>GARLAND</t>
  </si>
  <si>
    <t>GARNER</t>
  </si>
  <si>
    <t>GARYSBURG</t>
  </si>
  <si>
    <t>GASTON</t>
  </si>
  <si>
    <t>GASTONIA</t>
  </si>
  <si>
    <t>GIBSON</t>
  </si>
  <si>
    <t>GIBSONVILLE</t>
  </si>
  <si>
    <t>GLEN ALPINE</t>
  </si>
  <si>
    <t>GOLDSBORO</t>
  </si>
  <si>
    <t xml:space="preserve">GOLDSBORO HOUSING AUTHORITY </t>
  </si>
  <si>
    <t>GRAHAM</t>
  </si>
  <si>
    <t>GRANITE FALLS</t>
  </si>
  <si>
    <t>GRANITE QUARRY</t>
  </si>
  <si>
    <t>GRANVILLE CO ABC BOARD</t>
  </si>
  <si>
    <t>GREEN LEVEL</t>
  </si>
  <si>
    <t>GREENSBORO</t>
  </si>
  <si>
    <t>GREENSBORO ABC BOARD</t>
  </si>
  <si>
    <t>GREENVILLE</t>
  </si>
  <si>
    <t>GRIFTON</t>
  </si>
  <si>
    <t>GRIMESLAND</t>
  </si>
  <si>
    <t>GROVER</t>
  </si>
  <si>
    <t>HAMILTON</t>
  </si>
  <si>
    <t>HAMLET</t>
  </si>
  <si>
    <t>HARRISBURG</t>
  </si>
  <si>
    <t>HAVELOCK</t>
  </si>
  <si>
    <t>HAW RIVER</t>
  </si>
  <si>
    <t>HENDERSON</t>
  </si>
  <si>
    <t>HENDERSON COUNTY</t>
  </si>
  <si>
    <t>HENDERSONVILLE</t>
  </si>
  <si>
    <t>HENDERSONVILLE ABC BOARD</t>
  </si>
  <si>
    <t>HERTFORD</t>
  </si>
  <si>
    <t>HERTFORD ABC BOARD</t>
  </si>
  <si>
    <t>HICKORY</t>
  </si>
  <si>
    <t>HIGH POINT</t>
  </si>
  <si>
    <t>HIGH POINT ABC BOARD</t>
  </si>
  <si>
    <t>HIGHLANDS</t>
  </si>
  <si>
    <t>HILDEBRAN</t>
  </si>
  <si>
    <t>HILLSBOROUGH</t>
  </si>
  <si>
    <t>HOBGOOD</t>
  </si>
  <si>
    <t>HOLDEN BEACH</t>
  </si>
  <si>
    <t>HOLLY RIDGE</t>
  </si>
  <si>
    <t>HOLLY SPRINGS</t>
  </si>
  <si>
    <t>HOOKERTON</t>
  </si>
  <si>
    <t>HOPE MILLS</t>
  </si>
  <si>
    <t>HUDSON</t>
  </si>
  <si>
    <t>HUNTERSVILLE</t>
  </si>
  <si>
    <t>INDIAN BEACH</t>
  </si>
  <si>
    <t>INDIAN TRAIL</t>
  </si>
  <si>
    <t>J C HOLIDAY MEMORIAL LIBRARY</t>
  </si>
  <si>
    <t>JACKSON</t>
  </si>
  <si>
    <t>JACKSONVILLE</t>
  </si>
  <si>
    <t>JAMESTOWN</t>
  </si>
  <si>
    <t>JAMESVILLE</t>
  </si>
  <si>
    <t>JEFFERSON</t>
  </si>
  <si>
    <t>JONESVILLE</t>
  </si>
  <si>
    <t>KANNAPOLIS</t>
  </si>
  <si>
    <t>KENANSVILLE</t>
  </si>
  <si>
    <t>KENLY</t>
  </si>
  <si>
    <t>KERNERSVILLE</t>
  </si>
  <si>
    <t>KERR-TAR REGIONAL COUNCIL OF GOVERNMENTS</t>
  </si>
  <si>
    <t>KILL DEVIL HILLS</t>
  </si>
  <si>
    <t>KING</t>
  </si>
  <si>
    <t>KINGS MOUNTAIN</t>
  </si>
  <si>
    <t>KINSTON</t>
  </si>
  <si>
    <t xml:space="preserve">KINSTON HOUSING AUTHORITY </t>
  </si>
  <si>
    <t>KINSTON-LENOIR CO PUBLIC LIBRARY</t>
  </si>
  <si>
    <t>KITTY HAWK</t>
  </si>
  <si>
    <t>KNIGHTDALE</t>
  </si>
  <si>
    <t>KURE BEACH</t>
  </si>
  <si>
    <t>LAGRANGE</t>
  </si>
  <si>
    <t>LAKE LURE</t>
  </si>
  <si>
    <t>LAKE WACCAMAW</t>
  </si>
  <si>
    <t>LANDIS</t>
  </si>
  <si>
    <t>LAUREL PARK</t>
  </si>
  <si>
    <t>LAURINBURG</t>
  </si>
  <si>
    <t>LAWNDALE</t>
  </si>
  <si>
    <t>LELAND</t>
  </si>
  <si>
    <t>LENOIR</t>
  </si>
  <si>
    <t>LENOIR ABC BOARD</t>
  </si>
  <si>
    <t>LEWISTON WOODVILLE</t>
  </si>
  <si>
    <t>LEWISVILLE</t>
  </si>
  <si>
    <t>LEXINGTON</t>
  </si>
  <si>
    <t>LIBERTY</t>
  </si>
  <si>
    <t>LILESVILLE</t>
  </si>
  <si>
    <t>LILLINGTON</t>
  </si>
  <si>
    <t>LINCOLNTON</t>
  </si>
  <si>
    <t>LINCOLNTON ABC BOARD</t>
  </si>
  <si>
    <t>LINDEN</t>
  </si>
  <si>
    <t>LITTLETON</t>
  </si>
  <si>
    <t>LOCUST</t>
  </si>
  <si>
    <t>LONGVIEW</t>
  </si>
  <si>
    <t>LOUISBURG</t>
  </si>
  <si>
    <t>LOWELL</t>
  </si>
  <si>
    <t>LUCAMA</t>
  </si>
  <si>
    <t>LUMBERTON</t>
  </si>
  <si>
    <t>LUMBERTON AIRPORT COMMISSION</t>
  </si>
  <si>
    <t>MACCLESFIELD</t>
  </si>
  <si>
    <t>MADISON</t>
  </si>
  <si>
    <t>MAGGIE VALLEY</t>
  </si>
  <si>
    <t>MAGGIE VALLEY SANITARY DISTRICT</t>
  </si>
  <si>
    <t>MAGNOLIA</t>
  </si>
  <si>
    <t>MAIDEN</t>
  </si>
  <si>
    <t>MANTEO</t>
  </si>
  <si>
    <t>MARION</t>
  </si>
  <si>
    <t>MARS HILL</t>
  </si>
  <si>
    <t>MARSHALL</t>
  </si>
  <si>
    <t>MARSHVILLE</t>
  </si>
  <si>
    <t>MARTIN-TYRRELL-WASHINGTON DISTRICT HEALTH DEPT</t>
  </si>
  <si>
    <t>MARVIN</t>
  </si>
  <si>
    <t>MATTHEWS</t>
  </si>
  <si>
    <t>MAXTON</t>
  </si>
  <si>
    <t>MAYODAN</t>
  </si>
  <si>
    <t>MAYSVILLE</t>
  </si>
  <si>
    <t>MEBANE</t>
  </si>
  <si>
    <t>MECKLENBURG EMERGENCY MEDICAL SVCS AGCY</t>
  </si>
  <si>
    <t>MICRO</t>
  </si>
  <si>
    <t>MIDDLESEX</t>
  </si>
  <si>
    <t>MIDLAND</t>
  </si>
  <si>
    <t>MIDWAY</t>
  </si>
  <si>
    <t>MILLS RIVER</t>
  </si>
  <si>
    <t>MINERAL SPRINGS</t>
  </si>
  <si>
    <t>MINT HILL</t>
  </si>
  <si>
    <t>MISENHEIMER</t>
  </si>
  <si>
    <t>MITCHELL SOIL &amp; WATER CONSERVATION DISTRICT</t>
  </si>
  <si>
    <t>MOCKSVILLE</t>
  </si>
  <si>
    <t>MONROE</t>
  </si>
  <si>
    <t>MONROE HOUSING AUTHORITY</t>
  </si>
  <si>
    <t>MONTREAT</t>
  </si>
  <si>
    <t>MOORESVILLE</t>
  </si>
  <si>
    <t>MOREHEAD CITY</t>
  </si>
  <si>
    <t>MORGANTON</t>
  </si>
  <si>
    <t>MORRISVILLE</t>
  </si>
  <si>
    <t>MORVEN</t>
  </si>
  <si>
    <t>MOUNT AIRY</t>
  </si>
  <si>
    <t>MOUNT GILEAD</t>
  </si>
  <si>
    <t>MOUNT HOLLY</t>
  </si>
  <si>
    <t>MOUNT OLIVE</t>
  </si>
  <si>
    <t>MOUNT PLEASANT</t>
  </si>
  <si>
    <t>MOUNT PLEASANT ABC BOARD</t>
  </si>
  <si>
    <t>MURFREESBORO</t>
  </si>
  <si>
    <t>MURPHY</t>
  </si>
  <si>
    <t>NAGS HEAD</t>
  </si>
  <si>
    <t>NASHVILLE</t>
  </si>
  <si>
    <t>NAVASSA</t>
  </si>
  <si>
    <t>NEW BERN</t>
  </si>
  <si>
    <t>NEW EDENTON HOUSING AUTHORITY</t>
  </si>
  <si>
    <t>NEW LONDON</t>
  </si>
  <si>
    <t>NEW REIDSVILLE HOUSING AUTHORITY</t>
  </si>
  <si>
    <t>NEWLAND</t>
  </si>
  <si>
    <t>NEWPORT</t>
  </si>
  <si>
    <t>NEWTON</t>
  </si>
  <si>
    <t>NEWTON GROVE</t>
  </si>
  <si>
    <t>NORLINA</t>
  </si>
  <si>
    <t>NORTH TOPSAIL BEACH</t>
  </si>
  <si>
    <t>NORTH WILKESBORO</t>
  </si>
  <si>
    <t>NORTH WILKESBORO ABC BOARD</t>
  </si>
  <si>
    <t>NORTHWEST</t>
  </si>
  <si>
    <t>NORWOOD</t>
  </si>
  <si>
    <t>NORWOOD ABC BOARD</t>
  </si>
  <si>
    <t>OAK CITY</t>
  </si>
  <si>
    <t>OAK ISLAND</t>
  </si>
  <si>
    <t>OAK ISLAND ABC BOARD</t>
  </si>
  <si>
    <t>OAK RIDGE</t>
  </si>
  <si>
    <t>OAKBORO</t>
  </si>
  <si>
    <t>OCEAN ISLE BEACH</t>
  </si>
  <si>
    <t>OCRACOKE SANITARY DISTRICT</t>
  </si>
  <si>
    <t>OLD FORT</t>
  </si>
  <si>
    <t>ORIENTAL</t>
  </si>
  <si>
    <t>OXFORD</t>
  </si>
  <si>
    <t>PARKTON</t>
  </si>
  <si>
    <t>PEACHLAND</t>
  </si>
  <si>
    <t>PEMBROKE</t>
  </si>
  <si>
    <t>PERSON CO ABC BOARD</t>
  </si>
  <si>
    <t>PIKEVILLE</t>
  </si>
  <si>
    <t>PILOT MOUNTAIN</t>
  </si>
  <si>
    <t>PINE KNOLL SHORES</t>
  </si>
  <si>
    <t>PINE LEVEL</t>
  </si>
  <si>
    <t>PINEBLUFF</t>
  </si>
  <si>
    <t>PINEHURST</t>
  </si>
  <si>
    <t>PINETOPS</t>
  </si>
  <si>
    <t>PINEVILLE</t>
  </si>
  <si>
    <t>PINK HILL</t>
  </si>
  <si>
    <t>PITT-GREENVILLE CONVENTION &amp; VISTORS BUREAU</t>
  </si>
  <si>
    <t>PITTSBORO</t>
  </si>
  <si>
    <t>PLYMOUTH</t>
  </si>
  <si>
    <t>POLKTON</t>
  </si>
  <si>
    <t>POLLOCKSVILLE</t>
  </si>
  <si>
    <t>PRINCETON</t>
  </si>
  <si>
    <t>PRINCEVILLE</t>
  </si>
  <si>
    <t>RAEFORD</t>
  </si>
  <si>
    <t>RALEIGH</t>
  </si>
  <si>
    <t>RALEIGH HOUSING AUTHORITY</t>
  </si>
  <si>
    <t>RAMSEUR</t>
  </si>
  <si>
    <t>RANDLEMAN</t>
  </si>
  <si>
    <t>RANDLEMAN ABC BOARD</t>
  </si>
  <si>
    <t>RANDLEMAN HOUSING AUTHORITY</t>
  </si>
  <si>
    <t>RANLO</t>
  </si>
  <si>
    <t>RED SPRINGS</t>
  </si>
  <si>
    <t>REIDSVILLE</t>
  </si>
  <si>
    <t>RICH SQUARE</t>
  </si>
  <si>
    <t>RICHLANDS</t>
  </si>
  <si>
    <t>RIVER BEND</t>
  </si>
  <si>
    <t>ROANOKE RAPIDS</t>
  </si>
  <si>
    <t>ROBBINS</t>
  </si>
  <si>
    <t>ROBBINSVILLE</t>
  </si>
  <si>
    <t>ROBERSONVILLE</t>
  </si>
  <si>
    <t>ROCKINGHAM</t>
  </si>
  <si>
    <t>ROCKINGHAM ABC BOARD</t>
  </si>
  <si>
    <t>ROCKWELL</t>
  </si>
  <si>
    <t>ROCKY MOUNT</t>
  </si>
  <si>
    <t>ROLESVILLE</t>
  </si>
  <si>
    <t>ROPER</t>
  </si>
  <si>
    <t>ROSE HILL</t>
  </si>
  <si>
    <t>ROSEBORO</t>
  </si>
  <si>
    <t>ROWAN CO SOIL &amp; WATER CONV DISTRICT</t>
  </si>
  <si>
    <t>ROWLAND</t>
  </si>
  <si>
    <t>ROXBORO</t>
  </si>
  <si>
    <t>RURAL HALL</t>
  </si>
  <si>
    <t>RUTHERFORD COLLEGE</t>
  </si>
  <si>
    <t>RUTHERFORD POLK MCDOWELL DIST BOARD OF HEALTH</t>
  </si>
  <si>
    <t>RUTHERFORDTON</t>
  </si>
  <si>
    <t>RUTHERFORDTON ABC BOARD</t>
  </si>
  <si>
    <t>SAINT JAMES</t>
  </si>
  <si>
    <t>SAINT PAULS</t>
  </si>
  <si>
    <t>SAINT PAUL'S BOARD OF ALCOHOLIC CONTROL</t>
  </si>
  <si>
    <t>SALEMBURG</t>
  </si>
  <si>
    <t>SALISBURY</t>
  </si>
  <si>
    <t xml:space="preserve">SALISBURY HOUSING AUTHORITY </t>
  </si>
  <si>
    <t>SALUDA</t>
  </si>
  <si>
    <t>SANFORD</t>
  </si>
  <si>
    <t>SAWMILLS</t>
  </si>
  <si>
    <t>SCOTLAND NECK</t>
  </si>
  <si>
    <t>SEABOARD</t>
  </si>
  <si>
    <t>SEAGROVE</t>
  </si>
  <si>
    <t>SELMA</t>
  </si>
  <si>
    <t>SEVEN DEVILS</t>
  </si>
  <si>
    <t>SEVERN</t>
  </si>
  <si>
    <t>SHALLOTTE</t>
  </si>
  <si>
    <t>SHARPSBURG</t>
  </si>
  <si>
    <t>SHELBY</t>
  </si>
  <si>
    <t>SILER CITY</t>
  </si>
  <si>
    <t>SIMPSON</t>
  </si>
  <si>
    <t>SMITHFIELD</t>
  </si>
  <si>
    <t>SNOW HILL</t>
  </si>
  <si>
    <t>SOUTHERN PINES</t>
  </si>
  <si>
    <t>SOUTHERN SHORES</t>
  </si>
  <si>
    <t>SOUTHPORT</t>
  </si>
  <si>
    <t>SOUTHPORT ABC BOARD</t>
  </si>
  <si>
    <t>SPARTA</t>
  </si>
  <si>
    <t>SPARTA ABC BOARD</t>
  </si>
  <si>
    <t>SPENCER</t>
  </si>
  <si>
    <t>SPINDALE</t>
  </si>
  <si>
    <t>SPRING HOPE</t>
  </si>
  <si>
    <t>SPRING LAKE</t>
  </si>
  <si>
    <t>SPRUCE PINE</t>
  </si>
  <si>
    <t>STALLINGS</t>
  </si>
  <si>
    <t>STANFIELD</t>
  </si>
  <si>
    <t>STANTONSBURG</t>
  </si>
  <si>
    <t>STAR</t>
  </si>
  <si>
    <t>STATESVILLE</t>
  </si>
  <si>
    <t>STEDMAN</t>
  </si>
  <si>
    <t>STONEVILLE</t>
  </si>
  <si>
    <t>STOVALL</t>
  </si>
  <si>
    <t>SUGAR MOUNTAIN</t>
  </si>
  <si>
    <t>SUMMERFIELD</t>
  </si>
  <si>
    <t>SUNSET BEACH</t>
  </si>
  <si>
    <t>SUNSET BEACH ABC BOARD</t>
  </si>
  <si>
    <t>SURF CITY</t>
  </si>
  <si>
    <t>SWANSBORO</t>
  </si>
  <si>
    <t>SYLVA</t>
  </si>
  <si>
    <t>TABOR CITY</t>
  </si>
  <si>
    <t>TARBORO</t>
  </si>
  <si>
    <t>TAYLORSVILLE</t>
  </si>
  <si>
    <t>TAYLORTOWN</t>
  </si>
  <si>
    <t>TEACHEY</t>
  </si>
  <si>
    <t>THOMASVILLE</t>
  </si>
  <si>
    <t>TOPSAIL BEACH</t>
  </si>
  <si>
    <t>TRENT WOODS</t>
  </si>
  <si>
    <t>TRINITY</t>
  </si>
  <si>
    <t>TROUTMAN</t>
  </si>
  <si>
    <t>TROUTMAN ABC BOARD</t>
  </si>
  <si>
    <t>TROY</t>
  </si>
  <si>
    <t>TRYON</t>
  </si>
  <si>
    <t>TURKEY</t>
  </si>
  <si>
    <t>TYRRELL COUNTY ABC BOARD</t>
  </si>
  <si>
    <t>UNIONVILLE</t>
  </si>
  <si>
    <t>VALDESE</t>
  </si>
  <si>
    <t>VANCE COUNTY ABC BOARD</t>
  </si>
  <si>
    <t>VANCEBORO</t>
  </si>
  <si>
    <t>VASS</t>
  </si>
  <si>
    <t>WADE</t>
  </si>
  <si>
    <t>WADESBORO</t>
  </si>
  <si>
    <t>WAGRAM</t>
  </si>
  <si>
    <t>WAKE FOREST</t>
  </si>
  <si>
    <t>WALLACE</t>
  </si>
  <si>
    <t>WALNUT COVE</t>
  </si>
  <si>
    <t>WALNUT CREEK</t>
  </si>
  <si>
    <t>WALSTONBURG</t>
  </si>
  <si>
    <t>WARRENTON</t>
  </si>
  <si>
    <t>WARSAW</t>
  </si>
  <si>
    <t>WASHINGTON</t>
  </si>
  <si>
    <t>WASHINGTON PARK</t>
  </si>
  <si>
    <t>WATER &amp; SEWER AUTHORITY OF CABARRUS COUNTY</t>
  </si>
  <si>
    <t>WAXHAW</t>
  </si>
  <si>
    <t>WAYNESVILLE</t>
  </si>
  <si>
    <t>WEAVERVILLE</t>
  </si>
  <si>
    <t>WEDDINGTON</t>
  </si>
  <si>
    <t>WELDON</t>
  </si>
  <si>
    <t>WENDELL</t>
  </si>
  <si>
    <t>WESLEY CHAPEL</t>
  </si>
  <si>
    <t>WEST JEFFERSON</t>
  </si>
  <si>
    <t>WESTERN PIEDMONT COUNCIL OF GOVERNMENTS</t>
  </si>
  <si>
    <t>WHISPERING PINES</t>
  </si>
  <si>
    <t>WHITAKERS</t>
  </si>
  <si>
    <t>WHITE LAKE</t>
  </si>
  <si>
    <t>WHITEVILLE</t>
  </si>
  <si>
    <t>WILKESBORO</t>
  </si>
  <si>
    <t>WILLIAMSTON</t>
  </si>
  <si>
    <t>WILMINGTON</t>
  </si>
  <si>
    <t>WILSON'S MILLS</t>
  </si>
  <si>
    <t>WINDSOR</t>
  </si>
  <si>
    <t>WINFALL</t>
  </si>
  <si>
    <t>WINGATE</t>
  </si>
  <si>
    <t>WINSTON-SALEM</t>
  </si>
  <si>
    <t>WINTERVILLE</t>
  </si>
  <si>
    <t>WINTON</t>
  </si>
  <si>
    <t>WOODFIN</t>
  </si>
  <si>
    <t>WOODFIN SANITARY WATER AND SEWER DISTRICT</t>
  </si>
  <si>
    <t>WOODLAND</t>
  </si>
  <si>
    <t>WRIGHTSVILLE BEACH</t>
  </si>
  <si>
    <t>YADKIN VALLEY ABC BOARD (includes Elkin ABC Board)</t>
  </si>
  <si>
    <t>YADKINVILLE</t>
  </si>
  <si>
    <t>YANCEY SOIL &amp; WATER CONSERVATION DISTRICT</t>
  </si>
  <si>
    <t>YANCEYVILLE</t>
  </si>
  <si>
    <t>YOUNGSVILLE</t>
  </si>
  <si>
    <t>ZEBULON</t>
  </si>
  <si>
    <t>DOGWOOD</t>
  </si>
  <si>
    <t>FY 2018 Total Contributions</t>
  </si>
  <si>
    <t>VILLAGE OF SUGAR MOUNTAIN</t>
  </si>
  <si>
    <t>TOWN OF TROUTMAN ABC BOARD</t>
  </si>
  <si>
    <t xml:space="preserve">Following participants have been added by LGC for consistency - </t>
  </si>
  <si>
    <t>1/1/2018-6/3.0/2018</t>
  </si>
  <si>
    <t>6/30/2018-12/31/2018</t>
  </si>
  <si>
    <t>12/31/2018-6/30/2019</t>
  </si>
  <si>
    <t xml:space="preserve">Please read descriptions carefully.  Depending on the measurement date, you may not have to fill out all cells.   However, in order to record amounts accurately in your accounting system, the measurement date must be considered.  For example, if your fiscal year end is June 30, 2019 and your measurement date is June 30, 2018, you should answer only items 1,3,4,6. Units with a 12/31/2018 measurement date and a June 30, 2019 fiscal year end should answer all 6 items. </t>
  </si>
  <si>
    <t>2018 (Inflow)/Outflow Deferred Balance - Difference b/w Expected and Actual Experience</t>
  </si>
  <si>
    <t>2018 Outflow Deferred Balance - Assumption Changes</t>
  </si>
  <si>
    <t>2018 Inflow Deferred Balance - Assumption Changes</t>
  </si>
  <si>
    <t>Total Plan - FYE 2019</t>
  </si>
  <si>
    <t xml:space="preserve">This worksheet prepares the journal entry to record the entity's total pension liability, pension expense, and deferred outflows of Other Postemployment Benefits (OPEB) in accordance with GASB 75.  
</t>
  </si>
  <si>
    <t>IMPLEMENTATION YEAR ONLY</t>
  </si>
  <si>
    <t>From prior year.</t>
  </si>
  <si>
    <t>General Government benefit payments paid from prior FYE to measurement date</t>
  </si>
  <si>
    <t>Public Safety benefit payments paid from prior FYE to measurement date</t>
  </si>
  <si>
    <t>Transportation benefit payments paid from prior FYE to measurement date</t>
  </si>
  <si>
    <t>Economic and Physical Development benefit payments paid from prior FYE to measurement date</t>
  </si>
  <si>
    <t>Enviromental Protection benefit payments paid from prior FYE to measurement date</t>
  </si>
  <si>
    <t>Cultural and Recreation benefit payments paid from prior FYE to measurement date</t>
  </si>
  <si>
    <t>Other program 1 benefit payments paid from prior FYE to measurement date</t>
  </si>
  <si>
    <t>Other program 2 benefit payments paid from prior FYE to measurement date</t>
  </si>
  <si>
    <t>Change in OPEB Liability</t>
  </si>
  <si>
    <t>Deferred Outflow - Differences Between Expected and Actual Experience (prior year)</t>
  </si>
  <si>
    <t>Deferred Inflow - Changes in Assumptions (prior year)</t>
  </si>
  <si>
    <t>P.1-P.3</t>
  </si>
  <si>
    <t>Deferred Outflow - Changes in Assumptions (prior year)</t>
  </si>
  <si>
    <t>Deferred Inflow - Differences Between Expected and Actual Experience (prior year)</t>
  </si>
  <si>
    <t>(See Memo # 2020-01)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</si>
</sst>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_);_(* \(#,##0.0\);_(* &quot;-&quot;??_);_(@_)"/>
    <numFmt numFmtId="165" formatCode="_(* #,##0_);_(* \(#,##0\);_(* &quot;-&quot;??_);_(@_)"/>
    <numFmt numFmtId="166" formatCode="_(&quot;$&quot;* #,##0_);_(&quot;$&quot;* \(#,##0\);_(&quot;$&quot;* &quot;-&quot;??_);_(@_)"/>
    <numFmt numFmtId="167" formatCode="0.0%"/>
    <numFmt numFmtId="168" formatCode="0.0000"/>
    <numFmt numFmtId="169" formatCode="0.00000"/>
    <numFmt numFmtId="170" formatCode="_(* #,##0_);_(* \(#,##0\);_(* &quot;-&quot;????_);_(@_)"/>
    <numFmt numFmtId="171" formatCode="0.00000%"/>
    <numFmt numFmtId="172" formatCode="0.0000000%"/>
    <numFmt numFmtId="173" formatCode="0.000%"/>
  </numFmts>
  <fonts count="8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indexed="10"/>
      <name val="Arial"/>
      <family val="2"/>
    </font>
    <font>
      <b/>
      <sz val="10"/>
      <name val="Arial"/>
      <family val="2"/>
    </font>
    <font>
      <sz val="8"/>
      <color indexed="10"/>
      <name val="Arial"/>
      <family val="2"/>
    </font>
    <font>
      <sz val="10"/>
      <name val="Arial"/>
      <family val="2"/>
    </font>
    <font>
      <sz val="8"/>
      <name val="Arial"/>
      <family val="2"/>
    </font>
    <font>
      <sz val="8"/>
      <color indexed="81"/>
      <name val="Tahoma"/>
      <family val="2"/>
    </font>
    <font>
      <b/>
      <sz val="8"/>
      <color indexed="81"/>
      <name val="Tahoma"/>
      <family val="2"/>
    </font>
    <font>
      <b/>
      <sz val="14"/>
      <name val="Arial"/>
      <family val="2"/>
    </font>
    <font>
      <sz val="10"/>
      <color indexed="12"/>
      <name val="Arial"/>
      <family val="2"/>
    </font>
    <font>
      <b/>
      <sz val="10"/>
      <color indexed="10"/>
      <name val="Arial"/>
      <family val="2"/>
    </font>
    <font>
      <i/>
      <sz val="10"/>
      <color indexed="10"/>
      <name val="Arial"/>
      <family val="2"/>
    </font>
    <font>
      <i/>
      <sz val="10"/>
      <name val="Arial"/>
      <family val="2"/>
    </font>
    <font>
      <sz val="12"/>
      <name val="Wingdings 2"/>
      <family val="1"/>
      <charset val="2"/>
    </font>
    <font>
      <b/>
      <sz val="10"/>
      <color indexed="17"/>
      <name val="Arial"/>
      <family val="2"/>
    </font>
    <font>
      <u/>
      <sz val="10"/>
      <name val="Arial"/>
      <family val="2"/>
    </font>
    <font>
      <sz val="11"/>
      <name val="Wingdings 2"/>
      <family val="1"/>
      <charset val="2"/>
    </font>
    <font>
      <b/>
      <sz val="10"/>
      <color indexed="10"/>
      <name val="Comic Sans MS"/>
      <family val="4"/>
    </font>
    <font>
      <i/>
      <sz val="8"/>
      <name val="Arial"/>
      <family val="2"/>
    </font>
    <font>
      <i/>
      <u/>
      <sz val="10"/>
      <name val="Arial"/>
      <family val="2"/>
    </font>
    <font>
      <b/>
      <sz val="12"/>
      <name val="Arial"/>
      <family val="2"/>
    </font>
    <font>
      <b/>
      <sz val="9"/>
      <color indexed="10"/>
      <name val="Arial"/>
      <family val="2"/>
    </font>
    <font>
      <b/>
      <sz val="10"/>
      <color indexed="12"/>
      <name val="Arial"/>
      <family val="2"/>
    </font>
    <font>
      <i/>
      <sz val="9"/>
      <name val="Arial"/>
      <family val="2"/>
    </font>
    <font>
      <b/>
      <sz val="12"/>
      <name val="Wingdings 2"/>
      <family val="1"/>
      <charset val="2"/>
    </font>
    <font>
      <sz val="9"/>
      <name val="Arial"/>
      <family val="2"/>
    </font>
    <font>
      <b/>
      <sz val="9"/>
      <name val="Arial"/>
      <family val="2"/>
    </font>
    <font>
      <sz val="8"/>
      <color indexed="10"/>
      <name val="Comic Sans MS"/>
      <family val="4"/>
    </font>
    <font>
      <b/>
      <sz val="8"/>
      <name val="Arial"/>
      <family val="2"/>
    </font>
    <font>
      <sz val="9"/>
      <color indexed="10"/>
      <name val="Arial"/>
      <family val="2"/>
    </font>
    <font>
      <sz val="11"/>
      <name val="Arial"/>
      <family val="2"/>
    </font>
    <font>
      <b/>
      <sz val="11"/>
      <name val="Arial"/>
      <family val="2"/>
    </font>
    <font>
      <b/>
      <u/>
      <sz val="10"/>
      <color indexed="10"/>
      <name val="Arial"/>
      <family val="2"/>
    </font>
    <font>
      <sz val="10"/>
      <name val="Times New Roman"/>
      <family val="1"/>
    </font>
    <font>
      <b/>
      <sz val="10"/>
      <name val="Times New Roman"/>
      <family val="1"/>
    </font>
    <font>
      <b/>
      <sz val="10"/>
      <color indexed="57"/>
      <name val="Arial"/>
      <family val="2"/>
    </font>
    <font>
      <b/>
      <i/>
      <sz val="10"/>
      <name val="Arial"/>
      <family val="2"/>
    </font>
    <font>
      <sz val="9"/>
      <name val="Times New Roman"/>
      <family val="1"/>
    </font>
    <font>
      <b/>
      <sz val="8"/>
      <color indexed="10"/>
      <name val="Arial"/>
      <family val="2"/>
    </font>
    <font>
      <b/>
      <sz val="9"/>
      <color indexed="12"/>
      <name val="Arial"/>
      <family val="2"/>
    </font>
    <font>
      <sz val="11"/>
      <name val="Times New Roman"/>
      <family val="1"/>
    </font>
    <font>
      <sz val="13"/>
      <name val="Wingdings 2"/>
      <family val="1"/>
      <charset val="2"/>
    </font>
    <font>
      <b/>
      <u/>
      <sz val="10"/>
      <name val="Arial"/>
      <family val="2"/>
    </font>
    <font>
      <sz val="10"/>
      <color indexed="10"/>
      <name val="Arial"/>
      <family val="2"/>
    </font>
    <font>
      <sz val="10"/>
      <color indexed="10"/>
      <name val="Times New Roman"/>
      <family val="1"/>
    </font>
    <font>
      <sz val="10"/>
      <color indexed="14"/>
      <name val="Arial"/>
      <family val="2"/>
    </font>
    <font>
      <b/>
      <sz val="16"/>
      <name val="Arial"/>
      <family val="2"/>
    </font>
    <font>
      <sz val="10"/>
      <name val="Wingdings 2"/>
      <family val="1"/>
      <charset val="2"/>
    </font>
    <font>
      <sz val="9"/>
      <color indexed="8"/>
      <name val="Arial"/>
      <family val="2"/>
    </font>
    <font>
      <b/>
      <sz val="11"/>
      <color indexed="10"/>
      <name val="Arial"/>
      <family val="2"/>
    </font>
    <font>
      <u/>
      <sz val="9"/>
      <color indexed="10"/>
      <name val="Arial"/>
      <family val="2"/>
    </font>
    <font>
      <b/>
      <sz val="12"/>
      <name val="Times New Roman"/>
      <family val="1"/>
    </font>
    <font>
      <b/>
      <i/>
      <sz val="10"/>
      <color indexed="10"/>
      <name val="Arial"/>
      <family val="2"/>
    </font>
    <font>
      <sz val="8"/>
      <color indexed="10"/>
      <name val="Arial"/>
      <family val="2"/>
    </font>
    <font>
      <b/>
      <sz val="11"/>
      <color theme="1"/>
      <name val="Calibri"/>
      <family val="2"/>
      <scheme val="minor"/>
    </font>
    <font>
      <b/>
      <sz val="10"/>
      <color rgb="FFFF0000"/>
      <name val="Arial"/>
      <family val="2"/>
    </font>
    <font>
      <b/>
      <sz val="11"/>
      <color rgb="FF000000"/>
      <name val="Calibri"/>
      <family val="2"/>
      <scheme val="minor"/>
    </font>
    <font>
      <sz val="11"/>
      <color rgb="FF000000"/>
      <name val="Calibri"/>
      <family val="2"/>
      <scheme val="minor"/>
    </font>
    <font>
      <sz val="10"/>
      <color rgb="FF000000"/>
      <name val="Arial"/>
      <family val="2"/>
    </font>
    <font>
      <sz val="10"/>
      <color rgb="FFFF0000"/>
      <name val="Arial"/>
      <family val="2"/>
    </font>
    <font>
      <sz val="10"/>
      <color theme="0"/>
      <name val="Arial"/>
      <family val="2"/>
    </font>
    <font>
      <b/>
      <i/>
      <sz val="10"/>
      <color rgb="FFFF0000"/>
      <name val="Arial"/>
      <family val="2"/>
    </font>
    <font>
      <sz val="11"/>
      <name val="Calibri"/>
      <family val="2"/>
      <scheme val="minor"/>
    </font>
    <font>
      <b/>
      <sz val="11"/>
      <color rgb="FFFF0000"/>
      <name val="Calibri"/>
      <family val="2"/>
      <scheme val="minor"/>
    </font>
    <font>
      <b/>
      <sz val="11"/>
      <name val="Calibri"/>
      <family val="2"/>
      <scheme val="minor"/>
    </font>
    <font>
      <sz val="11"/>
      <color theme="1"/>
      <name val="Arial"/>
      <family val="2"/>
    </font>
    <font>
      <sz val="11"/>
      <color rgb="FFFF0000"/>
      <name val="Calibri"/>
      <family val="2"/>
      <scheme val="minor"/>
    </font>
    <font>
      <b/>
      <sz val="11"/>
      <color rgb="FF000000"/>
      <name val="Calibri"/>
      <family val="2"/>
    </font>
    <font>
      <sz val="11"/>
      <color theme="1"/>
      <name val="Calibri"/>
      <family val="2"/>
    </font>
    <font>
      <sz val="11"/>
      <color rgb="FF000000"/>
      <name val="Calibri"/>
      <family val="2"/>
    </font>
    <font>
      <sz val="9"/>
      <color indexed="81"/>
      <name val="Tahoma"/>
      <family val="2"/>
    </font>
    <font>
      <b/>
      <sz val="9"/>
      <color indexed="81"/>
      <name val="Tahoma"/>
      <family val="2"/>
    </font>
    <font>
      <sz val="11"/>
      <color rgb="FFFF0000"/>
      <name val="Arial"/>
      <family val="2"/>
    </font>
    <font>
      <sz val="12"/>
      <name val="Arial"/>
      <family val="2"/>
    </font>
    <font>
      <sz val="10"/>
      <color theme="1"/>
      <name val="Calibri"/>
      <family val="2"/>
      <scheme val="minor"/>
    </font>
    <font>
      <sz val="10"/>
      <color theme="1"/>
      <name val="Arial"/>
      <family val="2"/>
    </font>
  </fonts>
  <fills count="17">
    <fill>
      <patternFill patternType="none"/>
    </fill>
    <fill>
      <patternFill patternType="gray125"/>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22"/>
        <bgColor indexed="64"/>
      </patternFill>
    </fill>
    <fill>
      <patternFill patternType="solid">
        <fgColor indexed="47"/>
        <bgColor indexed="64"/>
      </patternFill>
    </fill>
    <fill>
      <patternFill patternType="solid">
        <fgColor indexed="45"/>
        <bgColor indexed="64"/>
      </patternFill>
    </fill>
    <fill>
      <patternFill patternType="solid">
        <fgColor indexed="51"/>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bgColor indexed="64"/>
      </patternFill>
    </fill>
    <fill>
      <patternFill patternType="solid">
        <fgColor rgb="FFFFFF99"/>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rgb="FFFFCC99"/>
        <bgColor indexed="64"/>
      </patternFill>
    </fill>
  </fills>
  <borders count="47">
    <border>
      <left/>
      <right/>
      <top/>
      <bottom/>
      <diagonal/>
    </border>
    <border>
      <left/>
      <right/>
      <top/>
      <bottom style="thin">
        <color indexed="64"/>
      </bottom>
      <diagonal/>
    </border>
    <border>
      <left style="thin">
        <color indexed="64"/>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medium">
        <color indexed="64"/>
      </top>
      <bottom/>
      <diagonal/>
    </border>
    <border>
      <left style="thin">
        <color indexed="64"/>
      </left>
      <right/>
      <top/>
      <bottom style="medium">
        <color indexed="64"/>
      </bottom>
      <diagonal/>
    </border>
    <border>
      <left/>
      <right/>
      <top style="thin">
        <color indexed="64"/>
      </top>
      <bottom style="double">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double">
        <color indexed="64"/>
      </bottom>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right style="thin">
        <color indexed="64"/>
      </right>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top/>
      <bottom style="double">
        <color indexed="64"/>
      </bottom>
      <diagonal/>
    </border>
    <border>
      <left/>
      <right/>
      <top style="double">
        <color indexed="64"/>
      </top>
      <bottom/>
      <diagonal/>
    </border>
    <border>
      <left style="medium">
        <color indexed="64"/>
      </left>
      <right/>
      <top style="medium">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double">
        <color indexed="52"/>
      </left>
      <right/>
      <top style="double">
        <color indexed="52"/>
      </top>
      <bottom style="double">
        <color indexed="52"/>
      </bottom>
      <diagonal/>
    </border>
    <border>
      <left/>
      <right/>
      <top style="double">
        <color indexed="52"/>
      </top>
      <bottom style="double">
        <color indexed="52"/>
      </bottom>
      <diagonal/>
    </border>
    <border>
      <left/>
      <right style="double">
        <color indexed="52"/>
      </right>
      <top style="double">
        <color indexed="52"/>
      </top>
      <bottom style="double">
        <color indexed="52"/>
      </bottom>
      <diagonal/>
    </border>
  </borders>
  <cellStyleXfs count="23">
    <xf numFmtId="0" fontId="0" fillId="0" borderId="0"/>
    <xf numFmtId="43" fontId="10" fillId="0" borderId="0" applyFont="0" applyFill="0" applyBorder="0" applyAlignment="0" applyProtection="0"/>
    <xf numFmtId="44" fontId="10" fillId="0" borderId="0" applyFont="0" applyFill="0" applyBorder="0" applyAlignment="0" applyProtection="0"/>
    <xf numFmtId="9" fontId="10" fillId="0" borderId="0" applyFont="0" applyFill="0" applyBorder="0" applyAlignment="0" applyProtection="0"/>
    <xf numFmtId="0" fontId="9" fillId="0" borderId="0"/>
    <xf numFmtId="9" fontId="9" fillId="0" borderId="0" applyFont="0" applyFill="0" applyBorder="0" applyAlignment="0" applyProtection="0"/>
    <xf numFmtId="43" fontId="9" fillId="0" borderId="0" applyFont="0" applyFill="0" applyBorder="0" applyAlignment="0" applyProtection="0"/>
    <xf numFmtId="0" fontId="10" fillId="0" borderId="0"/>
    <xf numFmtId="0" fontId="8" fillId="0" borderId="0"/>
    <xf numFmtId="9" fontId="8" fillId="0" borderId="0" applyFont="0" applyFill="0" applyBorder="0" applyAlignment="0" applyProtection="0"/>
    <xf numFmtId="43" fontId="8" fillId="0" borderId="0" applyFont="0" applyFill="0" applyBorder="0" applyAlignment="0" applyProtection="0"/>
    <xf numFmtId="0" fontId="7" fillId="0" borderId="0"/>
    <xf numFmtId="43" fontId="7"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5" fillId="0" borderId="0"/>
    <xf numFmtId="43" fontId="5" fillId="0" borderId="0" applyFont="0" applyFill="0" applyBorder="0" applyAlignment="0" applyProtection="0"/>
    <xf numFmtId="0" fontId="3" fillId="0" borderId="0"/>
    <xf numFmtId="43" fontId="3" fillId="0" borderId="0" applyFont="0" applyFill="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cellStyleXfs>
  <cellXfs count="1394">
    <xf numFmtId="0" fontId="0" fillId="0" borderId="0" xfId="0"/>
    <xf numFmtId="165" fontId="10" fillId="0" borderId="0" xfId="1" applyNumberFormat="1"/>
    <xf numFmtId="0" fontId="11" fillId="0" borderId="0" xfId="0" applyFont="1"/>
    <xf numFmtId="0" fontId="0" fillId="0" borderId="1" xfId="0" applyBorder="1" applyAlignment="1">
      <alignment horizontal="center"/>
    </xf>
    <xf numFmtId="0" fontId="12" fillId="0" borderId="0" xfId="0" applyFont="1"/>
    <xf numFmtId="165" fontId="0" fillId="0" borderId="0" xfId="0" applyNumberFormat="1"/>
    <xf numFmtId="0" fontId="13" fillId="0" borderId="0" xfId="0" applyFont="1"/>
    <xf numFmtId="0" fontId="0" fillId="0" borderId="2" xfId="0" applyBorder="1"/>
    <xf numFmtId="0" fontId="0" fillId="0" borderId="1" xfId="0" applyBorder="1"/>
    <xf numFmtId="165" fontId="0" fillId="0" borderId="2" xfId="0" applyNumberFormat="1" applyBorder="1"/>
    <xf numFmtId="165" fontId="0" fillId="0" borderId="0" xfId="0" applyNumberFormat="1" applyFill="1" applyBorder="1"/>
    <xf numFmtId="165" fontId="10" fillId="0" borderId="0" xfId="1" applyNumberFormat="1" applyBorder="1"/>
    <xf numFmtId="165" fontId="0" fillId="0" borderId="0" xfId="0" applyNumberFormat="1" applyBorder="1"/>
    <xf numFmtId="0" fontId="0" fillId="0" borderId="0" xfId="0" applyFill="1"/>
    <xf numFmtId="0" fontId="0" fillId="0" borderId="0" xfId="0" applyBorder="1"/>
    <xf numFmtId="165" fontId="0" fillId="2" borderId="0" xfId="0" applyNumberFormat="1" applyFill="1" applyBorder="1"/>
    <xf numFmtId="165" fontId="10" fillId="0" borderId="3" xfId="1" applyNumberFormat="1" applyFont="1" applyBorder="1" applyAlignment="1">
      <alignment horizontal="center"/>
    </xf>
    <xf numFmtId="165" fontId="0" fillId="0" borderId="3" xfId="0" applyNumberFormat="1" applyBorder="1" applyAlignment="1">
      <alignment horizontal="center"/>
    </xf>
    <xf numFmtId="0" fontId="0" fillId="0" borderId="4" xfId="0" applyBorder="1" applyAlignment="1">
      <alignment horizontal="center"/>
    </xf>
    <xf numFmtId="165" fontId="0" fillId="0" borderId="5" xfId="0" applyNumberFormat="1" applyBorder="1" applyAlignment="1">
      <alignment horizontal="center"/>
    </xf>
    <xf numFmtId="0" fontId="0" fillId="0" borderId="3" xfId="0" applyBorder="1" applyAlignment="1">
      <alignment horizontal="center"/>
    </xf>
    <xf numFmtId="165" fontId="14" fillId="0" borderId="6" xfId="1" applyNumberFormat="1" applyFont="1" applyBorder="1" applyAlignment="1">
      <alignment horizontal="center"/>
    </xf>
    <xf numFmtId="165" fontId="14" fillId="0" borderId="7" xfId="1" applyNumberFormat="1" applyFont="1" applyBorder="1" applyAlignment="1">
      <alignment horizontal="center"/>
    </xf>
    <xf numFmtId="165" fontId="0" fillId="0" borderId="7" xfId="0" applyNumberFormat="1" applyBorder="1"/>
    <xf numFmtId="165" fontId="10" fillId="0" borderId="8" xfId="1" applyNumberFormat="1" applyBorder="1"/>
    <xf numFmtId="165" fontId="0" fillId="0" borderId="9" xfId="0" applyNumberFormat="1" applyBorder="1"/>
    <xf numFmtId="165" fontId="10" fillId="0" borderId="5" xfId="1" applyNumberFormat="1" applyBorder="1"/>
    <xf numFmtId="165" fontId="10" fillId="0" borderId="3" xfId="1" applyNumberFormat="1" applyBorder="1"/>
    <xf numFmtId="165" fontId="0" fillId="0" borderId="6" xfId="0" applyNumberFormat="1" applyBorder="1"/>
    <xf numFmtId="165" fontId="0" fillId="0" borderId="10" xfId="0" applyNumberFormat="1" applyBorder="1"/>
    <xf numFmtId="165" fontId="0" fillId="0" borderId="8" xfId="0" applyNumberFormat="1" applyBorder="1"/>
    <xf numFmtId="0" fontId="0" fillId="0" borderId="3" xfId="0" applyBorder="1"/>
    <xf numFmtId="165" fontId="0" fillId="0" borderId="4" xfId="0" applyNumberFormat="1" applyBorder="1"/>
    <xf numFmtId="0" fontId="0" fillId="0" borderId="7" xfId="0" applyBorder="1"/>
    <xf numFmtId="165" fontId="0" fillId="0" borderId="2" xfId="0" applyNumberFormat="1" applyFill="1" applyBorder="1"/>
    <xf numFmtId="0" fontId="0" fillId="0" borderId="11" xfId="0" applyBorder="1"/>
    <xf numFmtId="0" fontId="0" fillId="0" borderId="0" xfId="0" applyAlignment="1">
      <alignment horizontal="right"/>
    </xf>
    <xf numFmtId="165" fontId="0" fillId="0" borderId="12" xfId="0" applyNumberFormat="1" applyBorder="1"/>
    <xf numFmtId="0" fontId="0" fillId="0" borderId="9" xfId="0" applyBorder="1"/>
    <xf numFmtId="0" fontId="0" fillId="0" borderId="9" xfId="0" applyFill="1" applyBorder="1" applyAlignment="1"/>
    <xf numFmtId="165" fontId="12" fillId="3" borderId="5" xfId="0" applyNumberFormat="1" applyFont="1" applyFill="1" applyBorder="1" applyAlignment="1">
      <alignment horizontal="center"/>
    </xf>
    <xf numFmtId="0" fontId="12" fillId="3" borderId="3" xfId="0" applyFont="1" applyFill="1" applyBorder="1" applyAlignment="1">
      <alignment horizontal="center"/>
    </xf>
    <xf numFmtId="165" fontId="12" fillId="3" borderId="4" xfId="0" applyNumberFormat="1" applyFont="1" applyFill="1" applyBorder="1" applyAlignment="1">
      <alignment horizontal="center"/>
    </xf>
    <xf numFmtId="0" fontId="0" fillId="3" borderId="13" xfId="0" applyFill="1" applyBorder="1"/>
    <xf numFmtId="0" fontId="0" fillId="3" borderId="13" xfId="0" applyFill="1" applyBorder="1" applyAlignment="1">
      <alignment horizontal="center"/>
    </xf>
    <xf numFmtId="0" fontId="0" fillId="0" borderId="8" xfId="0" applyBorder="1"/>
    <xf numFmtId="165" fontId="0" fillId="0" borderId="5" xfId="0" applyNumberFormat="1" applyBorder="1"/>
    <xf numFmtId="165" fontId="0" fillId="0" borderId="3" xfId="0" applyNumberFormat="1" applyBorder="1"/>
    <xf numFmtId="0" fontId="0" fillId="0" borderId="10" xfId="0" applyBorder="1"/>
    <xf numFmtId="0" fontId="0" fillId="0" borderId="4" xfId="0" applyBorder="1"/>
    <xf numFmtId="0" fontId="0" fillId="0" borderId="6" xfId="0" applyBorder="1"/>
    <xf numFmtId="0" fontId="11" fillId="0" borderId="0" xfId="0" applyFont="1" applyFill="1"/>
    <xf numFmtId="165" fontId="10" fillId="0" borderId="0" xfId="1" applyNumberFormat="1" applyFill="1" applyBorder="1"/>
    <xf numFmtId="165" fontId="0" fillId="0" borderId="8" xfId="0" applyNumberFormat="1" applyFill="1" applyBorder="1"/>
    <xf numFmtId="0" fontId="0" fillId="0" borderId="0" xfId="0" applyFill="1" applyBorder="1"/>
    <xf numFmtId="165" fontId="0" fillId="0" borderId="9" xfId="0" applyNumberFormat="1" applyFill="1" applyBorder="1"/>
    <xf numFmtId="165" fontId="0" fillId="0" borderId="0" xfId="0" applyNumberFormat="1" applyFill="1"/>
    <xf numFmtId="0" fontId="0" fillId="0" borderId="8" xfId="0" applyFill="1" applyBorder="1"/>
    <xf numFmtId="0" fontId="0" fillId="0" borderId="9" xfId="0" applyFill="1" applyBorder="1"/>
    <xf numFmtId="0" fontId="0" fillId="0" borderId="0" xfId="0" applyAlignment="1">
      <alignment wrapText="1"/>
    </xf>
    <xf numFmtId="0" fontId="0" fillId="0" borderId="0" xfId="0" applyAlignment="1"/>
    <xf numFmtId="165" fontId="0" fillId="0" borderId="0" xfId="1" applyNumberFormat="1" applyFont="1"/>
    <xf numFmtId="165" fontId="0" fillId="0" borderId="12" xfId="1" applyNumberFormat="1" applyFont="1" applyBorder="1"/>
    <xf numFmtId="0" fontId="12" fillId="0" borderId="0" xfId="0" applyFont="1" applyAlignment="1">
      <alignment horizontal="center"/>
    </xf>
    <xf numFmtId="0" fontId="0" fillId="0" borderId="0" xfId="0" quotePrefix="1"/>
    <xf numFmtId="0" fontId="0" fillId="0" borderId="0" xfId="0" quotePrefix="1" applyAlignment="1">
      <alignment wrapText="1"/>
    </xf>
    <xf numFmtId="0" fontId="12" fillId="0" borderId="0" xfId="0" quotePrefix="1" applyFont="1" applyAlignment="1">
      <alignment wrapText="1"/>
    </xf>
    <xf numFmtId="0" fontId="19" fillId="0" borderId="0" xfId="0" applyFont="1"/>
    <xf numFmtId="0" fontId="21" fillId="0" borderId="0" xfId="0" applyFont="1"/>
    <xf numFmtId="0" fontId="12" fillId="0" borderId="0" xfId="0" applyFont="1" applyFill="1" applyBorder="1"/>
    <xf numFmtId="0" fontId="0" fillId="0" borderId="0" xfId="0" applyAlignment="1">
      <alignment horizontal="center"/>
    </xf>
    <xf numFmtId="0" fontId="0" fillId="0" borderId="0" xfId="0" applyBorder="1" applyAlignment="1">
      <alignment horizontal="center"/>
    </xf>
    <xf numFmtId="165" fontId="0" fillId="0" borderId="0" xfId="1" applyNumberFormat="1" applyFont="1" applyFill="1" applyBorder="1"/>
    <xf numFmtId="165" fontId="0" fillId="0" borderId="0" xfId="1" applyNumberFormat="1" applyFont="1" applyBorder="1"/>
    <xf numFmtId="0" fontId="12" fillId="0" borderId="1" xfId="0" applyFont="1" applyBorder="1" applyAlignment="1">
      <alignment horizontal="center"/>
    </xf>
    <xf numFmtId="0" fontId="23" fillId="0" borderId="0" xfId="0" applyFont="1" applyAlignment="1">
      <alignment horizontal="left"/>
    </xf>
    <xf numFmtId="0" fontId="12" fillId="0" borderId="0" xfId="0" applyFont="1" applyFill="1" applyBorder="1" applyAlignment="1">
      <alignment horizontal="center"/>
    </xf>
    <xf numFmtId="0" fontId="12" fillId="0" borderId="0" xfId="0" applyFont="1" applyFill="1" applyBorder="1" applyAlignment="1"/>
    <xf numFmtId="0" fontId="20" fillId="0" borderId="0" xfId="0" applyFont="1"/>
    <xf numFmtId="0" fontId="26" fillId="0" borderId="0" xfId="0" applyFont="1"/>
    <xf numFmtId="166" fontId="0" fillId="0" borderId="0" xfId="2" applyNumberFormat="1" applyFont="1" applyBorder="1"/>
    <xf numFmtId="166" fontId="10" fillId="0" borderId="0" xfId="2" applyNumberFormat="1" applyBorder="1"/>
    <xf numFmtId="0" fontId="12" fillId="0" borderId="0" xfId="0" applyFont="1" applyBorder="1" applyAlignment="1">
      <alignment horizontal="center"/>
    </xf>
    <xf numFmtId="166" fontId="0" fillId="0" borderId="1" xfId="2" applyNumberFormat="1" applyFont="1" applyBorder="1" applyAlignment="1">
      <alignment horizontal="center"/>
    </xf>
    <xf numFmtId="0" fontId="0" fillId="0" borderId="0" xfId="0" applyFill="1" applyAlignment="1"/>
    <xf numFmtId="0" fontId="18" fillId="0" borderId="0" xfId="0" applyFont="1" applyFill="1" applyBorder="1" applyAlignment="1">
      <alignment horizontal="center"/>
    </xf>
    <xf numFmtId="0" fontId="0" fillId="0" borderId="2" xfId="0" applyFill="1" applyBorder="1"/>
    <xf numFmtId="165" fontId="27" fillId="0" borderId="0" xfId="1" applyNumberFormat="1" applyFont="1" applyBorder="1"/>
    <xf numFmtId="0" fontId="12" fillId="0" borderId="0" xfId="0" quotePrefix="1" applyFont="1"/>
    <xf numFmtId="165" fontId="15" fillId="0" borderId="0" xfId="1" applyNumberFormat="1" applyFont="1" applyAlignment="1">
      <alignment horizontal="center"/>
    </xf>
    <xf numFmtId="165" fontId="0" fillId="0" borderId="13" xfId="1" applyNumberFormat="1" applyFont="1" applyBorder="1"/>
    <xf numFmtId="0" fontId="12" fillId="0" borderId="1" xfId="0" applyFont="1" applyFill="1" applyBorder="1" applyAlignment="1">
      <alignment horizontal="center"/>
    </xf>
    <xf numFmtId="0" fontId="0" fillId="0" borderId="0" xfId="0" applyFill="1" applyAlignment="1">
      <alignment wrapText="1"/>
    </xf>
    <xf numFmtId="0" fontId="0" fillId="0" borderId="1" xfId="0" applyFill="1"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0" fillId="0" borderId="16" xfId="0" applyBorder="1" applyAlignment="1">
      <alignment horizontal="center"/>
    </xf>
    <xf numFmtId="165" fontId="0" fillId="4" borderId="0" xfId="1" applyNumberFormat="1" applyFont="1" applyFill="1" applyBorder="1"/>
    <xf numFmtId="165" fontId="0" fillId="2" borderId="13" xfId="1" applyNumberFormat="1" applyFont="1" applyFill="1" applyBorder="1"/>
    <xf numFmtId="0" fontId="0" fillId="2" borderId="13" xfId="0" applyFill="1" applyBorder="1"/>
    <xf numFmtId="165" fontId="0" fillId="2" borderId="12" xfId="1" applyNumberFormat="1" applyFont="1" applyFill="1" applyBorder="1"/>
    <xf numFmtId="0" fontId="0" fillId="2" borderId="12" xfId="0" applyFill="1" applyBorder="1"/>
    <xf numFmtId="165" fontId="15" fillId="0" borderId="0" xfId="1" applyNumberFormat="1" applyFont="1" applyFill="1" applyAlignment="1">
      <alignment horizontal="center"/>
    </xf>
    <xf numFmtId="165" fontId="0" fillId="2" borderId="0" xfId="0" applyNumberFormat="1" applyFill="1"/>
    <xf numFmtId="0" fontId="0" fillId="2" borderId="0" xfId="0" applyFill="1"/>
    <xf numFmtId="165" fontId="0" fillId="2" borderId="12" xfId="0" applyNumberFormat="1" applyFill="1" applyBorder="1"/>
    <xf numFmtId="166" fontId="0" fillId="2" borderId="12" xfId="2" applyNumberFormat="1" applyFont="1" applyFill="1" applyBorder="1"/>
    <xf numFmtId="165" fontId="15" fillId="0" borderId="0" xfId="1" applyNumberFormat="1" applyFont="1" applyFill="1" applyBorder="1" applyAlignment="1">
      <alignment horizontal="center"/>
    </xf>
    <xf numFmtId="165" fontId="0" fillId="2" borderId="0" xfId="1" applyNumberFormat="1" applyFont="1" applyFill="1"/>
    <xf numFmtId="165" fontId="10" fillId="2" borderId="0" xfId="1" applyNumberFormat="1" applyFill="1"/>
    <xf numFmtId="165" fontId="10" fillId="4" borderId="0" xfId="1" applyNumberFormat="1" applyFill="1"/>
    <xf numFmtId="166" fontId="10" fillId="2" borderId="12" xfId="2" applyNumberFormat="1" applyFill="1" applyBorder="1"/>
    <xf numFmtId="165" fontId="0" fillId="2" borderId="17" xfId="1" applyNumberFormat="1" applyFont="1" applyFill="1" applyBorder="1"/>
    <xf numFmtId="165" fontId="0" fillId="2" borderId="17" xfId="0" applyNumberFormat="1" applyFill="1" applyBorder="1"/>
    <xf numFmtId="166" fontId="10" fillId="4" borderId="0" xfId="2" applyNumberFormat="1" applyFill="1"/>
    <xf numFmtId="166" fontId="10" fillId="0" borderId="0" xfId="2" applyNumberFormat="1" applyFill="1" applyBorder="1"/>
    <xf numFmtId="0" fontId="0" fillId="0" borderId="1" xfId="0" applyBorder="1" applyAlignment="1">
      <alignment horizontal="center" wrapText="1"/>
    </xf>
    <xf numFmtId="0" fontId="23" fillId="0" borderId="0" xfId="0" applyFont="1"/>
    <xf numFmtId="165" fontId="10" fillId="2" borderId="17" xfId="1" applyNumberFormat="1" applyFill="1" applyBorder="1"/>
    <xf numFmtId="165" fontId="10" fillId="2" borderId="12" xfId="1" applyNumberFormat="1" applyFill="1" applyBorder="1"/>
    <xf numFmtId="165" fontId="10" fillId="0" borderId="0" xfId="1" applyNumberFormat="1" applyFill="1"/>
    <xf numFmtId="165" fontId="0" fillId="0" borderId="0" xfId="1" applyNumberFormat="1" applyFont="1" applyFill="1"/>
    <xf numFmtId="0" fontId="0" fillId="2" borderId="18" xfId="0" applyFill="1" applyBorder="1" applyAlignment="1">
      <alignment horizontal="center"/>
    </xf>
    <xf numFmtId="0" fontId="0" fillId="2" borderId="15" xfId="0" applyFill="1" applyBorder="1" applyAlignment="1">
      <alignment horizontal="center"/>
    </xf>
    <xf numFmtId="0" fontId="0" fillId="2" borderId="1" xfId="0" applyFill="1" applyBorder="1" applyAlignment="1">
      <alignment horizontal="center"/>
    </xf>
    <xf numFmtId="0" fontId="0" fillId="0" borderId="0" xfId="0" applyFill="1" applyBorder="1" applyAlignment="1">
      <alignment horizontal="center"/>
    </xf>
    <xf numFmtId="165" fontId="27" fillId="0" borderId="0" xfId="1" applyNumberFormat="1" applyFont="1" applyFill="1" applyBorder="1"/>
    <xf numFmtId="0" fontId="20" fillId="2" borderId="16" xfId="0" applyFont="1" applyFill="1" applyBorder="1" applyAlignment="1">
      <alignment horizontal="center"/>
    </xf>
    <xf numFmtId="0" fontId="14" fillId="2" borderId="16" xfId="0" applyFont="1" applyFill="1" applyBorder="1" applyAlignment="1">
      <alignment horizontal="center"/>
    </xf>
    <xf numFmtId="0" fontId="20" fillId="2" borderId="15" xfId="0" applyFont="1" applyFill="1" applyBorder="1" applyAlignment="1">
      <alignment horizontal="center"/>
    </xf>
    <xf numFmtId="0" fontId="20" fillId="0" borderId="0" xfId="0" applyFont="1" applyFill="1" applyBorder="1"/>
    <xf numFmtId="0" fontId="20" fillId="0" borderId="0" xfId="0" applyFont="1" applyAlignment="1">
      <alignment horizontal="right"/>
    </xf>
    <xf numFmtId="165" fontId="10" fillId="0" borderId="0" xfId="1" applyNumberFormat="1" applyAlignment="1">
      <alignment horizontal="center"/>
    </xf>
    <xf numFmtId="0" fontId="18" fillId="5" borderId="0" xfId="0" applyFont="1" applyFill="1" applyAlignment="1">
      <alignment horizontal="left"/>
    </xf>
    <xf numFmtId="0" fontId="0" fillId="0" borderId="12" xfId="0" applyBorder="1"/>
    <xf numFmtId="0" fontId="0" fillId="5" borderId="0" xfId="0" applyFill="1"/>
    <xf numFmtId="165" fontId="10" fillId="0" borderId="1" xfId="1" applyNumberFormat="1" applyBorder="1" applyAlignment="1">
      <alignment horizontal="center"/>
    </xf>
    <xf numFmtId="165" fontId="10" fillId="0" borderId="16" xfId="1" applyNumberFormat="1" applyFont="1" applyBorder="1" applyAlignment="1">
      <alignment horizontal="center"/>
    </xf>
    <xf numFmtId="0" fontId="0" fillId="0" borderId="15" xfId="0" applyFill="1" applyBorder="1" applyAlignment="1">
      <alignment horizontal="center"/>
    </xf>
    <xf numFmtId="0" fontId="0" fillId="0" borderId="16" xfId="0" applyFill="1" applyBorder="1" applyAlignment="1">
      <alignment horizontal="center"/>
    </xf>
    <xf numFmtId="165" fontId="0" fillId="0" borderId="19" xfId="1" applyNumberFormat="1" applyFont="1" applyBorder="1"/>
    <xf numFmtId="165" fontId="0" fillId="0" borderId="2" xfId="1" applyNumberFormat="1" applyFont="1" applyBorder="1"/>
    <xf numFmtId="165" fontId="0" fillId="0" borderId="20" xfId="0" applyNumberFormat="1" applyBorder="1"/>
    <xf numFmtId="165" fontId="10" fillId="0" borderId="1" xfId="1" applyNumberFormat="1" applyFill="1" applyBorder="1"/>
    <xf numFmtId="0" fontId="12" fillId="2" borderId="0" xfId="0" applyFont="1" applyFill="1" applyAlignment="1">
      <alignment horizontal="center"/>
    </xf>
    <xf numFmtId="165" fontId="12" fillId="2" borderId="0" xfId="0" applyNumberFormat="1" applyFont="1" applyFill="1" applyAlignment="1">
      <alignment horizontal="center"/>
    </xf>
    <xf numFmtId="0" fontId="32" fillId="0" borderId="0" xfId="0" applyFont="1"/>
    <xf numFmtId="0" fontId="23" fillId="0" borderId="0" xfId="0" applyFont="1" applyAlignment="1"/>
    <xf numFmtId="0" fontId="22" fillId="0" borderId="0" xfId="0" applyFont="1"/>
    <xf numFmtId="0" fontId="27" fillId="0" borderId="0" xfId="0" applyFont="1" applyAlignment="1">
      <alignment wrapText="1"/>
    </xf>
    <xf numFmtId="0" fontId="14" fillId="0" borderId="15" xfId="0" applyFont="1" applyBorder="1" applyAlignment="1">
      <alignment horizontal="center"/>
    </xf>
    <xf numFmtId="0" fontId="14" fillId="0" borderId="16" xfId="0" applyFont="1" applyBorder="1" applyAlignment="1">
      <alignment horizontal="center"/>
    </xf>
    <xf numFmtId="0" fontId="0" fillId="0" borderId="19" xfId="0" applyBorder="1"/>
    <xf numFmtId="0" fontId="0" fillId="0" borderId="15" xfId="0" applyBorder="1"/>
    <xf numFmtId="0" fontId="0" fillId="0" borderId="21" xfId="0" applyBorder="1"/>
    <xf numFmtId="165" fontId="0" fillId="0" borderId="22" xfId="0" applyNumberFormat="1" applyBorder="1"/>
    <xf numFmtId="0" fontId="0" fillId="0" borderId="16" xfId="0" applyBorder="1"/>
    <xf numFmtId="165" fontId="10" fillId="0" borderId="2" xfId="1" applyNumberFormat="1" applyFill="1" applyBorder="1"/>
    <xf numFmtId="165" fontId="10" fillId="0" borderId="15" xfId="1" applyNumberFormat="1" applyFill="1" applyBorder="1"/>
    <xf numFmtId="165" fontId="0" fillId="0" borderId="23" xfId="0" applyNumberFormat="1" applyBorder="1"/>
    <xf numFmtId="0" fontId="0" fillId="0" borderId="0" xfId="0" applyFill="1" applyBorder="1" applyAlignment="1"/>
    <xf numFmtId="166" fontId="10" fillId="0" borderId="0" xfId="2" applyNumberFormat="1" applyFill="1"/>
    <xf numFmtId="0" fontId="23" fillId="0" borderId="0" xfId="0" applyFont="1" applyAlignment="1">
      <alignment horizontal="right"/>
    </xf>
    <xf numFmtId="0" fontId="35" fillId="0" borderId="0" xfId="0" applyFont="1" applyAlignment="1">
      <alignment wrapText="1"/>
    </xf>
    <xf numFmtId="0" fontId="35" fillId="0" borderId="1" xfId="0" applyFont="1" applyBorder="1" applyAlignment="1">
      <alignment horizontal="center" wrapText="1"/>
    </xf>
    <xf numFmtId="0" fontId="36" fillId="0" borderId="0" xfId="0" applyFont="1" applyAlignment="1">
      <alignment horizontal="center" wrapText="1"/>
    </xf>
    <xf numFmtId="0" fontId="38" fillId="0" borderId="0" xfId="0" applyFont="1" applyAlignment="1">
      <alignment horizontal="center" wrapText="1"/>
    </xf>
    <xf numFmtId="166" fontId="37" fillId="0" borderId="0" xfId="2" applyNumberFormat="1" applyFont="1" applyFill="1" applyBorder="1" applyAlignment="1">
      <alignment wrapText="1"/>
    </xf>
    <xf numFmtId="0" fontId="35" fillId="0" borderId="0" xfId="0" applyFont="1"/>
    <xf numFmtId="0" fontId="23" fillId="0" borderId="0" xfId="0" applyFont="1" applyFill="1" applyAlignment="1">
      <alignment horizontal="right"/>
    </xf>
    <xf numFmtId="0" fontId="0" fillId="0" borderId="1" xfId="0" applyBorder="1" applyAlignment="1"/>
    <xf numFmtId="165" fontId="0" fillId="0" borderId="0" xfId="1" applyNumberFormat="1" applyFont="1" applyBorder="1" applyAlignment="1">
      <alignment horizontal="center"/>
    </xf>
    <xf numFmtId="165" fontId="0" fillId="0" borderId="0" xfId="1" applyNumberFormat="1" applyFont="1" applyFill="1" applyBorder="1" applyAlignment="1">
      <alignment horizontal="center"/>
    </xf>
    <xf numFmtId="0" fontId="37" fillId="0" borderId="0" xfId="0" applyFont="1" applyAlignment="1">
      <alignment wrapText="1"/>
    </xf>
    <xf numFmtId="0" fontId="12" fillId="0" borderId="0" xfId="0" applyFont="1" applyFill="1"/>
    <xf numFmtId="165" fontId="10" fillId="2" borderId="13" xfId="1" applyNumberFormat="1" applyFill="1" applyBorder="1"/>
    <xf numFmtId="165" fontId="14" fillId="0" borderId="0" xfId="1" applyNumberFormat="1" applyFont="1" applyBorder="1"/>
    <xf numFmtId="165" fontId="10" fillId="0" borderId="0" xfId="1" applyNumberFormat="1" applyFont="1" applyBorder="1" applyAlignment="1">
      <alignment horizontal="center"/>
    </xf>
    <xf numFmtId="165" fontId="10" fillId="0" borderId="0" xfId="1" applyNumberFormat="1" applyFill="1" applyBorder="1" applyAlignment="1">
      <alignment horizontal="center"/>
    </xf>
    <xf numFmtId="165" fontId="10" fillId="0" borderId="0" xfId="1" applyNumberFormat="1" applyFont="1" applyFill="1" applyBorder="1" applyAlignment="1">
      <alignment horizontal="center"/>
    </xf>
    <xf numFmtId="165" fontId="10" fillId="0" borderId="1" xfId="1" applyNumberFormat="1" applyFont="1" applyBorder="1" applyAlignment="1">
      <alignment horizontal="center"/>
    </xf>
    <xf numFmtId="165" fontId="10" fillId="0" borderId="1" xfId="1" applyNumberFormat="1" applyFont="1" applyFill="1" applyBorder="1" applyAlignment="1">
      <alignment horizontal="center"/>
    </xf>
    <xf numFmtId="0" fontId="43" fillId="0" borderId="0" xfId="0" applyFont="1"/>
    <xf numFmtId="165" fontId="0" fillId="4" borderId="0" xfId="0" applyNumberFormat="1" applyFill="1" applyBorder="1"/>
    <xf numFmtId="0" fontId="0" fillId="4" borderId="0" xfId="0" applyFill="1" applyBorder="1"/>
    <xf numFmtId="0" fontId="13" fillId="0" borderId="0" xfId="0" applyFont="1" applyBorder="1"/>
    <xf numFmtId="0" fontId="13" fillId="0" borderId="0" xfId="0" applyFont="1" applyAlignment="1">
      <alignment wrapText="1"/>
    </xf>
    <xf numFmtId="165" fontId="10" fillId="0" borderId="0" xfId="1" applyNumberFormat="1" applyBorder="1" applyAlignment="1">
      <alignment horizontal="center"/>
    </xf>
    <xf numFmtId="0" fontId="0" fillId="3" borderId="7" xfId="0" applyFill="1" applyBorder="1"/>
    <xf numFmtId="0" fontId="12" fillId="3" borderId="4" xfId="0" applyFont="1" applyFill="1" applyBorder="1" applyAlignment="1">
      <alignment horizontal="center"/>
    </xf>
    <xf numFmtId="0" fontId="23" fillId="0" borderId="0" xfId="0" applyFont="1" applyFill="1"/>
    <xf numFmtId="0" fontId="40" fillId="0" borderId="0" xfId="0" applyFont="1"/>
    <xf numFmtId="0" fontId="14" fillId="0" borderId="0" xfId="0" applyFont="1" applyBorder="1" applyAlignment="1">
      <alignment horizontal="left" wrapText="1"/>
    </xf>
    <xf numFmtId="0" fontId="12" fillId="0" borderId="0" xfId="0" applyFont="1" applyBorder="1" applyAlignment="1">
      <alignment horizontal="left"/>
    </xf>
    <xf numFmtId="0" fontId="12" fillId="0" borderId="0" xfId="0" applyFont="1" applyBorder="1"/>
    <xf numFmtId="9" fontId="10" fillId="0" borderId="0" xfId="3"/>
    <xf numFmtId="9" fontId="10" fillId="0" borderId="1" xfId="3" applyBorder="1" applyAlignment="1">
      <alignment horizontal="center"/>
    </xf>
    <xf numFmtId="9" fontId="10" fillId="0" borderId="0" xfId="3" applyBorder="1" applyAlignment="1">
      <alignment horizontal="center"/>
    </xf>
    <xf numFmtId="0" fontId="0" fillId="0" borderId="0" xfId="0" applyAlignment="1">
      <alignment horizontal="left" indent="1"/>
    </xf>
    <xf numFmtId="0" fontId="0" fillId="0" borderId="0" xfId="0" applyAlignment="1">
      <alignment horizontal="left" indent="2"/>
    </xf>
    <xf numFmtId="0" fontId="0" fillId="0" borderId="0" xfId="0" applyAlignment="1">
      <alignment horizontal="left" indent="3"/>
    </xf>
    <xf numFmtId="9" fontId="10" fillId="0" borderId="0" xfId="3" applyFont="1"/>
    <xf numFmtId="165" fontId="10" fillId="0" borderId="0" xfId="1" applyNumberFormat="1" applyFont="1" applyBorder="1"/>
    <xf numFmtId="9" fontId="10" fillId="0" borderId="0" xfId="3" applyBorder="1"/>
    <xf numFmtId="0" fontId="0" fillId="0" borderId="0" xfId="0" applyAlignment="1">
      <alignment horizontal="left" indent="4"/>
    </xf>
    <xf numFmtId="0" fontId="22" fillId="0" borderId="0" xfId="0" applyFont="1" applyAlignment="1"/>
    <xf numFmtId="165" fontId="14" fillId="0" borderId="0" xfId="1" applyNumberFormat="1" applyFont="1" applyBorder="1" applyAlignment="1">
      <alignment horizontal="center"/>
    </xf>
    <xf numFmtId="165" fontId="14" fillId="0" borderId="0" xfId="1" applyNumberFormat="1" applyFont="1" applyFill="1" applyBorder="1" applyAlignment="1">
      <alignment horizontal="center"/>
    </xf>
    <xf numFmtId="165" fontId="14" fillId="0" borderId="0" xfId="1" applyNumberFormat="1" applyFont="1"/>
    <xf numFmtId="0" fontId="14" fillId="0" borderId="0" xfId="0" applyFont="1" applyBorder="1" applyAlignment="1">
      <alignment horizontal="center" wrapText="1"/>
    </xf>
    <xf numFmtId="0" fontId="12" fillId="0" borderId="0" xfId="0" applyFont="1" applyBorder="1" applyAlignment="1">
      <alignment horizontal="left" wrapText="1"/>
    </xf>
    <xf numFmtId="0" fontId="14" fillId="0" borderId="1" xfId="0" applyFont="1" applyBorder="1" applyAlignment="1">
      <alignment horizontal="center" wrapText="1"/>
    </xf>
    <xf numFmtId="0" fontId="12" fillId="0" borderId="0" xfId="0" applyFont="1" applyAlignment="1">
      <alignment horizontal="left"/>
    </xf>
    <xf numFmtId="41" fontId="0" fillId="0" borderId="0" xfId="0" applyNumberFormat="1" applyFill="1" applyBorder="1" applyAlignment="1">
      <alignment horizontal="center"/>
    </xf>
    <xf numFmtId="42" fontId="0" fillId="0" borderId="0" xfId="0" applyNumberFormat="1" applyFill="1" applyBorder="1" applyAlignment="1">
      <alignment horizontal="center"/>
    </xf>
    <xf numFmtId="166" fontId="10" fillId="2" borderId="13" xfId="2" applyNumberFormat="1" applyFill="1" applyBorder="1"/>
    <xf numFmtId="9" fontId="23" fillId="0" borderId="0" xfId="3" applyFont="1" applyFill="1" applyBorder="1"/>
    <xf numFmtId="166" fontId="10" fillId="2" borderId="17" xfId="2" applyNumberFormat="1" applyFill="1" applyBorder="1"/>
    <xf numFmtId="165" fontId="12" fillId="2" borderId="24" xfId="1" applyNumberFormat="1" applyFont="1" applyFill="1" applyBorder="1" applyAlignment="1">
      <alignment horizontal="center"/>
    </xf>
    <xf numFmtId="0" fontId="15" fillId="0" borderId="0" xfId="0" applyFont="1" applyAlignment="1">
      <alignment wrapText="1"/>
    </xf>
    <xf numFmtId="9" fontId="13" fillId="0" borderId="0" xfId="3" applyFont="1" applyBorder="1" applyAlignment="1">
      <alignment horizontal="left" wrapText="1"/>
    </xf>
    <xf numFmtId="9" fontId="13" fillId="0" borderId="0" xfId="3" applyFont="1" applyFill="1" applyBorder="1" applyAlignment="1">
      <alignment horizontal="left" wrapText="1"/>
    </xf>
    <xf numFmtId="0" fontId="45" fillId="0" borderId="0" xfId="0" applyFont="1"/>
    <xf numFmtId="165" fontId="12" fillId="4" borderId="4" xfId="0" applyNumberFormat="1" applyFont="1" applyFill="1" applyBorder="1" applyAlignment="1">
      <alignment horizontal="center"/>
    </xf>
    <xf numFmtId="165" fontId="0" fillId="0" borderId="22" xfId="0" applyNumberFormat="1" applyFill="1" applyBorder="1"/>
    <xf numFmtId="9" fontId="11" fillId="0" borderId="0" xfId="3" applyFont="1"/>
    <xf numFmtId="0" fontId="41" fillId="0" borderId="0" xfId="0" applyFont="1"/>
    <xf numFmtId="0" fontId="14" fillId="0" borderId="0" xfId="0" applyFont="1" applyFill="1" applyBorder="1" applyAlignment="1">
      <alignment horizontal="left" wrapText="1"/>
    </xf>
    <xf numFmtId="0" fontId="20" fillId="0" borderId="0" xfId="0" applyFont="1" applyAlignment="1">
      <alignment horizontal="center" wrapText="1"/>
    </xf>
    <xf numFmtId="0" fontId="14" fillId="0" borderId="0" xfId="0" applyFont="1"/>
    <xf numFmtId="165" fontId="0" fillId="2" borderId="1" xfId="0" applyNumberFormat="1" applyFill="1" applyBorder="1"/>
    <xf numFmtId="0" fontId="14" fillId="0" borderId="0" xfId="0" quotePrefix="1" applyFont="1"/>
    <xf numFmtId="165" fontId="13" fillId="0" borderId="0" xfId="1" applyNumberFormat="1" applyFont="1" applyBorder="1" applyAlignment="1">
      <alignment wrapText="1"/>
    </xf>
    <xf numFmtId="0" fontId="0" fillId="0" borderId="21" xfId="0" applyBorder="1" applyAlignment="1">
      <alignment horizontal="center"/>
    </xf>
    <xf numFmtId="165" fontId="23" fillId="0" borderId="0" xfId="1" applyNumberFormat="1" applyFont="1" applyBorder="1" applyAlignment="1">
      <alignment horizontal="left"/>
    </xf>
    <xf numFmtId="165" fontId="23" fillId="0" borderId="0" xfId="1" applyNumberFormat="1" applyFont="1" applyBorder="1" applyAlignment="1">
      <alignment horizontal="right"/>
    </xf>
    <xf numFmtId="165" fontId="10" fillId="2" borderId="1" xfId="1" applyNumberFormat="1" applyFill="1" applyBorder="1"/>
    <xf numFmtId="165" fontId="10" fillId="5" borderId="0" xfId="1" applyNumberFormat="1" applyFill="1"/>
    <xf numFmtId="0" fontId="18" fillId="5" borderId="0" xfId="0" applyFont="1" applyFill="1"/>
    <xf numFmtId="0" fontId="0" fillId="0" borderId="2" xfId="0" applyBorder="1" applyAlignment="1">
      <alignment horizontal="center"/>
    </xf>
    <xf numFmtId="0" fontId="0" fillId="0" borderId="22" xfId="0" applyBorder="1" applyAlignment="1">
      <alignment horizontal="center"/>
    </xf>
    <xf numFmtId="0" fontId="0" fillId="0" borderId="2" xfId="0" applyFill="1" applyBorder="1" applyAlignment="1">
      <alignment horizontal="center"/>
    </xf>
    <xf numFmtId="0" fontId="0" fillId="0" borderId="22" xfId="0" applyFill="1" applyBorder="1" applyAlignment="1">
      <alignment horizontal="center"/>
    </xf>
    <xf numFmtId="165" fontId="14" fillId="2" borderId="17" xfId="0" applyNumberFormat="1" applyFont="1" applyFill="1" applyBorder="1"/>
    <xf numFmtId="0" fontId="0" fillId="2" borderId="0" xfId="0" applyFill="1" applyBorder="1"/>
    <xf numFmtId="0" fontId="0" fillId="0" borderId="1" xfId="0" applyFill="1" applyBorder="1"/>
    <xf numFmtId="0" fontId="0" fillId="2" borderId="27" xfId="0" applyFill="1" applyBorder="1" applyAlignment="1">
      <alignment horizontal="center"/>
    </xf>
    <xf numFmtId="0" fontId="0" fillId="2" borderId="0" xfId="0" applyFill="1" applyBorder="1" applyAlignment="1">
      <alignment horizontal="center"/>
    </xf>
    <xf numFmtId="0" fontId="0" fillId="0" borderId="13" xfId="0" applyFill="1" applyBorder="1"/>
    <xf numFmtId="165" fontId="10" fillId="0" borderId="13" xfId="1" applyNumberFormat="1" applyFill="1" applyBorder="1"/>
    <xf numFmtId="41" fontId="10" fillId="0" borderId="0" xfId="2" applyNumberFormat="1" applyFill="1"/>
    <xf numFmtId="42" fontId="0" fillId="2" borderId="0" xfId="0" applyNumberFormat="1" applyFill="1" applyBorder="1" applyAlignment="1">
      <alignment horizontal="center"/>
    </xf>
    <xf numFmtId="0" fontId="35" fillId="3" borderId="5" xfId="0" applyFont="1" applyFill="1" applyBorder="1" applyAlignment="1">
      <alignment horizontal="center"/>
    </xf>
    <xf numFmtId="0" fontId="35" fillId="3" borderId="3" xfId="0" applyFont="1" applyFill="1" applyBorder="1" applyAlignment="1">
      <alignment horizontal="center"/>
    </xf>
    <xf numFmtId="165" fontId="0" fillId="0" borderId="9" xfId="1" applyNumberFormat="1" applyFont="1" applyBorder="1"/>
    <xf numFmtId="165" fontId="0" fillId="0" borderId="9" xfId="1" applyNumberFormat="1" applyFont="1" applyFill="1" applyBorder="1"/>
    <xf numFmtId="165" fontId="13" fillId="0" borderId="0" xfId="1" applyNumberFormat="1" applyFont="1" applyBorder="1" applyAlignment="1">
      <alignment horizontal="right" wrapText="1"/>
    </xf>
    <xf numFmtId="165" fontId="23" fillId="0" borderId="0" xfId="1" applyNumberFormat="1" applyFont="1" applyBorder="1" applyAlignment="1"/>
    <xf numFmtId="0" fontId="39" fillId="0" borderId="0" xfId="0" applyFont="1"/>
    <xf numFmtId="0" fontId="0" fillId="0" borderId="0" xfId="0" applyAlignment="1">
      <alignment horizontal="left"/>
    </xf>
    <xf numFmtId="165" fontId="0" fillId="2" borderId="1" xfId="0" applyNumberFormat="1" applyFill="1" applyBorder="1" applyAlignment="1">
      <alignment horizontal="left" indent="2"/>
    </xf>
    <xf numFmtId="165" fontId="10" fillId="0" borderId="1" xfId="1" applyNumberFormat="1" applyBorder="1"/>
    <xf numFmtId="9" fontId="13" fillId="0" borderId="0" xfId="3" applyFont="1"/>
    <xf numFmtId="41" fontId="0" fillId="2" borderId="12" xfId="0" applyNumberFormat="1" applyFill="1" applyBorder="1"/>
    <xf numFmtId="165" fontId="13" fillId="0" borderId="0" xfId="1" applyNumberFormat="1" applyFont="1"/>
    <xf numFmtId="9" fontId="23" fillId="0" borderId="0" xfId="3" applyFont="1" applyFill="1" applyBorder="1" applyAlignment="1">
      <alignment horizontal="left"/>
    </xf>
    <xf numFmtId="165" fontId="15" fillId="0" borderId="0" xfId="1" applyNumberFormat="1" applyFont="1" applyAlignment="1">
      <alignment wrapText="1"/>
    </xf>
    <xf numFmtId="165" fontId="48" fillId="0" borderId="0" xfId="1" applyNumberFormat="1" applyFont="1"/>
    <xf numFmtId="165" fontId="11" fillId="0" borderId="0" xfId="1" applyNumberFormat="1" applyFont="1" applyBorder="1"/>
    <xf numFmtId="0" fontId="0" fillId="0" borderId="12" xfId="0" applyFill="1" applyBorder="1"/>
    <xf numFmtId="0" fontId="49" fillId="0" borderId="0" xfId="0" applyFont="1" applyFill="1"/>
    <xf numFmtId="0" fontId="36" fillId="0" borderId="0" xfId="0" applyFont="1" applyFill="1"/>
    <xf numFmtId="0" fontId="35" fillId="0" borderId="0" xfId="0" applyFont="1" applyBorder="1" applyAlignment="1">
      <alignment horizontal="center"/>
    </xf>
    <xf numFmtId="0" fontId="35" fillId="0" borderId="0" xfId="0" applyFont="1" applyFill="1" applyBorder="1" applyAlignment="1">
      <alignment horizontal="center"/>
    </xf>
    <xf numFmtId="165" fontId="35" fillId="0" borderId="0" xfId="0" applyNumberFormat="1" applyFont="1" applyBorder="1" applyAlignment="1">
      <alignment horizontal="center"/>
    </xf>
    <xf numFmtId="0" fontId="35" fillId="0" borderId="3" xfId="0" applyFont="1" applyBorder="1" applyAlignment="1">
      <alignment horizontal="center"/>
    </xf>
    <xf numFmtId="0" fontId="35" fillId="0" borderId="0" xfId="0" applyFont="1" applyAlignment="1">
      <alignment horizontal="center"/>
    </xf>
    <xf numFmtId="0" fontId="31" fillId="0" borderId="0" xfId="0" applyFont="1" applyAlignment="1">
      <alignment horizontal="center"/>
    </xf>
    <xf numFmtId="0" fontId="35" fillId="0" borderId="8" xfId="0" applyFont="1" applyBorder="1" applyAlignment="1">
      <alignment horizontal="center"/>
    </xf>
    <xf numFmtId="165" fontId="35" fillId="0" borderId="8" xfId="0" applyNumberFormat="1" applyFont="1" applyBorder="1" applyAlignment="1">
      <alignment horizontal="center"/>
    </xf>
    <xf numFmtId="165" fontId="35" fillId="0" borderId="8" xfId="0" applyNumberFormat="1" applyFont="1" applyFill="1" applyBorder="1" applyAlignment="1">
      <alignment horizontal="center"/>
    </xf>
    <xf numFmtId="0" fontId="35" fillId="0" borderId="5" xfId="0" applyFont="1" applyBorder="1" applyAlignment="1">
      <alignment horizontal="center"/>
    </xf>
    <xf numFmtId="0" fontId="12" fillId="2" borderId="0" xfId="0" applyFont="1" applyFill="1" applyBorder="1" applyAlignment="1">
      <alignment horizontal="center"/>
    </xf>
    <xf numFmtId="165" fontId="14" fillId="2" borderId="0" xfId="0" applyNumberFormat="1" applyFont="1" applyFill="1" applyBorder="1" applyAlignment="1">
      <alignment horizontal="center"/>
    </xf>
    <xf numFmtId="165" fontId="0" fillId="2" borderId="12" xfId="1" applyNumberFormat="1" applyFont="1" applyFill="1" applyBorder="1" applyAlignment="1">
      <alignment horizontal="left" indent="2"/>
    </xf>
    <xf numFmtId="165" fontId="10" fillId="0" borderId="0" xfId="1" applyNumberFormat="1" applyBorder="1" applyAlignment="1">
      <alignment horizontal="right"/>
    </xf>
    <xf numFmtId="165" fontId="23" fillId="0" borderId="0" xfId="1" applyNumberFormat="1" applyFont="1" applyBorder="1" applyAlignment="1">
      <alignment horizontal="center"/>
    </xf>
    <xf numFmtId="165" fontId="10" fillId="0" borderId="1" xfId="1" applyNumberFormat="1" applyFont="1" applyBorder="1"/>
    <xf numFmtId="165" fontId="35" fillId="0" borderId="1" xfId="1" applyNumberFormat="1" applyFont="1" applyBorder="1"/>
    <xf numFmtId="0" fontId="14" fillId="0" borderId="0" xfId="0" applyFont="1" applyAlignment="1">
      <alignment horizontal="center"/>
    </xf>
    <xf numFmtId="165" fontId="32" fillId="0" borderId="0" xfId="1" applyNumberFormat="1" applyFont="1"/>
    <xf numFmtId="165" fontId="32" fillId="0" borderId="0" xfId="0" applyNumberFormat="1" applyFont="1"/>
    <xf numFmtId="165" fontId="12" fillId="3" borderId="3" xfId="1" applyNumberFormat="1" applyFont="1" applyFill="1" applyBorder="1" applyAlignment="1">
      <alignment horizontal="center"/>
    </xf>
    <xf numFmtId="165" fontId="0" fillId="0" borderId="0" xfId="1" applyNumberFormat="1" applyFont="1" applyAlignment="1">
      <alignment wrapText="1"/>
    </xf>
    <xf numFmtId="165" fontId="20" fillId="0" borderId="0" xfId="1" applyNumberFormat="1" applyFont="1" applyFill="1"/>
    <xf numFmtId="165" fontId="0" fillId="3" borderId="10" xfId="1" applyNumberFormat="1" applyFont="1" applyFill="1" applyBorder="1"/>
    <xf numFmtId="165" fontId="12" fillId="3" borderId="4" xfId="1" applyNumberFormat="1" applyFont="1" applyFill="1" applyBorder="1" applyAlignment="1">
      <alignment horizontal="center"/>
    </xf>
    <xf numFmtId="165" fontId="0" fillId="0" borderId="7" xfId="1" applyNumberFormat="1" applyFont="1" applyBorder="1"/>
    <xf numFmtId="165" fontId="0" fillId="0" borderId="3" xfId="1" applyNumberFormat="1" applyFont="1" applyBorder="1"/>
    <xf numFmtId="165" fontId="0" fillId="3" borderId="7" xfId="1" applyNumberFormat="1" applyFont="1" applyFill="1" applyBorder="1"/>
    <xf numFmtId="0" fontId="35" fillId="3" borderId="7" xfId="0" applyFont="1" applyFill="1" applyBorder="1" applyAlignment="1">
      <alignment horizontal="center"/>
    </xf>
    <xf numFmtId="0" fontId="35" fillId="0" borderId="7" xfId="0" applyFont="1" applyBorder="1" applyAlignment="1">
      <alignment horizontal="center"/>
    </xf>
    <xf numFmtId="0" fontId="47" fillId="0" borderId="0" xfId="0" applyFont="1" applyBorder="1" applyAlignment="1">
      <alignment horizontal="center"/>
    </xf>
    <xf numFmtId="0" fontId="35" fillId="3" borderId="6" xfId="0" applyFont="1" applyFill="1" applyBorder="1" applyAlignment="1">
      <alignment horizontal="center"/>
    </xf>
    <xf numFmtId="0" fontId="47" fillId="0" borderId="0" xfId="0" applyFont="1" applyFill="1" applyBorder="1" applyAlignment="1">
      <alignment horizontal="center"/>
    </xf>
    <xf numFmtId="0" fontId="49" fillId="0" borderId="0" xfId="0" applyFont="1" applyAlignment="1">
      <alignment horizontal="center"/>
    </xf>
    <xf numFmtId="165" fontId="0" fillId="0" borderId="1" xfId="0" applyNumberFormat="1" applyFill="1" applyBorder="1"/>
    <xf numFmtId="0" fontId="0" fillId="6" borderId="8" xfId="0" applyFill="1" applyBorder="1"/>
    <xf numFmtId="0" fontId="0" fillId="6" borderId="9" xfId="0" applyFill="1" applyBorder="1"/>
    <xf numFmtId="0" fontId="0" fillId="6" borderId="0" xfId="0" applyFill="1" applyBorder="1"/>
    <xf numFmtId="0" fontId="0" fillId="6" borderId="0" xfId="0" applyFill="1"/>
    <xf numFmtId="165" fontId="0" fillId="6" borderId="0" xfId="0" applyNumberFormat="1" applyFill="1" applyBorder="1"/>
    <xf numFmtId="165" fontId="0" fillId="6" borderId="8" xfId="0" applyNumberFormat="1" applyFill="1" applyBorder="1"/>
    <xf numFmtId="165" fontId="0" fillId="6" borderId="2" xfId="0" applyNumberFormat="1" applyFill="1" applyBorder="1"/>
    <xf numFmtId="165" fontId="0" fillId="6" borderId="9" xfId="0" applyNumberFormat="1" applyFill="1" applyBorder="1"/>
    <xf numFmtId="0" fontId="35" fillId="6" borderId="0" xfId="0" applyFont="1" applyFill="1" applyBorder="1" applyAlignment="1">
      <alignment horizontal="center"/>
    </xf>
    <xf numFmtId="165" fontId="0" fillId="6" borderId="0" xfId="1" applyNumberFormat="1" applyFont="1" applyFill="1" applyBorder="1"/>
    <xf numFmtId="165" fontId="35" fillId="6" borderId="8" xfId="0" applyNumberFormat="1" applyFont="1" applyFill="1" applyBorder="1" applyAlignment="1">
      <alignment horizontal="center"/>
    </xf>
    <xf numFmtId="165" fontId="0" fillId="6" borderId="9" xfId="1" applyNumberFormat="1" applyFont="1" applyFill="1" applyBorder="1"/>
    <xf numFmtId="0" fontId="14" fillId="6" borderId="0" xfId="0" applyFont="1" applyFill="1"/>
    <xf numFmtId="0" fontId="35" fillId="6" borderId="0" xfId="0" applyFont="1" applyFill="1" applyAlignment="1">
      <alignment horizontal="center"/>
    </xf>
    <xf numFmtId="165" fontId="0" fillId="6" borderId="0" xfId="1" applyNumberFormat="1" applyFont="1" applyFill="1"/>
    <xf numFmtId="0" fontId="47" fillId="6" borderId="0" xfId="0" applyFont="1" applyFill="1" applyBorder="1" applyAlignment="1">
      <alignment horizontal="center"/>
    </xf>
    <xf numFmtId="165" fontId="0" fillId="2" borderId="0" xfId="1" applyNumberFormat="1" applyFont="1" applyFill="1" applyBorder="1"/>
    <xf numFmtId="0" fontId="0" fillId="4" borderId="10" xfId="0" applyFill="1" applyBorder="1"/>
    <xf numFmtId="165" fontId="10" fillId="2" borderId="0" xfId="1" applyNumberFormat="1" applyFont="1" applyFill="1"/>
    <xf numFmtId="0" fontId="12" fillId="3" borderId="6" xfId="0" applyFont="1" applyFill="1" applyBorder="1" applyAlignment="1">
      <alignment horizontal="center"/>
    </xf>
    <xf numFmtId="0" fontId="0" fillId="3" borderId="5" xfId="0" applyFill="1" applyBorder="1" applyAlignment="1">
      <alignment horizontal="center"/>
    </xf>
    <xf numFmtId="165" fontId="0" fillId="2" borderId="10" xfId="0" applyNumberFormat="1" applyFill="1" applyBorder="1"/>
    <xf numFmtId="165" fontId="20" fillId="0" borderId="0" xfId="1" applyNumberFormat="1" applyFont="1"/>
    <xf numFmtId="165" fontId="11" fillId="0" borderId="0" xfId="1" applyNumberFormat="1" applyFont="1"/>
    <xf numFmtId="0" fontId="20" fillId="0" borderId="0" xfId="0" applyFont="1" applyBorder="1"/>
    <xf numFmtId="0" fontId="31" fillId="0" borderId="0" xfId="0" applyFont="1" applyBorder="1" applyAlignment="1">
      <alignment horizontal="center"/>
    </xf>
    <xf numFmtId="165" fontId="20" fillId="0" borderId="0" xfId="1" applyNumberFormat="1" applyFont="1" applyBorder="1"/>
    <xf numFmtId="0" fontId="0" fillId="3" borderId="7" xfId="0" applyFill="1" applyBorder="1" applyAlignment="1"/>
    <xf numFmtId="165" fontId="0" fillId="0" borderId="10" xfId="1" applyNumberFormat="1" applyFont="1" applyBorder="1"/>
    <xf numFmtId="165" fontId="0" fillId="0" borderId="4" xfId="1" applyNumberFormat="1" applyFont="1" applyBorder="1"/>
    <xf numFmtId="165" fontId="0" fillId="0" borderId="3" xfId="1" applyNumberFormat="1" applyFont="1" applyFill="1" applyBorder="1"/>
    <xf numFmtId="0" fontId="0" fillId="0" borderId="3" xfId="0" applyFill="1" applyBorder="1"/>
    <xf numFmtId="0" fontId="0" fillId="0" borderId="4" xfId="0" applyFill="1" applyBorder="1"/>
    <xf numFmtId="0" fontId="0" fillId="2" borderId="8" xfId="0" applyFill="1" applyBorder="1"/>
    <xf numFmtId="0" fontId="0" fillId="2" borderId="9" xfId="0" applyFill="1" applyBorder="1"/>
    <xf numFmtId="0" fontId="35" fillId="6" borderId="8" xfId="0" applyFont="1" applyFill="1" applyBorder="1" applyAlignment="1">
      <alignment horizontal="center"/>
    </xf>
    <xf numFmtId="165" fontId="0" fillId="3" borderId="3" xfId="0" applyNumberFormat="1" applyFill="1" applyBorder="1" applyAlignment="1">
      <alignment horizontal="center"/>
    </xf>
    <xf numFmtId="165" fontId="12" fillId="4" borderId="3" xfId="0" applyNumberFormat="1" applyFont="1" applyFill="1" applyBorder="1" applyAlignment="1">
      <alignment horizontal="center"/>
    </xf>
    <xf numFmtId="165" fontId="0" fillId="0" borderId="8" xfId="1" applyNumberFormat="1" applyFont="1" applyBorder="1"/>
    <xf numFmtId="165" fontId="0" fillId="6" borderId="8" xfId="1" applyNumberFormat="1" applyFont="1" applyFill="1" applyBorder="1"/>
    <xf numFmtId="165" fontId="0" fillId="2" borderId="8" xfId="0" applyNumberFormat="1" applyFill="1" applyBorder="1"/>
    <xf numFmtId="165" fontId="0" fillId="2" borderId="9" xfId="0" applyNumberFormat="1" applyFill="1" applyBorder="1"/>
    <xf numFmtId="0" fontId="0" fillId="0" borderId="5" xfId="0" applyBorder="1"/>
    <xf numFmtId="165" fontId="0" fillId="0" borderId="6" xfId="1" applyNumberFormat="1" applyFont="1" applyBorder="1"/>
    <xf numFmtId="165" fontId="0" fillId="0" borderId="8" xfId="1" applyNumberFormat="1" applyFont="1" applyFill="1" applyBorder="1"/>
    <xf numFmtId="165" fontId="0" fillId="0" borderId="5" xfId="1" applyNumberFormat="1" applyFont="1" applyBorder="1"/>
    <xf numFmtId="0" fontId="12" fillId="6" borderId="9" xfId="0" applyFont="1" applyFill="1" applyBorder="1"/>
    <xf numFmtId="0" fontId="11" fillId="0" borderId="9" xfId="0" applyFont="1" applyBorder="1"/>
    <xf numFmtId="0" fontId="0" fillId="0" borderId="28" xfId="0" applyBorder="1" applyAlignment="1">
      <alignment horizontal="center"/>
    </xf>
    <xf numFmtId="165" fontId="10" fillId="4" borderId="5" xfId="1" applyNumberFormat="1" applyFill="1" applyBorder="1"/>
    <xf numFmtId="165" fontId="10" fillId="4" borderId="3" xfId="1" applyNumberFormat="1" applyFill="1" applyBorder="1"/>
    <xf numFmtId="165" fontId="0" fillId="4" borderId="3" xfId="0" applyNumberFormat="1" applyFill="1" applyBorder="1"/>
    <xf numFmtId="0" fontId="0" fillId="4" borderId="4" xfId="0" applyFill="1" applyBorder="1"/>
    <xf numFmtId="165" fontId="15" fillId="2" borderId="4" xfId="1" applyNumberFormat="1" applyFont="1" applyFill="1" applyBorder="1" applyAlignment="1">
      <alignment horizontal="centerContinuous"/>
    </xf>
    <xf numFmtId="0" fontId="48" fillId="4" borderId="3" xfId="0" applyFont="1" applyFill="1" applyBorder="1" applyAlignment="1">
      <alignment horizontal="centerContinuous"/>
    </xf>
    <xf numFmtId="165" fontId="0" fillId="2" borderId="4" xfId="1" applyNumberFormat="1" applyFont="1" applyFill="1" applyBorder="1"/>
    <xf numFmtId="165" fontId="0" fillId="2" borderId="5" xfId="1" applyNumberFormat="1" applyFont="1" applyFill="1" applyBorder="1"/>
    <xf numFmtId="0" fontId="12" fillId="3" borderId="5" xfId="0" applyFont="1" applyFill="1" applyBorder="1" applyAlignment="1">
      <alignment horizontal="center"/>
    </xf>
    <xf numFmtId="165" fontId="12" fillId="3" borderId="5" xfId="1" applyNumberFormat="1" applyFont="1" applyFill="1" applyBorder="1" applyAlignment="1">
      <alignment horizontal="center"/>
    </xf>
    <xf numFmtId="0" fontId="0" fillId="3" borderId="14" xfId="0" applyFill="1" applyBorder="1" applyAlignment="1">
      <alignment horizontal="center"/>
    </xf>
    <xf numFmtId="0" fontId="0" fillId="3" borderId="0" xfId="0" applyFill="1"/>
    <xf numFmtId="165" fontId="0" fillId="3" borderId="0" xfId="0" applyNumberFormat="1" applyFill="1"/>
    <xf numFmtId="165" fontId="0" fillId="3" borderId="12" xfId="0" applyNumberFormat="1" applyFill="1" applyBorder="1"/>
    <xf numFmtId="165" fontId="0" fillId="0" borderId="2" xfId="1" applyNumberFormat="1" applyFont="1" applyFill="1" applyBorder="1"/>
    <xf numFmtId="0" fontId="13" fillId="0" borderId="0" xfId="0" applyFont="1" applyBorder="1" applyAlignment="1">
      <alignment textRotation="90"/>
    </xf>
    <xf numFmtId="0" fontId="12" fillId="3" borderId="29" xfId="0" applyFont="1" applyFill="1" applyBorder="1"/>
    <xf numFmtId="0" fontId="15" fillId="4" borderId="7" xfId="0" applyFont="1" applyFill="1" applyBorder="1" applyAlignment="1"/>
    <xf numFmtId="165" fontId="15" fillId="2" borderId="6" xfId="0" applyNumberFormat="1" applyFont="1" applyFill="1" applyBorder="1"/>
    <xf numFmtId="0" fontId="48" fillId="4" borderId="7" xfId="0" applyFont="1" applyFill="1" applyBorder="1" applyAlignment="1">
      <alignment horizontal="centerContinuous"/>
    </xf>
    <xf numFmtId="0" fontId="0" fillId="2" borderId="7" xfId="0" applyFill="1" applyBorder="1"/>
    <xf numFmtId="165" fontId="0" fillId="2" borderId="10" xfId="1" applyNumberFormat="1" applyFont="1" applyFill="1" applyBorder="1"/>
    <xf numFmtId="0" fontId="11" fillId="0" borderId="0" xfId="0" applyFont="1" applyBorder="1"/>
    <xf numFmtId="0" fontId="13" fillId="6" borderId="0" xfId="0" applyFont="1" applyFill="1" applyBorder="1"/>
    <xf numFmtId="0" fontId="12" fillId="0" borderId="0" xfId="0" applyFont="1" applyBorder="1" applyAlignment="1"/>
    <xf numFmtId="0" fontId="12" fillId="0" borderId="8" xfId="0" applyFont="1" applyFill="1" applyBorder="1"/>
    <xf numFmtId="0" fontId="12" fillId="6" borderId="0" xfId="0" applyFont="1" applyFill="1" applyBorder="1"/>
    <xf numFmtId="0" fontId="12" fillId="0" borderId="8" xfId="0" applyFont="1" applyBorder="1"/>
    <xf numFmtId="0" fontId="0" fillId="0" borderId="30" xfId="0" applyBorder="1"/>
    <xf numFmtId="0" fontId="12" fillId="4" borderId="0" xfId="0" applyFont="1" applyFill="1" applyBorder="1" applyAlignment="1">
      <alignment horizontal="centerContinuous"/>
    </xf>
    <xf numFmtId="0" fontId="12" fillId="4" borderId="10" xfId="0" applyFont="1" applyFill="1" applyBorder="1" applyAlignment="1">
      <alignment horizontal="centerContinuous"/>
    </xf>
    <xf numFmtId="0" fontId="12" fillId="4" borderId="9" xfId="0" applyFont="1" applyFill="1" applyBorder="1" applyAlignment="1">
      <alignment horizontal="centerContinuous"/>
    </xf>
    <xf numFmtId="165" fontId="12" fillId="4" borderId="3" xfId="1" applyNumberFormat="1" applyFont="1" applyFill="1" applyBorder="1" applyAlignment="1">
      <alignment horizontal="center"/>
    </xf>
    <xf numFmtId="165" fontId="12" fillId="4" borderId="4" xfId="1" applyNumberFormat="1" applyFont="1" applyFill="1" applyBorder="1" applyAlignment="1">
      <alignment horizontal="center"/>
    </xf>
    <xf numFmtId="0" fontId="12" fillId="0" borderId="0" xfId="0" applyFont="1" applyFill="1" applyBorder="1" applyAlignment="1">
      <alignment wrapText="1"/>
    </xf>
    <xf numFmtId="165" fontId="0" fillId="2" borderId="20" xfId="1" applyNumberFormat="1" applyFont="1" applyFill="1" applyBorder="1"/>
    <xf numFmtId="165" fontId="0" fillId="2" borderId="1" xfId="1" applyNumberFormat="1" applyFont="1" applyFill="1" applyBorder="1"/>
    <xf numFmtId="165" fontId="15" fillId="4" borderId="7" xfId="1" applyNumberFormat="1" applyFont="1" applyFill="1" applyBorder="1" applyAlignment="1"/>
    <xf numFmtId="165" fontId="12" fillId="4" borderId="31" xfId="1" applyNumberFormat="1" applyFont="1" applyFill="1" applyBorder="1" applyAlignment="1">
      <alignment horizontal="center"/>
    </xf>
    <xf numFmtId="0" fontId="12" fillId="4" borderId="32" xfId="0" applyFont="1" applyFill="1" applyBorder="1" applyAlignment="1">
      <alignment horizontal="center"/>
    </xf>
    <xf numFmtId="0" fontId="12" fillId="4" borderId="31" xfId="0" applyFont="1" applyFill="1" applyBorder="1" applyAlignment="1">
      <alignment horizontal="center"/>
    </xf>
    <xf numFmtId="0" fontId="11" fillId="0" borderId="0" xfId="0" applyFont="1" applyAlignment="1">
      <alignment horizontal="center"/>
    </xf>
    <xf numFmtId="0" fontId="11" fillId="0" borderId="0" xfId="0" applyFont="1" applyFill="1" applyAlignment="1">
      <alignment horizontal="center"/>
    </xf>
    <xf numFmtId="0" fontId="53" fillId="0" borderId="0" xfId="0" applyFont="1" applyAlignment="1">
      <alignment horizontal="center"/>
    </xf>
    <xf numFmtId="0" fontId="54" fillId="0" borderId="0" xfId="0" applyFont="1" applyAlignment="1">
      <alignment horizontal="center"/>
    </xf>
    <xf numFmtId="0" fontId="13" fillId="0" borderId="0" xfId="0" applyFont="1" applyAlignment="1">
      <alignment horizontal="center" wrapText="1"/>
    </xf>
    <xf numFmtId="165" fontId="0" fillId="0" borderId="0" xfId="0" applyNumberFormat="1" applyAlignment="1">
      <alignment horizontal="center"/>
    </xf>
    <xf numFmtId="165" fontId="0" fillId="0" borderId="3" xfId="1" applyNumberFormat="1" applyFont="1" applyBorder="1" applyAlignment="1">
      <alignment horizontal="center"/>
    </xf>
    <xf numFmtId="165" fontId="14" fillId="2" borderId="0" xfId="0" applyNumberFormat="1" applyFont="1" applyFill="1" applyAlignment="1">
      <alignment horizontal="center"/>
    </xf>
    <xf numFmtId="165" fontId="0" fillId="2" borderId="23" xfId="1" applyNumberFormat="1" applyFont="1" applyFill="1" applyBorder="1"/>
    <xf numFmtId="165" fontId="0" fillId="0" borderId="1" xfId="1" applyNumberFormat="1" applyFont="1" applyFill="1" applyBorder="1"/>
    <xf numFmtId="165" fontId="10" fillId="2" borderId="0" xfId="1" applyNumberFormat="1" applyFill="1" applyAlignment="1">
      <alignment horizontal="right"/>
    </xf>
    <xf numFmtId="0" fontId="12" fillId="0" borderId="14" xfId="0" applyFont="1" applyBorder="1" applyAlignment="1">
      <alignment horizontal="center"/>
    </xf>
    <xf numFmtId="0" fontId="12" fillId="0" borderId="0" xfId="0" applyFont="1" applyAlignment="1">
      <alignment wrapText="1"/>
    </xf>
    <xf numFmtId="0" fontId="12" fillId="0" borderId="21" xfId="0" applyFont="1" applyBorder="1" applyAlignment="1">
      <alignment horizontal="center"/>
    </xf>
    <xf numFmtId="0" fontId="55" fillId="0" borderId="9" xfId="0" applyFont="1" applyFill="1" applyBorder="1"/>
    <xf numFmtId="165" fontId="0" fillId="7" borderId="29" xfId="1" applyNumberFormat="1" applyFont="1" applyFill="1" applyBorder="1"/>
    <xf numFmtId="165" fontId="0" fillId="7" borderId="33" xfId="1" applyNumberFormat="1" applyFont="1" applyFill="1" applyBorder="1"/>
    <xf numFmtId="0" fontId="0" fillId="0" borderId="34" xfId="0" applyBorder="1"/>
    <xf numFmtId="0" fontId="0" fillId="0" borderId="27" xfId="0" applyBorder="1"/>
    <xf numFmtId="0" fontId="12" fillId="0" borderId="18" xfId="0" applyFont="1" applyBorder="1"/>
    <xf numFmtId="0" fontId="14" fillId="0" borderId="27" xfId="0" applyFont="1" applyBorder="1" applyAlignment="1">
      <alignment horizontal="left"/>
    </xf>
    <xf numFmtId="0" fontId="57" fillId="0" borderId="0" xfId="0" applyFont="1"/>
    <xf numFmtId="0" fontId="14" fillId="0" borderId="18" xfId="0" applyFont="1" applyBorder="1" applyAlignment="1">
      <alignment horizontal="left"/>
    </xf>
    <xf numFmtId="0" fontId="12" fillId="0" borderId="34" xfId="0" applyFont="1" applyBorder="1" applyAlignment="1">
      <alignment horizontal="center"/>
    </xf>
    <xf numFmtId="0" fontId="12" fillId="0" borderId="27" xfId="0" applyFont="1" applyBorder="1" applyAlignment="1">
      <alignment horizontal="center"/>
    </xf>
    <xf numFmtId="0" fontId="12" fillId="0" borderId="18" xfId="0" applyFont="1" applyBorder="1" applyAlignment="1">
      <alignment horizontal="left"/>
    </xf>
    <xf numFmtId="0" fontId="12" fillId="0" borderId="18" xfId="0" applyFont="1" applyBorder="1" applyAlignment="1">
      <alignment horizontal="center"/>
    </xf>
    <xf numFmtId="0" fontId="12" fillId="0" borderId="27" xfId="0" applyFont="1" applyBorder="1" applyAlignment="1">
      <alignment horizontal="left"/>
    </xf>
    <xf numFmtId="0" fontId="0" fillId="0" borderId="18" xfId="0" applyBorder="1"/>
    <xf numFmtId="0" fontId="0" fillId="0" borderId="24" xfId="0" applyBorder="1"/>
    <xf numFmtId="0" fontId="0" fillId="0" borderId="14" xfId="0" applyBorder="1"/>
    <xf numFmtId="0" fontId="0" fillId="0" borderId="0" xfId="0" applyAlignment="1">
      <alignment horizontal="centerContinuous"/>
    </xf>
    <xf numFmtId="0" fontId="12" fillId="0" borderId="0" xfId="0" applyFont="1" applyBorder="1" applyAlignment="1">
      <alignment wrapText="1"/>
    </xf>
    <xf numFmtId="0" fontId="12" fillId="0" borderId="34" xfId="0" applyFont="1" applyBorder="1" applyAlignment="1">
      <alignment wrapText="1"/>
    </xf>
    <xf numFmtId="0" fontId="12" fillId="0" borderId="22" xfId="0" applyFont="1" applyBorder="1" applyAlignment="1">
      <alignment horizontal="center"/>
    </xf>
    <xf numFmtId="0" fontId="12" fillId="0" borderId="16" xfId="0" applyFont="1" applyBorder="1" applyAlignment="1">
      <alignment horizontal="center"/>
    </xf>
    <xf numFmtId="0" fontId="0" fillId="0" borderId="27" xfId="0" applyBorder="1" applyAlignment="1">
      <alignment wrapText="1"/>
    </xf>
    <xf numFmtId="0" fontId="12" fillId="0" borderId="27" xfId="0" applyFont="1" applyBorder="1"/>
    <xf numFmtId="0" fontId="0" fillId="0" borderId="27" xfId="0" applyBorder="1" applyAlignment="1"/>
    <xf numFmtId="0" fontId="0" fillId="0" borderId="18" xfId="0" applyBorder="1" applyAlignment="1">
      <alignment wrapText="1"/>
    </xf>
    <xf numFmtId="38" fontId="0" fillId="2" borderId="0" xfId="0" applyNumberFormat="1" applyFill="1" applyAlignment="1">
      <alignment wrapText="1"/>
    </xf>
    <xf numFmtId="38" fontId="0" fillId="2" borderId="1" xfId="0" applyNumberFormat="1" applyFill="1" applyBorder="1" applyAlignment="1">
      <alignment wrapText="1"/>
    </xf>
    <xf numFmtId="0" fontId="56" fillId="0" borderId="0" xfId="0" applyFont="1" applyFill="1" applyBorder="1" applyAlignment="1">
      <alignment horizontal="center"/>
    </xf>
    <xf numFmtId="165" fontId="20" fillId="0" borderId="0" xfId="1" applyNumberFormat="1" applyFont="1" applyFill="1" applyBorder="1"/>
    <xf numFmtId="165" fontId="12" fillId="0" borderId="0" xfId="1" applyNumberFormat="1" applyFont="1" applyFill="1" applyBorder="1"/>
    <xf numFmtId="0" fontId="48" fillId="6" borderId="0" xfId="0" applyFont="1" applyFill="1" applyAlignment="1">
      <alignment wrapText="1"/>
    </xf>
    <xf numFmtId="165" fontId="0" fillId="2" borderId="8" xfId="1" applyNumberFormat="1" applyFont="1" applyFill="1" applyBorder="1"/>
    <xf numFmtId="165" fontId="0" fillId="2" borderId="9" xfId="1" applyNumberFormat="1" applyFont="1" applyFill="1" applyBorder="1"/>
    <xf numFmtId="0" fontId="44" fillId="0" borderId="0" xfId="0" applyFont="1"/>
    <xf numFmtId="0" fontId="13" fillId="0" borderId="0" xfId="0" applyFont="1" applyBorder="1" applyAlignment="1">
      <alignment horizontal="left" indent="1"/>
    </xf>
    <xf numFmtId="0" fontId="12" fillId="0" borderId="27" xfId="0" applyFont="1" applyBorder="1" applyAlignment="1">
      <alignment wrapText="1"/>
    </xf>
    <xf numFmtId="38" fontId="0" fillId="0" borderId="1" xfId="0" applyNumberFormat="1" applyFill="1" applyBorder="1" applyAlignment="1">
      <alignment horizontal="center"/>
    </xf>
    <xf numFmtId="38" fontId="0" fillId="2" borderId="0" xfId="0" applyNumberFormat="1" applyFill="1" applyBorder="1"/>
    <xf numFmtId="38" fontId="0" fillId="2" borderId="14" xfId="0" applyNumberFormat="1" applyFill="1" applyBorder="1"/>
    <xf numFmtId="38" fontId="0" fillId="2" borderId="1" xfId="0" applyNumberFormat="1" applyFill="1" applyBorder="1"/>
    <xf numFmtId="38" fontId="0" fillId="2" borderId="35" xfId="0" applyNumberFormat="1" applyFill="1" applyBorder="1"/>
    <xf numFmtId="0" fontId="12" fillId="0" borderId="1" xfId="0" applyFont="1" applyBorder="1"/>
    <xf numFmtId="0" fontId="0" fillId="0" borderId="0" xfId="0" applyBorder="1" applyAlignment="1">
      <alignment wrapText="1"/>
    </xf>
    <xf numFmtId="0" fontId="0" fillId="0" borderId="0" xfId="0" applyBorder="1" applyAlignment="1">
      <alignment horizontal="left" wrapText="1" indent="4"/>
    </xf>
    <xf numFmtId="165" fontId="10" fillId="2" borderId="12" xfId="1" applyNumberFormat="1" applyFont="1" applyFill="1" applyBorder="1"/>
    <xf numFmtId="165" fontId="15" fillId="0" borderId="8" xfId="0" applyNumberFormat="1" applyFont="1" applyFill="1" applyBorder="1" applyAlignment="1">
      <alignment horizontal="center"/>
    </xf>
    <xf numFmtId="165" fontId="15" fillId="0" borderId="8" xfId="0" applyNumberFormat="1" applyFont="1" applyBorder="1" applyAlignment="1">
      <alignment horizontal="center"/>
    </xf>
    <xf numFmtId="165" fontId="15" fillId="6" borderId="8" xfId="0" applyNumberFormat="1" applyFont="1" applyFill="1" applyBorder="1" applyAlignment="1">
      <alignment horizontal="center"/>
    </xf>
    <xf numFmtId="0" fontId="15" fillId="0" borderId="0" xfId="0" applyFont="1" applyFill="1" applyBorder="1"/>
    <xf numFmtId="165" fontId="15" fillId="0" borderId="0" xfId="0" applyNumberFormat="1" applyFont="1" applyBorder="1" applyAlignment="1">
      <alignment horizontal="center"/>
    </xf>
    <xf numFmtId="0" fontId="35" fillId="0" borderId="6" xfId="0" applyFont="1" applyBorder="1" applyAlignment="1">
      <alignment horizontal="center"/>
    </xf>
    <xf numFmtId="165" fontId="15" fillId="6" borderId="0" xfId="0" applyNumberFormat="1" applyFont="1" applyFill="1" applyBorder="1" applyAlignment="1">
      <alignment horizontal="center"/>
    </xf>
    <xf numFmtId="165" fontId="15" fillId="0" borderId="0" xfId="0" applyNumberFormat="1" applyFont="1" applyFill="1" applyBorder="1" applyAlignment="1">
      <alignment horizontal="center"/>
    </xf>
    <xf numFmtId="38" fontId="0" fillId="2" borderId="36" xfId="0" applyNumberFormat="1" applyFill="1" applyBorder="1"/>
    <xf numFmtId="0" fontId="0" fillId="0" borderId="0" xfId="0" applyFill="1" applyAlignment="1">
      <alignment horizontal="left" indent="1"/>
    </xf>
    <xf numFmtId="165" fontId="10" fillId="2" borderId="12" xfId="1" applyNumberFormat="1" applyFill="1" applyBorder="1" applyAlignment="1">
      <alignment horizontal="left" indent="2"/>
    </xf>
    <xf numFmtId="165" fontId="0" fillId="7" borderId="37" xfId="0" applyNumberFormat="1" applyFill="1" applyBorder="1"/>
    <xf numFmtId="165" fontId="0" fillId="7" borderId="12" xfId="0" applyNumberFormat="1" applyFill="1" applyBorder="1"/>
    <xf numFmtId="165" fontId="0" fillId="7" borderId="38" xfId="0" applyNumberFormat="1" applyFill="1" applyBorder="1"/>
    <xf numFmtId="165" fontId="35" fillId="7" borderId="12" xfId="0" applyNumberFormat="1" applyFont="1" applyFill="1" applyBorder="1" applyAlignment="1">
      <alignment horizontal="center"/>
    </xf>
    <xf numFmtId="165" fontId="0" fillId="7" borderId="12" xfId="1" applyNumberFormat="1" applyFont="1" applyFill="1" applyBorder="1"/>
    <xf numFmtId="165" fontId="35" fillId="7" borderId="37" xfId="0" applyNumberFormat="1" applyFont="1" applyFill="1" applyBorder="1" applyAlignment="1">
      <alignment horizontal="center"/>
    </xf>
    <xf numFmtId="165" fontId="0" fillId="7" borderId="37" xfId="1" applyNumberFormat="1" applyFont="1" applyFill="1" applyBorder="1"/>
    <xf numFmtId="165" fontId="0" fillId="7" borderId="38" xfId="1" applyNumberFormat="1" applyFont="1" applyFill="1" applyBorder="1"/>
    <xf numFmtId="165" fontId="10" fillId="7" borderId="37" xfId="1" applyNumberFormat="1" applyFill="1" applyBorder="1"/>
    <xf numFmtId="165" fontId="10" fillId="7" borderId="12" xfId="1" applyNumberFormat="1" applyFill="1" applyBorder="1"/>
    <xf numFmtId="165" fontId="0" fillId="7" borderId="20" xfId="0" applyNumberFormat="1" applyFill="1" applyBorder="1"/>
    <xf numFmtId="0" fontId="12" fillId="3" borderId="0" xfId="0" applyFont="1" applyFill="1" applyBorder="1" applyAlignment="1">
      <alignment horizontal="center"/>
    </xf>
    <xf numFmtId="0" fontId="30" fillId="0" borderId="0" xfId="0" applyFont="1" applyFill="1" applyBorder="1" applyAlignment="1">
      <alignment horizontal="center"/>
    </xf>
    <xf numFmtId="0" fontId="40" fillId="0" borderId="0" xfId="0" applyFont="1" applyFill="1"/>
    <xf numFmtId="165" fontId="12" fillId="3" borderId="0" xfId="1" applyNumberFormat="1" applyFont="1" applyFill="1" applyBorder="1" applyAlignment="1">
      <alignment horizontal="center"/>
    </xf>
    <xf numFmtId="165" fontId="14" fillId="0" borderId="8" xfId="1" applyNumberFormat="1" applyFont="1" applyBorder="1" applyAlignment="1" applyProtection="1">
      <alignment horizontal="center"/>
      <protection locked="0"/>
    </xf>
    <xf numFmtId="165" fontId="14" fillId="0" borderId="0" xfId="1" applyNumberFormat="1" applyFont="1" applyBorder="1" applyAlignment="1" applyProtection="1">
      <alignment horizontal="center"/>
      <protection locked="0"/>
    </xf>
    <xf numFmtId="165" fontId="0" fillId="0" borderId="0" xfId="0" applyNumberFormat="1" applyBorder="1" applyProtection="1">
      <protection locked="0"/>
    </xf>
    <xf numFmtId="0" fontId="0" fillId="0" borderId="0" xfId="0" applyBorder="1" applyProtection="1">
      <protection locked="0"/>
    </xf>
    <xf numFmtId="165" fontId="0" fillId="0" borderId="8" xfId="0" applyNumberFormat="1" applyBorder="1" applyProtection="1">
      <protection locked="0"/>
    </xf>
    <xf numFmtId="165" fontId="0" fillId="0" borderId="0" xfId="1" applyNumberFormat="1" applyFont="1" applyBorder="1" applyProtection="1">
      <protection locked="0"/>
    </xf>
    <xf numFmtId="165" fontId="10" fillId="0" borderId="8" xfId="1" applyNumberFormat="1" applyBorder="1" applyProtection="1">
      <protection locked="0"/>
    </xf>
    <xf numFmtId="165" fontId="10" fillId="0" borderId="0" xfId="1" applyNumberFormat="1" applyBorder="1" applyProtection="1">
      <protection locked="0"/>
    </xf>
    <xf numFmtId="165" fontId="0" fillId="0" borderId="0" xfId="1" applyNumberFormat="1" applyFont="1" applyFill="1" applyBorder="1" applyProtection="1">
      <protection locked="0"/>
    </xf>
    <xf numFmtId="165" fontId="0" fillId="0" borderId="0" xfId="0" applyNumberFormat="1" applyFill="1" applyBorder="1" applyProtection="1">
      <protection locked="0"/>
    </xf>
    <xf numFmtId="165" fontId="10" fillId="0" borderId="8" xfId="1" applyNumberFormat="1" applyFill="1" applyBorder="1" applyProtection="1">
      <protection locked="0"/>
    </xf>
    <xf numFmtId="165" fontId="10" fillId="0" borderId="0" xfId="1" applyNumberFormat="1" applyFill="1" applyBorder="1" applyProtection="1">
      <protection locked="0"/>
    </xf>
    <xf numFmtId="0" fontId="0" fillId="0" borderId="0" xfId="0" applyFill="1" applyBorder="1" applyProtection="1">
      <protection locked="0"/>
    </xf>
    <xf numFmtId="165" fontId="0" fillId="0" borderId="8" xfId="0" applyNumberFormat="1" applyFill="1" applyBorder="1" applyProtection="1">
      <protection locked="0"/>
    </xf>
    <xf numFmtId="165" fontId="10" fillId="6" borderId="8" xfId="1" applyNumberFormat="1" applyFill="1" applyBorder="1" applyProtection="1">
      <protection locked="0"/>
    </xf>
    <xf numFmtId="165" fontId="10" fillId="6" borderId="0" xfId="1" applyNumberFormat="1" applyFill="1" applyBorder="1" applyProtection="1">
      <protection locked="0"/>
    </xf>
    <xf numFmtId="165" fontId="0" fillId="6" borderId="0" xfId="0" applyNumberFormat="1" applyFill="1" applyBorder="1" applyProtection="1">
      <protection locked="0"/>
    </xf>
    <xf numFmtId="0" fontId="0" fillId="6" borderId="0" xfId="0" applyFill="1" applyBorder="1" applyProtection="1">
      <protection locked="0"/>
    </xf>
    <xf numFmtId="165" fontId="0" fillId="6" borderId="8" xfId="0" applyNumberFormat="1" applyFill="1" applyBorder="1" applyProtection="1">
      <protection locked="0"/>
    </xf>
    <xf numFmtId="165" fontId="0" fillId="6" borderId="0" xfId="1" applyNumberFormat="1" applyFont="1" applyFill="1" applyBorder="1" applyProtection="1">
      <protection locked="0"/>
    </xf>
    <xf numFmtId="165" fontId="10" fillId="6" borderId="0" xfId="1" applyNumberFormat="1" applyFill="1" applyProtection="1">
      <protection locked="0"/>
    </xf>
    <xf numFmtId="0" fontId="14" fillId="0" borderId="0" xfId="0" applyFont="1" applyBorder="1" applyProtection="1">
      <protection locked="0"/>
    </xf>
    <xf numFmtId="165" fontId="14" fillId="0" borderId="8" xfId="0" applyNumberFormat="1" applyFont="1" applyBorder="1" applyProtection="1">
      <protection locked="0"/>
    </xf>
    <xf numFmtId="165" fontId="14" fillId="0" borderId="0" xfId="0" applyNumberFormat="1" applyFont="1" applyBorder="1" applyProtection="1">
      <protection locked="0"/>
    </xf>
    <xf numFmtId="165" fontId="10" fillId="0" borderId="8" xfId="1" applyNumberFormat="1" applyFont="1" applyBorder="1" applyProtection="1">
      <protection locked="0"/>
    </xf>
    <xf numFmtId="165" fontId="0" fillId="4" borderId="0" xfId="1" applyNumberFormat="1" applyFont="1" applyFill="1" applyBorder="1" applyProtection="1">
      <protection locked="0"/>
    </xf>
    <xf numFmtId="165" fontId="0" fillId="4" borderId="9" xfId="1" applyNumberFormat="1" applyFont="1" applyFill="1" applyBorder="1" applyProtection="1">
      <protection locked="0"/>
    </xf>
    <xf numFmtId="0" fontId="0" fillId="4" borderId="0" xfId="0" applyFill="1" applyProtection="1">
      <protection locked="0"/>
    </xf>
    <xf numFmtId="0" fontId="0" fillId="6" borderId="0" xfId="0" applyFill="1" applyProtection="1">
      <protection locked="0"/>
    </xf>
    <xf numFmtId="165" fontId="0" fillId="4" borderId="0" xfId="1" applyNumberFormat="1" applyFont="1" applyFill="1" applyProtection="1">
      <protection locked="0"/>
    </xf>
    <xf numFmtId="165" fontId="15" fillId="0" borderId="0" xfId="1" applyNumberFormat="1" applyFont="1" applyFill="1" applyBorder="1" applyAlignment="1" applyProtection="1">
      <alignment horizontal="center"/>
      <protection locked="0"/>
    </xf>
    <xf numFmtId="166" fontId="0" fillId="4" borderId="0" xfId="2" applyNumberFormat="1" applyFont="1" applyFill="1" applyProtection="1">
      <protection locked="0"/>
    </xf>
    <xf numFmtId="165" fontId="10" fillId="0" borderId="0" xfId="1" applyNumberFormat="1" applyProtection="1">
      <protection locked="0"/>
    </xf>
    <xf numFmtId="165" fontId="10" fillId="4" borderId="0" xfId="1" applyNumberFormat="1" applyFill="1" applyProtection="1">
      <protection locked="0"/>
    </xf>
    <xf numFmtId="41" fontId="10" fillId="4" borderId="0" xfId="2" applyNumberFormat="1" applyFill="1" applyProtection="1">
      <protection locked="0"/>
    </xf>
    <xf numFmtId="41" fontId="10" fillId="0" borderId="0" xfId="2" applyNumberFormat="1" applyFill="1" applyProtection="1">
      <protection locked="0"/>
    </xf>
    <xf numFmtId="41" fontId="0" fillId="4" borderId="0" xfId="0" applyNumberFormat="1" applyFill="1" applyProtection="1">
      <protection locked="0"/>
    </xf>
    <xf numFmtId="165" fontId="0" fillId="4" borderId="1" xfId="1" applyNumberFormat="1" applyFont="1" applyFill="1" applyBorder="1" applyProtection="1">
      <protection locked="0"/>
    </xf>
    <xf numFmtId="0" fontId="0" fillId="0" borderId="0" xfId="0" applyProtection="1">
      <protection locked="0"/>
    </xf>
    <xf numFmtId="165" fontId="0" fillId="0" borderId="0" xfId="1" applyNumberFormat="1" applyFont="1" applyProtection="1">
      <protection locked="0"/>
    </xf>
    <xf numFmtId="165" fontId="10" fillId="4" borderId="0" xfId="1" applyNumberFormat="1" applyFill="1" applyBorder="1" applyProtection="1">
      <protection locked="0"/>
    </xf>
    <xf numFmtId="165" fontId="0" fillId="4" borderId="0" xfId="0" applyNumberFormat="1" applyFill="1" applyProtection="1">
      <protection locked="0"/>
    </xf>
    <xf numFmtId="165" fontId="0" fillId="0" borderId="0" xfId="0" applyNumberFormat="1" applyProtection="1">
      <protection locked="0"/>
    </xf>
    <xf numFmtId="165" fontId="10" fillId="4" borderId="1" xfId="1" applyNumberFormat="1" applyFill="1" applyBorder="1" applyProtection="1">
      <protection locked="0"/>
    </xf>
    <xf numFmtId="165" fontId="0" fillId="4" borderId="2" xfId="1" applyNumberFormat="1" applyFont="1" applyFill="1" applyBorder="1" applyProtection="1">
      <protection locked="0"/>
    </xf>
    <xf numFmtId="165" fontId="0" fillId="4" borderId="15" xfId="1" applyNumberFormat="1" applyFont="1" applyFill="1" applyBorder="1" applyProtection="1">
      <protection locked="0"/>
    </xf>
    <xf numFmtId="165" fontId="14" fillId="4" borderId="0" xfId="1" applyNumberFormat="1" applyFont="1" applyFill="1" applyBorder="1" applyProtection="1">
      <protection locked="0"/>
    </xf>
    <xf numFmtId="165" fontId="14" fillId="0" borderId="0" xfId="1" applyNumberFormat="1" applyFont="1" applyFill="1" applyBorder="1" applyProtection="1">
      <protection locked="0"/>
    </xf>
    <xf numFmtId="166" fontId="10" fillId="4" borderId="0" xfId="2" applyNumberFormat="1" applyFill="1" applyProtection="1">
      <protection locked="0"/>
    </xf>
    <xf numFmtId="165" fontId="10" fillId="4" borderId="0" xfId="1" applyNumberFormat="1" applyFont="1" applyFill="1" applyProtection="1">
      <protection locked="0"/>
    </xf>
    <xf numFmtId="165" fontId="0" fillId="4" borderId="0" xfId="1" applyNumberFormat="1" applyFont="1" applyFill="1" applyBorder="1" applyAlignment="1" applyProtection="1">
      <alignment horizontal="center"/>
      <protection locked="0"/>
    </xf>
    <xf numFmtId="165" fontId="10" fillId="4" borderId="0" xfId="1" applyNumberFormat="1" applyFill="1" applyBorder="1" applyAlignment="1" applyProtection="1">
      <alignment horizontal="center"/>
      <protection locked="0"/>
    </xf>
    <xf numFmtId="164" fontId="0" fillId="4" borderId="0" xfId="1" applyNumberFormat="1" applyFont="1" applyFill="1" applyProtection="1">
      <protection locked="0"/>
    </xf>
    <xf numFmtId="0" fontId="12" fillId="3" borderId="34" xfId="0" applyFont="1" applyFill="1" applyBorder="1" applyAlignment="1">
      <alignment horizontal="center"/>
    </xf>
    <xf numFmtId="0" fontId="12" fillId="3" borderId="27" xfId="0" applyFont="1" applyFill="1" applyBorder="1" applyAlignment="1">
      <alignment horizontal="center"/>
    </xf>
    <xf numFmtId="0" fontId="12" fillId="3" borderId="18" xfId="0" applyFont="1" applyFill="1" applyBorder="1" applyAlignment="1">
      <alignment horizontal="center"/>
    </xf>
    <xf numFmtId="0" fontId="12" fillId="3" borderId="1" xfId="0" applyFont="1" applyFill="1" applyBorder="1" applyAlignment="1">
      <alignment horizontal="center"/>
    </xf>
    <xf numFmtId="0" fontId="0" fillId="4" borderId="24" xfId="0" applyFill="1" applyBorder="1"/>
    <xf numFmtId="0" fontId="12" fillId="6" borderId="0" xfId="0" applyFont="1" applyFill="1" applyBorder="1" applyProtection="1">
      <protection locked="0"/>
    </xf>
    <xf numFmtId="0" fontId="0" fillId="0" borderId="0" xfId="0" applyFill="1" applyProtection="1">
      <protection locked="0"/>
    </xf>
    <xf numFmtId="0" fontId="12" fillId="0" borderId="0" xfId="0" applyFont="1" applyBorder="1" applyAlignment="1" applyProtection="1">
      <protection locked="0"/>
    </xf>
    <xf numFmtId="0" fontId="0" fillId="0" borderId="0" xfId="0" applyProtection="1"/>
    <xf numFmtId="0" fontId="35" fillId="0" borderId="0" xfId="0" applyFont="1" applyProtection="1">
      <protection locked="0"/>
    </xf>
    <xf numFmtId="0" fontId="12" fillId="0" borderId="0" xfId="0" applyFont="1" applyAlignment="1" applyProtection="1">
      <alignment horizontal="center"/>
      <protection locked="0"/>
    </xf>
    <xf numFmtId="0" fontId="12" fillId="0" borderId="0" xfId="0" applyFont="1" applyFill="1" applyBorder="1" applyAlignment="1" applyProtection="1">
      <alignment horizontal="center"/>
      <protection locked="0"/>
    </xf>
    <xf numFmtId="0" fontId="12" fillId="0" borderId="1" xfId="0" applyFont="1" applyFill="1" applyBorder="1" applyAlignment="1" applyProtection="1">
      <alignment horizontal="center"/>
      <protection locked="0"/>
    </xf>
    <xf numFmtId="0" fontId="38" fillId="0" borderId="0" xfId="0" applyFont="1" applyAlignment="1" applyProtection="1">
      <alignment horizontal="center" wrapText="1"/>
      <protection locked="0"/>
    </xf>
    <xf numFmtId="0" fontId="0" fillId="0" borderId="0" xfId="0" applyAlignment="1" applyProtection="1">
      <alignment horizontal="left" indent="2"/>
      <protection locked="0"/>
    </xf>
    <xf numFmtId="0" fontId="0" fillId="0" borderId="0" xfId="0" applyAlignment="1" applyProtection="1">
      <alignment horizontal="left" indent="1"/>
      <protection locked="0"/>
    </xf>
    <xf numFmtId="0" fontId="14" fillId="0" borderId="27" xfId="0" applyFont="1" applyBorder="1" applyAlignment="1" applyProtection="1">
      <alignment horizontal="left"/>
      <protection locked="0"/>
    </xf>
    <xf numFmtId="0" fontId="0" fillId="0" borderId="0" xfId="0" applyBorder="1" applyAlignment="1" applyProtection="1">
      <alignment wrapText="1"/>
      <protection locked="0"/>
    </xf>
    <xf numFmtId="0" fontId="23" fillId="0" borderId="0" xfId="0" applyFont="1" applyBorder="1" applyAlignment="1">
      <alignment horizontal="right"/>
    </xf>
    <xf numFmtId="165" fontId="0" fillId="4" borderId="18" xfId="1" applyNumberFormat="1" applyFont="1" applyFill="1" applyBorder="1" applyProtection="1">
      <protection locked="0"/>
    </xf>
    <xf numFmtId="165" fontId="0" fillId="4" borderId="24" xfId="1" applyNumberFormat="1" applyFont="1" applyFill="1" applyBorder="1" applyProtection="1">
      <protection locked="0"/>
    </xf>
    <xf numFmtId="165" fontId="35" fillId="2" borderId="34" xfId="1" applyNumberFormat="1" applyFont="1" applyFill="1" applyBorder="1"/>
    <xf numFmtId="165" fontId="14" fillId="2" borderId="27" xfId="1" applyNumberFormat="1" applyFont="1" applyFill="1" applyBorder="1"/>
    <xf numFmtId="165" fontId="14" fillId="2" borderId="18" xfId="1" applyNumberFormat="1" applyFont="1" applyFill="1" applyBorder="1"/>
    <xf numFmtId="0" fontId="12" fillId="0" borderId="0" xfId="0" applyFont="1" applyBorder="1" applyAlignment="1">
      <alignment horizontal="left" wrapText="1" indent="1"/>
    </xf>
    <xf numFmtId="0" fontId="0" fillId="0" borderId="9" xfId="0" applyBorder="1" applyProtection="1">
      <protection locked="0"/>
    </xf>
    <xf numFmtId="0" fontId="12" fillId="0" borderId="9" xfId="0" applyFont="1" applyFill="1" applyBorder="1"/>
    <xf numFmtId="0" fontId="0" fillId="3" borderId="33" xfId="0" applyFill="1" applyBorder="1"/>
    <xf numFmtId="0" fontId="12" fillId="0" borderId="0" xfId="0" applyFont="1" applyAlignment="1"/>
    <xf numFmtId="165" fontId="10" fillId="0" borderId="0" xfId="1" applyNumberFormat="1" applyFont="1" applyAlignment="1">
      <alignment horizontal="center"/>
    </xf>
    <xf numFmtId="165" fontId="14" fillId="0" borderId="0" xfId="1" applyNumberFormat="1" applyFont="1" applyAlignment="1">
      <alignment horizontal="center"/>
    </xf>
    <xf numFmtId="0" fontId="0" fillId="0" borderId="0" xfId="0" applyBorder="1" applyAlignment="1">
      <alignment horizontal="left" wrapText="1" indent="1"/>
    </xf>
    <xf numFmtId="0" fontId="0" fillId="0" borderId="0" xfId="0" applyBorder="1" applyAlignment="1">
      <alignment horizontal="left" indent="1"/>
    </xf>
    <xf numFmtId="38" fontId="0" fillId="0" borderId="0" xfId="0" applyNumberFormat="1" applyBorder="1"/>
    <xf numFmtId="38" fontId="0" fillId="4" borderId="0" xfId="0" applyNumberFormat="1" applyFill="1" applyBorder="1" applyProtection="1">
      <protection locked="0"/>
    </xf>
    <xf numFmtId="0" fontId="48" fillId="0" borderId="0" xfId="0" applyFont="1" applyFill="1" applyAlignment="1">
      <alignment wrapText="1"/>
    </xf>
    <xf numFmtId="165" fontId="14" fillId="0" borderId="1" xfId="1" applyNumberFormat="1" applyFont="1" applyBorder="1" applyAlignment="1">
      <alignment horizontal="center"/>
    </xf>
    <xf numFmtId="0" fontId="14" fillId="0" borderId="0" xfId="0" applyFont="1" applyFill="1" applyBorder="1"/>
    <xf numFmtId="0" fontId="13" fillId="0" borderId="0" xfId="0" applyFont="1" applyAlignment="1">
      <alignment horizontal="left" indent="1"/>
    </xf>
    <xf numFmtId="0" fontId="13" fillId="0" borderId="0" xfId="0" applyFont="1" applyFill="1" applyBorder="1"/>
    <xf numFmtId="9" fontId="10" fillId="0" borderId="0" xfId="3" applyNumberFormat="1"/>
    <xf numFmtId="9" fontId="0" fillId="2" borderId="12" xfId="0" applyNumberFormat="1" applyFill="1" applyBorder="1"/>
    <xf numFmtId="0" fontId="0" fillId="0" borderId="0" xfId="0" applyFill="1" applyBorder="1" applyAlignment="1">
      <alignment horizontal="left" wrapText="1" indent="1"/>
    </xf>
    <xf numFmtId="0" fontId="0" fillId="7" borderId="0" xfId="0" applyFill="1"/>
    <xf numFmtId="0" fontId="12" fillId="7" borderId="0" xfId="0" applyFont="1" applyFill="1"/>
    <xf numFmtId="0" fontId="35" fillId="7" borderId="0" xfId="0" applyFont="1" applyFill="1"/>
    <xf numFmtId="165" fontId="0" fillId="7" borderId="0" xfId="0" applyNumberFormat="1" applyFill="1"/>
    <xf numFmtId="0" fontId="13" fillId="0" borderId="0" xfId="0" applyFont="1" applyFill="1"/>
    <xf numFmtId="0" fontId="0" fillId="0" borderId="0" xfId="0" applyFill="1" applyAlignment="1">
      <alignment horizontal="right"/>
    </xf>
    <xf numFmtId="38" fontId="0" fillId="8" borderId="39" xfId="0" applyNumberFormat="1" applyFill="1" applyBorder="1"/>
    <xf numFmtId="38" fontId="0" fillId="8" borderId="13" xfId="0" applyNumberFormat="1" applyFill="1" applyBorder="1"/>
    <xf numFmtId="165" fontId="0" fillId="8" borderId="12" xfId="1" applyNumberFormat="1" applyFont="1" applyFill="1" applyBorder="1" applyAlignment="1">
      <alignment wrapText="1"/>
    </xf>
    <xf numFmtId="165" fontId="0" fillId="8" borderId="18" xfId="1" applyNumberFormat="1" applyFont="1" applyFill="1" applyBorder="1"/>
    <xf numFmtId="0" fontId="0" fillId="8" borderId="24" xfId="0" applyFill="1" applyBorder="1"/>
    <xf numFmtId="0" fontId="30" fillId="0" borderId="1" xfId="0" applyFont="1" applyFill="1" applyBorder="1" applyAlignment="1">
      <alignment horizontal="center"/>
    </xf>
    <xf numFmtId="0" fontId="41" fillId="3" borderId="34" xfId="0" quotePrefix="1" applyFont="1" applyFill="1" applyBorder="1" applyAlignment="1">
      <alignment horizontal="center"/>
    </xf>
    <xf numFmtId="0" fontId="30" fillId="3" borderId="34" xfId="0" quotePrefix="1" applyFont="1" applyFill="1" applyBorder="1" applyAlignment="1">
      <alignment horizontal="center"/>
    </xf>
    <xf numFmtId="0" fontId="30" fillId="3" borderId="14" xfId="0" quotePrefix="1" applyFont="1" applyFill="1" applyBorder="1" applyAlignment="1">
      <alignment horizontal="center"/>
    </xf>
    <xf numFmtId="0" fontId="14" fillId="0" borderId="18" xfId="0" applyFont="1" applyBorder="1" applyAlignment="1">
      <alignment horizontal="left" indent="1"/>
    </xf>
    <xf numFmtId="165" fontId="0" fillId="0" borderId="0" xfId="1" applyNumberFormat="1" applyFont="1" applyFill="1" applyProtection="1">
      <protection locked="0"/>
    </xf>
    <xf numFmtId="165" fontId="13" fillId="0" borderId="0" xfId="1" applyNumberFormat="1" applyFont="1" applyFill="1" applyBorder="1" applyAlignment="1">
      <alignment wrapText="1"/>
    </xf>
    <xf numFmtId="165" fontId="0" fillId="0" borderId="14" xfId="1" applyNumberFormat="1" applyFont="1" applyFill="1" applyBorder="1"/>
    <xf numFmtId="165" fontId="20" fillId="0" borderId="0" xfId="1" applyNumberFormat="1" applyFont="1" applyFill="1" applyProtection="1">
      <protection locked="0"/>
    </xf>
    <xf numFmtId="0" fontId="0" fillId="0" borderId="0" xfId="0" quotePrefix="1" applyFill="1"/>
    <xf numFmtId="0" fontId="61" fillId="0" borderId="0" xfId="0" applyFont="1"/>
    <xf numFmtId="0" fontId="15" fillId="0" borderId="0" xfId="0" applyFont="1"/>
    <xf numFmtId="41" fontId="0" fillId="7" borderId="0" xfId="1" applyNumberFormat="1" applyFont="1" applyFill="1"/>
    <xf numFmtId="165" fontId="13" fillId="0" borderId="0" xfId="1" applyNumberFormat="1" applyFont="1" applyAlignment="1">
      <alignment wrapText="1"/>
    </xf>
    <xf numFmtId="165" fontId="0" fillId="0" borderId="0" xfId="1" applyNumberFormat="1" applyFont="1" applyAlignment="1">
      <alignment horizontal="left" indent="1"/>
    </xf>
    <xf numFmtId="0" fontId="12" fillId="0" borderId="0" xfId="0" quotePrefix="1" applyFont="1" applyFill="1" applyBorder="1"/>
    <xf numFmtId="0" fontId="0" fillId="0" borderId="0" xfId="0" quotePrefix="1" applyAlignment="1">
      <alignment horizontal="center"/>
    </xf>
    <xf numFmtId="0" fontId="30" fillId="5" borderId="0" xfId="0" applyFont="1" applyFill="1" applyBorder="1"/>
    <xf numFmtId="0" fontId="0" fillId="0" borderId="40" xfId="0" applyBorder="1"/>
    <xf numFmtId="0" fontId="0" fillId="0" borderId="0" xfId="0" applyAlignment="1">
      <alignment horizontal="left" wrapText="1"/>
    </xf>
    <xf numFmtId="0" fontId="63" fillId="0" borderId="0" xfId="0" applyFont="1" applyAlignment="1">
      <alignment wrapText="1"/>
    </xf>
    <xf numFmtId="165" fontId="0" fillId="0" borderId="0" xfId="1" applyNumberFormat="1" applyFont="1" applyAlignment="1">
      <alignment horizontal="right" wrapText="1"/>
    </xf>
    <xf numFmtId="41" fontId="0" fillId="0" borderId="0" xfId="1" applyNumberFormat="1" applyFont="1" applyFill="1" applyBorder="1"/>
    <xf numFmtId="165" fontId="0" fillId="0" borderId="0" xfId="1" applyNumberFormat="1" applyFont="1" applyFill="1" applyAlignment="1">
      <alignment horizontal="right"/>
    </xf>
    <xf numFmtId="41" fontId="0" fillId="0" borderId="0" xfId="0" applyNumberFormat="1" applyFill="1"/>
    <xf numFmtId="41" fontId="0" fillId="2" borderId="13" xfId="1" applyNumberFormat="1" applyFont="1" applyFill="1" applyBorder="1"/>
    <xf numFmtId="41" fontId="0" fillId="2" borderId="13" xfId="0" applyNumberFormat="1" applyFill="1" applyBorder="1"/>
    <xf numFmtId="165" fontId="0" fillId="0" borderId="14" xfId="0" applyNumberFormat="1" applyFill="1" applyBorder="1"/>
    <xf numFmtId="41" fontId="0" fillId="0" borderId="13" xfId="0" applyNumberFormat="1" applyFill="1" applyBorder="1"/>
    <xf numFmtId="0" fontId="53" fillId="0" borderId="0" xfId="0" applyFont="1"/>
    <xf numFmtId="167" fontId="10" fillId="2" borderId="0" xfId="3" applyNumberFormat="1" applyFill="1" applyAlignment="1">
      <alignment horizontal="right"/>
    </xf>
    <xf numFmtId="167" fontId="10" fillId="2" borderId="0" xfId="3" applyNumberFormat="1" applyFill="1"/>
    <xf numFmtId="167" fontId="0" fillId="2" borderId="12" xfId="0" applyNumberFormat="1" applyFill="1" applyBorder="1"/>
    <xf numFmtId="165" fontId="0" fillId="0" borderId="12" xfId="0" applyNumberFormat="1" applyFill="1" applyBorder="1"/>
    <xf numFmtId="0" fontId="0" fillId="0" borderId="0" xfId="0" applyAlignment="1">
      <alignment vertical="top" wrapText="1"/>
    </xf>
    <xf numFmtId="0" fontId="0" fillId="0" borderId="0" xfId="0" applyFill="1" applyBorder="1" applyAlignment="1">
      <alignment vertical="top" wrapText="1"/>
    </xf>
    <xf numFmtId="0" fontId="0" fillId="0" borderId="0" xfId="0" applyAlignment="1">
      <alignment vertical="top"/>
    </xf>
    <xf numFmtId="0" fontId="0" fillId="0" borderId="0" xfId="0" applyFill="1" applyBorder="1" applyAlignment="1">
      <alignment vertical="top"/>
    </xf>
    <xf numFmtId="165" fontId="10" fillId="0" borderId="0" xfId="1" applyNumberFormat="1" applyAlignment="1">
      <alignment vertical="top"/>
    </xf>
    <xf numFmtId="0" fontId="0" fillId="0" borderId="0" xfId="0" quotePrefix="1" applyAlignment="1">
      <alignment vertical="top"/>
    </xf>
    <xf numFmtId="165" fontId="14" fillId="2" borderId="12" xfId="1" applyNumberFormat="1" applyFont="1" applyFill="1" applyBorder="1" applyProtection="1">
      <protection locked="0"/>
    </xf>
    <xf numFmtId="0" fontId="14" fillId="6" borderId="0" xfId="0" applyFont="1" applyFill="1" applyProtection="1">
      <protection locked="0"/>
    </xf>
    <xf numFmtId="0" fontId="14" fillId="0" borderId="0" xfId="0" applyFont="1" applyFill="1" applyProtection="1">
      <protection locked="0"/>
    </xf>
    <xf numFmtId="0" fontId="14" fillId="0" borderId="0" xfId="0" applyFont="1" applyAlignment="1"/>
    <xf numFmtId="0" fontId="14" fillId="0" borderId="0" xfId="0" applyFont="1" applyBorder="1" applyAlignment="1">
      <alignment wrapText="1"/>
    </xf>
    <xf numFmtId="0" fontId="14" fillId="0" borderId="0" xfId="0" applyFont="1" applyBorder="1" applyAlignment="1">
      <alignment horizontal="left" vertical="top" wrapText="1"/>
    </xf>
    <xf numFmtId="0" fontId="14" fillId="0" borderId="0" xfId="0" applyFont="1" applyBorder="1"/>
    <xf numFmtId="0" fontId="65" fillId="3" borderId="27" xfId="0" applyFont="1" applyFill="1" applyBorder="1" applyAlignment="1">
      <alignment horizontal="center"/>
    </xf>
    <xf numFmtId="0" fontId="14" fillId="0" borderId="0" xfId="0" applyFont="1" applyFill="1"/>
    <xf numFmtId="0" fontId="14" fillId="0" borderId="0" xfId="0" applyFont="1" applyAlignment="1">
      <alignment wrapText="1"/>
    </xf>
    <xf numFmtId="0" fontId="14" fillId="0" borderId="0" xfId="0" applyFont="1" applyFill="1" applyBorder="1" applyAlignment="1">
      <alignment horizontal="center"/>
    </xf>
    <xf numFmtId="0" fontId="14" fillId="0" borderId="1" xfId="0" applyFont="1" applyBorder="1" applyAlignment="1">
      <alignment horizontal="center"/>
    </xf>
    <xf numFmtId="0" fontId="0" fillId="9" borderId="0" xfId="0" applyFill="1"/>
    <xf numFmtId="0" fontId="14" fillId="6" borderId="0" xfId="0" applyFont="1" applyFill="1" applyAlignment="1">
      <alignment wrapText="1"/>
    </xf>
    <xf numFmtId="0" fontId="14" fillId="0" borderId="8" xfId="0" applyFont="1" applyBorder="1"/>
    <xf numFmtId="165" fontId="14" fillId="0" borderId="8" xfId="1" applyNumberFormat="1" applyFont="1" applyBorder="1" applyProtection="1">
      <protection locked="0"/>
    </xf>
    <xf numFmtId="165" fontId="14" fillId="0" borderId="0" xfId="1" applyNumberFormat="1" applyFont="1" applyBorder="1" applyProtection="1">
      <protection locked="0"/>
    </xf>
    <xf numFmtId="165" fontId="14" fillId="0" borderId="2" xfId="0" applyNumberFormat="1" applyFont="1" applyFill="1" applyBorder="1"/>
    <xf numFmtId="165" fontId="14" fillId="0" borderId="0" xfId="0" applyNumberFormat="1" applyFont="1" applyBorder="1"/>
    <xf numFmtId="165" fontId="14" fillId="0" borderId="8" xfId="0" applyNumberFormat="1" applyFont="1" applyBorder="1"/>
    <xf numFmtId="165" fontId="14" fillId="0" borderId="9" xfId="0" applyNumberFormat="1" applyFont="1" applyBorder="1"/>
    <xf numFmtId="165" fontId="14" fillId="0" borderId="9" xfId="1" applyNumberFormat="1" applyFont="1" applyFill="1" applyBorder="1"/>
    <xf numFmtId="165" fontId="14" fillId="4" borderId="9" xfId="1" applyNumberFormat="1" applyFont="1" applyFill="1" applyBorder="1" applyProtection="1">
      <protection locked="0"/>
    </xf>
    <xf numFmtId="165" fontId="14" fillId="2" borderId="0" xfId="1" applyNumberFormat="1" applyFont="1" applyFill="1" applyBorder="1"/>
    <xf numFmtId="0" fontId="14" fillId="0" borderId="9" xfId="0" applyFont="1" applyBorder="1"/>
    <xf numFmtId="165" fontId="14" fillId="0" borderId="8" xfId="1" applyNumberFormat="1" applyFont="1" applyBorder="1"/>
    <xf numFmtId="165" fontId="14" fillId="0" borderId="9" xfId="1" applyNumberFormat="1" applyFont="1" applyBorder="1"/>
    <xf numFmtId="0" fontId="14" fillId="6" borderId="0" xfId="0" applyFont="1" applyFill="1" applyBorder="1"/>
    <xf numFmtId="0" fontId="64" fillId="0" borderId="1" xfId="0" applyFont="1" applyBorder="1" applyAlignment="1">
      <alignment horizontal="centerContinuous"/>
    </xf>
    <xf numFmtId="0" fontId="66" fillId="0" borderId="0" xfId="0" applyFont="1" applyFill="1" applyBorder="1" applyAlignment="1">
      <alignment horizontal="center" wrapText="1"/>
    </xf>
    <xf numFmtId="43" fontId="0" fillId="0" borderId="0" xfId="1" applyFont="1"/>
    <xf numFmtId="43" fontId="0" fillId="0" borderId="0" xfId="0" applyNumberFormat="1"/>
    <xf numFmtId="0" fontId="12" fillId="0" borderId="0" xfId="0" applyFont="1" applyAlignment="1">
      <alignment horizontal="right"/>
    </xf>
    <xf numFmtId="0" fontId="69" fillId="2" borderId="24" xfId="0" applyFont="1" applyFill="1" applyBorder="1" applyAlignment="1"/>
    <xf numFmtId="0" fontId="0" fillId="0" borderId="22" xfId="0" applyFill="1" applyBorder="1"/>
    <xf numFmtId="43" fontId="0" fillId="0" borderId="0" xfId="1" applyFont="1" applyFill="1" applyBorder="1"/>
    <xf numFmtId="43" fontId="14" fillId="0" borderId="0" xfId="1" applyFont="1" applyAlignment="1">
      <alignment horizontal="center"/>
    </xf>
    <xf numFmtId="0" fontId="70" fillId="0" borderId="0" xfId="0" applyFont="1" applyAlignment="1">
      <alignment horizontal="center"/>
    </xf>
    <xf numFmtId="43" fontId="70" fillId="0" borderId="0" xfId="1" applyFont="1"/>
    <xf numFmtId="43" fontId="70" fillId="0" borderId="0" xfId="0" applyNumberFormat="1" applyFont="1"/>
    <xf numFmtId="0" fontId="12" fillId="0" borderId="0" xfId="0" applyFont="1" applyAlignment="1">
      <alignment horizontal="right" vertical="top"/>
    </xf>
    <xf numFmtId="165" fontId="10" fillId="2" borderId="12" xfId="1" applyNumberFormat="1" applyFill="1" applyBorder="1" applyAlignment="1">
      <alignment horizontal="right"/>
    </xf>
    <xf numFmtId="0" fontId="0" fillId="0" borderId="0" xfId="0"/>
    <xf numFmtId="0" fontId="12" fillId="0" borderId="0" xfId="0" applyFont="1"/>
    <xf numFmtId="0" fontId="0" fillId="0" borderId="0" xfId="0" applyAlignment="1">
      <alignment wrapText="1"/>
    </xf>
    <xf numFmtId="0" fontId="12" fillId="0" borderId="0" xfId="0" applyFont="1" applyFill="1" applyBorder="1"/>
    <xf numFmtId="0" fontId="0" fillId="0" borderId="0" xfId="0" applyFill="1" applyBorder="1"/>
    <xf numFmtId="165" fontId="0" fillId="4" borderId="0" xfId="1" applyNumberFormat="1" applyFont="1" applyFill="1" applyBorder="1" applyProtection="1">
      <protection locked="0"/>
    </xf>
    <xf numFmtId="165" fontId="0" fillId="2" borderId="0" xfId="0" applyNumberFormat="1" applyFill="1"/>
    <xf numFmtId="165" fontId="10" fillId="4" borderId="0" xfId="1" applyNumberFormat="1" applyFill="1" applyBorder="1" applyProtection="1">
      <protection locked="0"/>
    </xf>
    <xf numFmtId="165" fontId="13" fillId="0" borderId="0" xfId="1" applyNumberFormat="1" applyFont="1" applyBorder="1" applyAlignment="1">
      <alignment horizontal="center" wrapText="1"/>
    </xf>
    <xf numFmtId="0" fontId="10" fillId="0" borderId="0" xfId="0" applyFont="1" applyAlignment="1">
      <alignment horizontal="center"/>
    </xf>
    <xf numFmtId="0" fontId="10" fillId="0" borderId="0" xfId="0" applyFont="1"/>
    <xf numFmtId="0" fontId="12" fillId="0" borderId="0" xfId="0" applyFont="1" applyFill="1" applyBorder="1" applyAlignment="1">
      <alignment horizontal="left"/>
    </xf>
    <xf numFmtId="0" fontId="10" fillId="0" borderId="0" xfId="0" applyFont="1" applyAlignment="1">
      <alignment wrapText="1"/>
    </xf>
    <xf numFmtId="165" fontId="10" fillId="11" borderId="0" xfId="1" applyNumberFormat="1" applyFill="1" applyBorder="1" applyProtection="1">
      <protection locked="0"/>
    </xf>
    <xf numFmtId="0" fontId="0" fillId="3" borderId="22" xfId="0" applyFill="1" applyBorder="1" applyAlignment="1">
      <alignment horizontal="center"/>
    </xf>
    <xf numFmtId="0" fontId="0" fillId="3" borderId="16" xfId="0" applyFill="1" applyBorder="1" applyAlignment="1">
      <alignment horizontal="center"/>
    </xf>
    <xf numFmtId="0" fontId="0" fillId="0" borderId="0" xfId="0"/>
    <xf numFmtId="0" fontId="0" fillId="0" borderId="0" xfId="0"/>
    <xf numFmtId="0" fontId="0" fillId="0" borderId="0" xfId="0" applyFill="1" applyBorder="1"/>
    <xf numFmtId="0" fontId="10" fillId="0" borderId="0" xfId="0" applyFont="1" applyAlignment="1">
      <alignment horizontal="left"/>
    </xf>
    <xf numFmtId="44" fontId="0" fillId="0" borderId="0" xfId="2" applyNumberFormat="1" applyFont="1"/>
    <xf numFmtId="0" fontId="0" fillId="0" borderId="0" xfId="0"/>
    <xf numFmtId="0" fontId="0" fillId="0" borderId="0" xfId="0" applyAlignment="1">
      <alignment wrapText="1"/>
    </xf>
    <xf numFmtId="0" fontId="12" fillId="0" borderId="0" xfId="0" applyFont="1" applyFill="1" applyBorder="1"/>
    <xf numFmtId="0" fontId="0" fillId="0" borderId="0" xfId="0" applyFill="1" applyBorder="1"/>
    <xf numFmtId="165" fontId="0" fillId="4" borderId="0" xfId="1" applyNumberFormat="1" applyFont="1" applyFill="1" applyBorder="1" applyProtection="1">
      <protection locked="0"/>
    </xf>
    <xf numFmtId="165" fontId="13" fillId="0" borderId="0" xfId="1" applyNumberFormat="1" applyFont="1" applyBorder="1" applyAlignment="1">
      <alignment wrapText="1"/>
    </xf>
    <xf numFmtId="165" fontId="13" fillId="0" borderId="0" xfId="1" applyNumberFormat="1" applyFont="1" applyBorder="1" applyAlignment="1">
      <alignment horizontal="center" wrapText="1"/>
    </xf>
    <xf numFmtId="0" fontId="10" fillId="0" borderId="0" xfId="0" applyFont="1" applyAlignment="1">
      <alignment horizontal="left" vertical="top" wrapText="1"/>
    </xf>
    <xf numFmtId="0" fontId="0" fillId="0" borderId="0" xfId="0" applyFill="1" applyBorder="1" applyAlignment="1">
      <alignment wrapText="1"/>
    </xf>
    <xf numFmtId="0" fontId="71" fillId="0" borderId="0" xfId="0" applyFont="1" applyFill="1" applyBorder="1" applyAlignment="1">
      <alignment horizontal="left"/>
    </xf>
    <xf numFmtId="10" fontId="12" fillId="0" borderId="0" xfId="3" applyNumberFormat="1" applyFont="1" applyFill="1" applyBorder="1" applyAlignment="1">
      <alignment horizontal="center"/>
    </xf>
    <xf numFmtId="0" fontId="0" fillId="0" borderId="0" xfId="0"/>
    <xf numFmtId="0" fontId="12" fillId="0" borderId="0" xfId="0" applyFont="1"/>
    <xf numFmtId="0" fontId="0" fillId="0" borderId="0" xfId="0" applyFill="1"/>
    <xf numFmtId="165" fontId="0" fillId="2" borderId="0" xfId="1" applyNumberFormat="1" applyFont="1" applyFill="1"/>
    <xf numFmtId="9" fontId="10" fillId="0" borderId="0" xfId="3" applyFill="1" applyBorder="1" applyProtection="1">
      <protection locked="0"/>
    </xf>
    <xf numFmtId="0" fontId="69" fillId="0" borderId="0" xfId="0" applyFont="1" applyFill="1" applyBorder="1" applyAlignment="1"/>
    <xf numFmtId="0" fontId="12" fillId="0" borderId="2" xfId="0" applyFont="1" applyFill="1" applyBorder="1" applyAlignment="1">
      <alignment horizontal="left"/>
    </xf>
    <xf numFmtId="0" fontId="12" fillId="0" borderId="22" xfId="0" applyFont="1" applyFill="1" applyBorder="1" applyAlignment="1">
      <alignment horizontal="left"/>
    </xf>
    <xf numFmtId="0" fontId="71" fillId="0" borderId="2" xfId="0" applyFont="1" applyFill="1" applyBorder="1" applyAlignment="1">
      <alignment horizontal="left"/>
    </xf>
    <xf numFmtId="0" fontId="12" fillId="0" borderId="2" xfId="0" applyFont="1" applyFill="1" applyBorder="1"/>
    <xf numFmtId="0" fontId="69" fillId="0" borderId="2" xfId="0" applyFont="1" applyFill="1" applyBorder="1" applyAlignment="1"/>
    <xf numFmtId="0" fontId="71" fillId="0" borderId="15" xfId="0" applyFont="1" applyFill="1" applyBorder="1" applyAlignment="1">
      <alignment horizontal="left"/>
    </xf>
    <xf numFmtId="10" fontId="12" fillId="0" borderId="1" xfId="3" applyNumberFormat="1" applyFont="1" applyFill="1" applyBorder="1" applyAlignment="1">
      <alignment horizontal="center"/>
    </xf>
    <xf numFmtId="0" fontId="12" fillId="0" borderId="1" xfId="0" applyFont="1" applyFill="1" applyBorder="1" applyAlignment="1">
      <alignment horizontal="left"/>
    </xf>
    <xf numFmtId="0" fontId="0" fillId="0" borderId="16" xfId="0" applyFill="1" applyBorder="1"/>
    <xf numFmtId="43" fontId="10" fillId="0" borderId="0" xfId="1" applyFont="1" applyAlignment="1">
      <alignment horizontal="center"/>
    </xf>
    <xf numFmtId="0" fontId="18" fillId="0" borderId="0" xfId="0" applyFont="1" applyFill="1" applyAlignment="1">
      <alignment horizontal="left" vertical="center"/>
    </xf>
    <xf numFmtId="0" fontId="18" fillId="0" borderId="0" xfId="0" applyFont="1" applyFill="1" applyAlignment="1"/>
    <xf numFmtId="0" fontId="18" fillId="0" borderId="19" xfId="0" applyFont="1" applyFill="1" applyBorder="1" applyAlignment="1">
      <alignment horizontal="left" vertical="center"/>
    </xf>
    <xf numFmtId="0" fontId="18" fillId="0" borderId="14" xfId="0" applyFont="1" applyFill="1" applyBorder="1" applyAlignment="1">
      <alignment horizontal="left" vertical="center"/>
    </xf>
    <xf numFmtId="0" fontId="0" fillId="3" borderId="34" xfId="0" applyFill="1" applyBorder="1" applyAlignment="1">
      <alignment horizontal="center"/>
    </xf>
    <xf numFmtId="43" fontId="10" fillId="0" borderId="2" xfId="1" applyFont="1" applyFill="1" applyBorder="1"/>
    <xf numFmtId="43" fontId="10" fillId="0" borderId="0" xfId="1" applyFont="1" applyFill="1" applyBorder="1"/>
    <xf numFmtId="0" fontId="0" fillId="3" borderId="27" xfId="0" applyFill="1" applyBorder="1" applyAlignment="1">
      <alignment horizontal="center"/>
    </xf>
    <xf numFmtId="43" fontId="10" fillId="0" borderId="15" xfId="1" applyFont="1" applyFill="1" applyBorder="1" applyAlignment="1">
      <alignment horizontal="center"/>
    </xf>
    <xf numFmtId="165" fontId="10" fillId="0" borderId="19" xfId="1" applyNumberFormat="1" applyFont="1" applyBorder="1"/>
    <xf numFmtId="165" fontId="10" fillId="0" borderId="21" xfId="1" applyNumberFormat="1" applyFont="1" applyBorder="1"/>
    <xf numFmtId="165" fontId="10" fillId="0" borderId="22" xfId="1" applyNumberFormat="1" applyFont="1" applyBorder="1"/>
    <xf numFmtId="165" fontId="0" fillId="3" borderId="27" xfId="1" applyNumberFormat="1" applyFont="1" applyFill="1" applyBorder="1" applyAlignment="1">
      <alignment horizontal="center"/>
    </xf>
    <xf numFmtId="165" fontId="0" fillId="0" borderId="22" xfId="1" applyNumberFormat="1" applyFont="1" applyBorder="1"/>
    <xf numFmtId="165" fontId="0" fillId="0" borderId="25" xfId="0" applyNumberFormat="1" applyFill="1" applyBorder="1"/>
    <xf numFmtId="165" fontId="0" fillId="0" borderId="26" xfId="0" applyNumberFormat="1" applyFill="1" applyBorder="1"/>
    <xf numFmtId="165" fontId="0" fillId="3" borderId="24" xfId="1" applyNumberFormat="1" applyFont="1" applyFill="1" applyBorder="1" applyAlignment="1">
      <alignment horizontal="center"/>
    </xf>
    <xf numFmtId="0" fontId="0" fillId="3" borderId="18" xfId="0" applyFill="1" applyBorder="1" applyAlignment="1">
      <alignment horizontal="center"/>
    </xf>
    <xf numFmtId="0" fontId="0" fillId="0" borderId="0" xfId="0"/>
    <xf numFmtId="0" fontId="12" fillId="0" borderId="0" xfId="0" applyFont="1"/>
    <xf numFmtId="165" fontId="0" fillId="2" borderId="0" xfId="1" applyNumberFormat="1" applyFont="1" applyFill="1"/>
    <xf numFmtId="0" fontId="0" fillId="0" borderId="0" xfId="0" applyFill="1"/>
    <xf numFmtId="0" fontId="0" fillId="0" borderId="0" xfId="0" applyFont="1" applyFill="1"/>
    <xf numFmtId="0" fontId="0" fillId="0" borderId="0" xfId="0"/>
    <xf numFmtId="0" fontId="0" fillId="0" borderId="0" xfId="0" applyFill="1" applyBorder="1"/>
    <xf numFmtId="0" fontId="0" fillId="0" borderId="0" xfId="0" applyFont="1" applyFill="1" applyAlignment="1">
      <alignment horizontal="left" wrapText="1" indent="1"/>
    </xf>
    <xf numFmtId="0" fontId="0" fillId="0" borderId="0" xfId="0" applyFill="1" applyAlignment="1">
      <alignment horizontal="left" wrapText="1" indent="1"/>
    </xf>
    <xf numFmtId="0" fontId="0" fillId="0" borderId="0" xfId="0" applyFill="1" applyAlignment="1">
      <alignment horizontal="left" vertical="top" wrapText="1" indent="1"/>
    </xf>
    <xf numFmtId="0" fontId="0" fillId="0" borderId="0" xfId="0" applyAlignment="1">
      <alignment horizontal="left" wrapText="1" indent="1"/>
    </xf>
    <xf numFmtId="0" fontId="0" fillId="0" borderId="0" xfId="0" applyAlignment="1">
      <alignment horizontal="left" vertical="top" wrapText="1" indent="1"/>
    </xf>
    <xf numFmtId="41" fontId="0" fillId="0" borderId="0" xfId="0" applyNumberFormat="1"/>
    <xf numFmtId="10" fontId="0" fillId="0" borderId="0" xfId="0" applyNumberFormat="1"/>
    <xf numFmtId="165" fontId="13" fillId="0" borderId="0" xfId="1" applyNumberFormat="1" applyFont="1" applyBorder="1" applyAlignment="1">
      <alignment horizontal="center" wrapText="1"/>
    </xf>
    <xf numFmtId="0" fontId="0" fillId="0" borderId="0" xfId="0"/>
    <xf numFmtId="0" fontId="12" fillId="0" borderId="0" xfId="0" applyFont="1"/>
    <xf numFmtId="165" fontId="0" fillId="2" borderId="0" xfId="1" applyNumberFormat="1" applyFont="1" applyFill="1"/>
    <xf numFmtId="0" fontId="0" fillId="0" borderId="0" xfId="0" applyFill="1"/>
    <xf numFmtId="0" fontId="10" fillId="0" borderId="0" xfId="0" applyFont="1" applyAlignment="1">
      <alignment horizontal="left" vertical="top" wrapText="1"/>
    </xf>
    <xf numFmtId="171" fontId="14" fillId="0" borderId="0" xfId="0" applyNumberFormat="1" applyFont="1"/>
    <xf numFmtId="0" fontId="0" fillId="0" borderId="0" xfId="0"/>
    <xf numFmtId="0" fontId="12" fillId="0" borderId="0" xfId="0" applyFont="1"/>
    <xf numFmtId="0" fontId="0" fillId="0" borderId="0" xfId="0" applyAlignment="1">
      <alignment vertical="top" wrapText="1"/>
    </xf>
    <xf numFmtId="0" fontId="10" fillId="0" borderId="0" xfId="0" applyFont="1" applyAlignment="1">
      <alignment horizontal="left" wrapText="1" indent="1"/>
    </xf>
    <xf numFmtId="0" fontId="10" fillId="0" borderId="0" xfId="0" applyFont="1" applyAlignment="1">
      <alignment horizontal="left" vertical="top" wrapText="1" indent="1"/>
    </xf>
    <xf numFmtId="0" fontId="10" fillId="0" borderId="0" xfId="0" applyFont="1" applyFill="1" applyAlignment="1">
      <alignment wrapText="1"/>
    </xf>
    <xf numFmtId="0" fontId="10" fillId="0" borderId="0" xfId="0" applyFont="1" applyAlignment="1">
      <alignment horizontal="left" wrapText="1"/>
    </xf>
    <xf numFmtId="0" fontId="0" fillId="0" borderId="0" xfId="0" applyFont="1" applyFill="1" applyAlignment="1">
      <alignment wrapText="1"/>
    </xf>
    <xf numFmtId="0" fontId="10" fillId="0" borderId="0" xfId="0" quotePrefix="1" applyFont="1" applyAlignment="1">
      <alignment vertical="top"/>
    </xf>
    <xf numFmtId="0" fontId="14" fillId="0" borderId="0" xfId="0" applyFont="1" applyAlignment="1">
      <alignment vertical="top"/>
    </xf>
    <xf numFmtId="10" fontId="12" fillId="12" borderId="0" xfId="3" applyNumberFormat="1" applyFont="1" applyFill="1" applyBorder="1" applyAlignment="1" applyProtection="1">
      <alignment horizontal="center"/>
      <protection locked="0"/>
    </xf>
    <xf numFmtId="0" fontId="0" fillId="0" borderId="0" xfId="0"/>
    <xf numFmtId="0" fontId="0" fillId="0" borderId="0" xfId="0"/>
    <xf numFmtId="0" fontId="0" fillId="0" borderId="0" xfId="0" applyFill="1" applyBorder="1"/>
    <xf numFmtId="0" fontId="0" fillId="0" borderId="0" xfId="0" applyAlignment="1">
      <alignment horizontal="center"/>
    </xf>
    <xf numFmtId="0" fontId="0" fillId="0" borderId="0" xfId="0" applyFill="1" applyBorder="1" applyAlignment="1">
      <alignment wrapText="1"/>
    </xf>
    <xf numFmtId="0" fontId="64" fillId="0" borderId="0" xfId="4" applyFont="1" applyFill="1"/>
    <xf numFmtId="0" fontId="9" fillId="0" borderId="0" xfId="4" applyFill="1"/>
    <xf numFmtId="0" fontId="64" fillId="0" borderId="1" xfId="4" applyFont="1" applyFill="1" applyBorder="1" applyAlignment="1">
      <alignment horizontal="centerContinuous"/>
    </xf>
    <xf numFmtId="0" fontId="66" fillId="0" borderId="0" xfId="4" applyFont="1" applyFill="1" applyBorder="1" applyAlignment="1">
      <alignment horizontal="center" wrapText="1"/>
    </xf>
    <xf numFmtId="0" fontId="67" fillId="0" borderId="0" xfId="4" applyFont="1" applyFill="1" applyBorder="1" applyAlignment="1">
      <alignment horizontal="left" wrapText="1"/>
    </xf>
    <xf numFmtId="0" fontId="72" fillId="0" borderId="0" xfId="4" applyFont="1" applyFill="1" applyBorder="1" applyAlignment="1">
      <alignment horizontal="center"/>
    </xf>
    <xf numFmtId="0" fontId="72" fillId="0" borderId="0" xfId="4" applyFont="1" applyFill="1" applyBorder="1" applyAlignment="1">
      <alignment horizontal="left"/>
    </xf>
    <xf numFmtId="171" fontId="72" fillId="0" borderId="0" xfId="5" applyNumberFormat="1" applyFont="1" applyFill="1" applyBorder="1" applyAlignment="1">
      <alignment horizontal="center"/>
    </xf>
    <xf numFmtId="165" fontId="72" fillId="0" borderId="0" xfId="6" applyNumberFormat="1" applyFont="1" applyFill="1"/>
    <xf numFmtId="170" fontId="72" fillId="0" borderId="0" xfId="4" applyNumberFormat="1" applyFont="1" applyFill="1"/>
    <xf numFmtId="165" fontId="72" fillId="0" borderId="0" xfId="4" applyNumberFormat="1" applyFont="1" applyFill="1"/>
    <xf numFmtId="0" fontId="72" fillId="0" borderId="0" xfId="4" applyFont="1" applyFill="1" applyAlignment="1">
      <alignment horizontal="center"/>
    </xf>
    <xf numFmtId="0" fontId="73" fillId="0" borderId="0" xfId="4" applyFont="1" applyFill="1" applyBorder="1" applyAlignment="1">
      <alignment horizontal="center"/>
    </xf>
    <xf numFmtId="0" fontId="74" fillId="0" borderId="0" xfId="4" applyFont="1" applyFill="1" applyBorder="1" applyAlignment="1">
      <alignment horizontal="left"/>
    </xf>
    <xf numFmtId="171" fontId="74" fillId="0" borderId="0" xfId="4" applyNumberFormat="1" applyFont="1" applyFill="1" applyBorder="1" applyAlignment="1">
      <alignment horizontal="left"/>
    </xf>
    <xf numFmtId="165" fontId="74" fillId="0" borderId="0" xfId="4" applyNumberFormat="1" applyFont="1" applyFill="1" applyBorder="1" applyAlignment="1">
      <alignment horizontal="left"/>
    </xf>
    <xf numFmtId="165" fontId="64" fillId="0" borderId="0" xfId="6" applyNumberFormat="1" applyFont="1" applyFill="1"/>
    <xf numFmtId="165" fontId="0" fillId="0" borderId="0" xfId="6" applyNumberFormat="1" applyFont="1"/>
    <xf numFmtId="0" fontId="9" fillId="0" borderId="0" xfId="4" applyFill="1" applyAlignment="1">
      <alignment horizontal="center"/>
    </xf>
    <xf numFmtId="171" fontId="0" fillId="0" borderId="0" xfId="5" applyNumberFormat="1" applyFont="1"/>
    <xf numFmtId="165" fontId="0" fillId="0" borderId="0" xfId="6" applyNumberFormat="1" applyFont="1" applyAlignment="1">
      <alignment horizontal="left"/>
    </xf>
    <xf numFmtId="0" fontId="64" fillId="0" borderId="0" xfId="0" applyFont="1" applyAlignment="1">
      <alignment horizontal="center"/>
    </xf>
    <xf numFmtId="0" fontId="0" fillId="0" borderId="0" xfId="0" applyFont="1" applyAlignment="1">
      <alignment horizontal="right"/>
    </xf>
    <xf numFmtId="43" fontId="0" fillId="0" borderId="0" xfId="6" applyFont="1"/>
    <xf numFmtId="0" fontId="0" fillId="0" borderId="0" xfId="0"/>
    <xf numFmtId="165" fontId="10" fillId="0" borderId="2" xfId="1" applyNumberFormat="1" applyFont="1" applyFill="1" applyBorder="1"/>
    <xf numFmtId="0" fontId="69" fillId="2" borderId="24" xfId="0" applyFont="1" applyFill="1" applyBorder="1" applyAlignment="1">
      <alignment wrapText="1"/>
    </xf>
    <xf numFmtId="0" fontId="0" fillId="0" borderId="0" xfId="0"/>
    <xf numFmtId="0" fontId="0" fillId="0" borderId="0" xfId="0"/>
    <xf numFmtId="165" fontId="0" fillId="4" borderId="0" xfId="1" applyNumberFormat="1" applyFont="1" applyFill="1" applyBorder="1" applyProtection="1">
      <protection locked="0"/>
    </xf>
    <xf numFmtId="0" fontId="0" fillId="0" borderId="0" xfId="0" applyFill="1" applyBorder="1"/>
    <xf numFmtId="0" fontId="0" fillId="0" borderId="0" xfId="0"/>
    <xf numFmtId="0" fontId="12" fillId="0" borderId="0" xfId="0" applyFont="1"/>
    <xf numFmtId="0" fontId="0" fillId="0" borderId="0" xfId="0" applyFill="1"/>
    <xf numFmtId="0" fontId="10" fillId="6" borderId="0" xfId="0" applyFont="1" applyFill="1" applyBorder="1"/>
    <xf numFmtId="0" fontId="0" fillId="0" borderId="0" xfId="0"/>
    <xf numFmtId="0" fontId="12" fillId="0" borderId="0" xfId="0" applyFont="1"/>
    <xf numFmtId="0" fontId="0" fillId="0" borderId="0" xfId="0" applyFill="1"/>
    <xf numFmtId="165" fontId="0" fillId="2" borderId="0" xfId="1" applyNumberFormat="1" applyFont="1" applyFill="1"/>
    <xf numFmtId="165" fontId="14" fillId="0" borderId="0" xfId="0" applyNumberFormat="1" applyFont="1" applyBorder="1" applyAlignment="1">
      <alignment wrapText="1"/>
    </xf>
    <xf numFmtId="0" fontId="0" fillId="0" borderId="0" xfId="0"/>
    <xf numFmtId="0" fontId="0" fillId="0" borderId="0" xfId="0" applyFill="1" applyBorder="1"/>
    <xf numFmtId="0" fontId="64" fillId="0" borderId="0" xfId="8" applyFont="1" applyFill="1"/>
    <xf numFmtId="0" fontId="8" fillId="0" borderId="0" xfId="8" applyFill="1"/>
    <xf numFmtId="0" fontId="64" fillId="0" borderId="1" xfId="8" applyFont="1" applyFill="1" applyBorder="1" applyAlignment="1">
      <alignment horizontal="centerContinuous"/>
    </xf>
    <xf numFmtId="0" fontId="66" fillId="0" borderId="0" xfId="8" applyFont="1" applyFill="1" applyBorder="1" applyAlignment="1">
      <alignment horizontal="center" wrapText="1"/>
    </xf>
    <xf numFmtId="0" fontId="67" fillId="0" borderId="0" xfId="8" applyFont="1" applyFill="1" applyBorder="1" applyAlignment="1">
      <alignment horizontal="left" wrapText="1"/>
    </xf>
    <xf numFmtId="0" fontId="72" fillId="0" borderId="0" xfId="8" applyFont="1" applyFill="1" applyBorder="1" applyAlignment="1">
      <alignment horizontal="center"/>
    </xf>
    <xf numFmtId="0" fontId="72" fillId="0" borderId="0" xfId="8" applyFont="1" applyFill="1" applyBorder="1" applyAlignment="1">
      <alignment horizontal="left"/>
    </xf>
    <xf numFmtId="171" fontId="72" fillId="0" borderId="0" xfId="9" applyNumberFormat="1" applyFont="1" applyFill="1"/>
    <xf numFmtId="165" fontId="72" fillId="0" borderId="0" xfId="10" applyNumberFormat="1" applyFont="1" applyFill="1"/>
    <xf numFmtId="170" fontId="72" fillId="0" borderId="0" xfId="8" applyNumberFormat="1" applyFont="1" applyFill="1"/>
    <xf numFmtId="165" fontId="72" fillId="0" borderId="0" xfId="8" applyNumberFormat="1" applyFont="1" applyFill="1"/>
    <xf numFmtId="0" fontId="72" fillId="0" borderId="0" xfId="8" applyFont="1" applyFill="1" applyAlignment="1">
      <alignment horizontal="center"/>
    </xf>
    <xf numFmtId="171" fontId="0" fillId="0" borderId="0" xfId="9" applyNumberFormat="1" applyFont="1" applyFill="1"/>
    <xf numFmtId="165" fontId="0" fillId="0" borderId="0" xfId="10" applyNumberFormat="1" applyFont="1" applyFill="1"/>
    <xf numFmtId="170" fontId="8" fillId="0" borderId="0" xfId="8" applyNumberFormat="1" applyFill="1"/>
    <xf numFmtId="165" fontId="8" fillId="0" borderId="0" xfId="8" applyNumberFormat="1" applyFill="1"/>
    <xf numFmtId="0" fontId="72" fillId="0" borderId="0" xfId="8" applyFont="1" applyFill="1"/>
    <xf numFmtId="171" fontId="8" fillId="0" borderId="0" xfId="9" applyNumberFormat="1" applyFont="1" applyFill="1"/>
    <xf numFmtId="165" fontId="8" fillId="0" borderId="0" xfId="10" applyNumberFormat="1" applyFont="1" applyFill="1"/>
    <xf numFmtId="170" fontId="8" fillId="0" borderId="0" xfId="10" applyNumberFormat="1" applyFont="1" applyFill="1" applyAlignment="1">
      <alignment horizontal="left"/>
    </xf>
    <xf numFmtId="0" fontId="74" fillId="0" borderId="0" xfId="8" applyFont="1" applyFill="1" applyBorder="1" applyAlignment="1">
      <alignment horizontal="left"/>
    </xf>
    <xf numFmtId="171" fontId="64" fillId="0" borderId="0" xfId="9" applyNumberFormat="1" applyFont="1" applyFill="1"/>
    <xf numFmtId="165" fontId="64" fillId="0" borderId="0" xfId="10" applyNumberFormat="1" applyFont="1" applyFill="1"/>
    <xf numFmtId="0" fontId="73" fillId="0" borderId="0" xfId="8" applyFont="1" applyFill="1" applyAlignment="1">
      <alignment horizontal="center"/>
    </xf>
    <xf numFmtId="0" fontId="64" fillId="0" borderId="0" xfId="8" applyFont="1" applyFill="1" applyAlignment="1">
      <alignment horizontal="center"/>
    </xf>
    <xf numFmtId="0" fontId="73" fillId="0" borderId="0" xfId="8" applyFont="1" applyFill="1" applyAlignment="1">
      <alignment horizontal="right"/>
    </xf>
    <xf numFmtId="0" fontId="8" fillId="0" borderId="0" xfId="8" applyFill="1" applyAlignment="1">
      <alignment horizontal="center"/>
    </xf>
    <xf numFmtId="0" fontId="73" fillId="0" borderId="0" xfId="0" applyFont="1" applyFill="1" applyBorder="1"/>
    <xf numFmtId="0" fontId="0" fillId="0" borderId="0" xfId="0" applyFill="1" applyBorder="1" applyAlignment="1">
      <alignment horizontal="center" wrapText="1"/>
    </xf>
    <xf numFmtId="0" fontId="0" fillId="0" borderId="0" xfId="0" applyFill="1" applyBorder="1" applyAlignment="1">
      <alignment horizontal="right" wrapText="1"/>
    </xf>
    <xf numFmtId="0" fontId="0" fillId="0" borderId="0" xfId="0" applyFill="1" applyBorder="1" applyAlignment="1">
      <alignment horizontal="right"/>
    </xf>
    <xf numFmtId="165" fontId="0" fillId="0" borderId="0" xfId="0" applyNumberFormat="1" applyFill="1" applyBorder="1" applyAlignment="1">
      <alignment horizontal="center"/>
    </xf>
    <xf numFmtId="0" fontId="0" fillId="0" borderId="0" xfId="0" applyAlignment="1">
      <alignment wrapText="1"/>
    </xf>
    <xf numFmtId="0" fontId="0" fillId="0" borderId="0" xfId="0"/>
    <xf numFmtId="0" fontId="12" fillId="0" borderId="0" xfId="0" applyFont="1"/>
    <xf numFmtId="165" fontId="0" fillId="4" borderId="0" xfId="1" applyNumberFormat="1" applyFont="1" applyFill="1" applyBorder="1" applyProtection="1">
      <protection locked="0"/>
    </xf>
    <xf numFmtId="165" fontId="0" fillId="2" borderId="0" xfId="0" applyNumberFormat="1" applyFill="1"/>
    <xf numFmtId="0" fontId="72" fillId="0" borderId="0" xfId="0" applyFont="1" applyFill="1" applyBorder="1" applyAlignment="1">
      <alignment horizontal="center"/>
    </xf>
    <xf numFmtId="0" fontId="0" fillId="0" borderId="0" xfId="0" applyFill="1"/>
    <xf numFmtId="0" fontId="0" fillId="0" borderId="0" xfId="0" applyFill="1" applyBorder="1"/>
    <xf numFmtId="0" fontId="0" fillId="0" borderId="0" xfId="0" applyFill="1" applyBorder="1" applyAlignment="1">
      <alignment wrapText="1"/>
    </xf>
    <xf numFmtId="0" fontId="0" fillId="12" borderId="0" xfId="0" applyFill="1" applyProtection="1">
      <protection locked="0"/>
    </xf>
    <xf numFmtId="0" fontId="0" fillId="12" borderId="0" xfId="0" applyFill="1"/>
    <xf numFmtId="0" fontId="0" fillId="12" borderId="0" xfId="0" applyFill="1" applyBorder="1" applyProtection="1">
      <protection locked="0"/>
    </xf>
    <xf numFmtId="165" fontId="0" fillId="12" borderId="0" xfId="1" applyNumberFormat="1" applyFont="1" applyFill="1" applyBorder="1" applyProtection="1">
      <protection locked="0"/>
    </xf>
    <xf numFmtId="0" fontId="75" fillId="0" borderId="0" xfId="11" applyFont="1"/>
    <xf numFmtId="165" fontId="10" fillId="0" borderId="0" xfId="12" applyNumberFormat="1" applyFont="1"/>
    <xf numFmtId="165" fontId="10" fillId="0" borderId="14" xfId="12" applyNumberFormat="1" applyFont="1" applyBorder="1"/>
    <xf numFmtId="165" fontId="10" fillId="0" borderId="0" xfId="12" applyNumberFormat="1" applyFont="1" applyFill="1"/>
    <xf numFmtId="165" fontId="10" fillId="2" borderId="0" xfId="1" applyNumberFormat="1" applyFont="1" applyFill="1" applyAlignment="1">
      <alignment horizontal="right"/>
    </xf>
    <xf numFmtId="43" fontId="10" fillId="0" borderId="0" xfId="1" applyFont="1"/>
    <xf numFmtId="165" fontId="10" fillId="2" borderId="12" xfId="1" applyNumberFormat="1" applyFont="1" applyFill="1" applyBorder="1" applyAlignment="1">
      <alignment horizontal="right"/>
    </xf>
    <xf numFmtId="0" fontId="10" fillId="3" borderId="34" xfId="0" applyFont="1" applyFill="1" applyBorder="1" applyAlignment="1">
      <alignment horizontal="center"/>
    </xf>
    <xf numFmtId="0" fontId="10" fillId="0" borderId="0" xfId="0" applyFont="1" applyFill="1" applyBorder="1" applyAlignment="1">
      <alignment wrapText="1"/>
    </xf>
    <xf numFmtId="0" fontId="10" fillId="3" borderId="27" xfId="0" applyFont="1" applyFill="1" applyBorder="1" applyAlignment="1">
      <alignment horizontal="center"/>
    </xf>
    <xf numFmtId="0" fontId="10" fillId="0" borderId="0" xfId="0" applyFont="1" applyFill="1" applyBorder="1"/>
    <xf numFmtId="0" fontId="10" fillId="0" borderId="2" xfId="0" applyFont="1" applyBorder="1" applyAlignment="1">
      <alignment horizontal="center"/>
    </xf>
    <xf numFmtId="0" fontId="10" fillId="0" borderId="22" xfId="0" applyFont="1" applyBorder="1" applyAlignment="1">
      <alignment horizontal="center"/>
    </xf>
    <xf numFmtId="0" fontId="10" fillId="3" borderId="18" xfId="0" applyFont="1" applyFill="1" applyBorder="1" applyAlignment="1">
      <alignment horizontal="center"/>
    </xf>
    <xf numFmtId="0" fontId="10" fillId="0" borderId="15" xfId="0" applyFont="1" applyBorder="1" applyAlignment="1">
      <alignment horizontal="center"/>
    </xf>
    <xf numFmtId="0" fontId="10" fillId="0" borderId="16" xfId="0" applyFont="1" applyBorder="1" applyAlignment="1">
      <alignment horizontal="center"/>
    </xf>
    <xf numFmtId="165" fontId="10" fillId="3" borderId="27" xfId="1" applyNumberFormat="1" applyFont="1" applyFill="1" applyBorder="1" applyAlignment="1">
      <alignment horizontal="center"/>
    </xf>
    <xf numFmtId="165" fontId="10" fillId="0" borderId="2" xfId="1" applyNumberFormat="1" applyFont="1" applyBorder="1"/>
    <xf numFmtId="165" fontId="10" fillId="0" borderId="25" xfId="0" applyNumberFormat="1" applyFont="1" applyFill="1" applyBorder="1"/>
    <xf numFmtId="165" fontId="10" fillId="0" borderId="26" xfId="0" applyNumberFormat="1" applyFont="1" applyFill="1" applyBorder="1"/>
    <xf numFmtId="165" fontId="10" fillId="3" borderId="24" xfId="1" applyNumberFormat="1" applyFont="1" applyFill="1" applyBorder="1" applyAlignment="1">
      <alignment horizontal="center"/>
    </xf>
    <xf numFmtId="0" fontId="0" fillId="0" borderId="0" xfId="0" applyFill="1" applyBorder="1" applyAlignment="1">
      <alignment horizontal="left" wrapText="1"/>
    </xf>
    <xf numFmtId="165" fontId="0" fillId="0" borderId="0" xfId="0" applyNumberFormat="1" applyFill="1" applyBorder="1" applyAlignment="1">
      <alignment horizontal="right" wrapText="1"/>
    </xf>
    <xf numFmtId="165" fontId="0" fillId="6" borderId="0" xfId="0" applyNumberFormat="1" applyFill="1" applyProtection="1">
      <protection locked="0"/>
    </xf>
    <xf numFmtId="165" fontId="10" fillId="0" borderId="0" xfId="0" applyNumberFormat="1" applyFont="1"/>
    <xf numFmtId="165" fontId="10" fillId="12" borderId="0" xfId="12" applyNumberFormat="1" applyFont="1" applyFill="1" applyProtection="1">
      <protection locked="0"/>
    </xf>
    <xf numFmtId="0" fontId="75" fillId="0" borderId="0" xfId="11" applyFont="1" applyAlignment="1">
      <alignment vertical="top" wrapText="1"/>
    </xf>
    <xf numFmtId="0" fontId="75" fillId="0" borderId="0" xfId="11" applyFont="1" applyAlignment="1">
      <alignment vertical="top"/>
    </xf>
    <xf numFmtId="165" fontId="10" fillId="0" borderId="0" xfId="12" applyNumberFormat="1" applyFont="1" applyBorder="1"/>
    <xf numFmtId="0" fontId="6" fillId="0" borderId="0" xfId="13"/>
    <xf numFmtId="165" fontId="0" fillId="0" borderId="0" xfId="14" applyNumberFormat="1" applyFont="1"/>
    <xf numFmtId="0" fontId="6" fillId="0" borderId="0" xfId="13" applyFill="1"/>
    <xf numFmtId="165" fontId="0" fillId="0" borderId="0" xfId="14" applyNumberFormat="1" applyFont="1" applyFill="1"/>
    <xf numFmtId="0" fontId="64" fillId="0" borderId="0" xfId="13" applyFont="1" applyFill="1"/>
    <xf numFmtId="165" fontId="6" fillId="0" borderId="0" xfId="13" applyNumberFormat="1" applyFill="1"/>
    <xf numFmtId="42" fontId="6" fillId="0" borderId="0" xfId="13" applyNumberFormat="1"/>
    <xf numFmtId="0" fontId="72" fillId="0" borderId="0" xfId="13" applyFont="1" applyFill="1"/>
    <xf numFmtId="0" fontId="72" fillId="13" borderId="0" xfId="13" applyFont="1" applyFill="1"/>
    <xf numFmtId="0" fontId="74" fillId="0" borderId="1" xfId="13" applyFont="1" applyFill="1" applyBorder="1" applyAlignment="1">
      <alignment horizontal="centerContinuous"/>
    </xf>
    <xf numFmtId="0" fontId="74" fillId="13" borderId="1" xfId="13" applyFont="1" applyFill="1" applyBorder="1" applyAlignment="1">
      <alignment horizontal="centerContinuous"/>
    </xf>
    <xf numFmtId="0" fontId="74" fillId="0" borderId="0" xfId="13" applyFont="1" applyFill="1" applyBorder="1" applyAlignment="1">
      <alignment horizontal="center" wrapText="1"/>
    </xf>
    <xf numFmtId="0" fontId="74" fillId="13" borderId="0" xfId="13" applyFont="1" applyFill="1" applyBorder="1" applyAlignment="1">
      <alignment horizontal="center" wrapText="1"/>
    </xf>
    <xf numFmtId="0" fontId="66" fillId="0" borderId="0" xfId="13" applyFont="1" applyFill="1" applyBorder="1" applyAlignment="1">
      <alignment horizontal="center" wrapText="1"/>
    </xf>
    <xf numFmtId="0" fontId="67" fillId="0" borderId="0" xfId="13" applyFont="1" applyFill="1" applyBorder="1" applyAlignment="1">
      <alignment horizontal="left" wrapText="1"/>
    </xf>
    <xf numFmtId="0" fontId="72" fillId="0" borderId="0" xfId="13" applyFont="1" applyFill="1" applyBorder="1" applyAlignment="1">
      <alignment horizontal="center"/>
    </xf>
    <xf numFmtId="0" fontId="72" fillId="0" borderId="0" xfId="13" applyFont="1" applyFill="1" applyBorder="1" applyAlignment="1">
      <alignment horizontal="left"/>
    </xf>
    <xf numFmtId="171" fontId="72" fillId="0" borderId="0" xfId="15" applyNumberFormat="1" applyFont="1" applyFill="1"/>
    <xf numFmtId="165" fontId="72" fillId="0" borderId="0" xfId="14" applyNumberFormat="1" applyFont="1" applyFill="1"/>
    <xf numFmtId="170" fontId="72" fillId="0" borderId="0" xfId="13" applyNumberFormat="1" applyFont="1" applyFill="1"/>
    <xf numFmtId="170" fontId="72" fillId="13" borderId="0" xfId="13" applyNumberFormat="1" applyFont="1" applyFill="1"/>
    <xf numFmtId="165" fontId="72" fillId="0" borderId="0" xfId="13" applyNumberFormat="1" applyFont="1" applyFill="1"/>
    <xf numFmtId="0" fontId="72" fillId="0" borderId="0" xfId="13" applyFont="1" applyFill="1" applyAlignment="1">
      <alignment horizontal="center"/>
    </xf>
    <xf numFmtId="172" fontId="72" fillId="0" borderId="0" xfId="15" applyNumberFormat="1" applyFont="1" applyFill="1"/>
    <xf numFmtId="0" fontId="74" fillId="0" borderId="0" xfId="13" applyFont="1" applyFill="1" applyBorder="1" applyAlignment="1">
      <alignment horizontal="center"/>
    </xf>
    <xf numFmtId="0" fontId="74" fillId="0" borderId="0" xfId="13" applyFont="1" applyFill="1" applyBorder="1" applyAlignment="1">
      <alignment horizontal="left"/>
    </xf>
    <xf numFmtId="171" fontId="74" fillId="0" borderId="0" xfId="15" applyNumberFormat="1" applyFont="1" applyFill="1"/>
    <xf numFmtId="165" fontId="74" fillId="0" borderId="0" xfId="14" applyNumberFormat="1" applyFont="1" applyFill="1"/>
    <xf numFmtId="170" fontId="74" fillId="0" borderId="0" xfId="13" applyNumberFormat="1" applyFont="1" applyFill="1"/>
    <xf numFmtId="170" fontId="74" fillId="13" borderId="0" xfId="13" applyNumberFormat="1" applyFont="1" applyFill="1"/>
    <xf numFmtId="0" fontId="74" fillId="0" borderId="0" xfId="13" applyFont="1" applyFill="1"/>
    <xf numFmtId="49" fontId="72" fillId="0" borderId="0" xfId="13" applyNumberFormat="1" applyFont="1" applyFill="1" applyBorder="1" applyAlignment="1">
      <alignment horizontal="left"/>
    </xf>
    <xf numFmtId="0" fontId="64" fillId="0" borderId="1" xfId="13" applyFont="1" applyFill="1" applyBorder="1" applyAlignment="1">
      <alignment horizontal="centerContinuous"/>
    </xf>
    <xf numFmtId="41" fontId="66" fillId="0" borderId="0" xfId="13" applyNumberFormat="1" applyFont="1" applyFill="1" applyBorder="1" applyAlignment="1">
      <alignment horizontal="center" wrapText="1"/>
    </xf>
    <xf numFmtId="171" fontId="0" fillId="0" borderId="0" xfId="15" applyNumberFormat="1" applyFont="1" applyFill="1"/>
    <xf numFmtId="170" fontId="6" fillId="0" borderId="0" xfId="13" applyNumberFormat="1" applyFill="1"/>
    <xf numFmtId="171" fontId="6" fillId="0" borderId="0" xfId="15" applyNumberFormat="1" applyFont="1" applyFill="1"/>
    <xf numFmtId="165" fontId="6" fillId="0" borderId="0" xfId="14" applyNumberFormat="1" applyFont="1" applyFill="1"/>
    <xf numFmtId="170" fontId="6" fillId="0" borderId="0" xfId="14" applyNumberFormat="1" applyFont="1" applyFill="1" applyAlignment="1">
      <alignment horizontal="left"/>
    </xf>
    <xf numFmtId="171" fontId="64" fillId="0" borderId="0" xfId="15" applyNumberFormat="1" applyFont="1" applyFill="1"/>
    <xf numFmtId="165" fontId="64" fillId="0" borderId="0" xfId="14" applyNumberFormat="1" applyFont="1" applyFill="1"/>
    <xf numFmtId="0" fontId="73" fillId="0" borderId="0" xfId="13" applyFont="1" applyFill="1" applyAlignment="1">
      <alignment horizontal="center"/>
    </xf>
    <xf numFmtId="0" fontId="64" fillId="0" borderId="0" xfId="13" applyFont="1" applyFill="1" applyAlignment="1">
      <alignment horizontal="center"/>
    </xf>
    <xf numFmtId="0" fontId="73" fillId="0" borderId="0" xfId="13" applyFont="1" applyFill="1" applyAlignment="1">
      <alignment horizontal="right"/>
    </xf>
    <xf numFmtId="0" fontId="5" fillId="0" borderId="0" xfId="13" applyFont="1" applyFill="1"/>
    <xf numFmtId="0" fontId="67" fillId="0" borderId="0" xfId="13" applyFont="1" applyFill="1" applyBorder="1" applyAlignment="1">
      <alignment horizontal="center" wrapText="1"/>
    </xf>
    <xf numFmtId="0" fontId="77" fillId="0" borderId="24" xfId="16" applyFont="1" applyFill="1" applyBorder="1"/>
    <xf numFmtId="43" fontId="77" fillId="0" borderId="24" xfId="17" applyFont="1" applyFill="1" applyBorder="1"/>
    <xf numFmtId="0" fontId="78" fillId="0" borderId="0" xfId="16" applyFont="1" applyFill="1" applyBorder="1"/>
    <xf numFmtId="0" fontId="5" fillId="0" borderId="0" xfId="16"/>
    <xf numFmtId="0" fontId="79" fillId="0" borderId="0" xfId="16" applyFont="1" applyFill="1" applyBorder="1" applyAlignment="1">
      <alignment horizontal="right"/>
    </xf>
    <xf numFmtId="0" fontId="79" fillId="0" borderId="0" xfId="16" applyFont="1" applyFill="1" applyBorder="1"/>
    <xf numFmtId="43" fontId="77" fillId="0" borderId="0" xfId="17" applyFont="1" applyFill="1" applyBorder="1"/>
    <xf numFmtId="43" fontId="78" fillId="0" borderId="0" xfId="17" applyFont="1" applyFill="1" applyBorder="1"/>
    <xf numFmtId="43" fontId="77" fillId="0" borderId="12" xfId="17" applyFont="1" applyFill="1" applyBorder="1"/>
    <xf numFmtId="0" fontId="77" fillId="0" borderId="0" xfId="16" applyFont="1" applyFill="1" applyBorder="1"/>
    <xf numFmtId="0" fontId="78" fillId="0" borderId="0" xfId="16" applyFont="1" applyFill="1" applyBorder="1" applyAlignment="1">
      <alignment horizontal="right"/>
    </xf>
    <xf numFmtId="171" fontId="0" fillId="14" borderId="0" xfId="5" applyNumberFormat="1" applyFont="1" applyFill="1"/>
    <xf numFmtId="165" fontId="0" fillId="14" borderId="0" xfId="1" applyNumberFormat="1" applyFont="1" applyFill="1"/>
    <xf numFmtId="0" fontId="4" fillId="0" borderId="0" xfId="13" applyFont="1" applyFill="1"/>
    <xf numFmtId="0" fontId="6" fillId="0" borderId="0" xfId="13" applyFill="1" applyAlignment="1">
      <alignment horizontal="center"/>
    </xf>
    <xf numFmtId="0" fontId="4" fillId="0" borderId="0" xfId="13" applyFont="1" applyFill="1" applyAlignment="1">
      <alignment horizontal="center"/>
    </xf>
    <xf numFmtId="0" fontId="0" fillId="0" borderId="0" xfId="0" applyFill="1"/>
    <xf numFmtId="165" fontId="0" fillId="14" borderId="0" xfId="1" applyNumberFormat="1" applyFont="1" applyFill="1" applyAlignment="1"/>
    <xf numFmtId="165" fontId="0" fillId="14" borderId="0" xfId="6" applyNumberFormat="1" applyFont="1" applyFill="1"/>
    <xf numFmtId="165" fontId="0" fillId="15" borderId="0" xfId="6" applyNumberFormat="1" applyFont="1" applyFill="1" applyAlignment="1"/>
    <xf numFmtId="0" fontId="66" fillId="0" borderId="0" xfId="0" applyFont="1" applyFill="1" applyBorder="1" applyAlignment="1">
      <alignment horizontal="center" vertical="center" wrapText="1"/>
    </xf>
    <xf numFmtId="165" fontId="0" fillId="0" borderId="0" xfId="6" applyNumberFormat="1" applyFont="1" applyAlignment="1">
      <alignment horizontal="center" vertical="center"/>
    </xf>
    <xf numFmtId="10" fontId="12" fillId="0" borderId="0" xfId="0" applyNumberFormat="1" applyFont="1" applyFill="1" applyBorder="1" applyAlignment="1">
      <alignment horizontal="left"/>
    </xf>
    <xf numFmtId="0" fontId="0" fillId="0" borderId="0" xfId="0"/>
    <xf numFmtId="165" fontId="0" fillId="4" borderId="0" xfId="1" applyNumberFormat="1" applyFont="1" applyFill="1" applyBorder="1" applyProtection="1">
      <protection locked="0"/>
    </xf>
    <xf numFmtId="166" fontId="10" fillId="0" borderId="0" xfId="3" applyNumberFormat="1" applyBorder="1"/>
    <xf numFmtId="41" fontId="0" fillId="0" borderId="0" xfId="0" applyNumberFormat="1" applyAlignment="1">
      <alignment horizontal="left" indent="2"/>
    </xf>
    <xf numFmtId="166" fontId="10" fillId="12" borderId="0" xfId="2" applyNumberFormat="1" applyFill="1" applyProtection="1">
      <protection locked="0"/>
    </xf>
    <xf numFmtId="165" fontId="10" fillId="12" borderId="0" xfId="1" applyNumberFormat="1" applyFill="1" applyProtection="1">
      <protection locked="0"/>
    </xf>
    <xf numFmtId="0" fontId="0" fillId="0" borderId="0" xfId="0"/>
    <xf numFmtId="0" fontId="12" fillId="0" borderId="0" xfId="0" applyFont="1"/>
    <xf numFmtId="0" fontId="0" fillId="10" borderId="0" xfId="0" applyFill="1" applyAlignment="1">
      <alignment wrapText="1"/>
    </xf>
    <xf numFmtId="165" fontId="0" fillId="4" borderId="0" xfId="1" applyNumberFormat="1" applyFont="1" applyFill="1" applyBorder="1" applyProtection="1">
      <protection locked="0"/>
    </xf>
    <xf numFmtId="165" fontId="0" fillId="2" borderId="0" xfId="1" applyNumberFormat="1" applyFont="1" applyFill="1"/>
    <xf numFmtId="0" fontId="0" fillId="0" borderId="0" xfId="0" applyFill="1"/>
    <xf numFmtId="0" fontId="10" fillId="0" borderId="0" xfId="0" applyFont="1" applyAlignment="1">
      <alignment horizontal="left" vertical="top" wrapText="1"/>
    </xf>
    <xf numFmtId="0" fontId="75" fillId="0" borderId="0" xfId="13" applyFont="1"/>
    <xf numFmtId="0" fontId="10" fillId="10" borderId="0" xfId="0" applyFont="1" applyFill="1" applyAlignment="1">
      <alignment wrapText="1"/>
    </xf>
    <xf numFmtId="0" fontId="10" fillId="10" borderId="0" xfId="0" applyFont="1" applyFill="1"/>
    <xf numFmtId="0" fontId="3" fillId="0" borderId="0" xfId="18"/>
    <xf numFmtId="14" fontId="3" fillId="0" borderId="0" xfId="18" applyNumberFormat="1"/>
    <xf numFmtId="165" fontId="0" fillId="0" borderId="0" xfId="19" applyNumberFormat="1" applyFont="1"/>
    <xf numFmtId="0" fontId="3" fillId="0" borderId="0" xfId="18" applyFill="1"/>
    <xf numFmtId="165" fontId="0" fillId="0" borderId="0" xfId="19" applyNumberFormat="1" applyFont="1" applyFill="1"/>
    <xf numFmtId="42" fontId="3" fillId="14" borderId="0" xfId="18" applyNumberFormat="1" applyFill="1" applyAlignment="1">
      <alignment vertical="center"/>
    </xf>
    <xf numFmtId="0" fontId="3" fillId="0" borderId="0" xfId="18" applyAlignment="1">
      <alignment vertical="center" wrapText="1"/>
    </xf>
    <xf numFmtId="42" fontId="3" fillId="0" borderId="0" xfId="18" applyNumberFormat="1" applyFill="1" applyAlignment="1">
      <alignment vertical="center"/>
    </xf>
    <xf numFmtId="0" fontId="3" fillId="0" borderId="0" xfId="18" applyFill="1" applyAlignment="1">
      <alignment vertical="center"/>
    </xf>
    <xf numFmtId="0" fontId="3" fillId="0" borderId="0" xfId="18" applyAlignment="1">
      <alignment vertical="center"/>
    </xf>
    <xf numFmtId="0" fontId="3" fillId="0" borderId="0" xfId="18" applyFill="1" applyAlignment="1">
      <alignment vertical="top"/>
    </xf>
    <xf numFmtId="0" fontId="3" fillId="0" borderId="0" xfId="18" applyFill="1" applyAlignment="1"/>
    <xf numFmtId="0" fontId="3" fillId="0" borderId="0" xfId="18" applyAlignment="1"/>
    <xf numFmtId="0" fontId="76" fillId="0" borderId="0" xfId="18" applyFont="1"/>
    <xf numFmtId="165" fontId="76" fillId="0" borderId="0" xfId="19" applyNumberFormat="1" applyFont="1"/>
    <xf numFmtId="41" fontId="0" fillId="0" borderId="0" xfId="19" applyNumberFormat="1" applyFont="1" applyFill="1" applyAlignment="1">
      <alignment vertical="center"/>
    </xf>
    <xf numFmtId="165" fontId="3" fillId="0" borderId="0" xfId="18" applyNumberFormat="1"/>
    <xf numFmtId="0" fontId="0" fillId="0" borderId="0" xfId="0"/>
    <xf numFmtId="0" fontId="12" fillId="0" borderId="0" xfId="0" applyFont="1"/>
    <xf numFmtId="0" fontId="0" fillId="0" borderId="0" xfId="0" applyAlignment="1">
      <alignment wrapText="1"/>
    </xf>
    <xf numFmtId="0" fontId="12" fillId="0" borderId="0" xfId="0" applyFont="1" applyFill="1" applyBorder="1"/>
    <xf numFmtId="0" fontId="0" fillId="0" borderId="0" xfId="0" applyFill="1" applyBorder="1"/>
    <xf numFmtId="165" fontId="0" fillId="4" borderId="0" xfId="1" applyNumberFormat="1" applyFont="1" applyFill="1" applyBorder="1" applyProtection="1">
      <protection locked="0"/>
    </xf>
    <xf numFmtId="165" fontId="0" fillId="2" borderId="0" xfId="0" applyNumberFormat="1" applyFill="1"/>
    <xf numFmtId="0" fontId="0" fillId="0" borderId="0" xfId="0" applyFill="1"/>
    <xf numFmtId="0" fontId="83" fillId="2" borderId="13" xfId="0" applyFont="1" applyFill="1" applyBorder="1" applyAlignment="1"/>
    <xf numFmtId="0" fontId="83" fillId="2" borderId="26" xfId="0" applyFont="1" applyFill="1" applyBorder="1" applyAlignment="1"/>
    <xf numFmtId="0" fontId="84" fillId="0" borderId="0" xfId="18" applyFont="1" applyFill="1"/>
    <xf numFmtId="0" fontId="69" fillId="2" borderId="25" xfId="0" applyFont="1" applyFill="1" applyBorder="1" applyAlignment="1"/>
    <xf numFmtId="42" fontId="0" fillId="12" borderId="0" xfId="19" applyNumberFormat="1" applyFont="1" applyFill="1"/>
    <xf numFmtId="41" fontId="0" fillId="12" borderId="0" xfId="19" applyNumberFormat="1" applyFont="1" applyFill="1"/>
    <xf numFmtId="41" fontId="0" fillId="12" borderId="0" xfId="19" applyNumberFormat="1" applyFont="1" applyFill="1" applyAlignment="1">
      <alignment vertical="center"/>
    </xf>
    <xf numFmtId="42" fontId="85" fillId="12" borderId="0" xfId="18" applyNumberFormat="1" applyFont="1" applyFill="1" applyAlignment="1">
      <alignment vertical="center"/>
    </xf>
    <xf numFmtId="0" fontId="85" fillId="0" borderId="0" xfId="18" applyFont="1" applyAlignment="1">
      <alignment vertical="center" wrapText="1"/>
    </xf>
    <xf numFmtId="42" fontId="85" fillId="0" borderId="0" xfId="18" applyNumberFormat="1" applyFont="1" applyFill="1" applyAlignment="1">
      <alignment vertical="center"/>
    </xf>
    <xf numFmtId="42" fontId="85" fillId="14" borderId="0" xfId="18" applyNumberFormat="1" applyFont="1" applyFill="1" applyAlignment="1">
      <alignment vertical="center"/>
    </xf>
    <xf numFmtId="0" fontId="85" fillId="0" borderId="0" xfId="18" applyFont="1" applyAlignment="1">
      <alignment vertical="center"/>
    </xf>
    <xf numFmtId="9" fontId="10" fillId="0" borderId="0" xfId="3" applyFill="1"/>
    <xf numFmtId="166" fontId="0" fillId="0" borderId="0" xfId="0" applyNumberFormat="1" applyAlignment="1">
      <alignment horizontal="left" indent="4"/>
    </xf>
    <xf numFmtId="0" fontId="0" fillId="0" borderId="0" xfId="0" applyFont="1" applyAlignment="1">
      <alignment wrapText="1"/>
    </xf>
    <xf numFmtId="0" fontId="0" fillId="0" borderId="0" xfId="0" applyFont="1"/>
    <xf numFmtId="0" fontId="12" fillId="0" borderId="14" xfId="0" applyFont="1" applyFill="1" applyBorder="1" applyAlignment="1">
      <alignment horizontal="left"/>
    </xf>
    <xf numFmtId="0" fontId="12" fillId="0" borderId="21" xfId="0" applyFont="1" applyFill="1" applyBorder="1" applyAlignment="1">
      <alignment horizontal="left"/>
    </xf>
    <xf numFmtId="42" fontId="85" fillId="12" borderId="0" xfId="13" applyNumberFormat="1" applyFont="1" applyFill="1" applyAlignment="1">
      <alignment vertical="center"/>
    </xf>
    <xf numFmtId="0" fontId="85" fillId="0" borderId="0" xfId="13" applyFont="1" applyAlignment="1">
      <alignment vertical="center" wrapText="1"/>
    </xf>
    <xf numFmtId="0" fontId="85" fillId="0" borderId="0" xfId="13" applyFont="1" applyFill="1" applyAlignment="1">
      <alignment vertical="center"/>
    </xf>
    <xf numFmtId="0" fontId="85" fillId="0" borderId="0" xfId="13" applyFont="1" applyAlignment="1">
      <alignment vertical="center"/>
    </xf>
    <xf numFmtId="42" fontId="85" fillId="0" borderId="0" xfId="13" applyNumberFormat="1" applyFont="1" applyFill="1" applyAlignment="1">
      <alignment vertical="center"/>
    </xf>
    <xf numFmtId="0" fontId="85" fillId="0" borderId="0" xfId="13" applyFont="1" applyAlignment="1"/>
    <xf numFmtId="0" fontId="85" fillId="0" borderId="0" xfId="11" applyFont="1"/>
    <xf numFmtId="0" fontId="85" fillId="0" borderId="0" xfId="11" applyFont="1" applyAlignment="1">
      <alignment vertical="top" wrapText="1"/>
    </xf>
    <xf numFmtId="0" fontId="0" fillId="0" borderId="0" xfId="0"/>
    <xf numFmtId="0" fontId="85" fillId="0" borderId="0" xfId="13" applyFont="1"/>
    <xf numFmtId="173" fontId="0" fillId="0" borderId="0" xfId="0" applyNumberFormat="1"/>
    <xf numFmtId="0" fontId="0" fillId="0" borderId="0" xfId="0"/>
    <xf numFmtId="0" fontId="12" fillId="0" borderId="0" xfId="0" applyFont="1"/>
    <xf numFmtId="165" fontId="0" fillId="4" borderId="0" xfId="1" applyNumberFormat="1" applyFont="1" applyFill="1" applyBorder="1" applyProtection="1">
      <protection locked="0"/>
    </xf>
    <xf numFmtId="0" fontId="0" fillId="0" borderId="0" xfId="0" applyFill="1"/>
    <xf numFmtId="0" fontId="10" fillId="0" borderId="0" xfId="0" applyFont="1" applyAlignment="1">
      <alignment horizontal="left" vertical="top" wrapText="1"/>
    </xf>
    <xf numFmtId="0" fontId="10" fillId="0" borderId="9" xfId="0" applyFont="1" applyFill="1" applyBorder="1" applyAlignment="1">
      <alignment wrapText="1"/>
    </xf>
    <xf numFmtId="0" fontId="0" fillId="10" borderId="0" xfId="0" applyFill="1" applyAlignment="1">
      <alignment horizontal="left" wrapText="1" indent="1"/>
    </xf>
    <xf numFmtId="0" fontId="0" fillId="10" borderId="0" xfId="0" applyFill="1" applyAlignment="1">
      <alignment horizontal="left" vertical="top" wrapText="1" indent="1"/>
    </xf>
    <xf numFmtId="0" fontId="0" fillId="10" borderId="0" xfId="0" applyFill="1"/>
    <xf numFmtId="0" fontId="10" fillId="10" borderId="0" xfId="0" applyFont="1" applyFill="1" applyAlignment="1">
      <alignment horizontal="left" wrapText="1"/>
    </xf>
    <xf numFmtId="0" fontId="10" fillId="10" borderId="0" xfId="0" applyFont="1" applyFill="1" applyAlignment="1">
      <alignment horizontal="left" vertical="top" wrapText="1"/>
    </xf>
    <xf numFmtId="0" fontId="10" fillId="10" borderId="0" xfId="0" applyFont="1" applyFill="1" applyBorder="1"/>
    <xf numFmtId="165" fontId="10" fillId="6" borderId="0" xfId="1" quotePrefix="1" applyNumberFormat="1" applyFont="1" applyFill="1" applyBorder="1"/>
    <xf numFmtId="0" fontId="12" fillId="0" borderId="0" xfId="0" applyFont="1" applyAlignment="1">
      <alignment wrapText="1"/>
    </xf>
    <xf numFmtId="0" fontId="0" fillId="0" borderId="0" xfId="0"/>
    <xf numFmtId="0" fontId="0" fillId="0" borderId="0" xfId="0"/>
    <xf numFmtId="0" fontId="72" fillId="0" borderId="0" xfId="20" applyFont="1" applyFill="1"/>
    <xf numFmtId="0" fontId="72" fillId="13" borderId="0" xfId="20" applyFont="1" applyFill="1"/>
    <xf numFmtId="0" fontId="74" fillId="0" borderId="1" xfId="20" applyFont="1" applyFill="1" applyBorder="1" applyAlignment="1">
      <alignment horizontal="centerContinuous"/>
    </xf>
    <xf numFmtId="0" fontId="74" fillId="13" borderId="1" xfId="20" applyFont="1" applyFill="1" applyBorder="1" applyAlignment="1">
      <alignment horizontal="centerContinuous"/>
    </xf>
    <xf numFmtId="0" fontId="74" fillId="0" borderId="0" xfId="20" applyFont="1" applyFill="1" applyBorder="1" applyAlignment="1">
      <alignment horizontal="center" wrapText="1"/>
    </xf>
    <xf numFmtId="0" fontId="74" fillId="13" borderId="0" xfId="20" applyFont="1" applyFill="1" applyBorder="1" applyAlignment="1">
      <alignment horizontal="center" wrapText="1"/>
    </xf>
    <xf numFmtId="0" fontId="66" fillId="0" borderId="0" xfId="20" applyFont="1" applyFill="1" applyBorder="1" applyAlignment="1">
      <alignment horizontal="center" wrapText="1"/>
    </xf>
    <xf numFmtId="0" fontId="67" fillId="0" borderId="0" xfId="20" applyFont="1" applyFill="1" applyBorder="1" applyAlignment="1">
      <alignment horizontal="left" wrapText="1"/>
    </xf>
    <xf numFmtId="0" fontId="72" fillId="0" borderId="0" xfId="20" applyFont="1" applyFill="1" applyBorder="1" applyAlignment="1">
      <alignment horizontal="center"/>
    </xf>
    <xf numFmtId="0" fontId="72" fillId="0" borderId="0" xfId="20" applyFont="1" applyFill="1" applyBorder="1" applyAlignment="1">
      <alignment horizontal="left"/>
    </xf>
    <xf numFmtId="171" fontId="72" fillId="0" borderId="0" xfId="21" applyNumberFormat="1" applyFont="1" applyFill="1" applyBorder="1" applyAlignment="1"/>
    <xf numFmtId="165" fontId="72" fillId="0" borderId="0" xfId="22" applyNumberFormat="1" applyFont="1" applyFill="1"/>
    <xf numFmtId="170" fontId="72" fillId="0" borderId="0" xfId="20" applyNumberFormat="1" applyFont="1" applyFill="1"/>
    <xf numFmtId="170" fontId="72" fillId="13" borderId="0" xfId="20" applyNumberFormat="1" applyFont="1" applyFill="1"/>
    <xf numFmtId="165" fontId="72" fillId="0" borderId="0" xfId="20" applyNumberFormat="1" applyFont="1" applyFill="1"/>
    <xf numFmtId="0" fontId="72" fillId="0" borderId="0" xfId="20" applyFont="1" applyFill="1" applyAlignment="1">
      <alignment horizontal="center"/>
    </xf>
    <xf numFmtId="0" fontId="2" fillId="0" borderId="0" xfId="20" applyFill="1"/>
    <xf numFmtId="0" fontId="72" fillId="10" borderId="0" xfId="20" applyFont="1" applyFill="1" applyBorder="1" applyAlignment="1">
      <alignment horizontal="center"/>
    </xf>
    <xf numFmtId="0" fontId="72" fillId="10" borderId="0" xfId="20" applyFont="1" applyFill="1" applyBorder="1" applyAlignment="1">
      <alignment horizontal="left"/>
    </xf>
    <xf numFmtId="171" fontId="72" fillId="10" borderId="0" xfId="21" applyNumberFormat="1" applyFont="1" applyFill="1" applyBorder="1" applyAlignment="1"/>
    <xf numFmtId="165" fontId="72" fillId="10" borderId="0" xfId="22" applyNumberFormat="1" applyFont="1" applyFill="1"/>
    <xf numFmtId="170" fontId="72" fillId="10" borderId="0" xfId="20" applyNumberFormat="1" applyFont="1" applyFill="1"/>
    <xf numFmtId="165" fontId="72" fillId="10" borderId="0" xfId="20" applyNumberFormat="1" applyFont="1" applyFill="1"/>
    <xf numFmtId="0" fontId="72" fillId="10" borderId="0" xfId="20" applyFont="1" applyFill="1"/>
    <xf numFmtId="165" fontId="72" fillId="13" borderId="0" xfId="22" applyNumberFormat="1" applyFont="1" applyFill="1"/>
    <xf numFmtId="0" fontId="78" fillId="0" borderId="0" xfId="20" applyFont="1" applyFill="1" applyBorder="1"/>
    <xf numFmtId="171" fontId="74" fillId="0" borderId="0" xfId="21" applyNumberFormat="1" applyFont="1" applyFill="1"/>
    <xf numFmtId="0" fontId="74" fillId="0" borderId="0" xfId="20" applyFont="1" applyFill="1" applyBorder="1" applyAlignment="1">
      <alignment horizontal="center"/>
    </xf>
    <xf numFmtId="0" fontId="74" fillId="0" borderId="0" xfId="20" applyFont="1" applyFill="1" applyBorder="1" applyAlignment="1">
      <alignment horizontal="left"/>
    </xf>
    <xf numFmtId="171" fontId="74" fillId="0" borderId="0" xfId="21" applyNumberFormat="1" applyFont="1" applyFill="1" applyBorder="1" applyAlignment="1"/>
    <xf numFmtId="165" fontId="74" fillId="0" borderId="0" xfId="22" applyNumberFormat="1" applyFont="1" applyFill="1" applyBorder="1" applyAlignment="1"/>
    <xf numFmtId="165" fontId="74" fillId="0" borderId="0" xfId="22" applyNumberFormat="1" applyFont="1" applyFill="1"/>
    <xf numFmtId="165" fontId="74" fillId="13" borderId="0" xfId="22" applyNumberFormat="1" applyFont="1" applyFill="1"/>
    <xf numFmtId="170" fontId="74" fillId="13" borderId="0" xfId="20" applyNumberFormat="1" applyFont="1" applyFill="1"/>
    <xf numFmtId="170" fontId="74" fillId="0" borderId="0" xfId="20" applyNumberFormat="1" applyFont="1" applyFill="1"/>
    <xf numFmtId="0" fontId="74" fillId="0" borderId="0" xfId="20" applyFont="1" applyFill="1"/>
    <xf numFmtId="171" fontId="74" fillId="0" borderId="0" xfId="21" applyNumberFormat="1" applyFont="1" applyFill="1" applyBorder="1" applyAlignment="1">
      <alignment horizontal="center"/>
    </xf>
    <xf numFmtId="49" fontId="72" fillId="0" borderId="0" xfId="20" applyNumberFormat="1" applyFont="1" applyFill="1" applyBorder="1" applyAlignment="1">
      <alignment horizontal="left"/>
    </xf>
    <xf numFmtId="49" fontId="2" fillId="0" borderId="0" xfId="20" applyNumberFormat="1" applyFill="1"/>
    <xf numFmtId="0" fontId="72" fillId="0" borderId="0" xfId="21" applyNumberFormat="1" applyFont="1" applyFill="1" applyBorder="1" applyAlignment="1">
      <alignment horizontal="center"/>
    </xf>
    <xf numFmtId="49" fontId="78" fillId="0" borderId="0" xfId="20" applyNumberFormat="1" applyFont="1" applyFill="1" applyBorder="1" applyAlignment="1">
      <alignment horizontal="left"/>
    </xf>
    <xf numFmtId="49" fontId="2" fillId="0" borderId="0" xfId="20" applyNumberFormat="1" applyFill="1" applyAlignment="1">
      <alignment horizontal="left"/>
    </xf>
    <xf numFmtId="49" fontId="72" fillId="0" borderId="0" xfId="20" applyNumberFormat="1" applyFont="1" applyFill="1"/>
    <xf numFmtId="0" fontId="77" fillId="0" borderId="24" xfId="20" applyFont="1" applyFill="1" applyBorder="1"/>
    <xf numFmtId="43" fontId="77" fillId="0" borderId="24" xfId="22" applyFont="1" applyFill="1" applyBorder="1"/>
    <xf numFmtId="0" fontId="2" fillId="0" borderId="0" xfId="20"/>
    <xf numFmtId="0" fontId="79" fillId="0" borderId="0" xfId="20" applyFont="1" applyFill="1" applyBorder="1" applyAlignment="1">
      <alignment horizontal="right"/>
    </xf>
    <xf numFmtId="0" fontId="79" fillId="0" borderId="0" xfId="20" applyFont="1" applyFill="1" applyBorder="1"/>
    <xf numFmtId="43" fontId="77" fillId="0" borderId="0" xfId="22" applyFont="1" applyFill="1" applyBorder="1"/>
    <xf numFmtId="43" fontId="78" fillId="0" borderId="0" xfId="22" applyFont="1" applyFill="1" applyBorder="1"/>
    <xf numFmtId="0" fontId="72" fillId="0" borderId="0" xfId="20" applyFont="1" applyFill="1" applyBorder="1" applyAlignment="1">
      <alignment horizontal="right"/>
    </xf>
    <xf numFmtId="0" fontId="78" fillId="0" borderId="0" xfId="20" applyFont="1" applyFill="1" applyBorder="1" applyAlignment="1">
      <alignment horizontal="right"/>
    </xf>
    <xf numFmtId="43" fontId="79" fillId="0" borderId="0" xfId="22" applyFont="1" applyFill="1" applyBorder="1"/>
    <xf numFmtId="43" fontId="78" fillId="0" borderId="12" xfId="22" applyFont="1" applyFill="1" applyBorder="1"/>
    <xf numFmtId="0" fontId="77" fillId="0" borderId="0" xfId="20" applyFont="1" applyFill="1" applyBorder="1"/>
    <xf numFmtId="165" fontId="0" fillId="14" borderId="0" xfId="1" applyNumberFormat="1" applyFont="1" applyFill="1" applyAlignment="1">
      <alignment horizontal="center" vertical="center"/>
    </xf>
    <xf numFmtId="165" fontId="0" fillId="14" borderId="0" xfId="6" applyNumberFormat="1" applyFont="1" applyFill="1" applyAlignment="1">
      <alignment horizontal="center" vertical="center"/>
    </xf>
    <xf numFmtId="0" fontId="85" fillId="0" borderId="0" xfId="11" applyFont="1" applyAlignment="1">
      <alignment horizontal="left" vertical="top" wrapText="1"/>
    </xf>
    <xf numFmtId="0" fontId="0" fillId="0" borderId="0" xfId="0" applyAlignment="1">
      <alignment horizontal="center"/>
    </xf>
    <xf numFmtId="0" fontId="12" fillId="0" borderId="0" xfId="0" applyFont="1"/>
    <xf numFmtId="165" fontId="0" fillId="16" borderId="8" xfId="1" applyNumberFormat="1" applyFont="1" applyFill="1" applyBorder="1"/>
    <xf numFmtId="165" fontId="10" fillId="16" borderId="9" xfId="1" applyNumberFormat="1" applyFont="1" applyFill="1" applyBorder="1"/>
    <xf numFmtId="0" fontId="0" fillId="0" borderId="0" xfId="0" applyAlignment="1">
      <alignment wrapText="1"/>
    </xf>
    <xf numFmtId="0" fontId="0" fillId="0" borderId="0" xfId="0"/>
    <xf numFmtId="0" fontId="12" fillId="0" borderId="0" xfId="0" applyFont="1" applyFill="1" applyBorder="1"/>
    <xf numFmtId="0" fontId="0" fillId="0" borderId="0" xfId="0" applyFill="1" applyBorder="1"/>
    <xf numFmtId="0" fontId="85" fillId="0" borderId="0" xfId="18" applyFont="1" applyAlignment="1">
      <alignment vertical="center" wrapText="1"/>
    </xf>
    <xf numFmtId="0" fontId="3" fillId="0" borderId="0" xfId="18" applyAlignment="1">
      <alignment vertical="center" wrapText="1"/>
    </xf>
    <xf numFmtId="0" fontId="10" fillId="4" borderId="0" xfId="0" applyFont="1" applyFill="1" applyProtection="1">
      <protection locked="0"/>
    </xf>
    <xf numFmtId="0" fontId="10" fillId="10" borderId="2" xfId="0" applyFont="1" applyFill="1" applyBorder="1" applyAlignment="1">
      <alignment wrapText="1"/>
    </xf>
    <xf numFmtId="165" fontId="10" fillId="10" borderId="2" xfId="1" applyNumberFormat="1" applyFont="1" applyFill="1" applyBorder="1"/>
    <xf numFmtId="165" fontId="10" fillId="10" borderId="22" xfId="1" applyNumberFormat="1" applyFont="1" applyFill="1" applyBorder="1"/>
    <xf numFmtId="165" fontId="10" fillId="3" borderId="22" xfId="1" applyNumberFormat="1" applyFont="1" applyFill="1" applyBorder="1" applyAlignment="1">
      <alignment horizontal="center"/>
    </xf>
    <xf numFmtId="0" fontId="35" fillId="0" borderId="0" xfId="0" applyFont="1" applyBorder="1" applyAlignment="1">
      <alignment horizontal="center" wrapText="1"/>
    </xf>
    <xf numFmtId="0" fontId="35" fillId="0" borderId="0" xfId="0" applyFont="1" applyFill="1" applyBorder="1" applyAlignment="1">
      <alignment horizontal="center" wrapText="1"/>
    </xf>
    <xf numFmtId="165" fontId="3" fillId="10" borderId="0" xfId="1" applyNumberFormat="1" applyFont="1" applyFill="1"/>
    <xf numFmtId="0" fontId="12" fillId="0" borderId="0" xfId="0" applyFont="1" applyAlignment="1">
      <alignment wrapText="1"/>
    </xf>
    <xf numFmtId="0" fontId="0" fillId="0" borderId="0" xfId="0"/>
    <xf numFmtId="0" fontId="12" fillId="0" borderId="0" xfId="0" applyFont="1" applyFill="1" applyAlignment="1">
      <alignment wrapText="1"/>
    </xf>
    <xf numFmtId="0" fontId="12" fillId="0" borderId="0" xfId="0" applyFont="1"/>
    <xf numFmtId="0" fontId="0" fillId="0" borderId="0" xfId="0" applyAlignment="1">
      <alignment wrapText="1"/>
    </xf>
    <xf numFmtId="0" fontId="13" fillId="0" borderId="0" xfId="0" applyFont="1" applyAlignment="1">
      <alignment wrapText="1"/>
    </xf>
    <xf numFmtId="0" fontId="18" fillId="2" borderId="19" xfId="0" applyFont="1" applyFill="1" applyBorder="1" applyAlignment="1">
      <alignment horizontal="center"/>
    </xf>
    <xf numFmtId="0" fontId="18" fillId="2" borderId="14" xfId="0" applyFont="1" applyFill="1" applyBorder="1" applyAlignment="1">
      <alignment horizontal="center"/>
    </xf>
    <xf numFmtId="0" fontId="18" fillId="2" borderId="21" xfId="0" applyFont="1" applyFill="1" applyBorder="1" applyAlignment="1">
      <alignment horizontal="center"/>
    </xf>
    <xf numFmtId="0" fontId="18" fillId="2" borderId="15" xfId="0" applyFont="1" applyFill="1" applyBorder="1" applyAlignment="1">
      <alignment horizontal="center"/>
    </xf>
    <xf numFmtId="0" fontId="18" fillId="2" borderId="1" xfId="0" applyFont="1" applyFill="1" applyBorder="1" applyAlignment="1">
      <alignment horizontal="center"/>
    </xf>
    <xf numFmtId="0" fontId="18" fillId="2" borderId="16" xfId="0" applyFont="1" applyFill="1" applyBorder="1" applyAlignment="1">
      <alignment horizontal="center"/>
    </xf>
    <xf numFmtId="0" fontId="14" fillId="0" borderId="0" xfId="0" applyFont="1" applyFill="1" applyAlignment="1">
      <alignment wrapText="1"/>
    </xf>
    <xf numFmtId="0" fontId="0" fillId="0" borderId="0" xfId="0" applyFill="1" applyAlignment="1">
      <alignment wrapText="1"/>
    </xf>
    <xf numFmtId="0" fontId="14" fillId="0" borderId="0" xfId="0" applyFont="1" applyAlignment="1">
      <alignment wrapText="1"/>
    </xf>
    <xf numFmtId="0" fontId="0" fillId="0" borderId="0" xfId="0" applyFill="1" applyAlignment="1">
      <alignment horizontal="left" vertical="top" wrapText="1"/>
    </xf>
    <xf numFmtId="0" fontId="12" fillId="0" borderId="14" xfId="0" applyFont="1" applyBorder="1" applyAlignment="1" applyProtection="1">
      <alignment horizontal="center"/>
      <protection locked="0"/>
    </xf>
    <xf numFmtId="0" fontId="13" fillId="0" borderId="0" xfId="0" applyFont="1" applyBorder="1" applyAlignment="1">
      <alignment horizontal="center" textRotation="90"/>
    </xf>
    <xf numFmtId="165" fontId="15" fillId="4" borderId="6" xfId="1" applyNumberFormat="1" applyFont="1" applyFill="1" applyBorder="1" applyAlignment="1"/>
    <xf numFmtId="165" fontId="15" fillId="4" borderId="7" xfId="1" applyNumberFormat="1" applyFont="1" applyFill="1" applyBorder="1" applyAlignment="1"/>
    <xf numFmtId="165" fontId="15" fillId="4" borderId="7" xfId="0" applyNumberFormat="1" applyFont="1" applyFill="1" applyBorder="1" applyAlignment="1"/>
    <xf numFmtId="0" fontId="15" fillId="4" borderId="10" xfId="0" applyFont="1" applyFill="1" applyBorder="1" applyAlignment="1"/>
    <xf numFmtId="0" fontId="15" fillId="4" borderId="7" xfId="0" applyFont="1" applyFill="1" applyBorder="1" applyAlignment="1"/>
    <xf numFmtId="165" fontId="12" fillId="4" borderId="31" xfId="1" applyNumberFormat="1" applyFont="1" applyFill="1" applyBorder="1" applyAlignment="1">
      <alignment horizontal="center"/>
    </xf>
    <xf numFmtId="0" fontId="12" fillId="4" borderId="31" xfId="0" applyFont="1" applyFill="1" applyBorder="1" applyAlignment="1">
      <alignment horizontal="center"/>
    </xf>
    <xf numFmtId="0" fontId="12" fillId="4" borderId="32" xfId="0" applyFont="1" applyFill="1" applyBorder="1" applyAlignment="1">
      <alignment horizontal="center"/>
    </xf>
    <xf numFmtId="165" fontId="12" fillId="0" borderId="14" xfId="0" applyNumberFormat="1" applyFont="1" applyBorder="1" applyAlignment="1" applyProtection="1">
      <alignment horizontal="center"/>
      <protection locked="0"/>
    </xf>
    <xf numFmtId="0" fontId="12" fillId="4" borderId="41" xfId="0" applyFont="1" applyFill="1" applyBorder="1" applyAlignment="1">
      <alignment horizontal="center"/>
    </xf>
    <xf numFmtId="0" fontId="12" fillId="3" borderId="13" xfId="0" applyFont="1" applyFill="1" applyBorder="1"/>
    <xf numFmtId="0" fontId="12" fillId="3" borderId="33" xfId="0" applyFont="1" applyFill="1" applyBorder="1"/>
    <xf numFmtId="0" fontId="13" fillId="0" borderId="0" xfId="0" applyFont="1" applyBorder="1" applyAlignment="1">
      <alignment textRotation="90"/>
    </xf>
    <xf numFmtId="0" fontId="12" fillId="3" borderId="6" xfId="0" applyFont="1" applyFill="1" applyBorder="1" applyAlignment="1">
      <alignment horizontal="center"/>
    </xf>
    <xf numFmtId="0" fontId="0" fillId="3" borderId="10" xfId="0" applyFill="1" applyBorder="1" applyAlignment="1"/>
    <xf numFmtId="0" fontId="12" fillId="3" borderId="29" xfId="0" applyFont="1" applyFill="1" applyBorder="1"/>
    <xf numFmtId="165" fontId="12" fillId="0" borderId="14" xfId="1" applyNumberFormat="1" applyFont="1" applyBorder="1" applyAlignment="1" applyProtection="1">
      <alignment horizontal="center"/>
      <protection locked="0"/>
    </xf>
    <xf numFmtId="0" fontId="12" fillId="0" borderId="42" xfId="0" applyFont="1" applyBorder="1" applyAlignment="1" applyProtection="1">
      <alignment horizontal="center"/>
      <protection locked="0"/>
    </xf>
    <xf numFmtId="165" fontId="12" fillId="0" borderId="43" xfId="0" applyNumberFormat="1" applyFont="1" applyBorder="1" applyAlignment="1" applyProtection="1">
      <alignment horizontal="center"/>
      <protection locked="0"/>
    </xf>
    <xf numFmtId="0" fontId="12" fillId="3" borderId="8" xfId="0" applyFont="1" applyFill="1" applyBorder="1" applyAlignment="1">
      <alignment horizontal="center"/>
    </xf>
    <xf numFmtId="0" fontId="12" fillId="3" borderId="0" xfId="0" applyFont="1" applyFill="1" applyBorder="1" applyAlignment="1"/>
    <xf numFmtId="0" fontId="15" fillId="2" borderId="7" xfId="0" applyFont="1" applyFill="1" applyBorder="1" applyAlignment="1">
      <alignment horizontal="left"/>
    </xf>
    <xf numFmtId="0" fontId="0" fillId="0" borderId="7" xfId="0" applyBorder="1" applyAlignment="1">
      <alignment horizontal="left"/>
    </xf>
    <xf numFmtId="0" fontId="15" fillId="2" borderId="3" xfId="0" applyFont="1" applyFill="1" applyBorder="1" applyAlignment="1">
      <alignment horizontal="center"/>
    </xf>
    <xf numFmtId="0" fontId="15" fillId="0" borderId="3" xfId="0" applyFont="1" applyBorder="1" applyAlignment="1">
      <alignment horizontal="center"/>
    </xf>
    <xf numFmtId="0" fontId="15" fillId="2" borderId="6" xfId="0" applyFont="1" applyFill="1" applyBorder="1" applyAlignment="1">
      <alignment wrapText="1"/>
    </xf>
    <xf numFmtId="0" fontId="15" fillId="2" borderId="7" xfId="0" applyFont="1" applyFill="1" applyBorder="1" applyAlignment="1">
      <alignment wrapText="1"/>
    </xf>
    <xf numFmtId="0" fontId="15" fillId="2" borderId="5" xfId="0" applyFont="1" applyFill="1" applyBorder="1" applyAlignment="1">
      <alignment wrapText="1"/>
    </xf>
    <xf numFmtId="0" fontId="15" fillId="2" borderId="3" xfId="0" applyFont="1" applyFill="1" applyBorder="1" applyAlignment="1">
      <alignment wrapText="1"/>
    </xf>
    <xf numFmtId="0" fontId="12" fillId="3" borderId="10" xfId="0" applyFont="1" applyFill="1" applyBorder="1" applyAlignment="1">
      <alignment horizontal="center"/>
    </xf>
    <xf numFmtId="0" fontId="12" fillId="3" borderId="9" xfId="0" applyFont="1" applyFill="1" applyBorder="1" applyAlignment="1">
      <alignment horizontal="center"/>
    </xf>
    <xf numFmtId="0" fontId="12" fillId="3" borderId="0" xfId="0" applyFont="1" applyFill="1" applyBorder="1" applyAlignment="1">
      <alignment horizontal="center"/>
    </xf>
    <xf numFmtId="165" fontId="58" fillId="2" borderId="5" xfId="0" applyNumberFormat="1" applyFont="1" applyFill="1" applyBorder="1" applyAlignment="1">
      <alignment horizontal="center"/>
    </xf>
    <xf numFmtId="165" fontId="58" fillId="2" borderId="4" xfId="0" applyNumberFormat="1" applyFont="1" applyFill="1" applyBorder="1" applyAlignment="1">
      <alignment horizontal="center"/>
    </xf>
    <xf numFmtId="0" fontId="15" fillId="4" borderId="6" xfId="0" applyFont="1" applyFill="1" applyBorder="1" applyAlignment="1">
      <alignment wrapText="1"/>
    </xf>
    <xf numFmtId="0" fontId="15" fillId="4" borderId="10" xfId="0" applyFont="1" applyFill="1" applyBorder="1" applyAlignment="1">
      <alignment wrapText="1"/>
    </xf>
    <xf numFmtId="0" fontId="15" fillId="4" borderId="5" xfId="0" applyFont="1" applyFill="1" applyBorder="1" applyAlignment="1">
      <alignment wrapText="1"/>
    </xf>
    <xf numFmtId="0" fontId="15" fillId="4" borderId="4" xfId="0" applyFont="1" applyFill="1" applyBorder="1" applyAlignment="1">
      <alignment wrapText="1"/>
    </xf>
    <xf numFmtId="165" fontId="12" fillId="3" borderId="6" xfId="0" applyNumberFormat="1" applyFont="1" applyFill="1" applyBorder="1" applyAlignment="1">
      <alignment horizontal="center"/>
    </xf>
    <xf numFmtId="165" fontId="12" fillId="3" borderId="10" xfId="0" applyNumberFormat="1" applyFont="1" applyFill="1" applyBorder="1" applyAlignment="1">
      <alignment horizontal="center"/>
    </xf>
    <xf numFmtId="165" fontId="12" fillId="3" borderId="8" xfId="0" applyNumberFormat="1" applyFont="1" applyFill="1" applyBorder="1" applyAlignment="1">
      <alignment horizontal="center"/>
    </xf>
    <xf numFmtId="165" fontId="12" fillId="3" borderId="9" xfId="0" applyNumberFormat="1" applyFont="1" applyFill="1" applyBorder="1" applyAlignment="1">
      <alignment horizontal="center"/>
    </xf>
    <xf numFmtId="0" fontId="15" fillId="2" borderId="6" xfId="0" applyFont="1" applyFill="1" applyBorder="1"/>
    <xf numFmtId="0" fontId="15" fillId="2" borderId="10" xfId="0" applyFont="1" applyFill="1" applyBorder="1"/>
    <xf numFmtId="0" fontId="15" fillId="2" borderId="5" xfId="0" applyFont="1" applyFill="1" applyBorder="1"/>
    <xf numFmtId="0" fontId="15" fillId="2" borderId="4" xfId="0" applyFont="1" applyFill="1" applyBorder="1"/>
    <xf numFmtId="0" fontId="15" fillId="7" borderId="8" xfId="0" applyFont="1" applyFill="1" applyBorder="1" applyAlignment="1">
      <alignment horizontal="right"/>
    </xf>
    <xf numFmtId="0" fontId="15" fillId="7" borderId="9" xfId="0" applyFont="1" applyFill="1" applyBorder="1" applyAlignment="1">
      <alignment horizontal="right"/>
    </xf>
    <xf numFmtId="0" fontId="15" fillId="2" borderId="7" xfId="0" quotePrefix="1" applyFont="1" applyFill="1" applyBorder="1" applyAlignment="1">
      <alignment horizontal="center"/>
    </xf>
    <xf numFmtId="0" fontId="15" fillId="2" borderId="7" xfId="0" applyFont="1" applyFill="1" applyBorder="1" applyAlignment="1">
      <alignment horizontal="center"/>
    </xf>
    <xf numFmtId="165" fontId="15" fillId="2" borderId="6" xfId="1" quotePrefix="1" applyNumberFormat="1" applyFont="1" applyFill="1" applyBorder="1" applyAlignment="1">
      <alignment horizontal="center"/>
    </xf>
    <xf numFmtId="165" fontId="15" fillId="2" borderId="10" xfId="1" applyNumberFormat="1" applyFont="1" applyFill="1" applyBorder="1" applyAlignment="1">
      <alignment horizontal="center"/>
    </xf>
    <xf numFmtId="0" fontId="15" fillId="2" borderId="6" xfId="0" applyFont="1" applyFill="1" applyBorder="1" applyAlignment="1">
      <alignment horizontal="center"/>
    </xf>
    <xf numFmtId="0" fontId="15" fillId="2" borderId="10" xfId="0" applyFont="1" applyFill="1" applyBorder="1" applyAlignment="1">
      <alignment horizontal="center"/>
    </xf>
    <xf numFmtId="0" fontId="15" fillId="2" borderId="5" xfId="0" applyFont="1" applyFill="1" applyBorder="1" applyAlignment="1">
      <alignment horizontal="center"/>
    </xf>
    <xf numFmtId="0" fontId="15" fillId="2" borderId="4" xfId="0" applyFont="1" applyFill="1" applyBorder="1" applyAlignment="1">
      <alignment horizontal="center"/>
    </xf>
    <xf numFmtId="0" fontId="0" fillId="3" borderId="9" xfId="0" applyFill="1" applyBorder="1" applyAlignment="1"/>
    <xf numFmtId="165" fontId="12" fillId="12" borderId="8" xfId="0" applyNumberFormat="1" applyFont="1" applyFill="1" applyBorder="1" applyAlignment="1">
      <alignment horizontal="center"/>
    </xf>
    <xf numFmtId="165" fontId="12" fillId="12" borderId="0" xfId="0" applyNumberFormat="1" applyFont="1" applyFill="1" applyBorder="1" applyAlignment="1">
      <alignment horizontal="center"/>
    </xf>
    <xf numFmtId="0" fontId="0" fillId="0" borderId="1" xfId="0" applyBorder="1"/>
    <xf numFmtId="0" fontId="18" fillId="2" borderId="25" xfId="0" applyFont="1" applyFill="1" applyBorder="1" applyAlignment="1">
      <alignment horizontal="center"/>
    </xf>
    <xf numFmtId="0" fontId="18" fillId="2" borderId="13" xfId="0" applyFont="1" applyFill="1" applyBorder="1" applyAlignment="1">
      <alignment horizontal="center"/>
    </xf>
    <xf numFmtId="0" fontId="18" fillId="2" borderId="26" xfId="0" applyFont="1" applyFill="1" applyBorder="1" applyAlignment="1">
      <alignment horizontal="center"/>
    </xf>
    <xf numFmtId="0" fontId="0" fillId="0" borderId="0" xfId="0" applyAlignment="1"/>
    <xf numFmtId="0" fontId="12" fillId="2" borderId="25" xfId="0" applyFont="1" applyFill="1" applyBorder="1" applyAlignment="1">
      <alignment horizontal="left" wrapText="1"/>
    </xf>
    <xf numFmtId="0" fontId="12" fillId="2" borderId="13" xfId="0" applyFont="1" applyFill="1" applyBorder="1" applyAlignment="1">
      <alignment horizontal="left" wrapText="1"/>
    </xf>
    <xf numFmtId="0" fontId="12" fillId="2" borderId="26" xfId="0" applyFont="1" applyFill="1" applyBorder="1" applyAlignment="1">
      <alignment horizontal="left" wrapText="1"/>
    </xf>
    <xf numFmtId="0" fontId="12" fillId="2" borderId="25" xfId="0" applyFont="1" applyFill="1" applyBorder="1"/>
    <xf numFmtId="0" fontId="12" fillId="2" borderId="13" xfId="0" applyFont="1" applyFill="1" applyBorder="1"/>
    <xf numFmtId="0" fontId="12" fillId="2" borderId="26" xfId="0" applyFont="1" applyFill="1" applyBorder="1"/>
    <xf numFmtId="0" fontId="12" fillId="2" borderId="25" xfId="0" applyFont="1" applyFill="1" applyBorder="1" applyAlignment="1">
      <alignment wrapText="1"/>
    </xf>
    <xf numFmtId="0" fontId="37" fillId="0" borderId="0" xfId="0" applyFont="1" applyAlignment="1">
      <alignment wrapText="1"/>
    </xf>
    <xf numFmtId="0" fontId="12" fillId="2" borderId="13" xfId="0" applyFont="1" applyFill="1" applyBorder="1" applyAlignment="1">
      <alignment wrapText="1"/>
    </xf>
    <xf numFmtId="0" fontId="12" fillId="2" borderId="26" xfId="0" applyFont="1" applyFill="1" applyBorder="1" applyAlignment="1">
      <alignment wrapText="1"/>
    </xf>
    <xf numFmtId="41" fontId="10" fillId="4" borderId="0" xfId="2" applyNumberFormat="1" applyFill="1" applyProtection="1">
      <protection locked="0"/>
    </xf>
    <xf numFmtId="166" fontId="37" fillId="0" borderId="0" xfId="2" applyNumberFormat="1" applyFont="1" applyFill="1" applyBorder="1" applyAlignment="1">
      <alignment wrapText="1"/>
    </xf>
    <xf numFmtId="165" fontId="10" fillId="4" borderId="0" xfId="1" applyNumberFormat="1" applyFill="1" applyProtection="1">
      <protection locked="0"/>
    </xf>
    <xf numFmtId="166" fontId="37" fillId="0" borderId="0" xfId="2" applyNumberFormat="1" applyFont="1" applyFill="1" applyAlignment="1">
      <alignment wrapText="1"/>
    </xf>
    <xf numFmtId="41" fontId="10" fillId="4" borderId="14" xfId="2" applyNumberFormat="1" applyFill="1" applyBorder="1" applyProtection="1">
      <protection locked="0"/>
    </xf>
    <xf numFmtId="165" fontId="13" fillId="0" borderId="0" xfId="1" applyNumberFormat="1" applyFont="1" applyFill="1" applyAlignment="1">
      <alignment wrapText="1"/>
    </xf>
    <xf numFmtId="0" fontId="0" fillId="0" borderId="19" xfId="0" applyBorder="1" applyAlignment="1">
      <alignment horizontal="center"/>
    </xf>
    <xf numFmtId="0" fontId="0" fillId="0" borderId="21" xfId="0" applyBorder="1" applyAlignment="1">
      <alignment horizontal="center"/>
    </xf>
    <xf numFmtId="0" fontId="41" fillId="5" borderId="2" xfId="0" applyFont="1" applyFill="1" applyBorder="1"/>
    <xf numFmtId="0" fontId="41" fillId="5" borderId="0" xfId="0" applyFont="1" applyFill="1" applyBorder="1"/>
    <xf numFmtId="0" fontId="0" fillId="0" borderId="14" xfId="0" applyBorder="1" applyAlignment="1">
      <alignment horizontal="center"/>
    </xf>
    <xf numFmtId="0" fontId="11" fillId="0" borderId="0" xfId="0" applyFont="1" applyAlignment="1">
      <alignment wrapText="1"/>
    </xf>
    <xf numFmtId="0" fontId="20" fillId="2" borderId="13" xfId="0" applyFont="1" applyFill="1" applyBorder="1"/>
    <xf numFmtId="0" fontId="20" fillId="2" borderId="26" xfId="0" applyFont="1" applyFill="1" applyBorder="1"/>
    <xf numFmtId="0" fontId="12" fillId="2" borderId="25" xfId="0" applyFont="1" applyFill="1" applyBorder="1" applyAlignment="1"/>
    <xf numFmtId="0" fontId="12" fillId="2" borderId="13" xfId="0" applyFont="1" applyFill="1" applyBorder="1" applyAlignment="1"/>
    <xf numFmtId="0" fontId="12" fillId="2" borderId="26" xfId="0" applyFont="1" applyFill="1" applyBorder="1" applyAlignment="1"/>
    <xf numFmtId="0" fontId="11" fillId="0" borderId="0" xfId="0" applyFont="1" applyAlignment="1">
      <alignment horizontal="left" vertical="top" wrapText="1"/>
    </xf>
    <xf numFmtId="0" fontId="63" fillId="0" borderId="0" xfId="0" applyFont="1" applyAlignment="1">
      <alignment wrapText="1"/>
    </xf>
    <xf numFmtId="165" fontId="0" fillId="4" borderId="0" xfId="1" applyNumberFormat="1" applyFont="1" applyFill="1" applyProtection="1">
      <protection locked="0"/>
    </xf>
    <xf numFmtId="0" fontId="0" fillId="0" borderId="0" xfId="0" applyAlignment="1">
      <alignment horizontal="left" wrapText="1"/>
    </xf>
    <xf numFmtId="0" fontId="12" fillId="0" borderId="0" xfId="0" applyFont="1" applyFill="1" applyBorder="1"/>
    <xf numFmtId="0" fontId="0" fillId="0" borderId="0" xfId="0" applyFill="1" applyBorder="1"/>
    <xf numFmtId="165" fontId="0" fillId="4" borderId="0" xfId="1" applyNumberFormat="1" applyFont="1" applyFill="1" applyBorder="1" applyProtection="1">
      <protection locked="0"/>
    </xf>
    <xf numFmtId="165" fontId="0" fillId="4" borderId="1" xfId="1" applyNumberFormat="1" applyFont="1" applyFill="1" applyBorder="1" applyProtection="1">
      <protection locked="0"/>
    </xf>
    <xf numFmtId="165" fontId="0" fillId="0" borderId="0" xfId="1" applyNumberFormat="1" applyFont="1" applyAlignment="1">
      <alignment horizontal="right" wrapText="1"/>
    </xf>
    <xf numFmtId="165" fontId="0" fillId="0" borderId="0" xfId="1" applyNumberFormat="1" applyFont="1" applyAlignment="1">
      <alignment horizontal="right"/>
    </xf>
    <xf numFmtId="0" fontId="0" fillId="4" borderId="14" xfId="0" applyFill="1" applyBorder="1" applyProtection="1">
      <protection locked="0"/>
    </xf>
    <xf numFmtId="0" fontId="0" fillId="4" borderId="0" xfId="0" applyFill="1" applyProtection="1">
      <protection locked="0"/>
    </xf>
    <xf numFmtId="168" fontId="0" fillId="2" borderId="0" xfId="1" applyNumberFormat="1" applyFont="1" applyFill="1"/>
    <xf numFmtId="169" fontId="0" fillId="4" borderId="0" xfId="1" applyNumberFormat="1" applyFont="1" applyFill="1" applyProtection="1">
      <protection locked="0"/>
    </xf>
    <xf numFmtId="165" fontId="0" fillId="2" borderId="0" xfId="1" applyNumberFormat="1" applyFont="1" applyFill="1"/>
    <xf numFmtId="168" fontId="0" fillId="2" borderId="0" xfId="0" applyNumberFormat="1" applyFill="1"/>
    <xf numFmtId="165" fontId="13" fillId="0" borderId="0" xfId="1" applyNumberFormat="1" applyFont="1" applyFill="1" applyBorder="1" applyAlignment="1">
      <alignment wrapText="1"/>
    </xf>
    <xf numFmtId="165" fontId="0" fillId="4" borderId="14" xfId="1" applyNumberFormat="1" applyFont="1" applyFill="1" applyBorder="1" applyProtection="1">
      <protection locked="0"/>
    </xf>
    <xf numFmtId="165" fontId="13" fillId="0" borderId="0" xfId="1" applyNumberFormat="1" applyFont="1" applyAlignment="1">
      <alignment wrapText="1"/>
    </xf>
    <xf numFmtId="165" fontId="0" fillId="2" borderId="0" xfId="0" applyNumberFormat="1" applyFill="1"/>
    <xf numFmtId="0" fontId="12" fillId="0" borderId="0" xfId="0" applyFont="1" applyFill="1" applyBorder="1" applyAlignment="1">
      <alignment horizontal="center"/>
    </xf>
    <xf numFmtId="0" fontId="62" fillId="0" borderId="0" xfId="0" applyFont="1" applyAlignment="1">
      <alignment wrapText="1"/>
    </xf>
    <xf numFmtId="0" fontId="22" fillId="0" borderId="0" xfId="0" applyFont="1" applyAlignment="1">
      <alignment wrapText="1"/>
    </xf>
    <xf numFmtId="0" fontId="12" fillId="4" borderId="0" xfId="0" applyFont="1" applyFill="1" applyBorder="1" applyProtection="1">
      <protection locked="0"/>
    </xf>
    <xf numFmtId="0" fontId="0" fillId="0" borderId="14" xfId="0" applyFill="1" applyBorder="1" applyAlignment="1">
      <alignment horizontal="center"/>
    </xf>
    <xf numFmtId="0" fontId="0" fillId="0" borderId="0" xfId="0" applyFill="1"/>
    <xf numFmtId="0" fontId="27" fillId="0" borderId="0" xfId="0" applyFont="1" applyAlignment="1">
      <alignment wrapText="1"/>
    </xf>
    <xf numFmtId="0" fontId="39" fillId="0" borderId="0" xfId="0" quotePrefix="1" applyFont="1" applyBorder="1" applyAlignment="1">
      <alignment horizontal="center" textRotation="90"/>
    </xf>
    <xf numFmtId="0" fontId="39" fillId="0" borderId="0" xfId="0" applyFont="1" applyBorder="1" applyAlignment="1">
      <alignment horizontal="center" textRotation="90"/>
    </xf>
    <xf numFmtId="0" fontId="0" fillId="0" borderId="19" xfId="0" applyFill="1" applyBorder="1" applyAlignment="1">
      <alignment horizontal="center"/>
    </xf>
    <xf numFmtId="0" fontId="0" fillId="0" borderId="21" xfId="0" applyFill="1" applyBorder="1" applyAlignment="1">
      <alignment horizontal="center"/>
    </xf>
    <xf numFmtId="0" fontId="30" fillId="5" borderId="25" xfId="0" applyFont="1" applyFill="1" applyBorder="1"/>
    <xf numFmtId="0" fontId="30" fillId="5" borderId="13" xfId="0" applyFont="1" applyFill="1" applyBorder="1"/>
    <xf numFmtId="165" fontId="10" fillId="4" borderId="0" xfId="1" applyNumberFormat="1" applyFill="1" applyBorder="1" applyProtection="1">
      <protection locked="0"/>
    </xf>
    <xf numFmtId="0" fontId="14" fillId="0" borderId="0" xfId="0" applyFont="1" applyFill="1"/>
    <xf numFmtId="165" fontId="10" fillId="4" borderId="1" xfId="1" applyNumberFormat="1" applyFill="1" applyBorder="1" applyProtection="1">
      <protection locked="0"/>
    </xf>
    <xf numFmtId="0" fontId="35" fillId="0" borderId="0" xfId="0" applyFont="1" applyAlignment="1">
      <alignment horizontal="right" wrapText="1"/>
    </xf>
    <xf numFmtId="0" fontId="12" fillId="0" borderId="19" xfId="0" applyFont="1" applyBorder="1" applyAlignment="1">
      <alignment horizontal="center"/>
    </xf>
    <xf numFmtId="0" fontId="12" fillId="0" borderId="21" xfId="0" applyFont="1" applyBorder="1" applyAlignment="1">
      <alignment horizontal="center"/>
    </xf>
    <xf numFmtId="0" fontId="30" fillId="5" borderId="26" xfId="0" applyFont="1" applyFill="1" applyBorder="1"/>
    <xf numFmtId="0" fontId="12" fillId="0" borderId="14" xfId="0" applyFont="1" applyBorder="1" applyAlignment="1">
      <alignment horizontal="center"/>
    </xf>
    <xf numFmtId="165" fontId="13" fillId="0" borderId="0" xfId="1" applyNumberFormat="1" applyFont="1" applyBorder="1" applyAlignment="1">
      <alignment wrapText="1"/>
    </xf>
    <xf numFmtId="0" fontId="0" fillId="2" borderId="13" xfId="0" applyFill="1" applyBorder="1"/>
    <xf numFmtId="0" fontId="0" fillId="2" borderId="26" xfId="0" applyFill="1" applyBorder="1"/>
    <xf numFmtId="0" fontId="20" fillId="0" borderId="0" xfId="0" applyFont="1"/>
    <xf numFmtId="0" fontId="0" fillId="0" borderId="0" xfId="0" applyAlignment="1">
      <alignment vertical="top" wrapText="1"/>
    </xf>
    <xf numFmtId="0" fontId="20" fillId="0" borderId="0" xfId="0" applyFont="1" applyAlignment="1">
      <alignment horizontal="center"/>
    </xf>
    <xf numFmtId="0" fontId="10" fillId="0" borderId="19" xfId="0" applyFont="1" applyFill="1" applyBorder="1" applyAlignment="1">
      <alignment horizontal="center"/>
    </xf>
    <xf numFmtId="165" fontId="14" fillId="4" borderId="0" xfId="1" applyNumberFormat="1" applyFont="1" applyFill="1" applyBorder="1" applyProtection="1">
      <protection locked="0"/>
    </xf>
    <xf numFmtId="0" fontId="0" fillId="2" borderId="2" xfId="0" applyFill="1" applyBorder="1" applyAlignment="1">
      <alignment horizontal="center"/>
    </xf>
    <xf numFmtId="0" fontId="0" fillId="2" borderId="0" xfId="0" applyFill="1" applyBorder="1" applyAlignment="1">
      <alignment horizontal="center"/>
    </xf>
    <xf numFmtId="0" fontId="0" fillId="2" borderId="22" xfId="0" applyFill="1" applyBorder="1" applyAlignment="1">
      <alignment horizontal="center"/>
    </xf>
    <xf numFmtId="0" fontId="18" fillId="5" borderId="0" xfId="0" applyFont="1" applyFill="1" applyAlignment="1">
      <alignment horizontal="left"/>
    </xf>
    <xf numFmtId="0" fontId="0" fillId="0" borderId="0" xfId="0" applyFill="1" applyAlignment="1">
      <alignment vertical="top" wrapText="1"/>
    </xf>
    <xf numFmtId="0" fontId="14" fillId="0" borderId="0" xfId="0" applyFont="1" applyAlignment="1">
      <alignment vertical="top" wrapText="1"/>
    </xf>
    <xf numFmtId="0" fontId="10" fillId="0" borderId="1" xfId="0" applyFont="1" applyBorder="1" applyAlignment="1">
      <alignment vertical="top" wrapText="1"/>
    </xf>
    <xf numFmtId="0" fontId="0" fillId="0" borderId="1" xfId="0" applyBorder="1" applyAlignment="1">
      <alignment vertical="top" wrapText="1"/>
    </xf>
    <xf numFmtId="165" fontId="13" fillId="0" borderId="0" xfId="0" applyNumberFormat="1" applyFont="1" applyAlignment="1">
      <alignment wrapText="1"/>
    </xf>
    <xf numFmtId="0" fontId="10" fillId="0" borderId="0" xfId="0" applyFont="1" applyAlignment="1">
      <alignment vertical="top" wrapText="1"/>
    </xf>
    <xf numFmtId="0" fontId="12" fillId="2" borderId="25" xfId="0" applyFont="1" applyFill="1" applyBorder="1" applyAlignment="1">
      <alignment vertical="top" wrapText="1"/>
    </xf>
    <xf numFmtId="0" fontId="0" fillId="0" borderId="13" xfId="0" applyBorder="1" applyAlignment="1">
      <alignment vertical="top" wrapText="1"/>
    </xf>
    <xf numFmtId="0" fontId="0" fillId="0" borderId="26" xfId="0" applyBorder="1" applyAlignment="1">
      <alignment vertical="top" wrapText="1"/>
    </xf>
    <xf numFmtId="0" fontId="10" fillId="0" borderId="0" xfId="0" applyFont="1" applyAlignment="1">
      <alignment horizontal="left" vertical="top" wrapText="1"/>
    </xf>
    <xf numFmtId="165" fontId="23" fillId="0" borderId="0" xfId="1" applyNumberFormat="1" applyFont="1" applyBorder="1" applyAlignment="1">
      <alignment horizontal="left"/>
    </xf>
    <xf numFmtId="0" fontId="0" fillId="0" borderId="13" xfId="0" applyBorder="1" applyAlignment="1">
      <alignment wrapText="1"/>
    </xf>
    <xf numFmtId="0" fontId="0" fillId="0" borderId="26" xfId="0" applyBorder="1" applyAlignment="1">
      <alignment wrapText="1"/>
    </xf>
    <xf numFmtId="0" fontId="13" fillId="0" borderId="2" xfId="0" applyFont="1" applyBorder="1" applyAlignment="1">
      <alignment horizontal="center"/>
    </xf>
    <xf numFmtId="0" fontId="13" fillId="0" borderId="0" xfId="0" applyFont="1" applyBorder="1" applyAlignment="1">
      <alignment horizontal="center"/>
    </xf>
    <xf numFmtId="0" fontId="13" fillId="0" borderId="22" xfId="0" applyFont="1" applyBorder="1" applyAlignment="1">
      <alignment horizontal="center"/>
    </xf>
    <xf numFmtId="0" fontId="12" fillId="0" borderId="25" xfId="0" applyFont="1" applyBorder="1" applyAlignment="1" applyProtection="1">
      <alignment horizontal="center" wrapText="1"/>
      <protection locked="0"/>
    </xf>
    <xf numFmtId="0" fontId="12" fillId="0" borderId="13" xfId="0" applyFont="1" applyBorder="1" applyAlignment="1" applyProtection="1">
      <alignment horizontal="center" wrapText="1"/>
      <protection locked="0"/>
    </xf>
    <xf numFmtId="0" fontId="12" fillId="0" borderId="26" xfId="0" applyFont="1" applyBorder="1" applyAlignment="1" applyProtection="1">
      <alignment horizontal="center" wrapText="1"/>
      <protection locked="0"/>
    </xf>
    <xf numFmtId="0" fontId="12" fillId="2" borderId="1" xfId="0" applyFont="1" applyFill="1" applyBorder="1" applyAlignment="1"/>
    <xf numFmtId="165" fontId="13" fillId="0" borderId="0" xfId="1" applyNumberFormat="1" applyFont="1" applyBorder="1" applyAlignment="1">
      <alignment horizontal="center" wrapText="1"/>
    </xf>
    <xf numFmtId="165" fontId="51" fillId="0" borderId="0" xfId="1" applyNumberFormat="1" applyFont="1" applyBorder="1" applyAlignment="1">
      <alignment horizontal="center"/>
    </xf>
    <xf numFmtId="165" fontId="23" fillId="0" borderId="0" xfId="1" applyNumberFormat="1" applyFont="1" applyBorder="1" applyAlignment="1">
      <alignment horizontal="right"/>
    </xf>
    <xf numFmtId="0" fontId="48" fillId="6" borderId="0" xfId="0" applyFont="1" applyFill="1" applyAlignment="1">
      <alignment wrapText="1"/>
    </xf>
    <xf numFmtId="165" fontId="14" fillId="4" borderId="0" xfId="1" applyNumberFormat="1" applyFont="1" applyFill="1" applyProtection="1">
      <protection locked="0"/>
    </xf>
    <xf numFmtId="9" fontId="39" fillId="6" borderId="0" xfId="3" applyFont="1" applyFill="1" applyAlignment="1">
      <alignment wrapText="1"/>
    </xf>
    <xf numFmtId="0" fontId="12" fillId="0" borderId="0" xfId="0" applyFont="1" applyAlignment="1">
      <alignment horizontal="left" wrapText="1"/>
    </xf>
    <xf numFmtId="0" fontId="12" fillId="0" borderId="0" xfId="0" applyFont="1" applyAlignment="1">
      <alignment horizontal="left"/>
    </xf>
    <xf numFmtId="165" fontId="0" fillId="4" borderId="0" xfId="1" applyNumberFormat="1" applyFont="1" applyFill="1" applyAlignment="1" applyProtection="1">
      <alignment horizontal="left" indent="2"/>
      <protection locked="0"/>
    </xf>
    <xf numFmtId="0" fontId="0" fillId="0" borderId="22" xfId="0" applyBorder="1" applyAlignment="1">
      <alignment wrapText="1"/>
    </xf>
    <xf numFmtId="0" fontId="12" fillId="2" borderId="19" xfId="0" applyFont="1" applyFill="1" applyBorder="1" applyAlignment="1">
      <alignment horizontal="left" wrapText="1"/>
    </xf>
    <xf numFmtId="0" fontId="12" fillId="2" borderId="14" xfId="0" applyFont="1" applyFill="1" applyBorder="1" applyAlignment="1">
      <alignment horizontal="left" wrapText="1"/>
    </xf>
    <xf numFmtId="0" fontId="12" fillId="2" borderId="21" xfId="0" applyFont="1" applyFill="1" applyBorder="1" applyAlignment="1">
      <alignment horizontal="left" wrapText="1"/>
    </xf>
    <xf numFmtId="0" fontId="12" fillId="2" borderId="15" xfId="0" applyFont="1" applyFill="1" applyBorder="1" applyAlignment="1">
      <alignment horizontal="left" wrapText="1"/>
    </xf>
    <xf numFmtId="0" fontId="12" fillId="2" borderId="1" xfId="0" applyFont="1" applyFill="1" applyBorder="1" applyAlignment="1">
      <alignment horizontal="left" wrapText="1"/>
    </xf>
    <xf numFmtId="0" fontId="12" fillId="2" borderId="16" xfId="0" applyFont="1" applyFill="1" applyBorder="1" applyAlignment="1">
      <alignment horizontal="left" wrapText="1"/>
    </xf>
    <xf numFmtId="9" fontId="51" fillId="0" borderId="44" xfId="3" applyFont="1" applyFill="1" applyBorder="1" applyAlignment="1">
      <alignment horizontal="left" wrapText="1"/>
    </xf>
    <xf numFmtId="9" fontId="51" fillId="0" borderId="45" xfId="3" applyFont="1" applyFill="1" applyBorder="1" applyAlignment="1">
      <alignment horizontal="left" wrapText="1"/>
    </xf>
    <xf numFmtId="9" fontId="51" fillId="0" borderId="46" xfId="3" applyFont="1" applyFill="1" applyBorder="1" applyAlignment="1">
      <alignment horizontal="left" wrapText="1"/>
    </xf>
    <xf numFmtId="0" fontId="12" fillId="2" borderId="19" xfId="0" applyFont="1" applyFill="1" applyBorder="1" applyAlignment="1">
      <alignment wrapText="1"/>
    </xf>
    <xf numFmtId="0" fontId="12" fillId="2" borderId="14" xfId="0" applyFont="1" applyFill="1" applyBorder="1" applyAlignment="1">
      <alignment wrapText="1"/>
    </xf>
    <xf numFmtId="0" fontId="12" fillId="2" borderId="21" xfId="0" applyFont="1" applyFill="1" applyBorder="1" applyAlignment="1">
      <alignment wrapText="1"/>
    </xf>
    <xf numFmtId="0" fontId="12" fillId="2" borderId="15" xfId="0" applyFont="1" applyFill="1" applyBorder="1" applyAlignment="1">
      <alignment wrapText="1"/>
    </xf>
    <xf numFmtId="0" fontId="12" fillId="2" borderId="1" xfId="0" applyFont="1" applyFill="1" applyBorder="1" applyAlignment="1">
      <alignment wrapText="1"/>
    </xf>
    <xf numFmtId="0" fontId="12" fillId="2" borderId="16" xfId="0" applyFont="1" applyFill="1" applyBorder="1" applyAlignment="1">
      <alignment wrapText="1"/>
    </xf>
    <xf numFmtId="0" fontId="59" fillId="0" borderId="0" xfId="0" applyFont="1" applyAlignment="1">
      <alignment horizontal="center"/>
    </xf>
    <xf numFmtId="0" fontId="12" fillId="0" borderId="1" xfId="0" applyFont="1" applyBorder="1" applyAlignment="1">
      <alignment horizontal="center"/>
    </xf>
    <xf numFmtId="0" fontId="30" fillId="2" borderId="19" xfId="0" applyFont="1" applyFill="1" applyBorder="1" applyAlignment="1">
      <alignment horizontal="center"/>
    </xf>
    <xf numFmtId="0" fontId="30" fillId="2" borderId="14" xfId="0" applyFont="1" applyFill="1" applyBorder="1" applyAlignment="1">
      <alignment horizontal="center"/>
    </xf>
    <xf numFmtId="0" fontId="30" fillId="2" borderId="21" xfId="0" applyFont="1" applyFill="1" applyBorder="1" applyAlignment="1">
      <alignment horizontal="center"/>
    </xf>
    <xf numFmtId="0" fontId="30" fillId="2" borderId="15" xfId="0" applyFont="1" applyFill="1" applyBorder="1" applyAlignment="1">
      <alignment horizontal="center"/>
    </xf>
    <xf numFmtId="0" fontId="30" fillId="2" borderId="1" xfId="0" applyFont="1" applyFill="1" applyBorder="1" applyAlignment="1">
      <alignment horizontal="center"/>
    </xf>
    <xf numFmtId="0" fontId="30" fillId="2" borderId="16" xfId="0" applyFont="1" applyFill="1" applyBorder="1" applyAlignment="1">
      <alignment horizontal="center"/>
    </xf>
    <xf numFmtId="0" fontId="14" fillId="0" borderId="0" xfId="0" applyFont="1" applyFill="1" applyBorder="1" applyAlignment="1">
      <alignment horizontal="left" wrapText="1"/>
    </xf>
    <xf numFmtId="165" fontId="10" fillId="4" borderId="0" xfId="1" applyNumberFormat="1" applyFill="1" applyAlignment="1" applyProtection="1">
      <alignment horizontal="left" indent="2"/>
      <protection locked="0"/>
    </xf>
    <xf numFmtId="0" fontId="41" fillId="0" borderId="0" xfId="0" applyFont="1" applyAlignment="1">
      <alignment horizontal="center"/>
    </xf>
    <xf numFmtId="0" fontId="0" fillId="0" borderId="0" xfId="0" applyAlignment="1">
      <alignment horizontal="center"/>
    </xf>
    <xf numFmtId="0" fontId="14" fillId="0" borderId="0" xfId="0" applyFont="1" applyBorder="1" applyAlignment="1">
      <alignment horizontal="left" wrapText="1"/>
    </xf>
    <xf numFmtId="165" fontId="13" fillId="0" borderId="1" xfId="1" applyNumberFormat="1" applyFont="1" applyBorder="1" applyAlignment="1">
      <alignment wrapText="1"/>
    </xf>
    <xf numFmtId="0" fontId="23" fillId="0" borderId="44" xfId="0" applyFont="1" applyBorder="1" applyAlignment="1">
      <alignment wrapText="1"/>
    </xf>
    <xf numFmtId="0" fontId="0" fillId="0" borderId="45" xfId="0" applyBorder="1" applyAlignment="1">
      <alignment wrapText="1"/>
    </xf>
    <xf numFmtId="0" fontId="0" fillId="0" borderId="46" xfId="0" applyBorder="1" applyAlignment="1">
      <alignment wrapText="1"/>
    </xf>
    <xf numFmtId="0" fontId="12" fillId="2" borderId="1" xfId="0" applyFont="1" applyFill="1" applyBorder="1"/>
    <xf numFmtId="0" fontId="0" fillId="0" borderId="1" xfId="0" applyBorder="1" applyAlignment="1">
      <alignment horizontal="center"/>
    </xf>
    <xf numFmtId="0" fontId="56" fillId="2" borderId="25" xfId="0" applyFont="1" applyFill="1" applyBorder="1" applyAlignment="1">
      <alignment horizontal="center"/>
    </xf>
    <xf numFmtId="0" fontId="56" fillId="2" borderId="13" xfId="0" applyFont="1" applyFill="1" applyBorder="1" applyAlignment="1">
      <alignment horizontal="center"/>
    </xf>
    <xf numFmtId="0" fontId="56" fillId="2" borderId="26" xfId="0" applyFont="1" applyFill="1" applyBorder="1" applyAlignment="1">
      <alignment horizontal="center"/>
    </xf>
    <xf numFmtId="0" fontId="30" fillId="2" borderId="25" xfId="0" applyFont="1" applyFill="1" applyBorder="1" applyAlignment="1">
      <alignment horizontal="center"/>
    </xf>
    <xf numFmtId="0" fontId="30" fillId="2" borderId="13" xfId="0" applyFont="1" applyFill="1" applyBorder="1" applyAlignment="1">
      <alignment horizontal="center"/>
    </xf>
    <xf numFmtId="0" fontId="30" fillId="2" borderId="26" xfId="0" applyFont="1" applyFill="1" applyBorder="1" applyAlignment="1">
      <alignment horizontal="center"/>
    </xf>
    <xf numFmtId="0" fontId="11" fillId="0" borderId="14" xfId="0" applyFont="1" applyBorder="1" applyAlignment="1">
      <alignment horizontal="center"/>
    </xf>
    <xf numFmtId="0" fontId="14" fillId="0" borderId="0" xfId="0" applyFont="1" applyBorder="1" applyAlignment="1">
      <alignment wrapText="1"/>
    </xf>
    <xf numFmtId="0" fontId="0" fillId="0" borderId="0" xfId="0" applyBorder="1" applyAlignment="1">
      <alignment wrapText="1"/>
    </xf>
    <xf numFmtId="0" fontId="30" fillId="2" borderId="25" xfId="0" applyFont="1" applyFill="1" applyBorder="1" applyAlignment="1">
      <alignment horizontal="center" wrapText="1"/>
    </xf>
    <xf numFmtId="0" fontId="30" fillId="2" borderId="13" xfId="0" applyFont="1" applyFill="1" applyBorder="1" applyAlignment="1">
      <alignment horizontal="center" wrapText="1"/>
    </xf>
    <xf numFmtId="0" fontId="30" fillId="2" borderId="26" xfId="0" applyFont="1" applyFill="1" applyBorder="1" applyAlignment="1">
      <alignment horizontal="center" wrapText="1"/>
    </xf>
    <xf numFmtId="0" fontId="13" fillId="0" borderId="0" xfId="0" applyFont="1" applyAlignment="1">
      <alignment horizontal="left" wrapText="1" indent="1"/>
    </xf>
    <xf numFmtId="0" fontId="14" fillId="0" borderId="0" xfId="0" applyFont="1" applyFill="1" applyBorder="1" applyAlignment="1">
      <alignment wrapText="1"/>
    </xf>
    <xf numFmtId="0" fontId="0" fillId="0" borderId="0" xfId="0" applyFill="1" applyBorder="1" applyAlignment="1">
      <alignment wrapText="1"/>
    </xf>
    <xf numFmtId="0" fontId="13" fillId="0" borderId="0" xfId="0" applyFont="1" applyFill="1" applyBorder="1" applyAlignment="1">
      <alignment horizontal="left" wrapText="1" indent="2"/>
    </xf>
    <xf numFmtId="0" fontId="18" fillId="5" borderId="0" xfId="0" applyFont="1" applyFill="1" applyAlignment="1">
      <alignment horizontal="left" vertical="center"/>
    </xf>
    <xf numFmtId="0" fontId="68" fillId="0" borderId="0" xfId="0" applyFont="1" applyAlignment="1">
      <alignment horizontal="left" vertical="top" wrapText="1" readingOrder="1"/>
    </xf>
    <xf numFmtId="0" fontId="12" fillId="2" borderId="25" xfId="0" applyFont="1" applyFill="1" applyBorder="1" applyAlignment="1">
      <alignment horizontal="left"/>
    </xf>
    <xf numFmtId="0" fontId="12" fillId="2" borderId="13" xfId="0" applyFont="1" applyFill="1" applyBorder="1" applyAlignment="1">
      <alignment horizontal="left"/>
    </xf>
    <xf numFmtId="0" fontId="12" fillId="2" borderId="26" xfId="0" applyFont="1" applyFill="1" applyBorder="1" applyAlignment="1">
      <alignment horizontal="left"/>
    </xf>
    <xf numFmtId="0" fontId="65" fillId="0" borderId="19" xfId="0" applyFont="1" applyFill="1" applyBorder="1" applyAlignment="1">
      <alignment horizontal="center"/>
    </xf>
    <xf numFmtId="0" fontId="65" fillId="0" borderId="14" xfId="0" applyFont="1" applyFill="1" applyBorder="1" applyAlignment="1">
      <alignment horizontal="center"/>
    </xf>
    <xf numFmtId="0" fontId="65" fillId="0" borderId="21" xfId="0" applyFont="1" applyFill="1" applyBorder="1" applyAlignment="1">
      <alignment horizontal="center"/>
    </xf>
    <xf numFmtId="0" fontId="69" fillId="2" borderId="25" xfId="0" applyFont="1" applyFill="1" applyBorder="1" applyAlignment="1">
      <alignment horizontal="left"/>
    </xf>
    <xf numFmtId="0" fontId="69" fillId="2" borderId="26" xfId="0" applyFont="1" applyFill="1" applyBorder="1" applyAlignment="1">
      <alignment horizontal="left"/>
    </xf>
    <xf numFmtId="0" fontId="12" fillId="0" borderId="0" xfId="0" applyFont="1" applyAlignment="1">
      <alignment horizontal="left" vertical="top" wrapText="1"/>
    </xf>
    <xf numFmtId="0" fontId="85" fillId="0" borderId="0" xfId="11" applyFont="1" applyAlignment="1">
      <alignment horizontal="left" vertical="top" wrapText="1"/>
    </xf>
    <xf numFmtId="0" fontId="85" fillId="0" borderId="0" xfId="13" applyFont="1" applyAlignment="1">
      <alignment vertical="center" wrapText="1"/>
    </xf>
    <xf numFmtId="0" fontId="82" fillId="0" borderId="0" xfId="13" applyFont="1" applyAlignment="1">
      <alignment wrapText="1"/>
    </xf>
    <xf numFmtId="0" fontId="75" fillId="0" borderId="0" xfId="13" applyFont="1" applyAlignment="1">
      <alignment wrapText="1"/>
    </xf>
    <xf numFmtId="0" fontId="85" fillId="0" borderId="0" xfId="13" applyFont="1" applyAlignment="1">
      <alignment horizontal="left" vertical="top" wrapText="1"/>
    </xf>
    <xf numFmtId="0" fontId="10" fillId="0" borderId="19" xfId="0" applyFont="1" applyBorder="1" applyAlignment="1">
      <alignment horizontal="center"/>
    </xf>
    <xf numFmtId="0" fontId="10" fillId="0" borderId="21" xfId="0" applyFont="1" applyBorder="1" applyAlignment="1">
      <alignment horizontal="center"/>
    </xf>
    <xf numFmtId="0" fontId="3" fillId="0" borderId="0" xfId="18" applyFill="1" applyAlignment="1">
      <alignment horizontal="left" vertical="center" wrapText="1"/>
    </xf>
    <xf numFmtId="0" fontId="1" fillId="0" borderId="0" xfId="18" applyFont="1" applyAlignment="1">
      <alignment horizontal="left" vertical="top" wrapText="1"/>
    </xf>
    <xf numFmtId="0" fontId="3" fillId="0" borderId="0" xfId="18" applyAlignment="1">
      <alignment horizontal="left" vertical="top" wrapText="1"/>
    </xf>
    <xf numFmtId="0" fontId="3" fillId="0" borderId="0" xfId="18" applyAlignment="1">
      <alignment vertical="center" wrapText="1"/>
    </xf>
    <xf numFmtId="0" fontId="76" fillId="0" borderId="0" xfId="18" applyFont="1" applyFill="1" applyAlignment="1">
      <alignment wrapText="1"/>
    </xf>
    <xf numFmtId="0" fontId="3" fillId="0" borderId="0" xfId="18" applyFill="1" applyAlignment="1">
      <alignment wrapText="1"/>
    </xf>
    <xf numFmtId="0" fontId="85" fillId="0" borderId="0" xfId="18" applyFont="1" applyAlignment="1">
      <alignment vertical="center" wrapText="1"/>
    </xf>
    <xf numFmtId="0" fontId="3" fillId="0" borderId="0" xfId="18" applyAlignment="1">
      <alignment horizontal="left" vertical="center" wrapText="1"/>
    </xf>
    <xf numFmtId="0" fontId="69" fillId="2" borderId="13" xfId="0" applyFont="1" applyFill="1" applyBorder="1" applyAlignment="1">
      <alignment horizontal="left"/>
    </xf>
    <xf numFmtId="0" fontId="12" fillId="2" borderId="25" xfId="0" applyFont="1" applyFill="1" applyBorder="1" applyAlignment="1">
      <alignment horizontal="left" vertical="top" wrapText="1"/>
    </xf>
    <xf numFmtId="0" fontId="12" fillId="2" borderId="13" xfId="0" applyFont="1" applyFill="1" applyBorder="1" applyAlignment="1">
      <alignment horizontal="left" vertical="top" wrapText="1"/>
    </xf>
    <xf numFmtId="0" fontId="12" fillId="2" borderId="26" xfId="0" applyFont="1" applyFill="1" applyBorder="1" applyAlignment="1">
      <alignment horizontal="left" vertical="top" wrapText="1"/>
    </xf>
  </cellXfs>
  <cellStyles count="23">
    <cellStyle name="Comma" xfId="1" builtinId="3"/>
    <cellStyle name="Comma 2" xfId="6" xr:uid="{00000000-0005-0000-0000-000001000000}"/>
    <cellStyle name="Comma 3" xfId="10" xr:uid="{00000000-0005-0000-0000-000002000000}"/>
    <cellStyle name="Comma 4" xfId="12" xr:uid="{00000000-0005-0000-0000-000003000000}"/>
    <cellStyle name="Comma 5" xfId="14" xr:uid="{00000000-0005-0000-0000-000004000000}"/>
    <cellStyle name="Comma 6" xfId="17" xr:uid="{00000000-0005-0000-0000-000005000000}"/>
    <cellStyle name="Comma 7" xfId="19" xr:uid="{00000000-0005-0000-0000-000006000000}"/>
    <cellStyle name="Comma 8" xfId="22" xr:uid="{7934D12A-0509-4C44-8762-F27DBA59E86A}"/>
    <cellStyle name="Currency" xfId="2" builtinId="4"/>
    <cellStyle name="Normal" xfId="0" builtinId="0"/>
    <cellStyle name="Normal 2" xfId="4" xr:uid="{00000000-0005-0000-0000-000009000000}"/>
    <cellStyle name="Normal 3" xfId="7" xr:uid="{00000000-0005-0000-0000-00000A000000}"/>
    <cellStyle name="Normal 4" xfId="8" xr:uid="{00000000-0005-0000-0000-00000B000000}"/>
    <cellStyle name="Normal 5" xfId="11" xr:uid="{00000000-0005-0000-0000-00000C000000}"/>
    <cellStyle name="Normal 6" xfId="13" xr:uid="{00000000-0005-0000-0000-00000D000000}"/>
    <cellStyle name="Normal 7" xfId="16" xr:uid="{00000000-0005-0000-0000-00000E000000}"/>
    <cellStyle name="Normal 8" xfId="18" xr:uid="{00000000-0005-0000-0000-00000F000000}"/>
    <cellStyle name="Normal 9" xfId="20" xr:uid="{2A49D079-62D2-415B-9B62-41E21F7DD333}"/>
    <cellStyle name="Percent" xfId="3" builtinId="5"/>
    <cellStyle name="Percent 2" xfId="5" xr:uid="{00000000-0005-0000-0000-000011000000}"/>
    <cellStyle name="Percent 3" xfId="9" xr:uid="{00000000-0005-0000-0000-000012000000}"/>
    <cellStyle name="Percent 4" xfId="15" xr:uid="{00000000-0005-0000-0000-000013000000}"/>
    <cellStyle name="Percent 5" xfId="21" xr:uid="{841902F3-8E6B-4D15-8946-1B898B36D28B}"/>
  </cellStyles>
  <dxfs count="18">
    <dxf>
      <fill>
        <patternFill>
          <bgColor rgb="FFFFFFCC"/>
        </patternFill>
      </fill>
    </dxf>
    <dxf>
      <fill>
        <patternFill>
          <bgColor rgb="FFFFFFCC"/>
        </patternFill>
      </fill>
    </dxf>
    <dxf>
      <fill>
        <patternFill>
          <bgColor rgb="FFFFFFCC"/>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6" tint="-0.24994659260841701"/>
        </patternFill>
      </fill>
    </dxf>
  </dxfs>
  <tableStyles count="0" defaultTableStyle="TableStyleMedium9" defaultPivotStyle="PivotStyleLight16"/>
  <colors>
    <mruColors>
      <color rgb="FFFFCC99"/>
      <color rgb="FF66FFFF"/>
      <color rgb="FFFFFF99"/>
      <color rgb="FFABF5FF"/>
      <color rgb="FFA3F4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37" Type="http://schemas.openxmlformats.org/officeDocument/2006/relationships/customXml" Target="../customXml/item1.xml"/><Relationship Id="rId40"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38"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0</xdr:colOff>
      <xdr:row>103</xdr:row>
      <xdr:rowOff>142875</xdr:rowOff>
    </xdr:from>
    <xdr:to>
      <xdr:col>11</xdr:col>
      <xdr:colOff>9525</xdr:colOff>
      <xdr:row>114</xdr:row>
      <xdr:rowOff>0</xdr:rowOff>
    </xdr:to>
    <xdr:sp macro="" textlink="">
      <xdr:nvSpPr>
        <xdr:cNvPr id="22530" name="Text Box 2">
          <a:extLst>
            <a:ext uri="{FF2B5EF4-FFF2-40B4-BE49-F238E27FC236}">
              <a16:creationId xmlns:a16="http://schemas.microsoft.com/office/drawing/2014/main" id="{00000000-0008-0000-0000-000002580000}"/>
            </a:ext>
          </a:extLst>
        </xdr:cNvPr>
        <xdr:cNvSpPr txBox="1">
          <a:spLocks noChangeArrowheads="1"/>
        </xdr:cNvSpPr>
      </xdr:nvSpPr>
      <xdr:spPr bwMode="auto">
        <a:xfrm>
          <a:off x="0" y="17659350"/>
          <a:ext cx="6877050" cy="163830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Worksheets have been created such that they can be printed for offline review. On the Conversion worksheet, once all the detail fund data has been entered and the grand totals are as you expected, those detail fund columns can be hidden so that one sees the account titles on the left and then the column "Total Governmental Funds." By hiding detail columns you will be able to fit the conversion worksheet to legal size paper. Please note that to hide columns, you must "unlock" the worksheet. We suggest that once fund detail is verified that you unlock the worksheet, hide the detail fund columns, and then re-protect the worksheet in order not to overwrite formulas and mapping. All other worksheets fit on standard 8.5x11 paper. Some worksheets result in such complicated entries that a work section is presented below the final entry to accumulate all activity. These work sections are not defined in the normal print range. If you wish to print the work sections, you will need to select the work section for printing or redefine your print ranges. Please note that the work sections are often larger than regular 8.5x11 paper.</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4</xdr:col>
      <xdr:colOff>21166</xdr:colOff>
      <xdr:row>24</xdr:row>
      <xdr:rowOff>9525</xdr:rowOff>
    </xdr:from>
    <xdr:to>
      <xdr:col>4</xdr:col>
      <xdr:colOff>356658</xdr:colOff>
      <xdr:row>27</xdr:row>
      <xdr:rowOff>0</xdr:rowOff>
    </xdr:to>
    <xdr:sp macro="" textlink="">
      <xdr:nvSpPr>
        <xdr:cNvPr id="2" name="Right Brace 1">
          <a:extLst>
            <a:ext uri="{FF2B5EF4-FFF2-40B4-BE49-F238E27FC236}">
              <a16:creationId xmlns:a16="http://schemas.microsoft.com/office/drawing/2014/main" id="{00000000-0008-0000-1800-000002000000}"/>
            </a:ext>
          </a:extLst>
        </xdr:cNvPr>
        <xdr:cNvSpPr/>
      </xdr:nvSpPr>
      <xdr:spPr>
        <a:xfrm>
          <a:off x="7249583" y="6380692"/>
          <a:ext cx="335492" cy="530225"/>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3</xdr:col>
      <xdr:colOff>127000</xdr:colOff>
      <xdr:row>6</xdr:row>
      <xdr:rowOff>26458</xdr:rowOff>
    </xdr:from>
    <xdr:to>
      <xdr:col>3</xdr:col>
      <xdr:colOff>952500</xdr:colOff>
      <xdr:row>16</xdr:row>
      <xdr:rowOff>569383</xdr:rowOff>
    </xdr:to>
    <xdr:sp macro="" textlink="">
      <xdr:nvSpPr>
        <xdr:cNvPr id="4" name="Right Brace 3">
          <a:extLst>
            <a:ext uri="{FF2B5EF4-FFF2-40B4-BE49-F238E27FC236}">
              <a16:creationId xmlns:a16="http://schemas.microsoft.com/office/drawing/2014/main" id="{00000000-0008-0000-1800-000004000000}"/>
            </a:ext>
          </a:extLst>
        </xdr:cNvPr>
        <xdr:cNvSpPr/>
      </xdr:nvSpPr>
      <xdr:spPr>
        <a:xfrm>
          <a:off x="6233583" y="1973791"/>
          <a:ext cx="825500" cy="3284009"/>
        </a:xfrm>
        <a:prstGeom prst="rightBrace">
          <a:avLst>
            <a:gd name="adj1" fmla="val 46574"/>
            <a:gd name="adj2" fmla="val 53279"/>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38101</xdr:colOff>
      <xdr:row>24</xdr:row>
      <xdr:rowOff>38100</xdr:rowOff>
    </xdr:from>
    <xdr:to>
      <xdr:col>3</xdr:col>
      <xdr:colOff>1495425</xdr:colOff>
      <xdr:row>31</xdr:row>
      <xdr:rowOff>9525</xdr:rowOff>
    </xdr:to>
    <xdr:sp macro="" textlink="">
      <xdr:nvSpPr>
        <xdr:cNvPr id="2" name="Right Brace 1">
          <a:extLst>
            <a:ext uri="{FF2B5EF4-FFF2-40B4-BE49-F238E27FC236}">
              <a16:creationId xmlns:a16="http://schemas.microsoft.com/office/drawing/2014/main" id="{00000000-0008-0000-1900-000002000000}"/>
            </a:ext>
          </a:extLst>
        </xdr:cNvPr>
        <xdr:cNvSpPr/>
      </xdr:nvSpPr>
      <xdr:spPr>
        <a:xfrm>
          <a:off x="5191126" y="3276600"/>
          <a:ext cx="1457324" cy="2181225"/>
        </a:xfrm>
        <a:prstGeom prst="rightBrace">
          <a:avLst>
            <a:gd name="adj1" fmla="val 21541"/>
            <a:gd name="adj2" fmla="val 48305"/>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38101</xdr:colOff>
      <xdr:row>24</xdr:row>
      <xdr:rowOff>38100</xdr:rowOff>
    </xdr:from>
    <xdr:to>
      <xdr:col>3</xdr:col>
      <xdr:colOff>1495425</xdr:colOff>
      <xdr:row>31</xdr:row>
      <xdr:rowOff>9525</xdr:rowOff>
    </xdr:to>
    <xdr:sp macro="" textlink="">
      <xdr:nvSpPr>
        <xdr:cNvPr id="2" name="Right Brace 1">
          <a:extLst>
            <a:ext uri="{FF2B5EF4-FFF2-40B4-BE49-F238E27FC236}">
              <a16:creationId xmlns:a16="http://schemas.microsoft.com/office/drawing/2014/main" id="{D3CF7580-3827-425C-8FA7-F6ACA7757B9B}"/>
            </a:ext>
          </a:extLst>
        </xdr:cNvPr>
        <xdr:cNvSpPr/>
      </xdr:nvSpPr>
      <xdr:spPr>
        <a:xfrm>
          <a:off x="5191126" y="3562350"/>
          <a:ext cx="904874" cy="1790700"/>
        </a:xfrm>
        <a:prstGeom prst="rightBrace">
          <a:avLst>
            <a:gd name="adj1" fmla="val 21541"/>
            <a:gd name="adj2" fmla="val 48305"/>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38101</xdr:colOff>
      <xdr:row>24</xdr:row>
      <xdr:rowOff>38100</xdr:rowOff>
    </xdr:from>
    <xdr:to>
      <xdr:col>3</xdr:col>
      <xdr:colOff>1495425</xdr:colOff>
      <xdr:row>31</xdr:row>
      <xdr:rowOff>9525</xdr:rowOff>
    </xdr:to>
    <xdr:sp macro="" textlink="">
      <xdr:nvSpPr>
        <xdr:cNvPr id="2" name="Right Brace 1">
          <a:extLst>
            <a:ext uri="{FF2B5EF4-FFF2-40B4-BE49-F238E27FC236}">
              <a16:creationId xmlns:a16="http://schemas.microsoft.com/office/drawing/2014/main" id="{C354C529-5A66-4D80-8B87-98563BA460F6}"/>
            </a:ext>
          </a:extLst>
        </xdr:cNvPr>
        <xdr:cNvSpPr/>
      </xdr:nvSpPr>
      <xdr:spPr>
        <a:xfrm>
          <a:off x="5191126" y="3562350"/>
          <a:ext cx="904874" cy="1790700"/>
        </a:xfrm>
        <a:prstGeom prst="rightBrace">
          <a:avLst>
            <a:gd name="adj1" fmla="val 21541"/>
            <a:gd name="adj2" fmla="val 48305"/>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95250</xdr:colOff>
      <xdr:row>161</xdr:row>
      <xdr:rowOff>0</xdr:rowOff>
    </xdr:from>
    <xdr:to>
      <xdr:col>10</xdr:col>
      <xdr:colOff>581025</xdr:colOff>
      <xdr:row>162</xdr:row>
      <xdr:rowOff>95250</xdr:rowOff>
    </xdr:to>
    <xdr:sp macro="" textlink="">
      <xdr:nvSpPr>
        <xdr:cNvPr id="3319" name="Line 7">
          <a:extLst>
            <a:ext uri="{FF2B5EF4-FFF2-40B4-BE49-F238E27FC236}">
              <a16:creationId xmlns:a16="http://schemas.microsoft.com/office/drawing/2014/main" id="{00000000-0008-0000-0700-0000F70C0000}"/>
            </a:ext>
          </a:extLst>
        </xdr:cNvPr>
        <xdr:cNvSpPr>
          <a:spLocks noChangeShapeType="1"/>
        </xdr:cNvSpPr>
      </xdr:nvSpPr>
      <xdr:spPr bwMode="auto">
        <a:xfrm flipH="1">
          <a:off x="4629150" y="24660225"/>
          <a:ext cx="371475" cy="2571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95250</xdr:colOff>
      <xdr:row>162</xdr:row>
      <xdr:rowOff>95250</xdr:rowOff>
    </xdr:from>
    <xdr:to>
      <xdr:col>10</xdr:col>
      <xdr:colOff>600075</xdr:colOff>
      <xdr:row>163</xdr:row>
      <xdr:rowOff>123825</xdr:rowOff>
    </xdr:to>
    <xdr:sp macro="" textlink="">
      <xdr:nvSpPr>
        <xdr:cNvPr id="3320" name="Line 8">
          <a:extLst>
            <a:ext uri="{FF2B5EF4-FFF2-40B4-BE49-F238E27FC236}">
              <a16:creationId xmlns:a16="http://schemas.microsoft.com/office/drawing/2014/main" id="{00000000-0008-0000-0700-0000F80C0000}"/>
            </a:ext>
          </a:extLst>
        </xdr:cNvPr>
        <xdr:cNvSpPr>
          <a:spLocks noChangeShapeType="1"/>
        </xdr:cNvSpPr>
      </xdr:nvSpPr>
      <xdr:spPr bwMode="auto">
        <a:xfrm flipH="1" flipV="1">
          <a:off x="4629150" y="24917400"/>
          <a:ext cx="371475" cy="1619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657225</xdr:colOff>
      <xdr:row>118</xdr:row>
      <xdr:rowOff>9525</xdr:rowOff>
    </xdr:from>
    <xdr:to>
      <xdr:col>6</xdr:col>
      <xdr:colOff>95250</xdr:colOff>
      <xdr:row>122</xdr:row>
      <xdr:rowOff>9525</xdr:rowOff>
    </xdr:to>
    <xdr:sp macro="" textlink="">
      <xdr:nvSpPr>
        <xdr:cNvPr id="6268" name="AutoShape 5">
          <a:extLst>
            <a:ext uri="{FF2B5EF4-FFF2-40B4-BE49-F238E27FC236}">
              <a16:creationId xmlns:a16="http://schemas.microsoft.com/office/drawing/2014/main" id="{00000000-0008-0000-0900-00007C180000}"/>
            </a:ext>
          </a:extLst>
        </xdr:cNvPr>
        <xdr:cNvSpPr>
          <a:spLocks/>
        </xdr:cNvSpPr>
      </xdr:nvSpPr>
      <xdr:spPr bwMode="auto">
        <a:xfrm>
          <a:off x="2714625" y="20612100"/>
          <a:ext cx="133350" cy="647700"/>
        </a:xfrm>
        <a:prstGeom prst="rightBrace">
          <a:avLst>
            <a:gd name="adj1" fmla="val 40476"/>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0</xdr:colOff>
      <xdr:row>26</xdr:row>
      <xdr:rowOff>9525</xdr:rowOff>
    </xdr:from>
    <xdr:to>
      <xdr:col>14</xdr:col>
      <xdr:colOff>0</xdr:colOff>
      <xdr:row>34</xdr:row>
      <xdr:rowOff>9525</xdr:rowOff>
    </xdr:to>
    <xdr:sp macro="" textlink="">
      <xdr:nvSpPr>
        <xdr:cNvPr id="11505" name="AutoShape 1">
          <a:extLst>
            <a:ext uri="{FF2B5EF4-FFF2-40B4-BE49-F238E27FC236}">
              <a16:creationId xmlns:a16="http://schemas.microsoft.com/office/drawing/2014/main" id="{00000000-0008-0000-0B00-0000F12C0000}"/>
            </a:ext>
          </a:extLst>
        </xdr:cNvPr>
        <xdr:cNvSpPr>
          <a:spLocks/>
        </xdr:cNvSpPr>
      </xdr:nvSpPr>
      <xdr:spPr bwMode="auto">
        <a:xfrm>
          <a:off x="6553200" y="6324600"/>
          <a:ext cx="0" cy="129540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14</xdr:col>
      <xdr:colOff>0</xdr:colOff>
      <xdr:row>39</xdr:row>
      <xdr:rowOff>9525</xdr:rowOff>
    </xdr:from>
    <xdr:to>
      <xdr:col>14</xdr:col>
      <xdr:colOff>0</xdr:colOff>
      <xdr:row>47</xdr:row>
      <xdr:rowOff>9525</xdr:rowOff>
    </xdr:to>
    <xdr:sp macro="" textlink="">
      <xdr:nvSpPr>
        <xdr:cNvPr id="11506" name="AutoShape 2">
          <a:extLst>
            <a:ext uri="{FF2B5EF4-FFF2-40B4-BE49-F238E27FC236}">
              <a16:creationId xmlns:a16="http://schemas.microsoft.com/office/drawing/2014/main" id="{00000000-0008-0000-0B00-0000F22C0000}"/>
            </a:ext>
          </a:extLst>
        </xdr:cNvPr>
        <xdr:cNvSpPr>
          <a:spLocks/>
        </xdr:cNvSpPr>
      </xdr:nvSpPr>
      <xdr:spPr bwMode="auto">
        <a:xfrm>
          <a:off x="6553200" y="8305800"/>
          <a:ext cx="0" cy="129540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9525</xdr:colOff>
      <xdr:row>137</xdr:row>
      <xdr:rowOff>0</xdr:rowOff>
    </xdr:from>
    <xdr:to>
      <xdr:col>7</xdr:col>
      <xdr:colOff>95250</xdr:colOff>
      <xdr:row>137</xdr:row>
      <xdr:rowOff>0</xdr:rowOff>
    </xdr:to>
    <xdr:sp macro="" textlink="">
      <xdr:nvSpPr>
        <xdr:cNvPr id="28772" name="AutoShape 1">
          <a:extLst>
            <a:ext uri="{FF2B5EF4-FFF2-40B4-BE49-F238E27FC236}">
              <a16:creationId xmlns:a16="http://schemas.microsoft.com/office/drawing/2014/main" id="{00000000-0008-0000-0C00-000064700000}"/>
            </a:ext>
          </a:extLst>
        </xdr:cNvPr>
        <xdr:cNvSpPr>
          <a:spLocks/>
        </xdr:cNvSpPr>
      </xdr:nvSpPr>
      <xdr:spPr bwMode="auto">
        <a:xfrm>
          <a:off x="5924550" y="22450425"/>
          <a:ext cx="85725"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19050</xdr:colOff>
      <xdr:row>131</xdr:row>
      <xdr:rowOff>19050</xdr:rowOff>
    </xdr:from>
    <xdr:to>
      <xdr:col>8</xdr:col>
      <xdr:colOff>95250</xdr:colOff>
      <xdr:row>136</xdr:row>
      <xdr:rowOff>28575</xdr:rowOff>
    </xdr:to>
    <xdr:sp macro="" textlink="">
      <xdr:nvSpPr>
        <xdr:cNvPr id="28773" name="AutoShape 3">
          <a:extLst>
            <a:ext uri="{FF2B5EF4-FFF2-40B4-BE49-F238E27FC236}">
              <a16:creationId xmlns:a16="http://schemas.microsoft.com/office/drawing/2014/main" id="{00000000-0008-0000-0C00-000065700000}"/>
            </a:ext>
          </a:extLst>
        </xdr:cNvPr>
        <xdr:cNvSpPr>
          <a:spLocks/>
        </xdr:cNvSpPr>
      </xdr:nvSpPr>
      <xdr:spPr bwMode="auto">
        <a:xfrm>
          <a:off x="6115050" y="20659725"/>
          <a:ext cx="76200" cy="1657350"/>
        </a:xfrm>
        <a:prstGeom prst="rightBrace">
          <a:avLst>
            <a:gd name="adj1" fmla="val 18125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19050</xdr:colOff>
      <xdr:row>206</xdr:row>
      <xdr:rowOff>19050</xdr:rowOff>
    </xdr:from>
    <xdr:to>
      <xdr:col>7</xdr:col>
      <xdr:colOff>85725</xdr:colOff>
      <xdr:row>214</xdr:row>
      <xdr:rowOff>0</xdr:rowOff>
    </xdr:to>
    <xdr:sp macro="" textlink="">
      <xdr:nvSpPr>
        <xdr:cNvPr id="28774" name="AutoShape 4">
          <a:extLst>
            <a:ext uri="{FF2B5EF4-FFF2-40B4-BE49-F238E27FC236}">
              <a16:creationId xmlns:a16="http://schemas.microsoft.com/office/drawing/2014/main" id="{00000000-0008-0000-0C00-000066700000}"/>
            </a:ext>
          </a:extLst>
        </xdr:cNvPr>
        <xdr:cNvSpPr>
          <a:spLocks/>
        </xdr:cNvSpPr>
      </xdr:nvSpPr>
      <xdr:spPr bwMode="auto">
        <a:xfrm>
          <a:off x="5934075" y="31270575"/>
          <a:ext cx="66675" cy="1276350"/>
        </a:xfrm>
        <a:prstGeom prst="rightBrace">
          <a:avLst>
            <a:gd name="adj1" fmla="val 159524"/>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28575</xdr:colOff>
      <xdr:row>199</xdr:row>
      <xdr:rowOff>19050</xdr:rowOff>
    </xdr:from>
    <xdr:to>
      <xdr:col>7</xdr:col>
      <xdr:colOff>85725</xdr:colOff>
      <xdr:row>204</xdr:row>
      <xdr:rowOff>133350</xdr:rowOff>
    </xdr:to>
    <xdr:sp macro="" textlink="">
      <xdr:nvSpPr>
        <xdr:cNvPr id="28775" name="AutoShape 5">
          <a:extLst>
            <a:ext uri="{FF2B5EF4-FFF2-40B4-BE49-F238E27FC236}">
              <a16:creationId xmlns:a16="http://schemas.microsoft.com/office/drawing/2014/main" id="{00000000-0008-0000-0C00-000067700000}"/>
            </a:ext>
          </a:extLst>
        </xdr:cNvPr>
        <xdr:cNvSpPr>
          <a:spLocks/>
        </xdr:cNvSpPr>
      </xdr:nvSpPr>
      <xdr:spPr bwMode="auto">
        <a:xfrm>
          <a:off x="5943600" y="30222825"/>
          <a:ext cx="57150" cy="923925"/>
        </a:xfrm>
        <a:prstGeom prst="rightBrace">
          <a:avLst>
            <a:gd name="adj1" fmla="val 13472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9525</xdr:colOff>
      <xdr:row>161</xdr:row>
      <xdr:rowOff>9525</xdr:rowOff>
    </xdr:from>
    <xdr:to>
      <xdr:col>7</xdr:col>
      <xdr:colOff>104775</xdr:colOff>
      <xdr:row>198</xdr:row>
      <xdr:rowOff>9525</xdr:rowOff>
    </xdr:to>
    <xdr:sp macro="" textlink="">
      <xdr:nvSpPr>
        <xdr:cNvPr id="28776" name="AutoShape 6">
          <a:extLst>
            <a:ext uri="{FF2B5EF4-FFF2-40B4-BE49-F238E27FC236}">
              <a16:creationId xmlns:a16="http://schemas.microsoft.com/office/drawing/2014/main" id="{00000000-0008-0000-0C00-000068700000}"/>
            </a:ext>
          </a:extLst>
        </xdr:cNvPr>
        <xdr:cNvSpPr>
          <a:spLocks/>
        </xdr:cNvSpPr>
      </xdr:nvSpPr>
      <xdr:spPr bwMode="auto">
        <a:xfrm>
          <a:off x="6019800" y="35613975"/>
          <a:ext cx="95250" cy="12258675"/>
        </a:xfrm>
        <a:prstGeom prst="rightBrace">
          <a:avLst>
            <a:gd name="adj1" fmla="val 29750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47625</xdr:colOff>
      <xdr:row>219</xdr:row>
      <xdr:rowOff>152400</xdr:rowOff>
    </xdr:from>
    <xdr:to>
      <xdr:col>7</xdr:col>
      <xdr:colOff>123825</xdr:colOff>
      <xdr:row>226</xdr:row>
      <xdr:rowOff>9525</xdr:rowOff>
    </xdr:to>
    <xdr:sp macro="" textlink="">
      <xdr:nvSpPr>
        <xdr:cNvPr id="28777" name="AutoShape 8">
          <a:extLst>
            <a:ext uri="{FF2B5EF4-FFF2-40B4-BE49-F238E27FC236}">
              <a16:creationId xmlns:a16="http://schemas.microsoft.com/office/drawing/2014/main" id="{00000000-0008-0000-0C00-000069700000}"/>
            </a:ext>
          </a:extLst>
        </xdr:cNvPr>
        <xdr:cNvSpPr>
          <a:spLocks/>
        </xdr:cNvSpPr>
      </xdr:nvSpPr>
      <xdr:spPr bwMode="auto">
        <a:xfrm>
          <a:off x="5962650" y="33518475"/>
          <a:ext cx="76200" cy="990600"/>
        </a:xfrm>
        <a:prstGeom prst="rightBrace">
          <a:avLst>
            <a:gd name="adj1" fmla="val 10833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19050</xdr:colOff>
      <xdr:row>115</xdr:row>
      <xdr:rowOff>0</xdr:rowOff>
    </xdr:from>
    <xdr:to>
      <xdr:col>7</xdr:col>
      <xdr:colOff>85725</xdr:colOff>
      <xdr:row>118</xdr:row>
      <xdr:rowOff>123825</xdr:rowOff>
    </xdr:to>
    <xdr:sp macro="" textlink="">
      <xdr:nvSpPr>
        <xdr:cNvPr id="28778" name="AutoShape 9">
          <a:extLst>
            <a:ext uri="{FF2B5EF4-FFF2-40B4-BE49-F238E27FC236}">
              <a16:creationId xmlns:a16="http://schemas.microsoft.com/office/drawing/2014/main" id="{00000000-0008-0000-0C00-00006A700000}"/>
            </a:ext>
          </a:extLst>
        </xdr:cNvPr>
        <xdr:cNvSpPr>
          <a:spLocks/>
        </xdr:cNvSpPr>
      </xdr:nvSpPr>
      <xdr:spPr bwMode="auto">
        <a:xfrm>
          <a:off x="5934075" y="17154525"/>
          <a:ext cx="66675" cy="609600"/>
        </a:xfrm>
        <a:prstGeom prst="rightBrace">
          <a:avLst>
            <a:gd name="adj1" fmla="val 7619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47625</xdr:colOff>
      <xdr:row>76</xdr:row>
      <xdr:rowOff>0</xdr:rowOff>
    </xdr:from>
    <xdr:to>
      <xdr:col>7</xdr:col>
      <xdr:colOff>123825</xdr:colOff>
      <xdr:row>112</xdr:row>
      <xdr:rowOff>9525</xdr:rowOff>
    </xdr:to>
    <xdr:sp macro="" textlink="">
      <xdr:nvSpPr>
        <xdr:cNvPr id="28779" name="AutoShape 10">
          <a:extLst>
            <a:ext uri="{FF2B5EF4-FFF2-40B4-BE49-F238E27FC236}">
              <a16:creationId xmlns:a16="http://schemas.microsoft.com/office/drawing/2014/main" id="{00000000-0008-0000-0C00-00006B700000}"/>
            </a:ext>
          </a:extLst>
        </xdr:cNvPr>
        <xdr:cNvSpPr>
          <a:spLocks/>
        </xdr:cNvSpPr>
      </xdr:nvSpPr>
      <xdr:spPr bwMode="auto">
        <a:xfrm>
          <a:off x="5962650" y="13496925"/>
          <a:ext cx="76200" cy="3248025"/>
        </a:xfrm>
        <a:prstGeom prst="rightBrace">
          <a:avLst>
            <a:gd name="adj1" fmla="val 35520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19050</xdr:colOff>
      <xdr:row>4</xdr:row>
      <xdr:rowOff>9525</xdr:rowOff>
    </xdr:from>
    <xdr:to>
      <xdr:col>9</xdr:col>
      <xdr:colOff>0</xdr:colOff>
      <xdr:row>13</xdr:row>
      <xdr:rowOff>38100</xdr:rowOff>
    </xdr:to>
    <xdr:sp macro="" textlink="">
      <xdr:nvSpPr>
        <xdr:cNvPr id="9227" name="Text Box 11">
          <a:extLst>
            <a:ext uri="{FF2B5EF4-FFF2-40B4-BE49-F238E27FC236}">
              <a16:creationId xmlns:a16="http://schemas.microsoft.com/office/drawing/2014/main" id="{00000000-0008-0000-0C00-00000B240000}"/>
            </a:ext>
          </a:extLst>
        </xdr:cNvPr>
        <xdr:cNvSpPr txBox="1">
          <a:spLocks noChangeArrowheads="1"/>
        </xdr:cNvSpPr>
      </xdr:nvSpPr>
      <xdr:spPr bwMode="auto">
        <a:xfrm>
          <a:off x="247650" y="771525"/>
          <a:ext cx="8248650" cy="148590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This worksheet prepares the allocation of internal service funds using the Look-back approach. Internal service funds should generally operate on a breakeven basis. Therefore when a profit or loss results from internal transactions, it should be allocated back to the funds involved based on their percentage of participation. If the Internal Service fund had a net loss, the allocation would result in a corresponding increase in expenses. Any adjustments arising from these calculations are not intended to be posted to the general ledger. They should be treated as reporting entries for purposes of reporting on the government-wide statements and will be posted only to the conversion worksheet. A separate worksheet should be prepared for each individual internal service fund. Three worksheets for internal service fund allocation have been provided and mapped to the conversion worksheet.  If more copies are needed then their resulting entries will require an entry (and mapping) to the conversion worksheet or you may choose to enter the entries directly into the yellow "Misc. Entries" column (be careful not to overwrite the data mapped from the other internal service funds.)</a:t>
          </a:r>
          <a:r>
            <a:rPr lang="en-US" sz="1000" b="0" i="0" u="none" strike="noStrike" baseline="0">
              <a:solidFill>
                <a:srgbClr val="FF0000"/>
              </a:solidFill>
              <a:latin typeface="Arial"/>
              <a:cs typeface="Arial"/>
            </a:rPr>
            <a:t> </a:t>
          </a:r>
          <a:r>
            <a:rPr lang="en-US" sz="1000" b="0" i="0" u="none" strike="noStrike" baseline="0">
              <a:solidFill>
                <a:srgbClr val="000000"/>
              </a:solidFill>
              <a:latin typeface="Arial"/>
              <a:cs typeface="Arial"/>
            </a:rPr>
            <a:t>      </a:t>
          </a:r>
        </a:p>
      </xdr:txBody>
    </xdr:sp>
    <xdr:clientData/>
  </xdr:twoCellAnchor>
  <xdr:twoCellAnchor>
    <xdr:from>
      <xdr:col>2</xdr:col>
      <xdr:colOff>9525</xdr:colOff>
      <xdr:row>16</xdr:row>
      <xdr:rowOff>47625</xdr:rowOff>
    </xdr:from>
    <xdr:to>
      <xdr:col>9</xdr:col>
      <xdr:colOff>9525</xdr:colOff>
      <xdr:row>22</xdr:row>
      <xdr:rowOff>0</xdr:rowOff>
    </xdr:to>
    <xdr:sp macro="" textlink="">
      <xdr:nvSpPr>
        <xdr:cNvPr id="9228" name="Text Box 12">
          <a:extLst>
            <a:ext uri="{FF2B5EF4-FFF2-40B4-BE49-F238E27FC236}">
              <a16:creationId xmlns:a16="http://schemas.microsoft.com/office/drawing/2014/main" id="{00000000-0008-0000-0C00-00000C240000}"/>
            </a:ext>
          </a:extLst>
        </xdr:cNvPr>
        <xdr:cNvSpPr txBox="1">
          <a:spLocks noChangeArrowheads="1"/>
        </xdr:cNvSpPr>
      </xdr:nvSpPr>
      <xdr:spPr bwMode="auto">
        <a:xfrm>
          <a:off x="390525" y="2914650"/>
          <a:ext cx="8115300" cy="81915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Enter the amounts in Step B for the permanent balance sheet accounts for the given internal service fund. These amounts will be posted to the governmental activity column as determined in Step A to be the primary beneficiary of the internal service fund's activities. This worksheet will handle only those funds determined to benefit governmental activities. In step 2 of Section B enter the amounts that must be excluded from the allocation. These amounts come directly from the fund statements. Also, in step 3 enter the change in net position from the income statement for the fund being allocated.</a:t>
          </a:r>
        </a:p>
        <a:p>
          <a:pPr algn="l" rtl="0">
            <a:defRPr sz="1000"/>
          </a:pPr>
          <a:endParaRPr lang="en-US" sz="1000" b="0" i="0"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9525</xdr:colOff>
      <xdr:row>131</xdr:row>
      <xdr:rowOff>0</xdr:rowOff>
    </xdr:from>
    <xdr:to>
      <xdr:col>7</xdr:col>
      <xdr:colOff>95250</xdr:colOff>
      <xdr:row>131</xdr:row>
      <xdr:rowOff>0</xdr:rowOff>
    </xdr:to>
    <xdr:sp macro="" textlink="">
      <xdr:nvSpPr>
        <xdr:cNvPr id="29748" name="AutoShape 1">
          <a:extLst>
            <a:ext uri="{FF2B5EF4-FFF2-40B4-BE49-F238E27FC236}">
              <a16:creationId xmlns:a16="http://schemas.microsoft.com/office/drawing/2014/main" id="{00000000-0008-0000-0D00-000034740000}"/>
            </a:ext>
          </a:extLst>
        </xdr:cNvPr>
        <xdr:cNvSpPr>
          <a:spLocks/>
        </xdr:cNvSpPr>
      </xdr:nvSpPr>
      <xdr:spPr bwMode="auto">
        <a:xfrm>
          <a:off x="5924550" y="22450425"/>
          <a:ext cx="85725"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19050</xdr:colOff>
      <xdr:row>125</xdr:row>
      <xdr:rowOff>19050</xdr:rowOff>
    </xdr:from>
    <xdr:to>
      <xdr:col>8</xdr:col>
      <xdr:colOff>95250</xdr:colOff>
      <xdr:row>130</xdr:row>
      <xdr:rowOff>28575</xdr:rowOff>
    </xdr:to>
    <xdr:sp macro="" textlink="">
      <xdr:nvSpPr>
        <xdr:cNvPr id="29749" name="AutoShape 2">
          <a:extLst>
            <a:ext uri="{FF2B5EF4-FFF2-40B4-BE49-F238E27FC236}">
              <a16:creationId xmlns:a16="http://schemas.microsoft.com/office/drawing/2014/main" id="{00000000-0008-0000-0D00-000035740000}"/>
            </a:ext>
          </a:extLst>
        </xdr:cNvPr>
        <xdr:cNvSpPr>
          <a:spLocks/>
        </xdr:cNvSpPr>
      </xdr:nvSpPr>
      <xdr:spPr bwMode="auto">
        <a:xfrm>
          <a:off x="6115050" y="20659725"/>
          <a:ext cx="76200" cy="1657350"/>
        </a:xfrm>
        <a:prstGeom prst="rightBrace">
          <a:avLst>
            <a:gd name="adj1" fmla="val 18125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19050</xdr:colOff>
      <xdr:row>199</xdr:row>
      <xdr:rowOff>19050</xdr:rowOff>
    </xdr:from>
    <xdr:to>
      <xdr:col>7</xdr:col>
      <xdr:colOff>85725</xdr:colOff>
      <xdr:row>207</xdr:row>
      <xdr:rowOff>0</xdr:rowOff>
    </xdr:to>
    <xdr:sp macro="" textlink="">
      <xdr:nvSpPr>
        <xdr:cNvPr id="29750" name="AutoShape 3">
          <a:extLst>
            <a:ext uri="{FF2B5EF4-FFF2-40B4-BE49-F238E27FC236}">
              <a16:creationId xmlns:a16="http://schemas.microsoft.com/office/drawing/2014/main" id="{00000000-0008-0000-0D00-000036740000}"/>
            </a:ext>
          </a:extLst>
        </xdr:cNvPr>
        <xdr:cNvSpPr>
          <a:spLocks/>
        </xdr:cNvSpPr>
      </xdr:nvSpPr>
      <xdr:spPr bwMode="auto">
        <a:xfrm>
          <a:off x="5934075" y="31270575"/>
          <a:ext cx="66675" cy="1276350"/>
        </a:xfrm>
        <a:prstGeom prst="rightBrace">
          <a:avLst>
            <a:gd name="adj1" fmla="val 159524"/>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28575</xdr:colOff>
      <xdr:row>192</xdr:row>
      <xdr:rowOff>19050</xdr:rowOff>
    </xdr:from>
    <xdr:to>
      <xdr:col>7</xdr:col>
      <xdr:colOff>85725</xdr:colOff>
      <xdr:row>197</xdr:row>
      <xdr:rowOff>133350</xdr:rowOff>
    </xdr:to>
    <xdr:sp macro="" textlink="">
      <xdr:nvSpPr>
        <xdr:cNvPr id="29751" name="AutoShape 4">
          <a:extLst>
            <a:ext uri="{FF2B5EF4-FFF2-40B4-BE49-F238E27FC236}">
              <a16:creationId xmlns:a16="http://schemas.microsoft.com/office/drawing/2014/main" id="{00000000-0008-0000-0D00-000037740000}"/>
            </a:ext>
          </a:extLst>
        </xdr:cNvPr>
        <xdr:cNvSpPr>
          <a:spLocks/>
        </xdr:cNvSpPr>
      </xdr:nvSpPr>
      <xdr:spPr bwMode="auto">
        <a:xfrm>
          <a:off x="5943600" y="30222825"/>
          <a:ext cx="57150" cy="923925"/>
        </a:xfrm>
        <a:prstGeom prst="rightBrace">
          <a:avLst>
            <a:gd name="adj1" fmla="val 13472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9525</xdr:colOff>
      <xdr:row>155</xdr:row>
      <xdr:rowOff>9525</xdr:rowOff>
    </xdr:from>
    <xdr:to>
      <xdr:col>7</xdr:col>
      <xdr:colOff>104775</xdr:colOff>
      <xdr:row>191</xdr:row>
      <xdr:rowOff>9525</xdr:rowOff>
    </xdr:to>
    <xdr:sp macro="" textlink="">
      <xdr:nvSpPr>
        <xdr:cNvPr id="29752" name="AutoShape 5">
          <a:extLst>
            <a:ext uri="{FF2B5EF4-FFF2-40B4-BE49-F238E27FC236}">
              <a16:creationId xmlns:a16="http://schemas.microsoft.com/office/drawing/2014/main" id="{00000000-0008-0000-0D00-000038740000}"/>
            </a:ext>
          </a:extLst>
        </xdr:cNvPr>
        <xdr:cNvSpPr>
          <a:spLocks/>
        </xdr:cNvSpPr>
      </xdr:nvSpPr>
      <xdr:spPr bwMode="auto">
        <a:xfrm>
          <a:off x="5924550" y="26736675"/>
          <a:ext cx="95250" cy="3400425"/>
        </a:xfrm>
        <a:prstGeom prst="rightBrace">
          <a:avLst>
            <a:gd name="adj1" fmla="val 29750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47625</xdr:colOff>
      <xdr:row>212</xdr:row>
      <xdr:rowOff>152400</xdr:rowOff>
    </xdr:from>
    <xdr:to>
      <xdr:col>7</xdr:col>
      <xdr:colOff>123825</xdr:colOff>
      <xdr:row>219</xdr:row>
      <xdr:rowOff>9525</xdr:rowOff>
    </xdr:to>
    <xdr:sp macro="" textlink="">
      <xdr:nvSpPr>
        <xdr:cNvPr id="29753" name="AutoShape 6">
          <a:extLst>
            <a:ext uri="{FF2B5EF4-FFF2-40B4-BE49-F238E27FC236}">
              <a16:creationId xmlns:a16="http://schemas.microsoft.com/office/drawing/2014/main" id="{00000000-0008-0000-0D00-000039740000}"/>
            </a:ext>
          </a:extLst>
        </xdr:cNvPr>
        <xdr:cNvSpPr>
          <a:spLocks/>
        </xdr:cNvSpPr>
      </xdr:nvSpPr>
      <xdr:spPr bwMode="auto">
        <a:xfrm>
          <a:off x="5962650" y="33518475"/>
          <a:ext cx="76200" cy="990600"/>
        </a:xfrm>
        <a:prstGeom prst="rightBrace">
          <a:avLst>
            <a:gd name="adj1" fmla="val 10833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19050</xdr:colOff>
      <xdr:row>109</xdr:row>
      <xdr:rowOff>0</xdr:rowOff>
    </xdr:from>
    <xdr:to>
      <xdr:col>7</xdr:col>
      <xdr:colOff>85725</xdr:colOff>
      <xdr:row>112</xdr:row>
      <xdr:rowOff>123825</xdr:rowOff>
    </xdr:to>
    <xdr:sp macro="" textlink="">
      <xdr:nvSpPr>
        <xdr:cNvPr id="29754" name="AutoShape 7">
          <a:extLst>
            <a:ext uri="{FF2B5EF4-FFF2-40B4-BE49-F238E27FC236}">
              <a16:creationId xmlns:a16="http://schemas.microsoft.com/office/drawing/2014/main" id="{00000000-0008-0000-0D00-00003A740000}"/>
            </a:ext>
          </a:extLst>
        </xdr:cNvPr>
        <xdr:cNvSpPr>
          <a:spLocks/>
        </xdr:cNvSpPr>
      </xdr:nvSpPr>
      <xdr:spPr bwMode="auto">
        <a:xfrm>
          <a:off x="5934075" y="17021175"/>
          <a:ext cx="66675" cy="609600"/>
        </a:xfrm>
        <a:prstGeom prst="rightBrace">
          <a:avLst>
            <a:gd name="adj1" fmla="val 7619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47625</xdr:colOff>
      <xdr:row>71</xdr:row>
      <xdr:rowOff>0</xdr:rowOff>
    </xdr:from>
    <xdr:to>
      <xdr:col>7</xdr:col>
      <xdr:colOff>123825</xdr:colOff>
      <xdr:row>106</xdr:row>
      <xdr:rowOff>9525</xdr:rowOff>
    </xdr:to>
    <xdr:sp macro="" textlink="">
      <xdr:nvSpPr>
        <xdr:cNvPr id="29755" name="AutoShape 8">
          <a:extLst>
            <a:ext uri="{FF2B5EF4-FFF2-40B4-BE49-F238E27FC236}">
              <a16:creationId xmlns:a16="http://schemas.microsoft.com/office/drawing/2014/main" id="{00000000-0008-0000-0D00-00003B740000}"/>
            </a:ext>
          </a:extLst>
        </xdr:cNvPr>
        <xdr:cNvSpPr>
          <a:spLocks/>
        </xdr:cNvSpPr>
      </xdr:nvSpPr>
      <xdr:spPr bwMode="auto">
        <a:xfrm>
          <a:off x="5962650" y="13363575"/>
          <a:ext cx="76200" cy="3248025"/>
        </a:xfrm>
        <a:prstGeom prst="rightBrace">
          <a:avLst>
            <a:gd name="adj1" fmla="val 35520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217170</xdr:colOff>
      <xdr:row>4</xdr:row>
      <xdr:rowOff>0</xdr:rowOff>
    </xdr:from>
    <xdr:to>
      <xdr:col>8</xdr:col>
      <xdr:colOff>2392680</xdr:colOff>
      <xdr:row>13</xdr:row>
      <xdr:rowOff>0</xdr:rowOff>
    </xdr:to>
    <xdr:sp macro="" textlink="">
      <xdr:nvSpPr>
        <xdr:cNvPr id="20489" name="Text Box 9">
          <a:extLst>
            <a:ext uri="{FF2B5EF4-FFF2-40B4-BE49-F238E27FC236}">
              <a16:creationId xmlns:a16="http://schemas.microsoft.com/office/drawing/2014/main" id="{00000000-0008-0000-0D00-000009500000}"/>
            </a:ext>
          </a:extLst>
        </xdr:cNvPr>
        <xdr:cNvSpPr txBox="1">
          <a:spLocks noChangeArrowheads="1"/>
        </xdr:cNvSpPr>
      </xdr:nvSpPr>
      <xdr:spPr bwMode="auto">
        <a:xfrm>
          <a:off x="219075" y="762000"/>
          <a:ext cx="8267700" cy="1457325"/>
        </a:xfrm>
        <a:prstGeom prst="rect">
          <a:avLst/>
        </a:prstGeom>
        <a:solidFill>
          <a:srgbClr val="FFFFFF"/>
        </a:solidFill>
        <a:ln w="9525">
          <a:noFill/>
          <a:miter lim="800000"/>
          <a:headEnd/>
          <a:tailEnd/>
        </a:ln>
      </xdr:spPr>
      <xdr:txBody>
        <a:bodyPr vertOverflow="clip" wrap="square" lIns="27432" tIns="22860" rIns="0" bIns="0" anchor="t" upright="1"/>
        <a:lstStyle/>
        <a:p>
          <a:pPr algn="l" rtl="0">
            <a:lnSpc>
              <a:spcPts val="1100"/>
            </a:lnSpc>
            <a:defRPr sz="1000"/>
          </a:pPr>
          <a:r>
            <a:rPr lang="en-US" sz="1000" b="0" i="0" u="none" strike="noStrike" baseline="0">
              <a:solidFill>
                <a:srgbClr val="000000"/>
              </a:solidFill>
              <a:latin typeface="Arial"/>
              <a:cs typeface="Arial"/>
            </a:rPr>
            <a:t>This worksheet prepares the allocation of internal service funds using the Look-back approach. Internal service funds should generally operate on a breakeven basis. Therefore when a profit or loss results from internal transactions, it should be allocated back to the funds involved based on their percentage of participation. If the Internal Service fund had a net loss, the allocation would result in a corresponding increase in expenses. Any adjustments arising from these calculations are not intended to be posted to the general ledger. They should be treated as reporting entries for purposes of reporting on the government-wide statements and will be posted only to the conversion worksheet. A separate worksheet should be prepared for each individual internal service fund. Three worksheets for internal service fund allocation have been provided and mapped to the conversion worksheet. If more copies are needed then their resulting entries will required an entry (and mapping) to the conversion worksheet or you may choose to enter the entries directly into the yellow "Misc. Entries" column (be careful not to overwrite the data mapped from the other internal service funds.)       </a:t>
          </a:r>
        </a:p>
        <a:p>
          <a:pPr algn="l" rtl="0">
            <a:defRPr sz="1000"/>
          </a:pPr>
          <a:endParaRPr lang="en-US" sz="1000" b="0" i="0" u="none" strike="noStrike" baseline="0">
            <a:solidFill>
              <a:srgbClr val="000000"/>
            </a:solidFill>
            <a:latin typeface="Arial"/>
            <a:cs typeface="Aria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7</xdr:col>
      <xdr:colOff>9525</xdr:colOff>
      <xdr:row>131</xdr:row>
      <xdr:rowOff>0</xdr:rowOff>
    </xdr:from>
    <xdr:to>
      <xdr:col>7</xdr:col>
      <xdr:colOff>95250</xdr:colOff>
      <xdr:row>131</xdr:row>
      <xdr:rowOff>0</xdr:rowOff>
    </xdr:to>
    <xdr:sp macro="" textlink="">
      <xdr:nvSpPr>
        <xdr:cNvPr id="30772" name="AutoShape 1">
          <a:extLst>
            <a:ext uri="{FF2B5EF4-FFF2-40B4-BE49-F238E27FC236}">
              <a16:creationId xmlns:a16="http://schemas.microsoft.com/office/drawing/2014/main" id="{00000000-0008-0000-0E00-000034780000}"/>
            </a:ext>
          </a:extLst>
        </xdr:cNvPr>
        <xdr:cNvSpPr>
          <a:spLocks/>
        </xdr:cNvSpPr>
      </xdr:nvSpPr>
      <xdr:spPr bwMode="auto">
        <a:xfrm>
          <a:off x="5924550" y="22555200"/>
          <a:ext cx="85725"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19050</xdr:colOff>
      <xdr:row>125</xdr:row>
      <xdr:rowOff>19050</xdr:rowOff>
    </xdr:from>
    <xdr:to>
      <xdr:col>8</xdr:col>
      <xdr:colOff>95250</xdr:colOff>
      <xdr:row>130</xdr:row>
      <xdr:rowOff>28575</xdr:rowOff>
    </xdr:to>
    <xdr:sp macro="" textlink="">
      <xdr:nvSpPr>
        <xdr:cNvPr id="30773" name="AutoShape 2">
          <a:extLst>
            <a:ext uri="{FF2B5EF4-FFF2-40B4-BE49-F238E27FC236}">
              <a16:creationId xmlns:a16="http://schemas.microsoft.com/office/drawing/2014/main" id="{00000000-0008-0000-0E00-000035780000}"/>
            </a:ext>
          </a:extLst>
        </xdr:cNvPr>
        <xdr:cNvSpPr>
          <a:spLocks/>
        </xdr:cNvSpPr>
      </xdr:nvSpPr>
      <xdr:spPr bwMode="auto">
        <a:xfrm>
          <a:off x="6115050" y="20745450"/>
          <a:ext cx="76200" cy="1676400"/>
        </a:xfrm>
        <a:prstGeom prst="rightBrace">
          <a:avLst>
            <a:gd name="adj1" fmla="val 18333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19050</xdr:colOff>
      <xdr:row>199</xdr:row>
      <xdr:rowOff>19050</xdr:rowOff>
    </xdr:from>
    <xdr:to>
      <xdr:col>7</xdr:col>
      <xdr:colOff>85725</xdr:colOff>
      <xdr:row>207</xdr:row>
      <xdr:rowOff>0</xdr:rowOff>
    </xdr:to>
    <xdr:sp macro="" textlink="">
      <xdr:nvSpPr>
        <xdr:cNvPr id="30774" name="AutoShape 3">
          <a:extLst>
            <a:ext uri="{FF2B5EF4-FFF2-40B4-BE49-F238E27FC236}">
              <a16:creationId xmlns:a16="http://schemas.microsoft.com/office/drawing/2014/main" id="{00000000-0008-0000-0E00-000036780000}"/>
            </a:ext>
          </a:extLst>
        </xdr:cNvPr>
        <xdr:cNvSpPr>
          <a:spLocks/>
        </xdr:cNvSpPr>
      </xdr:nvSpPr>
      <xdr:spPr bwMode="auto">
        <a:xfrm>
          <a:off x="5934075" y="31375350"/>
          <a:ext cx="66675" cy="1276350"/>
        </a:xfrm>
        <a:prstGeom prst="rightBrace">
          <a:avLst>
            <a:gd name="adj1" fmla="val 159524"/>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28575</xdr:colOff>
      <xdr:row>192</xdr:row>
      <xdr:rowOff>19050</xdr:rowOff>
    </xdr:from>
    <xdr:to>
      <xdr:col>7</xdr:col>
      <xdr:colOff>85725</xdr:colOff>
      <xdr:row>197</xdr:row>
      <xdr:rowOff>133350</xdr:rowOff>
    </xdr:to>
    <xdr:sp macro="" textlink="">
      <xdr:nvSpPr>
        <xdr:cNvPr id="30775" name="AutoShape 4">
          <a:extLst>
            <a:ext uri="{FF2B5EF4-FFF2-40B4-BE49-F238E27FC236}">
              <a16:creationId xmlns:a16="http://schemas.microsoft.com/office/drawing/2014/main" id="{00000000-0008-0000-0E00-000037780000}"/>
            </a:ext>
          </a:extLst>
        </xdr:cNvPr>
        <xdr:cNvSpPr>
          <a:spLocks/>
        </xdr:cNvSpPr>
      </xdr:nvSpPr>
      <xdr:spPr bwMode="auto">
        <a:xfrm>
          <a:off x="5943600" y="30327600"/>
          <a:ext cx="57150" cy="923925"/>
        </a:xfrm>
        <a:prstGeom prst="rightBrace">
          <a:avLst>
            <a:gd name="adj1" fmla="val 13472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9525</xdr:colOff>
      <xdr:row>155</xdr:row>
      <xdr:rowOff>9525</xdr:rowOff>
    </xdr:from>
    <xdr:to>
      <xdr:col>7</xdr:col>
      <xdr:colOff>104775</xdr:colOff>
      <xdr:row>191</xdr:row>
      <xdr:rowOff>9525</xdr:rowOff>
    </xdr:to>
    <xdr:sp macro="" textlink="">
      <xdr:nvSpPr>
        <xdr:cNvPr id="30776" name="AutoShape 5">
          <a:extLst>
            <a:ext uri="{FF2B5EF4-FFF2-40B4-BE49-F238E27FC236}">
              <a16:creationId xmlns:a16="http://schemas.microsoft.com/office/drawing/2014/main" id="{00000000-0008-0000-0E00-000038780000}"/>
            </a:ext>
          </a:extLst>
        </xdr:cNvPr>
        <xdr:cNvSpPr>
          <a:spLocks/>
        </xdr:cNvSpPr>
      </xdr:nvSpPr>
      <xdr:spPr bwMode="auto">
        <a:xfrm>
          <a:off x="5924550" y="26841450"/>
          <a:ext cx="95250" cy="3400425"/>
        </a:xfrm>
        <a:prstGeom prst="rightBrace">
          <a:avLst>
            <a:gd name="adj1" fmla="val 29750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47625</xdr:colOff>
      <xdr:row>212</xdr:row>
      <xdr:rowOff>152400</xdr:rowOff>
    </xdr:from>
    <xdr:to>
      <xdr:col>7</xdr:col>
      <xdr:colOff>123825</xdr:colOff>
      <xdr:row>219</xdr:row>
      <xdr:rowOff>9525</xdr:rowOff>
    </xdr:to>
    <xdr:sp macro="" textlink="">
      <xdr:nvSpPr>
        <xdr:cNvPr id="30777" name="AutoShape 6">
          <a:extLst>
            <a:ext uri="{FF2B5EF4-FFF2-40B4-BE49-F238E27FC236}">
              <a16:creationId xmlns:a16="http://schemas.microsoft.com/office/drawing/2014/main" id="{00000000-0008-0000-0E00-000039780000}"/>
            </a:ext>
          </a:extLst>
        </xdr:cNvPr>
        <xdr:cNvSpPr>
          <a:spLocks/>
        </xdr:cNvSpPr>
      </xdr:nvSpPr>
      <xdr:spPr bwMode="auto">
        <a:xfrm>
          <a:off x="5962650" y="33623250"/>
          <a:ext cx="76200" cy="1114425"/>
        </a:xfrm>
        <a:prstGeom prst="rightBrace">
          <a:avLst>
            <a:gd name="adj1" fmla="val 121875"/>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19050</xdr:colOff>
      <xdr:row>109</xdr:row>
      <xdr:rowOff>0</xdr:rowOff>
    </xdr:from>
    <xdr:to>
      <xdr:col>7</xdr:col>
      <xdr:colOff>85725</xdr:colOff>
      <xdr:row>112</xdr:row>
      <xdr:rowOff>123825</xdr:rowOff>
    </xdr:to>
    <xdr:sp macro="" textlink="">
      <xdr:nvSpPr>
        <xdr:cNvPr id="30778" name="AutoShape 7">
          <a:extLst>
            <a:ext uri="{FF2B5EF4-FFF2-40B4-BE49-F238E27FC236}">
              <a16:creationId xmlns:a16="http://schemas.microsoft.com/office/drawing/2014/main" id="{00000000-0008-0000-0E00-00003A780000}"/>
            </a:ext>
          </a:extLst>
        </xdr:cNvPr>
        <xdr:cNvSpPr>
          <a:spLocks/>
        </xdr:cNvSpPr>
      </xdr:nvSpPr>
      <xdr:spPr bwMode="auto">
        <a:xfrm>
          <a:off x="5934075" y="17202150"/>
          <a:ext cx="66675" cy="609600"/>
        </a:xfrm>
        <a:prstGeom prst="rightBrace">
          <a:avLst>
            <a:gd name="adj1" fmla="val 7619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47625</xdr:colOff>
      <xdr:row>71</xdr:row>
      <xdr:rowOff>0</xdr:rowOff>
    </xdr:from>
    <xdr:to>
      <xdr:col>7</xdr:col>
      <xdr:colOff>123825</xdr:colOff>
      <xdr:row>106</xdr:row>
      <xdr:rowOff>9525</xdr:rowOff>
    </xdr:to>
    <xdr:sp macro="" textlink="">
      <xdr:nvSpPr>
        <xdr:cNvPr id="30779" name="AutoShape 8">
          <a:extLst>
            <a:ext uri="{FF2B5EF4-FFF2-40B4-BE49-F238E27FC236}">
              <a16:creationId xmlns:a16="http://schemas.microsoft.com/office/drawing/2014/main" id="{00000000-0008-0000-0E00-00003B780000}"/>
            </a:ext>
          </a:extLst>
        </xdr:cNvPr>
        <xdr:cNvSpPr>
          <a:spLocks/>
        </xdr:cNvSpPr>
      </xdr:nvSpPr>
      <xdr:spPr bwMode="auto">
        <a:xfrm>
          <a:off x="5962650" y="13544550"/>
          <a:ext cx="76200" cy="3248025"/>
        </a:xfrm>
        <a:prstGeom prst="rightBrace">
          <a:avLst>
            <a:gd name="adj1" fmla="val 35520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3</xdr:row>
      <xdr:rowOff>1457325</xdr:rowOff>
    </xdr:from>
    <xdr:to>
      <xdr:col>9</xdr:col>
      <xdr:colOff>9525</xdr:colOff>
      <xdr:row>13</xdr:row>
      <xdr:rowOff>0</xdr:rowOff>
    </xdr:to>
    <xdr:sp macro="" textlink="">
      <xdr:nvSpPr>
        <xdr:cNvPr id="21513" name="Text Box 9">
          <a:extLst>
            <a:ext uri="{FF2B5EF4-FFF2-40B4-BE49-F238E27FC236}">
              <a16:creationId xmlns:a16="http://schemas.microsoft.com/office/drawing/2014/main" id="{00000000-0008-0000-0E00-000009540000}"/>
            </a:ext>
          </a:extLst>
        </xdr:cNvPr>
        <xdr:cNvSpPr txBox="1">
          <a:spLocks noChangeArrowheads="1"/>
        </xdr:cNvSpPr>
      </xdr:nvSpPr>
      <xdr:spPr bwMode="auto">
        <a:xfrm>
          <a:off x="238125" y="742950"/>
          <a:ext cx="8267700" cy="145732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This worksheet prepares the allocation of internal service funds using the Look-back approach. Internal service funds should generally operate on a breakeven basis. Therefore when a profit or loss results from internal transactions, it should be allocated back to the funds involved bases on their percentage of participation. If the Internal Service fund had a net loss, the allocation would result in a corresponding increase in expenses. Any adjustments arising from these calculations are not intended to be posted to the general ledger. They should be treated as reporting entries for purposes of reporting on the government-wide statements and will be posted only to the conversion worksheet. A separate worksheet should be prepared for each individual internal service fund. Three worksheets for internal service fund allocation have been provided and mapped to the conversion worksheet. If more copies are needed then their resulting entries will require an entry (and mapping) to the conversion worksheet or you may choose to enter the entries directly into the yellow "Misc. Entries" column (be careful  not to overwrite the data mapped from the other internal service funds.)        </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11</xdr:col>
      <xdr:colOff>1066800</xdr:colOff>
      <xdr:row>196</xdr:row>
      <xdr:rowOff>257175</xdr:rowOff>
    </xdr:from>
    <xdr:to>
      <xdr:col>13</xdr:col>
      <xdr:colOff>38100</xdr:colOff>
      <xdr:row>204</xdr:row>
      <xdr:rowOff>0</xdr:rowOff>
    </xdr:to>
    <xdr:sp macro="" textlink="">
      <xdr:nvSpPr>
        <xdr:cNvPr id="31798" name="AutoShape 2">
          <a:extLst>
            <a:ext uri="{FF2B5EF4-FFF2-40B4-BE49-F238E27FC236}">
              <a16:creationId xmlns:a16="http://schemas.microsoft.com/office/drawing/2014/main" id="{00000000-0008-0000-0F00-0000367C0000}"/>
            </a:ext>
          </a:extLst>
        </xdr:cNvPr>
        <xdr:cNvSpPr>
          <a:spLocks/>
        </xdr:cNvSpPr>
      </xdr:nvSpPr>
      <xdr:spPr bwMode="auto">
        <a:xfrm>
          <a:off x="6886575" y="38357175"/>
          <a:ext cx="123825" cy="1038225"/>
        </a:xfrm>
        <a:prstGeom prst="rightBrace">
          <a:avLst>
            <a:gd name="adj1" fmla="val 69872"/>
            <a:gd name="adj2" fmla="val 4954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1047750</xdr:colOff>
      <xdr:row>205</xdr:row>
      <xdr:rowOff>9525</xdr:rowOff>
    </xdr:from>
    <xdr:to>
      <xdr:col>13</xdr:col>
      <xdr:colOff>57150</xdr:colOff>
      <xdr:row>209</xdr:row>
      <xdr:rowOff>133350</xdr:rowOff>
    </xdr:to>
    <xdr:sp macro="" textlink="">
      <xdr:nvSpPr>
        <xdr:cNvPr id="31799" name="AutoShape 3">
          <a:extLst>
            <a:ext uri="{FF2B5EF4-FFF2-40B4-BE49-F238E27FC236}">
              <a16:creationId xmlns:a16="http://schemas.microsoft.com/office/drawing/2014/main" id="{00000000-0008-0000-0F00-0000377C0000}"/>
            </a:ext>
          </a:extLst>
        </xdr:cNvPr>
        <xdr:cNvSpPr>
          <a:spLocks/>
        </xdr:cNvSpPr>
      </xdr:nvSpPr>
      <xdr:spPr bwMode="auto">
        <a:xfrm>
          <a:off x="6867525" y="39462075"/>
          <a:ext cx="161925" cy="771525"/>
        </a:xfrm>
        <a:prstGeom prst="rightBrace">
          <a:avLst>
            <a:gd name="adj1" fmla="val 39706"/>
            <a:gd name="adj2" fmla="val 4691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1019175</xdr:colOff>
      <xdr:row>211</xdr:row>
      <xdr:rowOff>9525</xdr:rowOff>
    </xdr:from>
    <xdr:to>
      <xdr:col>13</xdr:col>
      <xdr:colOff>19050</xdr:colOff>
      <xdr:row>214</xdr:row>
      <xdr:rowOff>142875</xdr:rowOff>
    </xdr:to>
    <xdr:sp macro="" textlink="">
      <xdr:nvSpPr>
        <xdr:cNvPr id="31800" name="AutoShape 5">
          <a:extLst>
            <a:ext uri="{FF2B5EF4-FFF2-40B4-BE49-F238E27FC236}">
              <a16:creationId xmlns:a16="http://schemas.microsoft.com/office/drawing/2014/main" id="{00000000-0008-0000-0F00-0000387C0000}"/>
            </a:ext>
          </a:extLst>
        </xdr:cNvPr>
        <xdr:cNvSpPr>
          <a:spLocks/>
        </xdr:cNvSpPr>
      </xdr:nvSpPr>
      <xdr:spPr bwMode="auto">
        <a:xfrm>
          <a:off x="6838950" y="40319325"/>
          <a:ext cx="152400" cy="619125"/>
        </a:xfrm>
        <a:prstGeom prst="rightBrace">
          <a:avLst>
            <a:gd name="adj1" fmla="val 33854"/>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1057275</xdr:colOff>
      <xdr:row>215</xdr:row>
      <xdr:rowOff>57150</xdr:rowOff>
    </xdr:from>
    <xdr:to>
      <xdr:col>13</xdr:col>
      <xdr:colOff>19050</xdr:colOff>
      <xdr:row>219</xdr:row>
      <xdr:rowOff>152400</xdr:rowOff>
    </xdr:to>
    <xdr:sp macro="" textlink="">
      <xdr:nvSpPr>
        <xdr:cNvPr id="31801" name="AutoShape 6">
          <a:extLst>
            <a:ext uri="{FF2B5EF4-FFF2-40B4-BE49-F238E27FC236}">
              <a16:creationId xmlns:a16="http://schemas.microsoft.com/office/drawing/2014/main" id="{00000000-0008-0000-0F00-0000397C0000}"/>
            </a:ext>
          </a:extLst>
        </xdr:cNvPr>
        <xdr:cNvSpPr>
          <a:spLocks/>
        </xdr:cNvSpPr>
      </xdr:nvSpPr>
      <xdr:spPr bwMode="auto">
        <a:xfrm>
          <a:off x="6877050" y="41014650"/>
          <a:ext cx="114300" cy="647700"/>
        </a:xfrm>
        <a:prstGeom prst="rightBrace">
          <a:avLst>
            <a:gd name="adj1" fmla="val 4722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1057275</xdr:colOff>
      <xdr:row>238</xdr:row>
      <xdr:rowOff>66675</xdr:rowOff>
    </xdr:from>
    <xdr:to>
      <xdr:col>13</xdr:col>
      <xdr:colOff>95250</xdr:colOff>
      <xdr:row>264</xdr:row>
      <xdr:rowOff>19050</xdr:rowOff>
    </xdr:to>
    <xdr:sp macro="" textlink="">
      <xdr:nvSpPr>
        <xdr:cNvPr id="31802" name="AutoShape 7">
          <a:extLst>
            <a:ext uri="{FF2B5EF4-FFF2-40B4-BE49-F238E27FC236}">
              <a16:creationId xmlns:a16="http://schemas.microsoft.com/office/drawing/2014/main" id="{00000000-0008-0000-0F00-00003A7C0000}"/>
            </a:ext>
          </a:extLst>
        </xdr:cNvPr>
        <xdr:cNvSpPr>
          <a:spLocks/>
        </xdr:cNvSpPr>
      </xdr:nvSpPr>
      <xdr:spPr bwMode="auto">
        <a:xfrm>
          <a:off x="6877050" y="44434125"/>
          <a:ext cx="190500" cy="4162425"/>
        </a:xfrm>
        <a:prstGeom prst="rightBrace">
          <a:avLst>
            <a:gd name="adj1" fmla="val 18208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1076325</xdr:colOff>
      <xdr:row>264</xdr:row>
      <xdr:rowOff>9525</xdr:rowOff>
    </xdr:from>
    <xdr:to>
      <xdr:col>13</xdr:col>
      <xdr:colOff>28575</xdr:colOff>
      <xdr:row>274</xdr:row>
      <xdr:rowOff>104775</xdr:rowOff>
    </xdr:to>
    <xdr:sp macro="" textlink="">
      <xdr:nvSpPr>
        <xdr:cNvPr id="31803" name="AutoShape 8">
          <a:extLst>
            <a:ext uri="{FF2B5EF4-FFF2-40B4-BE49-F238E27FC236}">
              <a16:creationId xmlns:a16="http://schemas.microsoft.com/office/drawing/2014/main" id="{00000000-0008-0000-0F00-00003B7C0000}"/>
            </a:ext>
          </a:extLst>
        </xdr:cNvPr>
        <xdr:cNvSpPr>
          <a:spLocks/>
        </xdr:cNvSpPr>
      </xdr:nvSpPr>
      <xdr:spPr bwMode="auto">
        <a:xfrm>
          <a:off x="6896100" y="48587025"/>
          <a:ext cx="104775" cy="1590675"/>
        </a:xfrm>
        <a:prstGeom prst="rightBrace">
          <a:avLst>
            <a:gd name="adj1" fmla="val 126515"/>
            <a:gd name="adj2" fmla="val 5054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1028700</xdr:colOff>
      <xdr:row>221</xdr:row>
      <xdr:rowOff>9525</xdr:rowOff>
    </xdr:from>
    <xdr:to>
      <xdr:col>13</xdr:col>
      <xdr:colOff>28575</xdr:colOff>
      <xdr:row>237</xdr:row>
      <xdr:rowOff>9525</xdr:rowOff>
    </xdr:to>
    <xdr:sp macro="" textlink="">
      <xdr:nvSpPr>
        <xdr:cNvPr id="31804" name="AutoShape 10">
          <a:extLst>
            <a:ext uri="{FF2B5EF4-FFF2-40B4-BE49-F238E27FC236}">
              <a16:creationId xmlns:a16="http://schemas.microsoft.com/office/drawing/2014/main" id="{00000000-0008-0000-0F00-00003C7C0000}"/>
            </a:ext>
          </a:extLst>
        </xdr:cNvPr>
        <xdr:cNvSpPr>
          <a:spLocks/>
        </xdr:cNvSpPr>
      </xdr:nvSpPr>
      <xdr:spPr bwMode="auto">
        <a:xfrm>
          <a:off x="6848475" y="41729025"/>
          <a:ext cx="152400" cy="2590800"/>
        </a:xfrm>
        <a:prstGeom prst="rightBrace">
          <a:avLst>
            <a:gd name="adj1" fmla="val 14166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1066800</xdr:colOff>
      <xdr:row>280</xdr:row>
      <xdr:rowOff>0</xdr:rowOff>
    </xdr:from>
    <xdr:to>
      <xdr:col>13</xdr:col>
      <xdr:colOff>38100</xdr:colOff>
      <xdr:row>292</xdr:row>
      <xdr:rowOff>152400</xdr:rowOff>
    </xdr:to>
    <xdr:sp macro="" textlink="">
      <xdr:nvSpPr>
        <xdr:cNvPr id="31805" name="AutoShape 11">
          <a:extLst>
            <a:ext uri="{FF2B5EF4-FFF2-40B4-BE49-F238E27FC236}">
              <a16:creationId xmlns:a16="http://schemas.microsoft.com/office/drawing/2014/main" id="{00000000-0008-0000-0F00-00003D7C0000}"/>
            </a:ext>
          </a:extLst>
        </xdr:cNvPr>
        <xdr:cNvSpPr>
          <a:spLocks/>
        </xdr:cNvSpPr>
      </xdr:nvSpPr>
      <xdr:spPr bwMode="auto">
        <a:xfrm>
          <a:off x="6886575" y="50920650"/>
          <a:ext cx="123825" cy="2095500"/>
        </a:xfrm>
        <a:prstGeom prst="rightBrace">
          <a:avLst>
            <a:gd name="adj1" fmla="val 141026"/>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276</xdr:row>
      <xdr:rowOff>0</xdr:rowOff>
    </xdr:from>
    <xdr:to>
      <xdr:col>13</xdr:col>
      <xdr:colOff>28575</xdr:colOff>
      <xdr:row>280</xdr:row>
      <xdr:rowOff>0</xdr:rowOff>
    </xdr:to>
    <xdr:sp macro="" textlink="">
      <xdr:nvSpPr>
        <xdr:cNvPr id="31806" name="AutoShape 14">
          <a:extLst>
            <a:ext uri="{FF2B5EF4-FFF2-40B4-BE49-F238E27FC236}">
              <a16:creationId xmlns:a16="http://schemas.microsoft.com/office/drawing/2014/main" id="{00000000-0008-0000-0F00-00003E7C0000}"/>
            </a:ext>
          </a:extLst>
        </xdr:cNvPr>
        <xdr:cNvSpPr>
          <a:spLocks/>
        </xdr:cNvSpPr>
      </xdr:nvSpPr>
      <xdr:spPr bwMode="auto">
        <a:xfrm>
          <a:off x="6924675" y="50330100"/>
          <a:ext cx="76200" cy="590550"/>
        </a:xfrm>
        <a:prstGeom prst="rightBrace">
          <a:avLst>
            <a:gd name="adj1" fmla="val 6458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19050</xdr:colOff>
      <xdr:row>68</xdr:row>
      <xdr:rowOff>0</xdr:rowOff>
    </xdr:from>
    <xdr:to>
      <xdr:col>3</xdr:col>
      <xdr:colOff>95250</xdr:colOff>
      <xdr:row>68</xdr:row>
      <xdr:rowOff>0</xdr:rowOff>
    </xdr:to>
    <xdr:sp macro="" textlink="">
      <xdr:nvSpPr>
        <xdr:cNvPr id="19935" name="AutoShape 3">
          <a:extLst>
            <a:ext uri="{FF2B5EF4-FFF2-40B4-BE49-F238E27FC236}">
              <a16:creationId xmlns:a16="http://schemas.microsoft.com/office/drawing/2014/main" id="{00000000-0008-0000-1000-0000DF4D0000}"/>
            </a:ext>
          </a:extLst>
        </xdr:cNvPr>
        <xdr:cNvSpPr>
          <a:spLocks/>
        </xdr:cNvSpPr>
      </xdr:nvSpPr>
      <xdr:spPr bwMode="auto">
        <a:xfrm>
          <a:off x="3829050" y="11239500"/>
          <a:ext cx="7620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19050</xdr:colOff>
      <xdr:row>68</xdr:row>
      <xdr:rowOff>19050</xdr:rowOff>
    </xdr:from>
    <xdr:to>
      <xdr:col>3</xdr:col>
      <xdr:colOff>95250</xdr:colOff>
      <xdr:row>76</xdr:row>
      <xdr:rowOff>133350</xdr:rowOff>
    </xdr:to>
    <xdr:sp macro="" textlink="">
      <xdr:nvSpPr>
        <xdr:cNvPr id="19936" name="AutoShape 4">
          <a:extLst>
            <a:ext uri="{FF2B5EF4-FFF2-40B4-BE49-F238E27FC236}">
              <a16:creationId xmlns:a16="http://schemas.microsoft.com/office/drawing/2014/main" id="{00000000-0008-0000-1000-0000E04D0000}"/>
            </a:ext>
          </a:extLst>
        </xdr:cNvPr>
        <xdr:cNvSpPr>
          <a:spLocks/>
        </xdr:cNvSpPr>
      </xdr:nvSpPr>
      <xdr:spPr bwMode="auto">
        <a:xfrm>
          <a:off x="3829050" y="11258550"/>
          <a:ext cx="76200" cy="1571625"/>
        </a:xfrm>
        <a:prstGeom prst="rightBrace">
          <a:avLst>
            <a:gd name="adj1" fmla="val 171875"/>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38100</xdr:colOff>
      <xdr:row>56</xdr:row>
      <xdr:rowOff>0</xdr:rowOff>
    </xdr:from>
    <xdr:to>
      <xdr:col>5</xdr:col>
      <xdr:colOff>114300</xdr:colOff>
      <xdr:row>65</xdr:row>
      <xdr:rowOff>114300</xdr:rowOff>
    </xdr:to>
    <xdr:sp macro="" textlink="">
      <xdr:nvSpPr>
        <xdr:cNvPr id="19937" name="AutoShape 5">
          <a:extLst>
            <a:ext uri="{FF2B5EF4-FFF2-40B4-BE49-F238E27FC236}">
              <a16:creationId xmlns:a16="http://schemas.microsoft.com/office/drawing/2014/main" id="{00000000-0008-0000-1000-0000E14D0000}"/>
            </a:ext>
          </a:extLst>
        </xdr:cNvPr>
        <xdr:cNvSpPr>
          <a:spLocks/>
        </xdr:cNvSpPr>
      </xdr:nvSpPr>
      <xdr:spPr bwMode="auto">
        <a:xfrm>
          <a:off x="5676900" y="9296400"/>
          <a:ext cx="76200" cy="1571625"/>
        </a:xfrm>
        <a:prstGeom prst="rightBrace">
          <a:avLst>
            <a:gd name="adj1" fmla="val 171875"/>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217170</xdr:colOff>
      <xdr:row>7</xdr:row>
      <xdr:rowOff>76200</xdr:rowOff>
    </xdr:from>
    <xdr:to>
      <xdr:col>9</xdr:col>
      <xdr:colOff>0</xdr:colOff>
      <xdr:row>12</xdr:row>
      <xdr:rowOff>1905</xdr:rowOff>
    </xdr:to>
    <xdr:sp macro="" textlink="">
      <xdr:nvSpPr>
        <xdr:cNvPr id="19462" name="Text Box 6">
          <a:extLst>
            <a:ext uri="{FF2B5EF4-FFF2-40B4-BE49-F238E27FC236}">
              <a16:creationId xmlns:a16="http://schemas.microsoft.com/office/drawing/2014/main" id="{00000000-0008-0000-1000-0000064C0000}"/>
            </a:ext>
          </a:extLst>
        </xdr:cNvPr>
        <xdr:cNvSpPr txBox="1">
          <a:spLocks noChangeArrowheads="1"/>
        </xdr:cNvSpPr>
      </xdr:nvSpPr>
      <xdr:spPr bwMode="auto">
        <a:xfrm>
          <a:off x="219075" y="2095500"/>
          <a:ext cx="8115300" cy="1362075"/>
        </a:xfrm>
        <a:prstGeom prst="rect">
          <a:avLst/>
        </a:prstGeom>
        <a:solidFill>
          <a:srgbClr val="FFFFFF"/>
        </a:solidFill>
        <a:ln w="9525">
          <a:noFill/>
          <a:miter lim="800000"/>
          <a:headEnd/>
          <a:tailEnd/>
        </a:ln>
      </xdr:spPr>
      <xdr:txBody>
        <a:bodyPr vertOverflow="clip" wrap="square" lIns="27432" tIns="22860" rIns="0" bIns="0" anchor="t" upright="1"/>
        <a:lstStyle/>
        <a:p>
          <a:pPr algn="l" rtl="0">
            <a:lnSpc>
              <a:spcPts val="1000"/>
            </a:lnSpc>
            <a:defRPr sz="1000"/>
          </a:pPr>
          <a:r>
            <a:rPr lang="en-US" sz="1000" b="0" i="0" u="none" strike="noStrike" baseline="0">
              <a:solidFill>
                <a:srgbClr val="000000"/>
              </a:solidFill>
              <a:latin typeface="Arial"/>
              <a:cs typeface="Arial"/>
            </a:rPr>
            <a:t>Restricted net position is calculated in total for the government-wide activities.  However, the fund statements are needed to begin this calculation. In the yellow cells below, enter the indicated totals by function (which may require some aggregation of funds).  For example, the functional expenditure for the Emergency Telephone System Special Revenue Fund  is public safety, so the restricted net position for that fund is calculated entirely on that line.  The transportation function is Powell Bill funds that are a part of the General Fund.  Restricted net position is that restricted by an external source such as a grantor agency or a creditor, or restricted by board action in conjunction with separate legislation, such as the levying of an occupancy tax.  Board action by itself is not enough to restrict net position.  Once the determination is made that restricted net position exists, then the total amount to be restricted must be calculated to include any receivables of that asset less any payables or unearned income that relate to that asset (not accounted for in the Stabilization by State Statute amount). All numbers are entered as positive numbers. </a:t>
          </a:r>
        </a:p>
        <a:p>
          <a:pPr algn="l" rtl="0">
            <a:defRPr sz="1000"/>
          </a:pPr>
          <a:endParaRPr lang="en-US" sz="1000" b="0" i="0" u="none" strike="noStrike" baseline="0">
            <a:solidFill>
              <a:srgbClr val="000000"/>
            </a:solidFill>
            <a:latin typeface="Arial"/>
            <a:cs typeface="Aria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SHPNC\Health\GASB%207475%20Study\05032017%20Files\GASB7475-MAP--withUpdates3.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gc0051\AppData\Local\Microsoft\Windows\Temporary%20Internet%20Files\Content.Outlook\2YIUDKCC\LGERS20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PL"/>
      <sheetName val="GASB67 Exhibits"/>
      <sheetName val="Adjust"/>
      <sheetName val="Import"/>
      <sheetName val="BM_GASB"/>
      <sheetName val="BM_GASBExhibits"/>
      <sheetName val="BM_Adjust"/>
      <sheetName val="Assets"/>
      <sheetName val="TPL_Adjust"/>
      <sheetName val="NPLExpense"/>
      <sheetName val="QuickChecks"/>
      <sheetName val="Deferred Amounts Exhibits"/>
      <sheetName val="InOutFlow"/>
      <sheetName val="GASB68 Exhibits"/>
      <sheetName val="OneERView"/>
      <sheetName val="ER_Input"/>
      <sheetName val="ER_Allocation"/>
      <sheetName val="ER_ChangeProportion"/>
      <sheetName val="ER_ShareContributions"/>
      <sheetName val="ER_AllocationofChanges"/>
      <sheetName val="ER_Schedule1"/>
      <sheetName val="ER_Schedule2"/>
      <sheetName val="ER_NPLExpense"/>
      <sheetName val="ER_DATA"/>
      <sheetName val="Buffer"/>
      <sheetName val="Template"/>
      <sheetName val="FullPlan"/>
      <sheetName val="DeveloperInfo"/>
    </sheetNames>
    <sheetDataSet>
      <sheetData sheetId="0">
        <row r="43">
          <cell r="C43">
            <v>0.5</v>
          </cell>
        </row>
      </sheetData>
      <sheetData sheetId="1"/>
      <sheetData sheetId="2">
        <row r="102">
          <cell r="G102">
            <v>0</v>
          </cell>
          <cell r="H102">
            <v>0</v>
          </cell>
        </row>
        <row r="195">
          <cell r="G195">
            <v>1</v>
          </cell>
          <cell r="H195">
            <v>1</v>
          </cell>
          <cell r="I195">
            <v>1</v>
          </cell>
          <cell r="J195">
            <v>1</v>
          </cell>
          <cell r="K195">
            <v>1</v>
          </cell>
          <cell r="L195">
            <v>1</v>
          </cell>
        </row>
        <row r="197">
          <cell r="G197">
            <v>1.0015833333333333</v>
          </cell>
          <cell r="I197">
            <v>1.0011874999999999</v>
          </cell>
          <cell r="J197">
            <v>1.0011874999999999</v>
          </cell>
          <cell r="K197">
            <v>1.0016041666666666</v>
          </cell>
          <cell r="L197">
            <v>1.0007708333333334</v>
          </cell>
        </row>
        <row r="199">
          <cell r="G199">
            <v>1</v>
          </cell>
          <cell r="H199">
            <v>1</v>
          </cell>
          <cell r="K199">
            <v>1</v>
          </cell>
          <cell r="L199">
            <v>1</v>
          </cell>
        </row>
        <row r="200">
          <cell r="G200">
            <v>0</v>
          </cell>
          <cell r="H200">
            <v>0</v>
          </cell>
          <cell r="K200">
            <v>0</v>
          </cell>
          <cell r="L200">
            <v>0</v>
          </cell>
        </row>
      </sheetData>
      <sheetData sheetId="3"/>
      <sheetData sheetId="4"/>
      <sheetData sheetId="5"/>
      <sheetData sheetId="6"/>
      <sheetData sheetId="7"/>
      <sheetData sheetId="8"/>
      <sheetData sheetId="9"/>
      <sheetData sheetId="10"/>
      <sheetData sheetId="11"/>
      <sheetData sheetId="12"/>
      <sheetData sheetId="13"/>
      <sheetData sheetId="14"/>
      <sheetData sheetId="15">
        <row r="16">
          <cell r="B16">
            <v>10200</v>
          </cell>
          <cell r="C16" t="str">
            <v>North Carolina Education Lottery</v>
          </cell>
          <cell r="D16">
            <v>13140078.810000001</v>
          </cell>
          <cell r="E16">
            <v>14107712.330000008</v>
          </cell>
          <cell r="F16">
            <v>117258395.09909993</v>
          </cell>
          <cell r="G16">
            <v>158330013.72638756</v>
          </cell>
          <cell r="M16">
            <v>838417.64999999991</v>
          </cell>
          <cell r="R16" t="str">
            <v>TRUE</v>
          </cell>
          <cell r="V16">
            <v>16</v>
          </cell>
        </row>
        <row r="17">
          <cell r="B17" t="str">
            <v>SPA</v>
          </cell>
          <cell r="C17" t="str">
            <v>NC State Ports Authority (subset of DOT)</v>
          </cell>
          <cell r="D17">
            <v>9908200.6700000055</v>
          </cell>
          <cell r="E17">
            <v>11585996.839999992</v>
          </cell>
          <cell r="F17">
            <v>73579293.954100028</v>
          </cell>
          <cell r="G17">
            <v>103182162.23689999</v>
          </cell>
          <cell r="M17">
            <v>690060.76502732246</v>
          </cell>
          <cell r="V17">
            <v>17</v>
          </cell>
        </row>
        <row r="18">
          <cell r="B18" t="str">
            <v>GTPA</v>
          </cell>
          <cell r="C18" t="str">
            <v>NC Global TransPark Authority (subset of DOT)</v>
          </cell>
          <cell r="D18">
            <v>381770.5</v>
          </cell>
          <cell r="E18">
            <v>413152.68</v>
          </cell>
          <cell r="F18">
            <v>2135270.6086999997</v>
          </cell>
          <cell r="G18">
            <v>2592522.6902000001</v>
          </cell>
          <cell r="M18">
            <v>25039.650273224044</v>
          </cell>
          <cell r="V18">
            <v>18</v>
          </cell>
        </row>
        <row r="19">
          <cell r="B19" t="str">
            <v>SEAA</v>
          </cell>
          <cell r="C19" t="str">
            <v>State Education Assistance Authority (subset of UNC General Administration)</v>
          </cell>
          <cell r="D19">
            <v>1736323.6300000001</v>
          </cell>
          <cell r="E19">
            <v>1806684.4100000004</v>
          </cell>
          <cell r="F19">
            <v>12895805.5305</v>
          </cell>
          <cell r="G19">
            <v>16489783.240600001</v>
          </cell>
          <cell r="M19">
            <v>114494.60109289618</v>
          </cell>
          <cell r="V19">
            <v>19</v>
          </cell>
        </row>
        <row r="20">
          <cell r="B20" t="str">
            <v>SHP</v>
          </cell>
          <cell r="C20" t="str">
            <v>State Health Plan (subset of Department of Treasurer)</v>
          </cell>
          <cell r="D20">
            <v>1877198.62</v>
          </cell>
          <cell r="E20">
            <v>2028909.9300000002</v>
          </cell>
          <cell r="F20">
            <v>16332188.791200001</v>
          </cell>
          <cell r="G20">
            <v>21766640.335700005</v>
          </cell>
          <cell r="M20">
            <v>153883.10382513664</v>
          </cell>
          <cell r="V20">
            <v>20</v>
          </cell>
        </row>
        <row r="21">
          <cell r="B21">
            <v>10400</v>
          </cell>
          <cell r="C21" t="str">
            <v>Department Of Justice</v>
          </cell>
          <cell r="D21">
            <v>45032680.989999987</v>
          </cell>
          <cell r="E21">
            <v>46652416.75000006</v>
          </cell>
          <cell r="F21">
            <v>346712388.41399986</v>
          </cell>
          <cell r="G21">
            <v>461834540.907691</v>
          </cell>
          <cell r="M21">
            <v>2712836.9099999992</v>
          </cell>
          <cell r="V21">
            <v>21</v>
          </cell>
        </row>
        <row r="22">
          <cell r="B22">
            <v>10500</v>
          </cell>
          <cell r="C22" t="str">
            <v>State Auditor</v>
          </cell>
          <cell r="D22">
            <v>9913585.9800000004</v>
          </cell>
          <cell r="E22">
            <v>9868361.1599999983</v>
          </cell>
          <cell r="F22">
            <v>80315788.587900028</v>
          </cell>
          <cell r="G22">
            <v>104202614.37525001</v>
          </cell>
          <cell r="M22">
            <v>596251.93000000005</v>
          </cell>
          <cell r="V22">
            <v>22</v>
          </cell>
        </row>
        <row r="23">
          <cell r="B23">
            <v>10700</v>
          </cell>
          <cell r="C23" t="str">
            <v>Department Of Cultural Resources</v>
          </cell>
          <cell r="D23">
            <v>29104363.569999993</v>
          </cell>
          <cell r="E23">
            <v>66506369.379999906</v>
          </cell>
          <cell r="F23">
            <v>202614613.91110012</v>
          </cell>
          <cell r="G23">
            <v>633740389.29310656</v>
          </cell>
          <cell r="M23">
            <v>3341643.25</v>
          </cell>
          <cell r="V23">
            <v>23</v>
          </cell>
        </row>
        <row r="24">
          <cell r="B24">
            <v>10800</v>
          </cell>
          <cell r="C24" t="str">
            <v>Administrative Office Of The Courts</v>
          </cell>
          <cell r="D24">
            <v>276165065.26999789</v>
          </cell>
          <cell r="E24">
            <v>276869699.74999952</v>
          </cell>
          <cell r="F24">
            <v>2134089260.0327041</v>
          </cell>
          <cell r="G24">
            <v>2770283572.9092622</v>
          </cell>
          <cell r="M24">
            <v>16051570.390000001</v>
          </cell>
          <cell r="V24">
            <v>24</v>
          </cell>
        </row>
        <row r="25">
          <cell r="B25">
            <v>10850</v>
          </cell>
          <cell r="C25" t="str">
            <v>Office Of Administrative Hearing</v>
          </cell>
          <cell r="D25">
            <v>2416963.3499999996</v>
          </cell>
          <cell r="E25">
            <v>2828498.3000000003</v>
          </cell>
          <cell r="F25">
            <v>13094147.137200002</v>
          </cell>
          <cell r="G25">
            <v>19725979.857292328</v>
          </cell>
          <cell r="M25">
            <v>164164.12</v>
          </cell>
          <cell r="V25">
            <v>25</v>
          </cell>
        </row>
        <row r="26">
          <cell r="B26">
            <v>10900</v>
          </cell>
          <cell r="C26" t="str">
            <v>Department Of Administration</v>
          </cell>
          <cell r="D26">
            <v>32258183.599999968</v>
          </cell>
          <cell r="E26">
            <v>32080362.910000026</v>
          </cell>
          <cell r="F26">
            <v>214291080.30210024</v>
          </cell>
          <cell r="G26">
            <v>266733548.8190397</v>
          </cell>
          <cell r="M26">
            <v>1838476.8499999996</v>
          </cell>
          <cell r="V26">
            <v>26</v>
          </cell>
        </row>
        <row r="27">
          <cell r="B27">
            <v>10910</v>
          </cell>
          <cell r="C27" t="str">
            <v>Office Of State Budget &amp; Management</v>
          </cell>
          <cell r="D27">
            <v>4630052.5100000007</v>
          </cell>
          <cell r="E27">
            <v>3813313.13</v>
          </cell>
          <cell r="F27">
            <v>33769642.060700007</v>
          </cell>
          <cell r="G27">
            <v>40166172.460000008</v>
          </cell>
          <cell r="M27">
            <v>228972.61</v>
          </cell>
          <cell r="V27">
            <v>27</v>
          </cell>
        </row>
        <row r="28">
          <cell r="B28">
            <v>10930</v>
          </cell>
          <cell r="C28" t="str">
            <v>Information Technology Services</v>
          </cell>
          <cell r="D28">
            <v>40051803.189999998</v>
          </cell>
          <cell r="E28">
            <v>40792819.800000012</v>
          </cell>
          <cell r="F28">
            <v>282653028.59919977</v>
          </cell>
          <cell r="G28">
            <v>355223499.50040084</v>
          </cell>
          <cell r="M28">
            <v>2335030.2499999995</v>
          </cell>
          <cell r="V28">
            <v>28</v>
          </cell>
        </row>
        <row r="29">
          <cell r="B29">
            <v>10940</v>
          </cell>
          <cell r="C29" t="str">
            <v>Office Of State Controller</v>
          </cell>
          <cell r="D29">
            <v>11087519.829999996</v>
          </cell>
          <cell r="E29">
            <v>10915232.039999992</v>
          </cell>
          <cell r="F29">
            <v>77064137.500400007</v>
          </cell>
          <cell r="G29">
            <v>97490247.369223759</v>
          </cell>
          <cell r="M29">
            <v>641379.92999999993</v>
          </cell>
          <cell r="V29">
            <v>29</v>
          </cell>
        </row>
        <row r="30">
          <cell r="B30">
            <v>10950</v>
          </cell>
          <cell r="C30" t="str">
            <v>N.C. School Of Science &amp; Mathematics</v>
          </cell>
          <cell r="D30">
            <v>11853204.720000012</v>
          </cell>
          <cell r="E30">
            <v>12169359.4</v>
          </cell>
          <cell r="F30">
            <v>93896356.444600001</v>
          </cell>
          <cell r="G30">
            <v>127757506.78350005</v>
          </cell>
          <cell r="M30">
            <v>693898.79</v>
          </cell>
          <cell r="V30">
            <v>30</v>
          </cell>
        </row>
        <row r="31">
          <cell r="B31">
            <v>11300</v>
          </cell>
          <cell r="C31" t="str">
            <v>Environment And Natural Resources</v>
          </cell>
          <cell r="D31">
            <v>119549453.71999982</v>
          </cell>
          <cell r="E31">
            <v>81503903.549999997</v>
          </cell>
          <cell r="F31">
            <v>888668927.11740065</v>
          </cell>
          <cell r="G31">
            <v>742415346.24827659</v>
          </cell>
          <cell r="M31">
            <v>5216636.1899999995</v>
          </cell>
          <cell r="V31">
            <v>31</v>
          </cell>
        </row>
        <row r="32">
          <cell r="B32">
            <v>11310</v>
          </cell>
          <cell r="C32" t="str">
            <v>N.C. Housing Finance Agency</v>
          </cell>
          <cell r="D32">
            <v>7601380.0300000021</v>
          </cell>
          <cell r="E32">
            <v>7711680.4799999986</v>
          </cell>
          <cell r="F32">
            <v>55970482.748200007</v>
          </cell>
          <cell r="G32">
            <v>71497564.273457065</v>
          </cell>
          <cell r="M32">
            <v>440657.49000000005</v>
          </cell>
          <cell r="V32">
            <v>32</v>
          </cell>
        </row>
        <row r="33">
          <cell r="B33">
            <v>11600</v>
          </cell>
          <cell r="C33" t="str">
            <v>Wildlife Resources Commission</v>
          </cell>
          <cell r="D33">
            <v>27926389.21999998</v>
          </cell>
          <cell r="E33">
            <v>28412137.169999994</v>
          </cell>
          <cell r="F33">
            <v>233589540.2854999</v>
          </cell>
          <cell r="G33">
            <v>305189205.14313018</v>
          </cell>
          <cell r="M33">
            <v>1642062.2200000002</v>
          </cell>
          <cell r="V33">
            <v>33</v>
          </cell>
        </row>
        <row r="34">
          <cell r="B34">
            <v>11900</v>
          </cell>
          <cell r="C34" t="str">
            <v>State Board Of Elections</v>
          </cell>
          <cell r="D34">
            <v>3140884.0100000002</v>
          </cell>
          <cell r="E34">
            <v>3220506.4499999997</v>
          </cell>
          <cell r="F34">
            <v>28013267.772500012</v>
          </cell>
          <cell r="G34">
            <v>35457958.022800013</v>
          </cell>
          <cell r="M34">
            <v>182558.12</v>
          </cell>
          <cell r="V34">
            <v>34</v>
          </cell>
        </row>
        <row r="35">
          <cell r="B35">
            <v>12100</v>
          </cell>
          <cell r="C35" t="str">
            <v>Governor's Office</v>
          </cell>
          <cell r="D35">
            <v>4037476.6399999992</v>
          </cell>
          <cell r="E35">
            <v>4186906.6799999992</v>
          </cell>
          <cell r="F35">
            <v>32196933.971600004</v>
          </cell>
          <cell r="G35">
            <v>41849957.136910535</v>
          </cell>
          <cell r="M35">
            <v>231747.3</v>
          </cell>
          <cell r="V35">
            <v>35</v>
          </cell>
        </row>
        <row r="36">
          <cell r="B36">
            <v>12150</v>
          </cell>
          <cell r="C36" t="str">
            <v>Lt. Governor's Office</v>
          </cell>
          <cell r="D36">
            <v>498234.02</v>
          </cell>
          <cell r="E36">
            <v>509215.18000000005</v>
          </cell>
          <cell r="F36">
            <v>5048017.9245999996</v>
          </cell>
          <cell r="G36">
            <v>6257049.967699999</v>
          </cell>
          <cell r="M36">
            <v>26996.550000000003</v>
          </cell>
          <cell r="V36">
            <v>36</v>
          </cell>
        </row>
        <row r="37">
          <cell r="B37">
            <v>12160</v>
          </cell>
          <cell r="C37" t="str">
            <v>General Assembly</v>
          </cell>
          <cell r="D37">
            <v>27431475.109999951</v>
          </cell>
          <cell r="E37">
            <v>29167151.46999998</v>
          </cell>
          <cell r="F37">
            <v>202874970.85329992</v>
          </cell>
          <cell r="G37">
            <v>274894843.96160227</v>
          </cell>
          <cell r="M37">
            <v>1634685.2699999998</v>
          </cell>
          <cell r="V37">
            <v>37</v>
          </cell>
        </row>
        <row r="38">
          <cell r="B38">
            <v>12220</v>
          </cell>
          <cell r="C38" t="str">
            <v>Health &amp; Human Services</v>
          </cell>
          <cell r="D38">
            <v>691208318.22000325</v>
          </cell>
          <cell r="E38">
            <v>714528160.84999931</v>
          </cell>
          <cell r="F38">
            <v>5138406918.7609119</v>
          </cell>
          <cell r="G38">
            <v>6788464923.7811136</v>
          </cell>
          <cell r="M38">
            <v>41418259.039999999</v>
          </cell>
          <cell r="V38">
            <v>38</v>
          </cell>
        </row>
        <row r="39">
          <cell r="B39">
            <v>12510</v>
          </cell>
          <cell r="C39" t="str">
            <v>Department Of Commerce</v>
          </cell>
          <cell r="D39">
            <v>94929199.229999915</v>
          </cell>
          <cell r="E39">
            <v>89318474.35999988</v>
          </cell>
          <cell r="F39">
            <v>648314450.72300053</v>
          </cell>
          <cell r="G39">
            <v>760563563.3649689</v>
          </cell>
          <cell r="M39">
            <v>5078458.17</v>
          </cell>
          <cell r="V39">
            <v>39</v>
          </cell>
        </row>
        <row r="40">
          <cell r="B40">
            <v>12600</v>
          </cell>
          <cell r="C40" t="str">
            <v>Insurance Department</v>
          </cell>
          <cell r="D40">
            <v>23057745.250000004</v>
          </cell>
          <cell r="E40">
            <v>23967770.510000024</v>
          </cell>
          <cell r="F40">
            <v>158336687.30759996</v>
          </cell>
          <cell r="G40">
            <v>204541993.27083603</v>
          </cell>
          <cell r="M40">
            <v>1375917.37</v>
          </cell>
          <cell r="V40">
            <v>40</v>
          </cell>
        </row>
        <row r="41">
          <cell r="B41">
            <v>12700</v>
          </cell>
          <cell r="C41" t="str">
            <v>Labor Department</v>
          </cell>
          <cell r="D41">
            <v>18476884.369999997</v>
          </cell>
          <cell r="E41">
            <v>18256095.459999993</v>
          </cell>
          <cell r="F41">
            <v>128071452.31869987</v>
          </cell>
          <cell r="G41">
            <v>161789949.37498331</v>
          </cell>
          <cell r="M41">
            <v>1039464.27</v>
          </cell>
          <cell r="V41">
            <v>41</v>
          </cell>
        </row>
        <row r="42">
          <cell r="B42">
            <v>13500</v>
          </cell>
          <cell r="C42" t="str">
            <v>Revenue Department</v>
          </cell>
          <cell r="D42">
            <v>59351472.210000016</v>
          </cell>
          <cell r="E42">
            <v>62437210.360000014</v>
          </cell>
          <cell r="F42">
            <v>442424282.30579895</v>
          </cell>
          <cell r="G42">
            <v>602068278.6938957</v>
          </cell>
          <cell r="M42">
            <v>3744870.41</v>
          </cell>
          <cell r="V42">
            <v>42</v>
          </cell>
        </row>
        <row r="43">
          <cell r="B43">
            <v>13700</v>
          </cell>
          <cell r="C43" t="str">
            <v>Secretary Of State</v>
          </cell>
          <cell r="D43">
            <v>7847466.9099999927</v>
          </cell>
          <cell r="E43">
            <v>8062460.2200000007</v>
          </cell>
          <cell r="F43">
            <v>57193045.723199986</v>
          </cell>
          <cell r="G43">
            <v>72996997.871200055</v>
          </cell>
          <cell r="M43">
            <v>459933.8600000001</v>
          </cell>
          <cell r="V43">
            <v>43</v>
          </cell>
        </row>
        <row r="44">
          <cell r="B44">
            <v>14300</v>
          </cell>
          <cell r="C44" t="str">
            <v>State Treasurer</v>
          </cell>
          <cell r="D44">
            <v>18668224.000000007</v>
          </cell>
          <cell r="E44">
            <v>20301876.740000028</v>
          </cell>
          <cell r="F44">
            <v>150427880.4119001</v>
          </cell>
          <cell r="G44">
            <v>207837874.1576499</v>
          </cell>
          <cell r="M44">
            <v>1232776.0161748636</v>
          </cell>
          <cell r="V44">
            <v>44</v>
          </cell>
        </row>
        <row r="45">
          <cell r="B45">
            <v>18400</v>
          </cell>
          <cell r="C45" t="str">
            <v>Department Of Agriculture</v>
          </cell>
          <cell r="D45">
            <v>81700719.910000011</v>
          </cell>
          <cell r="E45">
            <v>83685513.720000148</v>
          </cell>
          <cell r="F45">
            <v>611241679.95879889</v>
          </cell>
          <cell r="G45">
            <v>796113367.33703518</v>
          </cell>
          <cell r="M45">
            <v>4837731.8500000006</v>
          </cell>
          <cell r="V45">
            <v>45</v>
          </cell>
        </row>
        <row r="46">
          <cell r="B46">
            <v>18600</v>
          </cell>
          <cell r="C46" t="str">
            <v>Barber Examiners, State Board Of</v>
          </cell>
          <cell r="D46">
            <v>319127.02</v>
          </cell>
          <cell r="E46">
            <v>393697.74</v>
          </cell>
          <cell r="F46">
            <v>1951641.5970000001</v>
          </cell>
          <cell r="G46">
            <v>3353264.1546999998</v>
          </cell>
          <cell r="M46">
            <v>19103.669999999998</v>
          </cell>
          <cell r="V46">
            <v>46</v>
          </cell>
        </row>
        <row r="47">
          <cell r="B47">
            <v>18690</v>
          </cell>
          <cell r="C47" t="str">
            <v>N.C. Real Estate Commission</v>
          </cell>
          <cell r="D47">
            <v>338774.41000000003</v>
          </cell>
          <cell r="E47">
            <v>188638.13</v>
          </cell>
          <cell r="F47">
            <v>1082094.4539999999</v>
          </cell>
          <cell r="G47">
            <v>707488.27860000008</v>
          </cell>
          <cell r="M47">
            <v>10729.84</v>
          </cell>
          <cell r="V47">
            <v>47</v>
          </cell>
        </row>
        <row r="48">
          <cell r="B48">
            <v>18740</v>
          </cell>
          <cell r="C48" t="str">
            <v>N.C. Auctioneers Licensing Board</v>
          </cell>
          <cell r="D48">
            <v>109040</v>
          </cell>
          <cell r="E48">
            <v>108964.61</v>
          </cell>
          <cell r="F48">
            <v>708002.30050000001</v>
          </cell>
          <cell r="G48">
            <v>1012516.5645999999</v>
          </cell>
          <cell r="M48">
            <v>5820.32</v>
          </cell>
          <cell r="V48">
            <v>48</v>
          </cell>
        </row>
        <row r="49">
          <cell r="B49">
            <v>18780</v>
          </cell>
          <cell r="C49" t="str">
            <v>N.C. State Board Of Examiners Of Practicing Psychol</v>
          </cell>
          <cell r="D49">
            <v>206759.04000000001</v>
          </cell>
          <cell r="E49">
            <v>230054.08000000002</v>
          </cell>
          <cell r="F49">
            <v>1470948.3160000001</v>
          </cell>
          <cell r="G49">
            <v>2032913.4622</v>
          </cell>
          <cell r="M49">
            <v>14063.73</v>
          </cell>
          <cell r="V49">
            <v>49</v>
          </cell>
        </row>
        <row r="50">
          <cell r="B50">
            <v>19005</v>
          </cell>
          <cell r="C50" t="str">
            <v>Community Colleges Administration</v>
          </cell>
          <cell r="D50">
            <v>13028678.059999997</v>
          </cell>
          <cell r="E50">
            <v>13017121.449999999</v>
          </cell>
          <cell r="F50">
            <v>88238046.576200023</v>
          </cell>
          <cell r="G50">
            <v>109465670.70650002</v>
          </cell>
          <cell r="M50">
            <v>723012.18</v>
          </cell>
          <cell r="V50">
            <v>50</v>
          </cell>
        </row>
        <row r="51">
          <cell r="B51">
            <v>19100</v>
          </cell>
          <cell r="C51" t="str">
            <v>Department Of Public Safety</v>
          </cell>
          <cell r="D51">
            <v>907264421.91999543</v>
          </cell>
          <cell r="E51">
            <v>943822179.58999956</v>
          </cell>
          <cell r="F51">
            <v>7370668111.5191793</v>
          </cell>
          <cell r="G51">
            <v>9720683817.2060966</v>
          </cell>
          <cell r="M51">
            <v>55737001.779999994</v>
          </cell>
          <cell r="V51">
            <v>51</v>
          </cell>
        </row>
        <row r="52">
          <cell r="B52">
            <v>20100</v>
          </cell>
          <cell r="C52" t="str">
            <v>Appalachian State University</v>
          </cell>
          <cell r="D52">
            <v>152463131.52999961</v>
          </cell>
          <cell r="E52">
            <v>159125172.04999989</v>
          </cell>
          <cell r="F52">
            <v>1332750627.1713004</v>
          </cell>
          <cell r="G52">
            <v>1839576773.3837574</v>
          </cell>
          <cell r="M52">
            <v>9121256.3499999996</v>
          </cell>
          <cell r="V52">
            <v>52</v>
          </cell>
        </row>
        <row r="53">
          <cell r="B53">
            <v>20200</v>
          </cell>
          <cell r="C53" t="str">
            <v>N.C. School Of The Arts</v>
          </cell>
          <cell r="D53">
            <v>21633821.469999999</v>
          </cell>
          <cell r="E53">
            <v>23139714.909999985</v>
          </cell>
          <cell r="F53">
            <v>169069273.20410007</v>
          </cell>
          <cell r="G53">
            <v>238134398.71108416</v>
          </cell>
          <cell r="M53">
            <v>1312092.25</v>
          </cell>
          <cell r="V53">
            <v>53</v>
          </cell>
        </row>
        <row r="54">
          <cell r="B54">
            <v>20300</v>
          </cell>
          <cell r="C54" t="str">
            <v>East Carolina University</v>
          </cell>
          <cell r="D54">
            <v>374135353.39999753</v>
          </cell>
          <cell r="E54">
            <v>384458364.83999896</v>
          </cell>
          <cell r="F54">
            <v>3411596370.1930079</v>
          </cell>
          <cell r="G54">
            <v>4450859407.7966146</v>
          </cell>
          <cell r="M54">
            <v>21253621.16</v>
          </cell>
          <cell r="V54">
            <v>54</v>
          </cell>
        </row>
        <row r="55">
          <cell r="B55">
            <v>20400</v>
          </cell>
          <cell r="C55" t="str">
            <v>Elizabeth City State University</v>
          </cell>
          <cell r="D55">
            <v>24194754.610000022</v>
          </cell>
          <cell r="E55">
            <v>21065056.790000014</v>
          </cell>
          <cell r="F55">
            <v>190303612.04370016</v>
          </cell>
          <cell r="G55">
            <v>216730966.73224127</v>
          </cell>
          <cell r="M55">
            <v>1180498.3799999999</v>
          </cell>
          <cell r="V55">
            <v>55</v>
          </cell>
        </row>
        <row r="56">
          <cell r="B56">
            <v>20600</v>
          </cell>
          <cell r="C56" t="str">
            <v>Fayetteville State University</v>
          </cell>
          <cell r="D56">
            <v>46279011.609999999</v>
          </cell>
          <cell r="E56">
            <v>46059741.430000059</v>
          </cell>
          <cell r="F56">
            <v>379722128.42330003</v>
          </cell>
          <cell r="G56">
            <v>483077135.13638604</v>
          </cell>
          <cell r="M56">
            <v>2567090.4700000002</v>
          </cell>
          <cell r="V56">
            <v>56</v>
          </cell>
        </row>
        <row r="57">
          <cell r="B57">
            <v>20700</v>
          </cell>
          <cell r="C57" t="str">
            <v>N.C. A&amp;T University</v>
          </cell>
          <cell r="D57">
            <v>100701604.96999973</v>
          </cell>
          <cell r="E57">
            <v>100882755.96999997</v>
          </cell>
          <cell r="F57">
            <v>815989515.76950097</v>
          </cell>
          <cell r="G57">
            <v>1061976163.6406304</v>
          </cell>
          <cell r="M57">
            <v>5684012.8000000007</v>
          </cell>
          <cell r="V57">
            <v>57</v>
          </cell>
        </row>
        <row r="58">
          <cell r="B58">
            <v>20800</v>
          </cell>
          <cell r="C58" t="str">
            <v>N.C. Central University</v>
          </cell>
          <cell r="D58">
            <v>78164186.909999877</v>
          </cell>
          <cell r="E58">
            <v>78015479.829999864</v>
          </cell>
          <cell r="F58">
            <v>628971903.90429926</v>
          </cell>
          <cell r="G58">
            <v>837930452.33546937</v>
          </cell>
          <cell r="M58">
            <v>4372226.5500000007</v>
          </cell>
          <cell r="V58">
            <v>58</v>
          </cell>
        </row>
        <row r="59">
          <cell r="B59">
            <v>20900</v>
          </cell>
          <cell r="C59" t="str">
            <v>University Of North Carolina At Greensboro</v>
          </cell>
          <cell r="D59">
            <v>153703020.53999996</v>
          </cell>
          <cell r="E59">
            <v>153380773.23999989</v>
          </cell>
          <cell r="F59">
            <v>1334901916.7378001</v>
          </cell>
          <cell r="G59">
            <v>1726488746.8844199</v>
          </cell>
          <cell r="M59">
            <v>8688124</v>
          </cell>
          <cell r="V59">
            <v>59</v>
          </cell>
        </row>
        <row r="60">
          <cell r="B60">
            <v>21200</v>
          </cell>
          <cell r="C60" t="str">
            <v>UNC - Pembroke</v>
          </cell>
          <cell r="D60">
            <v>44476774.709999993</v>
          </cell>
          <cell r="E60">
            <v>48158850.890000053</v>
          </cell>
          <cell r="F60">
            <v>391930345.44640017</v>
          </cell>
          <cell r="G60">
            <v>565555534.55427539</v>
          </cell>
          <cell r="M60">
            <v>2683334.2999999998</v>
          </cell>
          <cell r="V60">
            <v>60</v>
          </cell>
        </row>
        <row r="61">
          <cell r="B61">
            <v>21300</v>
          </cell>
          <cell r="C61" t="str">
            <v>N.C. State University</v>
          </cell>
          <cell r="D61">
            <v>556878486.70999837</v>
          </cell>
          <cell r="E61">
            <v>581913565.08000124</v>
          </cell>
          <cell r="F61">
            <v>4923630164.3049107</v>
          </cell>
          <cell r="G61">
            <v>6771987881.9966269</v>
          </cell>
          <cell r="M61">
            <v>33170603.32</v>
          </cell>
          <cell r="V61">
            <v>61</v>
          </cell>
        </row>
        <row r="62">
          <cell r="B62">
            <v>21520</v>
          </cell>
          <cell r="C62" t="str">
            <v>UNC-CH CB 1260</v>
          </cell>
          <cell r="D62">
            <v>977823595.88999951</v>
          </cell>
          <cell r="E62">
            <v>1037963761.8100019</v>
          </cell>
          <cell r="F62">
            <v>9203325743.5181789</v>
          </cell>
          <cell r="G62">
            <v>12343375481.386206</v>
          </cell>
          <cell r="M62">
            <v>58923861.240000002</v>
          </cell>
          <cell r="V62">
            <v>62</v>
          </cell>
        </row>
        <row r="63">
          <cell r="B63">
            <v>21525</v>
          </cell>
          <cell r="C63" t="str">
            <v>UNC-General Administration</v>
          </cell>
          <cell r="D63">
            <v>26289411.439999998</v>
          </cell>
          <cell r="E63">
            <v>27240178.579999987</v>
          </cell>
          <cell r="F63">
            <v>215462075.18339983</v>
          </cell>
          <cell r="G63">
            <v>298915016.01031876</v>
          </cell>
          <cell r="M63">
            <v>1636125.2789071039</v>
          </cell>
          <cell r="V63">
            <v>63</v>
          </cell>
        </row>
        <row r="64">
          <cell r="B64">
            <v>21550</v>
          </cell>
          <cell r="C64" t="str">
            <v>UNC Health Care System</v>
          </cell>
          <cell r="D64">
            <v>497424933.12000048</v>
          </cell>
          <cell r="E64">
            <v>525945521.43999976</v>
          </cell>
          <cell r="F64">
            <v>4713269831.466692</v>
          </cell>
          <cell r="G64">
            <v>6670988864.1124773</v>
          </cell>
          <cell r="M64">
            <v>32115489.009999994</v>
          </cell>
          <cell r="V64">
            <v>64</v>
          </cell>
        </row>
        <row r="65">
          <cell r="B65">
            <v>21570</v>
          </cell>
          <cell r="C65" t="str">
            <v>University Of North Carolina Press</v>
          </cell>
          <cell r="D65">
            <v>2730178.14</v>
          </cell>
          <cell r="E65">
            <v>2811511.41</v>
          </cell>
          <cell r="F65">
            <v>21110274.446299996</v>
          </cell>
          <cell r="G65">
            <v>26798459.970199998</v>
          </cell>
          <cell r="M65">
            <v>165114.88999999998</v>
          </cell>
          <cell r="V65">
            <v>65</v>
          </cell>
        </row>
        <row r="66">
          <cell r="B66">
            <v>21800</v>
          </cell>
          <cell r="C66" t="str">
            <v>Western Carolina University</v>
          </cell>
          <cell r="D66">
            <v>81977394.010000005</v>
          </cell>
          <cell r="E66">
            <v>84770573.239999905</v>
          </cell>
          <cell r="F66">
            <v>716645001.98660028</v>
          </cell>
          <cell r="G66">
            <v>998094809.3206625</v>
          </cell>
          <cell r="M66">
            <v>4834362.2</v>
          </cell>
          <cell r="V66">
            <v>66</v>
          </cell>
        </row>
        <row r="67">
          <cell r="B67">
            <v>21900</v>
          </cell>
          <cell r="C67" t="str">
            <v>Winston-Salem State University</v>
          </cell>
          <cell r="D67">
            <v>55203377.569999985</v>
          </cell>
          <cell r="E67">
            <v>53762735.439999938</v>
          </cell>
          <cell r="F67">
            <v>455979947.9205001</v>
          </cell>
          <cell r="G67">
            <v>574886370.75963628</v>
          </cell>
          <cell r="M67">
            <v>3049632.5</v>
          </cell>
          <cell r="V67">
            <v>67</v>
          </cell>
        </row>
        <row r="68">
          <cell r="B68">
            <v>22000</v>
          </cell>
          <cell r="C68" t="str">
            <v>Department Of Public Instruction</v>
          </cell>
          <cell r="D68">
            <v>64904889.819999985</v>
          </cell>
          <cell r="E68">
            <v>61444720.999999948</v>
          </cell>
          <cell r="F68">
            <v>466149875.54069984</v>
          </cell>
          <cell r="G68">
            <v>564894877.32439375</v>
          </cell>
          <cell r="M68">
            <v>3547697.5900000003</v>
          </cell>
          <cell r="V68">
            <v>68</v>
          </cell>
        </row>
        <row r="69">
          <cell r="B69">
            <v>23000</v>
          </cell>
          <cell r="C69" t="str">
            <v>University Of North Carolina At Asheville</v>
          </cell>
          <cell r="D69">
            <v>37366144.430000015</v>
          </cell>
          <cell r="E69">
            <v>37896518.979999989</v>
          </cell>
          <cell r="F69">
            <v>316900261.63699943</v>
          </cell>
          <cell r="G69">
            <v>434366191.347305</v>
          </cell>
          <cell r="M69">
            <v>2215314.13</v>
          </cell>
          <cell r="V69">
            <v>69</v>
          </cell>
        </row>
        <row r="70">
          <cell r="B70">
            <v>23100</v>
          </cell>
          <cell r="C70" t="str">
            <v>University Of North Carolina At Charlotte</v>
          </cell>
          <cell r="D70">
            <v>205992830.08000067</v>
          </cell>
          <cell r="E70">
            <v>214830271.9000006</v>
          </cell>
          <cell r="F70">
            <v>1831324169.1407039</v>
          </cell>
          <cell r="G70">
            <v>2518260422.8764181</v>
          </cell>
          <cell r="M70">
            <v>12514087.529999999</v>
          </cell>
          <cell r="V70">
            <v>70</v>
          </cell>
        </row>
        <row r="71">
          <cell r="B71">
            <v>23200</v>
          </cell>
          <cell r="C71" t="str">
            <v>University Of North Carolina At Wilmington</v>
          </cell>
          <cell r="D71">
            <v>108198225.66999948</v>
          </cell>
          <cell r="E71">
            <v>113827268.77999999</v>
          </cell>
          <cell r="F71">
            <v>946326477.90640259</v>
          </cell>
          <cell r="G71">
            <v>1327351938.9052331</v>
          </cell>
          <cell r="M71">
            <v>6585519.0799999991</v>
          </cell>
          <cell r="V71">
            <v>71</v>
          </cell>
        </row>
        <row r="72">
          <cell r="B72">
            <v>30000</v>
          </cell>
          <cell r="C72" t="str">
            <v>Yancey County Schools</v>
          </cell>
          <cell r="D72">
            <v>13031347.669999994</v>
          </cell>
          <cell r="E72">
            <v>13112906.86999999</v>
          </cell>
          <cell r="F72">
            <v>112603928.53299998</v>
          </cell>
          <cell r="G72">
            <v>148858147.21044779</v>
          </cell>
          <cell r="M72">
            <v>747288.26</v>
          </cell>
          <cell r="V72">
            <v>72</v>
          </cell>
        </row>
        <row r="73">
          <cell r="B73">
            <v>30100</v>
          </cell>
          <cell r="C73" t="str">
            <v>Alamance County Schools</v>
          </cell>
          <cell r="D73">
            <v>105902601.34000026</v>
          </cell>
          <cell r="E73">
            <v>110519985.77999982</v>
          </cell>
          <cell r="F73">
            <v>943806604.37829947</v>
          </cell>
          <cell r="G73">
            <v>1315975123.4475124</v>
          </cell>
          <cell r="M73">
            <v>6391482.4500000002</v>
          </cell>
          <cell r="V73">
            <v>73</v>
          </cell>
        </row>
        <row r="74">
          <cell r="B74">
            <v>30102</v>
          </cell>
          <cell r="C74" t="str">
            <v>Clover Garden Charter School</v>
          </cell>
          <cell r="D74">
            <v>1519454.8899999997</v>
          </cell>
          <cell r="E74">
            <v>1936670.5900000003</v>
          </cell>
          <cell r="F74">
            <v>14860235.458700003</v>
          </cell>
          <cell r="G74">
            <v>24565618.844999999</v>
          </cell>
          <cell r="M74">
            <v>111275.96</v>
          </cell>
          <cell r="V74">
            <v>74</v>
          </cell>
        </row>
        <row r="75">
          <cell r="B75">
            <v>30103</v>
          </cell>
          <cell r="C75" t="str">
            <v>River Mill Academy Charter</v>
          </cell>
          <cell r="D75">
            <v>2123645.1999999993</v>
          </cell>
          <cell r="E75">
            <v>2194122.9700000007</v>
          </cell>
          <cell r="F75">
            <v>20471167.812699996</v>
          </cell>
          <cell r="G75">
            <v>28106871.640900012</v>
          </cell>
          <cell r="M75">
            <v>129638.95</v>
          </cell>
          <cell r="V75">
            <v>75</v>
          </cell>
        </row>
        <row r="76">
          <cell r="B76">
            <v>30104</v>
          </cell>
          <cell r="C76" t="str">
            <v>The Hawbridge School</v>
          </cell>
          <cell r="D76">
            <v>975550.09999999974</v>
          </cell>
          <cell r="E76">
            <v>1290327.7399999995</v>
          </cell>
          <cell r="F76">
            <v>10020105.476999996</v>
          </cell>
          <cell r="G76">
            <v>17922597.775549997</v>
          </cell>
          <cell r="M76">
            <v>72361.23</v>
          </cell>
          <cell r="V76">
            <v>76</v>
          </cell>
        </row>
        <row r="77">
          <cell r="B77">
            <v>30105</v>
          </cell>
          <cell r="C77" t="str">
            <v>Alamance Community College</v>
          </cell>
          <cell r="D77">
            <v>12276715.640000001</v>
          </cell>
          <cell r="E77">
            <v>12013260.689999999</v>
          </cell>
          <cell r="F77">
            <v>93694444.576300025</v>
          </cell>
          <cell r="G77">
            <v>122039540.98607707</v>
          </cell>
          <cell r="M77">
            <v>700821.97</v>
          </cell>
          <cell r="V77">
            <v>77</v>
          </cell>
        </row>
        <row r="78">
          <cell r="B78">
            <v>30200</v>
          </cell>
          <cell r="C78" t="str">
            <v>Alexander County Schools</v>
          </cell>
          <cell r="D78">
            <v>25525775.909999959</v>
          </cell>
          <cell r="E78">
            <v>25714708.279999994</v>
          </cell>
          <cell r="F78">
            <v>220167585.53150004</v>
          </cell>
          <cell r="G78">
            <v>289255275.02418065</v>
          </cell>
          <cell r="M78">
            <v>1467244.5999999999</v>
          </cell>
          <cell r="V78">
            <v>78</v>
          </cell>
        </row>
        <row r="79">
          <cell r="B79">
            <v>30300</v>
          </cell>
          <cell r="C79" t="str">
            <v>Alleghany County Schools</v>
          </cell>
          <cell r="D79">
            <v>8764748.0699999966</v>
          </cell>
          <cell r="E79">
            <v>8935775.4199999999</v>
          </cell>
          <cell r="F79">
            <v>74847802.275299981</v>
          </cell>
          <cell r="G79">
            <v>99135837.153100967</v>
          </cell>
          <cell r="M79">
            <v>514114.92000000004</v>
          </cell>
          <cell r="V79">
            <v>79</v>
          </cell>
        </row>
        <row r="80">
          <cell r="B80">
            <v>30400</v>
          </cell>
          <cell r="C80" t="str">
            <v>Anson County Schools</v>
          </cell>
          <cell r="D80">
            <v>18511623.109999988</v>
          </cell>
          <cell r="E80">
            <v>17862843.95999999</v>
          </cell>
          <cell r="F80">
            <v>145560271.24089998</v>
          </cell>
          <cell r="G80">
            <v>182571738.43050006</v>
          </cell>
          <cell r="M80">
            <v>1037458.53</v>
          </cell>
          <cell r="V80">
            <v>80</v>
          </cell>
        </row>
        <row r="81">
          <cell r="B81">
            <v>30405</v>
          </cell>
          <cell r="C81" t="str">
            <v>South Piedmont Community College</v>
          </cell>
          <cell r="D81">
            <v>10676622.369999995</v>
          </cell>
          <cell r="E81">
            <v>10981955.869999997</v>
          </cell>
          <cell r="F81">
            <v>94571837.140199959</v>
          </cell>
          <cell r="G81">
            <v>126665953.00343375</v>
          </cell>
          <cell r="M81">
            <v>631676.55999999994</v>
          </cell>
          <cell r="V81">
            <v>81</v>
          </cell>
        </row>
        <row r="82">
          <cell r="B82">
            <v>30500</v>
          </cell>
          <cell r="C82" t="str">
            <v>Ashe County Schools</v>
          </cell>
          <cell r="D82">
            <v>16891159.300000008</v>
          </cell>
          <cell r="E82">
            <v>17406464.430000011</v>
          </cell>
          <cell r="F82">
            <v>142492235.53230006</v>
          </cell>
          <cell r="G82">
            <v>192489327.76847321</v>
          </cell>
          <cell r="M82">
            <v>1000188.52</v>
          </cell>
          <cell r="V82">
            <v>82</v>
          </cell>
        </row>
        <row r="83">
          <cell r="B83">
            <v>30600</v>
          </cell>
          <cell r="C83" t="str">
            <v>Avery County Schools</v>
          </cell>
          <cell r="D83">
            <v>13347129.399999995</v>
          </cell>
          <cell r="E83">
            <v>13750307.159999993</v>
          </cell>
          <cell r="F83">
            <v>110626073.18459992</v>
          </cell>
          <cell r="G83">
            <v>149968079.5864</v>
          </cell>
          <cell r="M83">
            <v>781149.03999999992</v>
          </cell>
          <cell r="V83">
            <v>83</v>
          </cell>
        </row>
        <row r="84">
          <cell r="B84">
            <v>30601</v>
          </cell>
          <cell r="C84" t="str">
            <v>Grandfather Academy</v>
          </cell>
          <cell r="D84">
            <v>301713.57</v>
          </cell>
          <cell r="E84">
            <v>283559.88999999996</v>
          </cell>
          <cell r="F84">
            <v>2883222.6488999999</v>
          </cell>
          <cell r="G84">
            <v>3758350.7156000002</v>
          </cell>
          <cell r="M84">
            <v>16741.000000000004</v>
          </cell>
          <cell r="V84">
            <v>84</v>
          </cell>
        </row>
        <row r="85">
          <cell r="B85">
            <v>30700</v>
          </cell>
          <cell r="C85" t="str">
            <v>Beaufort County Schools</v>
          </cell>
          <cell r="D85">
            <v>35950135.379999995</v>
          </cell>
          <cell r="E85">
            <v>35413191.710000023</v>
          </cell>
          <cell r="F85">
            <v>295446375.5456</v>
          </cell>
          <cell r="G85">
            <v>384055889.41871679</v>
          </cell>
          <cell r="M85">
            <v>2064064.7600000002</v>
          </cell>
          <cell r="V85">
            <v>85</v>
          </cell>
        </row>
        <row r="86">
          <cell r="B86">
            <v>30705</v>
          </cell>
          <cell r="C86" t="str">
            <v>Beaufort County Community College</v>
          </cell>
          <cell r="D86">
            <v>7067343.4100000011</v>
          </cell>
          <cell r="E86">
            <v>7293056.6900000023</v>
          </cell>
          <cell r="F86">
            <v>55357607.234200016</v>
          </cell>
          <cell r="G86">
            <v>76342124.522497058</v>
          </cell>
          <cell r="M86">
            <v>429161.42999999993</v>
          </cell>
          <cell r="V86">
            <v>86</v>
          </cell>
        </row>
        <row r="87">
          <cell r="B87">
            <v>30800</v>
          </cell>
          <cell r="C87" t="str">
            <v>Bertie County Schools</v>
          </cell>
          <cell r="D87">
            <v>14889750.080000015</v>
          </cell>
          <cell r="E87">
            <v>14297118.020000001</v>
          </cell>
          <cell r="F87">
            <v>120965830.46959998</v>
          </cell>
          <cell r="G87">
            <v>149249889.03292903</v>
          </cell>
          <cell r="M87">
            <v>840230.13</v>
          </cell>
          <cell r="V87">
            <v>87</v>
          </cell>
        </row>
        <row r="88">
          <cell r="B88">
            <v>30900</v>
          </cell>
          <cell r="C88" t="str">
            <v>Bladen County Schools</v>
          </cell>
          <cell r="D88">
            <v>24470480.339999992</v>
          </cell>
          <cell r="E88">
            <v>23961633.410000011</v>
          </cell>
          <cell r="F88">
            <v>193657797.64629993</v>
          </cell>
          <cell r="G88">
            <v>249150663.22814754</v>
          </cell>
          <cell r="M88">
            <v>1375376.3199999998</v>
          </cell>
          <cell r="V88">
            <v>88</v>
          </cell>
        </row>
        <row r="89">
          <cell r="B89">
            <v>30905</v>
          </cell>
          <cell r="C89" t="str">
            <v>Bladen Community College</v>
          </cell>
          <cell r="D89">
            <v>5695714.0800000029</v>
          </cell>
          <cell r="E89">
            <v>5723122.6500000013</v>
          </cell>
          <cell r="F89">
            <v>42095421.583200015</v>
          </cell>
          <cell r="G89">
            <v>51575576.516830571</v>
          </cell>
          <cell r="M89">
            <v>315615.95</v>
          </cell>
          <cell r="V89">
            <v>89</v>
          </cell>
        </row>
        <row r="90">
          <cell r="B90">
            <v>31000</v>
          </cell>
          <cell r="C90" t="str">
            <v>Brunswick County Schools</v>
          </cell>
          <cell r="D90">
            <v>64948632.759999983</v>
          </cell>
          <cell r="E90">
            <v>64067581.710000083</v>
          </cell>
          <cell r="F90">
            <v>534620340.58959943</v>
          </cell>
          <cell r="G90">
            <v>709717633.272493</v>
          </cell>
          <cell r="M90">
            <v>3691012.3200000003</v>
          </cell>
          <cell r="V90">
            <v>90</v>
          </cell>
        </row>
        <row r="91">
          <cell r="B91">
            <v>31005</v>
          </cell>
          <cell r="C91" t="str">
            <v>Brunswick Community College</v>
          </cell>
          <cell r="D91">
            <v>7141530.990000003</v>
          </cell>
          <cell r="E91">
            <v>7512434.1100000022</v>
          </cell>
          <cell r="F91">
            <v>52990233.921899997</v>
          </cell>
          <cell r="G91">
            <v>70495969.770887136</v>
          </cell>
          <cell r="M91">
            <v>429428.59</v>
          </cell>
          <cell r="V91">
            <v>91</v>
          </cell>
        </row>
        <row r="92">
          <cell r="B92">
            <v>31100</v>
          </cell>
          <cell r="C92" t="str">
            <v>Buncombe County Schools</v>
          </cell>
          <cell r="D92">
            <v>127855359.8200004</v>
          </cell>
          <cell r="E92">
            <v>129776898.55999997</v>
          </cell>
          <cell r="F92">
            <v>1096255442.8021002</v>
          </cell>
          <cell r="G92">
            <v>1481539091.7470157</v>
          </cell>
          <cell r="M92">
            <v>7441833.4299999997</v>
          </cell>
          <cell r="V92">
            <v>92</v>
          </cell>
        </row>
        <row r="93">
          <cell r="B93">
            <v>31101</v>
          </cell>
          <cell r="C93" t="str">
            <v>F. Delany New School For Children</v>
          </cell>
          <cell r="D93">
            <v>752793.35</v>
          </cell>
          <cell r="E93">
            <v>758738.24999999988</v>
          </cell>
          <cell r="F93">
            <v>7874178.2448999994</v>
          </cell>
          <cell r="G93">
            <v>10039090.600400001</v>
          </cell>
          <cell r="M93">
            <v>43901.68</v>
          </cell>
          <cell r="V93">
            <v>93</v>
          </cell>
        </row>
        <row r="94">
          <cell r="B94">
            <v>31102</v>
          </cell>
          <cell r="C94" t="str">
            <v>Evergreen Community Charter School</v>
          </cell>
          <cell r="D94">
            <v>1767528.4500000009</v>
          </cell>
          <cell r="E94">
            <v>1780792.73</v>
          </cell>
          <cell r="F94">
            <v>17834011.990000006</v>
          </cell>
          <cell r="G94">
            <v>24905613.844707288</v>
          </cell>
          <cell r="M94">
            <v>100928.47</v>
          </cell>
          <cell r="V94">
            <v>94</v>
          </cell>
        </row>
        <row r="95">
          <cell r="B95">
            <v>31105</v>
          </cell>
          <cell r="C95" t="str">
            <v>Asheville-Buncombe Technical College</v>
          </cell>
          <cell r="D95">
            <v>21910659.469999976</v>
          </cell>
          <cell r="E95">
            <v>21942969.110000011</v>
          </cell>
          <cell r="F95">
            <v>181017184.37960017</v>
          </cell>
          <cell r="G95">
            <v>236729179.39203152</v>
          </cell>
          <cell r="M95">
            <v>1267278.3799999999</v>
          </cell>
          <cell r="V95">
            <v>95</v>
          </cell>
        </row>
        <row r="96">
          <cell r="B96">
            <v>31110</v>
          </cell>
          <cell r="C96" t="str">
            <v>Asheville City Schools</v>
          </cell>
          <cell r="D96">
            <v>28750380.699999977</v>
          </cell>
          <cell r="E96">
            <v>28443769.960000005</v>
          </cell>
          <cell r="F96">
            <v>261926022.04389995</v>
          </cell>
          <cell r="G96">
            <v>343947043.29053557</v>
          </cell>
          <cell r="M96">
            <v>1632015.24</v>
          </cell>
          <cell r="V96">
            <v>96</v>
          </cell>
        </row>
        <row r="97">
          <cell r="B97">
            <v>31200</v>
          </cell>
          <cell r="C97" t="str">
            <v>Burke County Schools</v>
          </cell>
          <cell r="D97">
            <v>62905900.439999983</v>
          </cell>
          <cell r="E97">
            <v>63059125.209999941</v>
          </cell>
          <cell r="F97">
            <v>540345065.27859974</v>
          </cell>
          <cell r="G97">
            <v>700390399.49469924</v>
          </cell>
          <cell r="M97">
            <v>3576358.79</v>
          </cell>
          <cell r="V97">
            <v>97</v>
          </cell>
        </row>
        <row r="98">
          <cell r="B98">
            <v>31205</v>
          </cell>
          <cell r="C98" t="str">
            <v>Western Piedmont Community College</v>
          </cell>
          <cell r="D98">
            <v>9037730.9999999981</v>
          </cell>
          <cell r="E98">
            <v>8767270.7700000014</v>
          </cell>
          <cell r="F98">
            <v>72265602.304499999</v>
          </cell>
          <cell r="G98">
            <v>86113188.520000011</v>
          </cell>
          <cell r="M98">
            <v>499527.33</v>
          </cell>
          <cell r="V98">
            <v>98</v>
          </cell>
        </row>
        <row r="99">
          <cell r="B99">
            <v>31300</v>
          </cell>
          <cell r="C99" t="str">
            <v>Cabarrus County Schools</v>
          </cell>
          <cell r="D99">
            <v>135311229.06999975</v>
          </cell>
          <cell r="E99">
            <v>143348965.94999999</v>
          </cell>
          <cell r="F99">
            <v>1257837736.1727977</v>
          </cell>
          <cell r="G99">
            <v>1768462598.34375</v>
          </cell>
          <cell r="M99">
            <v>8357210.9700000007</v>
          </cell>
          <cell r="V99">
            <v>99</v>
          </cell>
        </row>
        <row r="100">
          <cell r="B100">
            <v>31301</v>
          </cell>
          <cell r="C100" t="str">
            <v>Carolina International School</v>
          </cell>
          <cell r="D100">
            <v>2023366.7800000003</v>
          </cell>
          <cell r="E100">
            <v>2594207.0499999993</v>
          </cell>
          <cell r="F100">
            <v>20676946.978299998</v>
          </cell>
          <cell r="G100">
            <v>34071367.213900007</v>
          </cell>
          <cell r="M100">
            <v>160406.21000000002</v>
          </cell>
          <cell r="V100">
            <v>100</v>
          </cell>
        </row>
        <row r="101">
          <cell r="B101">
            <v>31320</v>
          </cell>
          <cell r="C101" t="str">
            <v>Kannapolis City Schools</v>
          </cell>
          <cell r="D101">
            <v>26524779.199999981</v>
          </cell>
          <cell r="E101">
            <v>27324139.419999998</v>
          </cell>
          <cell r="F101">
            <v>246221894.77109998</v>
          </cell>
          <cell r="G101">
            <v>331389648.85337532</v>
          </cell>
          <cell r="M101">
            <v>1579369.91</v>
          </cell>
          <cell r="V101">
            <v>101</v>
          </cell>
        </row>
        <row r="102">
          <cell r="B102">
            <v>31400</v>
          </cell>
          <cell r="C102" t="str">
            <v>Caldwell County Schools</v>
          </cell>
          <cell r="D102">
            <v>61460651.279999897</v>
          </cell>
          <cell r="E102">
            <v>62632254.550000124</v>
          </cell>
          <cell r="F102">
            <v>519676465.63999957</v>
          </cell>
          <cell r="G102">
            <v>690951239.94812691</v>
          </cell>
          <cell r="M102">
            <v>3601142.0500000003</v>
          </cell>
          <cell r="V102">
            <v>102</v>
          </cell>
        </row>
        <row r="103">
          <cell r="B103">
            <v>31405</v>
          </cell>
          <cell r="C103" t="str">
            <v>Caldwell Community College</v>
          </cell>
          <cell r="D103">
            <v>14777320.380000012</v>
          </cell>
          <cell r="E103">
            <v>14321380.540000012</v>
          </cell>
          <cell r="F103">
            <v>113182789.79310001</v>
          </cell>
          <cell r="G103">
            <v>139189350.79784983</v>
          </cell>
          <cell r="M103">
            <v>826096.32000000018</v>
          </cell>
          <cell r="V103">
            <v>103</v>
          </cell>
        </row>
        <row r="104">
          <cell r="B104">
            <v>31500</v>
          </cell>
          <cell r="C104" t="str">
            <v>Camden County Schools</v>
          </cell>
          <cell r="D104">
            <v>9852711.339999998</v>
          </cell>
          <cell r="E104">
            <v>10090422.93</v>
          </cell>
          <cell r="F104">
            <v>81809654.070100054</v>
          </cell>
          <cell r="G104">
            <v>106680078.60839999</v>
          </cell>
          <cell r="M104">
            <v>584050.2699999999</v>
          </cell>
          <cell r="V104">
            <v>104</v>
          </cell>
        </row>
        <row r="105">
          <cell r="B105">
            <v>31600</v>
          </cell>
          <cell r="C105" t="str">
            <v>Carteret County Schools</v>
          </cell>
          <cell r="D105">
            <v>44501315.880000032</v>
          </cell>
          <cell r="E105">
            <v>44557895.530000061</v>
          </cell>
          <cell r="F105">
            <v>366224690.73940021</v>
          </cell>
          <cell r="G105">
            <v>493095520.61112005</v>
          </cell>
          <cell r="M105">
            <v>2539583.1999999997</v>
          </cell>
          <cell r="V105">
            <v>105</v>
          </cell>
        </row>
        <row r="106">
          <cell r="B106">
            <v>31605</v>
          </cell>
          <cell r="C106" t="str">
            <v>Carteret Community College</v>
          </cell>
          <cell r="D106">
            <v>7012980.4799999986</v>
          </cell>
          <cell r="E106">
            <v>7142382.8599999985</v>
          </cell>
          <cell r="F106">
            <v>51480581.102199972</v>
          </cell>
          <cell r="G106">
            <v>67874025.654912695</v>
          </cell>
          <cell r="M106">
            <v>418219.78</v>
          </cell>
          <cell r="V106">
            <v>106</v>
          </cell>
        </row>
        <row r="107">
          <cell r="B107">
            <v>31700</v>
          </cell>
          <cell r="C107" t="str">
            <v>Caswell County Schools</v>
          </cell>
          <cell r="D107">
            <v>13968786.370000007</v>
          </cell>
          <cell r="E107">
            <v>13772995.999999993</v>
          </cell>
          <cell r="F107">
            <v>109954546.40759997</v>
          </cell>
          <cell r="G107">
            <v>143096515.73373985</v>
          </cell>
          <cell r="M107">
            <v>811590.37000000011</v>
          </cell>
          <cell r="V107">
            <v>107</v>
          </cell>
        </row>
        <row r="108">
          <cell r="B108">
            <v>31800</v>
          </cell>
          <cell r="C108" t="str">
            <v>Catawba County Schools</v>
          </cell>
          <cell r="D108">
            <v>81039419.090000018</v>
          </cell>
          <cell r="E108">
            <v>82414063.260000065</v>
          </cell>
          <cell r="F108">
            <v>687927268.97030091</v>
          </cell>
          <cell r="G108">
            <v>907197434.60667217</v>
          </cell>
          <cell r="M108">
            <v>4666941.1500000004</v>
          </cell>
          <cell r="V108">
            <v>108</v>
          </cell>
        </row>
        <row r="109">
          <cell r="B109">
            <v>31805</v>
          </cell>
          <cell r="C109" t="str">
            <v>Catawba Valley Community College</v>
          </cell>
          <cell r="D109">
            <v>17361800.369999994</v>
          </cell>
          <cell r="E109">
            <v>16926582.729999989</v>
          </cell>
          <cell r="F109">
            <v>130528452.04869987</v>
          </cell>
          <cell r="G109">
            <v>168763191.96074688</v>
          </cell>
          <cell r="M109">
            <v>984462.41000000015</v>
          </cell>
          <cell r="V109">
            <v>109</v>
          </cell>
        </row>
        <row r="110">
          <cell r="B110">
            <v>31810</v>
          </cell>
          <cell r="C110" t="str">
            <v>Hickory City Schools</v>
          </cell>
          <cell r="D110">
            <v>19785394.159999996</v>
          </cell>
          <cell r="E110">
            <v>20050932.22000001</v>
          </cell>
          <cell r="F110">
            <v>166799813.75370002</v>
          </cell>
          <cell r="G110">
            <v>225416660.24890015</v>
          </cell>
          <cell r="M110">
            <v>1164278.3999999999</v>
          </cell>
          <cell r="V110">
            <v>110</v>
          </cell>
        </row>
        <row r="111">
          <cell r="B111">
            <v>31820</v>
          </cell>
          <cell r="C111" t="str">
            <v>Newton-Conover City Schools</v>
          </cell>
          <cell r="D111">
            <v>16095314.310000001</v>
          </cell>
          <cell r="E111">
            <v>16854643.890000008</v>
          </cell>
          <cell r="F111">
            <v>145330374.45430011</v>
          </cell>
          <cell r="G111">
            <v>201114695.69890016</v>
          </cell>
          <cell r="M111">
            <v>966713.2899999998</v>
          </cell>
          <cell r="V111">
            <v>111</v>
          </cell>
        </row>
        <row r="112">
          <cell r="B112">
            <v>31900</v>
          </cell>
          <cell r="C112" t="str">
            <v>Chatham County Schools</v>
          </cell>
          <cell r="D112">
            <v>45419718.050000034</v>
          </cell>
          <cell r="E112">
            <v>45846473.449999966</v>
          </cell>
          <cell r="F112">
            <v>398867950.97809964</v>
          </cell>
          <cell r="G112">
            <v>529647263.10611236</v>
          </cell>
          <cell r="M112">
            <v>2656470.5000000005</v>
          </cell>
          <cell r="V112">
            <v>112</v>
          </cell>
        </row>
        <row r="113">
          <cell r="B113">
            <v>32000</v>
          </cell>
          <cell r="C113" t="str">
            <v>Cherokee County Schools</v>
          </cell>
          <cell r="D113">
            <v>17939030.000000004</v>
          </cell>
          <cell r="E113">
            <v>18666686.109999992</v>
          </cell>
          <cell r="F113">
            <v>151756448.22019994</v>
          </cell>
          <cell r="G113">
            <v>212912478.82260874</v>
          </cell>
          <cell r="M113">
            <v>1088380.05</v>
          </cell>
          <cell r="V113">
            <v>113</v>
          </cell>
        </row>
        <row r="114">
          <cell r="B114">
            <v>32005</v>
          </cell>
          <cell r="C114" t="str">
            <v>Tri-County Community College</v>
          </cell>
          <cell r="D114">
            <v>4433596.3600000013</v>
          </cell>
          <cell r="E114">
            <v>4742534.0500000007</v>
          </cell>
          <cell r="F114">
            <v>33707948.462099999</v>
          </cell>
          <cell r="G114">
            <v>48015712.040344745</v>
          </cell>
          <cell r="M114">
            <v>273319.93000000005</v>
          </cell>
          <cell r="V114">
            <v>114</v>
          </cell>
        </row>
        <row r="115">
          <cell r="B115">
            <v>32100</v>
          </cell>
          <cell r="C115" t="str">
            <v>Edenton-Chowan County Schools</v>
          </cell>
          <cell r="D115">
            <v>12579217.870000005</v>
          </cell>
          <cell r="E115">
            <v>12404863.179999989</v>
          </cell>
          <cell r="F115">
            <v>103670001.09210008</v>
          </cell>
          <cell r="G115">
            <v>132767746.29320997</v>
          </cell>
          <cell r="M115">
            <v>701321.67</v>
          </cell>
          <cell r="V115">
            <v>115</v>
          </cell>
        </row>
        <row r="116">
          <cell r="B116">
            <v>32200</v>
          </cell>
          <cell r="C116" t="str">
            <v>Clay County Schools</v>
          </cell>
          <cell r="D116">
            <v>7162579.6999999974</v>
          </cell>
          <cell r="E116">
            <v>7296762.5800000038</v>
          </cell>
          <cell r="F116">
            <v>58227961.717499994</v>
          </cell>
          <cell r="G116">
            <v>81734057.554073185</v>
          </cell>
          <cell r="M116">
            <v>423160.93</v>
          </cell>
          <cell r="V116">
            <v>116</v>
          </cell>
        </row>
        <row r="117">
          <cell r="B117">
            <v>32300</v>
          </cell>
          <cell r="C117" t="str">
            <v>Cleveland County Schools</v>
          </cell>
          <cell r="D117">
            <v>79222817.200000063</v>
          </cell>
          <cell r="E117">
            <v>80257674.519999996</v>
          </cell>
          <cell r="F117">
            <v>694105623.57039905</v>
          </cell>
          <cell r="G117">
            <v>929025133.40120316</v>
          </cell>
          <cell r="M117">
            <v>4600158.58</v>
          </cell>
          <cell r="V117">
            <v>117</v>
          </cell>
        </row>
        <row r="118">
          <cell r="B118">
            <v>32305</v>
          </cell>
          <cell r="C118" t="str">
            <v>Cleveland Technical College</v>
          </cell>
          <cell r="D118">
            <v>9432073.8199999966</v>
          </cell>
          <cell r="E118">
            <v>9632273.0300000012</v>
          </cell>
          <cell r="F118">
            <v>72434493.646200001</v>
          </cell>
          <cell r="G118">
            <v>95464721.90110001</v>
          </cell>
          <cell r="M118">
            <v>562796.46</v>
          </cell>
          <cell r="V118">
            <v>118</v>
          </cell>
        </row>
        <row r="119">
          <cell r="B119">
            <v>32400</v>
          </cell>
          <cell r="C119" t="str">
            <v>Columbus County Schools</v>
          </cell>
          <cell r="D119">
            <v>30307843.97000001</v>
          </cell>
          <cell r="E119">
            <v>31292810.310000047</v>
          </cell>
          <cell r="F119">
            <v>242031931.12379974</v>
          </cell>
          <cell r="G119">
            <v>329063471.68641323</v>
          </cell>
          <cell r="M119">
            <v>1803256.7000000002</v>
          </cell>
          <cell r="V119">
            <v>119</v>
          </cell>
        </row>
        <row r="120">
          <cell r="B120">
            <v>32405</v>
          </cell>
          <cell r="C120" t="str">
            <v>Southeastern Community College</v>
          </cell>
          <cell r="D120">
            <v>8855177.1099999994</v>
          </cell>
          <cell r="E120">
            <v>8446599.3999999985</v>
          </cell>
          <cell r="F120">
            <v>66011949.488999985</v>
          </cell>
          <cell r="G120">
            <v>82246311.512199968</v>
          </cell>
          <cell r="M120">
            <v>488429.27999999997</v>
          </cell>
          <cell r="V120">
            <v>120</v>
          </cell>
        </row>
        <row r="121">
          <cell r="B121">
            <v>32410</v>
          </cell>
          <cell r="C121" t="str">
            <v>Whiteville City Schools</v>
          </cell>
          <cell r="D121">
            <v>12562228.100000007</v>
          </cell>
          <cell r="E121">
            <v>12612983.220000003</v>
          </cell>
          <cell r="F121">
            <v>100461318.99999997</v>
          </cell>
          <cell r="G121">
            <v>131058988.42799997</v>
          </cell>
          <cell r="M121">
            <v>724239.97</v>
          </cell>
          <cell r="V121">
            <v>121</v>
          </cell>
        </row>
        <row r="122">
          <cell r="B122">
            <v>32500</v>
          </cell>
          <cell r="C122" t="str">
            <v>New Bern/Craven County Board Of Education</v>
          </cell>
          <cell r="D122">
            <v>65739933.16999986</v>
          </cell>
          <cell r="E122">
            <v>66814500.440000139</v>
          </cell>
          <cell r="F122">
            <v>553734799.86949992</v>
          </cell>
          <cell r="G122">
            <v>751463628.71451771</v>
          </cell>
          <cell r="M122">
            <v>3858650.53</v>
          </cell>
          <cell r="V122">
            <v>122</v>
          </cell>
        </row>
        <row r="123">
          <cell r="B123">
            <v>32505</v>
          </cell>
          <cell r="C123" t="str">
            <v>Craven Community College</v>
          </cell>
          <cell r="D123">
            <v>10164390.000000006</v>
          </cell>
          <cell r="E123">
            <v>10117872.079999996</v>
          </cell>
          <cell r="F123">
            <v>82144699.435000017</v>
          </cell>
          <cell r="G123">
            <v>109586342.02042952</v>
          </cell>
          <cell r="M123">
            <v>574795.8899999999</v>
          </cell>
          <cell r="V123">
            <v>123</v>
          </cell>
        </row>
        <row r="124">
          <cell r="B124">
            <v>32600</v>
          </cell>
          <cell r="C124" t="str">
            <v>Cumberland County Schools</v>
          </cell>
          <cell r="D124">
            <v>241973389.43999976</v>
          </cell>
          <cell r="E124">
            <v>236983812.70999849</v>
          </cell>
          <cell r="F124">
            <v>2087538107.7927005</v>
          </cell>
          <cell r="G124">
            <v>2698672922.500627</v>
          </cell>
          <cell r="M124">
            <v>13526134.420000002</v>
          </cell>
          <cell r="V124">
            <v>124</v>
          </cell>
        </row>
        <row r="125">
          <cell r="B125">
            <v>32605</v>
          </cell>
          <cell r="C125" t="str">
            <v>Fayetteville Technical Community College</v>
          </cell>
          <cell r="D125">
            <v>36527293.129999988</v>
          </cell>
          <cell r="E125">
            <v>37431550.5</v>
          </cell>
          <cell r="F125">
            <v>281698716.81259972</v>
          </cell>
          <cell r="G125">
            <v>383772986.3054682</v>
          </cell>
          <cell r="M125">
            <v>2132182.7000000002</v>
          </cell>
          <cell r="V125">
            <v>125</v>
          </cell>
        </row>
        <row r="126">
          <cell r="B126">
            <v>32700</v>
          </cell>
          <cell r="C126" t="str">
            <v>Currituck County Schools</v>
          </cell>
          <cell r="D126">
            <v>20244862.339999989</v>
          </cell>
          <cell r="E126">
            <v>20714552.539999999</v>
          </cell>
          <cell r="F126">
            <v>169456624.49879983</v>
          </cell>
          <cell r="G126">
            <v>229541841.44503731</v>
          </cell>
          <cell r="M126">
            <v>1207773.6499999999</v>
          </cell>
          <cell r="V126">
            <v>126</v>
          </cell>
        </row>
        <row r="127">
          <cell r="B127">
            <v>32800</v>
          </cell>
          <cell r="C127" t="str">
            <v>Dare County Schools</v>
          </cell>
          <cell r="D127">
            <v>31316632.339999981</v>
          </cell>
          <cell r="E127">
            <v>31559927.679999985</v>
          </cell>
          <cell r="F127">
            <v>231824683.23170018</v>
          </cell>
          <cell r="G127">
            <v>307712099.49276775</v>
          </cell>
          <cell r="M127">
            <v>1812643.01</v>
          </cell>
          <cell r="V127">
            <v>127</v>
          </cell>
        </row>
        <row r="128">
          <cell r="B128">
            <v>32900</v>
          </cell>
          <cell r="C128" t="str">
            <v>Davidson County Schools</v>
          </cell>
          <cell r="D128">
            <v>85207736.559999779</v>
          </cell>
          <cell r="E128">
            <v>86770011.830000177</v>
          </cell>
          <cell r="F128">
            <v>732544895.72070062</v>
          </cell>
          <cell r="G128">
            <v>979338173.18845117</v>
          </cell>
          <cell r="M128">
            <v>4967240.21</v>
          </cell>
          <cell r="V128">
            <v>128</v>
          </cell>
        </row>
        <row r="129">
          <cell r="B129">
            <v>32901</v>
          </cell>
          <cell r="C129" t="str">
            <v>Invest Collegiate Charter School</v>
          </cell>
          <cell r="D129">
            <v>1347489.2899999998</v>
          </cell>
          <cell r="E129">
            <v>2206162.0200000005</v>
          </cell>
          <cell r="F129">
            <v>13834081.556499997</v>
          </cell>
          <cell r="G129">
            <v>33655641.5145</v>
          </cell>
          <cell r="M129">
            <v>123637.35999999997</v>
          </cell>
          <cell r="V129">
            <v>129</v>
          </cell>
        </row>
        <row r="130">
          <cell r="B130">
            <v>32905</v>
          </cell>
          <cell r="C130" t="str">
            <v>Davidson County Community College</v>
          </cell>
          <cell r="D130">
            <v>13299918.769999998</v>
          </cell>
          <cell r="E130">
            <v>13363003.759999996</v>
          </cell>
          <cell r="F130">
            <v>108969942.02679999</v>
          </cell>
          <cell r="G130">
            <v>141526662.77274996</v>
          </cell>
          <cell r="M130">
            <v>768667.2300000001</v>
          </cell>
          <cell r="V130">
            <v>130</v>
          </cell>
        </row>
        <row r="131">
          <cell r="B131">
            <v>32910</v>
          </cell>
          <cell r="C131" t="str">
            <v>Lexington City Schools</v>
          </cell>
          <cell r="D131">
            <v>16201975.220000017</v>
          </cell>
          <cell r="E131">
            <v>16502634.739999995</v>
          </cell>
          <cell r="F131">
            <v>135416117.9043</v>
          </cell>
          <cell r="G131">
            <v>178247922.94302073</v>
          </cell>
          <cell r="M131">
            <v>957832.84</v>
          </cell>
          <cell r="V131">
            <v>131</v>
          </cell>
        </row>
        <row r="132">
          <cell r="B132">
            <v>32920</v>
          </cell>
          <cell r="C132" t="str">
            <v>Thomasville City Schools</v>
          </cell>
          <cell r="D132">
            <v>12994875.190000003</v>
          </cell>
          <cell r="E132">
            <v>12899764.759999992</v>
          </cell>
          <cell r="F132">
            <v>112511051.44719993</v>
          </cell>
          <cell r="G132">
            <v>146242903.88170004</v>
          </cell>
          <cell r="M132">
            <v>766288.93</v>
          </cell>
          <cell r="V132">
            <v>132</v>
          </cell>
        </row>
        <row r="133">
          <cell r="B133">
            <v>33000</v>
          </cell>
          <cell r="C133" t="str">
            <v>Davie County Schools</v>
          </cell>
          <cell r="D133">
            <v>32690806.749999974</v>
          </cell>
          <cell r="E133">
            <v>32554020.660000037</v>
          </cell>
          <cell r="F133">
            <v>286175444.66159993</v>
          </cell>
          <cell r="G133">
            <v>378285211.09255856</v>
          </cell>
          <cell r="M133">
            <v>1861430.54</v>
          </cell>
          <cell r="V133">
            <v>133</v>
          </cell>
        </row>
        <row r="134">
          <cell r="B134">
            <v>33001</v>
          </cell>
          <cell r="C134" t="str">
            <v>N.E. Regional School For Biotechnology</v>
          </cell>
          <cell r="D134">
            <v>583559.75</v>
          </cell>
          <cell r="E134">
            <v>746290.78</v>
          </cell>
          <cell r="F134">
            <v>6160817.843700001</v>
          </cell>
          <cell r="G134">
            <v>10066611.2788</v>
          </cell>
          <cell r="M134">
            <v>49703.859999999993</v>
          </cell>
          <cell r="V134">
            <v>134</v>
          </cell>
        </row>
        <row r="135">
          <cell r="B135">
            <v>33027</v>
          </cell>
          <cell r="C135" t="str">
            <v>Cornerstone Academy</v>
          </cell>
          <cell r="D135">
            <v>2098097.4</v>
          </cell>
          <cell r="E135">
            <v>2796774.3499999982</v>
          </cell>
          <cell r="F135">
            <v>22279178.684700012</v>
          </cell>
          <cell r="G135">
            <v>38902117.024400003</v>
          </cell>
          <cell r="M135">
            <v>153643.65000000002</v>
          </cell>
          <cell r="V135">
            <v>135</v>
          </cell>
        </row>
        <row r="136">
          <cell r="B136">
            <v>33100</v>
          </cell>
          <cell r="C136" t="str">
            <v>Duplin County Schools</v>
          </cell>
          <cell r="D136">
            <v>45657689.179999955</v>
          </cell>
          <cell r="E136">
            <v>48424353.820000038</v>
          </cell>
          <cell r="F136">
            <v>383169764.52360028</v>
          </cell>
          <cell r="G136">
            <v>540831654.12982905</v>
          </cell>
          <cell r="M136">
            <v>2815157.9</v>
          </cell>
          <cell r="V136">
            <v>136</v>
          </cell>
        </row>
        <row r="137">
          <cell r="B137">
            <v>33105</v>
          </cell>
          <cell r="C137" t="str">
            <v>James Sprunt Technical College</v>
          </cell>
          <cell r="D137">
            <v>6230244.6800000016</v>
          </cell>
          <cell r="E137">
            <v>5705826.6699999999</v>
          </cell>
          <cell r="F137">
            <v>48983556.219799981</v>
          </cell>
          <cell r="G137">
            <v>60795810.004299961</v>
          </cell>
          <cell r="M137">
            <v>325797.21999999991</v>
          </cell>
          <cell r="V137">
            <v>137</v>
          </cell>
        </row>
        <row r="138">
          <cell r="B138">
            <v>33200</v>
          </cell>
          <cell r="C138" t="str">
            <v>Durham Public Schools</v>
          </cell>
          <cell r="D138">
            <v>192393437.68000066</v>
          </cell>
          <cell r="E138">
            <v>198407653.93000114</v>
          </cell>
          <cell r="F138">
            <v>1705876350.6737006</v>
          </cell>
          <cell r="G138">
            <v>2360413438.8245788</v>
          </cell>
          <cell r="M138">
            <v>11538019.280000001</v>
          </cell>
          <cell r="V138">
            <v>138</v>
          </cell>
        </row>
        <row r="139">
          <cell r="B139">
            <v>33202</v>
          </cell>
          <cell r="C139" t="str">
            <v>Central Park School For Children</v>
          </cell>
          <cell r="D139">
            <v>1826455.58</v>
          </cell>
          <cell r="E139">
            <v>2083307.32</v>
          </cell>
          <cell r="F139">
            <v>18316075.637599997</v>
          </cell>
          <cell r="G139">
            <v>28241064.610799994</v>
          </cell>
          <cell r="M139">
            <v>129400.48999999999</v>
          </cell>
          <cell r="V139">
            <v>139</v>
          </cell>
        </row>
        <row r="140">
          <cell r="B140">
            <v>33203</v>
          </cell>
          <cell r="C140" t="str">
            <v>Healthy Start Academy</v>
          </cell>
          <cell r="D140">
            <v>1267860.8600000003</v>
          </cell>
          <cell r="E140">
            <v>1400711.38</v>
          </cell>
          <cell r="F140">
            <v>12715691.774200002</v>
          </cell>
          <cell r="G140">
            <v>19541158.916000001</v>
          </cell>
          <cell r="M140">
            <v>79264.840000000011</v>
          </cell>
          <cell r="V140">
            <v>140</v>
          </cell>
        </row>
        <row r="141">
          <cell r="B141">
            <v>33204</v>
          </cell>
          <cell r="C141" t="str">
            <v>Voyager Academy</v>
          </cell>
          <cell r="D141">
            <v>4636538.4700000025</v>
          </cell>
          <cell r="E141">
            <v>4874017.7599999988</v>
          </cell>
          <cell r="F141">
            <v>46426053.481499992</v>
          </cell>
          <cell r="G141">
            <v>68952111.42930001</v>
          </cell>
          <cell r="M141">
            <v>284204.88999999996</v>
          </cell>
          <cell r="V141">
            <v>141</v>
          </cell>
        </row>
        <row r="142">
          <cell r="B142">
            <v>33205</v>
          </cell>
          <cell r="C142" t="str">
            <v>Durham Technical Institute</v>
          </cell>
          <cell r="D142">
            <v>17003235.209999997</v>
          </cell>
          <cell r="E142">
            <v>17495640.5</v>
          </cell>
          <cell r="F142">
            <v>137046543.072</v>
          </cell>
          <cell r="G142">
            <v>190436540.39355904</v>
          </cell>
          <cell r="M142">
            <v>1025837.1900000001</v>
          </cell>
          <cell r="V142">
            <v>142</v>
          </cell>
        </row>
        <row r="143">
          <cell r="B143">
            <v>33206</v>
          </cell>
          <cell r="C143" t="str">
            <v>Bear Grass Charter School</v>
          </cell>
          <cell r="D143">
            <v>1281442.6299999999</v>
          </cell>
          <cell r="E143">
            <v>1272069.9199999997</v>
          </cell>
          <cell r="F143">
            <v>12167202.5986</v>
          </cell>
          <cell r="G143">
            <v>15561724.852200005</v>
          </cell>
          <cell r="M143">
            <v>72229.179999999993</v>
          </cell>
          <cell r="V143">
            <v>143</v>
          </cell>
        </row>
        <row r="144">
          <cell r="B144">
            <v>33207</v>
          </cell>
          <cell r="C144" t="str">
            <v>Invest Collegiate Charter (Buncombe)</v>
          </cell>
          <cell r="D144">
            <v>747052.84</v>
          </cell>
          <cell r="E144">
            <v>1940969.2600000007</v>
          </cell>
          <cell r="F144">
            <v>8592327.6204000004</v>
          </cell>
          <cell r="G144">
            <v>31930114.221099988</v>
          </cell>
          <cell r="M144">
            <v>137746.23000000001</v>
          </cell>
          <cell r="V144">
            <v>144</v>
          </cell>
        </row>
        <row r="145">
          <cell r="B145">
            <v>33208</v>
          </cell>
          <cell r="C145" t="str">
            <v>Kipp Halifax College Prep Charter</v>
          </cell>
          <cell r="D145">
            <v>233474.93999999997</v>
          </cell>
          <cell r="E145">
            <v>364821.84</v>
          </cell>
          <cell r="F145">
            <v>2361138.2366000004</v>
          </cell>
          <cell r="G145">
            <v>5103787.2952999994</v>
          </cell>
          <cell r="M145">
            <v>28186.83</v>
          </cell>
          <cell r="V145">
            <v>145</v>
          </cell>
        </row>
        <row r="146">
          <cell r="B146">
            <v>33209</v>
          </cell>
          <cell r="C146" t="str">
            <v>Pioneer Springs Community Charter</v>
          </cell>
          <cell r="D146">
            <v>478723.3</v>
          </cell>
          <cell r="E146">
            <v>801128.51</v>
          </cell>
          <cell r="F146">
            <v>5414746.1972000012</v>
          </cell>
          <cell r="G146">
            <v>11768698.4888</v>
          </cell>
          <cell r="M146">
            <v>45089.120000000003</v>
          </cell>
          <cell r="V146">
            <v>146</v>
          </cell>
        </row>
        <row r="147">
          <cell r="B147">
            <v>33300</v>
          </cell>
          <cell r="C147" t="str">
            <v>Edgecombe County Schools</v>
          </cell>
          <cell r="D147">
            <v>30039631.739999976</v>
          </cell>
          <cell r="E147">
            <v>30152921.930000052</v>
          </cell>
          <cell r="F147">
            <v>254249312.88950005</v>
          </cell>
          <cell r="G147">
            <v>340240809.52600038</v>
          </cell>
          <cell r="M147">
            <v>1724356.99</v>
          </cell>
          <cell r="V147">
            <v>147</v>
          </cell>
        </row>
        <row r="148">
          <cell r="B148">
            <v>33305</v>
          </cell>
          <cell r="C148" t="str">
            <v>Edgecombe Technical College</v>
          </cell>
          <cell r="D148">
            <v>9638960.1099999994</v>
          </cell>
          <cell r="E148">
            <v>9481893.4399999995</v>
          </cell>
          <cell r="F148">
            <v>67918415.264599994</v>
          </cell>
          <cell r="G148">
            <v>86758747.13913925</v>
          </cell>
          <cell r="M148">
            <v>553706.70000000007</v>
          </cell>
          <cell r="V148">
            <v>148</v>
          </cell>
        </row>
        <row r="149">
          <cell r="B149">
            <v>33400</v>
          </cell>
          <cell r="C149" t="str">
            <v>Winston-Salem-Forsyth County Schools</v>
          </cell>
          <cell r="D149">
            <v>267475359.33000049</v>
          </cell>
          <cell r="E149">
            <v>271727145.94999874</v>
          </cell>
          <cell r="F149">
            <v>2247124548.495707</v>
          </cell>
          <cell r="G149">
            <v>3025967618.994173</v>
          </cell>
          <cell r="M149">
            <v>15713796.310000002</v>
          </cell>
          <cell r="V149">
            <v>149</v>
          </cell>
        </row>
        <row r="150">
          <cell r="B150">
            <v>33402</v>
          </cell>
          <cell r="C150" t="str">
            <v>Arts Based Elementary Charter</v>
          </cell>
          <cell r="D150">
            <v>1600124.9800000007</v>
          </cell>
          <cell r="E150">
            <v>1807378.6900000004</v>
          </cell>
          <cell r="F150">
            <v>16724103.943499999</v>
          </cell>
          <cell r="G150">
            <v>23937073.506199997</v>
          </cell>
          <cell r="M150">
            <v>103491.48999999999</v>
          </cell>
          <cell r="V150">
            <v>150</v>
          </cell>
        </row>
        <row r="151">
          <cell r="B151">
            <v>33405</v>
          </cell>
          <cell r="C151" t="str">
            <v>Forsyth Technical Institute</v>
          </cell>
          <cell r="D151">
            <v>28325932.84999999</v>
          </cell>
          <cell r="E151">
            <v>29326717.320000004</v>
          </cell>
          <cell r="F151">
            <v>226003589.73210004</v>
          </cell>
          <cell r="G151">
            <v>304144971.65534997</v>
          </cell>
          <cell r="M151">
            <v>1679024.1600000001</v>
          </cell>
          <cell r="V151">
            <v>151</v>
          </cell>
        </row>
        <row r="152">
          <cell r="B152">
            <v>33500</v>
          </cell>
          <cell r="C152" t="str">
            <v>Franklin County Schools</v>
          </cell>
          <cell r="D152">
            <v>41685067.619999982</v>
          </cell>
          <cell r="E152">
            <v>43377886.109999992</v>
          </cell>
          <cell r="F152">
            <v>361955196.75179976</v>
          </cell>
          <cell r="G152">
            <v>505844242.20540476</v>
          </cell>
          <cell r="M152">
            <v>2528393.9399999995</v>
          </cell>
          <cell r="V152">
            <v>152</v>
          </cell>
        </row>
        <row r="153">
          <cell r="B153">
            <v>33501</v>
          </cell>
          <cell r="C153" t="str">
            <v>A Childs Garden Charter (AKA Cross Creek Charter)</v>
          </cell>
          <cell r="D153">
            <v>744154.34</v>
          </cell>
          <cell r="E153">
            <v>814819.99</v>
          </cell>
          <cell r="F153">
            <v>7457116.5794999991</v>
          </cell>
          <cell r="G153">
            <v>10504364.202400001</v>
          </cell>
          <cell r="M153">
            <v>49061.13</v>
          </cell>
          <cell r="V153">
            <v>153</v>
          </cell>
        </row>
        <row r="154">
          <cell r="B154">
            <v>33600</v>
          </cell>
          <cell r="C154" t="str">
            <v>Gaston County Schools</v>
          </cell>
          <cell r="D154">
            <v>132541224.41000038</v>
          </cell>
          <cell r="E154">
            <v>138243699.03999978</v>
          </cell>
          <cell r="F154">
            <v>1153602483.013</v>
          </cell>
          <cell r="G154">
            <v>1603241985.7174375</v>
          </cell>
          <cell r="M154">
            <v>8055759.8799999999</v>
          </cell>
          <cell r="V154">
            <v>154</v>
          </cell>
        </row>
        <row r="155">
          <cell r="B155">
            <v>33605</v>
          </cell>
          <cell r="C155" t="str">
            <v>Gaston College</v>
          </cell>
          <cell r="D155">
            <v>20628390.429999985</v>
          </cell>
          <cell r="E155">
            <v>21891172.329999983</v>
          </cell>
          <cell r="F155">
            <v>158200358.54609978</v>
          </cell>
          <cell r="G155">
            <v>213443448.58930016</v>
          </cell>
          <cell r="M155">
            <v>1278907.46</v>
          </cell>
          <cell r="V155">
            <v>155</v>
          </cell>
        </row>
        <row r="156">
          <cell r="B156">
            <v>33700</v>
          </cell>
          <cell r="C156" t="str">
            <v>Gates County Schools</v>
          </cell>
          <cell r="D156">
            <v>11002251.23000001</v>
          </cell>
          <cell r="E156">
            <v>10624542.059999999</v>
          </cell>
          <cell r="F156">
            <v>90149223.248599991</v>
          </cell>
          <cell r="G156">
            <v>113746970.07750002</v>
          </cell>
          <cell r="M156">
            <v>581800.07999999996</v>
          </cell>
          <cell r="V156">
            <v>156</v>
          </cell>
        </row>
        <row r="157">
          <cell r="B157">
            <v>33800</v>
          </cell>
          <cell r="C157" t="str">
            <v>Graham County Schools</v>
          </cell>
          <cell r="D157">
            <v>7488526.8900000053</v>
          </cell>
          <cell r="E157">
            <v>7657986.129999998</v>
          </cell>
          <cell r="F157">
            <v>63136367.960599981</v>
          </cell>
          <cell r="G157">
            <v>86004421.076900065</v>
          </cell>
          <cell r="M157">
            <v>448022.58999999997</v>
          </cell>
          <cell r="V157">
            <v>157</v>
          </cell>
        </row>
        <row r="158">
          <cell r="B158">
            <v>33900</v>
          </cell>
          <cell r="C158" t="str">
            <v>Granville County Schools And Oxford Orphanage</v>
          </cell>
          <cell r="D158">
            <v>38842735.289999992</v>
          </cell>
          <cell r="E158">
            <v>40592529.850000031</v>
          </cell>
          <cell r="F158">
            <v>330042793.80299991</v>
          </cell>
          <cell r="G158">
            <v>448699530.14413673</v>
          </cell>
          <cell r="M158">
            <v>2321466.9900000002</v>
          </cell>
          <cell r="V158">
            <v>158</v>
          </cell>
        </row>
        <row r="159">
          <cell r="B159">
            <v>34000</v>
          </cell>
          <cell r="C159" t="str">
            <v>Greene County Schools</v>
          </cell>
          <cell r="D159">
            <v>16898888.390000001</v>
          </cell>
          <cell r="E159">
            <v>16688110.669999991</v>
          </cell>
          <cell r="F159">
            <v>150543233.05450007</v>
          </cell>
          <cell r="G159">
            <v>195735824.92934257</v>
          </cell>
          <cell r="M159">
            <v>961712.79</v>
          </cell>
          <cell r="V159">
            <v>159</v>
          </cell>
        </row>
        <row r="160">
          <cell r="B160">
            <v>34100</v>
          </cell>
          <cell r="C160" t="str">
            <v>Guilford County Schools</v>
          </cell>
          <cell r="D160">
            <v>380089037.70000285</v>
          </cell>
          <cell r="E160">
            <v>379271646.59000385</v>
          </cell>
          <cell r="F160">
            <v>3367191402.8343058</v>
          </cell>
          <cell r="G160">
            <v>4441086748.0954542</v>
          </cell>
          <cell r="M160">
            <v>21659015.900000002</v>
          </cell>
          <cell r="V160">
            <v>160</v>
          </cell>
        </row>
        <row r="161">
          <cell r="B161">
            <v>34105</v>
          </cell>
          <cell r="C161" t="str">
            <v>Guilford Technical Community College</v>
          </cell>
          <cell r="D161">
            <v>35681492.379999988</v>
          </cell>
          <cell r="E161">
            <v>35328585.719999991</v>
          </cell>
          <cell r="F161">
            <v>291489891.90259999</v>
          </cell>
          <cell r="G161">
            <v>372585535.59367543</v>
          </cell>
          <cell r="M161">
            <v>2032892.2400000002</v>
          </cell>
          <cell r="V161">
            <v>161</v>
          </cell>
        </row>
        <row r="162">
          <cell r="B162">
            <v>34200</v>
          </cell>
          <cell r="C162" t="str">
            <v>Halifax County Schools</v>
          </cell>
          <cell r="D162">
            <v>18791556.239999983</v>
          </cell>
          <cell r="E162">
            <v>16579502.449999988</v>
          </cell>
          <cell r="F162">
            <v>148167777.89740002</v>
          </cell>
          <cell r="G162">
            <v>170585589.21027422</v>
          </cell>
          <cell r="M162">
            <v>895134.38</v>
          </cell>
          <cell r="V162">
            <v>162</v>
          </cell>
        </row>
        <row r="163">
          <cell r="B163">
            <v>34205</v>
          </cell>
          <cell r="C163" t="str">
            <v>Halifax Community College</v>
          </cell>
          <cell r="D163">
            <v>7243825.2300000023</v>
          </cell>
          <cell r="E163">
            <v>7032339.1499999976</v>
          </cell>
          <cell r="F163">
            <v>53943092.6435</v>
          </cell>
          <cell r="G163">
            <v>69599223.944643199</v>
          </cell>
          <cell r="M163">
            <v>398210.05</v>
          </cell>
          <cell r="V163">
            <v>163</v>
          </cell>
        </row>
        <row r="164">
          <cell r="B164">
            <v>34220</v>
          </cell>
          <cell r="C164" t="str">
            <v>Roanoke Rapids City Schools</v>
          </cell>
          <cell r="D164">
            <v>14949699.830000006</v>
          </cell>
          <cell r="E164">
            <v>15110977.050000003</v>
          </cell>
          <cell r="F164">
            <v>118429909.89819995</v>
          </cell>
          <cell r="G164">
            <v>155206534.69359991</v>
          </cell>
          <cell r="M164">
            <v>875993.44</v>
          </cell>
          <cell r="V164">
            <v>164</v>
          </cell>
        </row>
        <row r="165">
          <cell r="B165">
            <v>34230</v>
          </cell>
          <cell r="C165" t="str">
            <v>Weldon City Schools</v>
          </cell>
          <cell r="D165">
            <v>6700183.9900000012</v>
          </cell>
          <cell r="E165">
            <v>6807248.9900000021</v>
          </cell>
          <cell r="F165">
            <v>55045539.019500002</v>
          </cell>
          <cell r="G165">
            <v>73076508.394220456</v>
          </cell>
          <cell r="M165">
            <v>383407.63</v>
          </cell>
          <cell r="V165">
            <v>165</v>
          </cell>
        </row>
        <row r="166">
          <cell r="B166">
            <v>34300</v>
          </cell>
          <cell r="C166" t="str">
            <v>Harnett County Schools</v>
          </cell>
          <cell r="D166">
            <v>87666995.99999994</v>
          </cell>
          <cell r="E166">
            <v>88020095.33999981</v>
          </cell>
          <cell r="F166">
            <v>790961804.42079854</v>
          </cell>
          <cell r="G166">
            <v>1049072210.1307783</v>
          </cell>
          <cell r="M166">
            <v>5145791.63</v>
          </cell>
          <cell r="V166">
            <v>166</v>
          </cell>
        </row>
        <row r="167">
          <cell r="B167">
            <v>34400</v>
          </cell>
          <cell r="C167" t="str">
            <v>Haywood County Schools</v>
          </cell>
          <cell r="D167">
            <v>37703209.599999957</v>
          </cell>
          <cell r="E167">
            <v>38324638.400000051</v>
          </cell>
          <cell r="F167">
            <v>330333674.88579983</v>
          </cell>
          <cell r="G167">
            <v>445321897.43584991</v>
          </cell>
          <cell r="M167">
            <v>2200991.9500000002</v>
          </cell>
          <cell r="V167">
            <v>167</v>
          </cell>
        </row>
        <row r="168">
          <cell r="B168">
            <v>34405</v>
          </cell>
          <cell r="C168" t="str">
            <v>Haywood Technical College</v>
          </cell>
          <cell r="D168">
            <v>7796539.9800000051</v>
          </cell>
          <cell r="E168">
            <v>8141265.6999999993</v>
          </cell>
          <cell r="F168">
            <v>67443710.810500026</v>
          </cell>
          <cell r="G168">
            <v>93311472.113350034</v>
          </cell>
          <cell r="M168">
            <v>470881.04</v>
          </cell>
          <cell r="V168">
            <v>168</v>
          </cell>
        </row>
        <row r="169">
          <cell r="B169">
            <v>34500</v>
          </cell>
          <cell r="C169" t="str">
            <v>Henderson County Schools</v>
          </cell>
          <cell r="D169">
            <v>65171651.7999999</v>
          </cell>
          <cell r="E169">
            <v>66754769.790000111</v>
          </cell>
          <cell r="F169">
            <v>561355987.82840014</v>
          </cell>
          <cell r="G169">
            <v>765261550.13365066</v>
          </cell>
          <cell r="M169">
            <v>3820570.3299999996</v>
          </cell>
          <cell r="V169">
            <v>169</v>
          </cell>
        </row>
        <row r="170">
          <cell r="B170">
            <v>34501</v>
          </cell>
          <cell r="C170" t="str">
            <v>Mountain Community School</v>
          </cell>
          <cell r="D170">
            <v>804887.60000000009</v>
          </cell>
          <cell r="E170">
            <v>756108.58000000007</v>
          </cell>
          <cell r="F170">
            <v>7235431.0033</v>
          </cell>
          <cell r="G170">
            <v>8785160.5747999996</v>
          </cell>
          <cell r="M170">
            <v>43751.279999999992</v>
          </cell>
          <cell r="V170">
            <v>170</v>
          </cell>
        </row>
        <row r="171">
          <cell r="B171">
            <v>34505</v>
          </cell>
          <cell r="C171" t="str">
            <v>Blue Ridge Community College</v>
          </cell>
          <cell r="D171">
            <v>9196687.3600000031</v>
          </cell>
          <cell r="E171">
            <v>9672640.7699999996</v>
          </cell>
          <cell r="F171">
            <v>69681023.913699985</v>
          </cell>
          <cell r="G171">
            <v>94589426.762144983</v>
          </cell>
          <cell r="M171">
            <v>550374.14999999991</v>
          </cell>
          <cell r="V171">
            <v>171</v>
          </cell>
        </row>
        <row r="172">
          <cell r="B172">
            <v>34600</v>
          </cell>
          <cell r="C172" t="str">
            <v>Hertford County Schools</v>
          </cell>
          <cell r="D172">
            <v>16989970.689999994</v>
          </cell>
          <cell r="E172">
            <v>16910461.929999992</v>
          </cell>
          <cell r="F172">
            <v>137730573.17679998</v>
          </cell>
          <cell r="G172">
            <v>180240834.44930002</v>
          </cell>
          <cell r="M172">
            <v>969396.17</v>
          </cell>
          <cell r="V172">
            <v>172</v>
          </cell>
        </row>
        <row r="173">
          <cell r="B173">
            <v>34605</v>
          </cell>
          <cell r="C173" t="str">
            <v>Roanoke-Chowan Community College</v>
          </cell>
          <cell r="D173">
            <v>3903033.63</v>
          </cell>
          <cell r="E173">
            <v>4201772.21</v>
          </cell>
          <cell r="F173">
            <v>29988984.926500004</v>
          </cell>
          <cell r="G173">
            <v>42171665.991499998</v>
          </cell>
          <cell r="M173">
            <v>241490.59</v>
          </cell>
          <cell r="V173">
            <v>173</v>
          </cell>
        </row>
        <row r="174">
          <cell r="B174">
            <v>34700</v>
          </cell>
          <cell r="C174" t="str">
            <v>Hoke County Schools</v>
          </cell>
          <cell r="D174">
            <v>38046585.169999994</v>
          </cell>
          <cell r="E174">
            <v>39591307.19000005</v>
          </cell>
          <cell r="F174">
            <v>355386227.61370003</v>
          </cell>
          <cell r="G174">
            <v>502347260.23419255</v>
          </cell>
          <cell r="M174">
            <v>2283360.0299999998</v>
          </cell>
          <cell r="V174">
            <v>174</v>
          </cell>
        </row>
        <row r="175">
          <cell r="B175">
            <v>34800</v>
          </cell>
          <cell r="C175" t="str">
            <v>Hyde County Schools</v>
          </cell>
          <cell r="D175">
            <v>4912898.5600000024</v>
          </cell>
          <cell r="E175">
            <v>5121679.4700000016</v>
          </cell>
          <cell r="F175">
            <v>36137845.977499999</v>
          </cell>
          <cell r="G175">
            <v>51423047.80969999</v>
          </cell>
          <cell r="M175">
            <v>302836.2</v>
          </cell>
          <cell r="V175">
            <v>175</v>
          </cell>
        </row>
        <row r="176">
          <cell r="B176">
            <v>34900</v>
          </cell>
          <cell r="C176" t="str">
            <v>Iredell County Schools</v>
          </cell>
          <cell r="D176">
            <v>95953710.000000164</v>
          </cell>
          <cell r="E176">
            <v>96933813.520000041</v>
          </cell>
          <cell r="F176">
            <v>827633809.60330069</v>
          </cell>
          <cell r="G176">
            <v>1094443212.7282977</v>
          </cell>
          <cell r="M176">
            <v>5516097.8100000005</v>
          </cell>
          <cell r="V176">
            <v>176</v>
          </cell>
        </row>
        <row r="177">
          <cell r="B177">
            <v>34901</v>
          </cell>
          <cell r="C177" t="str">
            <v>American Renaissance Middle School</v>
          </cell>
          <cell r="D177">
            <v>2047338.7399999998</v>
          </cell>
          <cell r="E177">
            <v>2162233.81</v>
          </cell>
          <cell r="F177">
            <v>19571119.108699996</v>
          </cell>
          <cell r="G177">
            <v>27909201.869599998</v>
          </cell>
          <cell r="M177">
            <v>122589.16000000002</v>
          </cell>
          <cell r="V177">
            <v>177</v>
          </cell>
        </row>
        <row r="178">
          <cell r="B178">
            <v>34903</v>
          </cell>
          <cell r="C178" t="str">
            <v>Success Institute</v>
          </cell>
          <cell r="D178">
            <v>295846.37</v>
          </cell>
          <cell r="E178">
            <v>241292.06</v>
          </cell>
          <cell r="F178">
            <v>1952862.3412000001</v>
          </cell>
          <cell r="G178">
            <v>1750220.3961999998</v>
          </cell>
          <cell r="M178">
            <v>15207.669999999998</v>
          </cell>
          <cell r="V178">
            <v>178</v>
          </cell>
        </row>
        <row r="179">
          <cell r="B179">
            <v>34905</v>
          </cell>
          <cell r="C179" t="str">
            <v>Mitchell Community College</v>
          </cell>
          <cell r="D179">
            <v>10861096.220000008</v>
          </cell>
          <cell r="E179">
            <v>10185169.599999998</v>
          </cell>
          <cell r="F179">
            <v>88254760.301699966</v>
          </cell>
          <cell r="G179">
            <v>110145218.94029997</v>
          </cell>
          <cell r="M179">
            <v>574849.68999999994</v>
          </cell>
          <cell r="V179">
            <v>179</v>
          </cell>
        </row>
        <row r="180">
          <cell r="B180">
            <v>34910</v>
          </cell>
          <cell r="C180" t="str">
            <v>Mooresville City Schools</v>
          </cell>
          <cell r="D180">
            <v>27815335.029999979</v>
          </cell>
          <cell r="E180">
            <v>28760253.99000001</v>
          </cell>
          <cell r="F180">
            <v>249116192.37790003</v>
          </cell>
          <cell r="G180">
            <v>344826539.49079365</v>
          </cell>
          <cell r="M180">
            <v>1663838.31</v>
          </cell>
          <cell r="V180">
            <v>180</v>
          </cell>
        </row>
        <row r="181">
          <cell r="B181">
            <v>35000</v>
          </cell>
          <cell r="C181" t="str">
            <v>Jackson County Schools</v>
          </cell>
          <cell r="D181">
            <v>18809247.109999999</v>
          </cell>
          <cell r="E181">
            <v>18923949.79000001</v>
          </cell>
          <cell r="F181">
            <v>165578477.62439996</v>
          </cell>
          <cell r="G181">
            <v>221604541.90329152</v>
          </cell>
          <cell r="M181">
            <v>1123383.75</v>
          </cell>
          <cell r="V181">
            <v>181</v>
          </cell>
        </row>
        <row r="182">
          <cell r="B182">
            <v>35005</v>
          </cell>
          <cell r="C182" t="str">
            <v>Southwestern Community College</v>
          </cell>
          <cell r="D182">
            <v>9040718.5099999942</v>
          </cell>
          <cell r="E182">
            <v>9473854.3199999947</v>
          </cell>
          <cell r="F182">
            <v>76549898.889899999</v>
          </cell>
          <cell r="G182">
            <v>104446843.56925759</v>
          </cell>
          <cell r="M182">
            <v>546952.01</v>
          </cell>
          <cell r="V182">
            <v>182</v>
          </cell>
        </row>
        <row r="183">
          <cell r="B183">
            <v>35100</v>
          </cell>
          <cell r="C183" t="str">
            <v>Johnston County Schools</v>
          </cell>
          <cell r="D183">
            <v>155746591.00000027</v>
          </cell>
          <cell r="E183">
            <v>160761230.99999928</v>
          </cell>
          <cell r="F183">
            <v>1419794838.4342992</v>
          </cell>
          <cell r="G183">
            <v>1943610128.088058</v>
          </cell>
          <cell r="M183">
            <v>9279436.1999999993</v>
          </cell>
          <cell r="V183">
            <v>183</v>
          </cell>
        </row>
        <row r="184">
          <cell r="B184">
            <v>35105</v>
          </cell>
          <cell r="C184" t="str">
            <v>Johnston Technical College</v>
          </cell>
          <cell r="D184">
            <v>14689301.380000019</v>
          </cell>
          <cell r="E184">
            <v>15728539.479999999</v>
          </cell>
          <cell r="F184">
            <v>130060784.8611999</v>
          </cell>
          <cell r="G184">
            <v>180913688.44229022</v>
          </cell>
          <cell r="M184">
            <v>887406.2100000002</v>
          </cell>
          <cell r="V184">
            <v>184</v>
          </cell>
        </row>
        <row r="185">
          <cell r="B185">
            <v>35106</v>
          </cell>
          <cell r="C185" t="str">
            <v>Neuse Charter School</v>
          </cell>
          <cell r="D185">
            <v>2897664.0999999996</v>
          </cell>
          <cell r="E185">
            <v>3395559.830000001</v>
          </cell>
          <cell r="F185">
            <v>29906751.935900003</v>
          </cell>
          <cell r="G185">
            <v>45347219.3248</v>
          </cell>
          <cell r="M185">
            <v>191932.71</v>
          </cell>
          <cell r="V185">
            <v>185</v>
          </cell>
        </row>
        <row r="186">
          <cell r="B186">
            <v>35200</v>
          </cell>
          <cell r="C186" t="str">
            <v>Jones County Schools</v>
          </cell>
          <cell r="D186">
            <v>7932774.8499999987</v>
          </cell>
          <cell r="E186">
            <v>8278732.1899999976</v>
          </cell>
          <cell r="F186">
            <v>61090043.161999963</v>
          </cell>
          <cell r="G186">
            <v>83553045.66460003</v>
          </cell>
          <cell r="M186">
            <v>476656.06</v>
          </cell>
          <cell r="V186">
            <v>186</v>
          </cell>
        </row>
        <row r="187">
          <cell r="B187">
            <v>35300</v>
          </cell>
          <cell r="C187" t="str">
            <v>Sanford-Lee County Board Of Education</v>
          </cell>
          <cell r="D187">
            <v>46228675.499999963</v>
          </cell>
          <cell r="E187">
            <v>47527684.359999925</v>
          </cell>
          <cell r="F187">
            <v>405789074.6906001</v>
          </cell>
          <cell r="G187">
            <v>569720738.94249952</v>
          </cell>
          <cell r="M187">
            <v>2829384.72</v>
          </cell>
          <cell r="V187">
            <v>187</v>
          </cell>
        </row>
        <row r="188">
          <cell r="B188">
            <v>35305</v>
          </cell>
          <cell r="C188" t="str">
            <v>Central Carolina Community College</v>
          </cell>
          <cell r="D188">
            <v>17606707.239999987</v>
          </cell>
          <cell r="E188">
            <v>18830477.289999992</v>
          </cell>
          <cell r="F188">
            <v>147185182.02880001</v>
          </cell>
          <cell r="G188">
            <v>214516259.31055698</v>
          </cell>
          <cell r="M188">
            <v>1121723.2100000002</v>
          </cell>
          <cell r="V188">
            <v>188</v>
          </cell>
        </row>
        <row r="189">
          <cell r="B189">
            <v>35400</v>
          </cell>
          <cell r="C189" t="str">
            <v>Lenoir County Schools</v>
          </cell>
          <cell r="D189">
            <v>41247451.629999936</v>
          </cell>
          <cell r="E189">
            <v>41850396.309999958</v>
          </cell>
          <cell r="F189">
            <v>341011721.65120065</v>
          </cell>
          <cell r="G189">
            <v>455841642.2640931</v>
          </cell>
          <cell r="M189">
            <v>2417648.89</v>
          </cell>
          <cell r="V189">
            <v>189</v>
          </cell>
        </row>
        <row r="190">
          <cell r="B190">
            <v>35401</v>
          </cell>
          <cell r="C190" t="str">
            <v>Childrens Village Academy</v>
          </cell>
          <cell r="D190">
            <v>371769.55</v>
          </cell>
          <cell r="E190">
            <v>344520.31</v>
          </cell>
          <cell r="F190">
            <v>3208962.2691000002</v>
          </cell>
          <cell r="G190">
            <v>4197896.2397000007</v>
          </cell>
          <cell r="M190">
            <v>22698.78</v>
          </cell>
          <cell r="V190">
            <v>190</v>
          </cell>
        </row>
        <row r="191">
          <cell r="B191">
            <v>35405</v>
          </cell>
          <cell r="C191" t="str">
            <v>Lenoir County Community College</v>
          </cell>
          <cell r="D191">
            <v>13499277.029999997</v>
          </cell>
          <cell r="E191">
            <v>14071193.000000006</v>
          </cell>
          <cell r="F191">
            <v>112003256.63830002</v>
          </cell>
          <cell r="G191">
            <v>158082423.65269998</v>
          </cell>
          <cell r="M191">
            <v>816379.52</v>
          </cell>
          <cell r="V191">
            <v>191</v>
          </cell>
        </row>
        <row r="192">
          <cell r="B192">
            <v>35500</v>
          </cell>
          <cell r="C192" t="str">
            <v>Lincoln County Schools</v>
          </cell>
          <cell r="D192">
            <v>54233858.759999864</v>
          </cell>
          <cell r="E192">
            <v>55798882.090000018</v>
          </cell>
          <cell r="F192">
            <v>481781308.9702996</v>
          </cell>
          <cell r="G192">
            <v>649863438.98545659</v>
          </cell>
          <cell r="M192">
            <v>3177916.0800000005</v>
          </cell>
          <cell r="V192">
            <v>192</v>
          </cell>
        </row>
        <row r="193">
          <cell r="B193">
            <v>35600</v>
          </cell>
          <cell r="C193" t="str">
            <v>Macon County Schools</v>
          </cell>
          <cell r="D193">
            <v>22146187.539999947</v>
          </cell>
          <cell r="E193">
            <v>22403744.750000019</v>
          </cell>
          <cell r="F193">
            <v>187976347.73040006</v>
          </cell>
          <cell r="G193">
            <v>249039963.56705093</v>
          </cell>
          <cell r="M193">
            <v>1305102.3500000003</v>
          </cell>
          <cell r="V193">
            <v>193</v>
          </cell>
        </row>
        <row r="194">
          <cell r="B194">
            <v>35700</v>
          </cell>
          <cell r="C194" t="str">
            <v>Madison County Schools</v>
          </cell>
          <cell r="D194">
            <v>12825790.349999998</v>
          </cell>
          <cell r="E194">
            <v>12609939.180000005</v>
          </cell>
          <cell r="F194">
            <v>111991217.40370001</v>
          </cell>
          <cell r="G194">
            <v>140294928.03499994</v>
          </cell>
          <cell r="M194">
            <v>740681.17</v>
          </cell>
          <cell r="V194">
            <v>194</v>
          </cell>
        </row>
        <row r="195">
          <cell r="B195">
            <v>35800</v>
          </cell>
          <cell r="C195" t="str">
            <v>Martin County Schools</v>
          </cell>
          <cell r="D195">
            <v>20140409.27</v>
          </cell>
          <cell r="E195">
            <v>19721483.920000002</v>
          </cell>
          <cell r="F195">
            <v>158297787.06939995</v>
          </cell>
          <cell r="G195">
            <v>202087906.11369976</v>
          </cell>
          <cell r="M195">
            <v>1132700.52</v>
          </cell>
          <cell r="V195">
            <v>195</v>
          </cell>
        </row>
        <row r="196">
          <cell r="B196">
            <v>35805</v>
          </cell>
          <cell r="C196" t="str">
            <v>Martin Community College</v>
          </cell>
          <cell r="D196">
            <v>3054730.0500000007</v>
          </cell>
          <cell r="E196">
            <v>3495280.6200000006</v>
          </cell>
          <cell r="F196">
            <v>23109713.635900009</v>
          </cell>
          <cell r="G196">
            <v>31612496.356900003</v>
          </cell>
          <cell r="M196">
            <v>210359.18</v>
          </cell>
          <cell r="V196">
            <v>196</v>
          </cell>
        </row>
        <row r="197">
          <cell r="B197">
            <v>35900</v>
          </cell>
          <cell r="C197" t="str">
            <v>Mcdowell County Schools</v>
          </cell>
          <cell r="D197">
            <v>32296410.949999969</v>
          </cell>
          <cell r="E197">
            <v>33198038.550000027</v>
          </cell>
          <cell r="F197">
            <v>282897174.7049998</v>
          </cell>
          <cell r="G197">
            <v>379024722.38289273</v>
          </cell>
          <cell r="M197">
            <v>1899327.8199999998</v>
          </cell>
          <cell r="V197">
            <v>197</v>
          </cell>
        </row>
        <row r="198">
          <cell r="B198">
            <v>35905</v>
          </cell>
          <cell r="C198" t="str">
            <v>Mcdowell Technical College</v>
          </cell>
          <cell r="D198">
            <v>5550163.2800000012</v>
          </cell>
          <cell r="E198">
            <v>5626005.3199999994</v>
          </cell>
          <cell r="F198">
            <v>40331169.474400021</v>
          </cell>
          <cell r="G198">
            <v>49838384.816099986</v>
          </cell>
          <cell r="M198">
            <v>326862.16000000003</v>
          </cell>
          <cell r="V198">
            <v>198</v>
          </cell>
        </row>
        <row r="199">
          <cell r="B199">
            <v>36000</v>
          </cell>
          <cell r="C199" t="str">
            <v>Charlotte-Mecklenburg County Schools</v>
          </cell>
          <cell r="D199">
            <v>681625731.35000134</v>
          </cell>
          <cell r="E199">
            <v>714265233.25000679</v>
          </cell>
          <cell r="F199">
            <v>6344928233.2403946</v>
          </cell>
          <cell r="G199">
            <v>8895219968.9437866</v>
          </cell>
          <cell r="M199">
            <v>41564996.18</v>
          </cell>
          <cell r="V199">
            <v>199</v>
          </cell>
        </row>
        <row r="200">
          <cell r="B200">
            <v>36001</v>
          </cell>
          <cell r="C200" t="str">
            <v>Community Charter School</v>
          </cell>
          <cell r="D200">
            <v>372417.35</v>
          </cell>
          <cell r="E200">
            <v>353785.51</v>
          </cell>
          <cell r="F200">
            <v>3595364.1063999999</v>
          </cell>
          <cell r="G200">
            <v>4542279.4012000002</v>
          </cell>
          <cell r="M200">
            <v>20743.060000000001</v>
          </cell>
          <cell r="V200">
            <v>200</v>
          </cell>
        </row>
        <row r="201">
          <cell r="B201">
            <v>36002</v>
          </cell>
          <cell r="C201" t="str">
            <v>Kennedy Charter</v>
          </cell>
          <cell r="D201">
            <v>2425078.2400000002</v>
          </cell>
          <cell r="E201">
            <v>1857050.5799999996</v>
          </cell>
          <cell r="F201">
            <v>25196002.790000003</v>
          </cell>
          <cell r="G201">
            <v>24992530.963199999</v>
          </cell>
          <cell r="M201">
            <v>100328.58999999998</v>
          </cell>
          <cell r="V201">
            <v>201</v>
          </cell>
        </row>
        <row r="202">
          <cell r="B202">
            <v>36003</v>
          </cell>
          <cell r="C202" t="str">
            <v>Community School Of Davidson</v>
          </cell>
          <cell r="D202">
            <v>4658513.9599999981</v>
          </cell>
          <cell r="E202">
            <v>4819997.4300000006</v>
          </cell>
          <cell r="F202">
            <v>48379237.402099974</v>
          </cell>
          <cell r="G202">
            <v>66010446.137750059</v>
          </cell>
          <cell r="M202">
            <v>279634.84000000003</v>
          </cell>
          <cell r="V202">
            <v>202</v>
          </cell>
        </row>
        <row r="203">
          <cell r="B203">
            <v>36004</v>
          </cell>
          <cell r="C203" t="str">
            <v>Corvian Community School</v>
          </cell>
          <cell r="D203">
            <v>1786867.3900000006</v>
          </cell>
          <cell r="E203">
            <v>2255330.2499999995</v>
          </cell>
          <cell r="F203">
            <v>19739524.042199999</v>
          </cell>
          <cell r="G203">
            <v>33599579.738799989</v>
          </cell>
          <cell r="M203">
            <v>131096.16999999998</v>
          </cell>
          <cell r="V203">
            <v>203</v>
          </cell>
        </row>
        <row r="204">
          <cell r="B204">
            <v>36005</v>
          </cell>
          <cell r="C204" t="str">
            <v>Central Piedmont Community College</v>
          </cell>
          <cell r="D204">
            <v>65165142.030000031</v>
          </cell>
          <cell r="E204">
            <v>69143334.120000049</v>
          </cell>
          <cell r="F204">
            <v>531054589.96099967</v>
          </cell>
          <cell r="G204">
            <v>756899607.51857007</v>
          </cell>
          <cell r="M204">
            <v>4000939.22</v>
          </cell>
          <cell r="V204">
            <v>204</v>
          </cell>
        </row>
        <row r="205">
          <cell r="B205">
            <v>36006</v>
          </cell>
          <cell r="C205" t="str">
            <v>Lake Norman Charter School</v>
          </cell>
          <cell r="D205">
            <v>5823841.2600000016</v>
          </cell>
          <cell r="E205">
            <v>6132666.4799999995</v>
          </cell>
          <cell r="F205">
            <v>60069189.214000031</v>
          </cell>
          <cell r="G205">
            <v>82296269.40169999</v>
          </cell>
          <cell r="M205">
            <v>351875.18</v>
          </cell>
          <cell r="V205">
            <v>205</v>
          </cell>
        </row>
        <row r="206">
          <cell r="B206">
            <v>36007</v>
          </cell>
          <cell r="C206" t="str">
            <v>Socrates Academy</v>
          </cell>
          <cell r="D206">
            <v>2071786.96</v>
          </cell>
          <cell r="E206">
            <v>2123885.6199999996</v>
          </cell>
          <cell r="F206">
            <v>20947455.407699998</v>
          </cell>
          <cell r="G206">
            <v>27996668.607399989</v>
          </cell>
          <cell r="M206">
            <v>124428.83</v>
          </cell>
          <cell r="V206">
            <v>206</v>
          </cell>
        </row>
        <row r="207">
          <cell r="B207">
            <v>36008</v>
          </cell>
          <cell r="C207" t="str">
            <v>Pine Lake Prep Charter</v>
          </cell>
          <cell r="D207">
            <v>5639232.1999999993</v>
          </cell>
          <cell r="E207">
            <v>5994908.870000002</v>
          </cell>
          <cell r="F207">
            <v>61533643.993499979</v>
          </cell>
          <cell r="G207">
            <v>87251733.359599978</v>
          </cell>
          <cell r="M207">
            <v>336740.07999999996</v>
          </cell>
          <cell r="V207">
            <v>207</v>
          </cell>
        </row>
        <row r="208">
          <cell r="B208">
            <v>36009</v>
          </cell>
          <cell r="C208" t="str">
            <v>Charlotte Secondary Charter</v>
          </cell>
          <cell r="D208">
            <v>1668773.7199999997</v>
          </cell>
          <cell r="E208">
            <v>1841895.1</v>
          </cell>
          <cell r="F208">
            <v>16918037.484999999</v>
          </cell>
          <cell r="G208">
            <v>27122899.102750003</v>
          </cell>
          <cell r="M208">
            <v>110076.58</v>
          </cell>
          <cell r="V208">
            <v>208</v>
          </cell>
        </row>
        <row r="209">
          <cell r="B209">
            <v>36100</v>
          </cell>
          <cell r="C209" t="str">
            <v>Mitchell County Schools</v>
          </cell>
          <cell r="D209">
            <v>10832002.170000002</v>
          </cell>
          <cell r="E209">
            <v>10989867.26999999</v>
          </cell>
          <cell r="F209">
            <v>87150476.48909995</v>
          </cell>
          <cell r="G209">
            <v>114527189.78119996</v>
          </cell>
          <cell r="M209">
            <v>628618.34</v>
          </cell>
          <cell r="V209">
            <v>209</v>
          </cell>
        </row>
        <row r="210">
          <cell r="B210">
            <v>36102</v>
          </cell>
          <cell r="C210" t="str">
            <v>Kipp Charlotte Charter</v>
          </cell>
          <cell r="D210">
            <v>1482553.2</v>
          </cell>
          <cell r="E210">
            <v>1834403.22</v>
          </cell>
          <cell r="F210">
            <v>16364264.1558</v>
          </cell>
          <cell r="G210">
            <v>27713089.4113</v>
          </cell>
          <cell r="M210">
            <v>102156.22</v>
          </cell>
          <cell r="V210">
            <v>210</v>
          </cell>
        </row>
        <row r="211">
          <cell r="B211">
            <v>36105</v>
          </cell>
          <cell r="C211" t="str">
            <v>Mayland Technical College</v>
          </cell>
          <cell r="D211">
            <v>6093298.2900000019</v>
          </cell>
          <cell r="E211">
            <v>5969869.6899999995</v>
          </cell>
          <cell r="F211">
            <v>45558500.696099989</v>
          </cell>
          <cell r="G211">
            <v>58669980.106100015</v>
          </cell>
          <cell r="M211">
            <v>351269.18999999994</v>
          </cell>
          <cell r="V211">
            <v>211</v>
          </cell>
        </row>
        <row r="212">
          <cell r="B212">
            <v>36200</v>
          </cell>
          <cell r="C212" t="str">
            <v>Montgomery County Schools</v>
          </cell>
          <cell r="D212">
            <v>21942123.84</v>
          </cell>
          <cell r="E212">
            <v>22195620.610000007</v>
          </cell>
          <cell r="F212">
            <v>172980741.7345998</v>
          </cell>
          <cell r="G212">
            <v>235217459.57333708</v>
          </cell>
          <cell r="M212">
            <v>1280053.18</v>
          </cell>
          <cell r="V212">
            <v>212</v>
          </cell>
        </row>
        <row r="213">
          <cell r="B213">
            <v>36205</v>
          </cell>
          <cell r="C213" t="str">
            <v>Montgomery Community College</v>
          </cell>
          <cell r="D213">
            <v>3841057.79</v>
          </cell>
          <cell r="E213">
            <v>3891820.2999999989</v>
          </cell>
          <cell r="F213">
            <v>30920111.273899991</v>
          </cell>
          <cell r="G213">
            <v>41496389.026300006</v>
          </cell>
          <cell r="M213">
            <v>223448.52</v>
          </cell>
          <cell r="V213">
            <v>213</v>
          </cell>
        </row>
        <row r="214">
          <cell r="B214">
            <v>36300</v>
          </cell>
          <cell r="C214" t="str">
            <v>Moore County Schools</v>
          </cell>
          <cell r="D214">
            <v>62785133.499999993</v>
          </cell>
          <cell r="E214">
            <v>65112504.539999925</v>
          </cell>
          <cell r="F214">
            <v>539842785.9162997</v>
          </cell>
          <cell r="G214">
            <v>743835092.31826484</v>
          </cell>
          <cell r="M214">
            <v>3827040.9699999993</v>
          </cell>
          <cell r="V214">
            <v>214</v>
          </cell>
        </row>
        <row r="215">
          <cell r="B215">
            <v>36301</v>
          </cell>
          <cell r="C215" t="str">
            <v>Academy Of Moore County</v>
          </cell>
          <cell r="D215">
            <v>648816.75</v>
          </cell>
          <cell r="E215">
            <v>726906.58000000007</v>
          </cell>
          <cell r="F215">
            <v>5795161.1009999998</v>
          </cell>
          <cell r="G215">
            <v>9600362.6270000003</v>
          </cell>
          <cell r="M215">
            <v>40808.53</v>
          </cell>
          <cell r="V215">
            <v>215</v>
          </cell>
        </row>
        <row r="216">
          <cell r="B216">
            <v>36302</v>
          </cell>
          <cell r="C216" t="str">
            <v>Stars Charter School</v>
          </cell>
          <cell r="D216">
            <v>1398097.9100000001</v>
          </cell>
          <cell r="E216">
            <v>1436669.5200000003</v>
          </cell>
          <cell r="F216">
            <v>13425178.953499999</v>
          </cell>
          <cell r="G216">
            <v>18896299.531399991</v>
          </cell>
          <cell r="M216">
            <v>81262.929999999993</v>
          </cell>
          <cell r="V216">
            <v>216</v>
          </cell>
        </row>
        <row r="217">
          <cell r="B217">
            <v>36305</v>
          </cell>
          <cell r="C217" t="str">
            <v>Sandhills Community College</v>
          </cell>
          <cell r="D217">
            <v>14337065.23</v>
          </cell>
          <cell r="E217">
            <v>14893977.860000012</v>
          </cell>
          <cell r="F217">
            <v>107568019.03640008</v>
          </cell>
          <cell r="G217">
            <v>149767204.85058302</v>
          </cell>
          <cell r="M217">
            <v>853154.71000000008</v>
          </cell>
          <cell r="V217">
            <v>217</v>
          </cell>
        </row>
        <row r="218">
          <cell r="B218">
            <v>36400</v>
          </cell>
          <cell r="C218" t="str">
            <v>Nash-Rocky Mount Schools</v>
          </cell>
          <cell r="D218">
            <v>72903363.039999947</v>
          </cell>
          <cell r="E218">
            <v>73556121.539999887</v>
          </cell>
          <cell r="F218">
            <v>597417872.85470033</v>
          </cell>
          <cell r="G218">
            <v>798178934.62570596</v>
          </cell>
          <cell r="M218">
            <v>4324194.4699999988</v>
          </cell>
          <cell r="V218">
            <v>218</v>
          </cell>
        </row>
        <row r="219">
          <cell r="B219">
            <v>36405</v>
          </cell>
          <cell r="C219" t="str">
            <v>Nash Technical College</v>
          </cell>
          <cell r="D219">
            <v>11692311.660000008</v>
          </cell>
          <cell r="E219">
            <v>12522920.060000004</v>
          </cell>
          <cell r="F219">
            <v>95025215.57510002</v>
          </cell>
          <cell r="G219">
            <v>135739117.66581658</v>
          </cell>
          <cell r="M219">
            <v>730429.57000000007</v>
          </cell>
          <cell r="V219">
            <v>219</v>
          </cell>
        </row>
        <row r="220">
          <cell r="B220">
            <v>36500</v>
          </cell>
          <cell r="C220" t="str">
            <v>New Hanover County Schools</v>
          </cell>
          <cell r="D220">
            <v>135092597.5099999</v>
          </cell>
          <cell r="E220">
            <v>137779977.63999993</v>
          </cell>
          <cell r="F220">
            <v>1152882798.6836998</v>
          </cell>
          <cell r="G220">
            <v>1576913735.8970599</v>
          </cell>
          <cell r="M220">
            <v>7912128.7299999995</v>
          </cell>
          <cell r="V220">
            <v>220</v>
          </cell>
        </row>
        <row r="221">
          <cell r="B221">
            <v>36501</v>
          </cell>
          <cell r="C221" t="str">
            <v>Cape Fear Center For Inquiry</v>
          </cell>
          <cell r="D221">
            <v>1583938.7699999998</v>
          </cell>
          <cell r="E221">
            <v>1499516.45</v>
          </cell>
          <cell r="F221">
            <v>14106043.319899995</v>
          </cell>
          <cell r="G221">
            <v>18846349.271299999</v>
          </cell>
          <cell r="M221">
            <v>85130.3</v>
          </cell>
          <cell r="V221">
            <v>221</v>
          </cell>
        </row>
        <row r="222">
          <cell r="B222">
            <v>36502</v>
          </cell>
          <cell r="C222" t="str">
            <v>Wilmington Preparatory Academy</v>
          </cell>
          <cell r="D222">
            <v>560379.66</v>
          </cell>
          <cell r="E222">
            <v>539505.5</v>
          </cell>
          <cell r="F222">
            <v>5876054.9932999983</v>
          </cell>
          <cell r="G222">
            <v>7778712.3083000015</v>
          </cell>
          <cell r="M222">
            <v>31806.739999999994</v>
          </cell>
          <cell r="V222">
            <v>222</v>
          </cell>
        </row>
        <row r="223">
          <cell r="B223">
            <v>36505</v>
          </cell>
          <cell r="C223" t="str">
            <v>Cape Fear Community College</v>
          </cell>
          <cell r="D223">
            <v>28826965.719999984</v>
          </cell>
          <cell r="E223">
            <v>29087117.839999989</v>
          </cell>
          <cell r="F223">
            <v>236703345.02600005</v>
          </cell>
          <cell r="G223">
            <v>314693107.06327885</v>
          </cell>
          <cell r="M223">
            <v>1739101.93</v>
          </cell>
          <cell r="V223">
            <v>223</v>
          </cell>
        </row>
        <row r="224">
          <cell r="B224">
            <v>36600</v>
          </cell>
          <cell r="C224" t="str">
            <v>Northampton County Schools</v>
          </cell>
          <cell r="D224">
            <v>11823180.790000005</v>
          </cell>
          <cell r="E224">
            <v>11393591.629999992</v>
          </cell>
          <cell r="F224">
            <v>93567183.885199919</v>
          </cell>
          <cell r="G224">
            <v>116482565.12861156</v>
          </cell>
          <cell r="M224">
            <v>670916.19999999995</v>
          </cell>
          <cell r="V224">
            <v>224</v>
          </cell>
        </row>
        <row r="225">
          <cell r="B225">
            <v>36601</v>
          </cell>
          <cell r="C225" t="str">
            <v>Gaston College Preparatory Charter</v>
          </cell>
          <cell r="D225">
            <v>3706030.3400000003</v>
          </cell>
          <cell r="E225">
            <v>4426537.1399999978</v>
          </cell>
          <cell r="F225">
            <v>39304146.120499998</v>
          </cell>
          <cell r="G225">
            <v>62609065.780770883</v>
          </cell>
          <cell r="M225">
            <v>264305.57</v>
          </cell>
          <cell r="V225">
            <v>225</v>
          </cell>
        </row>
        <row r="226">
          <cell r="B226">
            <v>36700</v>
          </cell>
          <cell r="C226" t="str">
            <v>Onslow County Schools</v>
          </cell>
          <cell r="D226">
            <v>119711175.93999976</v>
          </cell>
          <cell r="E226">
            <v>117141754.23999991</v>
          </cell>
          <cell r="F226">
            <v>1047976760.6706997</v>
          </cell>
          <cell r="G226">
            <v>1363004321.263164</v>
          </cell>
          <cell r="M226">
            <v>6720931.9200000009</v>
          </cell>
          <cell r="V226">
            <v>226</v>
          </cell>
        </row>
        <row r="227">
          <cell r="B227">
            <v>36701</v>
          </cell>
          <cell r="C227" t="str">
            <v>Zeca School Of The Arts And Technology</v>
          </cell>
          <cell r="D227">
            <v>325087.43</v>
          </cell>
          <cell r="E227">
            <v>473452.91000000003</v>
          </cell>
          <cell r="F227">
            <v>3247661.4950000001</v>
          </cell>
          <cell r="G227">
            <v>6984671.1623</v>
          </cell>
          <cell r="M227">
            <v>26841.470000000005</v>
          </cell>
          <cell r="V227">
            <v>227</v>
          </cell>
        </row>
        <row r="228">
          <cell r="B228">
            <v>36705</v>
          </cell>
          <cell r="C228" t="str">
            <v>Coastal Carolina Community College</v>
          </cell>
          <cell r="D228">
            <v>13786702.849999988</v>
          </cell>
          <cell r="E228">
            <v>13842596.460000001</v>
          </cell>
          <cell r="F228">
            <v>118717728.37600003</v>
          </cell>
          <cell r="G228">
            <v>158358736.23645002</v>
          </cell>
          <cell r="M228">
            <v>826433.60999999987</v>
          </cell>
          <cell r="V228">
            <v>228</v>
          </cell>
        </row>
        <row r="229">
          <cell r="B229">
            <v>36800</v>
          </cell>
          <cell r="C229" t="str">
            <v>Orange County Schools</v>
          </cell>
          <cell r="D229">
            <v>43797069.859999955</v>
          </cell>
          <cell r="E229">
            <v>45896753.31000001</v>
          </cell>
          <cell r="F229">
            <v>369240434.89219964</v>
          </cell>
          <cell r="G229">
            <v>515808782.89304972</v>
          </cell>
          <cell r="M229">
            <v>2640320.61</v>
          </cell>
          <cell r="V229">
            <v>229</v>
          </cell>
        </row>
        <row r="230">
          <cell r="B230">
            <v>36802</v>
          </cell>
          <cell r="C230" t="str">
            <v>Orange Charter School</v>
          </cell>
          <cell r="D230">
            <v>1012131.9400000003</v>
          </cell>
          <cell r="E230">
            <v>1024131.2600000001</v>
          </cell>
          <cell r="F230">
            <v>10932912.840900004</v>
          </cell>
          <cell r="G230">
            <v>13835151.160499997</v>
          </cell>
          <cell r="M230">
            <v>54759.369999999995</v>
          </cell>
          <cell r="V230">
            <v>230</v>
          </cell>
        </row>
        <row r="231">
          <cell r="B231">
            <v>36810</v>
          </cell>
          <cell r="C231" t="str">
            <v>Chapel Hill - Carboro City Schools</v>
          </cell>
          <cell r="D231">
            <v>82091462.299999923</v>
          </cell>
          <cell r="E231">
            <v>85427898.969999939</v>
          </cell>
          <cell r="F231">
            <v>725648211.6998986</v>
          </cell>
          <cell r="G231">
            <v>1009278391.727854</v>
          </cell>
          <cell r="M231">
            <v>4839997.24</v>
          </cell>
          <cell r="V231">
            <v>231</v>
          </cell>
        </row>
        <row r="232">
          <cell r="B232">
            <v>36900</v>
          </cell>
          <cell r="C232" t="str">
            <v>Pamlico County Schools</v>
          </cell>
          <cell r="D232">
            <v>8276477.8999999985</v>
          </cell>
          <cell r="E232">
            <v>8727933.4099999983</v>
          </cell>
          <cell r="F232">
            <v>68860717.255400002</v>
          </cell>
          <cell r="G232">
            <v>96356129.171299979</v>
          </cell>
          <cell r="M232">
            <v>507007.10000000003</v>
          </cell>
          <cell r="V232">
            <v>232</v>
          </cell>
        </row>
        <row r="233">
          <cell r="B233">
            <v>36901</v>
          </cell>
          <cell r="C233" t="str">
            <v>Arapahoe Charter School</v>
          </cell>
          <cell r="D233">
            <v>2546730.4500000002</v>
          </cell>
          <cell r="E233">
            <v>2816867.1299999994</v>
          </cell>
          <cell r="F233">
            <v>22593282.805899989</v>
          </cell>
          <cell r="G233">
            <v>31532940.005000003</v>
          </cell>
          <cell r="M233">
            <v>166782.29</v>
          </cell>
          <cell r="V233">
            <v>233</v>
          </cell>
        </row>
        <row r="234">
          <cell r="B234">
            <v>36905</v>
          </cell>
          <cell r="C234" t="str">
            <v>Pamlico Community College</v>
          </cell>
          <cell r="D234">
            <v>3291835.7600000012</v>
          </cell>
          <cell r="E234">
            <v>3036657.6600000006</v>
          </cell>
          <cell r="F234">
            <v>24846593.831100002</v>
          </cell>
          <cell r="G234">
            <v>28863283.236099988</v>
          </cell>
          <cell r="M234">
            <v>183315.44</v>
          </cell>
          <cell r="V234">
            <v>234</v>
          </cell>
        </row>
        <row r="235">
          <cell r="B235">
            <v>37000</v>
          </cell>
          <cell r="C235" t="str">
            <v>Elizabeth City And Pasquotank County Schools</v>
          </cell>
          <cell r="D235">
            <v>28283915.580000017</v>
          </cell>
          <cell r="E235">
            <v>29918337.110000029</v>
          </cell>
          <cell r="F235">
            <v>235091392.97449979</v>
          </cell>
          <cell r="G235">
            <v>332757912.24252808</v>
          </cell>
          <cell r="M235">
            <v>1733528.52</v>
          </cell>
          <cell r="V235">
            <v>235</v>
          </cell>
        </row>
        <row r="236">
          <cell r="B236">
            <v>37001</v>
          </cell>
          <cell r="C236" t="str">
            <v>N.E. ACADEMY OF AEROSPACE &amp; ADV.TECH</v>
          </cell>
          <cell r="D236">
            <v>0</v>
          </cell>
          <cell r="E236">
            <v>343321.99000000005</v>
          </cell>
          <cell r="F236">
            <v>0</v>
          </cell>
          <cell r="G236">
            <v>5375081.3422999987</v>
          </cell>
          <cell r="M236">
            <v>29411.79</v>
          </cell>
          <cell r="V236">
            <v>236</v>
          </cell>
        </row>
        <row r="237">
          <cell r="B237">
            <v>37005</v>
          </cell>
          <cell r="C237" t="str">
            <v>College Of The Albemarle</v>
          </cell>
          <cell r="D237">
            <v>7947206.5199999996</v>
          </cell>
          <cell r="E237">
            <v>7770150.4700000007</v>
          </cell>
          <cell r="F237">
            <v>61645795.853700005</v>
          </cell>
          <cell r="G237">
            <v>78274982.212499976</v>
          </cell>
          <cell r="M237">
            <v>463201.9</v>
          </cell>
          <cell r="V237">
            <v>237</v>
          </cell>
        </row>
        <row r="238">
          <cell r="B238">
            <v>37100</v>
          </cell>
          <cell r="C238" t="str">
            <v>Pender County Schools</v>
          </cell>
          <cell r="D238">
            <v>38430995.06999997</v>
          </cell>
          <cell r="E238">
            <v>39904202.460000046</v>
          </cell>
          <cell r="F238">
            <v>336470444.75389999</v>
          </cell>
          <cell r="G238">
            <v>469086413.25363415</v>
          </cell>
          <cell r="M238">
            <v>2336761.85</v>
          </cell>
          <cell r="V238">
            <v>238</v>
          </cell>
        </row>
        <row r="239">
          <cell r="B239">
            <v>37200</v>
          </cell>
          <cell r="C239" t="str">
            <v>Perquimans County Schools</v>
          </cell>
          <cell r="D239">
            <v>9499604.230000006</v>
          </cell>
          <cell r="E239">
            <v>9714594.7999999952</v>
          </cell>
          <cell r="F239">
            <v>79215399.174700037</v>
          </cell>
          <cell r="G239">
            <v>106077821.91629998</v>
          </cell>
          <cell r="M239">
            <v>567620.79999999993</v>
          </cell>
          <cell r="V239">
            <v>239</v>
          </cell>
        </row>
        <row r="240">
          <cell r="B240">
            <v>37300</v>
          </cell>
          <cell r="C240" t="str">
            <v>Person County Schools</v>
          </cell>
          <cell r="D240">
            <v>23288484.989999991</v>
          </cell>
          <cell r="E240">
            <v>23993814.67999997</v>
          </cell>
          <cell r="F240">
            <v>204621407.07539988</v>
          </cell>
          <cell r="G240">
            <v>278889167.66180271</v>
          </cell>
          <cell r="M240">
            <v>1419914.53</v>
          </cell>
          <cell r="V240">
            <v>240</v>
          </cell>
        </row>
        <row r="241">
          <cell r="B241">
            <v>37301</v>
          </cell>
          <cell r="C241" t="str">
            <v>Roxboro Community School</v>
          </cell>
          <cell r="D241">
            <v>2519270.84</v>
          </cell>
          <cell r="E241">
            <v>2604506.2000000002</v>
          </cell>
          <cell r="F241">
            <v>22298726.6503</v>
          </cell>
          <cell r="G241">
            <v>30536191.651600003</v>
          </cell>
          <cell r="M241">
            <v>143750.54999999999</v>
          </cell>
          <cell r="V241">
            <v>241</v>
          </cell>
        </row>
        <row r="242">
          <cell r="B242">
            <v>37305</v>
          </cell>
          <cell r="C242" t="str">
            <v>Piedmont Community College</v>
          </cell>
          <cell r="D242">
            <v>9427772.1599999983</v>
          </cell>
          <cell r="E242">
            <v>8940572.0300000012</v>
          </cell>
          <cell r="F242">
            <v>71251716.794399947</v>
          </cell>
          <cell r="G242">
            <v>81814079.883749932</v>
          </cell>
          <cell r="M242">
            <v>506041.13</v>
          </cell>
          <cell r="V242">
            <v>242</v>
          </cell>
        </row>
        <row r="243">
          <cell r="B243">
            <v>37400</v>
          </cell>
          <cell r="C243" t="str">
            <v>Pitt County Schools</v>
          </cell>
          <cell r="D243">
            <v>111901705.91000032</v>
          </cell>
          <cell r="E243">
            <v>113908109.3899996</v>
          </cell>
          <cell r="F243">
            <v>1015222513.2668983</v>
          </cell>
          <cell r="G243">
            <v>1375046115.4647663</v>
          </cell>
          <cell r="M243">
            <v>6548688.5199999996</v>
          </cell>
          <cell r="V243">
            <v>243</v>
          </cell>
        </row>
        <row r="244">
          <cell r="B244">
            <v>37405</v>
          </cell>
          <cell r="C244" t="str">
            <v>Pitt Community College</v>
          </cell>
          <cell r="D244">
            <v>25363928.390000012</v>
          </cell>
          <cell r="E244">
            <v>26844527.370000001</v>
          </cell>
          <cell r="F244">
            <v>217162532.4836998</v>
          </cell>
          <cell r="G244">
            <v>305333633.06653422</v>
          </cell>
          <cell r="M244">
            <v>1548872.51</v>
          </cell>
          <cell r="V244">
            <v>244</v>
          </cell>
        </row>
        <row r="245">
          <cell r="B245">
            <v>37500</v>
          </cell>
          <cell r="C245" t="str">
            <v>Polk County Schools</v>
          </cell>
          <cell r="D245">
            <v>14528971.859999998</v>
          </cell>
          <cell r="E245">
            <v>14478684.469999995</v>
          </cell>
          <cell r="F245">
            <v>118690091.12200011</v>
          </cell>
          <cell r="G245">
            <v>155277060.76849994</v>
          </cell>
          <cell r="M245">
            <v>841742.28</v>
          </cell>
          <cell r="V245">
            <v>245</v>
          </cell>
        </row>
        <row r="246">
          <cell r="B246">
            <v>37600</v>
          </cell>
          <cell r="C246" t="str">
            <v>Randolph County Schools</v>
          </cell>
          <cell r="D246">
            <v>81682815.009999752</v>
          </cell>
          <cell r="E246">
            <v>81665226.429999739</v>
          </cell>
          <cell r="F246">
            <v>713376818.49110115</v>
          </cell>
          <cell r="G246">
            <v>949215821.66498089</v>
          </cell>
          <cell r="M246">
            <v>4672122.43</v>
          </cell>
          <cell r="V246">
            <v>246</v>
          </cell>
        </row>
        <row r="247">
          <cell r="B247">
            <v>37601</v>
          </cell>
          <cell r="C247" t="str">
            <v>Uwharrie Charter Academy</v>
          </cell>
          <cell r="D247">
            <v>835420.74000000011</v>
          </cell>
          <cell r="E247">
            <v>2114213.23</v>
          </cell>
          <cell r="F247">
            <v>8570310.6278000027</v>
          </cell>
          <cell r="G247">
            <v>30084825.061999999</v>
          </cell>
          <cell r="M247">
            <v>125594.41</v>
          </cell>
          <cell r="V247">
            <v>247</v>
          </cell>
        </row>
        <row r="248">
          <cell r="B248">
            <v>37605</v>
          </cell>
          <cell r="C248" t="str">
            <v>Randolph Community College</v>
          </cell>
          <cell r="D248">
            <v>9562718.540000001</v>
          </cell>
          <cell r="E248">
            <v>9863149.0599999987</v>
          </cell>
          <cell r="F248">
            <v>81836905.871999949</v>
          </cell>
          <cell r="G248">
            <v>114348177.09332833</v>
          </cell>
          <cell r="M248">
            <v>581399.93999999994</v>
          </cell>
          <cell r="V248">
            <v>248</v>
          </cell>
        </row>
        <row r="249">
          <cell r="B249">
            <v>37610</v>
          </cell>
          <cell r="C249" t="str">
            <v>Asheboro City Schools</v>
          </cell>
          <cell r="D249">
            <v>24350927.729999993</v>
          </cell>
          <cell r="E249">
            <v>23483385.259999994</v>
          </cell>
          <cell r="F249">
            <v>228714052.10609978</v>
          </cell>
          <cell r="G249">
            <v>290741738.90029997</v>
          </cell>
          <cell r="M249">
            <v>1340299.8400000001</v>
          </cell>
          <cell r="V249">
            <v>249</v>
          </cell>
        </row>
        <row r="250">
          <cell r="B250">
            <v>37700</v>
          </cell>
          <cell r="C250" t="str">
            <v>Richmond County Schools</v>
          </cell>
          <cell r="D250">
            <v>34781088.399999917</v>
          </cell>
          <cell r="E250">
            <v>35867836.239999972</v>
          </cell>
          <cell r="F250">
            <v>296270128.56899995</v>
          </cell>
          <cell r="G250">
            <v>405573250.77566701</v>
          </cell>
          <cell r="M250">
            <v>2067469.7099999997</v>
          </cell>
          <cell r="V250">
            <v>250</v>
          </cell>
        </row>
        <row r="251">
          <cell r="B251">
            <v>37705</v>
          </cell>
          <cell r="C251" t="str">
            <v>Richmond Technical College</v>
          </cell>
          <cell r="D251">
            <v>10110215.08</v>
          </cell>
          <cell r="E251">
            <v>10587343.410000011</v>
          </cell>
          <cell r="F251">
            <v>85567069.112599939</v>
          </cell>
          <cell r="G251">
            <v>117724140.23142754</v>
          </cell>
          <cell r="M251">
            <v>613177.19000000006</v>
          </cell>
          <cell r="V251">
            <v>251</v>
          </cell>
        </row>
        <row r="252">
          <cell r="B252">
            <v>37800</v>
          </cell>
          <cell r="C252" t="str">
            <v>Robeson County Schools</v>
          </cell>
          <cell r="D252">
            <v>108356457.42000027</v>
          </cell>
          <cell r="E252">
            <v>110477153.28999995</v>
          </cell>
          <cell r="F252">
            <v>902323700.24900234</v>
          </cell>
          <cell r="G252">
            <v>1221532959.1897588</v>
          </cell>
          <cell r="M252">
            <v>6326977.4499999993</v>
          </cell>
          <cell r="V252">
            <v>252</v>
          </cell>
        </row>
        <row r="253">
          <cell r="B253">
            <v>37801</v>
          </cell>
          <cell r="C253" t="str">
            <v>Southeastern Academy Charter School</v>
          </cell>
          <cell r="D253">
            <v>637397.55999999994</v>
          </cell>
          <cell r="E253">
            <v>600184.69000000006</v>
          </cell>
          <cell r="F253">
            <v>6186088.5873000007</v>
          </cell>
          <cell r="G253">
            <v>7657240.9675000003</v>
          </cell>
          <cell r="M253">
            <v>38806.61</v>
          </cell>
          <cell r="V253">
            <v>253</v>
          </cell>
        </row>
        <row r="254">
          <cell r="B254">
            <v>37805</v>
          </cell>
          <cell r="C254" t="str">
            <v>Robeson Community College</v>
          </cell>
          <cell r="D254">
            <v>10648976.35</v>
          </cell>
          <cell r="E254">
            <v>9578945.2599999998</v>
          </cell>
          <cell r="F254">
            <v>84158159.942699954</v>
          </cell>
          <cell r="G254">
            <v>100100336.04870005</v>
          </cell>
          <cell r="M254">
            <v>541747.73</v>
          </cell>
          <cell r="V254">
            <v>254</v>
          </cell>
        </row>
        <row r="255">
          <cell r="B255">
            <v>37900</v>
          </cell>
          <cell r="C255" t="str">
            <v>Rockingham County Schools</v>
          </cell>
          <cell r="D255">
            <v>63788916.289999969</v>
          </cell>
          <cell r="E255">
            <v>62086132.349999972</v>
          </cell>
          <cell r="F255">
            <v>524759215.40360004</v>
          </cell>
          <cell r="G255">
            <v>664846029.47670257</v>
          </cell>
          <cell r="M255">
            <v>3565967.19</v>
          </cell>
          <cell r="V255">
            <v>255</v>
          </cell>
        </row>
        <row r="256">
          <cell r="B256">
            <v>37901</v>
          </cell>
          <cell r="C256" t="str">
            <v>Bethany Community Middle School</v>
          </cell>
          <cell r="D256">
            <v>780924.93</v>
          </cell>
          <cell r="E256">
            <v>832947.65000000026</v>
          </cell>
          <cell r="F256">
            <v>7018197.645299999</v>
          </cell>
          <cell r="G256">
            <v>9814330.6091000009</v>
          </cell>
          <cell r="M256">
            <v>42854.89</v>
          </cell>
          <cell r="V256">
            <v>256</v>
          </cell>
        </row>
        <row r="257">
          <cell r="B257">
            <v>37905</v>
          </cell>
          <cell r="C257" t="str">
            <v>Rockingham Community College</v>
          </cell>
          <cell r="D257">
            <v>7778931.8099999996</v>
          </cell>
          <cell r="E257">
            <v>7801983.4299999978</v>
          </cell>
          <cell r="F257">
            <v>57406366.161199987</v>
          </cell>
          <cell r="G257">
            <v>75719521.621150032</v>
          </cell>
          <cell r="M257">
            <v>449728.66</v>
          </cell>
          <cell r="V257">
            <v>257</v>
          </cell>
        </row>
        <row r="258">
          <cell r="B258">
            <v>38000</v>
          </cell>
          <cell r="C258" t="str">
            <v>Rowan-Salisbury School System</v>
          </cell>
          <cell r="D258">
            <v>93362198.820000276</v>
          </cell>
          <cell r="E258">
            <v>93746939.509999946</v>
          </cell>
          <cell r="F258">
            <v>793698172.59009814</v>
          </cell>
          <cell r="G258">
            <v>1063827735.6275914</v>
          </cell>
          <cell r="M258">
            <v>5413838.29</v>
          </cell>
          <cell r="V258">
            <v>258</v>
          </cell>
        </row>
        <row r="259">
          <cell r="B259">
            <v>38005</v>
          </cell>
          <cell r="C259" t="str">
            <v>Rowan-Cabarrus Community College</v>
          </cell>
          <cell r="D259">
            <v>19918552.10000002</v>
          </cell>
          <cell r="E259">
            <v>20810332.490000002</v>
          </cell>
          <cell r="F259">
            <v>161598615.2383002</v>
          </cell>
          <cell r="G259">
            <v>226478136.59690002</v>
          </cell>
          <cell r="M259">
            <v>1167285.67</v>
          </cell>
          <cell r="V259">
            <v>259</v>
          </cell>
        </row>
        <row r="260">
          <cell r="B260">
            <v>38100</v>
          </cell>
          <cell r="C260" t="str">
            <v>Rutherford County Schools</v>
          </cell>
          <cell r="D260">
            <v>43183112.209999971</v>
          </cell>
          <cell r="E260">
            <v>44237044.530000061</v>
          </cell>
          <cell r="F260">
            <v>360698115.76579976</v>
          </cell>
          <cell r="G260">
            <v>483787440.85721403</v>
          </cell>
          <cell r="M260">
            <v>2560035.0000000005</v>
          </cell>
          <cell r="V260">
            <v>260</v>
          </cell>
        </row>
        <row r="261">
          <cell r="B261">
            <v>38105</v>
          </cell>
          <cell r="C261" t="str">
            <v>Isothermal Community College</v>
          </cell>
          <cell r="D261">
            <v>8802007.5899999961</v>
          </cell>
          <cell r="E261">
            <v>9339358.4699999988</v>
          </cell>
          <cell r="F261">
            <v>75400891.181099996</v>
          </cell>
          <cell r="G261">
            <v>102012225.57402246</v>
          </cell>
          <cell r="M261">
            <v>525648.88000000012</v>
          </cell>
          <cell r="V261">
            <v>261</v>
          </cell>
        </row>
        <row r="262">
          <cell r="B262">
            <v>38200</v>
          </cell>
          <cell r="C262" t="str">
            <v>Sampson County Schools</v>
          </cell>
          <cell r="D262">
            <v>40974163.04999996</v>
          </cell>
          <cell r="E262">
            <v>41825389.139999889</v>
          </cell>
          <cell r="F262">
            <v>357751195.88000005</v>
          </cell>
          <cell r="G262">
            <v>476345202.25749987</v>
          </cell>
          <cell r="M262">
            <v>2394730.9</v>
          </cell>
          <cell r="V262">
            <v>262</v>
          </cell>
        </row>
        <row r="263">
          <cell r="B263">
            <v>38205</v>
          </cell>
          <cell r="C263" t="str">
            <v>Sampson Community College</v>
          </cell>
          <cell r="D263">
            <v>6809356.2499999991</v>
          </cell>
          <cell r="E263">
            <v>6738604.7900000019</v>
          </cell>
          <cell r="F263">
            <v>50760854.61150001</v>
          </cell>
          <cell r="G263">
            <v>65200642.752300002</v>
          </cell>
          <cell r="M263">
            <v>382844.23</v>
          </cell>
          <cell r="V263">
            <v>263</v>
          </cell>
        </row>
        <row r="264">
          <cell r="B264">
            <v>38210</v>
          </cell>
          <cell r="C264" t="str">
            <v>Clinton City Schools</v>
          </cell>
          <cell r="D264">
            <v>14910915.760000002</v>
          </cell>
          <cell r="E264">
            <v>15077834.040000003</v>
          </cell>
          <cell r="F264">
            <v>124967237.19019994</v>
          </cell>
          <cell r="G264">
            <v>174115813.97849998</v>
          </cell>
          <cell r="M264">
            <v>866001.07999999973</v>
          </cell>
          <cell r="V264">
            <v>264</v>
          </cell>
        </row>
        <row r="265">
          <cell r="B265">
            <v>38300</v>
          </cell>
          <cell r="C265" t="str">
            <v>Scotland County Schools</v>
          </cell>
          <cell r="D265">
            <v>33250291.189999994</v>
          </cell>
          <cell r="E265">
            <v>32869761.020000018</v>
          </cell>
          <cell r="F265">
            <v>277818315.56569958</v>
          </cell>
          <cell r="G265">
            <v>369430242.53882217</v>
          </cell>
          <cell r="M265">
            <v>1899623.67</v>
          </cell>
          <cell r="V265">
            <v>265</v>
          </cell>
        </row>
        <row r="266">
          <cell r="B266">
            <v>38400</v>
          </cell>
          <cell r="C266" t="str">
            <v>Stanly County Schools</v>
          </cell>
          <cell r="D266">
            <v>41381967.420000002</v>
          </cell>
          <cell r="E266">
            <v>40948904.550000034</v>
          </cell>
          <cell r="F266">
            <v>353675187.89529991</v>
          </cell>
          <cell r="G266">
            <v>458713322.32009977</v>
          </cell>
          <cell r="M266">
            <v>2338191.9500000002</v>
          </cell>
          <cell r="V266">
            <v>266</v>
          </cell>
        </row>
        <row r="267">
          <cell r="B267">
            <v>38402</v>
          </cell>
          <cell r="C267" t="str">
            <v>Gray Stone Day School</v>
          </cell>
          <cell r="D267">
            <v>1218280.83</v>
          </cell>
          <cell r="E267">
            <v>1315384.7700000005</v>
          </cell>
          <cell r="F267">
            <v>11651870.913300002</v>
          </cell>
          <cell r="G267">
            <v>16404845.884299995</v>
          </cell>
          <cell r="M267">
            <v>77575.659999999989</v>
          </cell>
          <cell r="V267">
            <v>267</v>
          </cell>
        </row>
        <row r="268">
          <cell r="B268">
            <v>38405</v>
          </cell>
          <cell r="C268" t="str">
            <v>Stanly Community College</v>
          </cell>
          <cell r="D268">
            <v>9663701.2000000142</v>
          </cell>
          <cell r="E268">
            <v>10006684.970000004</v>
          </cell>
          <cell r="F268">
            <v>85062473.5581</v>
          </cell>
          <cell r="G268">
            <v>117070466.92346326</v>
          </cell>
          <cell r="M268">
            <v>568260.92999999993</v>
          </cell>
          <cell r="V268">
            <v>268</v>
          </cell>
        </row>
        <row r="269">
          <cell r="B269">
            <v>38500</v>
          </cell>
          <cell r="C269" t="str">
            <v>Stokes County Schools</v>
          </cell>
          <cell r="D269">
            <v>33087526.24999997</v>
          </cell>
          <cell r="E269">
            <v>33024718.000000022</v>
          </cell>
          <cell r="F269">
            <v>283709400.18790001</v>
          </cell>
          <cell r="G269">
            <v>367779268.44990003</v>
          </cell>
          <cell r="M269">
            <v>1881183.72</v>
          </cell>
          <cell r="V269">
            <v>269</v>
          </cell>
        </row>
        <row r="270">
          <cell r="B270">
            <v>38600</v>
          </cell>
          <cell r="C270" t="str">
            <v>Surry County Schools</v>
          </cell>
          <cell r="D270">
            <v>40057872.370000042</v>
          </cell>
          <cell r="E270">
            <v>40492841.820000008</v>
          </cell>
          <cell r="F270">
            <v>347133163.2832002</v>
          </cell>
          <cell r="G270">
            <v>450038630.31700045</v>
          </cell>
          <cell r="M270">
            <v>2319120.38</v>
          </cell>
          <cell r="V270">
            <v>270</v>
          </cell>
        </row>
        <row r="271">
          <cell r="B271">
            <v>38601</v>
          </cell>
          <cell r="C271" t="str">
            <v>Bridges Charter Schools</v>
          </cell>
          <cell r="D271">
            <v>513466.89</v>
          </cell>
          <cell r="E271">
            <v>503972.35</v>
          </cell>
          <cell r="F271">
            <v>4986086.0928000007</v>
          </cell>
          <cell r="G271">
            <v>6343044.9625999983</v>
          </cell>
          <cell r="M271">
            <v>27891.790000000005</v>
          </cell>
          <cell r="V271">
            <v>271</v>
          </cell>
        </row>
        <row r="272">
          <cell r="B272">
            <v>38602</v>
          </cell>
          <cell r="C272" t="str">
            <v>Millennium Charter Academy</v>
          </cell>
          <cell r="D272">
            <v>2035596.7999999991</v>
          </cell>
          <cell r="E272">
            <v>2406930.850000001</v>
          </cell>
          <cell r="F272">
            <v>18149306.434799999</v>
          </cell>
          <cell r="G272">
            <v>28381714.315299999</v>
          </cell>
          <cell r="M272">
            <v>139367.79000000004</v>
          </cell>
          <cell r="V272">
            <v>272</v>
          </cell>
        </row>
        <row r="273">
          <cell r="B273">
            <v>38605</v>
          </cell>
          <cell r="C273" t="str">
            <v>Surry Community College</v>
          </cell>
          <cell r="D273">
            <v>11438038.360000035</v>
          </cell>
          <cell r="E273">
            <v>11448381.560000028</v>
          </cell>
          <cell r="F273">
            <v>94828334.557799995</v>
          </cell>
          <cell r="G273">
            <v>126935357.52603805</v>
          </cell>
          <cell r="M273">
            <v>658377.12999999989</v>
          </cell>
          <cell r="V273">
            <v>273</v>
          </cell>
        </row>
        <row r="274">
          <cell r="B274">
            <v>38610</v>
          </cell>
          <cell r="C274" t="str">
            <v>Mount Airy City Schools</v>
          </cell>
          <cell r="D274">
            <v>8890998.370000001</v>
          </cell>
          <cell r="E274">
            <v>8723212.9699999988</v>
          </cell>
          <cell r="F274">
            <v>70998858.683700025</v>
          </cell>
          <cell r="G274">
            <v>94146473.734893695</v>
          </cell>
          <cell r="M274">
            <v>506704.94000000006</v>
          </cell>
          <cell r="V274">
            <v>274</v>
          </cell>
        </row>
        <row r="275">
          <cell r="B275">
            <v>38620</v>
          </cell>
          <cell r="C275" t="str">
            <v>Elkin City Schools</v>
          </cell>
          <cell r="D275">
            <v>6833302.9399999995</v>
          </cell>
          <cell r="E275">
            <v>7242311.8899999987</v>
          </cell>
          <cell r="F275">
            <v>58085682.29989998</v>
          </cell>
          <cell r="G275">
            <v>78110918.488299996</v>
          </cell>
          <cell r="M275">
            <v>408218.96</v>
          </cell>
          <cell r="V275">
            <v>275</v>
          </cell>
        </row>
        <row r="276">
          <cell r="B276">
            <v>38700</v>
          </cell>
          <cell r="C276" t="str">
            <v>Swain County Schools</v>
          </cell>
          <cell r="D276">
            <v>11268823.930000007</v>
          </cell>
          <cell r="E276">
            <v>11830318.769999996</v>
          </cell>
          <cell r="F276">
            <v>96961019.411199942</v>
          </cell>
          <cell r="G276">
            <v>134614575.16590005</v>
          </cell>
          <cell r="M276">
            <v>695262.58</v>
          </cell>
          <cell r="V276">
            <v>276</v>
          </cell>
        </row>
        <row r="277">
          <cell r="B277">
            <v>38701</v>
          </cell>
          <cell r="C277" t="str">
            <v>Mountain Discovery Charter</v>
          </cell>
          <cell r="D277">
            <v>820089.14000000013</v>
          </cell>
          <cell r="E277">
            <v>838007.07999999984</v>
          </cell>
          <cell r="F277">
            <v>6984409.6221000012</v>
          </cell>
          <cell r="G277">
            <v>8612914.3969999999</v>
          </cell>
          <cell r="M277">
            <v>46407.740000000005</v>
          </cell>
          <cell r="V277">
            <v>277</v>
          </cell>
        </row>
        <row r="278">
          <cell r="B278">
            <v>38800</v>
          </cell>
          <cell r="C278" t="str">
            <v>Transylvania County Schools</v>
          </cell>
          <cell r="D278">
            <v>19983453.780000027</v>
          </cell>
          <cell r="E278">
            <v>20528974.84999999</v>
          </cell>
          <cell r="F278">
            <v>172151942.25239989</v>
          </cell>
          <cell r="G278">
            <v>234270874.67191151</v>
          </cell>
          <cell r="M278">
            <v>1183559.3500000001</v>
          </cell>
          <cell r="V278">
            <v>278</v>
          </cell>
        </row>
        <row r="279">
          <cell r="B279">
            <v>38801</v>
          </cell>
          <cell r="C279" t="str">
            <v>Brevard Academy Charter School</v>
          </cell>
          <cell r="D279">
            <v>898938.9</v>
          </cell>
          <cell r="E279">
            <v>1091578.8099999996</v>
          </cell>
          <cell r="F279">
            <v>9481104.9682</v>
          </cell>
          <cell r="G279">
            <v>15967793.701299999</v>
          </cell>
          <cell r="M279">
            <v>67668.319999999992</v>
          </cell>
          <cell r="V279">
            <v>279</v>
          </cell>
        </row>
        <row r="280">
          <cell r="B280">
            <v>38900</v>
          </cell>
          <cell r="C280" t="str">
            <v>Tyrrell County Schools</v>
          </cell>
          <cell r="D280">
            <v>4364451.68</v>
          </cell>
          <cell r="E280">
            <v>4694135.16</v>
          </cell>
          <cell r="F280">
            <v>34923798.645199992</v>
          </cell>
          <cell r="G280">
            <v>52229110.774300009</v>
          </cell>
          <cell r="M280">
            <v>248292.71999999997</v>
          </cell>
          <cell r="V280">
            <v>280</v>
          </cell>
        </row>
        <row r="281">
          <cell r="B281">
            <v>39000</v>
          </cell>
          <cell r="C281" t="str">
            <v>Union County Schools</v>
          </cell>
          <cell r="D281">
            <v>190647668.46999985</v>
          </cell>
          <cell r="E281">
            <v>197758811.1799998</v>
          </cell>
          <cell r="F281">
            <v>1750621017.5796063</v>
          </cell>
          <cell r="G281">
            <v>2369137246.5597515</v>
          </cell>
          <cell r="M281">
            <v>11453925.499999998</v>
          </cell>
          <cell r="V281">
            <v>281</v>
          </cell>
        </row>
        <row r="282">
          <cell r="B282">
            <v>39100</v>
          </cell>
          <cell r="C282" t="str">
            <v>Vance County Schools</v>
          </cell>
          <cell r="D282">
            <v>34259285.379999943</v>
          </cell>
          <cell r="E282">
            <v>34567866.200000018</v>
          </cell>
          <cell r="F282">
            <v>271532880.98360014</v>
          </cell>
          <cell r="G282">
            <v>363455087.54461664</v>
          </cell>
          <cell r="M282">
            <v>2025289.7299999997</v>
          </cell>
          <cell r="V282">
            <v>282</v>
          </cell>
        </row>
        <row r="283">
          <cell r="B283">
            <v>39101</v>
          </cell>
          <cell r="C283" t="str">
            <v>Vance Charter School</v>
          </cell>
          <cell r="D283">
            <v>2177496.3699999996</v>
          </cell>
          <cell r="E283">
            <v>2334424.14</v>
          </cell>
          <cell r="F283">
            <v>18404018.759900007</v>
          </cell>
          <cell r="G283">
            <v>25911098.315099992</v>
          </cell>
          <cell r="M283">
            <v>131441.69</v>
          </cell>
          <cell r="V283">
            <v>283</v>
          </cell>
        </row>
        <row r="284">
          <cell r="B284">
            <v>39105</v>
          </cell>
          <cell r="C284" t="str">
            <v>Vance-Granville Community College</v>
          </cell>
          <cell r="D284">
            <v>13688532.530000007</v>
          </cell>
          <cell r="E284">
            <v>13797491.369999997</v>
          </cell>
          <cell r="F284">
            <v>112008866.23739998</v>
          </cell>
          <cell r="G284">
            <v>150078304.02877954</v>
          </cell>
          <cell r="M284">
            <v>804936.95000000007</v>
          </cell>
          <cell r="V284">
            <v>284</v>
          </cell>
        </row>
        <row r="285">
          <cell r="B285">
            <v>39200</v>
          </cell>
          <cell r="C285" t="str">
            <v>Wake County Schools</v>
          </cell>
          <cell r="D285">
            <v>761649414.85998964</v>
          </cell>
          <cell r="E285">
            <v>801554623.66998684</v>
          </cell>
          <cell r="F285">
            <v>6819007778.1695232</v>
          </cell>
          <cell r="G285">
            <v>9571225636.3460255</v>
          </cell>
          <cell r="M285">
            <v>47022986.980000004</v>
          </cell>
          <cell r="V285">
            <v>285</v>
          </cell>
        </row>
        <row r="286">
          <cell r="B286">
            <v>39201</v>
          </cell>
          <cell r="C286" t="str">
            <v>Endeavor Charter School</v>
          </cell>
          <cell r="D286">
            <v>1937844.0899999996</v>
          </cell>
          <cell r="E286">
            <v>2039344.5000000002</v>
          </cell>
          <cell r="F286">
            <v>21167081.140799999</v>
          </cell>
          <cell r="G286">
            <v>30491247.617300011</v>
          </cell>
          <cell r="M286">
            <v>119094.57</v>
          </cell>
          <cell r="V286">
            <v>286</v>
          </cell>
        </row>
        <row r="287">
          <cell r="B287">
            <v>39204</v>
          </cell>
          <cell r="C287" t="str">
            <v>Southern Wake Academy</v>
          </cell>
          <cell r="D287">
            <v>1197555.01</v>
          </cell>
          <cell r="E287">
            <v>1435585.1600000004</v>
          </cell>
          <cell r="F287">
            <v>13042614.8125</v>
          </cell>
          <cell r="G287">
            <v>19834743.711599998</v>
          </cell>
          <cell r="M287">
            <v>90124.459999999992</v>
          </cell>
          <cell r="V287">
            <v>287</v>
          </cell>
        </row>
        <row r="288">
          <cell r="B288">
            <v>39205</v>
          </cell>
          <cell r="C288" t="str">
            <v>Wake Technical College</v>
          </cell>
          <cell r="D288">
            <v>63844071.410000034</v>
          </cell>
          <cell r="E288">
            <v>68393645.809999987</v>
          </cell>
          <cell r="F288">
            <v>521547953.68370003</v>
          </cell>
          <cell r="G288">
            <v>745561686.77654827</v>
          </cell>
          <cell r="M288">
            <v>4030820.8299999996</v>
          </cell>
          <cell r="V288">
            <v>288</v>
          </cell>
        </row>
        <row r="289">
          <cell r="B289">
            <v>39208</v>
          </cell>
          <cell r="C289" t="str">
            <v>East Wake Academy</v>
          </cell>
          <cell r="D289">
            <v>4247247.47</v>
          </cell>
          <cell r="E289">
            <v>4537560.049999998</v>
          </cell>
          <cell r="F289">
            <v>43372862.843100026</v>
          </cell>
          <cell r="G289">
            <v>61438280.4956</v>
          </cell>
          <cell r="M289">
            <v>255686.84999999998</v>
          </cell>
          <cell r="V289">
            <v>289</v>
          </cell>
        </row>
        <row r="290">
          <cell r="B290">
            <v>39209</v>
          </cell>
          <cell r="C290" t="str">
            <v>Casa Esperanza Montessori</v>
          </cell>
          <cell r="D290">
            <v>1850462.0099999995</v>
          </cell>
          <cell r="E290">
            <v>2186947.2299999995</v>
          </cell>
          <cell r="F290">
            <v>19835204.991799999</v>
          </cell>
          <cell r="G290">
            <v>30282722.122099999</v>
          </cell>
          <cell r="M290">
            <v>125458.52</v>
          </cell>
          <cell r="V290">
            <v>290</v>
          </cell>
        </row>
        <row r="291">
          <cell r="B291">
            <v>39300</v>
          </cell>
          <cell r="C291" t="str">
            <v>Warren County Schools</v>
          </cell>
          <cell r="D291">
            <v>12981046.279999994</v>
          </cell>
          <cell r="E291">
            <v>13365534.219999993</v>
          </cell>
          <cell r="F291">
            <v>105374481.47899997</v>
          </cell>
          <cell r="G291">
            <v>143888381.35777506</v>
          </cell>
          <cell r="M291">
            <v>752832.02</v>
          </cell>
          <cell r="V291">
            <v>291</v>
          </cell>
        </row>
        <row r="292">
          <cell r="B292">
            <v>39301</v>
          </cell>
          <cell r="C292" t="str">
            <v>Haliwa-Saponi Tribal Charter</v>
          </cell>
          <cell r="D292">
            <v>702751.4600000002</v>
          </cell>
          <cell r="E292">
            <v>722763.86</v>
          </cell>
          <cell r="F292">
            <v>6683961.976999999</v>
          </cell>
          <cell r="G292">
            <v>8247477.8591000019</v>
          </cell>
          <cell r="M292">
            <v>43539.86</v>
          </cell>
          <cell r="V292">
            <v>292</v>
          </cell>
        </row>
        <row r="293">
          <cell r="B293">
            <v>39400</v>
          </cell>
          <cell r="C293" t="str">
            <v>Washington County Schools</v>
          </cell>
          <cell r="D293">
            <v>9643449.1900000032</v>
          </cell>
          <cell r="E293">
            <v>9595562.179999996</v>
          </cell>
          <cell r="F293">
            <v>73616912.124099985</v>
          </cell>
          <cell r="G293">
            <v>96844541.096299961</v>
          </cell>
          <cell r="M293">
            <v>550640.34</v>
          </cell>
          <cell r="V293">
            <v>293</v>
          </cell>
        </row>
        <row r="294">
          <cell r="B294">
            <v>39401</v>
          </cell>
          <cell r="C294" t="str">
            <v>Henderson Collegiate Charter School</v>
          </cell>
          <cell r="D294">
            <v>1451889.09</v>
          </cell>
          <cell r="E294">
            <v>2125000.5299999989</v>
          </cell>
          <cell r="F294">
            <v>16786869.914900005</v>
          </cell>
          <cell r="G294">
            <v>33551726.885499999</v>
          </cell>
          <cell r="M294">
            <v>139832.41999999998</v>
          </cell>
          <cell r="V294">
            <v>294</v>
          </cell>
        </row>
        <row r="295">
          <cell r="B295">
            <v>39500</v>
          </cell>
          <cell r="C295" t="str">
            <v>Watauga County Schools</v>
          </cell>
          <cell r="D295">
            <v>25549609.91</v>
          </cell>
          <cell r="E295">
            <v>25922978.730000019</v>
          </cell>
          <cell r="F295">
            <v>216404304.2802003</v>
          </cell>
          <cell r="G295">
            <v>293719126.91107219</v>
          </cell>
          <cell r="M295">
            <v>1489020.64</v>
          </cell>
          <cell r="V295">
            <v>295</v>
          </cell>
        </row>
        <row r="296">
          <cell r="B296">
            <v>39501</v>
          </cell>
          <cell r="C296" t="str">
            <v>Two Rivers Community School</v>
          </cell>
          <cell r="D296">
            <v>893460.40999999992</v>
          </cell>
          <cell r="E296">
            <v>832761.98999999976</v>
          </cell>
          <cell r="F296">
            <v>8644717.6546999998</v>
          </cell>
          <cell r="G296">
            <v>9666635.809249999</v>
          </cell>
          <cell r="M296">
            <v>47281.659999999996</v>
          </cell>
          <cell r="V296">
            <v>296</v>
          </cell>
        </row>
        <row r="297">
          <cell r="B297">
            <v>39600</v>
          </cell>
          <cell r="C297" t="str">
            <v>Wayne County Schools</v>
          </cell>
          <cell r="D297">
            <v>85906727.890000015</v>
          </cell>
          <cell r="E297">
            <v>87409006.83999984</v>
          </cell>
          <cell r="F297">
            <v>710508566.16589868</v>
          </cell>
          <cell r="G297">
            <v>949163875.94100547</v>
          </cell>
          <cell r="M297">
            <v>5039145.9999999991</v>
          </cell>
          <cell r="V297">
            <v>297</v>
          </cell>
        </row>
        <row r="298">
          <cell r="B298">
            <v>39605</v>
          </cell>
          <cell r="C298" t="str">
            <v>Wayne Community College</v>
          </cell>
          <cell r="D298">
            <v>13188727.540000005</v>
          </cell>
          <cell r="E298">
            <v>13057119.070000004</v>
          </cell>
          <cell r="F298">
            <v>104881992.38679998</v>
          </cell>
          <cell r="G298">
            <v>136584894.22963971</v>
          </cell>
          <cell r="M298">
            <v>763935.26000000013</v>
          </cell>
          <cell r="V298">
            <v>298</v>
          </cell>
        </row>
        <row r="299">
          <cell r="B299">
            <v>39700</v>
          </cell>
          <cell r="C299" t="str">
            <v>Wilkes County Schools</v>
          </cell>
          <cell r="D299">
            <v>49093707.789999977</v>
          </cell>
          <cell r="E299">
            <v>50024277.060000062</v>
          </cell>
          <cell r="F299">
            <v>432520649.78840041</v>
          </cell>
          <cell r="G299">
            <v>575175662.19549978</v>
          </cell>
          <cell r="M299">
            <v>2876157.31</v>
          </cell>
          <cell r="V299">
            <v>299</v>
          </cell>
        </row>
        <row r="300">
          <cell r="B300">
            <v>39703</v>
          </cell>
          <cell r="C300" t="str">
            <v>Pinnacle Classical Academy</v>
          </cell>
          <cell r="D300">
            <v>934413.28000000014</v>
          </cell>
          <cell r="E300">
            <v>1235890.25</v>
          </cell>
          <cell r="F300">
            <v>9573447.0162000004</v>
          </cell>
          <cell r="G300">
            <v>17925342.557399999</v>
          </cell>
          <cell r="M300">
            <v>73239.760000000009</v>
          </cell>
          <cell r="V300">
            <v>300</v>
          </cell>
        </row>
        <row r="301">
          <cell r="B301">
            <v>39705</v>
          </cell>
          <cell r="C301" t="str">
            <v>Wilkes Community College</v>
          </cell>
          <cell r="D301">
            <v>12218429.58</v>
          </cell>
          <cell r="E301">
            <v>12760252.279999996</v>
          </cell>
          <cell r="F301">
            <v>98422805.129699931</v>
          </cell>
          <cell r="G301">
            <v>134980747.61914989</v>
          </cell>
          <cell r="M301">
            <v>732158.12</v>
          </cell>
          <cell r="V301">
            <v>301</v>
          </cell>
        </row>
        <row r="302">
          <cell r="B302">
            <v>39800</v>
          </cell>
          <cell r="C302" t="str">
            <v>Wilson County Schools</v>
          </cell>
          <cell r="D302">
            <v>55933788.470000021</v>
          </cell>
          <cell r="E302">
            <v>56969445.149999999</v>
          </cell>
          <cell r="F302">
            <v>485916403.00089908</v>
          </cell>
          <cell r="G302">
            <v>636552998.30438864</v>
          </cell>
          <cell r="M302">
            <v>3274399.4299999992</v>
          </cell>
          <cell r="V302">
            <v>302</v>
          </cell>
        </row>
        <row r="303">
          <cell r="B303">
            <v>39805</v>
          </cell>
          <cell r="C303" t="str">
            <v>Wilson Community College</v>
          </cell>
          <cell r="D303">
            <v>6840307.2700000098</v>
          </cell>
          <cell r="E303">
            <v>6996756.6699999981</v>
          </cell>
          <cell r="F303">
            <v>54232943.107400022</v>
          </cell>
          <cell r="G303">
            <v>71594491.994422868</v>
          </cell>
          <cell r="M303">
            <v>415480.67</v>
          </cell>
          <cell r="V303">
            <v>303</v>
          </cell>
        </row>
        <row r="304">
          <cell r="B304">
            <v>39900</v>
          </cell>
          <cell r="C304" t="str">
            <v>Yadkin County Schools</v>
          </cell>
          <cell r="D304">
            <v>28016785.089999966</v>
          </cell>
          <cell r="E304">
            <v>28981653.340000022</v>
          </cell>
          <cell r="F304">
            <v>236605083.61979997</v>
          </cell>
          <cell r="G304">
            <v>314396250.08479983</v>
          </cell>
          <cell r="M304">
            <v>1665447.19</v>
          </cell>
          <cell r="V304">
            <v>304</v>
          </cell>
        </row>
        <row r="305">
          <cell r="B305">
            <v>40000</v>
          </cell>
          <cell r="C305" t="str">
            <v>Consolidated Judicial Retirement System</v>
          </cell>
          <cell r="D305">
            <v>58246712.150000252</v>
          </cell>
          <cell r="E305">
            <v>68245416.099999994</v>
          </cell>
          <cell r="F305">
            <v>322339173.42939967</v>
          </cell>
          <cell r="G305">
            <v>509405989.16756624</v>
          </cell>
          <cell r="M305">
            <v>3870056.6</v>
          </cell>
          <cell r="V305">
            <v>305</v>
          </cell>
        </row>
        <row r="306">
          <cell r="B306">
            <v>51000</v>
          </cell>
          <cell r="C306" t="str">
            <v>Highway - Administrative</v>
          </cell>
          <cell r="D306">
            <v>516632772.63999844</v>
          </cell>
          <cell r="E306">
            <v>517068074.63000035</v>
          </cell>
          <cell r="F306">
            <v>3856998675.9863172</v>
          </cell>
          <cell r="G306">
            <v>4795804738.3380404</v>
          </cell>
          <cell r="M306">
            <v>28186402.90469946</v>
          </cell>
          <cell r="V306">
            <v>306</v>
          </cell>
        </row>
        <row r="307">
          <cell r="B307">
            <v>60000</v>
          </cell>
          <cell r="C307" t="str">
            <v>Legislative Retirement System</v>
          </cell>
          <cell r="D307">
            <v>3480312.46108949</v>
          </cell>
          <cell r="E307">
            <v>3577761.2099999958</v>
          </cell>
          <cell r="F307">
            <v>18168347.144803762</v>
          </cell>
          <cell r="G307">
            <v>24436426.90976106</v>
          </cell>
          <cell r="M307">
            <v>202482.98</v>
          </cell>
          <cell r="V307">
            <v>307</v>
          </cell>
        </row>
        <row r="308">
          <cell r="B308">
            <v>90901</v>
          </cell>
          <cell r="C308" t="str">
            <v>BLADEN COUNTY</v>
          </cell>
          <cell r="D308">
            <v>12515089.329999994</v>
          </cell>
          <cell r="E308">
            <v>11590746.199999994</v>
          </cell>
          <cell r="F308">
            <v>101585339.71730012</v>
          </cell>
          <cell r="G308">
            <v>121726805.52031019</v>
          </cell>
          <cell r="M308">
            <v>739032.75</v>
          </cell>
          <cell r="V308">
            <v>308</v>
          </cell>
        </row>
        <row r="309">
          <cell r="B309">
            <v>91041</v>
          </cell>
          <cell r="C309" t="str">
            <v>TOWN OF SUNSET BEACH</v>
          </cell>
          <cell r="D309">
            <v>2052996.7000000002</v>
          </cell>
          <cell r="E309">
            <v>1903519.8499999999</v>
          </cell>
          <cell r="F309">
            <v>18423033.021899998</v>
          </cell>
          <cell r="G309">
            <v>22076590.634999998</v>
          </cell>
          <cell r="M309">
            <v>118940.75</v>
          </cell>
          <cell r="V309">
            <v>309</v>
          </cell>
        </row>
        <row r="310">
          <cell r="B310">
            <v>91111</v>
          </cell>
          <cell r="C310" t="str">
            <v>TOWN OF BILTMORE FOREST</v>
          </cell>
          <cell r="D310">
            <v>1304370.94</v>
          </cell>
          <cell r="E310">
            <v>1313182.8800000004</v>
          </cell>
          <cell r="F310">
            <v>10251385.783499997</v>
          </cell>
          <cell r="G310">
            <v>11927687.519399997</v>
          </cell>
          <cell r="M310">
            <v>78071.010000000009</v>
          </cell>
          <cell r="V310">
            <v>310</v>
          </cell>
        </row>
        <row r="311">
          <cell r="B311">
            <v>91151</v>
          </cell>
          <cell r="C311" t="str">
            <v>TOWN OF BLACK MOUNTAIN</v>
          </cell>
          <cell r="D311">
            <v>3014976.4899999998</v>
          </cell>
          <cell r="E311">
            <v>3061219.0699999989</v>
          </cell>
          <cell r="F311">
            <v>26484554.139599994</v>
          </cell>
          <cell r="G311">
            <v>34714498.57093589</v>
          </cell>
          <cell r="M311">
            <v>180532</v>
          </cell>
          <cell r="V311">
            <v>311</v>
          </cell>
        </row>
        <row r="312">
          <cell r="B312">
            <v>98101</v>
          </cell>
          <cell r="C312" t="str">
            <v>RUTHERFORD COUNTY</v>
          </cell>
          <cell r="D312">
            <v>14351736.530000001</v>
          </cell>
          <cell r="E312">
            <v>14678204.360000007</v>
          </cell>
          <cell r="F312">
            <v>118117157.41689992</v>
          </cell>
          <cell r="G312">
            <v>157660588.45182958</v>
          </cell>
          <cell r="M312">
            <v>910108.62999999989</v>
          </cell>
          <cell r="V312">
            <v>312</v>
          </cell>
        </row>
        <row r="313">
          <cell r="B313">
            <v>98103</v>
          </cell>
          <cell r="C313" t="str">
            <v>RUTHERFORD POLK MCDOWELL DIST BRD OF HEALTH</v>
          </cell>
          <cell r="D313">
            <v>3323433.9099999983</v>
          </cell>
          <cell r="E313">
            <v>3153137.0500000007</v>
          </cell>
          <cell r="F313">
            <v>25177216.456699997</v>
          </cell>
          <cell r="G313">
            <v>31727401.273866609</v>
          </cell>
          <cell r="M313">
            <v>195983.55000000002</v>
          </cell>
          <cell r="V313">
            <v>313</v>
          </cell>
        </row>
        <row r="314">
          <cell r="B314">
            <v>98111</v>
          </cell>
          <cell r="C314" t="str">
            <v>TOWN OF FOREST CITY</v>
          </cell>
          <cell r="D314">
            <v>5254881.5899999989</v>
          </cell>
          <cell r="E314">
            <v>5413019.1199999982</v>
          </cell>
          <cell r="F314">
            <v>45440376.601999998</v>
          </cell>
          <cell r="G314">
            <v>60001728.72075171</v>
          </cell>
          <cell r="M314">
            <v>315543.51999999996</v>
          </cell>
          <cell r="V314">
            <v>314</v>
          </cell>
        </row>
        <row r="315">
          <cell r="B315">
            <v>98131</v>
          </cell>
          <cell r="C315" t="str">
            <v>TOWN OF LAKE LURE</v>
          </cell>
          <cell r="D315">
            <v>1390849.2300000002</v>
          </cell>
          <cell r="E315">
            <v>1643984.0100000002</v>
          </cell>
          <cell r="F315">
            <v>12213426.577499995</v>
          </cell>
          <cell r="G315">
            <v>16897171.661800001</v>
          </cell>
          <cell r="M315">
            <v>92959.1</v>
          </cell>
          <cell r="V315">
            <v>315</v>
          </cell>
        </row>
        <row r="316">
          <cell r="B316">
            <v>99401</v>
          </cell>
          <cell r="C316" t="str">
            <v>WASHINGTON COUNTY</v>
          </cell>
          <cell r="D316">
            <v>5176794.7299999967</v>
          </cell>
          <cell r="E316">
            <v>5152816.6399999987</v>
          </cell>
          <cell r="F316">
            <v>39414615.532899983</v>
          </cell>
          <cell r="G316">
            <v>51757330.603164405</v>
          </cell>
          <cell r="M316">
            <v>317353.44</v>
          </cell>
          <cell r="V316">
            <v>316</v>
          </cell>
        </row>
        <row r="317">
          <cell r="B317">
            <v>99521</v>
          </cell>
          <cell r="C317" t="str">
            <v>TOWN OF BLOWING ROCK</v>
          </cell>
          <cell r="D317">
            <v>1995396.3399999999</v>
          </cell>
          <cell r="E317">
            <v>1946333.6400000004</v>
          </cell>
          <cell r="F317">
            <v>18443253.3299</v>
          </cell>
          <cell r="G317">
            <v>23032820.853925698</v>
          </cell>
          <cell r="M317">
            <v>125012.06</v>
          </cell>
          <cell r="R317" t="str">
            <v>False</v>
          </cell>
          <cell r="V317">
            <v>317</v>
          </cell>
        </row>
        <row r="318">
          <cell r="B318">
            <v>99831</v>
          </cell>
          <cell r="C318" t="str">
            <v>TOWN OF BLACK CREEK</v>
          </cell>
          <cell r="D318">
            <v>252746.16</v>
          </cell>
          <cell r="E318">
            <v>277867.58999999997</v>
          </cell>
          <cell r="F318">
            <v>2108571.2378000002</v>
          </cell>
          <cell r="G318">
            <v>2935521.3997</v>
          </cell>
          <cell r="M318">
            <v>19565.890000000003</v>
          </cell>
          <cell r="R318" t="str">
            <v>False</v>
          </cell>
          <cell r="V318">
            <v>318</v>
          </cell>
        </row>
      </sheetData>
      <sheetData sheetId="16">
        <row r="12">
          <cell r="P12">
            <v>1</v>
          </cell>
        </row>
      </sheetData>
      <sheetData sheetId="17"/>
      <sheetData sheetId="18"/>
      <sheetData sheetId="19"/>
      <sheetData sheetId="20"/>
      <sheetData sheetId="21"/>
      <sheetData sheetId="22">
        <row r="8">
          <cell r="L8">
            <v>1</v>
          </cell>
        </row>
      </sheetData>
      <sheetData sheetId="23">
        <row r="16">
          <cell r="B16">
            <v>10200</v>
          </cell>
          <cell r="C16" t="str">
            <v>North Carolina Education Lottery</v>
          </cell>
          <cell r="D16">
            <v>9.2975964199316333E-4</v>
          </cell>
          <cell r="E16">
            <v>1608700.9717741364</v>
          </cell>
          <cell r="F16">
            <v>1254341.0405541244</v>
          </cell>
          <cell r="G16">
            <v>21319</v>
          </cell>
          <cell r="H16">
            <v>-448884.73357642355</v>
          </cell>
          <cell r="I16">
            <v>-18575.697230208028</v>
          </cell>
          <cell r="J16">
            <v>1357518.5607777569</v>
          </cell>
          <cell r="K16">
            <v>0</v>
          </cell>
          <cell r="L16">
            <v>-71326.278781496105</v>
          </cell>
          <cell r="M16">
            <v>12800.011833711942</v>
          </cell>
          <cell r="N16">
            <v>482.5266590016119</v>
          </cell>
          <cell r="O16">
            <v>-217.75900575121878</v>
          </cell>
          <cell r="P16">
            <v>0</v>
          </cell>
          <cell r="Q16">
            <v>0</v>
          </cell>
          <cell r="R16">
            <v>0</v>
          </cell>
          <cell r="S16">
            <v>3716157.6430048523</v>
          </cell>
          <cell r="T16">
            <v>106594.64999999991</v>
          </cell>
          <cell r="U16">
            <v>6787592.8038887838</v>
          </cell>
          <cell r="V16">
            <v>51200.047334847768</v>
          </cell>
          <cell r="W16">
            <v>0</v>
          </cell>
          <cell r="X16">
            <v>6945387.5012236312</v>
          </cell>
          <cell r="Y16">
            <v>0</v>
          </cell>
          <cell r="Z16">
            <v>0</v>
          </cell>
          <cell r="AA16">
            <v>0</v>
          </cell>
          <cell r="AB16">
            <v>92878.486151040124</v>
          </cell>
          <cell r="AC16">
            <v>92878.486151040124</v>
          </cell>
          <cell r="AD16" t="str">
            <v>N/A</v>
          </cell>
          <cell r="AE16">
            <v>1373062</v>
          </cell>
          <cell r="AF16">
            <v>1373062</v>
          </cell>
          <cell r="AG16">
            <v>1373062</v>
          </cell>
          <cell r="AH16">
            <v>1373062</v>
          </cell>
          <cell r="AI16">
            <v>1360262</v>
          </cell>
          <cell r="AJ16">
            <v>0</v>
          </cell>
          <cell r="AK16">
            <v>6852510</v>
          </cell>
          <cell r="AL16">
            <v>30717456</v>
          </cell>
          <cell r="AM16">
            <v>3716157.6430048523</v>
          </cell>
          <cell r="AN16">
            <v>-838417.64999999991</v>
          </cell>
          <cell r="AO16">
            <v>6745914.3650725922</v>
          </cell>
          <cell r="AP16">
            <v>0</v>
          </cell>
          <cell r="AQ16">
            <v>106594.64999999991</v>
          </cell>
          <cell r="AR16">
            <v>0</v>
          </cell>
          <cell r="AS16">
            <v>0</v>
          </cell>
          <cell r="AT16">
            <v>40447705.008077443</v>
          </cell>
          <cell r="AU16">
            <v>9.2649452119676168E-4</v>
          </cell>
          <cell r="AV16">
            <v>0</v>
          </cell>
          <cell r="AW16">
            <v>0</v>
          </cell>
          <cell r="AY16">
            <v>0</v>
          </cell>
          <cell r="AZ16">
            <v>0</v>
          </cell>
          <cell r="BA16">
            <v>0</v>
          </cell>
          <cell r="BB16">
            <v>0</v>
          </cell>
          <cell r="BC16">
            <v>0</v>
          </cell>
          <cell r="BD16">
            <v>0</v>
          </cell>
          <cell r="BE16">
            <v>0</v>
          </cell>
          <cell r="BF16">
            <v>0</v>
          </cell>
          <cell r="BG16">
            <v>0</v>
          </cell>
          <cell r="BH16">
            <v>0</v>
          </cell>
          <cell r="BJ16">
            <v>0</v>
          </cell>
          <cell r="BL16">
            <v>0</v>
          </cell>
          <cell r="BM16">
            <v>0</v>
          </cell>
          <cell r="BN16">
            <v>0</v>
          </cell>
          <cell r="BO16">
            <v>0</v>
          </cell>
          <cell r="BQ16">
            <v>0</v>
          </cell>
          <cell r="BR16">
            <v>0</v>
          </cell>
          <cell r="BS16">
            <v>0</v>
          </cell>
          <cell r="BT16">
            <v>0</v>
          </cell>
          <cell r="CB16">
            <v>0</v>
          </cell>
          <cell r="CC16">
            <v>0</v>
          </cell>
          <cell r="CD16">
            <v>0</v>
          </cell>
          <cell r="CE16">
            <v>0</v>
          </cell>
          <cell r="CF16">
            <v>0</v>
          </cell>
          <cell r="CI16">
            <v>0</v>
          </cell>
          <cell r="CJ16">
            <v>0</v>
          </cell>
          <cell r="CK16">
            <v>0</v>
          </cell>
          <cell r="CV16">
            <v>9.2975964199316333E-4</v>
          </cell>
          <cell r="DG16">
            <v>40447705</v>
          </cell>
          <cell r="DR16">
            <v>14107712.330000008</v>
          </cell>
          <cell r="EC16">
            <v>2.867063351865212</v>
          </cell>
          <cell r="EN16">
            <v>2.4095909012463064E-2</v>
          </cell>
        </row>
        <row r="17">
          <cell r="B17" t="str">
            <v>SPA</v>
          </cell>
          <cell r="C17" t="str">
            <v>NC State Ports Authority (subset of DOT)</v>
          </cell>
          <cell r="D17">
            <v>6.0591550498597594E-4</v>
          </cell>
          <cell r="E17">
            <v>1048375.1043381204</v>
          </cell>
          <cell r="F17">
            <v>817442.11157917243</v>
          </cell>
          <cell r="G17">
            <v>161699</v>
          </cell>
          <cell r="H17">
            <v>-292533.90633560531</v>
          </cell>
          <cell r="I17">
            <v>-12105.604996555499</v>
          </cell>
          <cell r="J17">
            <v>884681.91899378877</v>
          </cell>
          <cell r="K17">
            <v>0</v>
          </cell>
          <cell r="L17">
            <v>-46482.65667244191</v>
          </cell>
          <cell r="M17">
            <v>8341.6458230255903</v>
          </cell>
          <cell r="N17">
            <v>314.45802877762179</v>
          </cell>
          <cell r="O17">
            <v>-141.91147042276543</v>
          </cell>
          <cell r="P17">
            <v>0</v>
          </cell>
          <cell r="Q17">
            <v>0</v>
          </cell>
          <cell r="R17">
            <v>0</v>
          </cell>
          <cell r="S17">
            <v>2569590.1592878592</v>
          </cell>
          <cell r="T17">
            <v>808493.76502732246</v>
          </cell>
          <cell r="U17">
            <v>4423409.5949689439</v>
          </cell>
          <cell r="V17">
            <v>33366.583292102361</v>
          </cell>
          <cell r="W17">
            <v>0</v>
          </cell>
          <cell r="X17">
            <v>5265269.9432883691</v>
          </cell>
          <cell r="Y17">
            <v>0</v>
          </cell>
          <cell r="Z17">
            <v>0</v>
          </cell>
          <cell r="AA17">
            <v>0</v>
          </cell>
          <cell r="AB17">
            <v>60528.024982777497</v>
          </cell>
          <cell r="AC17">
            <v>60528.024982777497</v>
          </cell>
          <cell r="AD17" t="str">
            <v>N/A</v>
          </cell>
          <cell r="AE17">
            <v>1042617</v>
          </cell>
          <cell r="AF17">
            <v>1042616</v>
          </cell>
          <cell r="AG17">
            <v>1042616</v>
          </cell>
          <cell r="AH17">
            <v>1042616</v>
          </cell>
          <cell r="AI17">
            <v>1034274</v>
          </cell>
          <cell r="AJ17">
            <v>0</v>
          </cell>
          <cell r="AK17">
            <v>5204739</v>
          </cell>
          <cell r="AL17">
            <v>19275112</v>
          </cell>
          <cell r="AM17">
            <v>2569590.1592878592</v>
          </cell>
          <cell r="AN17">
            <v>-690060.76502732246</v>
          </cell>
          <cell r="AO17">
            <v>4396248.1532782689</v>
          </cell>
          <cell r="AP17">
            <v>0</v>
          </cell>
          <cell r="AQ17">
            <v>808493.76502732246</v>
          </cell>
          <cell r="AR17">
            <v>0</v>
          </cell>
          <cell r="AS17">
            <v>0</v>
          </cell>
          <cell r="AT17">
            <v>26359383.312566128</v>
          </cell>
          <cell r="AU17">
            <v>5.8137255472740955E-4</v>
          </cell>
          <cell r="AV17">
            <v>0</v>
          </cell>
          <cell r="AW17">
            <v>0</v>
          </cell>
          <cell r="AY17">
            <v>0</v>
          </cell>
          <cell r="AZ17">
            <v>0</v>
          </cell>
          <cell r="BA17">
            <v>0</v>
          </cell>
          <cell r="BB17">
            <v>0</v>
          </cell>
          <cell r="BC17">
            <v>0</v>
          </cell>
          <cell r="BD17">
            <v>0</v>
          </cell>
          <cell r="BE17">
            <v>0</v>
          </cell>
          <cell r="BF17">
            <v>0</v>
          </cell>
          <cell r="BG17">
            <v>0</v>
          </cell>
          <cell r="BH17">
            <v>0</v>
          </cell>
          <cell r="BJ17">
            <v>0</v>
          </cell>
          <cell r="BL17">
            <v>0</v>
          </cell>
          <cell r="BM17">
            <v>0</v>
          </cell>
          <cell r="BN17">
            <v>0</v>
          </cell>
          <cell r="BO17">
            <v>0</v>
          </cell>
          <cell r="BQ17">
            <v>0</v>
          </cell>
          <cell r="BR17">
            <v>0</v>
          </cell>
          <cell r="BS17">
            <v>0</v>
          </cell>
          <cell r="BT17">
            <v>0</v>
          </cell>
          <cell r="CB17">
            <v>0</v>
          </cell>
          <cell r="CC17">
            <v>0</v>
          </cell>
          <cell r="CD17">
            <v>0</v>
          </cell>
          <cell r="CE17">
            <v>0</v>
          </cell>
          <cell r="CF17">
            <v>0</v>
          </cell>
          <cell r="CI17">
            <v>0</v>
          </cell>
          <cell r="CJ17">
            <v>0</v>
          </cell>
          <cell r="CK17">
            <v>0</v>
          </cell>
          <cell r="CV17">
            <v>6.0591550498597594E-4</v>
          </cell>
          <cell r="DG17">
            <v>26359384</v>
          </cell>
          <cell r="DR17">
            <v>11585996.839999992</v>
          </cell>
          <cell r="EC17">
            <v>2.2751071283737736</v>
          </cell>
          <cell r="EN17">
            <v>2.4095909012463064E-2</v>
          </cell>
        </row>
        <row r="18">
          <cell r="B18" t="str">
            <v>GTPA</v>
          </cell>
          <cell r="C18" t="str">
            <v>NC Global TransPark Authority (subset of DOT)</v>
          </cell>
          <cell r="D18">
            <v>1.522404319666764E-5</v>
          </cell>
          <cell r="E18">
            <v>26341.144505163142</v>
          </cell>
          <cell r="F18">
            <v>20538.794460697234</v>
          </cell>
          <cell r="G18">
            <v>-7164</v>
          </cell>
          <cell r="H18">
            <v>-7350.1153046847003</v>
          </cell>
          <cell r="I18">
            <v>-304.16163949067806</v>
          </cell>
          <cell r="J18">
            <v>22228.240801304451</v>
          </cell>
          <cell r="K18">
            <v>0</v>
          </cell>
          <cell r="L18">
            <v>-1167.908672502952</v>
          </cell>
          <cell r="M18">
            <v>209.58958022370311</v>
          </cell>
          <cell r="N18">
            <v>7.9009739382065716</v>
          </cell>
          <cell r="O18">
            <v>-3.5656231570915278</v>
          </cell>
          <cell r="P18">
            <v>0</v>
          </cell>
          <cell r="Q18">
            <v>0</v>
          </cell>
          <cell r="R18">
            <v>0</v>
          </cell>
          <cell r="S18">
            <v>53335.919081491324</v>
          </cell>
          <cell r="T18">
            <v>9694.6502732240442</v>
          </cell>
          <cell r="U18">
            <v>111141.20400652227</v>
          </cell>
          <cell r="V18">
            <v>838.35832089481244</v>
          </cell>
          <cell r="W18">
            <v>0</v>
          </cell>
          <cell r="X18">
            <v>121674.21260064113</v>
          </cell>
          <cell r="Y18">
            <v>45516</v>
          </cell>
          <cell r="Z18">
            <v>0</v>
          </cell>
          <cell r="AA18">
            <v>0</v>
          </cell>
          <cell r="AB18">
            <v>1520.8081974533902</v>
          </cell>
          <cell r="AC18">
            <v>47036.808197453392</v>
          </cell>
          <cell r="AD18" t="str">
            <v>N/A</v>
          </cell>
          <cell r="AE18">
            <v>14970</v>
          </cell>
          <cell r="AF18">
            <v>14970</v>
          </cell>
          <cell r="AG18">
            <v>14970</v>
          </cell>
          <cell r="AH18">
            <v>14970</v>
          </cell>
          <cell r="AI18">
            <v>14760</v>
          </cell>
          <cell r="AJ18">
            <v>0</v>
          </cell>
          <cell r="AK18">
            <v>74640</v>
          </cell>
          <cell r="AL18">
            <v>559364</v>
          </cell>
          <cell r="AM18">
            <v>53335.919081491324</v>
          </cell>
          <cell r="AN18">
            <v>-25039.650273224044</v>
          </cell>
          <cell r="AO18">
            <v>110458.75412996369</v>
          </cell>
          <cell r="AP18">
            <v>0</v>
          </cell>
          <cell r="AQ18">
            <v>-35821.349726775952</v>
          </cell>
          <cell r="AR18">
            <v>0</v>
          </cell>
          <cell r="AS18">
            <v>0</v>
          </cell>
          <cell r="AT18">
            <v>662297.67321145511</v>
          </cell>
          <cell r="AU18">
            <v>1.6871427572934688E-5</v>
          </cell>
          <cell r="AV18">
            <v>0</v>
          </cell>
          <cell r="AW18">
            <v>0</v>
          </cell>
          <cell r="AY18">
            <v>0</v>
          </cell>
          <cell r="AZ18">
            <v>0</v>
          </cell>
          <cell r="BA18">
            <v>0</v>
          </cell>
          <cell r="BB18">
            <v>0</v>
          </cell>
          <cell r="BC18">
            <v>0</v>
          </cell>
          <cell r="BD18">
            <v>0</v>
          </cell>
          <cell r="BE18">
            <v>0</v>
          </cell>
          <cell r="BF18">
            <v>0</v>
          </cell>
          <cell r="BG18">
            <v>0</v>
          </cell>
          <cell r="BH18">
            <v>0</v>
          </cell>
          <cell r="BJ18">
            <v>0</v>
          </cell>
          <cell r="BL18">
            <v>0</v>
          </cell>
          <cell r="BM18">
            <v>0</v>
          </cell>
          <cell r="BN18">
            <v>0</v>
          </cell>
          <cell r="BO18">
            <v>0</v>
          </cell>
          <cell r="BQ18">
            <v>0</v>
          </cell>
          <cell r="BR18">
            <v>0</v>
          </cell>
          <cell r="BS18">
            <v>0</v>
          </cell>
          <cell r="BT18">
            <v>0</v>
          </cell>
          <cell r="CB18">
            <v>0</v>
          </cell>
          <cell r="CC18">
            <v>0</v>
          </cell>
          <cell r="CD18">
            <v>0</v>
          </cell>
          <cell r="CE18">
            <v>0</v>
          </cell>
          <cell r="CF18">
            <v>0</v>
          </cell>
          <cell r="CI18">
            <v>0</v>
          </cell>
          <cell r="CJ18">
            <v>0</v>
          </cell>
          <cell r="CK18">
            <v>0</v>
          </cell>
          <cell r="CV18">
            <v>1.522404319666764E-5</v>
          </cell>
          <cell r="DG18">
            <v>662298</v>
          </cell>
          <cell r="DR18">
            <v>413152.68</v>
          </cell>
          <cell r="EC18">
            <v>1.6030345004660262</v>
          </cell>
          <cell r="EN18">
            <v>2.4095909012463064E-2</v>
          </cell>
        </row>
        <row r="19">
          <cell r="B19" t="str">
            <v>SEAA</v>
          </cell>
          <cell r="C19" t="str">
            <v>State Education Assistance Authority (subset of UNC General Administration)</v>
          </cell>
          <cell r="D19">
            <v>9.683277732053869E-5</v>
          </cell>
          <cell r="E19">
            <v>167543.28316638697</v>
          </cell>
          <cell r="F19">
            <v>130637.34020935645</v>
          </cell>
          <cell r="G19">
            <v>-23095</v>
          </cell>
          <cell r="H19">
            <v>-46750.529368874006</v>
          </cell>
          <cell r="I19">
            <v>-1934.6251140891181</v>
          </cell>
          <cell r="J19">
            <v>141383.09146489849</v>
          </cell>
          <cell r="K19">
            <v>0</v>
          </cell>
          <cell r="L19">
            <v>-7428.5023337268731</v>
          </cell>
          <cell r="M19">
            <v>1333.0979745872887</v>
          </cell>
          <cell r="N19">
            <v>50.254274773813172</v>
          </cell>
          <cell r="O19">
            <v>-22.679204776243367</v>
          </cell>
          <cell r="P19">
            <v>0</v>
          </cell>
          <cell r="Q19">
            <v>0</v>
          </cell>
          <cell r="R19">
            <v>0</v>
          </cell>
          <cell r="S19">
            <v>361715.73106853681</v>
          </cell>
          <cell r="T19">
            <v>24352.601092896177</v>
          </cell>
          <cell r="U19">
            <v>706915.45732449251</v>
          </cell>
          <cell r="V19">
            <v>5332.3918983491549</v>
          </cell>
          <cell r="W19">
            <v>0</v>
          </cell>
          <cell r="X19">
            <v>736600.45031573786</v>
          </cell>
          <cell r="Y19">
            <v>139827</v>
          </cell>
          <cell r="Z19">
            <v>0</v>
          </cell>
          <cell r="AA19">
            <v>0</v>
          </cell>
          <cell r="AB19">
            <v>9673.1255704455907</v>
          </cell>
          <cell r="AC19">
            <v>149500.12557044558</v>
          </cell>
          <cell r="AD19" t="str">
            <v>N/A</v>
          </cell>
          <cell r="AE19">
            <v>117688</v>
          </cell>
          <cell r="AF19">
            <v>117686</v>
          </cell>
          <cell r="AG19">
            <v>117686</v>
          </cell>
          <cell r="AH19">
            <v>117686</v>
          </cell>
          <cell r="AI19">
            <v>116352</v>
          </cell>
          <cell r="AJ19">
            <v>0</v>
          </cell>
          <cell r="AK19">
            <v>587098</v>
          </cell>
          <cell r="AL19">
            <v>3378234</v>
          </cell>
          <cell r="AM19">
            <v>361715.73106853681</v>
          </cell>
          <cell r="AN19">
            <v>-114494.60109289618</v>
          </cell>
          <cell r="AO19">
            <v>702574.72365239612</v>
          </cell>
          <cell r="AP19">
            <v>0</v>
          </cell>
          <cell r="AQ19">
            <v>-115474.39890710382</v>
          </cell>
          <cell r="AR19">
            <v>0</v>
          </cell>
          <cell r="AS19">
            <v>0</v>
          </cell>
          <cell r="AT19">
            <v>4212555.454720933</v>
          </cell>
          <cell r="AU19">
            <v>1.0189371226110923E-4</v>
          </cell>
          <cell r="AV19">
            <v>0</v>
          </cell>
          <cell r="AW19">
            <v>0</v>
          </cell>
          <cell r="AY19">
            <v>0</v>
          </cell>
          <cell r="AZ19">
            <v>0</v>
          </cell>
          <cell r="BA19">
            <v>0</v>
          </cell>
          <cell r="BB19">
            <v>0</v>
          </cell>
          <cell r="BC19">
            <v>0</v>
          </cell>
          <cell r="BD19">
            <v>0</v>
          </cell>
          <cell r="BE19">
            <v>0</v>
          </cell>
          <cell r="BF19">
            <v>0</v>
          </cell>
          <cell r="BG19">
            <v>0</v>
          </cell>
          <cell r="BH19">
            <v>0</v>
          </cell>
          <cell r="BJ19">
            <v>0</v>
          </cell>
          <cell r="BL19">
            <v>0</v>
          </cell>
          <cell r="BM19">
            <v>0</v>
          </cell>
          <cell r="BN19">
            <v>0</v>
          </cell>
          <cell r="BO19">
            <v>0</v>
          </cell>
          <cell r="BQ19">
            <v>0</v>
          </cell>
          <cell r="BR19">
            <v>0</v>
          </cell>
          <cell r="BS19">
            <v>0</v>
          </cell>
          <cell r="BT19">
            <v>0</v>
          </cell>
          <cell r="CB19">
            <v>0</v>
          </cell>
          <cell r="CC19">
            <v>0</v>
          </cell>
          <cell r="CD19">
            <v>0</v>
          </cell>
          <cell r="CE19">
            <v>0</v>
          </cell>
          <cell r="CF19">
            <v>0</v>
          </cell>
          <cell r="CI19">
            <v>0</v>
          </cell>
          <cell r="CJ19">
            <v>0</v>
          </cell>
          <cell r="CK19">
            <v>0</v>
          </cell>
          <cell r="CV19">
            <v>9.683277732053869E-5</v>
          </cell>
          <cell r="DG19">
            <v>4212555</v>
          </cell>
          <cell r="DR19">
            <v>1806684.4100000004</v>
          </cell>
          <cell r="EC19">
            <v>2.3316496100168371</v>
          </cell>
          <cell r="EN19">
            <v>2.4095909012463064E-2</v>
          </cell>
        </row>
        <row r="20">
          <cell r="B20" t="str">
            <v>SHP</v>
          </cell>
          <cell r="C20" t="str">
            <v>State Health Plan (subset of Department of Treasurer)</v>
          </cell>
          <cell r="D20">
            <v>1.2782000866170282E-4</v>
          </cell>
          <cell r="E20">
            <v>221158.41864834551</v>
          </cell>
          <cell r="F20">
            <v>172442.29091795365</v>
          </cell>
          <cell r="G20">
            <v>115</v>
          </cell>
          <cell r="H20">
            <v>-61711.057290940706</v>
          </cell>
          <cell r="I20">
            <v>-2553.7199869983365</v>
          </cell>
          <cell r="J20">
            <v>186626.76498310638</v>
          </cell>
          <cell r="K20">
            <v>0</v>
          </cell>
          <cell r="L20">
            <v>-9805.6800487850178</v>
          </cell>
          <cell r="M20">
            <v>1759.6995498186934</v>
          </cell>
          <cell r="N20">
            <v>66.336028095250526</v>
          </cell>
          <cell r="O20">
            <v>-29.936724228657418</v>
          </cell>
          <cell r="P20">
            <v>0</v>
          </cell>
          <cell r="Q20">
            <v>0</v>
          </cell>
          <cell r="R20">
            <v>0</v>
          </cell>
          <cell r="S20">
            <v>508068.1160763668</v>
          </cell>
          <cell r="T20">
            <v>34436.103825136641</v>
          </cell>
          <cell r="U20">
            <v>933133.82491553191</v>
          </cell>
          <cell r="V20">
            <v>7038.7981992747737</v>
          </cell>
          <cell r="W20">
            <v>0</v>
          </cell>
          <cell r="X20">
            <v>974608.72693994339</v>
          </cell>
          <cell r="Y20">
            <v>33862</v>
          </cell>
          <cell r="Z20">
            <v>0</v>
          </cell>
          <cell r="AA20">
            <v>0</v>
          </cell>
          <cell r="AB20">
            <v>12768.599934991682</v>
          </cell>
          <cell r="AC20">
            <v>46630.599934991682</v>
          </cell>
          <cell r="AD20" t="str">
            <v>N/A</v>
          </cell>
          <cell r="AE20">
            <v>185948</v>
          </cell>
          <cell r="AF20">
            <v>185947</v>
          </cell>
          <cell r="AG20">
            <v>185947</v>
          </cell>
          <cell r="AH20">
            <v>185947</v>
          </cell>
          <cell r="AI20">
            <v>184187</v>
          </cell>
          <cell r="AJ20">
            <v>0</v>
          </cell>
          <cell r="AK20">
            <v>927976</v>
          </cell>
          <cell r="AL20">
            <v>4278442</v>
          </cell>
          <cell r="AM20">
            <v>508068.1160763668</v>
          </cell>
          <cell r="AN20">
            <v>-153883.10382513664</v>
          </cell>
          <cell r="AO20">
            <v>927404.02317981503</v>
          </cell>
          <cell r="AP20">
            <v>0</v>
          </cell>
          <cell r="AQ20">
            <v>574.10382513664081</v>
          </cell>
          <cell r="AR20">
            <v>0</v>
          </cell>
          <cell r="AS20">
            <v>0</v>
          </cell>
          <cell r="AT20">
            <v>5560605.1392561821</v>
          </cell>
          <cell r="AU20">
            <v>1.2904562970872618E-4</v>
          </cell>
          <cell r="AV20">
            <v>0</v>
          </cell>
          <cell r="AW20">
            <v>0</v>
          </cell>
          <cell r="AY20">
            <v>0</v>
          </cell>
          <cell r="AZ20">
            <v>0</v>
          </cell>
          <cell r="BA20">
            <v>0</v>
          </cell>
          <cell r="BB20">
            <v>0</v>
          </cell>
          <cell r="BC20">
            <v>0</v>
          </cell>
          <cell r="BD20">
            <v>0</v>
          </cell>
          <cell r="BE20">
            <v>0</v>
          </cell>
          <cell r="BF20">
            <v>0</v>
          </cell>
          <cell r="BG20">
            <v>0</v>
          </cell>
          <cell r="BH20">
            <v>0</v>
          </cell>
          <cell r="BJ20">
            <v>0</v>
          </cell>
          <cell r="BL20">
            <v>0</v>
          </cell>
          <cell r="BM20">
            <v>0</v>
          </cell>
          <cell r="BN20">
            <v>0</v>
          </cell>
          <cell r="BO20">
            <v>0</v>
          </cell>
          <cell r="BQ20">
            <v>0</v>
          </cell>
          <cell r="BR20">
            <v>0</v>
          </cell>
          <cell r="BS20">
            <v>0</v>
          </cell>
          <cell r="BT20">
            <v>0</v>
          </cell>
          <cell r="CB20">
            <v>0</v>
          </cell>
          <cell r="CC20">
            <v>0</v>
          </cell>
          <cell r="CD20">
            <v>0</v>
          </cell>
          <cell r="CE20">
            <v>0</v>
          </cell>
          <cell r="CF20">
            <v>0</v>
          </cell>
          <cell r="CI20">
            <v>0</v>
          </cell>
          <cell r="CJ20">
            <v>0</v>
          </cell>
          <cell r="CK20">
            <v>0</v>
          </cell>
          <cell r="CV20">
            <v>1.2782000866170282E-4</v>
          </cell>
          <cell r="DG20">
            <v>5560605</v>
          </cell>
          <cell r="DR20">
            <v>2028909.9300000002</v>
          </cell>
          <cell r="EC20">
            <v>2.740685980081925</v>
          </cell>
          <cell r="EN20">
            <v>2.4095909012463064E-2</v>
          </cell>
        </row>
        <row r="21">
          <cell r="B21">
            <v>10400</v>
          </cell>
          <cell r="C21" t="str">
            <v>Department Of Justice</v>
          </cell>
          <cell r="D21">
            <v>2.7120260227884259E-3</v>
          </cell>
          <cell r="E21">
            <v>4692437.3798196847</v>
          </cell>
          <cell r="F21">
            <v>3658801.0382357636</v>
          </cell>
          <cell r="G21">
            <v>-97610</v>
          </cell>
          <cell r="H21">
            <v>-1309356.7667466705</v>
          </cell>
          <cell r="I21">
            <v>-54183.653499700398</v>
          </cell>
          <cell r="J21">
            <v>3959760.6703546713</v>
          </cell>
          <cell r="K21">
            <v>0</v>
          </cell>
          <cell r="L21">
            <v>-208052.39916565636</v>
          </cell>
          <cell r="M21">
            <v>37336.49388201972</v>
          </cell>
          <cell r="N21">
            <v>1407.4872653067373</v>
          </cell>
          <cell r="O21">
            <v>-635.18361479727719</v>
          </cell>
          <cell r="P21">
            <v>0</v>
          </cell>
          <cell r="Q21">
            <v>0</v>
          </cell>
          <cell r="R21">
            <v>0</v>
          </cell>
          <cell r="S21">
            <v>10679905.066530623</v>
          </cell>
          <cell r="T21">
            <v>270493.90999999922</v>
          </cell>
          <cell r="U21">
            <v>19798803.351773355</v>
          </cell>
          <cell r="V21">
            <v>149345.97552807888</v>
          </cell>
          <cell r="W21">
            <v>0</v>
          </cell>
          <cell r="X21">
            <v>20218643.237301435</v>
          </cell>
          <cell r="Y21">
            <v>758542</v>
          </cell>
          <cell r="Z21">
            <v>0</v>
          </cell>
          <cell r="AA21">
            <v>0</v>
          </cell>
          <cell r="AB21">
            <v>270918.26749850198</v>
          </cell>
          <cell r="AC21">
            <v>1029460.267498502</v>
          </cell>
          <cell r="AD21" t="str">
            <v>N/A</v>
          </cell>
          <cell r="AE21">
            <v>3845305</v>
          </cell>
          <cell r="AF21">
            <v>3845304</v>
          </cell>
          <cell r="AG21">
            <v>3845304</v>
          </cell>
          <cell r="AH21">
            <v>3845304</v>
          </cell>
          <cell r="AI21">
            <v>3807967</v>
          </cell>
          <cell r="AJ21">
            <v>0</v>
          </cell>
          <cell r="AK21">
            <v>19189184</v>
          </cell>
          <cell r="AL21">
            <v>90826099</v>
          </cell>
          <cell r="AM21">
            <v>10679905.066530623</v>
          </cell>
          <cell r="AN21">
            <v>-2712836.9099999992</v>
          </cell>
          <cell r="AO21">
            <v>19677231.059802935</v>
          </cell>
          <cell r="AP21">
            <v>0</v>
          </cell>
          <cell r="AQ21">
            <v>-488048.09000000078</v>
          </cell>
          <cell r="AR21">
            <v>0</v>
          </cell>
          <cell r="AS21">
            <v>0</v>
          </cell>
          <cell r="AT21">
            <v>117982350.12633355</v>
          </cell>
          <cell r="AU21">
            <v>2.7394808535894772E-3</v>
          </cell>
          <cell r="AV21">
            <v>0</v>
          </cell>
          <cell r="AW21">
            <v>0</v>
          </cell>
          <cell r="AY21">
            <v>0</v>
          </cell>
          <cell r="AZ21">
            <v>0</v>
          </cell>
          <cell r="BA21">
            <v>0</v>
          </cell>
          <cell r="BB21">
            <v>0</v>
          </cell>
          <cell r="BC21">
            <v>0</v>
          </cell>
          <cell r="BD21">
            <v>0</v>
          </cell>
          <cell r="BE21">
            <v>0</v>
          </cell>
          <cell r="BF21">
            <v>0</v>
          </cell>
          <cell r="BG21">
            <v>0</v>
          </cell>
          <cell r="BH21">
            <v>0</v>
          </cell>
          <cell r="BJ21">
            <v>0</v>
          </cell>
          <cell r="BL21">
            <v>0</v>
          </cell>
          <cell r="BM21">
            <v>0</v>
          </cell>
          <cell r="BN21">
            <v>0</v>
          </cell>
          <cell r="BO21">
            <v>0</v>
          </cell>
          <cell r="BQ21">
            <v>0</v>
          </cell>
          <cell r="BR21">
            <v>0</v>
          </cell>
          <cell r="BS21">
            <v>0</v>
          </cell>
          <cell r="BT21">
            <v>0</v>
          </cell>
          <cell r="CB21">
            <v>0</v>
          </cell>
          <cell r="CC21">
            <v>0</v>
          </cell>
          <cell r="CD21">
            <v>0</v>
          </cell>
          <cell r="CE21">
            <v>0</v>
          </cell>
          <cell r="CF21">
            <v>0</v>
          </cell>
          <cell r="CI21">
            <v>0</v>
          </cell>
          <cell r="CJ21">
            <v>0</v>
          </cell>
          <cell r="CK21">
            <v>0</v>
          </cell>
          <cell r="CV21">
            <v>2.7120260227884259E-3</v>
          </cell>
          <cell r="DG21">
            <v>117982350</v>
          </cell>
          <cell r="DR21">
            <v>46652416.75000006</v>
          </cell>
          <cell r="EC21">
            <v>2.528965447433114</v>
          </cell>
          <cell r="EN21">
            <v>2.4095909012463064E-2</v>
          </cell>
        </row>
        <row r="22">
          <cell r="B22">
            <v>10500</v>
          </cell>
          <cell r="C22" t="str">
            <v>State Auditor</v>
          </cell>
          <cell r="D22">
            <v>6.1190789513673456E-4</v>
          </cell>
          <cell r="E22">
            <v>1058743.3365385518</v>
          </cell>
          <cell r="F22">
            <v>825526.46000388521</v>
          </cell>
          <cell r="G22">
            <v>-115823</v>
          </cell>
          <cell r="H22">
            <v>-295427.01153701288</v>
          </cell>
          <cell r="I22">
            <v>-12225.327148494842</v>
          </cell>
          <cell r="J22">
            <v>893431.25644151645</v>
          </cell>
          <cell r="K22">
            <v>0</v>
          </cell>
          <cell r="L22">
            <v>-46942.361386602483</v>
          </cell>
          <cell r="M22">
            <v>8424.1431281113419</v>
          </cell>
          <cell r="N22">
            <v>317.56795941806251</v>
          </cell>
          <cell r="O22">
            <v>-143.31494811997459</v>
          </cell>
          <cell r="P22">
            <v>0</v>
          </cell>
          <cell r="Q22">
            <v>0</v>
          </cell>
          <cell r="R22">
            <v>0</v>
          </cell>
          <cell r="S22">
            <v>2315881.7490512528</v>
          </cell>
          <cell r="T22">
            <v>47831.930000000051</v>
          </cell>
          <cell r="U22">
            <v>4467156.2822075821</v>
          </cell>
          <cell r="V22">
            <v>33696.572512445367</v>
          </cell>
          <cell r="W22">
            <v>0</v>
          </cell>
          <cell r="X22">
            <v>4548684.7847200269</v>
          </cell>
          <cell r="Y22">
            <v>626945</v>
          </cell>
          <cell r="Z22">
            <v>0</v>
          </cell>
          <cell r="AA22">
            <v>0</v>
          </cell>
          <cell r="AB22">
            <v>61126.635742474202</v>
          </cell>
          <cell r="AC22">
            <v>688071.63574247423</v>
          </cell>
          <cell r="AD22" t="str">
            <v>N/A</v>
          </cell>
          <cell r="AE22">
            <v>773807</v>
          </cell>
          <cell r="AF22">
            <v>773807</v>
          </cell>
          <cell r="AG22">
            <v>773807</v>
          </cell>
          <cell r="AH22">
            <v>773807</v>
          </cell>
          <cell r="AI22">
            <v>765383</v>
          </cell>
          <cell r="AJ22">
            <v>0</v>
          </cell>
          <cell r="AK22">
            <v>3860611</v>
          </cell>
          <cell r="AL22">
            <v>21039830</v>
          </cell>
          <cell r="AM22">
            <v>2315881.7490512528</v>
          </cell>
          <cell r="AN22">
            <v>-596251.93000000005</v>
          </cell>
          <cell r="AO22">
            <v>4439726.2189775538</v>
          </cell>
          <cell r="AP22">
            <v>0</v>
          </cell>
          <cell r="AQ22">
            <v>-579113.06999999995</v>
          </cell>
          <cell r="AR22">
            <v>0</v>
          </cell>
          <cell r="AS22">
            <v>0</v>
          </cell>
          <cell r="AT22">
            <v>26620072.968028806</v>
          </cell>
          <cell r="AU22">
            <v>6.3459966366926637E-4</v>
          </cell>
          <cell r="AV22">
            <v>0</v>
          </cell>
          <cell r="AW22">
            <v>0</v>
          </cell>
          <cell r="AY22">
            <v>0</v>
          </cell>
          <cell r="AZ22">
            <v>0</v>
          </cell>
          <cell r="BA22">
            <v>0</v>
          </cell>
          <cell r="BB22">
            <v>0</v>
          </cell>
          <cell r="BC22">
            <v>0</v>
          </cell>
          <cell r="BD22">
            <v>0</v>
          </cell>
          <cell r="BE22">
            <v>0</v>
          </cell>
          <cell r="BF22">
            <v>0</v>
          </cell>
          <cell r="BG22">
            <v>0</v>
          </cell>
          <cell r="BH22">
            <v>0</v>
          </cell>
          <cell r="BJ22">
            <v>0</v>
          </cell>
          <cell r="BL22">
            <v>0</v>
          </cell>
          <cell r="BM22">
            <v>0</v>
          </cell>
          <cell r="BN22">
            <v>0</v>
          </cell>
          <cell r="BO22">
            <v>0</v>
          </cell>
          <cell r="BQ22">
            <v>0</v>
          </cell>
          <cell r="BR22">
            <v>0</v>
          </cell>
          <cell r="BS22">
            <v>0</v>
          </cell>
          <cell r="BT22">
            <v>0</v>
          </cell>
          <cell r="CB22">
            <v>0</v>
          </cell>
          <cell r="CC22">
            <v>0</v>
          </cell>
          <cell r="CD22">
            <v>0</v>
          </cell>
          <cell r="CE22">
            <v>0</v>
          </cell>
          <cell r="CF22">
            <v>0</v>
          </cell>
          <cell r="CI22">
            <v>0</v>
          </cell>
          <cell r="CJ22">
            <v>0</v>
          </cell>
          <cell r="CK22">
            <v>0</v>
          </cell>
          <cell r="CV22">
            <v>6.1190789513673456E-4</v>
          </cell>
          <cell r="DG22">
            <v>26620073</v>
          </cell>
          <cell r="DR22">
            <v>9868361.1599999983</v>
          </cell>
          <cell r="EC22">
            <v>2.6975171022216626</v>
          </cell>
          <cell r="EN22">
            <v>2.4095909012463064E-2</v>
          </cell>
        </row>
        <row r="23">
          <cell r="B23">
            <v>10700</v>
          </cell>
          <cell r="C23" t="str">
            <v>Department Of Cultural Resources</v>
          </cell>
          <cell r="D23">
            <v>3.7215068930898806E-3</v>
          </cell>
          <cell r="E23">
            <v>6439074.665086248</v>
          </cell>
          <cell r="F23">
            <v>5020694.1857582079</v>
          </cell>
          <cell r="G23">
            <v>11728570</v>
          </cell>
          <cell r="H23">
            <v>-1796730.6331196493</v>
          </cell>
          <cell r="I23">
            <v>-74352.103666248498</v>
          </cell>
          <cell r="J23">
            <v>5433678.1822468303</v>
          </cell>
          <cell r="K23">
            <v>0</v>
          </cell>
          <cell r="L23">
            <v>-285494.47207103024</v>
          </cell>
          <cell r="M23">
            <v>51234.028795521008</v>
          </cell>
          <cell r="N23">
            <v>1931.3876473757862</v>
          </cell>
          <cell r="O23">
            <v>-871.61412943058087</v>
          </cell>
          <cell r="P23">
            <v>0</v>
          </cell>
          <cell r="Q23">
            <v>0</v>
          </cell>
          <cell r="R23">
            <v>0</v>
          </cell>
          <cell r="S23">
            <v>26517733.626547825</v>
          </cell>
          <cell r="T23">
            <v>58642846.25</v>
          </cell>
          <cell r="U23">
            <v>27168390.911234155</v>
          </cell>
          <cell r="V23">
            <v>204936.11518208403</v>
          </cell>
          <cell r="W23">
            <v>0</v>
          </cell>
          <cell r="X23">
            <v>86016173.276416242</v>
          </cell>
          <cell r="Y23">
            <v>0</v>
          </cell>
          <cell r="Z23">
            <v>0</v>
          </cell>
          <cell r="AA23">
            <v>0</v>
          </cell>
          <cell r="AB23">
            <v>371760.51833124249</v>
          </cell>
          <cell r="AC23">
            <v>371760.51833124249</v>
          </cell>
          <cell r="AD23" t="str">
            <v>N/A</v>
          </cell>
          <cell r="AE23">
            <v>17139130</v>
          </cell>
          <cell r="AF23">
            <v>17139130</v>
          </cell>
          <cell r="AG23">
            <v>17139130</v>
          </cell>
          <cell r="AH23">
            <v>17139130</v>
          </cell>
          <cell r="AI23">
            <v>17087896</v>
          </cell>
          <cell r="AJ23">
            <v>0</v>
          </cell>
          <cell r="AK23">
            <v>85644416</v>
          </cell>
          <cell r="AL23">
            <v>53077697</v>
          </cell>
          <cell r="AM23">
            <v>26517733.626547825</v>
          </cell>
          <cell r="AN23">
            <v>-3341643.25</v>
          </cell>
          <cell r="AO23">
            <v>27001566.508084998</v>
          </cell>
          <cell r="AP23">
            <v>0</v>
          </cell>
          <cell r="AQ23">
            <v>58642846.25</v>
          </cell>
          <cell r="AR23">
            <v>0</v>
          </cell>
          <cell r="AS23">
            <v>0</v>
          </cell>
          <cell r="AT23">
            <v>161898200.13463283</v>
          </cell>
          <cell r="AU23">
            <v>1.6009201690367701E-3</v>
          </cell>
          <cell r="AV23">
            <v>0</v>
          </cell>
          <cell r="AW23">
            <v>0</v>
          </cell>
          <cell r="AY23">
            <v>0</v>
          </cell>
          <cell r="AZ23">
            <v>0</v>
          </cell>
          <cell r="BA23">
            <v>0</v>
          </cell>
          <cell r="BB23">
            <v>0</v>
          </cell>
          <cell r="BC23">
            <v>0</v>
          </cell>
          <cell r="BD23">
            <v>0</v>
          </cell>
          <cell r="BE23">
            <v>0</v>
          </cell>
          <cell r="BF23">
            <v>0</v>
          </cell>
          <cell r="BG23">
            <v>0</v>
          </cell>
          <cell r="BH23">
            <v>0</v>
          </cell>
          <cell r="BJ23">
            <v>0</v>
          </cell>
          <cell r="BL23">
            <v>0</v>
          </cell>
          <cell r="BM23">
            <v>0</v>
          </cell>
          <cell r="BN23">
            <v>0</v>
          </cell>
          <cell r="BO23">
            <v>0</v>
          </cell>
          <cell r="BQ23">
            <v>0</v>
          </cell>
          <cell r="BR23">
            <v>0</v>
          </cell>
          <cell r="BS23">
            <v>0</v>
          </cell>
          <cell r="BT23">
            <v>0</v>
          </cell>
          <cell r="CB23">
            <v>0</v>
          </cell>
          <cell r="CC23">
            <v>0</v>
          </cell>
          <cell r="CD23">
            <v>0</v>
          </cell>
          <cell r="CE23">
            <v>0</v>
          </cell>
          <cell r="CF23">
            <v>0</v>
          </cell>
          <cell r="CI23">
            <v>0</v>
          </cell>
          <cell r="CJ23">
            <v>0</v>
          </cell>
          <cell r="CK23">
            <v>0</v>
          </cell>
          <cell r="CV23">
            <v>3.7215068930898806E-3</v>
          </cell>
          <cell r="DG23">
            <v>161898199</v>
          </cell>
          <cell r="DR23">
            <v>66506369.379999906</v>
          </cell>
          <cell r="EC23">
            <v>2.4343262233269156</v>
          </cell>
          <cell r="EN23">
            <v>2.4095909012463064E-2</v>
          </cell>
        </row>
        <row r="24">
          <cell r="B24">
            <v>10800</v>
          </cell>
          <cell r="C24" t="str">
            <v>Administrative Office Of The Courts</v>
          </cell>
          <cell r="D24">
            <v>1.6267906522251418E-2</v>
          </cell>
          <cell r="E24">
            <v>28147271.454990841</v>
          </cell>
          <cell r="F24">
            <v>21947073.063973792</v>
          </cell>
          <cell r="G24">
            <v>-2995686</v>
          </cell>
          <cell r="H24">
            <v>-7854088.9013342299</v>
          </cell>
          <cell r="I24">
            <v>-325017.01781640766</v>
          </cell>
          <cell r="J24">
            <v>23752359.267403234</v>
          </cell>
          <cell r="K24">
            <v>0</v>
          </cell>
          <cell r="L24">
            <v>-1247988.3868802681</v>
          </cell>
          <cell r="M24">
            <v>223960.45880002715</v>
          </cell>
          <cell r="N24">
            <v>8442.7181269180401</v>
          </cell>
          <cell r="O24">
            <v>-3810.1063865765045</v>
          </cell>
          <cell r="P24">
            <v>0</v>
          </cell>
          <cell r="Q24">
            <v>0</v>
          </cell>
          <cell r="R24">
            <v>0</v>
          </cell>
          <cell r="S24">
            <v>61652516.550877318</v>
          </cell>
          <cell r="T24">
            <v>1438207.3900000006</v>
          </cell>
          <cell r="U24">
            <v>118761796.33701618</v>
          </cell>
          <cell r="V24">
            <v>895841.83520010859</v>
          </cell>
          <cell r="W24">
            <v>0</v>
          </cell>
          <cell r="X24">
            <v>121095845.56221628</v>
          </cell>
          <cell r="Y24">
            <v>16416636</v>
          </cell>
          <cell r="Z24">
            <v>0</v>
          </cell>
          <cell r="AA24">
            <v>0</v>
          </cell>
          <cell r="AB24">
            <v>1625085.089082038</v>
          </cell>
          <cell r="AC24">
            <v>18041721.08908204</v>
          </cell>
          <cell r="AD24" t="str">
            <v>N/A</v>
          </cell>
          <cell r="AE24">
            <v>20655617</v>
          </cell>
          <cell r="AF24">
            <v>20655618</v>
          </cell>
          <cell r="AG24">
            <v>20655618</v>
          </cell>
          <cell r="AH24">
            <v>20655618</v>
          </cell>
          <cell r="AI24">
            <v>20431657</v>
          </cell>
          <cell r="AJ24">
            <v>0</v>
          </cell>
          <cell r="AK24">
            <v>103054128</v>
          </cell>
          <cell r="AL24">
            <v>559054158</v>
          </cell>
          <cell r="AM24">
            <v>61652516.550877318</v>
          </cell>
          <cell r="AN24">
            <v>-16051570.390000001</v>
          </cell>
          <cell r="AO24">
            <v>118032553.08313426</v>
          </cell>
          <cell r="AP24">
            <v>0</v>
          </cell>
          <cell r="AQ24">
            <v>-14978428.609999999</v>
          </cell>
          <cell r="AR24">
            <v>0</v>
          </cell>
          <cell r="AS24">
            <v>0</v>
          </cell>
          <cell r="AT24">
            <v>707709228.63401163</v>
          </cell>
          <cell r="AU24">
            <v>1.6862093375012675E-2</v>
          </cell>
          <cell r="AV24">
            <v>0</v>
          </cell>
          <cell r="AW24">
            <v>0</v>
          </cell>
          <cell r="AY24">
            <v>0</v>
          </cell>
          <cell r="AZ24">
            <v>0</v>
          </cell>
          <cell r="BA24">
            <v>0</v>
          </cell>
          <cell r="BB24">
            <v>0</v>
          </cell>
          <cell r="BC24">
            <v>0</v>
          </cell>
          <cell r="BD24">
            <v>0</v>
          </cell>
          <cell r="BE24">
            <v>0</v>
          </cell>
          <cell r="BF24">
            <v>0</v>
          </cell>
          <cell r="BG24">
            <v>0</v>
          </cell>
          <cell r="BH24">
            <v>0</v>
          </cell>
          <cell r="BJ24">
            <v>0</v>
          </cell>
          <cell r="BL24">
            <v>0</v>
          </cell>
          <cell r="BM24">
            <v>0</v>
          </cell>
          <cell r="BN24">
            <v>0</v>
          </cell>
          <cell r="BO24">
            <v>0</v>
          </cell>
          <cell r="BQ24">
            <v>0</v>
          </cell>
          <cell r="BR24">
            <v>0</v>
          </cell>
          <cell r="BS24">
            <v>0</v>
          </cell>
          <cell r="BT24">
            <v>0</v>
          </cell>
          <cell r="CB24">
            <v>0</v>
          </cell>
          <cell r="CC24">
            <v>0</v>
          </cell>
          <cell r="CD24">
            <v>0</v>
          </cell>
          <cell r="CE24">
            <v>0</v>
          </cell>
          <cell r="CF24">
            <v>0</v>
          </cell>
          <cell r="CI24">
            <v>0</v>
          </cell>
          <cell r="CJ24">
            <v>0</v>
          </cell>
          <cell r="CK24">
            <v>0</v>
          </cell>
          <cell r="CV24">
            <v>1.6267906522251418E-2</v>
          </cell>
          <cell r="DG24">
            <v>707709228</v>
          </cell>
          <cell r="DR24">
            <v>276869699.74999952</v>
          </cell>
          <cell r="EC24">
            <v>2.5561093490512996</v>
          </cell>
          <cell r="EN24">
            <v>2.4095909012463064E-2</v>
          </cell>
        </row>
        <row r="25">
          <cell r="B25">
            <v>10850</v>
          </cell>
          <cell r="C25" t="str">
            <v>Office Of Administrative Hearing</v>
          </cell>
          <cell r="D25">
            <v>1.1583666001428394E-4</v>
          </cell>
          <cell r="E25">
            <v>200424.43134289008</v>
          </cell>
          <cell r="F25">
            <v>156275.52551662558</v>
          </cell>
          <cell r="G25">
            <v>78746</v>
          </cell>
          <cell r="H25">
            <v>-55925.538085763619</v>
          </cell>
          <cell r="I25">
            <v>-2314.3042861820682</v>
          </cell>
          <cell r="J25">
            <v>169130.18040962607</v>
          </cell>
          <cell r="K25">
            <v>0</v>
          </cell>
          <cell r="L25">
            <v>-8886.3804494505603</v>
          </cell>
          <cell r="M25">
            <v>1594.7246492458576</v>
          </cell>
          <cell r="N25">
            <v>60.116909814213081</v>
          </cell>
          <cell r="O25">
            <v>-27.130104141945441</v>
          </cell>
          <cell r="P25">
            <v>0</v>
          </cell>
          <cell r="Q25">
            <v>0</v>
          </cell>
          <cell r="R25">
            <v>0</v>
          </cell>
          <cell r="S25">
            <v>539077.62590266357</v>
          </cell>
          <cell r="T25">
            <v>393724.12</v>
          </cell>
          <cell r="U25">
            <v>845650.9020481304</v>
          </cell>
          <cell r="V25">
            <v>6378.8985969834303</v>
          </cell>
          <cell r="W25">
            <v>0</v>
          </cell>
          <cell r="X25">
            <v>1245753.9206451138</v>
          </cell>
          <cell r="Y25">
            <v>0</v>
          </cell>
          <cell r="Z25">
            <v>0</v>
          </cell>
          <cell r="AA25">
            <v>0</v>
          </cell>
          <cell r="AB25">
            <v>11571.521430910341</v>
          </cell>
          <cell r="AC25">
            <v>11571.521430910341</v>
          </cell>
          <cell r="AD25" t="str">
            <v>N/A</v>
          </cell>
          <cell r="AE25">
            <v>247155</v>
          </cell>
          <cell r="AF25">
            <v>247157</v>
          </cell>
          <cell r="AG25">
            <v>247157</v>
          </cell>
          <cell r="AH25">
            <v>247157</v>
          </cell>
          <cell r="AI25">
            <v>245562</v>
          </cell>
          <cell r="AJ25">
            <v>0</v>
          </cell>
          <cell r="AK25">
            <v>1234188</v>
          </cell>
          <cell r="AL25">
            <v>3430193</v>
          </cell>
          <cell r="AM25">
            <v>539077.62590266357</v>
          </cell>
          <cell r="AN25">
            <v>-164164.12</v>
          </cell>
          <cell r="AO25">
            <v>840458.27921420347</v>
          </cell>
          <cell r="AP25">
            <v>0</v>
          </cell>
          <cell r="AQ25">
            <v>393724.12</v>
          </cell>
          <cell r="AR25">
            <v>0</v>
          </cell>
          <cell r="AS25">
            <v>0</v>
          </cell>
          <cell r="AT25">
            <v>5039288.9051168673</v>
          </cell>
          <cell r="AU25">
            <v>1.0346087009042805E-4</v>
          </cell>
          <cell r="AV25">
            <v>0</v>
          </cell>
          <cell r="AW25">
            <v>0</v>
          </cell>
          <cell r="AY25">
            <v>0</v>
          </cell>
          <cell r="AZ25">
            <v>0</v>
          </cell>
          <cell r="BA25">
            <v>0</v>
          </cell>
          <cell r="BB25">
            <v>0</v>
          </cell>
          <cell r="BC25">
            <v>0</v>
          </cell>
          <cell r="BD25">
            <v>0</v>
          </cell>
          <cell r="BE25">
            <v>0</v>
          </cell>
          <cell r="BF25">
            <v>0</v>
          </cell>
          <cell r="BG25">
            <v>0</v>
          </cell>
          <cell r="BH25">
            <v>0</v>
          </cell>
          <cell r="BJ25">
            <v>0</v>
          </cell>
          <cell r="BL25">
            <v>0</v>
          </cell>
          <cell r="BM25">
            <v>0</v>
          </cell>
          <cell r="BN25">
            <v>0</v>
          </cell>
          <cell r="BO25">
            <v>0</v>
          </cell>
          <cell r="BQ25">
            <v>0</v>
          </cell>
          <cell r="BR25">
            <v>0</v>
          </cell>
          <cell r="BS25">
            <v>0</v>
          </cell>
          <cell r="BT25">
            <v>0</v>
          </cell>
          <cell r="CB25">
            <v>0</v>
          </cell>
          <cell r="CC25">
            <v>0</v>
          </cell>
          <cell r="CD25">
            <v>0</v>
          </cell>
          <cell r="CE25">
            <v>0</v>
          </cell>
          <cell r="CF25">
            <v>0</v>
          </cell>
          <cell r="CI25">
            <v>0</v>
          </cell>
          <cell r="CJ25">
            <v>0</v>
          </cell>
          <cell r="CK25">
            <v>0</v>
          </cell>
          <cell r="CV25">
            <v>1.1583666001428394E-4</v>
          </cell>
          <cell r="DG25">
            <v>5039288</v>
          </cell>
          <cell r="DR25">
            <v>2828498.3000000003</v>
          </cell>
          <cell r="EC25">
            <v>1.7816125256288822</v>
          </cell>
          <cell r="EN25">
            <v>2.4095909012463064E-2</v>
          </cell>
        </row>
        <row r="26">
          <cell r="B26">
            <v>10900</v>
          </cell>
          <cell r="C26" t="str">
            <v>Department Of Administration</v>
          </cell>
          <cell r="D26">
            <v>1.5663365588164822E-3</v>
          </cell>
          <cell r="E26">
            <v>2710127.4678815971</v>
          </cell>
          <cell r="F26">
            <v>2113148.5389406481</v>
          </cell>
          <cell r="G26">
            <v>-624379</v>
          </cell>
          <cell r="H26">
            <v>-756221.86330660153</v>
          </cell>
          <cell r="I26">
            <v>-31293.887541523174</v>
          </cell>
          <cell r="J26">
            <v>2286968.4324647966</v>
          </cell>
          <cell r="K26">
            <v>0</v>
          </cell>
          <cell r="L26">
            <v>-120161.1180071152</v>
          </cell>
          <cell r="M26">
            <v>21563.773671060288</v>
          </cell>
          <cell r="N26">
            <v>812.89734729457791</v>
          </cell>
          <cell r="O26">
            <v>-366.85168544040829</v>
          </cell>
          <cell r="P26">
            <v>0</v>
          </cell>
          <cell r="Q26">
            <v>0</v>
          </cell>
          <cell r="R26">
            <v>0</v>
          </cell>
          <cell r="S26">
            <v>5600198.3897647159</v>
          </cell>
          <cell r="T26">
            <v>382617.84999999963</v>
          </cell>
          <cell r="U26">
            <v>11434842.162323983</v>
          </cell>
          <cell r="V26">
            <v>86255.09468424115</v>
          </cell>
          <cell r="W26">
            <v>0</v>
          </cell>
          <cell r="X26">
            <v>11903715.107008224</v>
          </cell>
          <cell r="Y26">
            <v>3504511</v>
          </cell>
          <cell r="Z26">
            <v>0</v>
          </cell>
          <cell r="AA26">
            <v>0</v>
          </cell>
          <cell r="AB26">
            <v>156469.43770761587</v>
          </cell>
          <cell r="AC26">
            <v>3660980.437707616</v>
          </cell>
          <cell r="AD26" t="str">
            <v>N/A</v>
          </cell>
          <cell r="AE26">
            <v>1652860</v>
          </cell>
          <cell r="AF26">
            <v>1652859</v>
          </cell>
          <cell r="AG26">
            <v>1652859</v>
          </cell>
          <cell r="AH26">
            <v>1652859</v>
          </cell>
          <cell r="AI26">
            <v>1631296</v>
          </cell>
          <cell r="AJ26">
            <v>0</v>
          </cell>
          <cell r="AK26">
            <v>8242733</v>
          </cell>
          <cell r="AL26">
            <v>56136508</v>
          </cell>
          <cell r="AM26">
            <v>5600198.3897647159</v>
          </cell>
          <cell r="AN26">
            <v>-1838476.8499999996</v>
          </cell>
          <cell r="AO26">
            <v>11364627.819300609</v>
          </cell>
          <cell r="AP26">
            <v>0</v>
          </cell>
          <cell r="AQ26">
            <v>-3121893.1500000004</v>
          </cell>
          <cell r="AR26">
            <v>0</v>
          </cell>
          <cell r="AS26">
            <v>0</v>
          </cell>
          <cell r="AT26">
            <v>68140964.209065318</v>
          </cell>
          <cell r="AU26">
            <v>1.6931795090103117E-3</v>
          </cell>
          <cell r="AV26">
            <v>0</v>
          </cell>
          <cell r="AW26">
            <v>0</v>
          </cell>
          <cell r="AY26">
            <v>0</v>
          </cell>
          <cell r="AZ26">
            <v>0</v>
          </cell>
          <cell r="BA26">
            <v>0</v>
          </cell>
          <cell r="BB26">
            <v>0</v>
          </cell>
          <cell r="BC26">
            <v>0</v>
          </cell>
          <cell r="BD26">
            <v>0</v>
          </cell>
          <cell r="BE26">
            <v>0</v>
          </cell>
          <cell r="BF26">
            <v>0</v>
          </cell>
          <cell r="BG26">
            <v>0</v>
          </cell>
          <cell r="BH26">
            <v>0</v>
          </cell>
          <cell r="BJ26">
            <v>0</v>
          </cell>
          <cell r="BL26">
            <v>0</v>
          </cell>
          <cell r="BM26">
            <v>0</v>
          </cell>
          <cell r="BN26">
            <v>0</v>
          </cell>
          <cell r="BO26">
            <v>0</v>
          </cell>
          <cell r="BQ26">
            <v>0</v>
          </cell>
          <cell r="BR26">
            <v>0</v>
          </cell>
          <cell r="BS26">
            <v>0</v>
          </cell>
          <cell r="BT26">
            <v>0</v>
          </cell>
          <cell r="CB26">
            <v>0</v>
          </cell>
          <cell r="CC26">
            <v>0</v>
          </cell>
          <cell r="CD26">
            <v>0</v>
          </cell>
          <cell r="CE26">
            <v>0</v>
          </cell>
          <cell r="CF26">
            <v>0</v>
          </cell>
          <cell r="CI26">
            <v>0</v>
          </cell>
          <cell r="CJ26">
            <v>0</v>
          </cell>
          <cell r="CK26">
            <v>0</v>
          </cell>
          <cell r="CV26">
            <v>1.5663365588164822E-3</v>
          </cell>
          <cell r="DG26">
            <v>68140964</v>
          </cell>
          <cell r="DR26">
            <v>32080362.910000026</v>
          </cell>
          <cell r="EC26">
            <v>2.1240708588978974</v>
          </cell>
          <cell r="EN26">
            <v>2.4095909012463064E-2</v>
          </cell>
        </row>
        <row r="27">
          <cell r="B27">
            <v>10910</v>
          </cell>
          <cell r="C27" t="str">
            <v>Office Of State Budget &amp; Management</v>
          </cell>
          <cell r="D27">
            <v>2.358673838756909E-4</v>
          </cell>
          <cell r="E27">
            <v>408105.57106697618</v>
          </cell>
          <cell r="F27">
            <v>318209.27297851967</v>
          </cell>
          <cell r="G27">
            <v>-167516</v>
          </cell>
          <cell r="H27">
            <v>-113875.95566466422</v>
          </cell>
          <cell r="I27">
            <v>-4712.4019063287133</v>
          </cell>
          <cell r="J27">
            <v>344384.00746985426</v>
          </cell>
          <cell r="K27">
            <v>0</v>
          </cell>
          <cell r="L27">
            <v>-18094.507459706878</v>
          </cell>
          <cell r="M27">
            <v>3247.1890243841331</v>
          </cell>
          <cell r="N27">
            <v>122.41045488380607</v>
          </cell>
          <cell r="O27">
            <v>-55.242499977525569</v>
          </cell>
          <cell r="P27">
            <v>0</v>
          </cell>
          <cell r="Q27">
            <v>0</v>
          </cell>
          <cell r="R27">
            <v>0</v>
          </cell>
          <cell r="S27">
            <v>769814.34346394066</v>
          </cell>
          <cell r="T27">
            <v>17720.609999999986</v>
          </cell>
          <cell r="U27">
            <v>1721920.0373492714</v>
          </cell>
          <cell r="V27">
            <v>12988.756097536532</v>
          </cell>
          <cell r="W27">
            <v>0</v>
          </cell>
          <cell r="X27">
            <v>1752629.403446808</v>
          </cell>
          <cell r="Y27">
            <v>855300</v>
          </cell>
          <cell r="Z27">
            <v>0</v>
          </cell>
          <cell r="AA27">
            <v>0</v>
          </cell>
          <cell r="AB27">
            <v>23562.009531643565</v>
          </cell>
          <cell r="AC27">
            <v>878862.00953164359</v>
          </cell>
          <cell r="AD27" t="str">
            <v>N/A</v>
          </cell>
          <cell r="AE27">
            <v>175403</v>
          </cell>
          <cell r="AF27">
            <v>175403</v>
          </cell>
          <cell r="AG27">
            <v>175403</v>
          </cell>
          <cell r="AH27">
            <v>175403</v>
          </cell>
          <cell r="AI27">
            <v>172156</v>
          </cell>
          <cell r="AJ27">
            <v>0</v>
          </cell>
          <cell r="AK27">
            <v>873768</v>
          </cell>
          <cell r="AL27">
            <v>8846424</v>
          </cell>
          <cell r="AM27">
            <v>769814.34346394066</v>
          </cell>
          <cell r="AN27">
            <v>-228972.61</v>
          </cell>
          <cell r="AO27">
            <v>1711346.7839151644</v>
          </cell>
          <cell r="AP27">
            <v>0</v>
          </cell>
          <cell r="AQ27">
            <v>-837579.39</v>
          </cell>
          <cell r="AR27">
            <v>0</v>
          </cell>
          <cell r="AS27">
            <v>0</v>
          </cell>
          <cell r="AT27">
            <v>10261033.127379104</v>
          </cell>
          <cell r="AU27">
            <v>2.6682429284122477E-4</v>
          </cell>
          <cell r="AV27">
            <v>0</v>
          </cell>
          <cell r="AW27">
            <v>0</v>
          </cell>
          <cell r="AY27">
            <v>0</v>
          </cell>
          <cell r="AZ27">
            <v>0</v>
          </cell>
          <cell r="BA27">
            <v>0</v>
          </cell>
          <cell r="BB27">
            <v>0</v>
          </cell>
          <cell r="BC27">
            <v>0</v>
          </cell>
          <cell r="BD27">
            <v>0</v>
          </cell>
          <cell r="BE27">
            <v>0</v>
          </cell>
          <cell r="BF27">
            <v>0</v>
          </cell>
          <cell r="BG27">
            <v>0</v>
          </cell>
          <cell r="BH27">
            <v>0</v>
          </cell>
          <cell r="BJ27">
            <v>0</v>
          </cell>
          <cell r="BL27">
            <v>0</v>
          </cell>
          <cell r="BM27">
            <v>0</v>
          </cell>
          <cell r="BN27">
            <v>0</v>
          </cell>
          <cell r="BO27">
            <v>0</v>
          </cell>
          <cell r="BQ27">
            <v>0</v>
          </cell>
          <cell r="BR27">
            <v>0</v>
          </cell>
          <cell r="BS27">
            <v>0</v>
          </cell>
          <cell r="BT27">
            <v>0</v>
          </cell>
          <cell r="CB27">
            <v>0</v>
          </cell>
          <cell r="CC27">
            <v>0</v>
          </cell>
          <cell r="CD27">
            <v>0</v>
          </cell>
          <cell r="CE27">
            <v>0</v>
          </cell>
          <cell r="CF27">
            <v>0</v>
          </cell>
          <cell r="CI27">
            <v>0</v>
          </cell>
          <cell r="CJ27">
            <v>0</v>
          </cell>
          <cell r="CK27">
            <v>0</v>
          </cell>
          <cell r="CV27">
            <v>2.358673838756909E-4</v>
          </cell>
          <cell r="DG27">
            <v>10261033</v>
          </cell>
          <cell r="DR27">
            <v>3813313.13</v>
          </cell>
          <cell r="EC27">
            <v>2.6908445884694498</v>
          </cell>
          <cell r="EN27">
            <v>2.4095909012463064E-2</v>
          </cell>
        </row>
        <row r="28">
          <cell r="B28">
            <v>10930</v>
          </cell>
          <cell r="C28" t="str">
            <v>Information Technology Services</v>
          </cell>
          <cell r="D28">
            <v>2.0859751474145644E-3</v>
          </cell>
          <cell r="E28">
            <v>3609223.3897663439</v>
          </cell>
          <cell r="F28">
            <v>2814194.2484929538</v>
          </cell>
          <cell r="G28">
            <v>-731220</v>
          </cell>
          <cell r="H28">
            <v>-1007101.5733560016</v>
          </cell>
          <cell r="I28">
            <v>-41675.763302701438</v>
          </cell>
          <cell r="J28">
            <v>3045679.6058235564</v>
          </cell>
          <cell r="K28">
            <v>0</v>
          </cell>
          <cell r="L28">
            <v>-160025.0625815588</v>
          </cell>
          <cell r="M28">
            <v>28717.644180055486</v>
          </cell>
          <cell r="N28">
            <v>1082.5793820052106</v>
          </cell>
          <cell r="O28">
            <v>-488.55623927596514</v>
          </cell>
          <cell r="P28">
            <v>0</v>
          </cell>
          <cell r="Q28">
            <v>0</v>
          </cell>
          <cell r="R28">
            <v>0</v>
          </cell>
          <cell r="S28">
            <v>7558386.512165376</v>
          </cell>
          <cell r="T28">
            <v>415078.24999999953</v>
          </cell>
          <cell r="U28">
            <v>15228398.029117782</v>
          </cell>
          <cell r="V28">
            <v>114870.57672022194</v>
          </cell>
          <cell r="W28">
            <v>0</v>
          </cell>
          <cell r="X28">
            <v>15758346.855838004</v>
          </cell>
          <cell r="Y28">
            <v>4071180</v>
          </cell>
          <cell r="Z28">
            <v>0</v>
          </cell>
          <cell r="AA28">
            <v>0</v>
          </cell>
          <cell r="AB28">
            <v>208378.81651350719</v>
          </cell>
          <cell r="AC28">
            <v>4279558.8165135076</v>
          </cell>
          <cell r="AD28" t="str">
            <v>N/A</v>
          </cell>
          <cell r="AE28">
            <v>2301501</v>
          </cell>
          <cell r="AF28">
            <v>2301501</v>
          </cell>
          <cell r="AG28">
            <v>2301501</v>
          </cell>
          <cell r="AH28">
            <v>2301501</v>
          </cell>
          <cell r="AI28">
            <v>2272784</v>
          </cell>
          <cell r="AJ28">
            <v>0</v>
          </cell>
          <cell r="AK28">
            <v>11478788</v>
          </cell>
          <cell r="AL28">
            <v>74044865</v>
          </cell>
          <cell r="AM28">
            <v>7558386.512165376</v>
          </cell>
          <cell r="AN28">
            <v>-2335030.2499999995</v>
          </cell>
          <cell r="AO28">
            <v>15134889.789324498</v>
          </cell>
          <cell r="AP28">
            <v>0</v>
          </cell>
          <cell r="AQ28">
            <v>-3656101.7500000005</v>
          </cell>
          <cell r="AR28">
            <v>0</v>
          </cell>
          <cell r="AS28">
            <v>0</v>
          </cell>
          <cell r="AT28">
            <v>90747009.301489875</v>
          </cell>
          <cell r="AU28">
            <v>2.2333282165043068E-3</v>
          </cell>
          <cell r="AV28">
            <v>0</v>
          </cell>
          <cell r="AW28">
            <v>0</v>
          </cell>
          <cell r="AY28">
            <v>0</v>
          </cell>
          <cell r="AZ28">
            <v>0</v>
          </cell>
          <cell r="BA28">
            <v>0</v>
          </cell>
          <cell r="BB28">
            <v>0</v>
          </cell>
          <cell r="BC28">
            <v>0</v>
          </cell>
          <cell r="BD28">
            <v>0</v>
          </cell>
          <cell r="BE28">
            <v>0</v>
          </cell>
          <cell r="BF28">
            <v>0</v>
          </cell>
          <cell r="BG28">
            <v>0</v>
          </cell>
          <cell r="BH28">
            <v>0</v>
          </cell>
          <cell r="BJ28">
            <v>0</v>
          </cell>
          <cell r="BL28">
            <v>0</v>
          </cell>
          <cell r="BM28">
            <v>0</v>
          </cell>
          <cell r="BN28">
            <v>0</v>
          </cell>
          <cell r="BO28">
            <v>0</v>
          </cell>
          <cell r="BQ28">
            <v>0</v>
          </cell>
          <cell r="BR28">
            <v>0</v>
          </cell>
          <cell r="BS28">
            <v>0</v>
          </cell>
          <cell r="BT28">
            <v>0</v>
          </cell>
          <cell r="CB28">
            <v>0</v>
          </cell>
          <cell r="CC28">
            <v>0</v>
          </cell>
          <cell r="CD28">
            <v>0</v>
          </cell>
          <cell r="CE28">
            <v>0</v>
          </cell>
          <cell r="CF28">
            <v>0</v>
          </cell>
          <cell r="CI28">
            <v>0</v>
          </cell>
          <cell r="CJ28">
            <v>0</v>
          </cell>
          <cell r="CK28">
            <v>0</v>
          </cell>
          <cell r="CV28">
            <v>2.0859751474145644E-3</v>
          </cell>
          <cell r="DG28">
            <v>90747009</v>
          </cell>
          <cell r="DR28">
            <v>40792819.800000012</v>
          </cell>
          <cell r="EC28">
            <v>2.2245828909331729</v>
          </cell>
          <cell r="EN28">
            <v>2.4095909012463064E-2</v>
          </cell>
        </row>
        <row r="29">
          <cell r="B29">
            <v>10940</v>
          </cell>
          <cell r="C29" t="str">
            <v>Office Of State Controller</v>
          </cell>
          <cell r="D29">
            <v>5.7249093433715641E-4</v>
          </cell>
          <cell r="E29">
            <v>990542.80354194902</v>
          </cell>
          <cell r="F29">
            <v>772348.94036146172</v>
          </cell>
          <cell r="G29">
            <v>-178355</v>
          </cell>
          <cell r="H29">
            <v>-276396.63944108027</v>
          </cell>
          <cell r="I29">
            <v>-11437.814444697222</v>
          </cell>
          <cell r="J29">
            <v>835879.54793740599</v>
          </cell>
          <cell r="K29">
            <v>0</v>
          </cell>
          <cell r="L29">
            <v>-43918.499080982328</v>
          </cell>
          <cell r="M29">
            <v>7881.4893691226616</v>
          </cell>
          <cell r="N29">
            <v>297.11134510229743</v>
          </cell>
          <cell r="O29">
            <v>-134.08310173110542</v>
          </cell>
          <cell r="P29">
            <v>0</v>
          </cell>
          <cell r="Q29">
            <v>0</v>
          </cell>
          <cell r="R29">
            <v>0</v>
          </cell>
          <cell r="S29">
            <v>2096707.8564865508</v>
          </cell>
          <cell r="T29">
            <v>114363.92999999993</v>
          </cell>
          <cell r="U29">
            <v>4179397.7396870302</v>
          </cell>
          <cell r="V29">
            <v>31525.957476490647</v>
          </cell>
          <cell r="W29">
            <v>0</v>
          </cell>
          <cell r="X29">
            <v>4325287.627163521</v>
          </cell>
          <cell r="Y29">
            <v>1006140</v>
          </cell>
          <cell r="Z29">
            <v>0</v>
          </cell>
          <cell r="AA29">
            <v>0</v>
          </cell>
          <cell r="AB29">
            <v>57189.07222348611</v>
          </cell>
          <cell r="AC29">
            <v>1063329.0722234861</v>
          </cell>
          <cell r="AD29" t="str">
            <v>N/A</v>
          </cell>
          <cell r="AE29">
            <v>653968</v>
          </cell>
          <cell r="AF29">
            <v>653968</v>
          </cell>
          <cell r="AG29">
            <v>653968</v>
          </cell>
          <cell r="AH29">
            <v>653968</v>
          </cell>
          <cell r="AI29">
            <v>646087</v>
          </cell>
          <cell r="AJ29">
            <v>0</v>
          </cell>
          <cell r="AK29">
            <v>3261959</v>
          </cell>
          <cell r="AL29">
            <v>20188015</v>
          </cell>
          <cell r="AM29">
            <v>2096707.8564865508</v>
          </cell>
          <cell r="AN29">
            <v>-641379.92999999993</v>
          </cell>
          <cell r="AO29">
            <v>4153734.6249400349</v>
          </cell>
          <cell r="AP29">
            <v>0</v>
          </cell>
          <cell r="AQ29">
            <v>-891776.07000000007</v>
          </cell>
          <cell r="AR29">
            <v>0</v>
          </cell>
          <cell r="AS29">
            <v>0</v>
          </cell>
          <cell r="AT29">
            <v>24905301.481426585</v>
          </cell>
          <cell r="AU29">
            <v>6.0890737174538188E-4</v>
          </cell>
          <cell r="AV29">
            <v>0</v>
          </cell>
          <cell r="AW29">
            <v>0</v>
          </cell>
          <cell r="AY29">
            <v>0</v>
          </cell>
          <cell r="AZ29">
            <v>0</v>
          </cell>
          <cell r="BA29">
            <v>0</v>
          </cell>
          <cell r="BB29">
            <v>0</v>
          </cell>
          <cell r="BC29">
            <v>0</v>
          </cell>
          <cell r="BD29">
            <v>0</v>
          </cell>
          <cell r="BE29">
            <v>0</v>
          </cell>
          <cell r="BF29">
            <v>0</v>
          </cell>
          <cell r="BG29">
            <v>0</v>
          </cell>
          <cell r="BH29">
            <v>0</v>
          </cell>
          <cell r="BJ29">
            <v>0</v>
          </cell>
          <cell r="BL29">
            <v>0</v>
          </cell>
          <cell r="BM29">
            <v>0</v>
          </cell>
          <cell r="BN29">
            <v>0</v>
          </cell>
          <cell r="BO29">
            <v>0</v>
          </cell>
          <cell r="BQ29">
            <v>0</v>
          </cell>
          <cell r="BR29">
            <v>0</v>
          </cell>
          <cell r="BS29">
            <v>0</v>
          </cell>
          <cell r="BT29">
            <v>0</v>
          </cell>
          <cell r="CB29">
            <v>0</v>
          </cell>
          <cell r="CC29">
            <v>0</v>
          </cell>
          <cell r="CD29">
            <v>0</v>
          </cell>
          <cell r="CE29">
            <v>0</v>
          </cell>
          <cell r="CF29">
            <v>0</v>
          </cell>
          <cell r="CI29">
            <v>0</v>
          </cell>
          <cell r="CJ29">
            <v>0</v>
          </cell>
          <cell r="CK29">
            <v>0</v>
          </cell>
          <cell r="CV29">
            <v>5.7249093433715641E-4</v>
          </cell>
          <cell r="DG29">
            <v>24905302</v>
          </cell>
          <cell r="DR29">
            <v>10915232.039999992</v>
          </cell>
          <cell r="EC29">
            <v>2.2817015624342165</v>
          </cell>
          <cell r="EN29">
            <v>2.4095909012463064E-2</v>
          </cell>
        </row>
        <row r="30">
          <cell r="B30">
            <v>10950</v>
          </cell>
          <cell r="C30" t="str">
            <v>N.C. School Of Science &amp; Mathematics</v>
          </cell>
          <cell r="D30">
            <v>7.5022903727045792E-4</v>
          </cell>
          <cell r="E30">
            <v>1298071.1646322836</v>
          </cell>
          <cell r="F30">
            <v>1012135.8561513739</v>
          </cell>
          <cell r="G30">
            <v>51543</v>
          </cell>
          <cell r="H30">
            <v>-362207.9796822613</v>
          </cell>
          <cell r="I30">
            <v>-14988.84961254207</v>
          </cell>
          <cell r="J30">
            <v>1095390.4610720486</v>
          </cell>
          <cell r="K30">
            <v>0</v>
          </cell>
          <cell r="L30">
            <v>-57553.633267639285</v>
          </cell>
          <cell r="M30">
            <v>10328.41190489831</v>
          </cell>
          <cell r="N30">
            <v>389.35386576262226</v>
          </cell>
          <cell r="O30">
            <v>-175.71114281911395</v>
          </cell>
          <cell r="P30">
            <v>0</v>
          </cell>
          <cell r="Q30">
            <v>0</v>
          </cell>
          <cell r="R30">
            <v>0</v>
          </cell>
          <cell r="S30">
            <v>3032932.0739211058</v>
          </cell>
          <cell r="T30">
            <v>257709.79000000004</v>
          </cell>
          <cell r="U30">
            <v>5476952.3053602437</v>
          </cell>
          <cell r="V30">
            <v>41313.647619593241</v>
          </cell>
          <cell r="W30">
            <v>0</v>
          </cell>
          <cell r="X30">
            <v>5775975.7429798367</v>
          </cell>
          <cell r="Y30">
            <v>0</v>
          </cell>
          <cell r="Z30">
            <v>0</v>
          </cell>
          <cell r="AA30">
            <v>0</v>
          </cell>
          <cell r="AB30">
            <v>74944.24806271035</v>
          </cell>
          <cell r="AC30">
            <v>74944.24806271035</v>
          </cell>
          <cell r="AD30" t="str">
            <v>N/A</v>
          </cell>
          <cell r="AE30">
            <v>1142272</v>
          </cell>
          <cell r="AF30">
            <v>1142272</v>
          </cell>
          <cell r="AG30">
            <v>1142272</v>
          </cell>
          <cell r="AH30">
            <v>1142272</v>
          </cell>
          <cell r="AI30">
            <v>1131944</v>
          </cell>
          <cell r="AJ30">
            <v>0</v>
          </cell>
          <cell r="AK30">
            <v>5701032</v>
          </cell>
          <cell r="AL30">
            <v>24597448</v>
          </cell>
          <cell r="AM30">
            <v>3032932.0739211058</v>
          </cell>
          <cell r="AN30">
            <v>-693898.79</v>
          </cell>
          <cell r="AO30">
            <v>5443321.7049171263</v>
          </cell>
          <cell r="AP30">
            <v>0</v>
          </cell>
          <cell r="AQ30">
            <v>257709.79000000004</v>
          </cell>
          <cell r="AR30">
            <v>0</v>
          </cell>
          <cell r="AS30">
            <v>0</v>
          </cell>
          <cell r="AT30">
            <v>32637512.778838232</v>
          </cell>
          <cell r="AU30">
            <v>7.4190389295996696E-4</v>
          </cell>
          <cell r="AV30">
            <v>0</v>
          </cell>
          <cell r="AW30">
            <v>0</v>
          </cell>
          <cell r="AY30">
            <v>0</v>
          </cell>
          <cell r="AZ30">
            <v>0</v>
          </cell>
          <cell r="BA30">
            <v>0</v>
          </cell>
          <cell r="BB30">
            <v>0</v>
          </cell>
          <cell r="BC30">
            <v>0</v>
          </cell>
          <cell r="BD30">
            <v>0</v>
          </cell>
          <cell r="BE30">
            <v>0</v>
          </cell>
          <cell r="BF30">
            <v>0</v>
          </cell>
          <cell r="BG30">
            <v>0</v>
          </cell>
          <cell r="BH30">
            <v>0</v>
          </cell>
          <cell r="BJ30">
            <v>0</v>
          </cell>
          <cell r="BL30">
            <v>0</v>
          </cell>
          <cell r="BM30">
            <v>0</v>
          </cell>
          <cell r="BN30">
            <v>0</v>
          </cell>
          <cell r="BO30">
            <v>0</v>
          </cell>
          <cell r="BQ30">
            <v>0</v>
          </cell>
          <cell r="BR30">
            <v>0</v>
          </cell>
          <cell r="BS30">
            <v>0</v>
          </cell>
          <cell r="BT30">
            <v>0</v>
          </cell>
          <cell r="CB30">
            <v>0</v>
          </cell>
          <cell r="CC30">
            <v>0</v>
          </cell>
          <cell r="CD30">
            <v>0</v>
          </cell>
          <cell r="CE30">
            <v>0</v>
          </cell>
          <cell r="CF30">
            <v>0</v>
          </cell>
          <cell r="CI30">
            <v>0</v>
          </cell>
          <cell r="CJ30">
            <v>0</v>
          </cell>
          <cell r="CK30">
            <v>0</v>
          </cell>
          <cell r="CV30">
            <v>7.5022903727045792E-4</v>
          </cell>
          <cell r="DG30">
            <v>32637513</v>
          </cell>
          <cell r="DR30">
            <v>12169359.4</v>
          </cell>
          <cell r="EC30">
            <v>2.6819417462516557</v>
          </cell>
          <cell r="EN30">
            <v>2.4095909012463064E-2</v>
          </cell>
        </row>
        <row r="31">
          <cell r="B31">
            <v>11300</v>
          </cell>
          <cell r="C31" t="str">
            <v>Environment And Natural Resources</v>
          </cell>
          <cell r="D31">
            <v>4.359677677606282E-3</v>
          </cell>
          <cell r="E31">
            <v>7543258.9239432774</v>
          </cell>
          <cell r="F31">
            <v>5881651.9750052383</v>
          </cell>
          <cell r="G31">
            <v>-14479791</v>
          </cell>
          <cell r="H31">
            <v>-2104837.2766493633</v>
          </cell>
          <cell r="I31">
            <v>-87102.137910505538</v>
          </cell>
          <cell r="J31">
            <v>6365455.2198798405</v>
          </cell>
          <cell r="K31">
            <v>0</v>
          </cell>
          <cell r="L31">
            <v>-334451.58445874735</v>
          </cell>
          <cell r="M31">
            <v>60019.73342798691</v>
          </cell>
          <cell r="N31">
            <v>2262.5855211241083</v>
          </cell>
          <cell r="O31">
            <v>-1021.0801088721673</v>
          </cell>
          <cell r="P31">
            <v>0</v>
          </cell>
          <cell r="Q31">
            <v>0</v>
          </cell>
          <cell r="R31">
            <v>0</v>
          </cell>
          <cell r="S31">
            <v>2845445.3586499798</v>
          </cell>
          <cell r="T31">
            <v>1147874.1899999995</v>
          </cell>
          <cell r="U31">
            <v>31827276.099399202</v>
          </cell>
          <cell r="V31">
            <v>240078.93371194764</v>
          </cell>
          <cell r="W31">
            <v>0</v>
          </cell>
          <cell r="X31">
            <v>33215229.223111145</v>
          </cell>
          <cell r="Y31">
            <v>73546831</v>
          </cell>
          <cell r="Z31">
            <v>0</v>
          </cell>
          <cell r="AA31">
            <v>0</v>
          </cell>
          <cell r="AB31">
            <v>435510.68955252774</v>
          </cell>
          <cell r="AC31">
            <v>73982341.689552531</v>
          </cell>
          <cell r="AD31" t="str">
            <v>N/A</v>
          </cell>
          <cell r="AE31">
            <v>-8141418</v>
          </cell>
          <cell r="AF31">
            <v>-8141418</v>
          </cell>
          <cell r="AG31">
            <v>-8141418</v>
          </cell>
          <cell r="AH31">
            <v>-8141418</v>
          </cell>
          <cell r="AI31">
            <v>-8201438</v>
          </cell>
          <cell r="AJ31">
            <v>0</v>
          </cell>
          <cell r="AK31">
            <v>-40767110</v>
          </cell>
          <cell r="AL31">
            <v>232799100</v>
          </cell>
          <cell r="AM31">
            <v>2845445.3586499798</v>
          </cell>
          <cell r="AN31">
            <v>-5216636.1899999995</v>
          </cell>
          <cell r="AO31">
            <v>31631844.343558624</v>
          </cell>
          <cell r="AP31">
            <v>0</v>
          </cell>
          <cell r="AQ31">
            <v>-72398956.810000002</v>
          </cell>
          <cell r="AR31">
            <v>0</v>
          </cell>
          <cell r="AS31">
            <v>0</v>
          </cell>
          <cell r="AT31">
            <v>189660796.70220858</v>
          </cell>
          <cell r="AU31">
            <v>7.0216455839791376E-3</v>
          </cell>
          <cell r="AV31">
            <v>0</v>
          </cell>
          <cell r="AW31">
            <v>0</v>
          </cell>
          <cell r="AY31">
            <v>0</v>
          </cell>
          <cell r="AZ31">
            <v>0</v>
          </cell>
          <cell r="BA31">
            <v>0</v>
          </cell>
          <cell r="BB31">
            <v>0</v>
          </cell>
          <cell r="BC31">
            <v>0</v>
          </cell>
          <cell r="BD31">
            <v>0</v>
          </cell>
          <cell r="BE31">
            <v>0</v>
          </cell>
          <cell r="BF31">
            <v>0</v>
          </cell>
          <cell r="BG31">
            <v>0</v>
          </cell>
          <cell r="BH31">
            <v>0</v>
          </cell>
          <cell r="BJ31">
            <v>0</v>
          </cell>
          <cell r="BL31">
            <v>0</v>
          </cell>
          <cell r="BM31">
            <v>0</v>
          </cell>
          <cell r="BN31">
            <v>0</v>
          </cell>
          <cell r="BO31">
            <v>0</v>
          </cell>
          <cell r="BQ31">
            <v>0</v>
          </cell>
          <cell r="BR31">
            <v>0</v>
          </cell>
          <cell r="BS31">
            <v>0</v>
          </cell>
          <cell r="BT31">
            <v>0</v>
          </cell>
          <cell r="CB31">
            <v>0</v>
          </cell>
          <cell r="CC31">
            <v>0</v>
          </cell>
          <cell r="CD31">
            <v>0</v>
          </cell>
          <cell r="CE31">
            <v>0</v>
          </cell>
          <cell r="CF31">
            <v>0</v>
          </cell>
          <cell r="CI31">
            <v>0</v>
          </cell>
          <cell r="CJ31">
            <v>0</v>
          </cell>
          <cell r="CK31">
            <v>0</v>
          </cell>
          <cell r="CV31">
            <v>4.359677677606282E-3</v>
          </cell>
          <cell r="DG31">
            <v>189660798</v>
          </cell>
          <cell r="DR31">
            <v>81503903.549999997</v>
          </cell>
          <cell r="EC31">
            <v>2.3270149003801919</v>
          </cell>
          <cell r="EN31">
            <v>2.4095909012463064E-2</v>
          </cell>
        </row>
        <row r="32">
          <cell r="B32">
            <v>11310</v>
          </cell>
          <cell r="C32" t="str">
            <v>N.C. Housing Finance Agency</v>
          </cell>
          <cell r="D32">
            <v>4.1985438008708826E-4</v>
          </cell>
          <cell r="E32">
            <v>726445.97457661317</v>
          </cell>
          <cell r="F32">
            <v>566426.58619884215</v>
          </cell>
          <cell r="G32">
            <v>-111876</v>
          </cell>
          <cell r="H32">
            <v>-202704.23992835873</v>
          </cell>
          <cell r="I32">
            <v>-8388.2839101891041</v>
          </cell>
          <cell r="J32">
            <v>613018.77178731351</v>
          </cell>
          <cell r="K32">
            <v>0</v>
          </cell>
          <cell r="L32">
            <v>-32209.023933891171</v>
          </cell>
          <cell r="M32">
            <v>5780.1401467907963</v>
          </cell>
          <cell r="N32">
            <v>217.89602617759707</v>
          </cell>
          <cell r="O32">
            <v>-98.334094360196943</v>
          </cell>
          <cell r="P32">
            <v>0</v>
          </cell>
          <cell r="Q32">
            <v>0</v>
          </cell>
          <cell r="R32">
            <v>0</v>
          </cell>
          <cell r="S32">
            <v>1556613.486868938</v>
          </cell>
          <cell r="T32">
            <v>59107.490000000049</v>
          </cell>
          <cell r="U32">
            <v>3065093.8589365678</v>
          </cell>
          <cell r="V32">
            <v>23120.560587163185</v>
          </cell>
          <cell r="W32">
            <v>0</v>
          </cell>
          <cell r="X32">
            <v>3147321.9095237311</v>
          </cell>
          <cell r="Y32">
            <v>618485</v>
          </cell>
          <cell r="Z32">
            <v>0</v>
          </cell>
          <cell r="AA32">
            <v>0</v>
          </cell>
          <cell r="AB32">
            <v>41941.419550945517</v>
          </cell>
          <cell r="AC32">
            <v>660426.41955094552</v>
          </cell>
          <cell r="AD32" t="str">
            <v>N/A</v>
          </cell>
          <cell r="AE32">
            <v>498535</v>
          </cell>
          <cell r="AF32">
            <v>498536</v>
          </cell>
          <cell r="AG32">
            <v>498536</v>
          </cell>
          <cell r="AH32">
            <v>498536</v>
          </cell>
          <cell r="AI32">
            <v>492755</v>
          </cell>
          <cell r="AJ32">
            <v>0</v>
          </cell>
          <cell r="AK32">
            <v>2486898</v>
          </cell>
          <cell r="AL32">
            <v>14662241</v>
          </cell>
          <cell r="AM32">
            <v>1556613.486868938</v>
          </cell>
          <cell r="AN32">
            <v>-440657.49000000005</v>
          </cell>
          <cell r="AO32">
            <v>3046272.9999727854</v>
          </cell>
          <cell r="AP32">
            <v>0</v>
          </cell>
          <cell r="AQ32">
            <v>-559377.51</v>
          </cell>
          <cell r="AR32">
            <v>0</v>
          </cell>
          <cell r="AS32">
            <v>0</v>
          </cell>
          <cell r="AT32">
            <v>18265092.486841723</v>
          </cell>
          <cell r="AU32">
            <v>4.4223994001554623E-4</v>
          </cell>
          <cell r="AV32">
            <v>0</v>
          </cell>
          <cell r="AW32">
            <v>0</v>
          </cell>
          <cell r="AY32">
            <v>0</v>
          </cell>
          <cell r="AZ32">
            <v>0</v>
          </cell>
          <cell r="BA32">
            <v>0</v>
          </cell>
          <cell r="BB32">
            <v>0</v>
          </cell>
          <cell r="BC32">
            <v>0</v>
          </cell>
          <cell r="BD32">
            <v>0</v>
          </cell>
          <cell r="BE32">
            <v>0</v>
          </cell>
          <cell r="BF32">
            <v>0</v>
          </cell>
          <cell r="BG32">
            <v>0</v>
          </cell>
          <cell r="BH32">
            <v>0</v>
          </cell>
          <cell r="BJ32">
            <v>0</v>
          </cell>
          <cell r="BL32">
            <v>0</v>
          </cell>
          <cell r="BM32">
            <v>0</v>
          </cell>
          <cell r="BN32">
            <v>0</v>
          </cell>
          <cell r="BO32">
            <v>0</v>
          </cell>
          <cell r="BQ32">
            <v>0</v>
          </cell>
          <cell r="BR32">
            <v>0</v>
          </cell>
          <cell r="BS32">
            <v>0</v>
          </cell>
          <cell r="BT32">
            <v>0</v>
          </cell>
          <cell r="CB32">
            <v>0</v>
          </cell>
          <cell r="CC32">
            <v>0</v>
          </cell>
          <cell r="CD32">
            <v>0</v>
          </cell>
          <cell r="CE32">
            <v>0</v>
          </cell>
          <cell r="CF32">
            <v>0</v>
          </cell>
          <cell r="CI32">
            <v>0</v>
          </cell>
          <cell r="CJ32">
            <v>0</v>
          </cell>
          <cell r="CK32">
            <v>0</v>
          </cell>
          <cell r="CV32">
            <v>4.1985438008708826E-4</v>
          </cell>
          <cell r="DG32">
            <v>18265093</v>
          </cell>
          <cell r="DR32">
            <v>7711680.4799999986</v>
          </cell>
          <cell r="EC32">
            <v>2.3684971190611366</v>
          </cell>
          <cell r="EN32">
            <v>2.4095909012463064E-2</v>
          </cell>
        </row>
        <row r="33">
          <cell r="B33">
            <v>11600</v>
          </cell>
          <cell r="C33" t="str">
            <v>Wildlife Resources Commission</v>
          </cell>
          <cell r="D33">
            <v>1.792159297127403E-3</v>
          </cell>
          <cell r="E33">
            <v>3100853.4600215591</v>
          </cell>
          <cell r="F33">
            <v>2417806.5556582469</v>
          </cell>
          <cell r="G33">
            <v>-285002</v>
          </cell>
          <cell r="H33">
            <v>-865248.2988968672</v>
          </cell>
          <cell r="I33">
            <v>-35805.607157108519</v>
          </cell>
          <cell r="J33">
            <v>2616686.5067463936</v>
          </cell>
          <cell r="K33">
            <v>0</v>
          </cell>
          <cell r="L33">
            <v>-137485.05299039339</v>
          </cell>
          <cell r="M33">
            <v>24672.677942818595</v>
          </cell>
          <cell r="N33">
            <v>930.09483202317961</v>
          </cell>
          <cell r="O33">
            <v>-419.74162898020904</v>
          </cell>
          <cell r="P33">
            <v>0</v>
          </cell>
          <cell r="Q33">
            <v>0</v>
          </cell>
          <cell r="R33">
            <v>0</v>
          </cell>
          <cell r="S33">
            <v>6836988.5945276935</v>
          </cell>
          <cell r="T33">
            <v>53220.220000000205</v>
          </cell>
          <cell r="U33">
            <v>13083432.533731969</v>
          </cell>
          <cell r="V33">
            <v>98690.711771274378</v>
          </cell>
          <cell r="W33">
            <v>0</v>
          </cell>
          <cell r="X33">
            <v>13235343.465503244</v>
          </cell>
          <cell r="Y33">
            <v>1478227</v>
          </cell>
          <cell r="Z33">
            <v>0</v>
          </cell>
          <cell r="AA33">
            <v>0</v>
          </cell>
          <cell r="AB33">
            <v>179028.0357855426</v>
          </cell>
          <cell r="AC33">
            <v>1657255.0357855426</v>
          </cell>
          <cell r="AD33" t="str">
            <v>N/A</v>
          </cell>
          <cell r="AE33">
            <v>2320553</v>
          </cell>
          <cell r="AF33">
            <v>2320552</v>
          </cell>
          <cell r="AG33">
            <v>2320552</v>
          </cell>
          <cell r="AH33">
            <v>2320552</v>
          </cell>
          <cell r="AI33">
            <v>2295879</v>
          </cell>
          <cell r="AJ33">
            <v>0</v>
          </cell>
          <cell r="AK33">
            <v>11578088</v>
          </cell>
          <cell r="AL33">
            <v>61192006</v>
          </cell>
          <cell r="AM33">
            <v>6836988.5945276935</v>
          </cell>
          <cell r="AN33">
            <v>-1642062.2200000002</v>
          </cell>
          <cell r="AO33">
            <v>13003095.209717702</v>
          </cell>
          <cell r="AP33">
            <v>0</v>
          </cell>
          <cell r="AQ33">
            <v>-1425006.7799999998</v>
          </cell>
          <cell r="AR33">
            <v>0</v>
          </cell>
          <cell r="AS33">
            <v>0</v>
          </cell>
          <cell r="AT33">
            <v>77965020.804245397</v>
          </cell>
          <cell r="AU33">
            <v>1.8456625566167853E-3</v>
          </cell>
          <cell r="AV33">
            <v>0</v>
          </cell>
          <cell r="AW33">
            <v>0</v>
          </cell>
          <cell r="AY33">
            <v>0</v>
          </cell>
          <cell r="AZ33">
            <v>0</v>
          </cell>
          <cell r="BA33">
            <v>0</v>
          </cell>
          <cell r="BB33">
            <v>0</v>
          </cell>
          <cell r="BC33">
            <v>0</v>
          </cell>
          <cell r="BD33">
            <v>0</v>
          </cell>
          <cell r="BE33">
            <v>0</v>
          </cell>
          <cell r="BF33">
            <v>0</v>
          </cell>
          <cell r="BG33">
            <v>0</v>
          </cell>
          <cell r="BH33">
            <v>0</v>
          </cell>
          <cell r="BJ33">
            <v>0</v>
          </cell>
          <cell r="BL33">
            <v>0</v>
          </cell>
          <cell r="BM33">
            <v>0</v>
          </cell>
          <cell r="BN33">
            <v>0</v>
          </cell>
          <cell r="BO33">
            <v>0</v>
          </cell>
          <cell r="BQ33">
            <v>0</v>
          </cell>
          <cell r="BR33">
            <v>0</v>
          </cell>
          <cell r="BS33">
            <v>0</v>
          </cell>
          <cell r="BT33">
            <v>0</v>
          </cell>
          <cell r="CB33">
            <v>0</v>
          </cell>
          <cell r="CC33">
            <v>0</v>
          </cell>
          <cell r="CD33">
            <v>0</v>
          </cell>
          <cell r="CE33">
            <v>0</v>
          </cell>
          <cell r="CF33">
            <v>0</v>
          </cell>
          <cell r="CI33">
            <v>0</v>
          </cell>
          <cell r="CJ33">
            <v>0</v>
          </cell>
          <cell r="CK33">
            <v>0</v>
          </cell>
          <cell r="CV33">
            <v>1.792159297127403E-3</v>
          </cell>
          <cell r="DG33">
            <v>77965021</v>
          </cell>
          <cell r="DR33">
            <v>28412137.169999994</v>
          </cell>
          <cell r="EC33">
            <v>2.7440744965261623</v>
          </cell>
          <cell r="EN33">
            <v>2.4095909012463064E-2</v>
          </cell>
        </row>
        <row r="34">
          <cell r="B34">
            <v>11900</v>
          </cell>
          <cell r="C34" t="str">
            <v>State Board Of Elections</v>
          </cell>
          <cell r="D34">
            <v>2.0821938671753397E-4</v>
          </cell>
          <cell r="E34">
            <v>360268.08932751528</v>
          </cell>
          <cell r="F34">
            <v>280909.29139375756</v>
          </cell>
          <cell r="G34">
            <v>-72643</v>
          </cell>
          <cell r="H34">
            <v>-100527.59843584802</v>
          </cell>
          <cell r="I34">
            <v>-4160.0216985466341</v>
          </cell>
          <cell r="J34">
            <v>304015.8654088928</v>
          </cell>
          <cell r="K34">
            <v>0</v>
          </cell>
          <cell r="L34">
            <v>-15973.498261216399</v>
          </cell>
          <cell r="M34">
            <v>2866.5587250906678</v>
          </cell>
          <cell r="N34">
            <v>108.06169731866578</v>
          </cell>
          <cell r="O34">
            <v>-48.767062563113633</v>
          </cell>
          <cell r="P34">
            <v>0</v>
          </cell>
          <cell r="Q34">
            <v>0</v>
          </cell>
          <cell r="R34">
            <v>0</v>
          </cell>
          <cell r="S34">
            <v>754814.98109440086</v>
          </cell>
          <cell r="T34">
            <v>0</v>
          </cell>
          <cell r="U34">
            <v>1520079.3270444639</v>
          </cell>
          <cell r="V34">
            <v>11466.234900362671</v>
          </cell>
          <cell r="W34">
            <v>0</v>
          </cell>
          <cell r="X34">
            <v>1531545.5619448265</v>
          </cell>
          <cell r="Y34">
            <v>363213.88</v>
          </cell>
          <cell r="Z34">
            <v>0</v>
          </cell>
          <cell r="AA34">
            <v>0</v>
          </cell>
          <cell r="AB34">
            <v>20800.108492733169</v>
          </cell>
          <cell r="AC34">
            <v>384013.98849273316</v>
          </cell>
          <cell r="AD34" t="str">
            <v>N/A</v>
          </cell>
          <cell r="AE34">
            <v>230079</v>
          </cell>
          <cell r="AF34">
            <v>230079</v>
          </cell>
          <cell r="AG34">
            <v>230079</v>
          </cell>
          <cell r="AH34">
            <v>230079</v>
          </cell>
          <cell r="AI34">
            <v>227213</v>
          </cell>
          <cell r="AJ34">
            <v>0</v>
          </cell>
          <cell r="AK34">
            <v>1147529</v>
          </cell>
          <cell r="AL34">
            <v>7338462</v>
          </cell>
          <cell r="AM34">
            <v>754814.98109440086</v>
          </cell>
          <cell r="AN34">
            <v>-182558.12</v>
          </cell>
          <cell r="AO34">
            <v>1510745.4534520935</v>
          </cell>
          <cell r="AP34">
            <v>0</v>
          </cell>
          <cell r="AQ34">
            <v>-363213.88</v>
          </cell>
          <cell r="AR34">
            <v>0</v>
          </cell>
          <cell r="AS34">
            <v>0</v>
          </cell>
          <cell r="AT34">
            <v>9058250.4345464949</v>
          </cell>
          <cell r="AU34">
            <v>2.2134141517205787E-4</v>
          </cell>
          <cell r="AV34">
            <v>0</v>
          </cell>
          <cell r="AW34">
            <v>0</v>
          </cell>
          <cell r="AY34">
            <v>0</v>
          </cell>
          <cell r="AZ34">
            <v>0</v>
          </cell>
          <cell r="BA34">
            <v>0</v>
          </cell>
          <cell r="BB34">
            <v>0</v>
          </cell>
          <cell r="BC34">
            <v>0</v>
          </cell>
          <cell r="BD34">
            <v>0</v>
          </cell>
          <cell r="BE34">
            <v>0</v>
          </cell>
          <cell r="BF34">
            <v>0</v>
          </cell>
          <cell r="BG34">
            <v>0</v>
          </cell>
          <cell r="BH34">
            <v>0</v>
          </cell>
          <cell r="BJ34">
            <v>0</v>
          </cell>
          <cell r="BL34">
            <v>0</v>
          </cell>
          <cell r="BM34">
            <v>0</v>
          </cell>
          <cell r="BN34">
            <v>0</v>
          </cell>
          <cell r="BO34">
            <v>0</v>
          </cell>
          <cell r="BQ34">
            <v>0</v>
          </cell>
          <cell r="BR34">
            <v>0</v>
          </cell>
          <cell r="BS34">
            <v>0</v>
          </cell>
          <cell r="BT34">
            <v>0</v>
          </cell>
          <cell r="CB34">
            <v>0</v>
          </cell>
          <cell r="CC34">
            <v>0</v>
          </cell>
          <cell r="CD34">
            <v>0</v>
          </cell>
          <cell r="CE34">
            <v>0</v>
          </cell>
          <cell r="CF34">
            <v>0</v>
          </cell>
          <cell r="CI34">
            <v>0</v>
          </cell>
          <cell r="CJ34">
            <v>0</v>
          </cell>
          <cell r="CK34">
            <v>0</v>
          </cell>
          <cell r="CV34">
            <v>2.0821938671753397E-4</v>
          </cell>
          <cell r="DG34">
            <v>9058251</v>
          </cell>
          <cell r="DR34">
            <v>3220506.4499999997</v>
          </cell>
          <cell r="EC34">
            <v>2.8126790430741107</v>
          </cell>
          <cell r="EN34">
            <v>2.4095909012463064E-2</v>
          </cell>
        </row>
        <row r="35">
          <cell r="B35">
            <v>12100</v>
          </cell>
          <cell r="C35" t="str">
            <v>Governor's Office</v>
          </cell>
          <cell r="D35">
            <v>2.4575505458039566E-4</v>
          </cell>
          <cell r="E35">
            <v>425213.54688440595</v>
          </cell>
          <cell r="F35">
            <v>331548.75406613515</v>
          </cell>
          <cell r="G35">
            <v>-45203</v>
          </cell>
          <cell r="H35">
            <v>-118649.68882053444</v>
          </cell>
          <cell r="I35">
            <v>-4909.9479913887744</v>
          </cell>
          <cell r="J35">
            <v>358820.74563125736</v>
          </cell>
          <cell r="K35">
            <v>0</v>
          </cell>
          <cell r="L35">
            <v>-18853.037648941085</v>
          </cell>
          <cell r="M35">
            <v>3383.3127022808753</v>
          </cell>
          <cell r="N35">
            <v>127.54195822613374</v>
          </cell>
          <cell r="O35">
            <v>-57.558291333274468</v>
          </cell>
          <cell r="P35">
            <v>0</v>
          </cell>
          <cell r="Q35">
            <v>0</v>
          </cell>
          <cell r="R35">
            <v>0</v>
          </cell>
          <cell r="S35">
            <v>931420.6684901081</v>
          </cell>
          <cell r="T35">
            <v>12777.299999999988</v>
          </cell>
          <cell r="U35">
            <v>1794103.7281562868</v>
          </cell>
          <cell r="V35">
            <v>13533.250809123501</v>
          </cell>
          <cell r="W35">
            <v>0</v>
          </cell>
          <cell r="X35">
            <v>1820414.2789654103</v>
          </cell>
          <cell r="Y35">
            <v>238790</v>
          </cell>
          <cell r="Z35">
            <v>0</v>
          </cell>
          <cell r="AA35">
            <v>0</v>
          </cell>
          <cell r="AB35">
            <v>24549.739956943871</v>
          </cell>
          <cell r="AC35">
            <v>263339.7399569439</v>
          </cell>
          <cell r="AD35" t="str">
            <v>N/A</v>
          </cell>
          <cell r="AE35">
            <v>312091</v>
          </cell>
          <cell r="AF35">
            <v>312092</v>
          </cell>
          <cell r="AG35">
            <v>312092</v>
          </cell>
          <cell r="AH35">
            <v>312092</v>
          </cell>
          <cell r="AI35">
            <v>308709</v>
          </cell>
          <cell r="AJ35">
            <v>0</v>
          </cell>
          <cell r="AK35">
            <v>1557076</v>
          </cell>
          <cell r="AL35">
            <v>8434432</v>
          </cell>
          <cell r="AM35">
            <v>931420.6684901081</v>
          </cell>
          <cell r="AN35">
            <v>-231747.3</v>
          </cell>
          <cell r="AO35">
            <v>1783087.2390084667</v>
          </cell>
          <cell r="AP35">
            <v>0</v>
          </cell>
          <cell r="AQ35">
            <v>-226012.7</v>
          </cell>
          <cell r="AR35">
            <v>0</v>
          </cell>
          <cell r="AS35">
            <v>0</v>
          </cell>
          <cell r="AT35">
            <v>10691179.907498576</v>
          </cell>
          <cell r="AU35">
            <v>2.5439784416979685E-4</v>
          </cell>
          <cell r="AV35">
            <v>0</v>
          </cell>
          <cell r="AW35">
            <v>0</v>
          </cell>
          <cell r="AY35">
            <v>0</v>
          </cell>
          <cell r="AZ35">
            <v>0</v>
          </cell>
          <cell r="BA35">
            <v>0</v>
          </cell>
          <cell r="BB35">
            <v>0</v>
          </cell>
          <cell r="BC35">
            <v>0</v>
          </cell>
          <cell r="BD35">
            <v>0</v>
          </cell>
          <cell r="BE35">
            <v>0</v>
          </cell>
          <cell r="BF35">
            <v>0</v>
          </cell>
          <cell r="BG35">
            <v>0</v>
          </cell>
          <cell r="BH35">
            <v>0</v>
          </cell>
          <cell r="BJ35">
            <v>0</v>
          </cell>
          <cell r="BL35">
            <v>0</v>
          </cell>
          <cell r="BM35">
            <v>0</v>
          </cell>
          <cell r="BN35">
            <v>0</v>
          </cell>
          <cell r="BO35">
            <v>0</v>
          </cell>
          <cell r="BQ35">
            <v>0</v>
          </cell>
          <cell r="BR35">
            <v>0</v>
          </cell>
          <cell r="BS35">
            <v>0</v>
          </cell>
          <cell r="BT35">
            <v>0</v>
          </cell>
          <cell r="CB35">
            <v>0</v>
          </cell>
          <cell r="CC35">
            <v>0</v>
          </cell>
          <cell r="CD35">
            <v>0</v>
          </cell>
          <cell r="CE35">
            <v>0</v>
          </cell>
          <cell r="CF35">
            <v>0</v>
          </cell>
          <cell r="CI35">
            <v>0</v>
          </cell>
          <cell r="CJ35">
            <v>0</v>
          </cell>
          <cell r="CK35">
            <v>0</v>
          </cell>
          <cell r="CV35">
            <v>2.4575505458039566E-4</v>
          </cell>
          <cell r="DG35">
            <v>10691180</v>
          </cell>
          <cell r="DR35">
            <v>4186906.6799999992</v>
          </cell>
          <cell r="EC35">
            <v>2.5534794102456568</v>
          </cell>
          <cell r="EN35">
            <v>2.4095909012463064E-2</v>
          </cell>
        </row>
        <row r="36">
          <cell r="B36">
            <v>12150</v>
          </cell>
          <cell r="C36" t="str">
            <v>Lt. Governor's Office</v>
          </cell>
          <cell r="D36">
            <v>3.6743207437318127E-5</v>
          </cell>
          <cell r="E36">
            <v>63574.316243495312</v>
          </cell>
          <cell r="F36">
            <v>49570.352345494211</v>
          </cell>
          <cell r="G36">
            <v>-18259</v>
          </cell>
          <cell r="H36">
            <v>-17739.49323707588</v>
          </cell>
          <cell r="I36">
            <v>-734.09370099048465</v>
          </cell>
          <cell r="J36">
            <v>53647.828778347262</v>
          </cell>
          <cell r="K36">
            <v>0</v>
          </cell>
          <cell r="L36">
            <v>-2818.7459840505367</v>
          </cell>
          <cell r="M36">
            <v>505.8441652704721</v>
          </cell>
          <cell r="N36">
            <v>19.068989795819363</v>
          </cell>
          <cell r="O36">
            <v>-8.6056266138942785</v>
          </cell>
          <cell r="P36">
            <v>0</v>
          </cell>
          <cell r="Q36">
            <v>0</v>
          </cell>
          <cell r="R36">
            <v>0</v>
          </cell>
          <cell r="S36">
            <v>127757.47197367231</v>
          </cell>
          <cell r="T36">
            <v>0</v>
          </cell>
          <cell r="U36">
            <v>268239.14389173628</v>
          </cell>
          <cell r="V36">
            <v>2023.3766610818884</v>
          </cell>
          <cell r="W36">
            <v>0</v>
          </cell>
          <cell r="X36">
            <v>270262.5205528182</v>
          </cell>
          <cell r="Y36">
            <v>91297.45</v>
          </cell>
          <cell r="Z36">
            <v>0</v>
          </cell>
          <cell r="AA36">
            <v>0</v>
          </cell>
          <cell r="AB36">
            <v>3670.4685049524232</v>
          </cell>
          <cell r="AC36">
            <v>94967.918504952424</v>
          </cell>
          <cell r="AD36" t="str">
            <v>N/A</v>
          </cell>
          <cell r="AE36">
            <v>35161</v>
          </cell>
          <cell r="AF36">
            <v>35160</v>
          </cell>
          <cell r="AG36">
            <v>35160</v>
          </cell>
          <cell r="AH36">
            <v>35160</v>
          </cell>
          <cell r="AI36">
            <v>34654</v>
          </cell>
          <cell r="AJ36">
            <v>0</v>
          </cell>
          <cell r="AK36">
            <v>175295</v>
          </cell>
          <cell r="AL36">
            <v>1322398</v>
          </cell>
          <cell r="AM36">
            <v>127757.47197367231</v>
          </cell>
          <cell r="AN36">
            <v>-26996.550000000003</v>
          </cell>
          <cell r="AO36">
            <v>266592.05204786576</v>
          </cell>
          <cell r="AP36">
            <v>0</v>
          </cell>
          <cell r="AQ36">
            <v>-91297.45</v>
          </cell>
          <cell r="AR36">
            <v>0</v>
          </cell>
          <cell r="AS36">
            <v>0</v>
          </cell>
          <cell r="AT36">
            <v>1598453.524021538</v>
          </cell>
          <cell r="AU36">
            <v>3.9885936918139238E-5</v>
          </cell>
          <cell r="AV36">
            <v>0</v>
          </cell>
          <cell r="AW36">
            <v>0</v>
          </cell>
          <cell r="AY36">
            <v>0</v>
          </cell>
          <cell r="AZ36">
            <v>0</v>
          </cell>
          <cell r="BA36">
            <v>0</v>
          </cell>
          <cell r="BB36">
            <v>0</v>
          </cell>
          <cell r="BC36">
            <v>0</v>
          </cell>
          <cell r="BD36">
            <v>0</v>
          </cell>
          <cell r="BE36">
            <v>0</v>
          </cell>
          <cell r="BF36">
            <v>0</v>
          </cell>
          <cell r="BG36">
            <v>0</v>
          </cell>
          <cell r="BH36">
            <v>0</v>
          </cell>
          <cell r="BJ36">
            <v>0</v>
          </cell>
          <cell r="BL36">
            <v>0</v>
          </cell>
          <cell r="BM36">
            <v>0</v>
          </cell>
          <cell r="BN36">
            <v>0</v>
          </cell>
          <cell r="BO36">
            <v>0</v>
          </cell>
          <cell r="BQ36">
            <v>0</v>
          </cell>
          <cell r="BR36">
            <v>0</v>
          </cell>
          <cell r="BS36">
            <v>0</v>
          </cell>
          <cell r="BT36">
            <v>0</v>
          </cell>
          <cell r="CB36">
            <v>0</v>
          </cell>
          <cell r="CC36">
            <v>0</v>
          </cell>
          <cell r="CD36">
            <v>0</v>
          </cell>
          <cell r="CE36">
            <v>0</v>
          </cell>
          <cell r="CF36">
            <v>0</v>
          </cell>
          <cell r="CI36">
            <v>0</v>
          </cell>
          <cell r="CJ36">
            <v>0</v>
          </cell>
          <cell r="CK36">
            <v>0</v>
          </cell>
          <cell r="CV36">
            <v>3.6743207437318127E-5</v>
          </cell>
          <cell r="DG36">
            <v>1598454</v>
          </cell>
          <cell r="DR36">
            <v>509215.18000000005</v>
          </cell>
          <cell r="EC36">
            <v>3.1390541028254497</v>
          </cell>
          <cell r="EN36">
            <v>2.4095909012463064E-2</v>
          </cell>
        </row>
        <row r="37">
          <cell r="B37">
            <v>12160</v>
          </cell>
          <cell r="C37" t="str">
            <v>General Assembly</v>
          </cell>
          <cell r="D37">
            <v>1.6142620447768545E-3</v>
          </cell>
          <cell r="E37">
            <v>2793049.7333306768</v>
          </cell>
          <cell r="F37">
            <v>2177804.9309945391</v>
          </cell>
          <cell r="G37">
            <v>97881</v>
          </cell>
          <cell r="H37">
            <v>-779360.12186848535</v>
          </cell>
          <cell r="I37">
            <v>-32251.392338033806</v>
          </cell>
          <cell r="J37">
            <v>2356943.2235689019</v>
          </cell>
          <cell r="K37">
            <v>0</v>
          </cell>
          <cell r="L37">
            <v>-123837.70969593077</v>
          </cell>
          <cell r="M37">
            <v>22223.564395159789</v>
          </cell>
          <cell r="N37">
            <v>837.76971599829199</v>
          </cell>
          <cell r="O37">
            <v>-378.07631350718708</v>
          </cell>
          <cell r="P37">
            <v>0</v>
          </cell>
          <cell r="Q37">
            <v>0</v>
          </cell>
          <cell r="R37">
            <v>0</v>
          </cell>
          <cell r="S37">
            <v>6512912.9217893193</v>
          </cell>
          <cell r="T37">
            <v>489404.26999999979</v>
          </cell>
          <cell r="U37">
            <v>11784716.117844509</v>
          </cell>
          <cell r="V37">
            <v>88894.257580639154</v>
          </cell>
          <cell r="W37">
            <v>0</v>
          </cell>
          <cell r="X37">
            <v>12363014.645425148</v>
          </cell>
          <cell r="Y37">
            <v>0</v>
          </cell>
          <cell r="Z37">
            <v>0</v>
          </cell>
          <cell r="AA37">
            <v>0</v>
          </cell>
          <cell r="AB37">
            <v>161256.96169016903</v>
          </cell>
          <cell r="AC37">
            <v>161256.96169016903</v>
          </cell>
          <cell r="AD37" t="str">
            <v>N/A</v>
          </cell>
          <cell r="AE37">
            <v>2444795</v>
          </cell>
          <cell r="AF37">
            <v>2444797</v>
          </cell>
          <cell r="AG37">
            <v>2444797</v>
          </cell>
          <cell r="AH37">
            <v>2444797</v>
          </cell>
          <cell r="AI37">
            <v>2422574</v>
          </cell>
          <cell r="AJ37">
            <v>0</v>
          </cell>
          <cell r="AK37">
            <v>12201760</v>
          </cell>
          <cell r="AL37">
            <v>53145901</v>
          </cell>
          <cell r="AM37">
            <v>6512912.9217893193</v>
          </cell>
          <cell r="AN37">
            <v>-1634685.2699999998</v>
          </cell>
          <cell r="AO37">
            <v>11712353.41373498</v>
          </cell>
          <cell r="AP37">
            <v>0</v>
          </cell>
          <cell r="AQ37">
            <v>489404.26999999979</v>
          </cell>
          <cell r="AR37">
            <v>0</v>
          </cell>
          <cell r="AS37">
            <v>0</v>
          </cell>
          <cell r="AT37">
            <v>70225886.335524291</v>
          </cell>
          <cell r="AU37">
            <v>1.6029773290405359E-3</v>
          </cell>
          <cell r="AV37">
            <v>0</v>
          </cell>
          <cell r="AW37">
            <v>0</v>
          </cell>
          <cell r="AY37">
            <v>0</v>
          </cell>
          <cell r="AZ37">
            <v>0</v>
          </cell>
          <cell r="BA37">
            <v>0</v>
          </cell>
          <cell r="BB37">
            <v>0</v>
          </cell>
          <cell r="BC37">
            <v>0</v>
          </cell>
          <cell r="BD37">
            <v>0</v>
          </cell>
          <cell r="BE37">
            <v>0</v>
          </cell>
          <cell r="BF37">
            <v>0</v>
          </cell>
          <cell r="BG37">
            <v>0</v>
          </cell>
          <cell r="BH37">
            <v>0</v>
          </cell>
          <cell r="BJ37">
            <v>0</v>
          </cell>
          <cell r="BL37">
            <v>0</v>
          </cell>
          <cell r="BM37">
            <v>0</v>
          </cell>
          <cell r="BN37">
            <v>0</v>
          </cell>
          <cell r="BO37">
            <v>0</v>
          </cell>
          <cell r="BQ37">
            <v>0</v>
          </cell>
          <cell r="BR37">
            <v>0</v>
          </cell>
          <cell r="BS37">
            <v>0</v>
          </cell>
          <cell r="BT37">
            <v>0</v>
          </cell>
          <cell r="CB37">
            <v>0</v>
          </cell>
          <cell r="CC37">
            <v>0</v>
          </cell>
          <cell r="CD37">
            <v>0</v>
          </cell>
          <cell r="CE37">
            <v>0</v>
          </cell>
          <cell r="CF37">
            <v>0</v>
          </cell>
          <cell r="CI37">
            <v>0</v>
          </cell>
          <cell r="CJ37">
            <v>0</v>
          </cell>
          <cell r="CK37">
            <v>0</v>
          </cell>
          <cell r="CV37">
            <v>1.6142620447768545E-3</v>
          </cell>
          <cell r="DG37">
            <v>70225886</v>
          </cell>
          <cell r="DR37">
            <v>29167151.46999998</v>
          </cell>
          <cell r="EC37">
            <v>2.4077046424033277</v>
          </cell>
          <cell r="EN37">
            <v>2.4095909012463064E-2</v>
          </cell>
        </row>
        <row r="38">
          <cell r="B38">
            <v>12220</v>
          </cell>
          <cell r="C38" t="str">
            <v>Health &amp; Human Services</v>
          </cell>
          <cell r="D38">
            <v>3.9863829786089162E-2</v>
          </cell>
          <cell r="E38">
            <v>68973720.539261639</v>
          </cell>
          <cell r="F38">
            <v>53780391.701195456</v>
          </cell>
          <cell r="G38">
            <v>-3016320</v>
          </cell>
          <cell r="H38">
            <v>-19246118.89423795</v>
          </cell>
          <cell r="I38">
            <v>-796440.71338212129</v>
          </cell>
          <cell r="J38">
            <v>58204170.620151691</v>
          </cell>
          <cell r="K38">
            <v>0</v>
          </cell>
          <cell r="L38">
            <v>-3058143.7483405108</v>
          </cell>
          <cell r="M38">
            <v>548805.80953714042</v>
          </cell>
          <cell r="N38">
            <v>20688.530382384553</v>
          </cell>
          <cell r="O38">
            <v>-9336.5075741999426</v>
          </cell>
          <cell r="P38">
            <v>0</v>
          </cell>
          <cell r="Q38">
            <v>0</v>
          </cell>
          <cell r="R38">
            <v>0</v>
          </cell>
          <cell r="S38">
            <v>155401417.33699352</v>
          </cell>
          <cell r="T38">
            <v>5261393.0399999991</v>
          </cell>
          <cell r="U38">
            <v>291020853.10075843</v>
          </cell>
          <cell r="V38">
            <v>2195223.2381485617</v>
          </cell>
          <cell r="W38">
            <v>0</v>
          </cell>
          <cell r="X38">
            <v>298477469.37890702</v>
          </cell>
          <cell r="Y38">
            <v>20342997</v>
          </cell>
          <cell r="Z38">
            <v>0</v>
          </cell>
          <cell r="AA38">
            <v>0</v>
          </cell>
          <cell r="AB38">
            <v>3982203.5669106063</v>
          </cell>
          <cell r="AC38">
            <v>24325200.566910606</v>
          </cell>
          <cell r="AD38" t="str">
            <v>N/A</v>
          </cell>
          <cell r="AE38">
            <v>54940216</v>
          </cell>
          <cell r="AF38">
            <v>54940215</v>
          </cell>
          <cell r="AG38">
            <v>54940215</v>
          </cell>
          <cell r="AH38">
            <v>54940215</v>
          </cell>
          <cell r="AI38">
            <v>54391409</v>
          </cell>
          <cell r="AJ38">
            <v>0</v>
          </cell>
          <cell r="AK38">
            <v>274152270</v>
          </cell>
          <cell r="AL38">
            <v>1346076666</v>
          </cell>
          <cell r="AM38">
            <v>155401417.33699352</v>
          </cell>
          <cell r="AN38">
            <v>-41418259.039999999</v>
          </cell>
          <cell r="AO38">
            <v>289233872.77199644</v>
          </cell>
          <cell r="AP38">
            <v>0</v>
          </cell>
          <cell r="AQ38">
            <v>-15081603.960000001</v>
          </cell>
          <cell r="AR38">
            <v>0</v>
          </cell>
          <cell r="AS38">
            <v>0</v>
          </cell>
          <cell r="AT38">
            <v>1734212093.10899</v>
          </cell>
          <cell r="AU38">
            <v>4.0600128066634794E-2</v>
          </cell>
          <cell r="AV38">
            <v>0</v>
          </cell>
          <cell r="AW38">
            <v>0</v>
          </cell>
          <cell r="AY38">
            <v>0</v>
          </cell>
          <cell r="AZ38">
            <v>0</v>
          </cell>
          <cell r="BA38">
            <v>0</v>
          </cell>
          <cell r="BB38">
            <v>0</v>
          </cell>
          <cell r="BC38">
            <v>0</v>
          </cell>
          <cell r="BD38">
            <v>0</v>
          </cell>
          <cell r="BE38">
            <v>0</v>
          </cell>
          <cell r="BF38">
            <v>0</v>
          </cell>
          <cell r="BG38">
            <v>0</v>
          </cell>
          <cell r="BH38">
            <v>0</v>
          </cell>
          <cell r="BJ38">
            <v>0</v>
          </cell>
          <cell r="BL38">
            <v>0</v>
          </cell>
          <cell r="BM38">
            <v>0</v>
          </cell>
          <cell r="BN38">
            <v>0</v>
          </cell>
          <cell r="BO38">
            <v>0</v>
          </cell>
          <cell r="BQ38">
            <v>0</v>
          </cell>
          <cell r="BR38">
            <v>0</v>
          </cell>
          <cell r="BS38">
            <v>0</v>
          </cell>
          <cell r="BT38">
            <v>0</v>
          </cell>
          <cell r="CB38">
            <v>0</v>
          </cell>
          <cell r="CC38">
            <v>0</v>
          </cell>
          <cell r="CD38">
            <v>0</v>
          </cell>
          <cell r="CE38">
            <v>0</v>
          </cell>
          <cell r="CF38">
            <v>0</v>
          </cell>
          <cell r="CI38">
            <v>0</v>
          </cell>
          <cell r="CJ38">
            <v>0</v>
          </cell>
          <cell r="CK38">
            <v>0</v>
          </cell>
          <cell r="CV38">
            <v>3.9863829786089162E-2</v>
          </cell>
          <cell r="DG38">
            <v>1734212093</v>
          </cell>
          <cell r="DR38">
            <v>714528160.84999931</v>
          </cell>
          <cell r="EC38">
            <v>2.4270731204449514</v>
          </cell>
          <cell r="EN38">
            <v>2.4095909012463064E-2</v>
          </cell>
        </row>
        <row r="39">
          <cell r="B39">
            <v>12510</v>
          </cell>
          <cell r="C39" t="str">
            <v>Department Of Commerce</v>
          </cell>
          <cell r="D39">
            <v>4.4662492583956914E-3</v>
          </cell>
          <cell r="E39">
            <v>7727652.6078978768</v>
          </cell>
          <cell r="F39">
            <v>6025427.9591448782</v>
          </cell>
          <cell r="G39">
            <v>-3435545</v>
          </cell>
          <cell r="H39">
            <v>-2156289.6665884657</v>
          </cell>
          <cell r="I39">
            <v>-89231.334886451805</v>
          </cell>
          <cell r="J39">
            <v>6521057.6922165705</v>
          </cell>
          <cell r="K39">
            <v>0</v>
          </cell>
          <cell r="L39">
            <v>-342627.19666888245</v>
          </cell>
          <cell r="M39">
            <v>61486.905623499202</v>
          </cell>
          <cell r="N39">
            <v>2317.8940401221957</v>
          </cell>
          <cell r="O39">
            <v>-1046.0402388088548</v>
          </cell>
          <cell r="P39">
            <v>0</v>
          </cell>
          <cell r="Q39">
            <v>0</v>
          </cell>
          <cell r="R39">
            <v>0</v>
          </cell>
          <cell r="S39">
            <v>14313203.820540339</v>
          </cell>
          <cell r="T39">
            <v>954519.16999999993</v>
          </cell>
          <cell r="U39">
            <v>32605288.461082853</v>
          </cell>
          <cell r="V39">
            <v>245947.62249399681</v>
          </cell>
          <cell r="W39">
            <v>0</v>
          </cell>
          <cell r="X39">
            <v>33805755.253576852</v>
          </cell>
          <cell r="Y39">
            <v>18132246</v>
          </cell>
          <cell r="Z39">
            <v>0</v>
          </cell>
          <cell r="AA39">
            <v>0</v>
          </cell>
          <cell r="AB39">
            <v>446156.67443225899</v>
          </cell>
          <cell r="AC39">
            <v>18578402.674432259</v>
          </cell>
          <cell r="AD39" t="str">
            <v>N/A</v>
          </cell>
          <cell r="AE39">
            <v>3057768</v>
          </cell>
          <cell r="AF39">
            <v>3057768</v>
          </cell>
          <cell r="AG39">
            <v>3057768</v>
          </cell>
          <cell r="AH39">
            <v>3057768</v>
          </cell>
          <cell r="AI39">
            <v>2996281</v>
          </cell>
          <cell r="AJ39">
            <v>0</v>
          </cell>
          <cell r="AK39">
            <v>15227353</v>
          </cell>
          <cell r="AL39">
            <v>169834925</v>
          </cell>
          <cell r="AM39">
            <v>14313203.820540339</v>
          </cell>
          <cell r="AN39">
            <v>-5078458.17</v>
          </cell>
          <cell r="AO39">
            <v>32405079.409144592</v>
          </cell>
          <cell r="AP39">
            <v>0</v>
          </cell>
          <cell r="AQ39">
            <v>-17177726.829999998</v>
          </cell>
          <cell r="AR39">
            <v>0</v>
          </cell>
          <cell r="AS39">
            <v>0</v>
          </cell>
          <cell r="AT39">
            <v>194297023.22968495</v>
          </cell>
          <cell r="AU39">
            <v>5.1225311936079748E-3</v>
          </cell>
          <cell r="AV39">
            <v>0</v>
          </cell>
          <cell r="AW39">
            <v>0</v>
          </cell>
          <cell r="AY39">
            <v>0</v>
          </cell>
          <cell r="AZ39">
            <v>0</v>
          </cell>
          <cell r="BA39">
            <v>0</v>
          </cell>
          <cell r="BB39">
            <v>0</v>
          </cell>
          <cell r="BC39">
            <v>0</v>
          </cell>
          <cell r="BD39">
            <v>0</v>
          </cell>
          <cell r="BE39">
            <v>0</v>
          </cell>
          <cell r="BF39">
            <v>0</v>
          </cell>
          <cell r="BG39">
            <v>0</v>
          </cell>
          <cell r="BH39">
            <v>0</v>
          </cell>
          <cell r="BJ39">
            <v>0</v>
          </cell>
          <cell r="BL39">
            <v>0</v>
          </cell>
          <cell r="BM39">
            <v>0</v>
          </cell>
          <cell r="BN39">
            <v>0</v>
          </cell>
          <cell r="BO39">
            <v>0</v>
          </cell>
          <cell r="BQ39">
            <v>0</v>
          </cell>
          <cell r="BR39">
            <v>0</v>
          </cell>
          <cell r="BS39">
            <v>0</v>
          </cell>
          <cell r="BT39">
            <v>0</v>
          </cell>
          <cell r="CB39">
            <v>0</v>
          </cell>
          <cell r="CC39">
            <v>0</v>
          </cell>
          <cell r="CD39">
            <v>0</v>
          </cell>
          <cell r="CE39">
            <v>0</v>
          </cell>
          <cell r="CF39">
            <v>0</v>
          </cell>
          <cell r="CI39">
            <v>0</v>
          </cell>
          <cell r="CJ39">
            <v>0</v>
          </cell>
          <cell r="CK39">
            <v>0</v>
          </cell>
          <cell r="CV39">
            <v>4.4662492583956914E-3</v>
          </cell>
          <cell r="DG39">
            <v>194297024</v>
          </cell>
          <cell r="DR39">
            <v>89318474.35999988</v>
          </cell>
          <cell r="EC39">
            <v>2.1753285128548212</v>
          </cell>
          <cell r="EN39">
            <v>2.4095909012463064E-2</v>
          </cell>
        </row>
        <row r="40">
          <cell r="B40">
            <v>12600</v>
          </cell>
          <cell r="C40" t="str">
            <v>Insurance Department</v>
          </cell>
          <cell r="D40">
            <v>1.2011297539877978E-3</v>
          </cell>
          <cell r="E40">
            <v>2078234.5406224977</v>
          </cell>
          <cell r="F40">
            <v>1620447.1321510128</v>
          </cell>
          <cell r="G40">
            <v>-222908</v>
          </cell>
          <cell r="H40">
            <v>-579901.28336146078</v>
          </cell>
          <cell r="I40">
            <v>-23997.40926207641</v>
          </cell>
          <cell r="J40">
            <v>1753739.2045167368</v>
          </cell>
          <cell r="K40">
            <v>0</v>
          </cell>
          <cell r="L40">
            <v>-92144.369164082789</v>
          </cell>
          <cell r="M40">
            <v>16535.967330124637</v>
          </cell>
          <cell r="N40">
            <v>623.36231972458734</v>
          </cell>
          <cell r="O40">
            <v>-281.3165996814821</v>
          </cell>
          <cell r="P40">
            <v>0</v>
          </cell>
          <cell r="Q40">
            <v>0</v>
          </cell>
          <cell r="R40">
            <v>0</v>
          </cell>
          <cell r="S40">
            <v>4550347.8285527946</v>
          </cell>
          <cell r="T40">
            <v>265156.37000000011</v>
          </cell>
          <cell r="U40">
            <v>8768696.022583684</v>
          </cell>
          <cell r="V40">
            <v>66143.869320498547</v>
          </cell>
          <cell r="W40">
            <v>0</v>
          </cell>
          <cell r="X40">
            <v>9099996.2619041819</v>
          </cell>
          <cell r="Y40">
            <v>1379695</v>
          </cell>
          <cell r="Z40">
            <v>0</v>
          </cell>
          <cell r="AA40">
            <v>0</v>
          </cell>
          <cell r="AB40">
            <v>119987.04631038204</v>
          </cell>
          <cell r="AC40">
            <v>1499682.046310382</v>
          </cell>
          <cell r="AD40" t="str">
            <v>N/A</v>
          </cell>
          <cell r="AE40">
            <v>1523370</v>
          </cell>
          <cell r="AF40">
            <v>1523370</v>
          </cell>
          <cell r="AG40">
            <v>1523370</v>
          </cell>
          <cell r="AH40">
            <v>1523370</v>
          </cell>
          <cell r="AI40">
            <v>1506834</v>
          </cell>
          <cell r="AJ40">
            <v>0</v>
          </cell>
          <cell r="AK40">
            <v>7600314</v>
          </cell>
          <cell r="AL40">
            <v>41478482</v>
          </cell>
          <cell r="AM40">
            <v>4550347.8285527946</v>
          </cell>
          <cell r="AN40">
            <v>-1375917.37</v>
          </cell>
          <cell r="AO40">
            <v>8714852.8455938008</v>
          </cell>
          <cell r="AP40">
            <v>0</v>
          </cell>
          <cell r="AQ40">
            <v>-1114538.6299999999</v>
          </cell>
          <cell r="AR40">
            <v>0</v>
          </cell>
          <cell r="AS40">
            <v>0</v>
          </cell>
          <cell r="AT40">
            <v>52253226.6741466</v>
          </cell>
          <cell r="AU40">
            <v>1.2510666990705065E-3</v>
          </cell>
          <cell r="AV40">
            <v>0</v>
          </cell>
          <cell r="AW40">
            <v>0</v>
          </cell>
          <cell r="AY40">
            <v>0</v>
          </cell>
          <cell r="AZ40">
            <v>0</v>
          </cell>
          <cell r="BA40">
            <v>0</v>
          </cell>
          <cell r="BB40">
            <v>0</v>
          </cell>
          <cell r="BC40">
            <v>0</v>
          </cell>
          <cell r="BD40">
            <v>0</v>
          </cell>
          <cell r="BE40">
            <v>0</v>
          </cell>
          <cell r="BF40">
            <v>0</v>
          </cell>
          <cell r="BG40">
            <v>0</v>
          </cell>
          <cell r="BH40">
            <v>0</v>
          </cell>
          <cell r="BJ40">
            <v>0</v>
          </cell>
          <cell r="BL40">
            <v>0</v>
          </cell>
          <cell r="BM40">
            <v>0</v>
          </cell>
          <cell r="BN40">
            <v>0</v>
          </cell>
          <cell r="BO40">
            <v>0</v>
          </cell>
          <cell r="BQ40">
            <v>0</v>
          </cell>
          <cell r="BR40">
            <v>0</v>
          </cell>
          <cell r="BS40">
            <v>0</v>
          </cell>
          <cell r="BT40">
            <v>0</v>
          </cell>
          <cell r="CB40">
            <v>0</v>
          </cell>
          <cell r="CC40">
            <v>0</v>
          </cell>
          <cell r="CD40">
            <v>0</v>
          </cell>
          <cell r="CE40">
            <v>0</v>
          </cell>
          <cell r="CF40">
            <v>0</v>
          </cell>
          <cell r="CI40">
            <v>0</v>
          </cell>
          <cell r="CJ40">
            <v>0</v>
          </cell>
          <cell r="CK40">
            <v>0</v>
          </cell>
          <cell r="CV40">
            <v>1.2011297539877978E-3</v>
          </cell>
          <cell r="DG40">
            <v>52253227</v>
          </cell>
          <cell r="DR40">
            <v>23967770.510000024</v>
          </cell>
          <cell r="EC40">
            <v>2.1801454990650253</v>
          </cell>
          <cell r="EN40">
            <v>2.4095909012463064E-2</v>
          </cell>
        </row>
        <row r="41">
          <cell r="B41">
            <v>12700</v>
          </cell>
          <cell r="C41" t="str">
            <v>Labor Department</v>
          </cell>
          <cell r="D41">
            <v>9.5007738500502809E-4</v>
          </cell>
          <cell r="E41">
            <v>1643855.4046524828</v>
          </cell>
          <cell r="F41">
            <v>1281751.7580773972</v>
          </cell>
          <cell r="G41">
            <v>-307990</v>
          </cell>
          <cell r="H41">
            <v>-458694.06950243079</v>
          </cell>
          <cell r="I41">
            <v>-18981.626059061571</v>
          </cell>
          <cell r="J41">
            <v>1387183.9839752952</v>
          </cell>
          <cell r="K41">
            <v>0</v>
          </cell>
          <cell r="L41">
            <v>-72884.949363463267</v>
          </cell>
          <cell r="M41">
            <v>13079.726438691645</v>
          </cell>
          <cell r="N41">
            <v>493.07116126990945</v>
          </cell>
          <cell r="O41">
            <v>-222.51762434202763</v>
          </cell>
          <cell r="P41">
            <v>0</v>
          </cell>
          <cell r="Q41">
            <v>0</v>
          </cell>
          <cell r="R41">
            <v>0</v>
          </cell>
          <cell r="S41">
            <v>3467590.7817558399</v>
          </cell>
          <cell r="T41">
            <v>169012.27000000002</v>
          </cell>
          <cell r="U41">
            <v>6935919.9198764758</v>
          </cell>
          <cell r="V41">
            <v>52318.90575476658</v>
          </cell>
          <cell r="W41">
            <v>0</v>
          </cell>
          <cell r="X41">
            <v>7157251.0956312427</v>
          </cell>
          <cell r="Y41">
            <v>1708960</v>
          </cell>
          <cell r="Z41">
            <v>0</v>
          </cell>
          <cell r="AA41">
            <v>0</v>
          </cell>
          <cell r="AB41">
            <v>94908.130295307841</v>
          </cell>
          <cell r="AC41">
            <v>1803868.1302953078</v>
          </cell>
          <cell r="AD41" t="str">
            <v>N/A</v>
          </cell>
          <cell r="AE41">
            <v>1073292</v>
          </cell>
          <cell r="AF41">
            <v>1073293</v>
          </cell>
          <cell r="AG41">
            <v>1073293</v>
          </cell>
          <cell r="AH41">
            <v>1073293</v>
          </cell>
          <cell r="AI41">
            <v>1060213</v>
          </cell>
          <cell r="AJ41">
            <v>0</v>
          </cell>
          <cell r="AK41">
            <v>5353384</v>
          </cell>
          <cell r="AL41">
            <v>33550086</v>
          </cell>
          <cell r="AM41">
            <v>3467590.7817558399</v>
          </cell>
          <cell r="AN41">
            <v>-1039464.27</v>
          </cell>
          <cell r="AO41">
            <v>6893330.6953359349</v>
          </cell>
          <cell r="AP41">
            <v>0</v>
          </cell>
          <cell r="AQ41">
            <v>-1539947.73</v>
          </cell>
          <cell r="AR41">
            <v>0</v>
          </cell>
          <cell r="AS41">
            <v>0</v>
          </cell>
          <cell r="AT41">
            <v>41331595.477091774</v>
          </cell>
          <cell r="AU41">
            <v>1.0119318006587533E-3</v>
          </cell>
          <cell r="AV41">
            <v>0</v>
          </cell>
          <cell r="AW41">
            <v>0</v>
          </cell>
          <cell r="AY41">
            <v>0</v>
          </cell>
          <cell r="AZ41">
            <v>0</v>
          </cell>
          <cell r="BA41">
            <v>0</v>
          </cell>
          <cell r="BB41">
            <v>0</v>
          </cell>
          <cell r="BC41">
            <v>0</v>
          </cell>
          <cell r="BD41">
            <v>0</v>
          </cell>
          <cell r="BE41">
            <v>0</v>
          </cell>
          <cell r="BF41">
            <v>0</v>
          </cell>
          <cell r="BG41">
            <v>0</v>
          </cell>
          <cell r="BH41">
            <v>0</v>
          </cell>
          <cell r="BJ41">
            <v>0</v>
          </cell>
          <cell r="BL41">
            <v>0</v>
          </cell>
          <cell r="BM41">
            <v>0</v>
          </cell>
          <cell r="BN41">
            <v>0</v>
          </cell>
          <cell r="BO41">
            <v>0</v>
          </cell>
          <cell r="BQ41">
            <v>0</v>
          </cell>
          <cell r="BR41">
            <v>0</v>
          </cell>
          <cell r="BS41">
            <v>0</v>
          </cell>
          <cell r="BT41">
            <v>0</v>
          </cell>
          <cell r="CB41">
            <v>0</v>
          </cell>
          <cell r="CC41">
            <v>0</v>
          </cell>
          <cell r="CD41">
            <v>0</v>
          </cell>
          <cell r="CE41">
            <v>0</v>
          </cell>
          <cell r="CF41">
            <v>0</v>
          </cell>
          <cell r="CI41">
            <v>0</v>
          </cell>
          <cell r="CJ41">
            <v>0</v>
          </cell>
          <cell r="CK41">
            <v>0</v>
          </cell>
          <cell r="CV41">
            <v>9.5007738500502809E-4</v>
          </cell>
          <cell r="DG41">
            <v>41331596</v>
          </cell>
          <cell r="DR41">
            <v>18256095.459999993</v>
          </cell>
          <cell r="EC41">
            <v>2.2639888189979924</v>
          </cell>
          <cell r="EN41">
            <v>2.4095909012463064E-2</v>
          </cell>
        </row>
        <row r="42">
          <cell r="B42">
            <v>13500</v>
          </cell>
          <cell r="C42" t="str">
            <v>Revenue Department</v>
          </cell>
          <cell r="D42">
            <v>3.5355190976060834E-3</v>
          </cell>
          <cell r="E42">
            <v>6117272.4123109942</v>
          </cell>
          <cell r="F42">
            <v>4769777.5892737694</v>
          </cell>
          <cell r="G42">
            <v>325106</v>
          </cell>
          <cell r="H42">
            <v>-1706936.3698999251</v>
          </cell>
          <cell r="I42">
            <v>-70636.247630580445</v>
          </cell>
          <cell r="J42">
            <v>5162122.1014664946</v>
          </cell>
          <cell r="K42">
            <v>0</v>
          </cell>
          <cell r="L42">
            <v>-271226.46478024835</v>
          </cell>
          <cell r="M42">
            <v>48673.532646198895</v>
          </cell>
          <cell r="N42">
            <v>1834.8637012756051</v>
          </cell>
          <cell r="O42">
            <v>-828.05392785032075</v>
          </cell>
          <cell r="P42">
            <v>0</v>
          </cell>
          <cell r="Q42">
            <v>0</v>
          </cell>
          <cell r="R42">
            <v>0</v>
          </cell>
          <cell r="S42">
            <v>14375159.363160131</v>
          </cell>
          <cell r="T42">
            <v>1625534.4100000001</v>
          </cell>
          <cell r="U42">
            <v>25810610.50733247</v>
          </cell>
          <cell r="V42">
            <v>194694.13058479558</v>
          </cell>
          <cell r="W42">
            <v>0</v>
          </cell>
          <cell r="X42">
            <v>27630839.047917265</v>
          </cell>
          <cell r="Y42">
            <v>0</v>
          </cell>
          <cell r="Z42">
            <v>0</v>
          </cell>
          <cell r="AA42">
            <v>0</v>
          </cell>
          <cell r="AB42">
            <v>353181.23815290222</v>
          </cell>
          <cell r="AC42">
            <v>353181.23815290222</v>
          </cell>
          <cell r="AD42" t="str">
            <v>N/A</v>
          </cell>
          <cell r="AE42">
            <v>5465265</v>
          </cell>
          <cell r="AF42">
            <v>5465267</v>
          </cell>
          <cell r="AG42">
            <v>5465267</v>
          </cell>
          <cell r="AH42">
            <v>5465267</v>
          </cell>
          <cell r="AI42">
            <v>5416594</v>
          </cell>
          <cell r="AJ42">
            <v>0</v>
          </cell>
          <cell r="AK42">
            <v>27277660</v>
          </cell>
          <cell r="AL42">
            <v>115899152</v>
          </cell>
          <cell r="AM42">
            <v>14375159.363160131</v>
          </cell>
          <cell r="AN42">
            <v>-3744870.41</v>
          </cell>
          <cell r="AO42">
            <v>25652123.399764366</v>
          </cell>
          <cell r="AP42">
            <v>0</v>
          </cell>
          <cell r="AQ42">
            <v>1625534.4100000001</v>
          </cell>
          <cell r="AR42">
            <v>0</v>
          </cell>
          <cell r="AS42">
            <v>0</v>
          </cell>
          <cell r="AT42">
            <v>153807098.76292449</v>
          </cell>
          <cell r="AU42">
            <v>3.4957298644101818E-3</v>
          </cell>
          <cell r="AV42">
            <v>0</v>
          </cell>
          <cell r="AW42">
            <v>0</v>
          </cell>
          <cell r="AY42">
            <v>0</v>
          </cell>
          <cell r="AZ42">
            <v>0</v>
          </cell>
          <cell r="BA42">
            <v>0</v>
          </cell>
          <cell r="BB42">
            <v>0</v>
          </cell>
          <cell r="BC42">
            <v>0</v>
          </cell>
          <cell r="BD42">
            <v>0</v>
          </cell>
          <cell r="BE42">
            <v>0</v>
          </cell>
          <cell r="BF42">
            <v>0</v>
          </cell>
          <cell r="BG42">
            <v>0</v>
          </cell>
          <cell r="BH42">
            <v>0</v>
          </cell>
          <cell r="BJ42">
            <v>0</v>
          </cell>
          <cell r="BL42">
            <v>0</v>
          </cell>
          <cell r="BM42">
            <v>0</v>
          </cell>
          <cell r="BN42">
            <v>0</v>
          </cell>
          <cell r="BO42">
            <v>0</v>
          </cell>
          <cell r="BQ42">
            <v>0</v>
          </cell>
          <cell r="BR42">
            <v>0</v>
          </cell>
          <cell r="BS42">
            <v>0</v>
          </cell>
          <cell r="BT42">
            <v>0</v>
          </cell>
          <cell r="CB42">
            <v>0</v>
          </cell>
          <cell r="CC42">
            <v>0</v>
          </cell>
          <cell r="CD42">
            <v>0</v>
          </cell>
          <cell r="CE42">
            <v>0</v>
          </cell>
          <cell r="CF42">
            <v>0</v>
          </cell>
          <cell r="CI42">
            <v>0</v>
          </cell>
          <cell r="CJ42">
            <v>0</v>
          </cell>
          <cell r="CK42">
            <v>0</v>
          </cell>
          <cell r="CV42">
            <v>3.5355190976060834E-3</v>
          </cell>
          <cell r="DG42">
            <v>153807098</v>
          </cell>
          <cell r="DR42">
            <v>62437210.360000014</v>
          </cell>
          <cell r="EC42">
            <v>2.4633883723052352</v>
          </cell>
          <cell r="EN42">
            <v>2.4095909012463064E-2</v>
          </cell>
        </row>
        <row r="43">
          <cell r="B43">
            <v>13700</v>
          </cell>
          <cell r="C43" t="str">
            <v>Secretary Of State</v>
          </cell>
          <cell r="D43">
            <v>4.2865948792620732E-4</v>
          </cell>
          <cell r="E43">
            <v>741680.86421647889</v>
          </cell>
          <cell r="F43">
            <v>578305.57903771731</v>
          </cell>
          <cell r="G43">
            <v>-114678</v>
          </cell>
          <cell r="H43">
            <v>-206955.31548375878</v>
          </cell>
          <cell r="I43">
            <v>-8564.2014375923955</v>
          </cell>
          <cell r="J43">
            <v>625874.88726209314</v>
          </cell>
          <cell r="K43">
            <v>0</v>
          </cell>
          <cell r="L43">
            <v>-32884.505583199803</v>
          </cell>
          <cell r="M43">
            <v>5901.3601690927135</v>
          </cell>
          <cell r="N43">
            <v>222.46570104394308</v>
          </cell>
          <cell r="O43">
            <v>-100.39633866719701</v>
          </cell>
          <cell r="P43">
            <v>0</v>
          </cell>
          <cell r="Q43">
            <v>0</v>
          </cell>
          <cell r="R43">
            <v>0</v>
          </cell>
          <cell r="S43">
            <v>1588802.7375432074</v>
          </cell>
          <cell r="T43">
            <v>68708.860000000102</v>
          </cell>
          <cell r="U43">
            <v>3129374.4363104659</v>
          </cell>
          <cell r="V43">
            <v>23605.440676370854</v>
          </cell>
          <cell r="W43">
            <v>0</v>
          </cell>
          <cell r="X43">
            <v>3221688.7369868364</v>
          </cell>
          <cell r="Y43">
            <v>642100</v>
          </cell>
          <cell r="Z43">
            <v>0</v>
          </cell>
          <cell r="AA43">
            <v>0</v>
          </cell>
          <cell r="AB43">
            <v>42821.007187961979</v>
          </cell>
          <cell r="AC43">
            <v>684921.00718796195</v>
          </cell>
          <cell r="AD43" t="str">
            <v>N/A</v>
          </cell>
          <cell r="AE43">
            <v>508534</v>
          </cell>
          <cell r="AF43">
            <v>508534</v>
          </cell>
          <cell r="AG43">
            <v>508534</v>
          </cell>
          <cell r="AH43">
            <v>508534</v>
          </cell>
          <cell r="AI43">
            <v>502633</v>
          </cell>
          <cell r="AJ43">
            <v>0</v>
          </cell>
          <cell r="AK43">
            <v>2536769</v>
          </cell>
          <cell r="AL43">
            <v>14982508</v>
          </cell>
          <cell r="AM43">
            <v>1588802.7375432074</v>
          </cell>
          <cell r="AN43">
            <v>-459933.8600000001</v>
          </cell>
          <cell r="AO43">
            <v>3110158.8697988749</v>
          </cell>
          <cell r="AP43">
            <v>0</v>
          </cell>
          <cell r="AQ43">
            <v>-573391.1399999999</v>
          </cell>
          <cell r="AR43">
            <v>0</v>
          </cell>
          <cell r="AS43">
            <v>0</v>
          </cell>
          <cell r="AT43">
            <v>18648144.607342083</v>
          </cell>
          <cell r="AU43">
            <v>4.5189978481555571E-4</v>
          </cell>
          <cell r="AV43">
            <v>0</v>
          </cell>
          <cell r="AW43">
            <v>0</v>
          </cell>
          <cell r="AY43">
            <v>0</v>
          </cell>
          <cell r="AZ43">
            <v>0</v>
          </cell>
          <cell r="BA43">
            <v>0</v>
          </cell>
          <cell r="BB43">
            <v>0</v>
          </cell>
          <cell r="BC43">
            <v>0</v>
          </cell>
          <cell r="BD43">
            <v>0</v>
          </cell>
          <cell r="BE43">
            <v>0</v>
          </cell>
          <cell r="BF43">
            <v>0</v>
          </cell>
          <cell r="BG43">
            <v>0</v>
          </cell>
          <cell r="BH43">
            <v>0</v>
          </cell>
          <cell r="BJ43">
            <v>0</v>
          </cell>
          <cell r="BL43">
            <v>0</v>
          </cell>
          <cell r="BM43">
            <v>0</v>
          </cell>
          <cell r="BN43">
            <v>0</v>
          </cell>
          <cell r="BO43">
            <v>0</v>
          </cell>
          <cell r="BQ43">
            <v>0</v>
          </cell>
          <cell r="BR43">
            <v>0</v>
          </cell>
          <cell r="BS43">
            <v>0</v>
          </cell>
          <cell r="BT43">
            <v>0</v>
          </cell>
          <cell r="CB43">
            <v>0</v>
          </cell>
          <cell r="CC43">
            <v>0</v>
          </cell>
          <cell r="CD43">
            <v>0</v>
          </cell>
          <cell r="CE43">
            <v>0</v>
          </cell>
          <cell r="CF43">
            <v>0</v>
          </cell>
          <cell r="CI43">
            <v>0</v>
          </cell>
          <cell r="CJ43">
            <v>0</v>
          </cell>
          <cell r="CK43">
            <v>0</v>
          </cell>
          <cell r="CV43">
            <v>4.2865948792620732E-4</v>
          </cell>
          <cell r="DG43">
            <v>18648145</v>
          </cell>
          <cell r="DR43">
            <v>8062460.2200000007</v>
          </cell>
          <cell r="EC43">
            <v>2.3129596290894936</v>
          </cell>
          <cell r="EN43">
            <v>2.4095909012463064E-2</v>
          </cell>
        </row>
        <row r="44">
          <cell r="B44">
            <v>14300</v>
          </cell>
          <cell r="C44" t="str">
            <v>State Treasurer</v>
          </cell>
          <cell r="D44">
            <v>1.2204841199810437E-3</v>
          </cell>
          <cell r="E44">
            <v>2111722.1066289777</v>
          </cell>
          <cell r="F44">
            <v>1646558.1553474918</v>
          </cell>
          <cell r="G44">
            <v>202646</v>
          </cell>
          <cell r="H44">
            <v>-589245.50420093955</v>
          </cell>
          <cell r="I44">
            <v>-24384.090751071191</v>
          </cell>
          <cell r="J44">
            <v>1781998.025271306</v>
          </cell>
          <cell r="K44">
            <v>0</v>
          </cell>
          <cell r="L44">
            <v>-93629.134518614635</v>
          </cell>
          <cell r="M44">
            <v>16802.419112454591</v>
          </cell>
          <cell r="N44">
            <v>633.40684858776206</v>
          </cell>
          <cell r="O44">
            <v>-285.84958574076023</v>
          </cell>
          <cell r="P44">
            <v>0</v>
          </cell>
          <cell r="Q44">
            <v>0</v>
          </cell>
          <cell r="R44">
            <v>0</v>
          </cell>
          <cell r="S44">
            <v>5052815.534152451</v>
          </cell>
          <cell r="T44">
            <v>1013227.0161748636</v>
          </cell>
          <cell r="U44">
            <v>8909990.1263565309</v>
          </cell>
          <cell r="V44">
            <v>67209.676449818362</v>
          </cell>
          <cell r="W44">
            <v>0</v>
          </cell>
          <cell r="X44">
            <v>9990426.8189812135</v>
          </cell>
          <cell r="Y44">
            <v>0</v>
          </cell>
          <cell r="Z44">
            <v>0</v>
          </cell>
          <cell r="AA44">
            <v>0</v>
          </cell>
          <cell r="AB44">
            <v>121920.45375535595</v>
          </cell>
          <cell r="AC44">
            <v>121920.45375535595</v>
          </cell>
          <cell r="AD44" t="str">
            <v>N/A</v>
          </cell>
          <cell r="AE44">
            <v>1977062</v>
          </cell>
          <cell r="AF44">
            <v>1977062</v>
          </cell>
          <cell r="AG44">
            <v>1977062</v>
          </cell>
          <cell r="AH44">
            <v>1977062</v>
          </cell>
          <cell r="AI44">
            <v>1960260</v>
          </cell>
          <cell r="AJ44">
            <v>0</v>
          </cell>
          <cell r="AK44">
            <v>9868508</v>
          </cell>
          <cell r="AL44">
            <v>39406661</v>
          </cell>
          <cell r="AM44">
            <v>5052815.534152451</v>
          </cell>
          <cell r="AN44">
            <v>-1232776.0161748636</v>
          </cell>
          <cell r="AO44">
            <v>8855279.3490509931</v>
          </cell>
          <cell r="AP44">
            <v>0</v>
          </cell>
          <cell r="AQ44">
            <v>1013227.0161748636</v>
          </cell>
          <cell r="AR44">
            <v>0</v>
          </cell>
          <cell r="AS44">
            <v>0</v>
          </cell>
          <cell r="AT44">
            <v>53095206.883203439</v>
          </cell>
          <cell r="AU44">
            <v>1.1885767916154681E-3</v>
          </cell>
          <cell r="AV44">
            <v>0</v>
          </cell>
          <cell r="AW44">
            <v>0</v>
          </cell>
          <cell r="AY44">
            <v>0</v>
          </cell>
          <cell r="AZ44">
            <v>0</v>
          </cell>
          <cell r="BA44">
            <v>0</v>
          </cell>
          <cell r="BB44">
            <v>0</v>
          </cell>
          <cell r="BC44">
            <v>0</v>
          </cell>
          <cell r="BD44">
            <v>0</v>
          </cell>
          <cell r="BE44">
            <v>0</v>
          </cell>
          <cell r="BF44">
            <v>0</v>
          </cell>
          <cell r="BG44">
            <v>0</v>
          </cell>
          <cell r="BH44">
            <v>0</v>
          </cell>
          <cell r="BJ44">
            <v>0</v>
          </cell>
          <cell r="BL44">
            <v>0</v>
          </cell>
          <cell r="BM44">
            <v>0</v>
          </cell>
          <cell r="BN44">
            <v>0</v>
          </cell>
          <cell r="BO44">
            <v>0</v>
          </cell>
          <cell r="BQ44">
            <v>0</v>
          </cell>
          <cell r="BR44">
            <v>0</v>
          </cell>
          <cell r="BS44">
            <v>0</v>
          </cell>
          <cell r="BT44">
            <v>0</v>
          </cell>
          <cell r="CB44">
            <v>0</v>
          </cell>
          <cell r="CC44">
            <v>0</v>
          </cell>
          <cell r="CD44">
            <v>0</v>
          </cell>
          <cell r="CE44">
            <v>0</v>
          </cell>
          <cell r="CF44">
            <v>0</v>
          </cell>
          <cell r="CI44">
            <v>0</v>
          </cell>
          <cell r="CJ44">
            <v>0</v>
          </cell>
          <cell r="CK44">
            <v>0</v>
          </cell>
          <cell r="CV44">
            <v>1.2204841199810437E-3</v>
          </cell>
          <cell r="DG44">
            <v>53095208</v>
          </cell>
          <cell r="DR44">
            <v>20301876.740000028</v>
          </cell>
          <cell r="EC44">
            <v>2.6152857038772428</v>
          </cell>
          <cell r="EN44">
            <v>2.4095909012463064E-2</v>
          </cell>
        </row>
        <row r="45">
          <cell r="B45">
            <v>18400</v>
          </cell>
          <cell r="C45" t="str">
            <v>Department Of Agriculture</v>
          </cell>
          <cell r="D45">
            <v>4.6750079910963301E-3</v>
          </cell>
          <cell r="E45">
            <v>8088853.8915349273</v>
          </cell>
          <cell r="F45">
            <v>6307064.8835430276</v>
          </cell>
          <cell r="G45">
            <v>-734136</v>
          </cell>
          <cell r="H45">
            <v>-2257077.6593961455</v>
          </cell>
          <cell r="I45">
            <v>-93402.13219541643</v>
          </cell>
          <cell r="J45">
            <v>6825861.0430675894</v>
          </cell>
          <cell r="K45">
            <v>0</v>
          </cell>
          <cell r="L45">
            <v>-358642.0707225221</v>
          </cell>
          <cell r="M45">
            <v>64360.889531028857</v>
          </cell>
          <cell r="N45">
            <v>2426.2356472191732</v>
          </cell>
          <cell r="O45">
            <v>-1094.9336215946714</v>
          </cell>
          <cell r="P45">
            <v>0</v>
          </cell>
          <cell r="Q45">
            <v>0</v>
          </cell>
          <cell r="R45">
            <v>0</v>
          </cell>
          <cell r="S45">
            <v>17844214.147388116</v>
          </cell>
          <cell r="T45">
            <v>600717.85000000056</v>
          </cell>
          <cell r="U45">
            <v>34129305.215337947</v>
          </cell>
          <cell r="V45">
            <v>257443.55812411543</v>
          </cell>
          <cell r="W45">
            <v>0</v>
          </cell>
          <cell r="X45">
            <v>34987466.623462066</v>
          </cell>
          <cell r="Y45">
            <v>4271401</v>
          </cell>
          <cell r="Z45">
            <v>0</v>
          </cell>
          <cell r="AA45">
            <v>0</v>
          </cell>
          <cell r="AB45">
            <v>467010.66097708209</v>
          </cell>
          <cell r="AC45">
            <v>4738411.6609770823</v>
          </cell>
          <cell r="AD45" t="str">
            <v>N/A</v>
          </cell>
          <cell r="AE45">
            <v>6062684</v>
          </cell>
          <cell r="AF45">
            <v>6062683</v>
          </cell>
          <cell r="AG45">
            <v>6062683</v>
          </cell>
          <cell r="AH45">
            <v>6062683</v>
          </cell>
          <cell r="AI45">
            <v>5998322</v>
          </cell>
          <cell r="AJ45">
            <v>0</v>
          </cell>
          <cell r="AK45">
            <v>30249055</v>
          </cell>
          <cell r="AL45">
            <v>160123201</v>
          </cell>
          <cell r="AM45">
            <v>17844214.147388116</v>
          </cell>
          <cell r="AN45">
            <v>-4837731.8500000006</v>
          </cell>
          <cell r="AO45">
            <v>33919738.112484984</v>
          </cell>
          <cell r="AP45">
            <v>0</v>
          </cell>
          <cell r="AQ45">
            <v>-3670683.1499999994</v>
          </cell>
          <cell r="AR45">
            <v>0</v>
          </cell>
          <cell r="AS45">
            <v>0</v>
          </cell>
          <cell r="AT45">
            <v>203378738.25987309</v>
          </cell>
          <cell r="AU45">
            <v>4.8296078684201488E-3</v>
          </cell>
          <cell r="AV45">
            <v>0</v>
          </cell>
          <cell r="AW45">
            <v>0</v>
          </cell>
          <cell r="AY45">
            <v>0</v>
          </cell>
          <cell r="AZ45">
            <v>0</v>
          </cell>
          <cell r="BA45">
            <v>0</v>
          </cell>
          <cell r="BB45">
            <v>0</v>
          </cell>
          <cell r="BC45">
            <v>0</v>
          </cell>
          <cell r="BD45">
            <v>0</v>
          </cell>
          <cell r="BE45">
            <v>0</v>
          </cell>
          <cell r="BF45">
            <v>0</v>
          </cell>
          <cell r="BG45">
            <v>0</v>
          </cell>
          <cell r="BH45">
            <v>0</v>
          </cell>
          <cell r="BJ45">
            <v>0</v>
          </cell>
          <cell r="BL45">
            <v>0</v>
          </cell>
          <cell r="BM45">
            <v>0</v>
          </cell>
          <cell r="BN45">
            <v>0</v>
          </cell>
          <cell r="BO45">
            <v>0</v>
          </cell>
          <cell r="BQ45">
            <v>0</v>
          </cell>
          <cell r="BR45">
            <v>0</v>
          </cell>
          <cell r="BS45">
            <v>0</v>
          </cell>
          <cell r="BT45">
            <v>0</v>
          </cell>
          <cell r="CB45">
            <v>0</v>
          </cell>
          <cell r="CC45">
            <v>0</v>
          </cell>
          <cell r="CD45">
            <v>0</v>
          </cell>
          <cell r="CE45">
            <v>0</v>
          </cell>
          <cell r="CF45">
            <v>0</v>
          </cell>
          <cell r="CI45">
            <v>0</v>
          </cell>
          <cell r="CJ45">
            <v>0</v>
          </cell>
          <cell r="CK45">
            <v>0</v>
          </cell>
          <cell r="CV45">
            <v>4.6750079910963301E-3</v>
          </cell>
          <cell r="DG45">
            <v>203378738</v>
          </cell>
          <cell r="DR45">
            <v>83685513.720000148</v>
          </cell>
          <cell r="EC45">
            <v>2.4302741174592821</v>
          </cell>
          <cell r="EN45">
            <v>2.4095909012463064E-2</v>
          </cell>
        </row>
        <row r="46">
          <cell r="B46">
            <v>18600</v>
          </cell>
          <cell r="C46" t="str">
            <v>Barber Examiners, State Board Of</v>
          </cell>
          <cell r="D46">
            <v>1.9691337141991118E-5</v>
          </cell>
          <cell r="E46">
            <v>34070.604665034698</v>
          </cell>
          <cell r="F46">
            <v>26565.631809569164</v>
          </cell>
          <cell r="G46">
            <v>23894</v>
          </cell>
          <cell r="H46">
            <v>-9506.9093425021056</v>
          </cell>
          <cell r="I46">
            <v>-393.41384621023002</v>
          </cell>
          <cell r="J46">
            <v>28750.82381450789</v>
          </cell>
          <cell r="K46">
            <v>0</v>
          </cell>
          <cell r="L46">
            <v>-1510.6160120686491</v>
          </cell>
          <cell r="M46">
            <v>271.09086806431975</v>
          </cell>
          <cell r="N46">
            <v>10.21941014995055</v>
          </cell>
          <cell r="O46">
            <v>-4.6119080720257397</v>
          </cell>
          <cell r="P46">
            <v>0</v>
          </cell>
          <cell r="Q46">
            <v>0</v>
          </cell>
          <cell r="R46">
            <v>0</v>
          </cell>
          <cell r="S46">
            <v>102146.81945847301</v>
          </cell>
          <cell r="T46">
            <v>119466.67</v>
          </cell>
          <cell r="U46">
            <v>143754.11907253944</v>
          </cell>
          <cell r="V46">
            <v>1084.363472257279</v>
          </cell>
          <cell r="W46">
            <v>0</v>
          </cell>
          <cell r="X46">
            <v>264305.1525447967</v>
          </cell>
          <cell r="Y46">
            <v>0</v>
          </cell>
          <cell r="Z46">
            <v>0</v>
          </cell>
          <cell r="AA46">
            <v>0</v>
          </cell>
          <cell r="AB46">
            <v>1967.0692310511499</v>
          </cell>
          <cell r="AC46">
            <v>1967.0692310511499</v>
          </cell>
          <cell r="AD46" t="str">
            <v>N/A</v>
          </cell>
          <cell r="AE46">
            <v>52522</v>
          </cell>
          <cell r="AF46">
            <v>52523</v>
          </cell>
          <cell r="AG46">
            <v>52523</v>
          </cell>
          <cell r="AH46">
            <v>52523</v>
          </cell>
          <cell r="AI46">
            <v>52251</v>
          </cell>
          <cell r="AJ46">
            <v>0</v>
          </cell>
          <cell r="AK46">
            <v>262342</v>
          </cell>
          <cell r="AL46">
            <v>511259</v>
          </cell>
          <cell r="AM46">
            <v>102146.81945847301</v>
          </cell>
          <cell r="AN46">
            <v>-19103.669999999998</v>
          </cell>
          <cell r="AO46">
            <v>142871.41331374558</v>
          </cell>
          <cell r="AP46">
            <v>0</v>
          </cell>
          <cell r="AQ46">
            <v>119466.67</v>
          </cell>
          <cell r="AR46">
            <v>0</v>
          </cell>
          <cell r="AS46">
            <v>0</v>
          </cell>
          <cell r="AT46">
            <v>856640.23277221865</v>
          </cell>
          <cell r="AU46">
            <v>1.5420518466349688E-5</v>
          </cell>
          <cell r="AV46">
            <v>0</v>
          </cell>
          <cell r="AW46">
            <v>0</v>
          </cell>
          <cell r="AY46">
            <v>0</v>
          </cell>
          <cell r="AZ46">
            <v>0</v>
          </cell>
          <cell r="BA46">
            <v>0</v>
          </cell>
          <cell r="BB46">
            <v>0</v>
          </cell>
          <cell r="BC46">
            <v>0</v>
          </cell>
          <cell r="BD46">
            <v>0</v>
          </cell>
          <cell r="BE46">
            <v>0</v>
          </cell>
          <cell r="BF46">
            <v>0</v>
          </cell>
          <cell r="BG46">
            <v>0</v>
          </cell>
          <cell r="BH46">
            <v>0</v>
          </cell>
          <cell r="BJ46">
            <v>0</v>
          </cell>
          <cell r="BL46">
            <v>0</v>
          </cell>
          <cell r="BM46">
            <v>0</v>
          </cell>
          <cell r="BN46">
            <v>0</v>
          </cell>
          <cell r="BO46">
            <v>0</v>
          </cell>
          <cell r="BQ46">
            <v>0</v>
          </cell>
          <cell r="BR46">
            <v>0</v>
          </cell>
          <cell r="BS46">
            <v>0</v>
          </cell>
          <cell r="BT46">
            <v>0</v>
          </cell>
          <cell r="CB46">
            <v>0</v>
          </cell>
          <cell r="CC46">
            <v>0</v>
          </cell>
          <cell r="CD46">
            <v>0</v>
          </cell>
          <cell r="CE46">
            <v>0</v>
          </cell>
          <cell r="CF46">
            <v>0</v>
          </cell>
          <cell r="CI46">
            <v>0</v>
          </cell>
          <cell r="CJ46">
            <v>0</v>
          </cell>
          <cell r="CK46">
            <v>0</v>
          </cell>
          <cell r="CV46">
            <v>1.9691337141991118E-5</v>
          </cell>
          <cell r="DG46">
            <v>856640</v>
          </cell>
          <cell r="DR46">
            <v>393697.74</v>
          </cell>
          <cell r="EC46">
            <v>2.1758824422004555</v>
          </cell>
          <cell r="EN46">
            <v>2.4095909012463064E-2</v>
          </cell>
        </row>
        <row r="47">
          <cell r="B47">
            <v>18690</v>
          </cell>
          <cell r="C47" t="str">
            <v>N.C. Real Estate Commission</v>
          </cell>
          <cell r="D47">
            <v>4.1545758327428627E-6</v>
          </cell>
          <cell r="E47">
            <v>7188.3849089374971</v>
          </cell>
          <cell r="F47">
            <v>5604.9485670641961</v>
          </cell>
          <cell r="G47">
            <v>-23110</v>
          </cell>
          <cell r="H47">
            <v>-2005.814816618531</v>
          </cell>
          <cell r="I47">
            <v>-83.004401679050588</v>
          </cell>
          <cell r="J47">
            <v>6065.9911985603403</v>
          </cell>
          <cell r="K47">
            <v>0</v>
          </cell>
          <cell r="L47">
            <v>-318.71724764244254</v>
          </cell>
          <cell r="M47">
            <v>57.196093937957052</v>
          </cell>
          <cell r="N47">
            <v>2.1561417656768911</v>
          </cell>
          <cell r="O47">
            <v>-0.97304320578670589</v>
          </cell>
          <cell r="P47">
            <v>0</v>
          </cell>
          <cell r="Q47">
            <v>0</v>
          </cell>
          <cell r="R47">
            <v>0</v>
          </cell>
          <cell r="S47">
            <v>-6599.8325988801444</v>
          </cell>
          <cell r="T47">
            <v>5892.84</v>
          </cell>
          <cell r="U47">
            <v>30329.955992801701</v>
          </cell>
          <cell r="V47">
            <v>228.78437575182821</v>
          </cell>
          <cell r="W47">
            <v>0</v>
          </cell>
          <cell r="X47">
            <v>36451.580368553528</v>
          </cell>
          <cell r="Y47">
            <v>121439</v>
          </cell>
          <cell r="Z47">
            <v>0</v>
          </cell>
          <cell r="AA47">
            <v>0</v>
          </cell>
          <cell r="AB47">
            <v>415.02200839525295</v>
          </cell>
          <cell r="AC47">
            <v>121854.02200839526</v>
          </cell>
          <cell r="AD47" t="str">
            <v>N/A</v>
          </cell>
          <cell r="AE47">
            <v>-17069</v>
          </cell>
          <cell r="AF47">
            <v>-17070</v>
          </cell>
          <cell r="AG47">
            <v>-17070</v>
          </cell>
          <cell r="AH47">
            <v>-17070</v>
          </cell>
          <cell r="AI47">
            <v>-17127</v>
          </cell>
          <cell r="AJ47">
            <v>0</v>
          </cell>
          <cell r="AK47">
            <v>-85406</v>
          </cell>
          <cell r="AL47">
            <v>283470</v>
          </cell>
          <cell r="AM47">
            <v>-6599.8325988801444</v>
          </cell>
          <cell r="AN47">
            <v>-10729.84</v>
          </cell>
          <cell r="AO47">
            <v>30143.718360158276</v>
          </cell>
          <cell r="AP47">
            <v>0</v>
          </cell>
          <cell r="AQ47">
            <v>-115546.16</v>
          </cell>
          <cell r="AR47">
            <v>0</v>
          </cell>
          <cell r="AS47">
            <v>0</v>
          </cell>
          <cell r="AT47">
            <v>180737.88576127807</v>
          </cell>
          <cell r="AU47">
            <v>8.5499599598058693E-6</v>
          </cell>
          <cell r="AV47">
            <v>0</v>
          </cell>
          <cell r="AW47">
            <v>0</v>
          </cell>
          <cell r="AY47">
            <v>0</v>
          </cell>
          <cell r="AZ47">
            <v>0</v>
          </cell>
          <cell r="BA47">
            <v>0</v>
          </cell>
          <cell r="BB47">
            <v>0</v>
          </cell>
          <cell r="BC47">
            <v>0</v>
          </cell>
          <cell r="BD47">
            <v>0</v>
          </cell>
          <cell r="BE47">
            <v>0</v>
          </cell>
          <cell r="BF47">
            <v>0</v>
          </cell>
          <cell r="BG47">
            <v>0</v>
          </cell>
          <cell r="BH47">
            <v>0</v>
          </cell>
          <cell r="BJ47">
            <v>0</v>
          </cell>
          <cell r="BL47">
            <v>0</v>
          </cell>
          <cell r="BM47">
            <v>0</v>
          </cell>
          <cell r="BN47">
            <v>0</v>
          </cell>
          <cell r="BO47">
            <v>0</v>
          </cell>
          <cell r="BQ47">
            <v>0</v>
          </cell>
          <cell r="BR47">
            <v>0</v>
          </cell>
          <cell r="BS47">
            <v>0</v>
          </cell>
          <cell r="BT47">
            <v>0</v>
          </cell>
          <cell r="CB47">
            <v>0</v>
          </cell>
          <cell r="CC47">
            <v>0</v>
          </cell>
          <cell r="CD47">
            <v>0</v>
          </cell>
          <cell r="CE47">
            <v>0</v>
          </cell>
          <cell r="CF47">
            <v>0</v>
          </cell>
          <cell r="CI47">
            <v>0</v>
          </cell>
          <cell r="CJ47">
            <v>0</v>
          </cell>
          <cell r="CK47">
            <v>0</v>
          </cell>
          <cell r="CV47">
            <v>4.1545758327428627E-6</v>
          </cell>
          <cell r="DG47">
            <v>180738</v>
          </cell>
          <cell r="DR47">
            <v>188638.13</v>
          </cell>
          <cell r="EC47">
            <v>0.95812018492761775</v>
          </cell>
          <cell r="EN47">
            <v>2.4095909012463064E-2</v>
          </cell>
        </row>
        <row r="48">
          <cell r="B48">
            <v>18740</v>
          </cell>
          <cell r="C48" t="str">
            <v>N.C. Auctioneers Licensing Board</v>
          </cell>
          <cell r="D48">
            <v>5.945790166111434E-6</v>
          </cell>
          <cell r="E48">
            <v>10287.603361320023</v>
          </cell>
          <cell r="F48">
            <v>8021.4802697701271</v>
          </cell>
          <cell r="G48">
            <v>2040</v>
          </cell>
          <cell r="H48">
            <v>-2870.6068902868938</v>
          </cell>
          <cell r="I48">
            <v>-118.79112937539875</v>
          </cell>
          <cell r="J48">
            <v>8681.2979875991259</v>
          </cell>
          <cell r="K48">
            <v>0</v>
          </cell>
          <cell r="L48">
            <v>-456.12980797402753</v>
          </cell>
          <cell r="M48">
            <v>81.855762553688123</v>
          </cell>
          <cell r="N48">
            <v>3.085746180408512</v>
          </cell>
          <cell r="O48">
            <v>-1.3925635148049589</v>
          </cell>
          <cell r="P48">
            <v>0</v>
          </cell>
          <cell r="Q48">
            <v>0</v>
          </cell>
          <cell r="R48">
            <v>0</v>
          </cell>
          <cell r="S48">
            <v>25668.402736272248</v>
          </cell>
          <cell r="T48">
            <v>10203.32</v>
          </cell>
          <cell r="U48">
            <v>43406.489937995633</v>
          </cell>
          <cell r="V48">
            <v>327.42305021475249</v>
          </cell>
          <cell r="W48">
            <v>0</v>
          </cell>
          <cell r="X48">
            <v>53937.232988210388</v>
          </cell>
          <cell r="Y48">
            <v>0</v>
          </cell>
          <cell r="Z48">
            <v>0</v>
          </cell>
          <cell r="AA48">
            <v>0</v>
          </cell>
          <cell r="AB48">
            <v>593.95564687699368</v>
          </cell>
          <cell r="AC48">
            <v>593.95564687699368</v>
          </cell>
          <cell r="AD48" t="str">
            <v>N/A</v>
          </cell>
          <cell r="AE48">
            <v>10684</v>
          </cell>
          <cell r="AF48">
            <v>10685</v>
          </cell>
          <cell r="AG48">
            <v>10685</v>
          </cell>
          <cell r="AH48">
            <v>10685</v>
          </cell>
          <cell r="AI48">
            <v>10604</v>
          </cell>
          <cell r="AJ48">
            <v>0</v>
          </cell>
          <cell r="AK48">
            <v>53343</v>
          </cell>
          <cell r="AL48">
            <v>185471</v>
          </cell>
          <cell r="AM48">
            <v>25668.402736272248</v>
          </cell>
          <cell r="AN48">
            <v>-5820.32</v>
          </cell>
          <cell r="AO48">
            <v>43139.957341333393</v>
          </cell>
          <cell r="AP48">
            <v>0</v>
          </cell>
          <cell r="AQ48">
            <v>10203.32</v>
          </cell>
          <cell r="AR48">
            <v>0</v>
          </cell>
          <cell r="AS48">
            <v>0</v>
          </cell>
          <cell r="AT48">
            <v>258662.36007760564</v>
          </cell>
          <cell r="AU48">
            <v>5.5941431899487805E-6</v>
          </cell>
          <cell r="AV48">
            <v>0</v>
          </cell>
          <cell r="AW48">
            <v>0</v>
          </cell>
          <cell r="AY48">
            <v>0</v>
          </cell>
          <cell r="AZ48">
            <v>0</v>
          </cell>
          <cell r="BA48">
            <v>0</v>
          </cell>
          <cell r="BB48">
            <v>0</v>
          </cell>
          <cell r="BC48">
            <v>0</v>
          </cell>
          <cell r="BD48">
            <v>0</v>
          </cell>
          <cell r="BE48">
            <v>0</v>
          </cell>
          <cell r="BF48">
            <v>0</v>
          </cell>
          <cell r="BG48">
            <v>0</v>
          </cell>
          <cell r="BH48">
            <v>0</v>
          </cell>
          <cell r="BJ48">
            <v>0</v>
          </cell>
          <cell r="BL48">
            <v>0</v>
          </cell>
          <cell r="BM48">
            <v>0</v>
          </cell>
          <cell r="BN48">
            <v>0</v>
          </cell>
          <cell r="BO48">
            <v>0</v>
          </cell>
          <cell r="BQ48">
            <v>0</v>
          </cell>
          <cell r="BR48">
            <v>0</v>
          </cell>
          <cell r="BS48">
            <v>0</v>
          </cell>
          <cell r="BT48">
            <v>0</v>
          </cell>
          <cell r="CB48">
            <v>0</v>
          </cell>
          <cell r="CC48">
            <v>0</v>
          </cell>
          <cell r="CD48">
            <v>0</v>
          </cell>
          <cell r="CE48">
            <v>0</v>
          </cell>
          <cell r="CF48">
            <v>0</v>
          </cell>
          <cell r="CI48">
            <v>0</v>
          </cell>
          <cell r="CJ48">
            <v>0</v>
          </cell>
          <cell r="CK48">
            <v>0</v>
          </cell>
          <cell r="CV48">
            <v>5.945790166111434E-6</v>
          </cell>
          <cell r="DG48">
            <v>258662</v>
          </cell>
          <cell r="DR48">
            <v>108964.61</v>
          </cell>
          <cell r="EC48">
            <v>2.3738165997198539</v>
          </cell>
          <cell r="EN48">
            <v>2.4095909012463064E-2</v>
          </cell>
        </row>
        <row r="49">
          <cell r="B49">
            <v>18780</v>
          </cell>
          <cell r="C49" t="str">
            <v>N.C. State Board Of Examiners Of Practicing Psychol</v>
          </cell>
          <cell r="D49">
            <v>1.1937855927205944E-5</v>
          </cell>
          <cell r="E49">
            <v>20655.274291994974</v>
          </cell>
          <cell r="F49">
            <v>16105.391059581863</v>
          </cell>
          <cell r="G49">
            <v>2335</v>
          </cell>
          <cell r="H49">
            <v>-5763.555477488635</v>
          </cell>
          <cell r="I49">
            <v>-238.50680032340284</v>
          </cell>
          <cell r="J49">
            <v>17430.161802174665</v>
          </cell>
          <cell r="K49">
            <v>0</v>
          </cell>
          <cell r="L49">
            <v>-915.80963666251273</v>
          </cell>
          <cell r="M49">
            <v>164.34860176315109</v>
          </cell>
          <cell r="N49">
            <v>6.1955084691013411</v>
          </cell>
          <cell r="O49">
            <v>-2.795965236710904</v>
          </cell>
          <cell r="P49">
            <v>0</v>
          </cell>
          <cell r="Q49">
            <v>0</v>
          </cell>
          <cell r="R49">
            <v>0</v>
          </cell>
          <cell r="S49">
            <v>49775.703384272492</v>
          </cell>
          <cell r="T49">
            <v>11674.73</v>
          </cell>
          <cell r="U49">
            <v>87150.809010873316</v>
          </cell>
          <cell r="V49">
            <v>657.39440705260438</v>
          </cell>
          <cell r="W49">
            <v>0</v>
          </cell>
          <cell r="X49">
            <v>99482.933417925917</v>
          </cell>
          <cell r="Y49">
            <v>0</v>
          </cell>
          <cell r="Z49">
            <v>0</v>
          </cell>
          <cell r="AA49">
            <v>0</v>
          </cell>
          <cell r="AB49">
            <v>1192.5340016170142</v>
          </cell>
          <cell r="AC49">
            <v>1192.5340016170142</v>
          </cell>
          <cell r="AD49" t="str">
            <v>N/A</v>
          </cell>
          <cell r="AE49">
            <v>19691</v>
          </cell>
          <cell r="AF49">
            <v>19691</v>
          </cell>
          <cell r="AG49">
            <v>19691</v>
          </cell>
          <cell r="AH49">
            <v>19691</v>
          </cell>
          <cell r="AI49">
            <v>19527</v>
          </cell>
          <cell r="AJ49">
            <v>0</v>
          </cell>
          <cell r="AK49">
            <v>98291</v>
          </cell>
          <cell r="AL49">
            <v>385335</v>
          </cell>
          <cell r="AM49">
            <v>49775.703384272492</v>
          </cell>
          <cell r="AN49">
            <v>-14063.73</v>
          </cell>
          <cell r="AO49">
            <v>86615.669416308912</v>
          </cell>
          <cell r="AP49">
            <v>0</v>
          </cell>
          <cell r="AQ49">
            <v>11674.73</v>
          </cell>
          <cell r="AR49">
            <v>0</v>
          </cell>
          <cell r="AS49">
            <v>0</v>
          </cell>
          <cell r="AT49">
            <v>519337.37280058145</v>
          </cell>
          <cell r="AU49">
            <v>1.1622413513214321E-5</v>
          </cell>
          <cell r="AV49">
            <v>0</v>
          </cell>
          <cell r="AW49">
            <v>0</v>
          </cell>
          <cell r="AY49">
            <v>0</v>
          </cell>
          <cell r="AZ49">
            <v>0</v>
          </cell>
          <cell r="BA49">
            <v>0</v>
          </cell>
          <cell r="BB49">
            <v>0</v>
          </cell>
          <cell r="BC49">
            <v>0</v>
          </cell>
          <cell r="BD49">
            <v>0</v>
          </cell>
          <cell r="BE49">
            <v>0</v>
          </cell>
          <cell r="BF49">
            <v>0</v>
          </cell>
          <cell r="BG49">
            <v>0</v>
          </cell>
          <cell r="BH49">
            <v>0</v>
          </cell>
          <cell r="BJ49">
            <v>0</v>
          </cell>
          <cell r="BL49">
            <v>0</v>
          </cell>
          <cell r="BM49">
            <v>0</v>
          </cell>
          <cell r="BN49">
            <v>0</v>
          </cell>
          <cell r="BO49">
            <v>0</v>
          </cell>
          <cell r="BQ49">
            <v>0</v>
          </cell>
          <cell r="BR49">
            <v>0</v>
          </cell>
          <cell r="BS49">
            <v>0</v>
          </cell>
          <cell r="BT49">
            <v>0</v>
          </cell>
          <cell r="CB49">
            <v>0</v>
          </cell>
          <cell r="CC49">
            <v>0</v>
          </cell>
          <cell r="CD49">
            <v>0</v>
          </cell>
          <cell r="CE49">
            <v>0</v>
          </cell>
          <cell r="CF49">
            <v>0</v>
          </cell>
          <cell r="CI49">
            <v>0</v>
          </cell>
          <cell r="CJ49">
            <v>0</v>
          </cell>
          <cell r="CK49">
            <v>0</v>
          </cell>
          <cell r="CV49">
            <v>1.1937855927205944E-5</v>
          </cell>
          <cell r="DG49">
            <v>519337</v>
          </cell>
          <cell r="DR49">
            <v>230054.08000000002</v>
          </cell>
          <cell r="EC49">
            <v>2.2574561598733651</v>
          </cell>
          <cell r="EN49">
            <v>2.4095909012463064E-2</v>
          </cell>
        </row>
        <row r="50">
          <cell r="B50">
            <v>19005</v>
          </cell>
          <cell r="C50" t="str">
            <v>Community Colleges Administration</v>
          </cell>
          <cell r="D50">
            <v>6.4281408440031401E-4</v>
          </cell>
          <cell r="E50">
            <v>1112218.2503297888</v>
          </cell>
          <cell r="F50">
            <v>867222.07664447709</v>
          </cell>
          <cell r="G50">
            <v>-274343</v>
          </cell>
          <cell r="H50">
            <v>-310348.4126248291</v>
          </cell>
          <cell r="I50">
            <v>-12842.802879178342</v>
          </cell>
          <cell r="J50">
            <v>938556.60246995569</v>
          </cell>
          <cell r="K50">
            <v>0</v>
          </cell>
          <cell r="L50">
            <v>-49313.321978914311</v>
          </cell>
          <cell r="M50">
            <v>8849.6289961155671</v>
          </cell>
          <cell r="N50">
            <v>333.60765352207494</v>
          </cell>
          <cell r="O50">
            <v>-150.55348670739755</v>
          </cell>
          <cell r="P50">
            <v>0</v>
          </cell>
          <cell r="Q50">
            <v>0</v>
          </cell>
          <cell r="R50">
            <v>0</v>
          </cell>
          <cell r="S50">
            <v>2280182.0751242298</v>
          </cell>
          <cell r="T50">
            <v>130785.18000000005</v>
          </cell>
          <cell r="U50">
            <v>4692783.0123497788</v>
          </cell>
          <cell r="V50">
            <v>35398.515984462269</v>
          </cell>
          <cell r="W50">
            <v>0</v>
          </cell>
          <cell r="X50">
            <v>4858966.7083342411</v>
          </cell>
          <cell r="Y50">
            <v>1502500</v>
          </cell>
          <cell r="Z50">
            <v>0</v>
          </cell>
          <cell r="AA50">
            <v>0</v>
          </cell>
          <cell r="AB50">
            <v>64214.014395891703</v>
          </cell>
          <cell r="AC50">
            <v>1566714.0143958917</v>
          </cell>
          <cell r="AD50" t="str">
            <v>N/A</v>
          </cell>
          <cell r="AE50">
            <v>660220</v>
          </cell>
          <cell r="AF50">
            <v>660220</v>
          </cell>
          <cell r="AG50">
            <v>660220</v>
          </cell>
          <cell r="AH50">
            <v>660220</v>
          </cell>
          <cell r="AI50">
            <v>651371</v>
          </cell>
          <cell r="AJ50">
            <v>0</v>
          </cell>
          <cell r="AK50">
            <v>3292251</v>
          </cell>
          <cell r="AL50">
            <v>23115175</v>
          </cell>
          <cell r="AM50">
            <v>2280182.0751242298</v>
          </cell>
          <cell r="AN50">
            <v>-723012.18</v>
          </cell>
          <cell r="AO50">
            <v>4663967.5139383497</v>
          </cell>
          <cell r="AP50">
            <v>0</v>
          </cell>
          <cell r="AQ50">
            <v>-1371714.8199999998</v>
          </cell>
          <cell r="AR50">
            <v>0</v>
          </cell>
          <cell r="AS50">
            <v>0</v>
          </cell>
          <cell r="AT50">
            <v>27964597.589062579</v>
          </cell>
          <cell r="AU50">
            <v>6.9719585232990724E-4</v>
          </cell>
          <cell r="AV50">
            <v>0</v>
          </cell>
          <cell r="AW50">
            <v>0</v>
          </cell>
          <cell r="AY50">
            <v>0</v>
          </cell>
          <cell r="AZ50">
            <v>0</v>
          </cell>
          <cell r="BA50">
            <v>0</v>
          </cell>
          <cell r="BB50">
            <v>0</v>
          </cell>
          <cell r="BC50">
            <v>0</v>
          </cell>
          <cell r="BD50">
            <v>0</v>
          </cell>
          <cell r="BE50">
            <v>0</v>
          </cell>
          <cell r="BF50">
            <v>0</v>
          </cell>
          <cell r="BG50">
            <v>0</v>
          </cell>
          <cell r="BH50">
            <v>0</v>
          </cell>
          <cell r="BJ50">
            <v>0</v>
          </cell>
          <cell r="BL50">
            <v>0</v>
          </cell>
          <cell r="BM50">
            <v>0</v>
          </cell>
          <cell r="BN50">
            <v>0</v>
          </cell>
          <cell r="BO50">
            <v>0</v>
          </cell>
          <cell r="BQ50">
            <v>0</v>
          </cell>
          <cell r="BR50">
            <v>0</v>
          </cell>
          <cell r="BS50">
            <v>0</v>
          </cell>
          <cell r="BT50">
            <v>0</v>
          </cell>
          <cell r="CB50">
            <v>0</v>
          </cell>
          <cell r="CC50">
            <v>0</v>
          </cell>
          <cell r="CD50">
            <v>0</v>
          </cell>
          <cell r="CE50">
            <v>0</v>
          </cell>
          <cell r="CF50">
            <v>0</v>
          </cell>
          <cell r="CI50">
            <v>0</v>
          </cell>
          <cell r="CJ50">
            <v>0</v>
          </cell>
          <cell r="CK50">
            <v>0</v>
          </cell>
          <cell r="CV50">
            <v>6.4281408440031401E-4</v>
          </cell>
          <cell r="DG50">
            <v>27964598</v>
          </cell>
          <cell r="DR50">
            <v>13017121.449999999</v>
          </cell>
          <cell r="EC50">
            <v>2.1482935461126855</v>
          </cell>
          <cell r="EN50">
            <v>2.4095909012463064E-2</v>
          </cell>
        </row>
        <row r="51">
          <cell r="B51">
            <v>19100</v>
          </cell>
          <cell r="C51" t="str">
            <v>Department Of Public Safety</v>
          </cell>
          <cell r="D51">
            <v>5.7082667354736695E-2</v>
          </cell>
          <cell r="E51">
            <v>98766324.432158917</v>
          </cell>
          <cell r="F51">
            <v>77010368.199948043</v>
          </cell>
          <cell r="G51">
            <v>-5472021</v>
          </cell>
          <cell r="H51">
            <v>-27559314.009836327</v>
          </cell>
          <cell r="I51">
            <v>-1140456.4125854643</v>
          </cell>
          <cell r="J51">
            <v>83344960.280957654</v>
          </cell>
          <cell r="K51">
            <v>0</v>
          </cell>
          <cell r="L51">
            <v>-4379082.5730047068</v>
          </cell>
          <cell r="M51">
            <v>785857.74714218534</v>
          </cell>
          <cell r="N51">
            <v>29624.762703761251</v>
          </cell>
          <cell r="O51">
            <v>-13369.331521152881</v>
          </cell>
          <cell r="P51">
            <v>0</v>
          </cell>
          <cell r="Q51">
            <v>0</v>
          </cell>
          <cell r="R51">
            <v>0</v>
          </cell>
          <cell r="S51">
            <v>221372892.09596294</v>
          </cell>
          <cell r="T51">
            <v>4557742.7799999937</v>
          </cell>
          <cell r="U51">
            <v>416724801.40478826</v>
          </cell>
          <cell r="V51">
            <v>3143430.9885687414</v>
          </cell>
          <cell r="W51">
            <v>0</v>
          </cell>
          <cell r="X51">
            <v>424425975.17335695</v>
          </cell>
          <cell r="Y51">
            <v>31917847</v>
          </cell>
          <cell r="Z51">
            <v>0</v>
          </cell>
          <cell r="AA51">
            <v>0</v>
          </cell>
          <cell r="AB51">
            <v>5702282.0629273206</v>
          </cell>
          <cell r="AC51">
            <v>37620129.062927321</v>
          </cell>
          <cell r="AD51" t="str">
            <v>N/A</v>
          </cell>
          <cell r="AE51">
            <v>77518342</v>
          </cell>
          <cell r="AF51">
            <v>77518340</v>
          </cell>
          <cell r="AG51">
            <v>77518340</v>
          </cell>
          <cell r="AH51">
            <v>77518340</v>
          </cell>
          <cell r="AI51">
            <v>76732482</v>
          </cell>
          <cell r="AJ51">
            <v>0</v>
          </cell>
          <cell r="AK51">
            <v>386805844</v>
          </cell>
          <cell r="AL51">
            <v>1930848318</v>
          </cell>
          <cell r="AM51">
            <v>221372892.09596294</v>
          </cell>
          <cell r="AN51">
            <v>-55737001.779999994</v>
          </cell>
          <cell r="AO51">
            <v>414165950.33042967</v>
          </cell>
          <cell r="AP51">
            <v>0</v>
          </cell>
          <cell r="AQ51">
            <v>-27360104.220000006</v>
          </cell>
          <cell r="AR51">
            <v>0</v>
          </cell>
          <cell r="AS51">
            <v>0</v>
          </cell>
          <cell r="AT51">
            <v>2483290054.426393</v>
          </cell>
          <cell r="AU51">
            <v>5.8237907973333843E-2</v>
          </cell>
          <cell r="AV51">
            <v>0</v>
          </cell>
          <cell r="AW51">
            <v>0</v>
          </cell>
          <cell r="AY51">
            <v>0</v>
          </cell>
          <cell r="AZ51">
            <v>0</v>
          </cell>
          <cell r="BA51">
            <v>0</v>
          </cell>
          <cell r="BB51">
            <v>0</v>
          </cell>
          <cell r="BC51">
            <v>0</v>
          </cell>
          <cell r="BD51">
            <v>0</v>
          </cell>
          <cell r="BE51">
            <v>0</v>
          </cell>
          <cell r="BF51">
            <v>0</v>
          </cell>
          <cell r="BG51">
            <v>0</v>
          </cell>
          <cell r="BH51">
            <v>0</v>
          </cell>
          <cell r="BJ51">
            <v>0</v>
          </cell>
          <cell r="BL51">
            <v>0</v>
          </cell>
          <cell r="BM51">
            <v>0</v>
          </cell>
          <cell r="BN51">
            <v>0</v>
          </cell>
          <cell r="BO51">
            <v>0</v>
          </cell>
          <cell r="BQ51">
            <v>0</v>
          </cell>
          <cell r="BR51">
            <v>0</v>
          </cell>
          <cell r="BS51">
            <v>0</v>
          </cell>
          <cell r="BT51">
            <v>0</v>
          </cell>
          <cell r="CB51">
            <v>0</v>
          </cell>
          <cell r="CC51">
            <v>0</v>
          </cell>
          <cell r="CD51">
            <v>0</v>
          </cell>
          <cell r="CE51">
            <v>0</v>
          </cell>
          <cell r="CF51">
            <v>0</v>
          </cell>
          <cell r="CI51">
            <v>0</v>
          </cell>
          <cell r="CJ51">
            <v>0</v>
          </cell>
          <cell r="CK51">
            <v>0</v>
          </cell>
          <cell r="CV51">
            <v>5.7082667354736695E-2</v>
          </cell>
          <cell r="DG51">
            <v>2483290054</v>
          </cell>
          <cell r="DR51">
            <v>943822179.58999956</v>
          </cell>
          <cell r="EC51">
            <v>2.6310994885485228</v>
          </cell>
          <cell r="EN51">
            <v>2.4095909012463064E-2</v>
          </cell>
        </row>
        <row r="52">
          <cell r="B52">
            <v>20100</v>
          </cell>
          <cell r="C52" t="str">
            <v>Appalachian State University</v>
          </cell>
          <cell r="D52">
            <v>1.0802526962423729E-2</v>
          </cell>
          <cell r="E52">
            <v>18690890.459402353</v>
          </cell>
          <cell r="F52">
            <v>14573715.935457006</v>
          </cell>
          <cell r="G52">
            <v>1438048</v>
          </cell>
          <cell r="H52">
            <v>-5215422.5871586753</v>
          </cell>
          <cell r="I52">
            <v>-215824.02710551026</v>
          </cell>
          <cell r="J52">
            <v>15772496.667370087</v>
          </cell>
          <cell r="K52">
            <v>0</v>
          </cell>
          <cell r="L52">
            <v>-828713.1586123727</v>
          </cell>
          <cell r="M52">
            <v>148718.51466535561</v>
          </cell>
          <cell r="N52">
            <v>5606.2954429586671</v>
          </cell>
          <cell r="O52">
            <v>-2530.0598398692614</v>
          </cell>
          <cell r="P52">
            <v>0</v>
          </cell>
          <cell r="Q52">
            <v>0</v>
          </cell>
          <cell r="R52">
            <v>0</v>
          </cell>
          <cell r="S52">
            <v>44366986.039621338</v>
          </cell>
          <cell r="T52">
            <v>7516559</v>
          </cell>
          <cell r="U52">
            <v>78862483.336850435</v>
          </cell>
          <cell r="V52">
            <v>594874.05866142246</v>
          </cell>
          <cell r="W52">
            <v>0</v>
          </cell>
          <cell r="X52">
            <v>86973916.395511851</v>
          </cell>
          <cell r="Y52">
            <v>326319.65000000037</v>
          </cell>
          <cell r="Z52">
            <v>0</v>
          </cell>
          <cell r="AA52">
            <v>0</v>
          </cell>
          <cell r="AB52">
            <v>1079120.1355275512</v>
          </cell>
          <cell r="AC52">
            <v>1405439.7855275515</v>
          </cell>
          <cell r="AD52" t="str">
            <v>N/A</v>
          </cell>
          <cell r="AE52">
            <v>17143439</v>
          </cell>
          <cell r="AF52">
            <v>17143439</v>
          </cell>
          <cell r="AG52">
            <v>17143439</v>
          </cell>
          <cell r="AH52">
            <v>17143439</v>
          </cell>
          <cell r="AI52">
            <v>16994721</v>
          </cell>
          <cell r="AJ52">
            <v>0</v>
          </cell>
          <cell r="AK52">
            <v>85568477</v>
          </cell>
          <cell r="AL52">
            <v>349132435</v>
          </cell>
          <cell r="AM52">
            <v>44366986.039621338</v>
          </cell>
          <cell r="AN52">
            <v>-9121256.3499999996</v>
          </cell>
          <cell r="AO52">
            <v>78378237.259984314</v>
          </cell>
          <cell r="AP52">
            <v>0</v>
          </cell>
          <cell r="AQ52">
            <v>7190239.3499999996</v>
          </cell>
          <cell r="AR52">
            <v>0</v>
          </cell>
          <cell r="AS52">
            <v>0</v>
          </cell>
          <cell r="AT52">
            <v>469946641.29960567</v>
          </cell>
          <cell r="AU52">
            <v>1.0530471214041338E-2</v>
          </cell>
          <cell r="AV52">
            <v>0</v>
          </cell>
          <cell r="AW52">
            <v>0</v>
          </cell>
          <cell r="AY52">
            <v>0</v>
          </cell>
          <cell r="AZ52">
            <v>0</v>
          </cell>
          <cell r="BA52">
            <v>0</v>
          </cell>
          <cell r="BB52">
            <v>0</v>
          </cell>
          <cell r="BC52">
            <v>0</v>
          </cell>
          <cell r="BD52">
            <v>0</v>
          </cell>
          <cell r="BE52">
            <v>0</v>
          </cell>
          <cell r="BF52">
            <v>0</v>
          </cell>
          <cell r="BG52">
            <v>0</v>
          </cell>
          <cell r="BH52">
            <v>0</v>
          </cell>
          <cell r="BJ52">
            <v>0</v>
          </cell>
          <cell r="BL52">
            <v>0</v>
          </cell>
          <cell r="BM52">
            <v>0</v>
          </cell>
          <cell r="BN52">
            <v>0</v>
          </cell>
          <cell r="BO52">
            <v>0</v>
          </cell>
          <cell r="BQ52">
            <v>0</v>
          </cell>
          <cell r="BR52">
            <v>0</v>
          </cell>
          <cell r="BS52">
            <v>0</v>
          </cell>
          <cell r="BT52">
            <v>0</v>
          </cell>
          <cell r="CB52">
            <v>0</v>
          </cell>
          <cell r="CC52">
            <v>0</v>
          </cell>
          <cell r="CD52">
            <v>0</v>
          </cell>
          <cell r="CE52">
            <v>0</v>
          </cell>
          <cell r="CF52">
            <v>0</v>
          </cell>
          <cell r="CI52">
            <v>0</v>
          </cell>
          <cell r="CJ52">
            <v>0</v>
          </cell>
          <cell r="CK52">
            <v>0</v>
          </cell>
          <cell r="CV52">
            <v>1.0802526962423729E-2</v>
          </cell>
          <cell r="DG52">
            <v>469946641</v>
          </cell>
          <cell r="DR52">
            <v>159125172.04999989</v>
          </cell>
          <cell r="EC52">
            <v>2.953314267916924</v>
          </cell>
          <cell r="EN52">
            <v>2.4095909012463064E-2</v>
          </cell>
        </row>
        <row r="53">
          <cell r="B53">
            <v>20200</v>
          </cell>
          <cell r="C53" t="str">
            <v>N.C. School Of The Arts</v>
          </cell>
          <cell r="D53">
            <v>1.3983940762772422E-3</v>
          </cell>
          <cell r="E53">
            <v>2419547.8141080006</v>
          </cell>
          <cell r="F53">
            <v>1886576.9189358056</v>
          </cell>
          <cell r="G53">
            <v>358945</v>
          </cell>
          <cell r="H53">
            <v>-675139.81465026259</v>
          </cell>
          <cell r="I53">
            <v>-27938.559382676976</v>
          </cell>
          <cell r="J53">
            <v>2041759.8571588476</v>
          </cell>
          <cell r="K53">
            <v>0</v>
          </cell>
          <cell r="L53">
            <v>-107277.45239309574</v>
          </cell>
          <cell r="M53">
            <v>19251.707555481309</v>
          </cell>
          <cell r="N53">
            <v>725.73855770636317</v>
          </cell>
          <cell r="O53">
            <v>-327.51787660489288</v>
          </cell>
          <cell r="P53">
            <v>0</v>
          </cell>
          <cell r="Q53">
            <v>0</v>
          </cell>
          <cell r="R53">
            <v>0</v>
          </cell>
          <cell r="S53">
            <v>5916123.6920132022</v>
          </cell>
          <cell r="T53">
            <v>1794720.25</v>
          </cell>
          <cell r="U53">
            <v>10208799.285794238</v>
          </cell>
          <cell r="V53">
            <v>77006.830221925236</v>
          </cell>
          <cell r="W53">
            <v>0</v>
          </cell>
          <cell r="X53">
            <v>12080526.366016163</v>
          </cell>
          <cell r="Y53">
            <v>0</v>
          </cell>
          <cell r="Z53">
            <v>0</v>
          </cell>
          <cell r="AA53">
            <v>0</v>
          </cell>
          <cell r="AB53">
            <v>139692.79691338487</v>
          </cell>
          <cell r="AC53">
            <v>139692.79691338487</v>
          </cell>
          <cell r="AD53" t="str">
            <v>N/A</v>
          </cell>
          <cell r="AE53">
            <v>2392017</v>
          </cell>
          <cell r="AF53">
            <v>2392018</v>
          </cell>
          <cell r="AG53">
            <v>2392018</v>
          </cell>
          <cell r="AH53">
            <v>2392018</v>
          </cell>
          <cell r="AI53">
            <v>2372766</v>
          </cell>
          <cell r="AJ53">
            <v>0</v>
          </cell>
          <cell r="AK53">
            <v>11940837</v>
          </cell>
          <cell r="AL53">
            <v>44290031</v>
          </cell>
          <cell r="AM53">
            <v>5916123.6920132022</v>
          </cell>
          <cell r="AN53">
            <v>-1312092.25</v>
          </cell>
          <cell r="AO53">
            <v>10146113.319102779</v>
          </cell>
          <cell r="AP53">
            <v>0</v>
          </cell>
          <cell r="AQ53">
            <v>1794720.25</v>
          </cell>
          <cell r="AR53">
            <v>0</v>
          </cell>
          <cell r="AS53">
            <v>0</v>
          </cell>
          <cell r="AT53">
            <v>60834896.011115983</v>
          </cell>
          <cell r="AU53">
            <v>1.3358681499429763E-3</v>
          </cell>
          <cell r="AV53">
            <v>0</v>
          </cell>
          <cell r="AW53">
            <v>0</v>
          </cell>
          <cell r="AY53">
            <v>0</v>
          </cell>
          <cell r="AZ53">
            <v>0</v>
          </cell>
          <cell r="BA53">
            <v>0</v>
          </cell>
          <cell r="BB53">
            <v>0</v>
          </cell>
          <cell r="BC53">
            <v>0</v>
          </cell>
          <cell r="BD53">
            <v>0</v>
          </cell>
          <cell r="BE53">
            <v>0</v>
          </cell>
          <cell r="BF53">
            <v>0</v>
          </cell>
          <cell r="BG53">
            <v>0</v>
          </cell>
          <cell r="BH53">
            <v>0</v>
          </cell>
          <cell r="BJ53">
            <v>0</v>
          </cell>
          <cell r="BL53">
            <v>0</v>
          </cell>
          <cell r="BM53">
            <v>0</v>
          </cell>
          <cell r="BN53">
            <v>0</v>
          </cell>
          <cell r="BO53">
            <v>0</v>
          </cell>
          <cell r="BQ53">
            <v>0</v>
          </cell>
          <cell r="BR53">
            <v>0</v>
          </cell>
          <cell r="BS53">
            <v>0</v>
          </cell>
          <cell r="BT53">
            <v>0</v>
          </cell>
          <cell r="CB53">
            <v>0</v>
          </cell>
          <cell r="CC53">
            <v>0</v>
          </cell>
          <cell r="CD53">
            <v>0</v>
          </cell>
          <cell r="CE53">
            <v>0</v>
          </cell>
          <cell r="CF53">
            <v>0</v>
          </cell>
          <cell r="CI53">
            <v>0</v>
          </cell>
          <cell r="CJ53">
            <v>0</v>
          </cell>
          <cell r="CK53">
            <v>0</v>
          </cell>
          <cell r="CV53">
            <v>1.3983940762772422E-3</v>
          </cell>
          <cell r="DG53">
            <v>60834895</v>
          </cell>
          <cell r="DR53">
            <v>23139714.909999985</v>
          </cell>
          <cell r="EC53">
            <v>2.6290252596720536</v>
          </cell>
          <cell r="EN53">
            <v>2.4095909012463064E-2</v>
          </cell>
        </row>
        <row r="54">
          <cell r="B54">
            <v>20300</v>
          </cell>
          <cell r="C54" t="str">
            <v>East Carolina University</v>
          </cell>
          <cell r="D54">
            <v>2.6136733978348658E-2</v>
          </cell>
          <cell r="E54">
            <v>45222644.058668174</v>
          </cell>
          <cell r="F54">
            <v>35261132.678126357</v>
          </cell>
          <cell r="G54">
            <v>-4821224</v>
          </cell>
          <cell r="H54">
            <v>-12618724.602067815</v>
          </cell>
          <cell r="I54">
            <v>-522186.63301785389</v>
          </cell>
          <cell r="J54">
            <v>38161584.877632126</v>
          </cell>
          <cell r="K54">
            <v>0</v>
          </cell>
          <cell r="L54">
            <v>-2005073.0210025681</v>
          </cell>
          <cell r="M54">
            <v>359824.7214734492</v>
          </cell>
          <cell r="N54">
            <v>13564.442200083386</v>
          </cell>
          <cell r="O54">
            <v>-6121.4844650690393</v>
          </cell>
          <cell r="P54">
            <v>0</v>
          </cell>
          <cell r="Q54">
            <v>0</v>
          </cell>
          <cell r="R54">
            <v>0</v>
          </cell>
          <cell r="S54">
            <v>99045421.037546903</v>
          </cell>
          <cell r="T54">
            <v>0</v>
          </cell>
          <cell r="U54">
            <v>190807924.38816065</v>
          </cell>
          <cell r="V54">
            <v>1439298.8858937968</v>
          </cell>
          <cell r="W54">
            <v>0</v>
          </cell>
          <cell r="X54">
            <v>192247223.27405444</v>
          </cell>
          <cell r="Y54">
            <v>24106114.84</v>
          </cell>
          <cell r="Z54">
            <v>0</v>
          </cell>
          <cell r="AA54">
            <v>0</v>
          </cell>
          <cell r="AB54">
            <v>2610933.1650892692</v>
          </cell>
          <cell r="AC54">
            <v>26717048.005089268</v>
          </cell>
          <cell r="AD54" t="str">
            <v>N/A</v>
          </cell>
          <cell r="AE54">
            <v>33178000</v>
          </cell>
          <cell r="AF54">
            <v>33178000</v>
          </cell>
          <cell r="AG54">
            <v>33178000</v>
          </cell>
          <cell r="AH54">
            <v>33178000</v>
          </cell>
          <cell r="AI54">
            <v>32818175</v>
          </cell>
          <cell r="AJ54">
            <v>0</v>
          </cell>
          <cell r="AK54">
            <v>165530175</v>
          </cell>
          <cell r="AL54">
            <v>893714791</v>
          </cell>
          <cell r="AM54">
            <v>99045421.037546903</v>
          </cell>
          <cell r="AN54">
            <v>-21253621.16</v>
          </cell>
          <cell r="AO54">
            <v>189636290.10896519</v>
          </cell>
          <cell r="AP54">
            <v>0</v>
          </cell>
          <cell r="AQ54">
            <v>-24106114.84</v>
          </cell>
          <cell r="AR54">
            <v>0</v>
          </cell>
          <cell r="AS54">
            <v>0</v>
          </cell>
          <cell r="AT54">
            <v>1137036766.1465123</v>
          </cell>
          <cell r="AU54">
            <v>2.6956068628154396E-2</v>
          </cell>
          <cell r="AV54">
            <v>0</v>
          </cell>
          <cell r="AW54">
            <v>0</v>
          </cell>
          <cell r="AY54">
            <v>0</v>
          </cell>
          <cell r="AZ54">
            <v>0</v>
          </cell>
          <cell r="BA54">
            <v>0</v>
          </cell>
          <cell r="BB54">
            <v>0</v>
          </cell>
          <cell r="BC54">
            <v>0</v>
          </cell>
          <cell r="BD54">
            <v>0</v>
          </cell>
          <cell r="BE54">
            <v>0</v>
          </cell>
          <cell r="BF54">
            <v>0</v>
          </cell>
          <cell r="BG54">
            <v>0</v>
          </cell>
          <cell r="BH54">
            <v>0</v>
          </cell>
          <cell r="BJ54">
            <v>0</v>
          </cell>
          <cell r="BL54">
            <v>0</v>
          </cell>
          <cell r="BM54">
            <v>0</v>
          </cell>
          <cell r="BN54">
            <v>0</v>
          </cell>
          <cell r="BO54">
            <v>0</v>
          </cell>
          <cell r="BQ54">
            <v>0</v>
          </cell>
          <cell r="BR54">
            <v>0</v>
          </cell>
          <cell r="BS54">
            <v>0</v>
          </cell>
          <cell r="BT54">
            <v>0</v>
          </cell>
          <cell r="CB54">
            <v>0</v>
          </cell>
          <cell r="CC54">
            <v>0</v>
          </cell>
          <cell r="CD54">
            <v>0</v>
          </cell>
          <cell r="CE54">
            <v>0</v>
          </cell>
          <cell r="CF54">
            <v>0</v>
          </cell>
          <cell r="CI54">
            <v>0</v>
          </cell>
          <cell r="CJ54">
            <v>0</v>
          </cell>
          <cell r="CK54">
            <v>0</v>
          </cell>
          <cell r="CV54">
            <v>2.6136733978348658E-2</v>
          </cell>
          <cell r="DG54">
            <v>1137036767</v>
          </cell>
          <cell r="DR54">
            <v>384458364.83999896</v>
          </cell>
          <cell r="EC54">
            <v>2.9575029989871688</v>
          </cell>
          <cell r="EN54">
            <v>2.4095909012463064E-2</v>
          </cell>
        </row>
        <row r="55">
          <cell r="B55">
            <v>20400</v>
          </cell>
          <cell r="C55" t="str">
            <v>Elizabeth City State University</v>
          </cell>
          <cell r="D55">
            <v>1.2727069321551963E-3</v>
          </cell>
          <cell r="E55">
            <v>2202079.7484311531</v>
          </cell>
          <cell r="F55">
            <v>1717012.0808617924</v>
          </cell>
          <cell r="G55">
            <v>-1266162</v>
          </cell>
          <cell r="H55">
            <v>-614458.49696878274</v>
          </cell>
          <cell r="I55">
            <v>-25427.451963628762</v>
          </cell>
          <cell r="J55">
            <v>1858247.2337984105</v>
          </cell>
          <cell r="K55">
            <v>0</v>
          </cell>
          <cell r="L55">
            <v>-97635.394514910222</v>
          </cell>
          <cell r="M55">
            <v>17521.371176652476</v>
          </cell>
          <cell r="N55">
            <v>660.5094436499038</v>
          </cell>
          <cell r="O55">
            <v>-298.08069058006851</v>
          </cell>
          <cell r="P55">
            <v>0</v>
          </cell>
          <cell r="Q55">
            <v>0</v>
          </cell>
          <cell r="R55">
            <v>0</v>
          </cell>
          <cell r="S55">
            <v>3791539.5195737565</v>
          </cell>
          <cell r="T55">
            <v>49780.379999999888</v>
          </cell>
          <cell r="U55">
            <v>9291236.1689920519</v>
          </cell>
          <cell r="V55">
            <v>70085.484706609903</v>
          </cell>
          <cell r="W55">
            <v>0</v>
          </cell>
          <cell r="X55">
            <v>9411102.0336986631</v>
          </cell>
          <cell r="Y55">
            <v>6380589</v>
          </cell>
          <cell r="Z55">
            <v>0</v>
          </cell>
          <cell r="AA55">
            <v>0</v>
          </cell>
          <cell r="AB55">
            <v>127137.25981814381</v>
          </cell>
          <cell r="AC55">
            <v>6507726.2598181441</v>
          </cell>
          <cell r="AD55" t="str">
            <v>N/A</v>
          </cell>
          <cell r="AE55">
            <v>584179</v>
          </cell>
          <cell r="AF55">
            <v>584179</v>
          </cell>
          <cell r="AG55">
            <v>584179</v>
          </cell>
          <cell r="AH55">
            <v>584179</v>
          </cell>
          <cell r="AI55">
            <v>566658</v>
          </cell>
          <cell r="AJ55">
            <v>0</v>
          </cell>
          <cell r="AK55">
            <v>2903374</v>
          </cell>
          <cell r="AL55">
            <v>49852660</v>
          </cell>
          <cell r="AM55">
            <v>3791539.5195737565</v>
          </cell>
          <cell r="AN55">
            <v>-1180498.3799999999</v>
          </cell>
          <cell r="AO55">
            <v>9234184.39388052</v>
          </cell>
          <cell r="AP55">
            <v>0</v>
          </cell>
          <cell r="AQ55">
            <v>-6330808.6200000001</v>
          </cell>
          <cell r="AR55">
            <v>0</v>
          </cell>
          <cell r="AS55">
            <v>0</v>
          </cell>
          <cell r="AT55">
            <v>55367076.913454272</v>
          </cell>
          <cell r="AU55">
            <v>1.5036471697692172E-3</v>
          </cell>
          <cell r="AV55">
            <v>0</v>
          </cell>
          <cell r="AW55">
            <v>0</v>
          </cell>
          <cell r="AY55">
            <v>0</v>
          </cell>
          <cell r="AZ55">
            <v>0</v>
          </cell>
          <cell r="BA55">
            <v>0</v>
          </cell>
          <cell r="BB55">
            <v>0</v>
          </cell>
          <cell r="BC55">
            <v>0</v>
          </cell>
          <cell r="BD55">
            <v>0</v>
          </cell>
          <cell r="BE55">
            <v>0</v>
          </cell>
          <cell r="BF55">
            <v>0</v>
          </cell>
          <cell r="BG55">
            <v>0</v>
          </cell>
          <cell r="BH55">
            <v>0</v>
          </cell>
          <cell r="BJ55">
            <v>0</v>
          </cell>
          <cell r="BL55">
            <v>0</v>
          </cell>
          <cell r="BM55">
            <v>0</v>
          </cell>
          <cell r="BN55">
            <v>0</v>
          </cell>
          <cell r="BO55">
            <v>0</v>
          </cell>
          <cell r="BQ55">
            <v>0</v>
          </cell>
          <cell r="BR55">
            <v>0</v>
          </cell>
          <cell r="BS55">
            <v>0</v>
          </cell>
          <cell r="BT55">
            <v>0</v>
          </cell>
          <cell r="CB55">
            <v>0</v>
          </cell>
          <cell r="CC55">
            <v>0</v>
          </cell>
          <cell r="CD55">
            <v>0</v>
          </cell>
          <cell r="CE55">
            <v>0</v>
          </cell>
          <cell r="CF55">
            <v>0</v>
          </cell>
          <cell r="CI55">
            <v>0</v>
          </cell>
          <cell r="CJ55">
            <v>0</v>
          </cell>
          <cell r="CK55">
            <v>0</v>
          </cell>
          <cell r="CV55">
            <v>1.2727069321551963E-3</v>
          </cell>
          <cell r="DG55">
            <v>55367077</v>
          </cell>
          <cell r="DR55">
            <v>21065056.790000014</v>
          </cell>
          <cell r="EC55">
            <v>2.6283848912424395</v>
          </cell>
          <cell r="EN55">
            <v>2.4095909012463064E-2</v>
          </cell>
        </row>
        <row r="56">
          <cell r="B56">
            <v>20600</v>
          </cell>
          <cell r="C56" t="str">
            <v>Fayetteville State University</v>
          </cell>
          <cell r="D56">
            <v>2.8367686811147787E-3</v>
          </cell>
          <cell r="E56">
            <v>4908271.2648451738</v>
          </cell>
          <cell r="F56">
            <v>3827091.6681787176</v>
          </cell>
          <cell r="G56">
            <v>-892139</v>
          </cell>
          <cell r="H56">
            <v>-1369582.089958593</v>
          </cell>
          <cell r="I56">
            <v>-56675.891007228885</v>
          </cell>
          <cell r="J56">
            <v>4141894.2738694032</v>
          </cell>
          <cell r="K56">
            <v>0</v>
          </cell>
          <cell r="L56">
            <v>-217622.00105185629</v>
          </cell>
          <cell r="M56">
            <v>39053.827513885124</v>
          </cell>
          <cell r="N56">
            <v>1472.2262101249478</v>
          </cell>
          <cell r="O56">
            <v>-664.39959280389235</v>
          </cell>
          <cell r="P56">
            <v>0</v>
          </cell>
          <cell r="Q56">
            <v>0</v>
          </cell>
          <cell r="R56">
            <v>0</v>
          </cell>
          <cell r="S56">
            <v>10381099.879006824</v>
          </cell>
          <cell r="T56">
            <v>57497.470000000205</v>
          </cell>
          <cell r="U56">
            <v>20709471.369347017</v>
          </cell>
          <cell r="V56">
            <v>156215.3100555405</v>
          </cell>
          <cell r="W56">
            <v>0</v>
          </cell>
          <cell r="X56">
            <v>20923184.149402555</v>
          </cell>
          <cell r="Y56">
            <v>4518190</v>
          </cell>
          <cell r="Z56">
            <v>0</v>
          </cell>
          <cell r="AA56">
            <v>0</v>
          </cell>
          <cell r="AB56">
            <v>283379.45503614441</v>
          </cell>
          <cell r="AC56">
            <v>4801569.4550361447</v>
          </cell>
          <cell r="AD56" t="str">
            <v>N/A</v>
          </cell>
          <cell r="AE56">
            <v>3232133</v>
          </cell>
          <cell r="AF56">
            <v>3232134</v>
          </cell>
          <cell r="AG56">
            <v>3232134</v>
          </cell>
          <cell r="AH56">
            <v>3232134</v>
          </cell>
          <cell r="AI56">
            <v>3193080</v>
          </cell>
          <cell r="AJ56">
            <v>0</v>
          </cell>
          <cell r="AK56">
            <v>16121615</v>
          </cell>
          <cell r="AL56">
            <v>99473456</v>
          </cell>
          <cell r="AM56">
            <v>10381099.879006824</v>
          </cell>
          <cell r="AN56">
            <v>-2567090.4700000002</v>
          </cell>
          <cell r="AO56">
            <v>20582307.224366415</v>
          </cell>
          <cell r="AP56">
            <v>0</v>
          </cell>
          <cell r="AQ56">
            <v>-4460692.5299999993</v>
          </cell>
          <cell r="AR56">
            <v>0</v>
          </cell>
          <cell r="AS56">
            <v>0</v>
          </cell>
          <cell r="AT56">
            <v>123409080.10337323</v>
          </cell>
          <cell r="AU56">
            <v>3.0003009274008141E-3</v>
          </cell>
          <cell r="AV56">
            <v>0</v>
          </cell>
          <cell r="AW56">
            <v>0</v>
          </cell>
          <cell r="AY56">
            <v>0</v>
          </cell>
          <cell r="AZ56">
            <v>0</v>
          </cell>
          <cell r="BA56">
            <v>0</v>
          </cell>
          <cell r="BB56">
            <v>0</v>
          </cell>
          <cell r="BC56">
            <v>0</v>
          </cell>
          <cell r="BD56">
            <v>0</v>
          </cell>
          <cell r="BE56">
            <v>0</v>
          </cell>
          <cell r="BF56">
            <v>0</v>
          </cell>
          <cell r="BG56">
            <v>0</v>
          </cell>
          <cell r="BH56">
            <v>0</v>
          </cell>
          <cell r="BJ56">
            <v>0</v>
          </cell>
          <cell r="BL56">
            <v>0</v>
          </cell>
          <cell r="BM56">
            <v>0</v>
          </cell>
          <cell r="BN56">
            <v>0</v>
          </cell>
          <cell r="BO56">
            <v>0</v>
          </cell>
          <cell r="BQ56">
            <v>0</v>
          </cell>
          <cell r="BR56">
            <v>0</v>
          </cell>
          <cell r="BS56">
            <v>0</v>
          </cell>
          <cell r="BT56">
            <v>0</v>
          </cell>
          <cell r="CB56">
            <v>0</v>
          </cell>
          <cell r="CC56">
            <v>0</v>
          </cell>
          <cell r="CD56">
            <v>0</v>
          </cell>
          <cell r="CE56">
            <v>0</v>
          </cell>
          <cell r="CF56">
            <v>0</v>
          </cell>
          <cell r="CI56">
            <v>0</v>
          </cell>
          <cell r="CJ56">
            <v>0</v>
          </cell>
          <cell r="CK56">
            <v>0</v>
          </cell>
          <cell r="CV56">
            <v>2.8367686811147787E-3</v>
          </cell>
          <cell r="DG56">
            <v>123409080</v>
          </cell>
          <cell r="DR56">
            <v>46059741.430000059</v>
          </cell>
          <cell r="EC56">
            <v>2.6793263741515503</v>
          </cell>
          <cell r="EN56">
            <v>2.4095909012463064E-2</v>
          </cell>
        </row>
        <row r="57">
          <cell r="B57">
            <v>20700</v>
          </cell>
          <cell r="C57" t="str">
            <v>N.C. A&amp;T University</v>
          </cell>
          <cell r="D57">
            <v>6.2362312392525649E-3</v>
          </cell>
          <cell r="E57">
            <v>10790134.139708763</v>
          </cell>
          <cell r="F57">
            <v>8413315.0423813704</v>
          </cell>
          <cell r="G57">
            <v>-1134721</v>
          </cell>
          <cell r="H57">
            <v>-3010830.8340333849</v>
          </cell>
          <cell r="I57">
            <v>-124593.86074188456</v>
          </cell>
          <cell r="J57">
            <v>9105363.6598368064</v>
          </cell>
          <cell r="K57">
            <v>0</v>
          </cell>
          <cell r="L57">
            <v>-478410.92237909173</v>
          </cell>
          <cell r="M57">
            <v>85854.268194600649</v>
          </cell>
          <cell r="N57">
            <v>3236.4792885472962</v>
          </cell>
          <cell r="O57">
            <v>-1460.5877185453433</v>
          </cell>
          <cell r="P57">
            <v>0</v>
          </cell>
          <cell r="Q57">
            <v>0</v>
          </cell>
          <cell r="R57">
            <v>0</v>
          </cell>
          <cell r="S57">
            <v>23647886.384537183</v>
          </cell>
          <cell r="T57">
            <v>160257.80000000075</v>
          </cell>
          <cell r="U57">
            <v>45526818.299184032</v>
          </cell>
          <cell r="V57">
            <v>343417.07277840259</v>
          </cell>
          <cell r="W57">
            <v>0</v>
          </cell>
          <cell r="X57">
            <v>46030493.17196244</v>
          </cell>
          <cell r="Y57">
            <v>5833865</v>
          </cell>
          <cell r="Z57">
            <v>0</v>
          </cell>
          <cell r="AA57">
            <v>0</v>
          </cell>
          <cell r="AB57">
            <v>622969.30370942282</v>
          </cell>
          <cell r="AC57">
            <v>6456834.3037094232</v>
          </cell>
          <cell r="AD57" t="str">
            <v>N/A</v>
          </cell>
          <cell r="AE57">
            <v>7931903</v>
          </cell>
          <cell r="AF57">
            <v>7931902</v>
          </cell>
          <cell r="AG57">
            <v>7931902</v>
          </cell>
          <cell r="AH57">
            <v>7931902</v>
          </cell>
          <cell r="AI57">
            <v>7846048</v>
          </cell>
          <cell r="AJ57">
            <v>0</v>
          </cell>
          <cell r="AK57">
            <v>39573657</v>
          </cell>
          <cell r="AL57">
            <v>213759724</v>
          </cell>
          <cell r="AM57">
            <v>23647886.384537183</v>
          </cell>
          <cell r="AN57">
            <v>-5684012.8000000007</v>
          </cell>
          <cell r="AO57">
            <v>45247266.068253018</v>
          </cell>
          <cell r="AP57">
            <v>0</v>
          </cell>
          <cell r="AQ57">
            <v>-5673607.1999999993</v>
          </cell>
          <cell r="AR57">
            <v>0</v>
          </cell>
          <cell r="AS57">
            <v>0</v>
          </cell>
          <cell r="AT57">
            <v>271297256.4527902</v>
          </cell>
          <cell r="AU57">
            <v>6.4473832775513084E-3</v>
          </cell>
          <cell r="AV57">
            <v>0</v>
          </cell>
          <cell r="AW57">
            <v>0</v>
          </cell>
          <cell r="AY57">
            <v>0</v>
          </cell>
          <cell r="AZ57">
            <v>0</v>
          </cell>
          <cell r="BA57">
            <v>0</v>
          </cell>
          <cell r="BB57">
            <v>0</v>
          </cell>
          <cell r="BC57">
            <v>0</v>
          </cell>
          <cell r="BD57">
            <v>0</v>
          </cell>
          <cell r="BE57">
            <v>0</v>
          </cell>
          <cell r="BF57">
            <v>0</v>
          </cell>
          <cell r="BG57">
            <v>0</v>
          </cell>
          <cell r="BH57">
            <v>0</v>
          </cell>
          <cell r="BJ57">
            <v>0</v>
          </cell>
          <cell r="BL57">
            <v>0</v>
          </cell>
          <cell r="BM57">
            <v>0</v>
          </cell>
          <cell r="BN57">
            <v>0</v>
          </cell>
          <cell r="BO57">
            <v>0</v>
          </cell>
          <cell r="BQ57">
            <v>0</v>
          </cell>
          <cell r="BR57">
            <v>0</v>
          </cell>
          <cell r="BS57">
            <v>0</v>
          </cell>
          <cell r="BT57">
            <v>0</v>
          </cell>
          <cell r="CB57">
            <v>0</v>
          </cell>
          <cell r="CC57">
            <v>0</v>
          </cell>
          <cell r="CD57">
            <v>0</v>
          </cell>
          <cell r="CE57">
            <v>0</v>
          </cell>
          <cell r="CF57">
            <v>0</v>
          </cell>
          <cell r="CI57">
            <v>0</v>
          </cell>
          <cell r="CJ57">
            <v>0</v>
          </cell>
          <cell r="CK57">
            <v>0</v>
          </cell>
          <cell r="CV57">
            <v>6.2362312392525649E-3</v>
          </cell>
          <cell r="DG57">
            <v>271297256</v>
          </cell>
          <cell r="DR57">
            <v>100882755.96999997</v>
          </cell>
          <cell r="EC57">
            <v>2.6892331934377078</v>
          </cell>
          <cell r="EN57">
            <v>2.4095909012463064E-2</v>
          </cell>
        </row>
        <row r="58">
          <cell r="B58">
            <v>20800</v>
          </cell>
          <cell r="C58" t="str">
            <v>N.C. Central University</v>
          </cell>
          <cell r="D58">
            <v>4.920570010970406E-3</v>
          </cell>
          <cell r="E58">
            <v>8513733.4433676898</v>
          </cell>
          <cell r="F58">
            <v>6638353.21400778</v>
          </cell>
          <cell r="G58">
            <v>-264960</v>
          </cell>
          <cell r="H58">
            <v>-2375634.1517293258</v>
          </cell>
          <cell r="I58">
            <v>-98308.223540315536</v>
          </cell>
          <cell r="J58">
            <v>7184399.9436016111</v>
          </cell>
          <cell r="K58">
            <v>0</v>
          </cell>
          <cell r="L58">
            <v>-377480.29976216715</v>
          </cell>
          <cell r="M58">
            <v>67741.544722256745</v>
          </cell>
          <cell r="N58">
            <v>2553.6774242934212</v>
          </cell>
          <cell r="O58">
            <v>-1152.4467022693789</v>
          </cell>
          <cell r="P58">
            <v>0</v>
          </cell>
          <cell r="Q58">
            <v>0</v>
          </cell>
          <cell r="R58">
            <v>0</v>
          </cell>
          <cell r="S58">
            <v>19289246.701389551</v>
          </cell>
          <cell r="T58">
            <v>32592.550000000745</v>
          </cell>
          <cell r="U58">
            <v>35921999.718008056</v>
          </cell>
          <cell r="V58">
            <v>270966.17888902698</v>
          </cell>
          <cell r="W58">
            <v>0</v>
          </cell>
          <cell r="X58">
            <v>36225558.446897082</v>
          </cell>
          <cell r="Y58">
            <v>1357395</v>
          </cell>
          <cell r="Z58">
            <v>0</v>
          </cell>
          <cell r="AA58">
            <v>0</v>
          </cell>
          <cell r="AB58">
            <v>491541.11770157772</v>
          </cell>
          <cell r="AC58">
            <v>1848936.1177015777</v>
          </cell>
          <cell r="AD58" t="str">
            <v>N/A</v>
          </cell>
          <cell r="AE58">
            <v>6888873</v>
          </cell>
          <cell r="AF58">
            <v>6888872</v>
          </cell>
          <cell r="AG58">
            <v>6888872</v>
          </cell>
          <cell r="AH58">
            <v>6888872</v>
          </cell>
          <cell r="AI58">
            <v>6821131</v>
          </cell>
          <cell r="AJ58">
            <v>0</v>
          </cell>
          <cell r="AK58">
            <v>34376620</v>
          </cell>
          <cell r="AL58">
            <v>164767878</v>
          </cell>
          <cell r="AM58">
            <v>19289246.701389551</v>
          </cell>
          <cell r="AN58">
            <v>-4372226.5500000007</v>
          </cell>
          <cell r="AO58">
            <v>35701424.779195502</v>
          </cell>
          <cell r="AP58">
            <v>0</v>
          </cell>
          <cell r="AQ58">
            <v>-1324802.4499999993</v>
          </cell>
          <cell r="AR58">
            <v>0</v>
          </cell>
          <cell r="AS58">
            <v>0</v>
          </cell>
          <cell r="AT58">
            <v>214061520.48058504</v>
          </cell>
          <cell r="AU58">
            <v>4.969699802402484E-3</v>
          </cell>
          <cell r="AV58">
            <v>0</v>
          </cell>
          <cell r="AW58">
            <v>0</v>
          </cell>
          <cell r="AY58">
            <v>0</v>
          </cell>
          <cell r="AZ58">
            <v>0</v>
          </cell>
          <cell r="BA58">
            <v>0</v>
          </cell>
          <cell r="BB58">
            <v>0</v>
          </cell>
          <cell r="BC58">
            <v>0</v>
          </cell>
          <cell r="BD58">
            <v>0</v>
          </cell>
          <cell r="BE58">
            <v>0</v>
          </cell>
          <cell r="BF58">
            <v>0</v>
          </cell>
          <cell r="BG58">
            <v>0</v>
          </cell>
          <cell r="BH58">
            <v>0</v>
          </cell>
          <cell r="BJ58">
            <v>0</v>
          </cell>
          <cell r="BL58">
            <v>0</v>
          </cell>
          <cell r="BM58">
            <v>0</v>
          </cell>
          <cell r="BN58">
            <v>0</v>
          </cell>
          <cell r="BO58">
            <v>0</v>
          </cell>
          <cell r="BQ58">
            <v>0</v>
          </cell>
          <cell r="BR58">
            <v>0</v>
          </cell>
          <cell r="BS58">
            <v>0</v>
          </cell>
          <cell r="BT58">
            <v>0</v>
          </cell>
          <cell r="CB58">
            <v>0</v>
          </cell>
          <cell r="CC58">
            <v>0</v>
          </cell>
          <cell r="CD58">
            <v>0</v>
          </cell>
          <cell r="CE58">
            <v>0</v>
          </cell>
          <cell r="CF58">
            <v>0</v>
          </cell>
          <cell r="CI58">
            <v>0</v>
          </cell>
          <cell r="CJ58">
            <v>0</v>
          </cell>
          <cell r="CK58">
            <v>0</v>
          </cell>
          <cell r="CV58">
            <v>4.920570010970406E-3</v>
          </cell>
          <cell r="DG58">
            <v>214061520</v>
          </cell>
          <cell r="DR58">
            <v>78015479.829999864</v>
          </cell>
          <cell r="EC58">
            <v>2.7438339220171706</v>
          </cell>
          <cell r="EN58">
            <v>2.4095909012463064E-2</v>
          </cell>
        </row>
        <row r="59">
          <cell r="B59">
            <v>20900</v>
          </cell>
          <cell r="C59" t="str">
            <v>University Of North Carolina At Greensboro</v>
          </cell>
          <cell r="D59">
            <v>1.0138441356939986E-2</v>
          </cell>
          <cell r="E59">
            <v>17541867.517738931</v>
          </cell>
          <cell r="F59">
            <v>13677796.396925759</v>
          </cell>
          <cell r="G59">
            <v>-2300171</v>
          </cell>
          <cell r="H59">
            <v>-4894804.3578596888</v>
          </cell>
          <cell r="I59">
            <v>-202556.23983528576</v>
          </cell>
          <cell r="J59">
            <v>14802882.054439679</v>
          </cell>
          <cell r="K59">
            <v>0</v>
          </cell>
          <cell r="L59">
            <v>-777767.99720488244</v>
          </cell>
          <cell r="M59">
            <v>139576.04039042664</v>
          </cell>
          <cell r="N59">
            <v>5261.648295424714</v>
          </cell>
          <cell r="O59">
            <v>-2374.5243502089143</v>
          </cell>
          <cell r="P59">
            <v>0</v>
          </cell>
          <cell r="Q59">
            <v>0</v>
          </cell>
          <cell r="R59">
            <v>0</v>
          </cell>
          <cell r="S59">
            <v>37989709.538540147</v>
          </cell>
          <cell r="T59">
            <v>0</v>
          </cell>
          <cell r="U59">
            <v>74014410.272198394</v>
          </cell>
          <cell r="V59">
            <v>558304.16156170657</v>
          </cell>
          <cell r="W59">
            <v>0</v>
          </cell>
          <cell r="X59">
            <v>74572714.433760107</v>
          </cell>
          <cell r="Y59">
            <v>11500854</v>
          </cell>
          <cell r="Z59">
            <v>0</v>
          </cell>
          <cell r="AA59">
            <v>0</v>
          </cell>
          <cell r="AB59">
            <v>1012781.1991764287</v>
          </cell>
          <cell r="AC59">
            <v>12513635.199176429</v>
          </cell>
          <cell r="AD59" t="str">
            <v>N/A</v>
          </cell>
          <cell r="AE59">
            <v>12439731</v>
          </cell>
          <cell r="AF59">
            <v>12439731</v>
          </cell>
          <cell r="AG59">
            <v>12439731</v>
          </cell>
          <cell r="AH59">
            <v>12439731</v>
          </cell>
          <cell r="AI59">
            <v>12300155</v>
          </cell>
          <cell r="AJ59">
            <v>0</v>
          </cell>
          <cell r="AK59">
            <v>62059079</v>
          </cell>
          <cell r="AL59">
            <v>349695995</v>
          </cell>
          <cell r="AM59">
            <v>37989709.538540147</v>
          </cell>
          <cell r="AN59">
            <v>-8688124</v>
          </cell>
          <cell r="AO59">
            <v>73559933.234583676</v>
          </cell>
          <cell r="AP59">
            <v>0</v>
          </cell>
          <cell r="AQ59">
            <v>-11500854</v>
          </cell>
          <cell r="AR59">
            <v>0</v>
          </cell>
          <cell r="AS59">
            <v>0</v>
          </cell>
          <cell r="AT59">
            <v>441056659.7731238</v>
          </cell>
          <cell r="AU59">
            <v>1.0547469212309908E-2</v>
          </cell>
          <cell r="AV59">
            <v>0</v>
          </cell>
          <cell r="AW59">
            <v>0</v>
          </cell>
          <cell r="AY59">
            <v>0</v>
          </cell>
          <cell r="AZ59">
            <v>0</v>
          </cell>
          <cell r="BA59">
            <v>0</v>
          </cell>
          <cell r="BB59">
            <v>0</v>
          </cell>
          <cell r="BC59">
            <v>0</v>
          </cell>
          <cell r="BD59">
            <v>0</v>
          </cell>
          <cell r="BE59">
            <v>0</v>
          </cell>
          <cell r="BF59">
            <v>0</v>
          </cell>
          <cell r="BG59">
            <v>0</v>
          </cell>
          <cell r="BH59">
            <v>0</v>
          </cell>
          <cell r="BJ59">
            <v>0</v>
          </cell>
          <cell r="BL59">
            <v>0</v>
          </cell>
          <cell r="BM59">
            <v>0</v>
          </cell>
          <cell r="BN59">
            <v>0</v>
          </cell>
          <cell r="BO59">
            <v>0</v>
          </cell>
          <cell r="BQ59">
            <v>0</v>
          </cell>
          <cell r="BR59">
            <v>0</v>
          </cell>
          <cell r="BS59">
            <v>0</v>
          </cell>
          <cell r="BT59">
            <v>0</v>
          </cell>
          <cell r="CB59">
            <v>0</v>
          </cell>
          <cell r="CC59">
            <v>0</v>
          </cell>
          <cell r="CD59">
            <v>0</v>
          </cell>
          <cell r="CE59">
            <v>0</v>
          </cell>
          <cell r="CF59">
            <v>0</v>
          </cell>
          <cell r="CI59">
            <v>0</v>
          </cell>
          <cell r="CJ59">
            <v>0</v>
          </cell>
          <cell r="CK59">
            <v>0</v>
          </cell>
          <cell r="CV59">
            <v>1.0138441356939986E-2</v>
          </cell>
          <cell r="DG59">
            <v>441056660</v>
          </cell>
          <cell r="DR59">
            <v>153380773.23999989</v>
          </cell>
          <cell r="EC59">
            <v>2.8755668046467875</v>
          </cell>
          <cell r="EN59">
            <v>2.4095909012463064E-2</v>
          </cell>
        </row>
        <row r="60">
          <cell r="B60">
            <v>21200</v>
          </cell>
          <cell r="C60" t="str">
            <v>UNC - Pembroke</v>
          </cell>
          <cell r="D60">
            <v>3.3211057016841483E-3</v>
          </cell>
          <cell r="E60">
            <v>5746287.2428089324</v>
          </cell>
          <cell r="F60">
            <v>4480511.9446896389</v>
          </cell>
          <cell r="G60">
            <v>1199456</v>
          </cell>
          <cell r="H60">
            <v>-1603418.3252821725</v>
          </cell>
          <cell r="I60">
            <v>-66352.475626658736</v>
          </cell>
          <cell r="J60">
            <v>4849062.5197240151</v>
          </cell>
          <cell r="K60">
            <v>0</v>
          </cell>
          <cell r="L60">
            <v>-254777.79464951399</v>
          </cell>
          <cell r="M60">
            <v>45721.700924159799</v>
          </cell>
          <cell r="N60">
            <v>1723.5874370600393</v>
          </cell>
          <cell r="O60">
            <v>-777.83616639144441</v>
          </cell>
          <cell r="P60">
            <v>0</v>
          </cell>
          <cell r="Q60">
            <v>0</v>
          </cell>
          <cell r="R60">
            <v>0</v>
          </cell>
          <cell r="S60">
            <v>14397436.56385907</v>
          </cell>
          <cell r="T60">
            <v>6198341</v>
          </cell>
          <cell r="U60">
            <v>24245312.598620076</v>
          </cell>
          <cell r="V60">
            <v>182886.8036966392</v>
          </cell>
          <cell r="W60">
            <v>0</v>
          </cell>
          <cell r="X60">
            <v>30626540.402316716</v>
          </cell>
          <cell r="Y60">
            <v>201060.70000000019</v>
          </cell>
          <cell r="Z60">
            <v>0</v>
          </cell>
          <cell r="AA60">
            <v>0</v>
          </cell>
          <cell r="AB60">
            <v>331762.37813329365</v>
          </cell>
          <cell r="AC60">
            <v>532823.07813329389</v>
          </cell>
          <cell r="AD60" t="str">
            <v>N/A</v>
          </cell>
          <cell r="AE60">
            <v>6027888</v>
          </cell>
          <cell r="AF60">
            <v>6027888</v>
          </cell>
          <cell r="AG60">
            <v>6027888</v>
          </cell>
          <cell r="AH60">
            <v>6027888</v>
          </cell>
          <cell r="AI60">
            <v>5982166</v>
          </cell>
          <cell r="AJ60">
            <v>0</v>
          </cell>
          <cell r="AK60">
            <v>30093718</v>
          </cell>
          <cell r="AL60">
            <v>102671567</v>
          </cell>
          <cell r="AM60">
            <v>14397436.56385907</v>
          </cell>
          <cell r="AN60">
            <v>-2683334.2999999998</v>
          </cell>
          <cell r="AO60">
            <v>24096437.024183426</v>
          </cell>
          <cell r="AP60">
            <v>0</v>
          </cell>
          <cell r="AQ60">
            <v>5997280.2999999998</v>
          </cell>
          <cell r="AR60">
            <v>0</v>
          </cell>
          <cell r="AS60">
            <v>0</v>
          </cell>
          <cell r="AT60">
            <v>144479386.58804253</v>
          </cell>
          <cell r="AU60">
            <v>3.0967617921084036E-3</v>
          </cell>
          <cell r="AV60">
            <v>0</v>
          </cell>
          <cell r="AW60">
            <v>0</v>
          </cell>
          <cell r="AY60">
            <v>0</v>
          </cell>
          <cell r="AZ60">
            <v>0</v>
          </cell>
          <cell r="BA60">
            <v>0</v>
          </cell>
          <cell r="BB60">
            <v>0</v>
          </cell>
          <cell r="BC60">
            <v>0</v>
          </cell>
          <cell r="BD60">
            <v>0</v>
          </cell>
          <cell r="BE60">
            <v>0</v>
          </cell>
          <cell r="BF60">
            <v>0</v>
          </cell>
          <cell r="BG60">
            <v>0</v>
          </cell>
          <cell r="BH60">
            <v>0</v>
          </cell>
          <cell r="BJ60">
            <v>0</v>
          </cell>
          <cell r="BL60">
            <v>0</v>
          </cell>
          <cell r="BM60">
            <v>0</v>
          </cell>
          <cell r="BN60">
            <v>0</v>
          </cell>
          <cell r="BO60">
            <v>0</v>
          </cell>
          <cell r="BQ60">
            <v>0</v>
          </cell>
          <cell r="BR60">
            <v>0</v>
          </cell>
          <cell r="BS60">
            <v>0</v>
          </cell>
          <cell r="BT60">
            <v>0</v>
          </cell>
          <cell r="CB60">
            <v>0</v>
          </cell>
          <cell r="CC60">
            <v>0</v>
          </cell>
          <cell r="CD60">
            <v>0</v>
          </cell>
          <cell r="CE60">
            <v>0</v>
          </cell>
          <cell r="CF60">
            <v>0</v>
          </cell>
          <cell r="CI60">
            <v>0</v>
          </cell>
          <cell r="CJ60">
            <v>0</v>
          </cell>
          <cell r="CK60">
            <v>0</v>
          </cell>
          <cell r="CV60">
            <v>3.3211057016841483E-3</v>
          </cell>
          <cell r="DG60">
            <v>144479386</v>
          </cell>
          <cell r="DR60">
            <v>48158850.890000053</v>
          </cell>
          <cell r="EC60">
            <v>3.0000588330067575</v>
          </cell>
          <cell r="EN60">
            <v>2.4095909012463064E-2</v>
          </cell>
        </row>
        <row r="61">
          <cell r="B61">
            <v>21300</v>
          </cell>
          <cell r="C61" t="str">
            <v>N.C. State University</v>
          </cell>
          <cell r="D61">
            <v>3.9767071830284745E-2</v>
          </cell>
          <cell r="E61">
            <v>68806306.714764208</v>
          </cell>
          <cell r="F61">
            <v>53649855.302879199</v>
          </cell>
          <cell r="G61">
            <v>4465900</v>
          </cell>
          <cell r="H61">
            <v>-19199404.488437805</v>
          </cell>
          <cell r="I61">
            <v>-794507.58312946407</v>
          </cell>
          <cell r="J61">
            <v>58062896.773691945</v>
          </cell>
          <cell r="K61">
            <v>0</v>
          </cell>
          <cell r="L61">
            <v>-3050720.985920711</v>
          </cell>
          <cell r="M61">
            <v>547473.74163123814</v>
          </cell>
          <cell r="N61">
            <v>20638.314938481177</v>
          </cell>
          <cell r="O61">
            <v>-9313.8458933709899</v>
          </cell>
          <cell r="P61">
            <v>0</v>
          </cell>
          <cell r="Q61">
            <v>0</v>
          </cell>
          <cell r="R61">
            <v>0</v>
          </cell>
          <cell r="S61">
            <v>162499123.94452372</v>
          </cell>
          <cell r="T61">
            <v>23870151</v>
          </cell>
          <cell r="U61">
            <v>290314483.8684597</v>
          </cell>
          <cell r="V61">
            <v>2189894.9665249526</v>
          </cell>
          <cell r="W61">
            <v>0</v>
          </cell>
          <cell r="X61">
            <v>316374529.83498466</v>
          </cell>
          <cell r="Y61">
            <v>1540647.6799999997</v>
          </cell>
          <cell r="Z61">
            <v>0</v>
          </cell>
          <cell r="AA61">
            <v>0</v>
          </cell>
          <cell r="AB61">
            <v>3972537.9156473204</v>
          </cell>
          <cell r="AC61">
            <v>5513185.5956473202</v>
          </cell>
          <cell r="AD61" t="str">
            <v>N/A</v>
          </cell>
          <cell r="AE61">
            <v>62281763</v>
          </cell>
          <cell r="AF61">
            <v>62281764</v>
          </cell>
          <cell r="AG61">
            <v>62281764</v>
          </cell>
          <cell r="AH61">
            <v>62281764</v>
          </cell>
          <cell r="AI61">
            <v>61734290</v>
          </cell>
          <cell r="AJ61">
            <v>0</v>
          </cell>
          <cell r="AK61">
            <v>310861345</v>
          </cell>
          <cell r="AL61">
            <v>1289812928</v>
          </cell>
          <cell r="AM61">
            <v>162499123.94452372</v>
          </cell>
          <cell r="AN61">
            <v>-33170603.32</v>
          </cell>
          <cell r="AO61">
            <v>288531840.91933739</v>
          </cell>
          <cell r="AP61">
            <v>0</v>
          </cell>
          <cell r="AQ61">
            <v>22329503.32</v>
          </cell>
          <cell r="AR61">
            <v>0</v>
          </cell>
          <cell r="AS61">
            <v>0</v>
          </cell>
          <cell r="AT61">
            <v>1730002792.8638613</v>
          </cell>
          <cell r="AU61">
            <v>3.8903111097267837E-2</v>
          </cell>
          <cell r="AV61">
            <v>0</v>
          </cell>
          <cell r="AW61">
            <v>0</v>
          </cell>
          <cell r="AY61">
            <v>0</v>
          </cell>
          <cell r="AZ61">
            <v>0</v>
          </cell>
          <cell r="BA61">
            <v>0</v>
          </cell>
          <cell r="BB61">
            <v>0</v>
          </cell>
          <cell r="BC61">
            <v>0</v>
          </cell>
          <cell r="BD61">
            <v>0</v>
          </cell>
          <cell r="BE61">
            <v>0</v>
          </cell>
          <cell r="BF61">
            <v>0</v>
          </cell>
          <cell r="BG61">
            <v>0</v>
          </cell>
          <cell r="BH61">
            <v>0</v>
          </cell>
          <cell r="BJ61">
            <v>0</v>
          </cell>
          <cell r="BL61">
            <v>0</v>
          </cell>
          <cell r="BM61">
            <v>0</v>
          </cell>
          <cell r="BN61">
            <v>0</v>
          </cell>
          <cell r="BO61">
            <v>0</v>
          </cell>
          <cell r="BQ61">
            <v>0</v>
          </cell>
          <cell r="BR61">
            <v>0</v>
          </cell>
          <cell r="BS61">
            <v>0</v>
          </cell>
          <cell r="BT61">
            <v>0</v>
          </cell>
          <cell r="CB61">
            <v>0</v>
          </cell>
          <cell r="CC61">
            <v>0</v>
          </cell>
          <cell r="CD61">
            <v>0</v>
          </cell>
          <cell r="CE61">
            <v>0</v>
          </cell>
          <cell r="CF61">
            <v>0</v>
          </cell>
          <cell r="CI61">
            <v>0</v>
          </cell>
          <cell r="CJ61">
            <v>0</v>
          </cell>
          <cell r="CK61">
            <v>0</v>
          </cell>
          <cell r="CV61">
            <v>3.9767071830284745E-2</v>
          </cell>
          <cell r="DG61">
            <v>1730002793</v>
          </cell>
          <cell r="DR61">
            <v>581913565.08000124</v>
          </cell>
          <cell r="EC61">
            <v>2.9729549142958369</v>
          </cell>
          <cell r="EN61">
            <v>2.4095909012463064E-2</v>
          </cell>
        </row>
        <row r="62">
          <cell r="B62">
            <v>21520</v>
          </cell>
          <cell r="C62" t="str">
            <v>UNC-CH CB 1260</v>
          </cell>
          <cell r="D62">
            <v>7.2483871493836394E-2</v>
          </cell>
          <cell r="E62">
            <v>125413998.67616931</v>
          </cell>
          <cell r="F62">
            <v>97788170.927770525</v>
          </cell>
          <cell r="G62">
            <v>-2113104</v>
          </cell>
          <cell r="H62">
            <v>-34994962.003672041</v>
          </cell>
          <cell r="I62">
            <v>-1448157.5561361178</v>
          </cell>
          <cell r="J62">
            <v>105831869.29793215</v>
          </cell>
          <cell r="K62">
            <v>0</v>
          </cell>
          <cell r="L62">
            <v>-5560582.102970575</v>
          </cell>
          <cell r="M62">
            <v>997886.30412631284</v>
          </cell>
          <cell r="N62">
            <v>37617.679627871214</v>
          </cell>
          <cell r="O62">
            <v>-16976.447542571423</v>
          </cell>
          <cell r="P62">
            <v>0</v>
          </cell>
          <cell r="Q62">
            <v>0</v>
          </cell>
          <cell r="R62">
            <v>0</v>
          </cell>
          <cell r="S62">
            <v>285935760.77530485</v>
          </cell>
          <cell r="T62">
            <v>0</v>
          </cell>
          <cell r="U62">
            <v>529159346.4896608</v>
          </cell>
          <cell r="V62">
            <v>3991545.2165052514</v>
          </cell>
          <cell r="W62">
            <v>0</v>
          </cell>
          <cell r="X62">
            <v>533150891.70616603</v>
          </cell>
          <cell r="Y62">
            <v>10565518.759999998</v>
          </cell>
          <cell r="Z62">
            <v>0</v>
          </cell>
          <cell r="AA62">
            <v>0</v>
          </cell>
          <cell r="AB62">
            <v>7240787.7806805884</v>
          </cell>
          <cell r="AC62">
            <v>17806306.540680587</v>
          </cell>
          <cell r="AD62" t="str">
            <v>N/A</v>
          </cell>
          <cell r="AE62">
            <v>103268494</v>
          </cell>
          <cell r="AF62">
            <v>103268495</v>
          </cell>
          <cell r="AG62">
            <v>103268495</v>
          </cell>
          <cell r="AH62">
            <v>103268495</v>
          </cell>
          <cell r="AI62">
            <v>102270609</v>
          </cell>
          <cell r="AJ62">
            <v>0</v>
          </cell>
          <cell r="AK62">
            <v>515344588</v>
          </cell>
          <cell r="AL62">
            <v>2410938298</v>
          </cell>
          <cell r="AM62">
            <v>285935760.77530485</v>
          </cell>
          <cell r="AN62">
            <v>-58923861.240000002</v>
          </cell>
          <cell r="AO62">
            <v>525910103.92548549</v>
          </cell>
          <cell r="AP62">
            <v>0</v>
          </cell>
          <cell r="AQ62">
            <v>-10565518.759999998</v>
          </cell>
          <cell r="AR62">
            <v>0</v>
          </cell>
          <cell r="AS62">
            <v>0</v>
          </cell>
          <cell r="AT62">
            <v>3153294782.7007904</v>
          </cell>
          <cell r="AU62">
            <v>7.2718297661777884E-2</v>
          </cell>
          <cell r="AV62">
            <v>0</v>
          </cell>
          <cell r="AW62">
            <v>0</v>
          </cell>
          <cell r="AY62">
            <v>0</v>
          </cell>
          <cell r="AZ62">
            <v>0</v>
          </cell>
          <cell r="BA62">
            <v>0</v>
          </cell>
          <cell r="BB62">
            <v>0</v>
          </cell>
          <cell r="BC62">
            <v>0</v>
          </cell>
          <cell r="BD62">
            <v>0</v>
          </cell>
          <cell r="BE62">
            <v>0</v>
          </cell>
          <cell r="BF62">
            <v>0</v>
          </cell>
          <cell r="BG62">
            <v>0</v>
          </cell>
          <cell r="BH62">
            <v>0</v>
          </cell>
          <cell r="BJ62">
            <v>0</v>
          </cell>
          <cell r="BL62">
            <v>0</v>
          </cell>
          <cell r="BM62">
            <v>0</v>
          </cell>
          <cell r="BN62">
            <v>0</v>
          </cell>
          <cell r="BO62">
            <v>0</v>
          </cell>
          <cell r="BQ62">
            <v>0</v>
          </cell>
          <cell r="BR62">
            <v>0</v>
          </cell>
          <cell r="BS62">
            <v>0</v>
          </cell>
          <cell r="BT62">
            <v>0</v>
          </cell>
          <cell r="CB62">
            <v>0</v>
          </cell>
          <cell r="CC62">
            <v>0</v>
          </cell>
          <cell r="CD62">
            <v>0</v>
          </cell>
          <cell r="CE62">
            <v>0</v>
          </cell>
          <cell r="CF62">
            <v>0</v>
          </cell>
          <cell r="CI62">
            <v>0</v>
          </cell>
          <cell r="CJ62">
            <v>0</v>
          </cell>
          <cell r="CK62">
            <v>0</v>
          </cell>
          <cell r="CV62">
            <v>7.2483871493836394E-2</v>
          </cell>
          <cell r="DG62">
            <v>3153294783</v>
          </cell>
          <cell r="DR62">
            <v>1037963761.8100019</v>
          </cell>
          <cell r="EC62">
            <v>3.0379623056408853</v>
          </cell>
          <cell r="EN62">
            <v>2.4095909012463064E-2</v>
          </cell>
        </row>
        <row r="63">
          <cell r="B63">
            <v>21525</v>
          </cell>
          <cell r="C63" t="str">
            <v>UNC-General Administration</v>
          </cell>
          <cell r="D63">
            <v>1.7553154435545669E-3</v>
          </cell>
          <cell r="E63">
            <v>3037105.0024960591</v>
          </cell>
          <cell r="F63">
            <v>2368100.4213615349</v>
          </cell>
          <cell r="G63">
            <v>307283</v>
          </cell>
          <cell r="H63">
            <v>-847460.21405429789</v>
          </cell>
          <cell r="I63">
            <v>-35069.502643800173</v>
          </cell>
          <cell r="J63">
            <v>2562891.7270886307</v>
          </cell>
          <cell r="K63">
            <v>0</v>
          </cell>
          <cell r="L63">
            <v>-134658.58596318719</v>
          </cell>
          <cell r="M63">
            <v>24165.448181026764</v>
          </cell>
          <cell r="N63">
            <v>910.97360889594916</v>
          </cell>
          <cell r="O63">
            <v>-411.11243003491512</v>
          </cell>
          <cell r="P63">
            <v>0</v>
          </cell>
          <cell r="Q63">
            <v>0</v>
          </cell>
          <cell r="R63">
            <v>0</v>
          </cell>
          <cell r="S63">
            <v>7282857.1576448279</v>
          </cell>
          <cell r="T63">
            <v>1536416.2789071039</v>
          </cell>
          <cell r="U63">
            <v>12814458.635443155</v>
          </cell>
          <cell r="V63">
            <v>96661.792724107057</v>
          </cell>
          <cell r="W63">
            <v>0</v>
          </cell>
          <cell r="X63">
            <v>14447536.707074365</v>
          </cell>
          <cell r="Y63">
            <v>0</v>
          </cell>
          <cell r="Z63">
            <v>0</v>
          </cell>
          <cell r="AA63">
            <v>0</v>
          </cell>
          <cell r="AB63">
            <v>175347.51321900086</v>
          </cell>
          <cell r="AC63">
            <v>175347.51321900086</v>
          </cell>
          <cell r="AD63" t="str">
            <v>N/A</v>
          </cell>
          <cell r="AE63">
            <v>2859271</v>
          </cell>
          <cell r="AF63">
            <v>2859271</v>
          </cell>
          <cell r="AG63">
            <v>2859271</v>
          </cell>
          <cell r="AH63">
            <v>2859271</v>
          </cell>
          <cell r="AI63">
            <v>2835105</v>
          </cell>
          <cell r="AJ63">
            <v>0</v>
          </cell>
          <cell r="AK63">
            <v>14272189</v>
          </cell>
          <cell r="AL63">
            <v>56443267</v>
          </cell>
          <cell r="AM63">
            <v>7282857.1576448279</v>
          </cell>
          <cell r="AN63">
            <v>-1636125.2789071039</v>
          </cell>
          <cell r="AO63">
            <v>12735772.91494826</v>
          </cell>
          <cell r="AP63">
            <v>0</v>
          </cell>
          <cell r="AQ63">
            <v>1536416.2789071039</v>
          </cell>
          <cell r="AR63">
            <v>0</v>
          </cell>
          <cell r="AS63">
            <v>0</v>
          </cell>
          <cell r="AT63">
            <v>76362188.072593093</v>
          </cell>
          <cell r="AU63">
            <v>1.702431898495573E-3</v>
          </cell>
          <cell r="AV63">
            <v>0</v>
          </cell>
          <cell r="AW63">
            <v>0</v>
          </cell>
          <cell r="AY63">
            <v>0</v>
          </cell>
          <cell r="AZ63">
            <v>0</v>
          </cell>
          <cell r="BA63">
            <v>0</v>
          </cell>
          <cell r="BB63">
            <v>0</v>
          </cell>
          <cell r="BC63">
            <v>0</v>
          </cell>
          <cell r="BD63">
            <v>0</v>
          </cell>
          <cell r="BE63">
            <v>0</v>
          </cell>
          <cell r="BF63">
            <v>0</v>
          </cell>
          <cell r="BG63">
            <v>0</v>
          </cell>
          <cell r="BH63">
            <v>0</v>
          </cell>
          <cell r="BJ63">
            <v>0</v>
          </cell>
          <cell r="BL63">
            <v>0</v>
          </cell>
          <cell r="BM63">
            <v>0</v>
          </cell>
          <cell r="BN63">
            <v>0</v>
          </cell>
          <cell r="BO63">
            <v>0</v>
          </cell>
          <cell r="BQ63">
            <v>0</v>
          </cell>
          <cell r="BR63">
            <v>0</v>
          </cell>
          <cell r="BS63">
            <v>0</v>
          </cell>
          <cell r="BT63">
            <v>0</v>
          </cell>
          <cell r="CB63">
            <v>0</v>
          </cell>
          <cell r="CC63">
            <v>0</v>
          </cell>
          <cell r="CD63">
            <v>0</v>
          </cell>
          <cell r="CE63">
            <v>0</v>
          </cell>
          <cell r="CF63">
            <v>0</v>
          </cell>
          <cell r="CI63">
            <v>0</v>
          </cell>
          <cell r="CJ63">
            <v>0</v>
          </cell>
          <cell r="CK63">
            <v>0</v>
          </cell>
          <cell r="CV63">
            <v>1.7553154435545669E-3</v>
          </cell>
          <cell r="DG63">
            <v>76362188</v>
          </cell>
          <cell r="DR63">
            <v>27240178.579999987</v>
          </cell>
          <cell r="EC63">
            <v>2.8032924885472625</v>
          </cell>
          <cell r="EN63">
            <v>2.4095909012463064E-2</v>
          </cell>
        </row>
        <row r="64">
          <cell r="B64">
            <v>21550</v>
          </cell>
          <cell r="C64" t="str">
            <v>UNC Health Care System</v>
          </cell>
          <cell r="D64">
            <v>3.9173976380473784E-2</v>
          </cell>
          <cell r="E64">
            <v>67780113.295118302</v>
          </cell>
          <cell r="F64">
            <v>52849708.759554327</v>
          </cell>
          <cell r="G64">
            <v>10284265</v>
          </cell>
          <cell r="H64">
            <v>-18913060.060319748</v>
          </cell>
          <cell r="I64">
            <v>-782658.11041984579</v>
          </cell>
          <cell r="J64">
            <v>57196933.093331285</v>
          </cell>
          <cell r="K64">
            <v>0</v>
          </cell>
          <cell r="L64">
            <v>-3005221.8165799486</v>
          </cell>
          <cell r="M64">
            <v>539308.58965730807</v>
          </cell>
          <cell r="N64">
            <v>20330.510261938285</v>
          </cell>
          <cell r="O64">
            <v>-9174.9370080707649</v>
          </cell>
          <cell r="P64">
            <v>0</v>
          </cell>
          <cell r="Q64">
            <v>0</v>
          </cell>
          <cell r="R64">
            <v>0</v>
          </cell>
          <cell r="S64">
            <v>165960544.32359555</v>
          </cell>
          <cell r="T64">
            <v>53405997</v>
          </cell>
          <cell r="U64">
            <v>285984665.46665639</v>
          </cell>
          <cell r="V64">
            <v>2157234.3586292323</v>
          </cell>
          <cell r="W64">
            <v>0</v>
          </cell>
          <cell r="X64">
            <v>341547896.82528561</v>
          </cell>
          <cell r="Y64">
            <v>1984669.9900000058</v>
          </cell>
          <cell r="Z64">
            <v>0</v>
          </cell>
          <cell r="AA64">
            <v>0</v>
          </cell>
          <cell r="AB64">
            <v>3913290.5520992288</v>
          </cell>
          <cell r="AC64">
            <v>5897960.5420992346</v>
          </cell>
          <cell r="AD64" t="str">
            <v>N/A</v>
          </cell>
          <cell r="AE64">
            <v>67237849</v>
          </cell>
          <cell r="AF64">
            <v>67237850</v>
          </cell>
          <cell r="AG64">
            <v>67237850</v>
          </cell>
          <cell r="AH64">
            <v>67237850</v>
          </cell>
          <cell r="AI64">
            <v>66698541</v>
          </cell>
          <cell r="AJ64">
            <v>0</v>
          </cell>
          <cell r="AK64">
            <v>335649940</v>
          </cell>
          <cell r="AL64">
            <v>1234706134</v>
          </cell>
          <cell r="AM64">
            <v>165960544.32359555</v>
          </cell>
          <cell r="AN64">
            <v>-32115489.009999994</v>
          </cell>
          <cell r="AO64">
            <v>284228609.27318645</v>
          </cell>
          <cell r="AP64">
            <v>0</v>
          </cell>
          <cell r="AQ64">
            <v>51421327.00999999</v>
          </cell>
          <cell r="AR64">
            <v>0</v>
          </cell>
          <cell r="AS64">
            <v>0</v>
          </cell>
          <cell r="AT64">
            <v>1704201125.596782</v>
          </cell>
          <cell r="AU64">
            <v>3.7240989628804788E-2</v>
          </cell>
          <cell r="AV64">
            <v>0</v>
          </cell>
          <cell r="AW64">
            <v>0</v>
          </cell>
          <cell r="AY64">
            <v>0</v>
          </cell>
          <cell r="AZ64">
            <v>0</v>
          </cell>
          <cell r="BA64">
            <v>0</v>
          </cell>
          <cell r="BB64">
            <v>0</v>
          </cell>
          <cell r="BC64">
            <v>0</v>
          </cell>
          <cell r="BD64">
            <v>0</v>
          </cell>
          <cell r="BE64">
            <v>0</v>
          </cell>
          <cell r="BF64">
            <v>0</v>
          </cell>
          <cell r="BG64">
            <v>0</v>
          </cell>
          <cell r="BH64">
            <v>0</v>
          </cell>
          <cell r="BJ64">
            <v>0</v>
          </cell>
          <cell r="BL64">
            <v>0</v>
          </cell>
          <cell r="BM64">
            <v>0</v>
          </cell>
          <cell r="BN64">
            <v>0</v>
          </cell>
          <cell r="BO64">
            <v>0</v>
          </cell>
          <cell r="BQ64">
            <v>0</v>
          </cell>
          <cell r="BR64">
            <v>0</v>
          </cell>
          <cell r="BS64">
            <v>0</v>
          </cell>
          <cell r="BT64">
            <v>0</v>
          </cell>
          <cell r="CB64">
            <v>0</v>
          </cell>
          <cell r="CC64">
            <v>0</v>
          </cell>
          <cell r="CD64">
            <v>0</v>
          </cell>
          <cell r="CE64">
            <v>0</v>
          </cell>
          <cell r="CF64">
            <v>0</v>
          </cell>
          <cell r="CI64">
            <v>0</v>
          </cell>
          <cell r="CJ64">
            <v>0</v>
          </cell>
          <cell r="CK64">
            <v>0</v>
          </cell>
          <cell r="CV64">
            <v>3.9173976380473784E-2</v>
          </cell>
          <cell r="DG64">
            <v>1704201125</v>
          </cell>
          <cell r="DR64">
            <v>525945521.43999976</v>
          </cell>
          <cell r="EC64">
            <v>3.2402616916178388</v>
          </cell>
          <cell r="EN64">
            <v>2.4095909012463064E-2</v>
          </cell>
        </row>
        <row r="65">
          <cell r="B65">
            <v>21570</v>
          </cell>
          <cell r="C65" t="str">
            <v>University Of North Carolina Press</v>
          </cell>
          <cell r="D65">
            <v>1.5736830915027389E-4</v>
          </cell>
          <cell r="E65">
            <v>272283.86824125011</v>
          </cell>
          <cell r="F65">
            <v>212305.97644208046</v>
          </cell>
          <cell r="G65">
            <v>-47688</v>
          </cell>
          <cell r="H65">
            <v>-75976.874383210088</v>
          </cell>
          <cell r="I65">
            <v>-3144.0664149915406</v>
          </cell>
          <cell r="J65">
            <v>229769.49192131075</v>
          </cell>
          <cell r="K65">
            <v>0</v>
          </cell>
          <cell r="L65">
            <v>-12072.470542776728</v>
          </cell>
          <cell r="M65">
            <v>2166.4913472223575</v>
          </cell>
          <cell r="N65">
            <v>81.671005082809145</v>
          </cell>
          <cell r="O65">
            <v>-36.857231686085647</v>
          </cell>
          <cell r="P65">
            <v>0</v>
          </cell>
          <cell r="Q65">
            <v>0</v>
          </cell>
          <cell r="R65">
            <v>0</v>
          </cell>
          <cell r="S65">
            <v>577689.23038428195</v>
          </cell>
          <cell r="T65">
            <v>22111.889999999985</v>
          </cell>
          <cell r="U65">
            <v>1148847.4596065537</v>
          </cell>
          <cell r="V65">
            <v>8665.96538888943</v>
          </cell>
          <cell r="W65">
            <v>0</v>
          </cell>
          <cell r="X65">
            <v>1179625.314995443</v>
          </cell>
          <cell r="Y65">
            <v>260551</v>
          </cell>
          <cell r="Z65">
            <v>0</v>
          </cell>
          <cell r="AA65">
            <v>0</v>
          </cell>
          <cell r="AB65">
            <v>15720.332074957701</v>
          </cell>
          <cell r="AC65">
            <v>276271.33207495773</v>
          </cell>
          <cell r="AD65" t="str">
            <v>N/A</v>
          </cell>
          <cell r="AE65">
            <v>181104</v>
          </cell>
          <cell r="AF65">
            <v>181104</v>
          </cell>
          <cell r="AG65">
            <v>181104</v>
          </cell>
          <cell r="AH65">
            <v>181104</v>
          </cell>
          <cell r="AI65">
            <v>178937</v>
          </cell>
          <cell r="AJ65">
            <v>0</v>
          </cell>
          <cell r="AK65">
            <v>903353</v>
          </cell>
          <cell r="AL65">
            <v>5530128</v>
          </cell>
          <cell r="AM65">
            <v>577689.23038428195</v>
          </cell>
          <cell r="AN65">
            <v>-165114.88999999998</v>
          </cell>
          <cell r="AO65">
            <v>1141793.0929204854</v>
          </cell>
          <cell r="AP65">
            <v>0</v>
          </cell>
          <cell r="AQ65">
            <v>-238439.11000000002</v>
          </cell>
          <cell r="AR65">
            <v>0</v>
          </cell>
          <cell r="AS65">
            <v>0</v>
          </cell>
          <cell r="AT65">
            <v>6846056.3233047677</v>
          </cell>
          <cell r="AU65">
            <v>1.6679874902711403E-4</v>
          </cell>
          <cell r="AV65">
            <v>0</v>
          </cell>
          <cell r="AW65">
            <v>0</v>
          </cell>
          <cell r="AY65">
            <v>0</v>
          </cell>
          <cell r="AZ65">
            <v>0</v>
          </cell>
          <cell r="BA65">
            <v>0</v>
          </cell>
          <cell r="BB65">
            <v>0</v>
          </cell>
          <cell r="BC65">
            <v>0</v>
          </cell>
          <cell r="BD65">
            <v>0</v>
          </cell>
          <cell r="BE65">
            <v>0</v>
          </cell>
          <cell r="BF65">
            <v>0</v>
          </cell>
          <cell r="BG65">
            <v>0</v>
          </cell>
          <cell r="BH65">
            <v>0</v>
          </cell>
          <cell r="BJ65">
            <v>0</v>
          </cell>
          <cell r="BL65">
            <v>0</v>
          </cell>
          <cell r="BM65">
            <v>0</v>
          </cell>
          <cell r="BN65">
            <v>0</v>
          </cell>
          <cell r="BO65">
            <v>0</v>
          </cell>
          <cell r="BQ65">
            <v>0</v>
          </cell>
          <cell r="BR65">
            <v>0</v>
          </cell>
          <cell r="BS65">
            <v>0</v>
          </cell>
          <cell r="BT65">
            <v>0</v>
          </cell>
          <cell r="CB65">
            <v>0</v>
          </cell>
          <cell r="CC65">
            <v>0</v>
          </cell>
          <cell r="CD65">
            <v>0</v>
          </cell>
          <cell r="CE65">
            <v>0</v>
          </cell>
          <cell r="CF65">
            <v>0</v>
          </cell>
          <cell r="CI65">
            <v>0</v>
          </cell>
          <cell r="CJ65">
            <v>0</v>
          </cell>
          <cell r="CK65">
            <v>0</v>
          </cell>
          <cell r="CV65">
            <v>1.5736830915027389E-4</v>
          </cell>
          <cell r="DG65">
            <v>6846056</v>
          </cell>
          <cell r="DR65">
            <v>2811511.41</v>
          </cell>
          <cell r="EC65">
            <v>2.4350091469129054</v>
          </cell>
          <cell r="EN65">
            <v>2.4095909012463064E-2</v>
          </cell>
        </row>
        <row r="66">
          <cell r="B66">
            <v>21800</v>
          </cell>
          <cell r="C66" t="str">
            <v>Western Carolina University</v>
          </cell>
          <cell r="D66">
            <v>5.8611014472144491E-3</v>
          </cell>
          <cell r="E66">
            <v>10141072.130844343</v>
          </cell>
          <cell r="F66">
            <v>7907226.5089199431</v>
          </cell>
          <cell r="G66">
            <v>1043299</v>
          </cell>
          <cell r="H66">
            <v>-2829719.4702462624</v>
          </cell>
          <cell r="I66">
            <v>-117099.13078781523</v>
          </cell>
          <cell r="J66">
            <v>8557646.1289911438</v>
          </cell>
          <cell r="K66">
            <v>0</v>
          </cell>
          <cell r="L66">
            <v>-449632.93404998328</v>
          </cell>
          <cell r="M66">
            <v>80689.851973035838</v>
          </cell>
          <cell r="N66">
            <v>3041.7944290753549</v>
          </cell>
          <cell r="O66">
            <v>-1372.7285699520962</v>
          </cell>
          <cell r="P66">
            <v>0</v>
          </cell>
          <cell r="Q66">
            <v>0</v>
          </cell>
          <cell r="R66">
            <v>0</v>
          </cell>
          <cell r="S66">
            <v>24335151.151503529</v>
          </cell>
          <cell r="T66">
            <v>5488992</v>
          </cell>
          <cell r="U66">
            <v>42788230.644955724</v>
          </cell>
          <cell r="V66">
            <v>322759.40789214335</v>
          </cell>
          <cell r="W66">
            <v>0</v>
          </cell>
          <cell r="X66">
            <v>48599982.05284787</v>
          </cell>
          <cell r="Y66">
            <v>272497.79999999981</v>
          </cell>
          <cell r="Z66">
            <v>0</v>
          </cell>
          <cell r="AA66">
            <v>0</v>
          </cell>
          <cell r="AB66">
            <v>585495.65393907612</v>
          </cell>
          <cell r="AC66">
            <v>857993.45393907593</v>
          </cell>
          <cell r="AD66" t="str">
            <v>N/A</v>
          </cell>
          <cell r="AE66">
            <v>9564535</v>
          </cell>
          <cell r="AF66">
            <v>9564537</v>
          </cell>
          <cell r="AG66">
            <v>9564537</v>
          </cell>
          <cell r="AH66">
            <v>9564537</v>
          </cell>
          <cell r="AI66">
            <v>9483847</v>
          </cell>
          <cell r="AJ66">
            <v>0</v>
          </cell>
          <cell r="AK66">
            <v>47741993</v>
          </cell>
          <cell r="AL66">
            <v>187735057</v>
          </cell>
          <cell r="AM66">
            <v>24335151.151503529</v>
          </cell>
          <cell r="AN66">
            <v>-4834362.2</v>
          </cell>
          <cell r="AO66">
            <v>42525494.398908794</v>
          </cell>
          <cell r="AP66">
            <v>0</v>
          </cell>
          <cell r="AQ66">
            <v>5216494.2</v>
          </cell>
          <cell r="AR66">
            <v>0</v>
          </cell>
          <cell r="AS66">
            <v>0</v>
          </cell>
          <cell r="AT66">
            <v>254977834.55041233</v>
          </cell>
          <cell r="AU66">
            <v>5.6624318235166098E-3</v>
          </cell>
          <cell r="AV66">
            <v>0</v>
          </cell>
          <cell r="AW66">
            <v>0</v>
          </cell>
          <cell r="AY66">
            <v>0</v>
          </cell>
          <cell r="AZ66">
            <v>0</v>
          </cell>
          <cell r="BA66">
            <v>0</v>
          </cell>
          <cell r="BB66">
            <v>0</v>
          </cell>
          <cell r="BC66">
            <v>0</v>
          </cell>
          <cell r="BD66">
            <v>0</v>
          </cell>
          <cell r="BE66">
            <v>0</v>
          </cell>
          <cell r="BF66">
            <v>0</v>
          </cell>
          <cell r="BG66">
            <v>0</v>
          </cell>
          <cell r="BH66">
            <v>0</v>
          </cell>
          <cell r="BJ66">
            <v>0</v>
          </cell>
          <cell r="BL66">
            <v>0</v>
          </cell>
          <cell r="BM66">
            <v>0</v>
          </cell>
          <cell r="BN66">
            <v>0</v>
          </cell>
          <cell r="BO66">
            <v>0</v>
          </cell>
          <cell r="BQ66">
            <v>0</v>
          </cell>
          <cell r="BR66">
            <v>0</v>
          </cell>
          <cell r="BS66">
            <v>0</v>
          </cell>
          <cell r="BT66">
            <v>0</v>
          </cell>
          <cell r="CB66">
            <v>0</v>
          </cell>
          <cell r="CC66">
            <v>0</v>
          </cell>
          <cell r="CD66">
            <v>0</v>
          </cell>
          <cell r="CE66">
            <v>0</v>
          </cell>
          <cell r="CF66">
            <v>0</v>
          </cell>
          <cell r="CI66">
            <v>0</v>
          </cell>
          <cell r="CJ66">
            <v>0</v>
          </cell>
          <cell r="CK66">
            <v>0</v>
          </cell>
          <cell r="CV66">
            <v>5.8611014472144491E-3</v>
          </cell>
          <cell r="DG66">
            <v>254977835</v>
          </cell>
          <cell r="DR66">
            <v>84770573.239999905</v>
          </cell>
          <cell r="EC66">
            <v>3.0078578598037127</v>
          </cell>
          <cell r="EN66">
            <v>2.4095909012463064E-2</v>
          </cell>
        </row>
        <row r="67">
          <cell r="B67">
            <v>21900</v>
          </cell>
          <cell r="C67" t="str">
            <v>Winston-Salem State University</v>
          </cell>
          <cell r="D67">
            <v>3.375899071087787E-3</v>
          </cell>
          <cell r="E67">
            <v>5841092.5479923785</v>
          </cell>
          <cell r="F67">
            <v>4554433.815342024</v>
          </cell>
          <cell r="G67">
            <v>-1241208</v>
          </cell>
          <cell r="H67">
            <v>-1629872.3741735395</v>
          </cell>
          <cell r="I67">
            <v>-67447.194083229915</v>
          </cell>
          <cell r="J67">
            <v>4929064.9339109054</v>
          </cell>
          <cell r="K67">
            <v>0</v>
          </cell>
          <cell r="L67">
            <v>-258981.25430182074</v>
          </cell>
          <cell r="M67">
            <v>46476.041879712575</v>
          </cell>
          <cell r="N67">
            <v>1752.0240999131397</v>
          </cell>
          <cell r="O67">
            <v>-790.66932143947065</v>
          </cell>
          <cell r="P67">
            <v>0</v>
          </cell>
          <cell r="Q67">
            <v>0</v>
          </cell>
          <cell r="R67">
            <v>0</v>
          </cell>
          <cell r="S67">
            <v>12174519.871344903</v>
          </cell>
          <cell r="T67">
            <v>63977.5</v>
          </cell>
          <cell r="U67">
            <v>24645324.669554528</v>
          </cell>
          <cell r="V67">
            <v>185904.1675188503</v>
          </cell>
          <cell r="W67">
            <v>0</v>
          </cell>
          <cell r="X67">
            <v>24895206.337073378</v>
          </cell>
          <cell r="Y67">
            <v>6270020</v>
          </cell>
          <cell r="Z67">
            <v>0</v>
          </cell>
          <cell r="AA67">
            <v>0</v>
          </cell>
          <cell r="AB67">
            <v>337235.97041614959</v>
          </cell>
          <cell r="AC67">
            <v>6607255.9704161491</v>
          </cell>
          <cell r="AD67" t="str">
            <v>N/A</v>
          </cell>
          <cell r="AE67">
            <v>3666886</v>
          </cell>
          <cell r="AF67">
            <v>3666885</v>
          </cell>
          <cell r="AG67">
            <v>3666885</v>
          </cell>
          <cell r="AH67">
            <v>3666885</v>
          </cell>
          <cell r="AI67">
            <v>3620409</v>
          </cell>
          <cell r="AJ67">
            <v>0</v>
          </cell>
          <cell r="AK67">
            <v>18287950</v>
          </cell>
          <cell r="AL67">
            <v>119450246</v>
          </cell>
          <cell r="AM67">
            <v>12174519.871344903</v>
          </cell>
          <cell r="AN67">
            <v>-3049632.5</v>
          </cell>
          <cell r="AO67">
            <v>24493992.866657231</v>
          </cell>
          <cell r="AP67">
            <v>0</v>
          </cell>
          <cell r="AQ67">
            <v>-6206042.5</v>
          </cell>
          <cell r="AR67">
            <v>0</v>
          </cell>
          <cell r="AS67">
            <v>0</v>
          </cell>
          <cell r="AT67">
            <v>146863083.73800215</v>
          </cell>
          <cell r="AU67">
            <v>3.6028373334539257E-3</v>
          </cell>
          <cell r="AV67">
            <v>0</v>
          </cell>
          <cell r="AW67">
            <v>0</v>
          </cell>
          <cell r="AY67">
            <v>0</v>
          </cell>
          <cell r="AZ67">
            <v>0</v>
          </cell>
          <cell r="BA67">
            <v>0</v>
          </cell>
          <cell r="BB67">
            <v>0</v>
          </cell>
          <cell r="BC67">
            <v>0</v>
          </cell>
          <cell r="BD67">
            <v>0</v>
          </cell>
          <cell r="BE67">
            <v>0</v>
          </cell>
          <cell r="BF67">
            <v>0</v>
          </cell>
          <cell r="BG67">
            <v>0</v>
          </cell>
          <cell r="BH67">
            <v>0</v>
          </cell>
          <cell r="BJ67">
            <v>0</v>
          </cell>
          <cell r="BL67">
            <v>0</v>
          </cell>
          <cell r="BM67">
            <v>0</v>
          </cell>
          <cell r="BN67">
            <v>0</v>
          </cell>
          <cell r="BO67">
            <v>0</v>
          </cell>
          <cell r="BQ67">
            <v>0</v>
          </cell>
          <cell r="BR67">
            <v>0</v>
          </cell>
          <cell r="BS67">
            <v>0</v>
          </cell>
          <cell r="BT67">
            <v>0</v>
          </cell>
          <cell r="CB67">
            <v>0</v>
          </cell>
          <cell r="CC67">
            <v>0</v>
          </cell>
          <cell r="CD67">
            <v>0</v>
          </cell>
          <cell r="CE67">
            <v>0</v>
          </cell>
          <cell r="CF67">
            <v>0</v>
          </cell>
          <cell r="CI67">
            <v>0</v>
          </cell>
          <cell r="CJ67">
            <v>0</v>
          </cell>
          <cell r="CK67">
            <v>0</v>
          </cell>
          <cell r="CV67">
            <v>3.375899071087787E-3</v>
          </cell>
          <cell r="DG67">
            <v>146863084</v>
          </cell>
          <cell r="DR67">
            <v>53762735.439999938</v>
          </cell>
          <cell r="EC67">
            <v>2.7316892043914232</v>
          </cell>
          <cell r="EN67">
            <v>2.4095909012463064E-2</v>
          </cell>
        </row>
        <row r="68">
          <cell r="B68">
            <v>22000</v>
          </cell>
          <cell r="C68" t="str">
            <v>Department Of Public Instruction</v>
          </cell>
          <cell r="D68">
            <v>3.3172261313166723E-3</v>
          </cell>
          <cell r="E68">
            <v>5739574.6814776557</v>
          </cell>
          <cell r="F68">
            <v>4475278.0066782935</v>
          </cell>
          <cell r="G68">
            <v>-1917823</v>
          </cell>
          <cell r="H68">
            <v>-1601545.2821513026</v>
          </cell>
          <cell r="I68">
            <v>-66274.9655678493</v>
          </cell>
          <cell r="J68">
            <v>4843398.0570566515</v>
          </cell>
          <cell r="K68">
            <v>0</v>
          </cell>
          <cell r="L68">
            <v>-254480.17437747269</v>
          </cell>
          <cell r="M68">
            <v>45668.290833669147</v>
          </cell>
          <cell r="N68">
            <v>1721.5740176307265</v>
          </cell>
          <cell r="O68">
            <v>-776.92753221567784</v>
          </cell>
          <cell r="P68">
            <v>0</v>
          </cell>
          <cell r="Q68">
            <v>0</v>
          </cell>
          <cell r="R68">
            <v>0</v>
          </cell>
          <cell r="S68">
            <v>11264740.26043506</v>
          </cell>
          <cell r="T68">
            <v>522088.59000000032</v>
          </cell>
          <cell r="U68">
            <v>24216990.285283256</v>
          </cell>
          <cell r="V68">
            <v>182673.16333467659</v>
          </cell>
          <cell r="W68">
            <v>0</v>
          </cell>
          <cell r="X68">
            <v>24921752.038617931</v>
          </cell>
          <cell r="Y68">
            <v>10111207</v>
          </cell>
          <cell r="Z68">
            <v>0</v>
          </cell>
          <cell r="AA68">
            <v>0</v>
          </cell>
          <cell r="AB68">
            <v>331374.82783924654</v>
          </cell>
          <cell r="AC68">
            <v>10442581.827839246</v>
          </cell>
          <cell r="AD68" t="str">
            <v>N/A</v>
          </cell>
          <cell r="AE68">
            <v>2904968</v>
          </cell>
          <cell r="AF68">
            <v>2904967</v>
          </cell>
          <cell r="AG68">
            <v>2904967</v>
          </cell>
          <cell r="AH68">
            <v>2904967</v>
          </cell>
          <cell r="AI68">
            <v>2859299</v>
          </cell>
          <cell r="AJ68">
            <v>0</v>
          </cell>
          <cell r="AK68">
            <v>14479168</v>
          </cell>
          <cell r="AL68">
            <v>122114399</v>
          </cell>
          <cell r="AM68">
            <v>11264740.26043506</v>
          </cell>
          <cell r="AN68">
            <v>-3547697.5900000003</v>
          </cell>
          <cell r="AO68">
            <v>24068288.620778687</v>
          </cell>
          <cell r="AP68">
            <v>0</v>
          </cell>
          <cell r="AQ68">
            <v>-9589118.4100000001</v>
          </cell>
          <cell r="AR68">
            <v>0</v>
          </cell>
          <cell r="AS68">
            <v>0</v>
          </cell>
          <cell r="AT68">
            <v>144310611.88121375</v>
          </cell>
          <cell r="AU68">
            <v>3.6831930488218484E-3</v>
          </cell>
          <cell r="AV68">
            <v>0</v>
          </cell>
          <cell r="AW68">
            <v>0</v>
          </cell>
          <cell r="AY68">
            <v>0</v>
          </cell>
          <cell r="AZ68">
            <v>0</v>
          </cell>
          <cell r="BA68">
            <v>0</v>
          </cell>
          <cell r="BB68">
            <v>0</v>
          </cell>
          <cell r="BC68">
            <v>0</v>
          </cell>
          <cell r="BD68">
            <v>0</v>
          </cell>
          <cell r="BE68">
            <v>0</v>
          </cell>
          <cell r="BF68">
            <v>0</v>
          </cell>
          <cell r="BG68">
            <v>0</v>
          </cell>
          <cell r="BH68">
            <v>0</v>
          </cell>
          <cell r="BJ68">
            <v>0</v>
          </cell>
          <cell r="BL68">
            <v>0</v>
          </cell>
          <cell r="BM68">
            <v>0</v>
          </cell>
          <cell r="BN68">
            <v>0</v>
          </cell>
          <cell r="BO68">
            <v>0</v>
          </cell>
          <cell r="BQ68">
            <v>0</v>
          </cell>
          <cell r="BR68">
            <v>0</v>
          </cell>
          <cell r="BS68">
            <v>0</v>
          </cell>
          <cell r="BT68">
            <v>0</v>
          </cell>
          <cell r="CB68">
            <v>0</v>
          </cell>
          <cell r="CC68">
            <v>0</v>
          </cell>
          <cell r="CD68">
            <v>0</v>
          </cell>
          <cell r="CE68">
            <v>0</v>
          </cell>
          <cell r="CF68">
            <v>0</v>
          </cell>
          <cell r="CI68">
            <v>0</v>
          </cell>
          <cell r="CJ68">
            <v>0</v>
          </cell>
          <cell r="CK68">
            <v>0</v>
          </cell>
          <cell r="CV68">
            <v>3.3172261313166723E-3</v>
          </cell>
          <cell r="DG68">
            <v>144310612</v>
          </cell>
          <cell r="DR68">
            <v>61444720.999999948</v>
          </cell>
          <cell r="EC68">
            <v>2.3486250674000151</v>
          </cell>
          <cell r="EN68">
            <v>2.4095909012463064E-2</v>
          </cell>
        </row>
        <row r="69">
          <cell r="B69">
            <v>23000</v>
          </cell>
          <cell r="C69" t="str">
            <v>University Of North Carolina At Asheville</v>
          </cell>
          <cell r="D69">
            <v>2.5507239281802501E-3</v>
          </cell>
          <cell r="E69">
            <v>4413347.1454994427</v>
          </cell>
          <cell r="F69">
            <v>3441187.9820692898</v>
          </cell>
          <cell r="G69">
            <v>253446</v>
          </cell>
          <cell r="H69">
            <v>-1231480.6743747857</v>
          </cell>
          <cell r="I69">
            <v>-50960.993860896808</v>
          </cell>
          <cell r="J69">
            <v>3724247.5576823335</v>
          </cell>
          <cell r="K69">
            <v>0</v>
          </cell>
          <cell r="L69">
            <v>-195678.14925371343</v>
          </cell>
          <cell r="M69">
            <v>35115.846064524587</v>
          </cell>
          <cell r="N69">
            <v>1323.7747042469862</v>
          </cell>
          <cell r="O69">
            <v>-597.40505121909632</v>
          </cell>
          <cell r="P69">
            <v>0</v>
          </cell>
          <cell r="Q69">
            <v>0</v>
          </cell>
          <cell r="R69">
            <v>0</v>
          </cell>
          <cell r="S69">
            <v>10389951.083479226</v>
          </cell>
          <cell r="T69">
            <v>1292965</v>
          </cell>
          <cell r="U69">
            <v>18621237.788411669</v>
          </cell>
          <cell r="V69">
            <v>140463.38425809835</v>
          </cell>
          <cell r="W69">
            <v>0</v>
          </cell>
          <cell r="X69">
            <v>20054666.172669768</v>
          </cell>
          <cell r="Y69">
            <v>25737.870000000112</v>
          </cell>
          <cell r="Z69">
            <v>0</v>
          </cell>
          <cell r="AA69">
            <v>0</v>
          </cell>
          <cell r="AB69">
            <v>254804.96930448402</v>
          </cell>
          <cell r="AC69">
            <v>280542.83930448414</v>
          </cell>
          <cell r="AD69" t="str">
            <v>N/A</v>
          </cell>
          <cell r="AE69">
            <v>3961847</v>
          </cell>
          <cell r="AF69">
            <v>3961848</v>
          </cell>
          <cell r="AG69">
            <v>3961848</v>
          </cell>
          <cell r="AH69">
            <v>3961848</v>
          </cell>
          <cell r="AI69">
            <v>3926733</v>
          </cell>
          <cell r="AJ69">
            <v>0</v>
          </cell>
          <cell r="AK69">
            <v>19774124</v>
          </cell>
          <cell r="AL69">
            <v>83016401</v>
          </cell>
          <cell r="AM69">
            <v>10389951.083479226</v>
          </cell>
          <cell r="AN69">
            <v>-2215314.13</v>
          </cell>
          <cell r="AO69">
            <v>18506896.203365285</v>
          </cell>
          <cell r="AP69">
            <v>0</v>
          </cell>
          <cell r="AQ69">
            <v>1267227.1299999999</v>
          </cell>
          <cell r="AR69">
            <v>0</v>
          </cell>
          <cell r="AS69">
            <v>0</v>
          </cell>
          <cell r="AT69">
            <v>110965161.28684451</v>
          </cell>
          <cell r="AU69">
            <v>2.5039261020446458E-3</v>
          </cell>
          <cell r="AV69">
            <v>0</v>
          </cell>
          <cell r="AW69">
            <v>0</v>
          </cell>
          <cell r="AY69">
            <v>0</v>
          </cell>
          <cell r="AZ69">
            <v>0</v>
          </cell>
          <cell r="BA69">
            <v>0</v>
          </cell>
          <cell r="BB69">
            <v>0</v>
          </cell>
          <cell r="BC69">
            <v>0</v>
          </cell>
          <cell r="BD69">
            <v>0</v>
          </cell>
          <cell r="BE69">
            <v>0</v>
          </cell>
          <cell r="BF69">
            <v>0</v>
          </cell>
          <cell r="BG69">
            <v>0</v>
          </cell>
          <cell r="BH69">
            <v>0</v>
          </cell>
          <cell r="BJ69">
            <v>0</v>
          </cell>
          <cell r="BL69">
            <v>0</v>
          </cell>
          <cell r="BM69">
            <v>0</v>
          </cell>
          <cell r="BN69">
            <v>0</v>
          </cell>
          <cell r="BO69">
            <v>0</v>
          </cell>
          <cell r="BQ69">
            <v>0</v>
          </cell>
          <cell r="BR69">
            <v>0</v>
          </cell>
          <cell r="BS69">
            <v>0</v>
          </cell>
          <cell r="BT69">
            <v>0</v>
          </cell>
          <cell r="CB69">
            <v>0</v>
          </cell>
          <cell r="CC69">
            <v>0</v>
          </cell>
          <cell r="CD69">
            <v>0</v>
          </cell>
          <cell r="CE69">
            <v>0</v>
          </cell>
          <cell r="CF69">
            <v>0</v>
          </cell>
          <cell r="CI69">
            <v>0</v>
          </cell>
          <cell r="CJ69">
            <v>0</v>
          </cell>
          <cell r="CK69">
            <v>0</v>
          </cell>
          <cell r="CV69">
            <v>2.5507239281802501E-3</v>
          </cell>
          <cell r="DG69">
            <v>110965161</v>
          </cell>
          <cell r="DR69">
            <v>37896518.979999989</v>
          </cell>
          <cell r="EC69">
            <v>2.9281095991577017</v>
          </cell>
          <cell r="EN69">
            <v>2.4095909012463064E-2</v>
          </cell>
        </row>
        <row r="70">
          <cell r="B70">
            <v>23100</v>
          </cell>
          <cell r="C70" t="str">
            <v>University Of North Carolina At Charlotte</v>
          </cell>
          <cell r="D70">
            <v>1.4787953680502413E-2</v>
          </cell>
          <cell r="E70">
            <v>25586607.959640902</v>
          </cell>
          <cell r="F70">
            <v>19950465.012121905</v>
          </cell>
          <cell r="G70">
            <v>1673013</v>
          </cell>
          <cell r="H70">
            <v>-7139572.797311876</v>
          </cell>
          <cell r="I70">
            <v>-295448.99328440969</v>
          </cell>
          <cell r="J70">
            <v>21591517.517547164</v>
          </cell>
          <cell r="K70">
            <v>0</v>
          </cell>
          <cell r="L70">
            <v>-1134454.1741586181</v>
          </cell>
          <cell r="M70">
            <v>203585.93076919852</v>
          </cell>
          <cell r="N70">
            <v>7674.652201107142</v>
          </cell>
          <cell r="O70">
            <v>-3463.48663151047</v>
          </cell>
          <cell r="P70">
            <v>0</v>
          </cell>
          <cell r="Q70">
            <v>0</v>
          </cell>
          <cell r="R70">
            <v>0</v>
          </cell>
          <cell r="S70">
            <v>60439924.620893866</v>
          </cell>
          <cell r="T70">
            <v>8788706</v>
          </cell>
          <cell r="U70">
            <v>107957587.58773582</v>
          </cell>
          <cell r="V70">
            <v>814343.72307679406</v>
          </cell>
          <cell r="W70">
            <v>0</v>
          </cell>
          <cell r="X70">
            <v>117560637.31081261</v>
          </cell>
          <cell r="Y70">
            <v>423641.47000000067</v>
          </cell>
          <cell r="Z70">
            <v>0</v>
          </cell>
          <cell r="AA70">
            <v>0</v>
          </cell>
          <cell r="AB70">
            <v>1477244.9664220484</v>
          </cell>
          <cell r="AC70">
            <v>1900886.4364220491</v>
          </cell>
          <cell r="AD70" t="str">
            <v>N/A</v>
          </cell>
          <cell r="AE70">
            <v>23172667</v>
          </cell>
          <cell r="AF70">
            <v>23172667</v>
          </cell>
          <cell r="AG70">
            <v>23172667</v>
          </cell>
          <cell r="AH70">
            <v>23172667</v>
          </cell>
          <cell r="AI70">
            <v>22969082</v>
          </cell>
          <cell r="AJ70">
            <v>0</v>
          </cell>
          <cell r="AK70">
            <v>115659750</v>
          </cell>
          <cell r="AL70">
            <v>479740661</v>
          </cell>
          <cell r="AM70">
            <v>60439924.620893866</v>
          </cell>
          <cell r="AN70">
            <v>-12514087.529999999</v>
          </cell>
          <cell r="AO70">
            <v>107294686.34439057</v>
          </cell>
          <cell r="AP70">
            <v>0</v>
          </cell>
          <cell r="AQ70">
            <v>8365064.5299999993</v>
          </cell>
          <cell r="AR70">
            <v>0</v>
          </cell>
          <cell r="AS70">
            <v>0</v>
          </cell>
          <cell r="AT70">
            <v>643326248.96528435</v>
          </cell>
          <cell r="AU70">
            <v>1.4469853589673579E-2</v>
          </cell>
          <cell r="AV70">
            <v>0</v>
          </cell>
          <cell r="AW70">
            <v>0</v>
          </cell>
          <cell r="AY70">
            <v>0</v>
          </cell>
          <cell r="AZ70">
            <v>0</v>
          </cell>
          <cell r="BA70">
            <v>0</v>
          </cell>
          <cell r="BB70">
            <v>0</v>
          </cell>
          <cell r="BC70">
            <v>0</v>
          </cell>
          <cell r="BD70">
            <v>0</v>
          </cell>
          <cell r="BE70">
            <v>0</v>
          </cell>
          <cell r="BF70">
            <v>0</v>
          </cell>
          <cell r="BG70">
            <v>0</v>
          </cell>
          <cell r="BH70">
            <v>0</v>
          </cell>
          <cell r="BJ70">
            <v>0</v>
          </cell>
          <cell r="BL70">
            <v>0</v>
          </cell>
          <cell r="BM70">
            <v>0</v>
          </cell>
          <cell r="BN70">
            <v>0</v>
          </cell>
          <cell r="BO70">
            <v>0</v>
          </cell>
          <cell r="BQ70">
            <v>0</v>
          </cell>
          <cell r="BR70">
            <v>0</v>
          </cell>
          <cell r="BS70">
            <v>0</v>
          </cell>
          <cell r="BT70">
            <v>0</v>
          </cell>
          <cell r="CB70">
            <v>0</v>
          </cell>
          <cell r="CC70">
            <v>0</v>
          </cell>
          <cell r="CD70">
            <v>0</v>
          </cell>
          <cell r="CE70">
            <v>0</v>
          </cell>
          <cell r="CF70">
            <v>0</v>
          </cell>
          <cell r="CI70">
            <v>0</v>
          </cell>
          <cell r="CJ70">
            <v>0</v>
          </cell>
          <cell r="CK70">
            <v>0</v>
          </cell>
          <cell r="CV70">
            <v>1.4787953680502413E-2</v>
          </cell>
          <cell r="DG70">
            <v>643326249</v>
          </cell>
          <cell r="DR70">
            <v>214830271.9000006</v>
          </cell>
          <cell r="EC70">
            <v>2.9945791312848877</v>
          </cell>
          <cell r="EN70">
            <v>2.4095909012463064E-2</v>
          </cell>
        </row>
        <row r="71">
          <cell r="B71">
            <v>23200</v>
          </cell>
          <cell r="C71" t="str">
            <v>University Of North Carolina At Wilmington</v>
          </cell>
          <cell r="D71">
            <v>7.7945945589833572E-3</v>
          </cell>
          <cell r="E71">
            <v>13486466.044859931</v>
          </cell>
          <cell r="F71">
            <v>10515706.864682984</v>
          </cell>
          <cell r="G71">
            <v>1707341</v>
          </cell>
          <cell r="H71">
            <v>-3763203.2451363518</v>
          </cell>
          <cell r="I71">
            <v>-155728.45068808264</v>
          </cell>
          <cell r="J71">
            <v>11380690.567374645</v>
          </cell>
          <cell r="K71">
            <v>0</v>
          </cell>
          <cell r="L71">
            <v>-597960.3753406062</v>
          </cell>
          <cell r="M71">
            <v>107308.27419018831</v>
          </cell>
          <cell r="N71">
            <v>4045.2386842211827</v>
          </cell>
          <cell r="O71">
            <v>-1825.5719916594921</v>
          </cell>
          <cell r="P71">
            <v>0</v>
          </cell>
          <cell r="Q71">
            <v>0</v>
          </cell>
          <cell r="R71">
            <v>0</v>
          </cell>
          <cell r="S71">
            <v>32682840.346635271</v>
          </cell>
          <cell r="T71">
            <v>8768783</v>
          </cell>
          <cell r="U71">
            <v>56903452.836873226</v>
          </cell>
          <cell r="V71">
            <v>429233.09676075325</v>
          </cell>
          <cell r="W71">
            <v>0</v>
          </cell>
          <cell r="X71">
            <v>66101468.933633976</v>
          </cell>
          <cell r="Y71">
            <v>232081.92000000086</v>
          </cell>
          <cell r="Z71">
            <v>0</v>
          </cell>
          <cell r="AA71">
            <v>0</v>
          </cell>
          <cell r="AB71">
            <v>778642.25344041316</v>
          </cell>
          <cell r="AC71">
            <v>1010724.173440414</v>
          </cell>
          <cell r="AD71" t="str">
            <v>N/A</v>
          </cell>
          <cell r="AE71">
            <v>13039611</v>
          </cell>
          <cell r="AF71">
            <v>13039611</v>
          </cell>
          <cell r="AG71">
            <v>13039611</v>
          </cell>
          <cell r="AH71">
            <v>13039611</v>
          </cell>
          <cell r="AI71">
            <v>12932303</v>
          </cell>
          <cell r="AJ71">
            <v>0</v>
          </cell>
          <cell r="AK71">
            <v>65090747</v>
          </cell>
          <cell r="AL71">
            <v>247903292</v>
          </cell>
          <cell r="AM71">
            <v>32682840.346635271</v>
          </cell>
          <cell r="AN71">
            <v>-6585519.0799999991</v>
          </cell>
          <cell r="AO71">
            <v>56554043.680193573</v>
          </cell>
          <cell r="AP71">
            <v>0</v>
          </cell>
          <cell r="AQ71">
            <v>8536701.0799999982</v>
          </cell>
          <cell r="AR71">
            <v>0</v>
          </cell>
          <cell r="AS71">
            <v>0</v>
          </cell>
          <cell r="AT71">
            <v>339091358.02682883</v>
          </cell>
          <cell r="AU71">
            <v>7.47721556569761E-3</v>
          </cell>
          <cell r="AV71">
            <v>0</v>
          </cell>
          <cell r="AW71">
            <v>0</v>
          </cell>
          <cell r="AY71">
            <v>0</v>
          </cell>
          <cell r="AZ71">
            <v>0</v>
          </cell>
          <cell r="BA71">
            <v>0</v>
          </cell>
          <cell r="BB71">
            <v>0</v>
          </cell>
          <cell r="BC71">
            <v>0</v>
          </cell>
          <cell r="BD71">
            <v>0</v>
          </cell>
          <cell r="BE71">
            <v>0</v>
          </cell>
          <cell r="BF71">
            <v>0</v>
          </cell>
          <cell r="BG71">
            <v>0</v>
          </cell>
          <cell r="BH71">
            <v>0</v>
          </cell>
          <cell r="BJ71">
            <v>0</v>
          </cell>
          <cell r="BL71">
            <v>0</v>
          </cell>
          <cell r="BM71">
            <v>0</v>
          </cell>
          <cell r="BN71">
            <v>0</v>
          </cell>
          <cell r="BO71">
            <v>0</v>
          </cell>
          <cell r="BQ71">
            <v>0</v>
          </cell>
          <cell r="BR71">
            <v>0</v>
          </cell>
          <cell r="BS71">
            <v>0</v>
          </cell>
          <cell r="BT71">
            <v>0</v>
          </cell>
          <cell r="CB71">
            <v>0</v>
          </cell>
          <cell r="CC71">
            <v>0</v>
          </cell>
          <cell r="CD71">
            <v>0</v>
          </cell>
          <cell r="CE71">
            <v>0</v>
          </cell>
          <cell r="CF71">
            <v>0</v>
          </cell>
          <cell r="CI71">
            <v>0</v>
          </cell>
          <cell r="CJ71">
            <v>0</v>
          </cell>
          <cell r="CK71">
            <v>0</v>
          </cell>
          <cell r="CV71">
            <v>7.7945945589833572E-3</v>
          </cell>
          <cell r="DG71">
            <v>339091357</v>
          </cell>
          <cell r="DR71">
            <v>113827268.77999999</v>
          </cell>
          <cell r="EC71">
            <v>2.9789993262104875</v>
          </cell>
          <cell r="EN71">
            <v>2.4095909012463064E-2</v>
          </cell>
        </row>
        <row r="72">
          <cell r="B72">
            <v>30000</v>
          </cell>
          <cell r="C72" t="str">
            <v>Yancey County Schools</v>
          </cell>
          <cell r="D72">
            <v>8.7413810180883708E-4</v>
          </cell>
          <cell r="E72">
            <v>1512462.7380363487</v>
          </cell>
          <cell r="F72">
            <v>1179301.8826461027</v>
          </cell>
          <cell r="G72">
            <v>-89839</v>
          </cell>
          <cell r="H72">
            <v>-422030.84670171747</v>
          </cell>
          <cell r="I72">
            <v>-17464.432723472757</v>
          </cell>
          <cell r="J72">
            <v>1276306.9553596072</v>
          </cell>
          <cell r="K72">
            <v>0</v>
          </cell>
          <cell r="L72">
            <v>-67059.286214536944</v>
          </cell>
          <cell r="M72">
            <v>12034.269441363733</v>
          </cell>
          <cell r="N72">
            <v>453.66019207675026</v>
          </cell>
          <cell r="O72">
            <v>-204.73188482464772</v>
          </cell>
          <cell r="P72">
            <v>0</v>
          </cell>
          <cell r="Q72">
            <v>0</v>
          </cell>
          <cell r="R72">
            <v>0</v>
          </cell>
          <cell r="S72">
            <v>3383961.208150947</v>
          </cell>
          <cell r="T72">
            <v>0</v>
          </cell>
          <cell r="U72">
            <v>6381534.7767980359</v>
          </cell>
          <cell r="V72">
            <v>48137.077765454931</v>
          </cell>
          <cell r="W72">
            <v>0</v>
          </cell>
          <cell r="X72">
            <v>6429671.8545634905</v>
          </cell>
          <cell r="Y72">
            <v>449197.74</v>
          </cell>
          <cell r="Z72">
            <v>0</v>
          </cell>
          <cell r="AA72">
            <v>0</v>
          </cell>
          <cell r="AB72">
            <v>87322.163617363782</v>
          </cell>
          <cell r="AC72">
            <v>536519.90361736377</v>
          </cell>
          <cell r="AD72" t="str">
            <v>N/A</v>
          </cell>
          <cell r="AE72">
            <v>1181038</v>
          </cell>
          <cell r="AF72">
            <v>1181037</v>
          </cell>
          <cell r="AG72">
            <v>1181037</v>
          </cell>
          <cell r="AH72">
            <v>1181037</v>
          </cell>
          <cell r="AI72">
            <v>1169003</v>
          </cell>
          <cell r="AJ72">
            <v>0</v>
          </cell>
          <cell r="AK72">
            <v>5893152</v>
          </cell>
          <cell r="AL72">
            <v>29498154</v>
          </cell>
          <cell r="AM72">
            <v>3383961.208150947</v>
          </cell>
          <cell r="AN72">
            <v>-747288.26</v>
          </cell>
          <cell r="AO72">
            <v>6342349.6909461282</v>
          </cell>
          <cell r="AP72">
            <v>0</v>
          </cell>
          <cell r="AQ72">
            <v>-449197.74</v>
          </cell>
          <cell r="AR72">
            <v>0</v>
          </cell>
          <cell r="AS72">
            <v>0</v>
          </cell>
          <cell r="AT72">
            <v>38027978.89909707</v>
          </cell>
          <cell r="AU72">
            <v>8.8971815419173334E-4</v>
          </cell>
          <cell r="AV72">
            <v>0</v>
          </cell>
          <cell r="AW72">
            <v>0</v>
          </cell>
          <cell r="AY72">
            <v>0</v>
          </cell>
          <cell r="AZ72">
            <v>0</v>
          </cell>
          <cell r="BA72">
            <v>0</v>
          </cell>
          <cell r="BB72">
            <v>0</v>
          </cell>
          <cell r="BC72">
            <v>0</v>
          </cell>
          <cell r="BD72">
            <v>0</v>
          </cell>
          <cell r="BE72">
            <v>0</v>
          </cell>
          <cell r="BF72">
            <v>0</v>
          </cell>
          <cell r="BG72">
            <v>0</v>
          </cell>
          <cell r="BH72">
            <v>0</v>
          </cell>
          <cell r="BJ72">
            <v>0</v>
          </cell>
          <cell r="BL72">
            <v>0</v>
          </cell>
          <cell r="BM72">
            <v>0</v>
          </cell>
          <cell r="BN72">
            <v>0</v>
          </cell>
          <cell r="BO72">
            <v>0</v>
          </cell>
          <cell r="BQ72">
            <v>0</v>
          </cell>
          <cell r="BR72">
            <v>0</v>
          </cell>
          <cell r="BS72">
            <v>0</v>
          </cell>
          <cell r="BT72">
            <v>0</v>
          </cell>
          <cell r="CB72">
            <v>0</v>
          </cell>
          <cell r="CC72">
            <v>0</v>
          </cell>
          <cell r="CD72">
            <v>0</v>
          </cell>
          <cell r="CE72">
            <v>0</v>
          </cell>
          <cell r="CF72">
            <v>0</v>
          </cell>
          <cell r="CI72">
            <v>0</v>
          </cell>
          <cell r="CJ72">
            <v>0</v>
          </cell>
          <cell r="CK72">
            <v>0</v>
          </cell>
          <cell r="CV72">
            <v>8.7413810180883708E-4</v>
          </cell>
          <cell r="DG72">
            <v>38027979</v>
          </cell>
          <cell r="DR72">
            <v>13112906.86999999</v>
          </cell>
          <cell r="EC72">
            <v>2.9000418730191155</v>
          </cell>
          <cell r="EN72">
            <v>2.4095909012463064E-2</v>
          </cell>
        </row>
        <row r="73">
          <cell r="B73">
            <v>30100</v>
          </cell>
          <cell r="C73" t="str">
            <v>Alamance County Schools</v>
          </cell>
          <cell r="D73">
            <v>7.7277866075530473E-3</v>
          </cell>
          <cell r="E73">
            <v>13370872.711342268</v>
          </cell>
          <cell r="F73">
            <v>10425576.091599805</v>
          </cell>
          <cell r="G73">
            <v>1425662</v>
          </cell>
          <cell r="H73">
            <v>-3730948.5976725272</v>
          </cell>
          <cell r="I73">
            <v>-154393.69251802537</v>
          </cell>
          <cell r="J73">
            <v>11283145.965546411</v>
          </cell>
          <cell r="K73">
            <v>0</v>
          </cell>
          <cell r="L73">
            <v>-592835.22002807446</v>
          </cell>
          <cell r="M73">
            <v>106388.5283437663</v>
          </cell>
          <cell r="N73">
            <v>4010.5666935878803</v>
          </cell>
          <cell r="O73">
            <v>-1809.9249013549993</v>
          </cell>
          <cell r="P73">
            <v>0</v>
          </cell>
          <cell r="Q73">
            <v>0</v>
          </cell>
          <cell r="R73">
            <v>0</v>
          </cell>
          <cell r="S73">
            <v>32135668.428405862</v>
          </cell>
          <cell r="T73">
            <v>7473060</v>
          </cell>
          <cell r="U73">
            <v>56415729.827732056</v>
          </cell>
          <cell r="V73">
            <v>425554.11337506521</v>
          </cell>
          <cell r="W73">
            <v>0</v>
          </cell>
          <cell r="X73">
            <v>64314343.941107124</v>
          </cell>
          <cell r="Y73">
            <v>344752.54999999981</v>
          </cell>
          <cell r="Z73">
            <v>0</v>
          </cell>
          <cell r="AA73">
            <v>0</v>
          </cell>
          <cell r="AB73">
            <v>771968.4625901269</v>
          </cell>
          <cell r="AC73">
            <v>1116721.0125901266</v>
          </cell>
          <cell r="AD73" t="str">
            <v>N/A</v>
          </cell>
          <cell r="AE73">
            <v>12660802</v>
          </cell>
          <cell r="AF73">
            <v>12660803</v>
          </cell>
          <cell r="AG73">
            <v>12660803</v>
          </cell>
          <cell r="AH73">
            <v>12660803</v>
          </cell>
          <cell r="AI73">
            <v>12554414</v>
          </cell>
          <cell r="AJ73">
            <v>0</v>
          </cell>
          <cell r="AK73">
            <v>63197625</v>
          </cell>
          <cell r="AL73">
            <v>247243176</v>
          </cell>
          <cell r="AM73">
            <v>32135668.428405862</v>
          </cell>
          <cell r="AN73">
            <v>-6391482.4500000002</v>
          </cell>
          <cell r="AO73">
            <v>56069315.478516996</v>
          </cell>
          <cell r="AP73">
            <v>0</v>
          </cell>
          <cell r="AQ73">
            <v>7128307.4500000002</v>
          </cell>
          <cell r="AR73">
            <v>0</v>
          </cell>
          <cell r="AS73">
            <v>0</v>
          </cell>
          <cell r="AT73">
            <v>336184984.90692288</v>
          </cell>
          <cell r="AU73">
            <v>7.4573052725717048E-3</v>
          </cell>
          <cell r="AV73">
            <v>0</v>
          </cell>
          <cell r="AW73">
            <v>0</v>
          </cell>
          <cell r="AY73">
            <v>0</v>
          </cell>
          <cell r="AZ73">
            <v>0</v>
          </cell>
          <cell r="BA73">
            <v>0</v>
          </cell>
          <cell r="BB73">
            <v>0</v>
          </cell>
          <cell r="BC73">
            <v>0</v>
          </cell>
          <cell r="BD73">
            <v>0</v>
          </cell>
          <cell r="BE73">
            <v>0</v>
          </cell>
          <cell r="BF73">
            <v>0</v>
          </cell>
          <cell r="BG73">
            <v>0</v>
          </cell>
          <cell r="BH73">
            <v>0</v>
          </cell>
          <cell r="BJ73">
            <v>0</v>
          </cell>
          <cell r="BL73">
            <v>0</v>
          </cell>
          <cell r="BM73">
            <v>0</v>
          </cell>
          <cell r="BN73">
            <v>0</v>
          </cell>
          <cell r="BO73">
            <v>0</v>
          </cell>
          <cell r="BQ73">
            <v>0</v>
          </cell>
          <cell r="BR73">
            <v>0</v>
          </cell>
          <cell r="BS73">
            <v>0</v>
          </cell>
          <cell r="BT73">
            <v>0</v>
          </cell>
          <cell r="CB73">
            <v>0</v>
          </cell>
          <cell r="CC73">
            <v>0</v>
          </cell>
          <cell r="CD73">
            <v>0</v>
          </cell>
          <cell r="CE73">
            <v>0</v>
          </cell>
          <cell r="CF73">
            <v>0</v>
          </cell>
          <cell r="CI73">
            <v>0</v>
          </cell>
          <cell r="CJ73">
            <v>0</v>
          </cell>
          <cell r="CK73">
            <v>0</v>
          </cell>
          <cell r="CV73">
            <v>7.7277866075530473E-3</v>
          </cell>
          <cell r="DG73">
            <v>336184984</v>
          </cell>
          <cell r="DR73">
            <v>110519985.77999982</v>
          </cell>
          <cell r="EC73">
            <v>3.0418478759959946</v>
          </cell>
          <cell r="EN73">
            <v>2.4095909012463064E-2</v>
          </cell>
        </row>
        <row r="74">
          <cell r="B74">
            <v>30102</v>
          </cell>
          <cell r="C74" t="str">
            <v>Clover Garden Charter School</v>
          </cell>
          <cell r="D74">
            <v>1.4425642015125479E-4</v>
          </cell>
          <cell r="E74">
            <v>249597.24298690105</v>
          </cell>
          <cell r="F74">
            <v>194616.69445151981</v>
          </cell>
          <cell r="G74">
            <v>145691</v>
          </cell>
          <cell r="H74">
            <v>-69646.499806625055</v>
          </cell>
          <cell r="I74">
            <v>-2882.1035708743884</v>
          </cell>
          <cell r="J74">
            <v>210625.15409560309</v>
          </cell>
          <cell r="K74">
            <v>0</v>
          </cell>
          <cell r="L74">
            <v>-11066.595252157322</v>
          </cell>
          <cell r="M74">
            <v>1985.9798184685681</v>
          </cell>
          <cell r="N74">
            <v>74.866196930098212</v>
          </cell>
          <cell r="O74">
            <v>-33.786296163625387</v>
          </cell>
          <cell r="P74">
            <v>0</v>
          </cell>
          <cell r="Q74">
            <v>0</v>
          </cell>
          <cell r="R74">
            <v>0</v>
          </cell>
          <cell r="S74">
            <v>718961.95262360224</v>
          </cell>
          <cell r="T74">
            <v>741587</v>
          </cell>
          <cell r="U74">
            <v>1053125.7704780155</v>
          </cell>
          <cell r="V74">
            <v>7943.9192738742722</v>
          </cell>
          <cell r="W74">
            <v>0</v>
          </cell>
          <cell r="X74">
            <v>1802656.6897518898</v>
          </cell>
          <cell r="Y74">
            <v>13132.039999999994</v>
          </cell>
          <cell r="Z74">
            <v>0</v>
          </cell>
          <cell r="AA74">
            <v>0</v>
          </cell>
          <cell r="AB74">
            <v>14410.517854371941</v>
          </cell>
          <cell r="AC74">
            <v>27542.557854371935</v>
          </cell>
          <cell r="AD74" t="str">
            <v>N/A</v>
          </cell>
          <cell r="AE74">
            <v>355420</v>
          </cell>
          <cell r="AF74">
            <v>355420</v>
          </cell>
          <cell r="AG74">
            <v>355420</v>
          </cell>
          <cell r="AH74">
            <v>355420</v>
          </cell>
          <cell r="AI74">
            <v>353434</v>
          </cell>
          <cell r="AJ74">
            <v>0</v>
          </cell>
          <cell r="AK74">
            <v>1775114</v>
          </cell>
          <cell r="AL74">
            <v>3892844</v>
          </cell>
          <cell r="AM74">
            <v>718961.95262360224</v>
          </cell>
          <cell r="AN74">
            <v>-111275.96</v>
          </cell>
          <cell r="AO74">
            <v>1046659.1718975179</v>
          </cell>
          <cell r="AP74">
            <v>0</v>
          </cell>
          <cell r="AQ74">
            <v>728454.96</v>
          </cell>
          <cell r="AR74">
            <v>0</v>
          </cell>
          <cell r="AS74">
            <v>0</v>
          </cell>
          <cell r="AT74">
            <v>6275644.1245211195</v>
          </cell>
          <cell r="AU74">
            <v>1.1741527525209222E-4</v>
          </cell>
          <cell r="AV74">
            <v>0</v>
          </cell>
          <cell r="AW74">
            <v>0</v>
          </cell>
          <cell r="AY74">
            <v>0</v>
          </cell>
          <cell r="AZ74">
            <v>0</v>
          </cell>
          <cell r="BA74">
            <v>0</v>
          </cell>
          <cell r="BB74">
            <v>0</v>
          </cell>
          <cell r="BC74">
            <v>0</v>
          </cell>
          <cell r="BD74">
            <v>0</v>
          </cell>
          <cell r="BE74">
            <v>0</v>
          </cell>
          <cell r="BF74">
            <v>0</v>
          </cell>
          <cell r="BG74">
            <v>0</v>
          </cell>
          <cell r="BH74">
            <v>0</v>
          </cell>
          <cell r="BJ74">
            <v>0</v>
          </cell>
          <cell r="BL74">
            <v>0</v>
          </cell>
          <cell r="BM74">
            <v>0</v>
          </cell>
          <cell r="BN74">
            <v>0</v>
          </cell>
          <cell r="BO74">
            <v>0</v>
          </cell>
          <cell r="BQ74">
            <v>0</v>
          </cell>
          <cell r="BR74">
            <v>0</v>
          </cell>
          <cell r="BS74">
            <v>0</v>
          </cell>
          <cell r="BT74">
            <v>0</v>
          </cell>
          <cell r="CB74">
            <v>0</v>
          </cell>
          <cell r="CC74">
            <v>0</v>
          </cell>
          <cell r="CD74">
            <v>0</v>
          </cell>
          <cell r="CE74">
            <v>0</v>
          </cell>
          <cell r="CF74">
            <v>0</v>
          </cell>
          <cell r="CI74">
            <v>0</v>
          </cell>
          <cell r="CJ74">
            <v>0</v>
          </cell>
          <cell r="CK74">
            <v>0</v>
          </cell>
          <cell r="CV74">
            <v>1.4425642015125479E-4</v>
          </cell>
          <cell r="DG74">
            <v>6275645</v>
          </cell>
          <cell r="DR74">
            <v>1936670.5900000003</v>
          </cell>
          <cell r="EC74">
            <v>3.2404297521758716</v>
          </cell>
          <cell r="EN74">
            <v>2.4095909012463064E-2</v>
          </cell>
        </row>
        <row r="75">
          <cell r="B75">
            <v>30103</v>
          </cell>
          <cell r="C75" t="str">
            <v>River Mill Academy Charter</v>
          </cell>
          <cell r="D75">
            <v>1.6505168097535305E-4</v>
          </cell>
          <cell r="E75">
            <v>285577.89302276215</v>
          </cell>
          <cell r="F75">
            <v>222671.63244041312</v>
          </cell>
          <cell r="G75">
            <v>15632</v>
          </cell>
          <cell r="H75">
            <v>-79686.379677799574</v>
          </cell>
          <cell r="I75">
            <v>-3297.5727431688083</v>
          </cell>
          <cell r="J75">
            <v>240987.78898520774</v>
          </cell>
          <cell r="K75">
            <v>0</v>
          </cell>
          <cell r="L75">
            <v>-12661.898493857356</v>
          </cell>
          <cell r="M75">
            <v>2272.2684167378629</v>
          </cell>
          <cell r="N75">
            <v>85.658521392588725</v>
          </cell>
          <cell r="O75">
            <v>-38.65675420123744</v>
          </cell>
          <cell r="P75">
            <v>0</v>
          </cell>
          <cell r="Q75">
            <v>0</v>
          </cell>
          <cell r="R75">
            <v>0</v>
          </cell>
          <cell r="S75">
            <v>671542.7337174865</v>
          </cell>
          <cell r="T75">
            <v>91250</v>
          </cell>
          <cell r="U75">
            <v>1204938.9449260386</v>
          </cell>
          <cell r="V75">
            <v>9089.0736669514517</v>
          </cell>
          <cell r="W75">
            <v>0</v>
          </cell>
          <cell r="X75">
            <v>1305278.01859299</v>
          </cell>
          <cell r="Y75">
            <v>13090.050000000003</v>
          </cell>
          <cell r="Z75">
            <v>0</v>
          </cell>
          <cell r="AA75">
            <v>0</v>
          </cell>
          <cell r="AB75">
            <v>16487.86371584404</v>
          </cell>
          <cell r="AC75">
            <v>29577.913715844043</v>
          </cell>
          <cell r="AD75" t="str">
            <v>N/A</v>
          </cell>
          <cell r="AE75">
            <v>255594</v>
          </cell>
          <cell r="AF75">
            <v>255594</v>
          </cell>
          <cell r="AG75">
            <v>255594</v>
          </cell>
          <cell r="AH75">
            <v>255594</v>
          </cell>
          <cell r="AI75">
            <v>253322</v>
          </cell>
          <cell r="AJ75">
            <v>0</v>
          </cell>
          <cell r="AK75">
            <v>1275698</v>
          </cell>
          <cell r="AL75">
            <v>5362705</v>
          </cell>
          <cell r="AM75">
            <v>671542.7337174865</v>
          </cell>
          <cell r="AN75">
            <v>-129638.95</v>
          </cell>
          <cell r="AO75">
            <v>1197540.1548771462</v>
          </cell>
          <cell r="AP75">
            <v>0</v>
          </cell>
          <cell r="AQ75">
            <v>78159.95</v>
          </cell>
          <cell r="AR75">
            <v>0</v>
          </cell>
          <cell r="AS75">
            <v>0</v>
          </cell>
          <cell r="AT75">
            <v>7180308.888594632</v>
          </cell>
          <cell r="AU75">
            <v>1.617489716189338E-4</v>
          </cell>
          <cell r="AV75">
            <v>0</v>
          </cell>
          <cell r="AW75">
            <v>0</v>
          </cell>
          <cell r="AY75">
            <v>0</v>
          </cell>
          <cell r="AZ75">
            <v>0</v>
          </cell>
          <cell r="BA75">
            <v>0</v>
          </cell>
          <cell r="BB75">
            <v>0</v>
          </cell>
          <cell r="BC75">
            <v>0</v>
          </cell>
          <cell r="BD75">
            <v>0</v>
          </cell>
          <cell r="BE75">
            <v>0</v>
          </cell>
          <cell r="BF75">
            <v>0</v>
          </cell>
          <cell r="BG75">
            <v>0</v>
          </cell>
          <cell r="BH75">
            <v>0</v>
          </cell>
          <cell r="BJ75">
            <v>0</v>
          </cell>
          <cell r="BL75">
            <v>0</v>
          </cell>
          <cell r="BM75">
            <v>0</v>
          </cell>
          <cell r="BN75">
            <v>0</v>
          </cell>
          <cell r="BO75">
            <v>0</v>
          </cell>
          <cell r="BQ75">
            <v>0</v>
          </cell>
          <cell r="BR75">
            <v>0</v>
          </cell>
          <cell r="BS75">
            <v>0</v>
          </cell>
          <cell r="BT75">
            <v>0</v>
          </cell>
          <cell r="CB75">
            <v>0</v>
          </cell>
          <cell r="CC75">
            <v>0</v>
          </cell>
          <cell r="CD75">
            <v>0</v>
          </cell>
          <cell r="CE75">
            <v>0</v>
          </cell>
          <cell r="CF75">
            <v>0</v>
          </cell>
          <cell r="CI75">
            <v>0</v>
          </cell>
          <cell r="CJ75">
            <v>0</v>
          </cell>
          <cell r="CK75">
            <v>0</v>
          </cell>
          <cell r="CV75">
            <v>1.6505168097535305E-4</v>
          </cell>
          <cell r="DG75">
            <v>7180309</v>
          </cell>
          <cell r="DR75">
            <v>2194122.9700000007</v>
          </cell>
          <cell r="EC75">
            <v>3.2725189509319059</v>
          </cell>
          <cell r="EN75">
            <v>2.4095909012463064E-2</v>
          </cell>
        </row>
        <row r="76">
          <cell r="B76">
            <v>30104</v>
          </cell>
          <cell r="C76" t="str">
            <v>The Hawbridge School</v>
          </cell>
          <cell r="D76">
            <v>1.0524667875150715E-4</v>
          </cell>
          <cell r="E76">
            <v>182101.29450294518</v>
          </cell>
          <cell r="F76">
            <v>141988.55551207272</v>
          </cell>
          <cell r="G76">
            <v>140696</v>
          </cell>
          <cell r="H76">
            <v>-50812.73182593262</v>
          </cell>
          <cell r="I76">
            <v>-2102.7267163176575</v>
          </cell>
          <cell r="J76">
            <v>153668.01634785894</v>
          </cell>
          <cell r="K76">
            <v>0</v>
          </cell>
          <cell r="L76">
            <v>-8073.972681115536</v>
          </cell>
          <cell r="M76">
            <v>1448.932253706143</v>
          </cell>
          <cell r="N76">
            <v>54.62092133845718</v>
          </cell>
          <cell r="O76">
            <v>-24.649824630390491</v>
          </cell>
          <cell r="P76">
            <v>0</v>
          </cell>
          <cell r="Q76">
            <v>0</v>
          </cell>
          <cell r="R76">
            <v>0</v>
          </cell>
          <cell r="S76">
            <v>558943.33848992537</v>
          </cell>
          <cell r="T76">
            <v>720412</v>
          </cell>
          <cell r="U76">
            <v>768340.08173929469</v>
          </cell>
          <cell r="V76">
            <v>5795.729014824572</v>
          </cell>
          <cell r="W76">
            <v>0</v>
          </cell>
          <cell r="X76">
            <v>1494547.8107541194</v>
          </cell>
          <cell r="Y76">
            <v>16933.770000000004</v>
          </cell>
          <cell r="Z76">
            <v>0</v>
          </cell>
          <cell r="AA76">
            <v>0</v>
          </cell>
          <cell r="AB76">
            <v>10513.633581588289</v>
          </cell>
          <cell r="AC76">
            <v>27447.403581588293</v>
          </cell>
          <cell r="AD76" t="str">
            <v>N/A</v>
          </cell>
          <cell r="AE76">
            <v>293709</v>
          </cell>
          <cell r="AF76">
            <v>293710</v>
          </cell>
          <cell r="AG76">
            <v>293710</v>
          </cell>
          <cell r="AH76">
            <v>293710</v>
          </cell>
          <cell r="AI76">
            <v>292261</v>
          </cell>
          <cell r="AJ76">
            <v>0</v>
          </cell>
          <cell r="AK76">
            <v>1467100</v>
          </cell>
          <cell r="AL76">
            <v>2624905</v>
          </cell>
          <cell r="AM76">
            <v>558943.33848992537</v>
          </cell>
          <cell r="AN76">
            <v>-72361.23</v>
          </cell>
          <cell r="AO76">
            <v>763622.17717253102</v>
          </cell>
          <cell r="AP76">
            <v>0</v>
          </cell>
          <cell r="AQ76">
            <v>703478.23</v>
          </cell>
          <cell r="AR76">
            <v>0</v>
          </cell>
          <cell r="AS76">
            <v>0</v>
          </cell>
          <cell r="AT76">
            <v>4578587.5156624559</v>
          </cell>
          <cell r="AU76">
            <v>7.9171924691688201E-5</v>
          </cell>
          <cell r="AV76">
            <v>0</v>
          </cell>
          <cell r="AW76">
            <v>0</v>
          </cell>
          <cell r="AY76">
            <v>0</v>
          </cell>
          <cell r="AZ76">
            <v>0</v>
          </cell>
          <cell r="BA76">
            <v>0</v>
          </cell>
          <cell r="BB76">
            <v>0</v>
          </cell>
          <cell r="BC76">
            <v>0</v>
          </cell>
          <cell r="BD76">
            <v>0</v>
          </cell>
          <cell r="BE76">
            <v>0</v>
          </cell>
          <cell r="BF76">
            <v>0</v>
          </cell>
          <cell r="BG76">
            <v>0</v>
          </cell>
          <cell r="BH76">
            <v>0</v>
          </cell>
          <cell r="BJ76">
            <v>0</v>
          </cell>
          <cell r="BL76">
            <v>0</v>
          </cell>
          <cell r="BM76">
            <v>0</v>
          </cell>
          <cell r="BN76">
            <v>0</v>
          </cell>
          <cell r="BO76">
            <v>0</v>
          </cell>
          <cell r="BQ76">
            <v>0</v>
          </cell>
          <cell r="BR76">
            <v>0</v>
          </cell>
          <cell r="BS76">
            <v>0</v>
          </cell>
          <cell r="BT76">
            <v>0</v>
          </cell>
          <cell r="CB76">
            <v>0</v>
          </cell>
          <cell r="CC76">
            <v>0</v>
          </cell>
          <cell r="CD76">
            <v>0</v>
          </cell>
          <cell r="CE76">
            <v>0</v>
          </cell>
          <cell r="CF76">
            <v>0</v>
          </cell>
          <cell r="CI76">
            <v>0</v>
          </cell>
          <cell r="CJ76">
            <v>0</v>
          </cell>
          <cell r="CK76">
            <v>0</v>
          </cell>
          <cell r="CV76">
            <v>1.0524667875150715E-4</v>
          </cell>
          <cell r="DG76">
            <v>4578588</v>
          </cell>
          <cell r="DR76">
            <v>1290327.7399999995</v>
          </cell>
          <cell r="EC76">
            <v>3.5483915117565417</v>
          </cell>
          <cell r="EN76">
            <v>2.4095909012463064E-2</v>
          </cell>
        </row>
        <row r="77">
          <cell r="B77">
            <v>30105</v>
          </cell>
          <cell r="C77" t="str">
            <v>Alamance Community College</v>
          </cell>
          <cell r="D77">
            <v>7.1665148802620431E-4</v>
          </cell>
          <cell r="E77">
            <v>1239974.175196145</v>
          </cell>
          <cell r="F77">
            <v>966836.30113089026</v>
          </cell>
          <cell r="G77">
            <v>-119101</v>
          </cell>
          <cell r="H77">
            <v>-345996.85525192507</v>
          </cell>
          <cell r="I77">
            <v>-14318.002696497673</v>
          </cell>
          <cell r="J77">
            <v>1046364.7298338255</v>
          </cell>
          <cell r="K77">
            <v>0</v>
          </cell>
          <cell r="L77">
            <v>-54977.739961428582</v>
          </cell>
          <cell r="M77">
            <v>9866.1493928880809</v>
          </cell>
          <cell r="N77">
            <v>371.92778925583951</v>
          </cell>
          <cell r="O77">
            <v>-167.8469450106173</v>
          </cell>
          <cell r="P77">
            <v>0</v>
          </cell>
          <cell r="Q77">
            <v>0</v>
          </cell>
          <cell r="R77">
            <v>0</v>
          </cell>
          <cell r="S77">
            <v>2728851.8384881425</v>
          </cell>
          <cell r="T77">
            <v>58107.969999999972</v>
          </cell>
          <cell r="U77">
            <v>5231823.6491691275</v>
          </cell>
          <cell r="V77">
            <v>39464.597571552324</v>
          </cell>
          <cell r="W77">
            <v>0</v>
          </cell>
          <cell r="X77">
            <v>5329396.2167406799</v>
          </cell>
          <cell r="Y77">
            <v>653614</v>
          </cell>
          <cell r="Z77">
            <v>0</v>
          </cell>
          <cell r="AA77">
            <v>0</v>
          </cell>
          <cell r="AB77">
            <v>71590.013482488372</v>
          </cell>
          <cell r="AC77">
            <v>725204.01348248834</v>
          </cell>
          <cell r="AD77" t="str">
            <v>N/A</v>
          </cell>
          <cell r="AE77">
            <v>922812</v>
          </cell>
          <cell r="AF77">
            <v>922811</v>
          </cell>
          <cell r="AG77">
            <v>922811</v>
          </cell>
          <cell r="AH77">
            <v>922811</v>
          </cell>
          <cell r="AI77">
            <v>912945</v>
          </cell>
          <cell r="AJ77">
            <v>0</v>
          </cell>
          <cell r="AK77">
            <v>4604190</v>
          </cell>
          <cell r="AL77">
            <v>24544554</v>
          </cell>
          <cell r="AM77">
            <v>2728851.8384881425</v>
          </cell>
          <cell r="AN77">
            <v>-700821.97</v>
          </cell>
          <cell r="AO77">
            <v>5199698.2332581915</v>
          </cell>
          <cell r="AP77">
            <v>0</v>
          </cell>
          <cell r="AQ77">
            <v>-595506.03</v>
          </cell>
          <cell r="AR77">
            <v>0</v>
          </cell>
          <cell r="AS77">
            <v>0</v>
          </cell>
          <cell r="AT77">
            <v>31176776.071746334</v>
          </cell>
          <cell r="AU77">
            <v>7.4030852539940612E-4</v>
          </cell>
          <cell r="AV77">
            <v>0</v>
          </cell>
          <cell r="AW77">
            <v>0</v>
          </cell>
          <cell r="AY77">
            <v>0</v>
          </cell>
          <cell r="AZ77">
            <v>0</v>
          </cell>
          <cell r="BA77">
            <v>0</v>
          </cell>
          <cell r="BB77">
            <v>0</v>
          </cell>
          <cell r="BC77">
            <v>0</v>
          </cell>
          <cell r="BD77">
            <v>0</v>
          </cell>
          <cell r="BE77">
            <v>0</v>
          </cell>
          <cell r="BF77">
            <v>0</v>
          </cell>
          <cell r="BG77">
            <v>0</v>
          </cell>
          <cell r="BH77">
            <v>0</v>
          </cell>
          <cell r="BJ77">
            <v>0</v>
          </cell>
          <cell r="BL77">
            <v>0</v>
          </cell>
          <cell r="BM77">
            <v>0</v>
          </cell>
          <cell r="BN77">
            <v>0</v>
          </cell>
          <cell r="BO77">
            <v>0</v>
          </cell>
          <cell r="BQ77">
            <v>0</v>
          </cell>
          <cell r="BR77">
            <v>0</v>
          </cell>
          <cell r="BS77">
            <v>0</v>
          </cell>
          <cell r="BT77">
            <v>0</v>
          </cell>
          <cell r="CB77">
            <v>0</v>
          </cell>
          <cell r="CC77">
            <v>0</v>
          </cell>
          <cell r="CD77">
            <v>0</v>
          </cell>
          <cell r="CE77">
            <v>0</v>
          </cell>
          <cell r="CF77">
            <v>0</v>
          </cell>
          <cell r="CI77">
            <v>0</v>
          </cell>
          <cell r="CJ77">
            <v>0</v>
          </cell>
          <cell r="CK77">
            <v>0</v>
          </cell>
          <cell r="CV77">
            <v>7.1665148802620431E-4</v>
          </cell>
          <cell r="DG77">
            <v>31176776</v>
          </cell>
          <cell r="DR77">
            <v>12013260.689999999</v>
          </cell>
          <cell r="EC77">
            <v>2.595196824951278</v>
          </cell>
          <cell r="EN77">
            <v>2.4095909012463064E-2</v>
          </cell>
        </row>
        <row r="78">
          <cell r="B78">
            <v>30200</v>
          </cell>
          <cell r="C78" t="str">
            <v>Alexander County Schools</v>
          </cell>
          <cell r="D78">
            <v>1.6985906501332825E-3</v>
          </cell>
          <cell r="E78">
            <v>2938957.8834138797</v>
          </cell>
          <cell r="F78">
            <v>2291572.8617734034</v>
          </cell>
          <cell r="G78">
            <v>-231430</v>
          </cell>
          <cell r="H78">
            <v>-820073.68033951428</v>
          </cell>
          <cell r="I78">
            <v>-33936.196205825501</v>
          </cell>
          <cell r="J78">
            <v>2480069.2894954062</v>
          </cell>
          <cell r="K78">
            <v>0</v>
          </cell>
          <cell r="L78">
            <v>-130306.95759962885</v>
          </cell>
          <cell r="M78">
            <v>23384.517288499763</v>
          </cell>
          <cell r="N78">
            <v>881.53457560617096</v>
          </cell>
          <cell r="O78">
            <v>-397.82691616771609</v>
          </cell>
          <cell r="P78">
            <v>0</v>
          </cell>
          <cell r="Q78">
            <v>0</v>
          </cell>
          <cell r="R78">
            <v>0</v>
          </cell>
          <cell r="S78">
            <v>6518721.4254856585</v>
          </cell>
          <cell r="T78">
            <v>0</v>
          </cell>
          <cell r="U78">
            <v>12400346.447477031</v>
          </cell>
          <cell r="V78">
            <v>93538.069153999051</v>
          </cell>
          <cell r="W78">
            <v>0</v>
          </cell>
          <cell r="X78">
            <v>12493884.516631031</v>
          </cell>
          <cell r="Y78">
            <v>1157153.4000000001</v>
          </cell>
          <cell r="Z78">
            <v>0</v>
          </cell>
          <cell r="AA78">
            <v>0</v>
          </cell>
          <cell r="AB78">
            <v>169680.98102912752</v>
          </cell>
          <cell r="AC78">
            <v>1326834.3810291276</v>
          </cell>
          <cell r="AD78" t="str">
            <v>N/A</v>
          </cell>
          <cell r="AE78">
            <v>2238088</v>
          </cell>
          <cell r="AF78">
            <v>2238087</v>
          </cell>
          <cell r="AG78">
            <v>2238087</v>
          </cell>
          <cell r="AH78">
            <v>2238087</v>
          </cell>
          <cell r="AI78">
            <v>2214702</v>
          </cell>
          <cell r="AJ78">
            <v>0</v>
          </cell>
          <cell r="AK78">
            <v>11167051</v>
          </cell>
          <cell r="AL78">
            <v>57675940</v>
          </cell>
          <cell r="AM78">
            <v>6518721.4254856585</v>
          </cell>
          <cell r="AN78">
            <v>-1467244.5999999999</v>
          </cell>
          <cell r="AO78">
            <v>12324203.535601905</v>
          </cell>
          <cell r="AP78">
            <v>0</v>
          </cell>
          <cell r="AQ78">
            <v>-1157153.4000000001</v>
          </cell>
          <cell r="AR78">
            <v>0</v>
          </cell>
          <cell r="AS78">
            <v>0</v>
          </cell>
          <cell r="AT78">
            <v>73894466.961087555</v>
          </cell>
          <cell r="AU78">
            <v>1.7396115780678972E-3</v>
          </cell>
          <cell r="AV78">
            <v>0</v>
          </cell>
          <cell r="AW78">
            <v>0</v>
          </cell>
          <cell r="AY78">
            <v>0</v>
          </cell>
          <cell r="AZ78">
            <v>0</v>
          </cell>
          <cell r="BA78">
            <v>0</v>
          </cell>
          <cell r="BB78">
            <v>0</v>
          </cell>
          <cell r="BC78">
            <v>0</v>
          </cell>
          <cell r="BD78">
            <v>0</v>
          </cell>
          <cell r="BE78">
            <v>0</v>
          </cell>
          <cell r="BF78">
            <v>0</v>
          </cell>
          <cell r="BG78">
            <v>0</v>
          </cell>
          <cell r="BH78">
            <v>0</v>
          </cell>
          <cell r="BJ78">
            <v>0</v>
          </cell>
          <cell r="BL78">
            <v>0</v>
          </cell>
          <cell r="BM78">
            <v>0</v>
          </cell>
          <cell r="BN78">
            <v>0</v>
          </cell>
          <cell r="BO78">
            <v>0</v>
          </cell>
          <cell r="BQ78">
            <v>0</v>
          </cell>
          <cell r="BR78">
            <v>0</v>
          </cell>
          <cell r="BS78">
            <v>0</v>
          </cell>
          <cell r="BT78">
            <v>0</v>
          </cell>
          <cell r="CB78">
            <v>0</v>
          </cell>
          <cell r="CC78">
            <v>0</v>
          </cell>
          <cell r="CD78">
            <v>0</v>
          </cell>
          <cell r="CE78">
            <v>0</v>
          </cell>
          <cell r="CF78">
            <v>0</v>
          </cell>
          <cell r="CI78">
            <v>0</v>
          </cell>
          <cell r="CJ78">
            <v>0</v>
          </cell>
          <cell r="CK78">
            <v>0</v>
          </cell>
          <cell r="CV78">
            <v>1.6985906501332825E-3</v>
          </cell>
          <cell r="DG78">
            <v>73894467</v>
          </cell>
          <cell r="DR78">
            <v>25714708.279999994</v>
          </cell>
          <cell r="EC78">
            <v>2.873626494043199</v>
          </cell>
          <cell r="EN78">
            <v>2.4095909012463064E-2</v>
          </cell>
        </row>
        <row r="79">
          <cell r="B79">
            <v>30300</v>
          </cell>
          <cell r="C79" t="str">
            <v>Alleghany County Schools</v>
          </cell>
          <cell r="D79">
            <v>5.8215431358102669E-4</v>
          </cell>
          <cell r="E79">
            <v>1007262.7028343196</v>
          </cell>
          <cell r="F79">
            <v>785385.82928260346</v>
          </cell>
          <cell r="G79">
            <v>-50820</v>
          </cell>
          <cell r="H79">
            <v>-281062.08545682009</v>
          </cell>
          <cell r="I79">
            <v>-11630.879403582727</v>
          </cell>
          <cell r="J79">
            <v>849988.80380407965</v>
          </cell>
          <cell r="K79">
            <v>0</v>
          </cell>
          <cell r="L79">
            <v>-44659.822806802513</v>
          </cell>
          <cell r="M79">
            <v>8014.5252238625208</v>
          </cell>
          <cell r="N79">
            <v>302.12644566228124</v>
          </cell>
          <cell r="O79">
            <v>-136.34636178381226</v>
          </cell>
          <cell r="P79">
            <v>0</v>
          </cell>
          <cell r="Q79">
            <v>0</v>
          </cell>
          <cell r="R79">
            <v>0</v>
          </cell>
          <cell r="S79">
            <v>2262644.8535615378</v>
          </cell>
          <cell r="T79">
            <v>1218.9200000000419</v>
          </cell>
          <cell r="U79">
            <v>4249944.0190203981</v>
          </cell>
          <cell r="V79">
            <v>32058.100895450083</v>
          </cell>
          <cell r="W79">
            <v>0</v>
          </cell>
          <cell r="X79">
            <v>4283221.0399158485</v>
          </cell>
          <cell r="Y79">
            <v>255321</v>
          </cell>
          <cell r="Z79">
            <v>0</v>
          </cell>
          <cell r="AA79">
            <v>0</v>
          </cell>
          <cell r="AB79">
            <v>58154.39701791363</v>
          </cell>
          <cell r="AC79">
            <v>313475.39701791364</v>
          </cell>
          <cell r="AD79" t="str">
            <v>N/A</v>
          </cell>
          <cell r="AE79">
            <v>795552</v>
          </cell>
          <cell r="AF79">
            <v>795552</v>
          </cell>
          <cell r="AG79">
            <v>795552</v>
          </cell>
          <cell r="AH79">
            <v>795552</v>
          </cell>
          <cell r="AI79">
            <v>787538</v>
          </cell>
          <cell r="AJ79">
            <v>0</v>
          </cell>
          <cell r="AK79">
            <v>3969746</v>
          </cell>
          <cell r="AL79">
            <v>19607416</v>
          </cell>
          <cell r="AM79">
            <v>2262644.8535615378</v>
          </cell>
          <cell r="AN79">
            <v>-514114.92000000004</v>
          </cell>
          <cell r="AO79">
            <v>4223847.7228979347</v>
          </cell>
          <cell r="AP79">
            <v>0</v>
          </cell>
          <cell r="AQ79">
            <v>-254102.07999999996</v>
          </cell>
          <cell r="AR79">
            <v>0</v>
          </cell>
          <cell r="AS79">
            <v>0</v>
          </cell>
          <cell r="AT79">
            <v>25325691.576459475</v>
          </cell>
          <cell r="AU79">
            <v>5.9139542779070703E-4</v>
          </cell>
          <cell r="AV79">
            <v>0</v>
          </cell>
          <cell r="AW79">
            <v>0</v>
          </cell>
          <cell r="AY79">
            <v>0</v>
          </cell>
          <cell r="AZ79">
            <v>0</v>
          </cell>
          <cell r="BA79">
            <v>0</v>
          </cell>
          <cell r="BB79">
            <v>0</v>
          </cell>
          <cell r="BC79">
            <v>0</v>
          </cell>
          <cell r="BD79">
            <v>0</v>
          </cell>
          <cell r="BE79">
            <v>0</v>
          </cell>
          <cell r="BF79">
            <v>0</v>
          </cell>
          <cell r="BG79">
            <v>0</v>
          </cell>
          <cell r="BH79">
            <v>0</v>
          </cell>
          <cell r="BJ79">
            <v>0</v>
          </cell>
          <cell r="BL79">
            <v>0</v>
          </cell>
          <cell r="BM79">
            <v>0</v>
          </cell>
          <cell r="BN79">
            <v>0</v>
          </cell>
          <cell r="BO79">
            <v>0</v>
          </cell>
          <cell r="BQ79">
            <v>0</v>
          </cell>
          <cell r="BR79">
            <v>0</v>
          </cell>
          <cell r="BS79">
            <v>0</v>
          </cell>
          <cell r="BT79">
            <v>0</v>
          </cell>
          <cell r="CB79">
            <v>0</v>
          </cell>
          <cell r="CC79">
            <v>0</v>
          </cell>
          <cell r="CD79">
            <v>0</v>
          </cell>
          <cell r="CE79">
            <v>0</v>
          </cell>
          <cell r="CF79">
            <v>0</v>
          </cell>
          <cell r="CI79">
            <v>0</v>
          </cell>
          <cell r="CJ79">
            <v>0</v>
          </cell>
          <cell r="CK79">
            <v>0</v>
          </cell>
          <cell r="CV79">
            <v>5.8215431358102669E-4</v>
          </cell>
          <cell r="DG79">
            <v>25325691</v>
          </cell>
          <cell r="DR79">
            <v>8935775.4199999999</v>
          </cell>
          <cell r="EC79">
            <v>2.8341906336764224</v>
          </cell>
          <cell r="EN79">
            <v>2.4095909012463064E-2</v>
          </cell>
        </row>
        <row r="80">
          <cell r="B80">
            <v>30400</v>
          </cell>
          <cell r="C80" t="str">
            <v>Anson County Schools</v>
          </cell>
          <cell r="D80">
            <v>1.0721140620536731E-3</v>
          </cell>
          <cell r="E80">
            <v>1855007.3111165895</v>
          </cell>
          <cell r="F80">
            <v>1446391.741962706</v>
          </cell>
          <cell r="G80">
            <v>-415464</v>
          </cell>
          <cell r="H80">
            <v>-517612.95432958688</v>
          </cell>
          <cell r="I80">
            <v>-21419.80068124309</v>
          </cell>
          <cell r="J80">
            <v>1565366.6525992304</v>
          </cell>
          <cell r="K80">
            <v>0</v>
          </cell>
          <cell r="L80">
            <v>-82246.962571607073</v>
          </cell>
          <cell r="M80">
            <v>14759.80679475105</v>
          </cell>
          <cell r="N80">
            <v>556.40575592461528</v>
          </cell>
          <cell r="O80">
            <v>-251.09983447359076</v>
          </cell>
          <cell r="P80">
            <v>0</v>
          </cell>
          <cell r="Q80">
            <v>0</v>
          </cell>
          <cell r="R80">
            <v>0</v>
          </cell>
          <cell r="S80">
            <v>3845087.1008122903</v>
          </cell>
          <cell r="T80">
            <v>77784.530000000028</v>
          </cell>
          <cell r="U80">
            <v>7826833.262996152</v>
          </cell>
          <cell r="V80">
            <v>59039.2271790042</v>
          </cell>
          <cell r="W80">
            <v>0</v>
          </cell>
          <cell r="X80">
            <v>7963657.0201751562</v>
          </cell>
          <cell r="Y80">
            <v>2155105</v>
          </cell>
          <cell r="Z80">
            <v>0</v>
          </cell>
          <cell r="AA80">
            <v>0</v>
          </cell>
          <cell r="AB80">
            <v>107099.00340621544</v>
          </cell>
          <cell r="AC80">
            <v>2262204.0034062155</v>
          </cell>
          <cell r="AD80" t="str">
            <v>N/A</v>
          </cell>
          <cell r="AE80">
            <v>1143243</v>
          </cell>
          <cell r="AF80">
            <v>1143243</v>
          </cell>
          <cell r="AG80">
            <v>1143243</v>
          </cell>
          <cell r="AH80">
            <v>1143243</v>
          </cell>
          <cell r="AI80">
            <v>1128483</v>
          </cell>
          <cell r="AJ80">
            <v>0</v>
          </cell>
          <cell r="AK80">
            <v>5701455</v>
          </cell>
          <cell r="AL80">
            <v>38131524</v>
          </cell>
          <cell r="AM80">
            <v>3845087.1008122903</v>
          </cell>
          <cell r="AN80">
            <v>-1037458.53</v>
          </cell>
          <cell r="AO80">
            <v>7778773.4867689414</v>
          </cell>
          <cell r="AP80">
            <v>0</v>
          </cell>
          <cell r="AQ80">
            <v>-2077320.47</v>
          </cell>
          <cell r="AR80">
            <v>0</v>
          </cell>
          <cell r="AS80">
            <v>0</v>
          </cell>
          <cell r="AT80">
            <v>46640605.587581232</v>
          </cell>
          <cell r="AU80">
            <v>1.1501163195576055E-3</v>
          </cell>
          <cell r="AV80">
            <v>0</v>
          </cell>
          <cell r="AW80">
            <v>0</v>
          </cell>
          <cell r="AY80">
            <v>0</v>
          </cell>
          <cell r="AZ80">
            <v>0</v>
          </cell>
          <cell r="BA80">
            <v>0</v>
          </cell>
          <cell r="BB80">
            <v>0</v>
          </cell>
          <cell r="BC80">
            <v>0</v>
          </cell>
          <cell r="BD80">
            <v>0</v>
          </cell>
          <cell r="BE80">
            <v>0</v>
          </cell>
          <cell r="BF80">
            <v>0</v>
          </cell>
          <cell r="BG80">
            <v>0</v>
          </cell>
          <cell r="BH80">
            <v>0</v>
          </cell>
          <cell r="BJ80">
            <v>0</v>
          </cell>
          <cell r="BL80">
            <v>0</v>
          </cell>
          <cell r="BM80">
            <v>0</v>
          </cell>
          <cell r="BN80">
            <v>0</v>
          </cell>
          <cell r="BO80">
            <v>0</v>
          </cell>
          <cell r="BQ80">
            <v>0</v>
          </cell>
          <cell r="BR80">
            <v>0</v>
          </cell>
          <cell r="BS80">
            <v>0</v>
          </cell>
          <cell r="BT80">
            <v>0</v>
          </cell>
          <cell r="CB80">
            <v>0</v>
          </cell>
          <cell r="CC80">
            <v>0</v>
          </cell>
          <cell r="CD80">
            <v>0</v>
          </cell>
          <cell r="CE80">
            <v>0</v>
          </cell>
          <cell r="CF80">
            <v>0</v>
          </cell>
          <cell r="CI80">
            <v>0</v>
          </cell>
          <cell r="CJ80">
            <v>0</v>
          </cell>
          <cell r="CK80">
            <v>0</v>
          </cell>
          <cell r="CV80">
            <v>1.0721140620536731E-3</v>
          </cell>
          <cell r="DG80">
            <v>46640606</v>
          </cell>
          <cell r="DR80">
            <v>17862843.95999999</v>
          </cell>
          <cell r="EC80">
            <v>2.6110403306686014</v>
          </cell>
          <cell r="EN80">
            <v>2.4095909012463064E-2</v>
          </cell>
        </row>
        <row r="81">
          <cell r="B81">
            <v>30405</v>
          </cell>
          <cell r="C81" t="str">
            <v>South Piedmont Community College</v>
          </cell>
          <cell r="D81">
            <v>7.4381911771139971E-4</v>
          </cell>
          <cell r="E81">
            <v>1286980.5092005793</v>
          </cell>
          <cell r="F81">
            <v>1003488.2177656712</v>
          </cell>
          <cell r="G81">
            <v>-22799</v>
          </cell>
          <cell r="H81">
            <v>-359113.29272924847</v>
          </cell>
          <cell r="I81">
            <v>-14860.785627377258</v>
          </cell>
          <cell r="J81">
            <v>1086031.499485095</v>
          </cell>
          <cell r="K81">
            <v>0</v>
          </cell>
          <cell r="L81">
            <v>-57061.897889174972</v>
          </cell>
          <cell r="M81">
            <v>10240.16646757948</v>
          </cell>
          <cell r="N81">
            <v>386.0272457098622</v>
          </cell>
          <cell r="O81">
            <v>-174.20987555918691</v>
          </cell>
          <cell r="P81">
            <v>0</v>
          </cell>
          <cell r="Q81">
            <v>0</v>
          </cell>
          <cell r="R81">
            <v>0</v>
          </cell>
          <cell r="S81">
            <v>2933117.2340432755</v>
          </cell>
          <cell r="T81">
            <v>0</v>
          </cell>
          <cell r="U81">
            <v>5430157.4974254742</v>
          </cell>
          <cell r="V81">
            <v>40960.66587031792</v>
          </cell>
          <cell r="W81">
            <v>0</v>
          </cell>
          <cell r="X81">
            <v>5471118.1632957924</v>
          </cell>
          <cell r="Y81">
            <v>113993.44000000006</v>
          </cell>
          <cell r="Z81">
            <v>0</v>
          </cell>
          <cell r="AA81">
            <v>0</v>
          </cell>
          <cell r="AB81">
            <v>74303.928136886287</v>
          </cell>
          <cell r="AC81">
            <v>188297.36813688633</v>
          </cell>
          <cell r="AD81" t="str">
            <v>N/A</v>
          </cell>
          <cell r="AE81">
            <v>1058612</v>
          </cell>
          <cell r="AF81">
            <v>1058612</v>
          </cell>
          <cell r="AG81">
            <v>1058612</v>
          </cell>
          <cell r="AH81">
            <v>1058612</v>
          </cell>
          <cell r="AI81">
            <v>1048372</v>
          </cell>
          <cell r="AJ81">
            <v>0</v>
          </cell>
          <cell r="AK81">
            <v>5282820</v>
          </cell>
          <cell r="AL81">
            <v>24774399</v>
          </cell>
          <cell r="AM81">
            <v>2933117.2340432755</v>
          </cell>
          <cell r="AN81">
            <v>-631676.55999999994</v>
          </cell>
          <cell r="AO81">
            <v>5396814.2351589063</v>
          </cell>
          <cell r="AP81">
            <v>0</v>
          </cell>
          <cell r="AQ81">
            <v>-113993.44000000006</v>
          </cell>
          <cell r="AR81">
            <v>0</v>
          </cell>
          <cell r="AS81">
            <v>0</v>
          </cell>
          <cell r="AT81">
            <v>32358660.469202179</v>
          </cell>
          <cell r="AU81">
            <v>7.4724107298122365E-4</v>
          </cell>
          <cell r="AV81">
            <v>0</v>
          </cell>
          <cell r="AW81">
            <v>0</v>
          </cell>
          <cell r="AY81">
            <v>0</v>
          </cell>
          <cell r="AZ81">
            <v>0</v>
          </cell>
          <cell r="BA81">
            <v>0</v>
          </cell>
          <cell r="BB81">
            <v>0</v>
          </cell>
          <cell r="BC81">
            <v>0</v>
          </cell>
          <cell r="BD81">
            <v>0</v>
          </cell>
          <cell r="BE81">
            <v>0</v>
          </cell>
          <cell r="BF81">
            <v>0</v>
          </cell>
          <cell r="BG81">
            <v>0</v>
          </cell>
          <cell r="BH81">
            <v>0</v>
          </cell>
          <cell r="BJ81">
            <v>0</v>
          </cell>
          <cell r="BL81">
            <v>0</v>
          </cell>
          <cell r="BM81">
            <v>0</v>
          </cell>
          <cell r="BN81">
            <v>0</v>
          </cell>
          <cell r="BO81">
            <v>0</v>
          </cell>
          <cell r="BQ81">
            <v>0</v>
          </cell>
          <cell r="BR81">
            <v>0</v>
          </cell>
          <cell r="BS81">
            <v>0</v>
          </cell>
          <cell r="BT81">
            <v>0</v>
          </cell>
          <cell r="CB81">
            <v>0</v>
          </cell>
          <cell r="CC81">
            <v>0</v>
          </cell>
          <cell r="CD81">
            <v>0</v>
          </cell>
          <cell r="CE81">
            <v>0</v>
          </cell>
          <cell r="CF81">
            <v>0</v>
          </cell>
          <cell r="CI81">
            <v>0</v>
          </cell>
          <cell r="CJ81">
            <v>0</v>
          </cell>
          <cell r="CK81">
            <v>0</v>
          </cell>
          <cell r="CV81">
            <v>7.4381911771139971E-4</v>
          </cell>
          <cell r="DG81">
            <v>32358660</v>
          </cell>
          <cell r="DR81">
            <v>10981955.869999997</v>
          </cell>
          <cell r="EC81">
            <v>2.9465297787615321</v>
          </cell>
          <cell r="EN81">
            <v>2.4095909012463064E-2</v>
          </cell>
        </row>
        <row r="82">
          <cell r="B82">
            <v>30500</v>
          </cell>
          <cell r="C82" t="str">
            <v>Ashe County Schools</v>
          </cell>
          <cell r="D82">
            <v>1.1303530155867918E-3</v>
          </cell>
          <cell r="E82">
            <v>1955774.2802474413</v>
          </cell>
          <cell r="F82">
            <v>1524962.0587156597</v>
          </cell>
          <cell r="G82">
            <v>25543</v>
          </cell>
          <cell r="H82">
            <v>-545730.51929986326</v>
          </cell>
          <cell r="I82">
            <v>-22583.358571878358</v>
          </cell>
          <cell r="J82">
            <v>1650399.877113038</v>
          </cell>
          <cell r="K82">
            <v>0</v>
          </cell>
          <cell r="L82">
            <v>-86714.749350070371</v>
          </cell>
          <cell r="M82">
            <v>15561.583147195051</v>
          </cell>
          <cell r="N82">
            <v>586.63060802923326</v>
          </cell>
          <cell r="O82">
            <v>-264.73997978058253</v>
          </cell>
          <cell r="P82">
            <v>0</v>
          </cell>
          <cell r="Q82">
            <v>0</v>
          </cell>
          <cell r="R82">
            <v>0</v>
          </cell>
          <cell r="S82">
            <v>4517534.0626297714</v>
          </cell>
          <cell r="T82">
            <v>127714.52000000002</v>
          </cell>
          <cell r="U82">
            <v>8251999.3855651896</v>
          </cell>
          <cell r="V82">
            <v>62246.332588780206</v>
          </cell>
          <cell r="W82">
            <v>0</v>
          </cell>
          <cell r="X82">
            <v>8441960.2381539699</v>
          </cell>
          <cell r="Y82">
            <v>0</v>
          </cell>
          <cell r="Z82">
            <v>0</v>
          </cell>
          <cell r="AA82">
            <v>0</v>
          </cell>
          <cell r="AB82">
            <v>112916.79285939179</v>
          </cell>
          <cell r="AC82">
            <v>112916.79285939179</v>
          </cell>
          <cell r="AD82" t="str">
            <v>N/A</v>
          </cell>
          <cell r="AE82">
            <v>1668921</v>
          </cell>
          <cell r="AF82">
            <v>1668921</v>
          </cell>
          <cell r="AG82">
            <v>1668921</v>
          </cell>
          <cell r="AH82">
            <v>1668921</v>
          </cell>
          <cell r="AI82">
            <v>1653360</v>
          </cell>
          <cell r="AJ82">
            <v>0</v>
          </cell>
          <cell r="AK82">
            <v>8329044</v>
          </cell>
          <cell r="AL82">
            <v>37327809</v>
          </cell>
          <cell r="AM82">
            <v>4517534.0626297714</v>
          </cell>
          <cell r="AN82">
            <v>-1000188.52</v>
          </cell>
          <cell r="AO82">
            <v>8201328.925294579</v>
          </cell>
          <cell r="AP82">
            <v>0</v>
          </cell>
          <cell r="AQ82">
            <v>127714.52000000002</v>
          </cell>
          <cell r="AR82">
            <v>0</v>
          </cell>
          <cell r="AS82">
            <v>0</v>
          </cell>
          <cell r="AT82">
            <v>49174197.987924352</v>
          </cell>
          <cell r="AU82">
            <v>1.1258748290233754E-3</v>
          </cell>
          <cell r="AV82">
            <v>0</v>
          </cell>
          <cell r="AW82">
            <v>0</v>
          </cell>
          <cell r="AY82">
            <v>0</v>
          </cell>
          <cell r="AZ82">
            <v>0</v>
          </cell>
          <cell r="BA82">
            <v>0</v>
          </cell>
          <cell r="BB82">
            <v>0</v>
          </cell>
          <cell r="BC82">
            <v>0</v>
          </cell>
          <cell r="BD82">
            <v>0</v>
          </cell>
          <cell r="BE82">
            <v>0</v>
          </cell>
          <cell r="BF82">
            <v>0</v>
          </cell>
          <cell r="BG82">
            <v>0</v>
          </cell>
          <cell r="BH82">
            <v>0</v>
          </cell>
          <cell r="BJ82">
            <v>0</v>
          </cell>
          <cell r="BL82">
            <v>0</v>
          </cell>
          <cell r="BM82">
            <v>0</v>
          </cell>
          <cell r="BN82">
            <v>0</v>
          </cell>
          <cell r="BO82">
            <v>0</v>
          </cell>
          <cell r="BQ82">
            <v>0</v>
          </cell>
          <cell r="BR82">
            <v>0</v>
          </cell>
          <cell r="BS82">
            <v>0</v>
          </cell>
          <cell r="BT82">
            <v>0</v>
          </cell>
          <cell r="CB82">
            <v>0</v>
          </cell>
          <cell r="CC82">
            <v>0</v>
          </cell>
          <cell r="CD82">
            <v>0</v>
          </cell>
          <cell r="CE82">
            <v>0</v>
          </cell>
          <cell r="CF82">
            <v>0</v>
          </cell>
          <cell r="CI82">
            <v>0</v>
          </cell>
          <cell r="CJ82">
            <v>0</v>
          </cell>
          <cell r="CK82">
            <v>0</v>
          </cell>
          <cell r="CV82">
            <v>1.1303530155867918E-3</v>
          </cell>
          <cell r="DG82">
            <v>49174198</v>
          </cell>
          <cell r="DR82">
            <v>17406464.430000011</v>
          </cell>
          <cell r="EC82">
            <v>2.825053772278324</v>
          </cell>
          <cell r="EN82">
            <v>2.4095909012463064E-2</v>
          </cell>
        </row>
        <row r="83">
          <cell r="B83">
            <v>30600</v>
          </cell>
          <cell r="C83" t="str">
            <v>Avery County Schools</v>
          </cell>
          <cell r="D83">
            <v>8.8065594579946104E-4</v>
          </cell>
          <cell r="E83">
            <v>1523740.1278992938</v>
          </cell>
          <cell r="F83">
            <v>1188095.1221502849</v>
          </cell>
          <cell r="G83">
            <v>37218</v>
          </cell>
          <cell r="H83">
            <v>-425177.63919633668</v>
          </cell>
          <cell r="I83">
            <v>-17594.652934261871</v>
          </cell>
          <cell r="J83">
            <v>1285823.4946821334</v>
          </cell>
          <cell r="K83">
            <v>0</v>
          </cell>
          <cell r="L83">
            <v>-67559.300988820905</v>
          </cell>
          <cell r="M83">
            <v>12124.000675590491</v>
          </cell>
          <cell r="N83">
            <v>457.04282275100428</v>
          </cell>
          <cell r="O83">
            <v>-206.25842906569176</v>
          </cell>
          <cell r="P83">
            <v>0</v>
          </cell>
          <cell r="Q83">
            <v>0</v>
          </cell>
          <cell r="R83">
            <v>0</v>
          </cell>
          <cell r="S83">
            <v>3536919.9366815686</v>
          </cell>
          <cell r="T83">
            <v>186087.03999999992</v>
          </cell>
          <cell r="U83">
            <v>6429117.4734106669</v>
          </cell>
          <cell r="V83">
            <v>48496.002702361962</v>
          </cell>
          <cell r="W83">
            <v>0</v>
          </cell>
          <cell r="X83">
            <v>6663700.5161130289</v>
          </cell>
          <cell r="Y83">
            <v>0</v>
          </cell>
          <cell r="Z83">
            <v>0</v>
          </cell>
          <cell r="AA83">
            <v>0</v>
          </cell>
          <cell r="AB83">
            <v>87973.264671309356</v>
          </cell>
          <cell r="AC83">
            <v>87973.264671309356</v>
          </cell>
          <cell r="AD83" t="str">
            <v>N/A</v>
          </cell>
          <cell r="AE83">
            <v>1317571</v>
          </cell>
          <cell r="AF83">
            <v>1317571</v>
          </cell>
          <cell r="AG83">
            <v>1317571</v>
          </cell>
          <cell r="AH83">
            <v>1317571</v>
          </cell>
          <cell r="AI83">
            <v>1305447</v>
          </cell>
          <cell r="AJ83">
            <v>0</v>
          </cell>
          <cell r="AK83">
            <v>6575731</v>
          </cell>
          <cell r="AL83">
            <v>28980028</v>
          </cell>
          <cell r="AM83">
            <v>3536919.9366815686</v>
          </cell>
          <cell r="AN83">
            <v>-781149.03999999992</v>
          </cell>
          <cell r="AO83">
            <v>6389640.2114417199</v>
          </cell>
          <cell r="AP83">
            <v>0</v>
          </cell>
          <cell r="AQ83">
            <v>186087.03999999992</v>
          </cell>
          <cell r="AR83">
            <v>0</v>
          </cell>
          <cell r="AS83">
            <v>0</v>
          </cell>
          <cell r="AT83">
            <v>38311526.148123287</v>
          </cell>
          <cell r="AU83">
            <v>8.7409051284065005E-4</v>
          </cell>
          <cell r="AV83">
            <v>0</v>
          </cell>
          <cell r="AW83">
            <v>0</v>
          </cell>
          <cell r="AY83">
            <v>0</v>
          </cell>
          <cell r="AZ83">
            <v>0</v>
          </cell>
          <cell r="BA83">
            <v>0</v>
          </cell>
          <cell r="BB83">
            <v>0</v>
          </cell>
          <cell r="BC83">
            <v>0</v>
          </cell>
          <cell r="BD83">
            <v>0</v>
          </cell>
          <cell r="BE83">
            <v>0</v>
          </cell>
          <cell r="BF83">
            <v>0</v>
          </cell>
          <cell r="BG83">
            <v>0</v>
          </cell>
          <cell r="BH83">
            <v>0</v>
          </cell>
          <cell r="BJ83">
            <v>0</v>
          </cell>
          <cell r="BL83">
            <v>0</v>
          </cell>
          <cell r="BM83">
            <v>0</v>
          </cell>
          <cell r="BN83">
            <v>0</v>
          </cell>
          <cell r="BO83">
            <v>0</v>
          </cell>
          <cell r="BQ83">
            <v>0</v>
          </cell>
          <cell r="BR83">
            <v>0</v>
          </cell>
          <cell r="BS83">
            <v>0</v>
          </cell>
          <cell r="BT83">
            <v>0</v>
          </cell>
          <cell r="CB83">
            <v>0</v>
          </cell>
          <cell r="CC83">
            <v>0</v>
          </cell>
          <cell r="CD83">
            <v>0</v>
          </cell>
          <cell r="CE83">
            <v>0</v>
          </cell>
          <cell r="CF83">
            <v>0</v>
          </cell>
          <cell r="CI83">
            <v>0</v>
          </cell>
          <cell r="CJ83">
            <v>0</v>
          </cell>
          <cell r="CK83">
            <v>0</v>
          </cell>
          <cell r="CV83">
            <v>8.8065594579946104E-4</v>
          </cell>
          <cell r="DG83">
            <v>38311527</v>
          </cell>
          <cell r="DR83">
            <v>13750307.159999993</v>
          </cell>
          <cell r="EC83">
            <v>2.7862306313744938</v>
          </cell>
          <cell r="EN83">
            <v>2.4095909012463064E-2</v>
          </cell>
        </row>
        <row r="84">
          <cell r="B84">
            <v>30601</v>
          </cell>
          <cell r="C84" t="str">
            <v>Grandfather Academy</v>
          </cell>
          <cell r="D84">
            <v>2.2070122610231471E-5</v>
          </cell>
          <cell r="E84">
            <v>38186.45818411935</v>
          </cell>
          <cell r="F84">
            <v>29774.857188604896</v>
          </cell>
          <cell r="G84">
            <v>-4378</v>
          </cell>
          <cell r="H84">
            <v>-10655.378724177408</v>
          </cell>
          <cell r="I84">
            <v>-440.93967615368149</v>
          </cell>
          <cell r="J84">
            <v>32224.028371249049</v>
          </cell>
          <cell r="K84">
            <v>0</v>
          </cell>
          <cell r="L84">
            <v>-1693.1039452998173</v>
          </cell>
          <cell r="M84">
            <v>303.83963534579141</v>
          </cell>
          <cell r="N84">
            <v>11.453952232257929</v>
          </cell>
          <cell r="O84">
            <v>-5.1690434165423129</v>
          </cell>
          <cell r="P84">
            <v>0</v>
          </cell>
          <cell r="Q84">
            <v>0</v>
          </cell>
          <cell r="R84">
            <v>0</v>
          </cell>
          <cell r="S84">
            <v>83328.045942503886</v>
          </cell>
          <cell r="T84">
            <v>0</v>
          </cell>
          <cell r="U84">
            <v>161120.14185624526</v>
          </cell>
          <cell r="V84">
            <v>1215.3585413831656</v>
          </cell>
          <cell r="W84">
            <v>0</v>
          </cell>
          <cell r="X84">
            <v>162335.50039762844</v>
          </cell>
          <cell r="Y84">
            <v>21891.999999999996</v>
          </cell>
          <cell r="Z84">
            <v>0</v>
          </cell>
          <cell r="AA84">
            <v>0</v>
          </cell>
          <cell r="AB84">
            <v>2204.6983807684073</v>
          </cell>
          <cell r="AC84">
            <v>24096.698380768405</v>
          </cell>
          <cell r="AD84" t="str">
            <v>N/A</v>
          </cell>
          <cell r="AE84">
            <v>27709</v>
          </cell>
          <cell r="AF84">
            <v>27708</v>
          </cell>
          <cell r="AG84">
            <v>27708</v>
          </cell>
          <cell r="AH84">
            <v>27708</v>
          </cell>
          <cell r="AI84">
            <v>27404</v>
          </cell>
          <cell r="AJ84">
            <v>0</v>
          </cell>
          <cell r="AK84">
            <v>138237</v>
          </cell>
          <cell r="AL84">
            <v>755300</v>
          </cell>
          <cell r="AM84">
            <v>83328.045942503886</v>
          </cell>
          <cell r="AN84">
            <v>-16741.000000000004</v>
          </cell>
          <cell r="AO84">
            <v>160130.80201686002</v>
          </cell>
          <cell r="AP84">
            <v>0</v>
          </cell>
          <cell r="AQ84">
            <v>-21891.999999999996</v>
          </cell>
          <cell r="AR84">
            <v>0</v>
          </cell>
          <cell r="AS84">
            <v>0</v>
          </cell>
          <cell r="AT84">
            <v>960125.84795936383</v>
          </cell>
          <cell r="AU84">
            <v>2.2781225901468688E-5</v>
          </cell>
          <cell r="AV84">
            <v>0</v>
          </cell>
          <cell r="AW84">
            <v>0</v>
          </cell>
          <cell r="AY84">
            <v>0</v>
          </cell>
          <cell r="AZ84">
            <v>0</v>
          </cell>
          <cell r="BA84">
            <v>0</v>
          </cell>
          <cell r="BB84">
            <v>0</v>
          </cell>
          <cell r="BC84">
            <v>0</v>
          </cell>
          <cell r="BD84">
            <v>0</v>
          </cell>
          <cell r="BE84">
            <v>0</v>
          </cell>
          <cell r="BF84">
            <v>0</v>
          </cell>
          <cell r="BG84">
            <v>0</v>
          </cell>
          <cell r="BH84">
            <v>0</v>
          </cell>
          <cell r="BJ84">
            <v>0</v>
          </cell>
          <cell r="BL84">
            <v>0</v>
          </cell>
          <cell r="BM84">
            <v>0</v>
          </cell>
          <cell r="BN84">
            <v>0</v>
          </cell>
          <cell r="BO84">
            <v>0</v>
          </cell>
          <cell r="BQ84">
            <v>0</v>
          </cell>
          <cell r="BR84">
            <v>0</v>
          </cell>
          <cell r="BS84">
            <v>0</v>
          </cell>
          <cell r="BT84">
            <v>0</v>
          </cell>
          <cell r="CB84">
            <v>0</v>
          </cell>
          <cell r="CC84">
            <v>0</v>
          </cell>
          <cell r="CD84">
            <v>0</v>
          </cell>
          <cell r="CE84">
            <v>0</v>
          </cell>
          <cell r="CF84">
            <v>0</v>
          </cell>
          <cell r="CI84">
            <v>0</v>
          </cell>
          <cell r="CJ84">
            <v>0</v>
          </cell>
          <cell r="CK84">
            <v>0</v>
          </cell>
          <cell r="CV84">
            <v>2.2070122610231471E-5</v>
          </cell>
          <cell r="DG84">
            <v>960125</v>
          </cell>
          <cell r="DR84">
            <v>283559.88999999996</v>
          </cell>
          <cell r="EC84">
            <v>3.385969009932964</v>
          </cell>
          <cell r="EN84">
            <v>2.4095909012463064E-2</v>
          </cell>
        </row>
        <row r="85">
          <cell r="B85">
            <v>30700</v>
          </cell>
          <cell r="C85" t="str">
            <v>Beaufort County Schools</v>
          </cell>
          <cell r="D85">
            <v>2.2552872815913899E-3</v>
          </cell>
          <cell r="E85">
            <v>3902172.8602332659</v>
          </cell>
          <cell r="F85">
            <v>3042613.668921358</v>
          </cell>
          <cell r="G85">
            <v>-424220</v>
          </cell>
          <cell r="H85">
            <v>-1088844.8850771817</v>
          </cell>
          <cell r="I85">
            <v>-45058.455774840593</v>
          </cell>
          <cell r="J85">
            <v>3292887.9748781733</v>
          </cell>
          <cell r="K85">
            <v>0</v>
          </cell>
          <cell r="L85">
            <v>-173013.80067896389</v>
          </cell>
          <cell r="M85">
            <v>31048.566305701293</v>
          </cell>
          <cell r="N85">
            <v>1170.4489934002995</v>
          </cell>
          <cell r="O85">
            <v>-528.21083422151946</v>
          </cell>
          <cell r="P85">
            <v>0</v>
          </cell>
          <cell r="Q85">
            <v>0</v>
          </cell>
          <cell r="R85">
            <v>0</v>
          </cell>
          <cell r="S85">
            <v>8538228.1669666898</v>
          </cell>
          <cell r="T85">
            <v>65025.760000000242</v>
          </cell>
          <cell r="U85">
            <v>16464439.874390867</v>
          </cell>
          <cell r="V85">
            <v>124194.26522280517</v>
          </cell>
          <cell r="W85">
            <v>0</v>
          </cell>
          <cell r="X85">
            <v>16653659.899613671</v>
          </cell>
          <cell r="Y85">
            <v>2186127</v>
          </cell>
          <cell r="Z85">
            <v>0</v>
          </cell>
          <cell r="AA85">
            <v>0</v>
          </cell>
          <cell r="AB85">
            <v>225292.27887420295</v>
          </cell>
          <cell r="AC85">
            <v>2411419.2788742031</v>
          </cell>
          <cell r="AD85" t="str">
            <v>N/A</v>
          </cell>
          <cell r="AE85">
            <v>2854658</v>
          </cell>
          <cell r="AF85">
            <v>2854657</v>
          </cell>
          <cell r="AG85">
            <v>2854657</v>
          </cell>
          <cell r="AH85">
            <v>2854657</v>
          </cell>
          <cell r="AI85">
            <v>2823609</v>
          </cell>
          <cell r="AJ85">
            <v>0</v>
          </cell>
          <cell r="AK85">
            <v>14242238</v>
          </cell>
          <cell r="AL85">
            <v>77396259</v>
          </cell>
          <cell r="AM85">
            <v>8538228.1669666898</v>
          </cell>
          <cell r="AN85">
            <v>-2064064.7600000002</v>
          </cell>
          <cell r="AO85">
            <v>16363341.86073947</v>
          </cell>
          <cell r="AP85">
            <v>0</v>
          </cell>
          <cell r="AQ85">
            <v>-2121101.2399999998</v>
          </cell>
          <cell r="AR85">
            <v>0</v>
          </cell>
          <cell r="AS85">
            <v>0</v>
          </cell>
          <cell r="AT85">
            <v>98112663.027706161</v>
          </cell>
          <cell r="AU85">
            <v>2.3344123720872964E-3</v>
          </cell>
          <cell r="AV85">
            <v>0</v>
          </cell>
          <cell r="AW85">
            <v>0</v>
          </cell>
          <cell r="AY85">
            <v>0</v>
          </cell>
          <cell r="AZ85">
            <v>0</v>
          </cell>
          <cell r="BA85">
            <v>0</v>
          </cell>
          <cell r="BB85">
            <v>0</v>
          </cell>
          <cell r="BC85">
            <v>0</v>
          </cell>
          <cell r="BD85">
            <v>0</v>
          </cell>
          <cell r="BE85">
            <v>0</v>
          </cell>
          <cell r="BF85">
            <v>0</v>
          </cell>
          <cell r="BG85">
            <v>0</v>
          </cell>
          <cell r="BH85">
            <v>0</v>
          </cell>
          <cell r="BJ85">
            <v>0</v>
          </cell>
          <cell r="BL85">
            <v>0</v>
          </cell>
          <cell r="BM85">
            <v>0</v>
          </cell>
          <cell r="BN85">
            <v>0</v>
          </cell>
          <cell r="BO85">
            <v>0</v>
          </cell>
          <cell r="BQ85">
            <v>0</v>
          </cell>
          <cell r="BR85">
            <v>0</v>
          </cell>
          <cell r="BS85">
            <v>0</v>
          </cell>
          <cell r="BT85">
            <v>0</v>
          </cell>
          <cell r="CB85">
            <v>0</v>
          </cell>
          <cell r="CC85">
            <v>0</v>
          </cell>
          <cell r="CD85">
            <v>0</v>
          </cell>
          <cell r="CE85">
            <v>0</v>
          </cell>
          <cell r="CF85">
            <v>0</v>
          </cell>
          <cell r="CI85">
            <v>0</v>
          </cell>
          <cell r="CJ85">
            <v>0</v>
          </cell>
          <cell r="CK85">
            <v>0</v>
          </cell>
          <cell r="CV85">
            <v>2.2552872815913899E-3</v>
          </cell>
          <cell r="DG85">
            <v>98112662</v>
          </cell>
          <cell r="DR85">
            <v>35413191.710000023</v>
          </cell>
          <cell r="EC85">
            <v>2.7705117009347342</v>
          </cell>
          <cell r="EN85">
            <v>2.4095909012463064E-2</v>
          </cell>
        </row>
        <row r="86">
          <cell r="B86">
            <v>30705</v>
          </cell>
          <cell r="C86" t="str">
            <v>Beaufort County Community College</v>
          </cell>
          <cell r="D86">
            <v>4.4830303929421523E-4</v>
          </cell>
          <cell r="E86">
            <v>775668.78835036152</v>
          </cell>
          <cell r="F86">
            <v>604806.74294100772</v>
          </cell>
          <cell r="G86">
            <v>65992</v>
          </cell>
          <cell r="H86">
            <v>-216439.15402015747</v>
          </cell>
          <cell r="I86">
            <v>-8956.6605703161167</v>
          </cell>
          <cell r="J86">
            <v>654555.94027542463</v>
          </cell>
          <cell r="K86">
            <v>0</v>
          </cell>
          <cell r="L86">
            <v>-34391.455721549079</v>
          </cell>
          <cell r="M86">
            <v>6171.793169849353</v>
          </cell>
          <cell r="N86">
            <v>232.66031133291182</v>
          </cell>
          <cell r="O86">
            <v>-104.99705483309815</v>
          </cell>
          <cell r="P86">
            <v>0</v>
          </cell>
          <cell r="Q86">
            <v>0</v>
          </cell>
          <cell r="R86">
            <v>0</v>
          </cell>
          <cell r="S86">
            <v>1847535.6576811208</v>
          </cell>
          <cell r="T86">
            <v>329958.42999999993</v>
          </cell>
          <cell r="U86">
            <v>3272779.7013771231</v>
          </cell>
          <cell r="V86">
            <v>24687.172679397412</v>
          </cell>
          <cell r="W86">
            <v>0</v>
          </cell>
          <cell r="X86">
            <v>3627425.3040565206</v>
          </cell>
          <cell r="Y86">
            <v>0</v>
          </cell>
          <cell r="Z86">
            <v>0</v>
          </cell>
          <cell r="AA86">
            <v>0</v>
          </cell>
          <cell r="AB86">
            <v>44783.302851580578</v>
          </cell>
          <cell r="AC86">
            <v>44783.302851580578</v>
          </cell>
          <cell r="AD86" t="str">
            <v>N/A</v>
          </cell>
          <cell r="AE86">
            <v>717763</v>
          </cell>
          <cell r="AF86">
            <v>717763</v>
          </cell>
          <cell r="AG86">
            <v>717763</v>
          </cell>
          <cell r="AH86">
            <v>717763</v>
          </cell>
          <cell r="AI86">
            <v>711591</v>
          </cell>
          <cell r="AJ86">
            <v>0</v>
          </cell>
          <cell r="AK86">
            <v>3582643</v>
          </cell>
          <cell r="AL86">
            <v>14501690</v>
          </cell>
          <cell r="AM86">
            <v>1847535.6576811208</v>
          </cell>
          <cell r="AN86">
            <v>-429161.42999999993</v>
          </cell>
          <cell r="AO86">
            <v>3252683.5712049403</v>
          </cell>
          <cell r="AP86">
            <v>0</v>
          </cell>
          <cell r="AQ86">
            <v>329958.42999999993</v>
          </cell>
          <cell r="AR86">
            <v>0</v>
          </cell>
          <cell r="AS86">
            <v>0</v>
          </cell>
          <cell r="AT86">
            <v>19502706.22888606</v>
          </cell>
          <cell r="AU86">
            <v>4.3739742272357111E-4</v>
          </cell>
          <cell r="AV86">
            <v>0</v>
          </cell>
          <cell r="AW86">
            <v>0</v>
          </cell>
          <cell r="AY86">
            <v>0</v>
          </cell>
          <cell r="AZ86">
            <v>0</v>
          </cell>
          <cell r="BA86">
            <v>0</v>
          </cell>
          <cell r="BB86">
            <v>0</v>
          </cell>
          <cell r="BC86">
            <v>0</v>
          </cell>
          <cell r="BD86">
            <v>0</v>
          </cell>
          <cell r="BE86">
            <v>0</v>
          </cell>
          <cell r="BF86">
            <v>0</v>
          </cell>
          <cell r="BG86">
            <v>0</v>
          </cell>
          <cell r="BH86">
            <v>0</v>
          </cell>
          <cell r="BJ86">
            <v>0</v>
          </cell>
          <cell r="BL86">
            <v>0</v>
          </cell>
          <cell r="BM86">
            <v>0</v>
          </cell>
          <cell r="BN86">
            <v>0</v>
          </cell>
          <cell r="BO86">
            <v>0</v>
          </cell>
          <cell r="BQ86">
            <v>0</v>
          </cell>
          <cell r="BR86">
            <v>0</v>
          </cell>
          <cell r="BS86">
            <v>0</v>
          </cell>
          <cell r="BT86">
            <v>0</v>
          </cell>
          <cell r="CB86">
            <v>0</v>
          </cell>
          <cell r="CC86">
            <v>0</v>
          </cell>
          <cell r="CD86">
            <v>0</v>
          </cell>
          <cell r="CE86">
            <v>0</v>
          </cell>
          <cell r="CF86">
            <v>0</v>
          </cell>
          <cell r="CI86">
            <v>0</v>
          </cell>
          <cell r="CJ86">
            <v>0</v>
          </cell>
          <cell r="CK86">
            <v>0</v>
          </cell>
          <cell r="CV86">
            <v>4.4830303929421523E-4</v>
          </cell>
          <cell r="DG86">
            <v>19502706</v>
          </cell>
          <cell r="DR86">
            <v>7293056.6900000023</v>
          </cell>
          <cell r="EC86">
            <v>2.6741470454688039</v>
          </cell>
          <cell r="EN86">
            <v>2.4095909012463064E-2</v>
          </cell>
        </row>
        <row r="87">
          <cell r="B87">
            <v>30800</v>
          </cell>
          <cell r="C87" t="str">
            <v>Bertie County Schools</v>
          </cell>
          <cell r="D87">
            <v>8.7643852311274301E-4</v>
          </cell>
          <cell r="E87">
            <v>1516443.003279041</v>
          </cell>
          <cell r="F87">
            <v>1182405.3867365452</v>
          </cell>
          <cell r="G87">
            <v>-427061</v>
          </cell>
          <cell r="H87">
            <v>-423141.48213638068</v>
          </cell>
          <cell r="I87">
            <v>-17510.392913303829</v>
          </cell>
          <cell r="J87">
            <v>1279665.742380053</v>
          </cell>
          <cell r="K87">
            <v>0</v>
          </cell>
          <cell r="L87">
            <v>-67235.762460468133</v>
          </cell>
          <cell r="M87">
            <v>12065.939368280968</v>
          </cell>
          <cell r="N87">
            <v>454.85406472505139</v>
          </cell>
          <cell r="O87">
            <v>-205.27066649823553</v>
          </cell>
          <cell r="P87">
            <v>0</v>
          </cell>
          <cell r="Q87">
            <v>0</v>
          </cell>
          <cell r="R87">
            <v>0</v>
          </cell>
          <cell r="S87">
            <v>3055881.0176519942</v>
          </cell>
          <cell r="T87">
            <v>57022.130000000005</v>
          </cell>
          <cell r="U87">
            <v>6398328.711900265</v>
          </cell>
          <cell r="V87">
            <v>48263.757473123871</v>
          </cell>
          <cell r="W87">
            <v>0</v>
          </cell>
          <cell r="X87">
            <v>6503614.599373389</v>
          </cell>
          <cell r="Y87">
            <v>2192329</v>
          </cell>
          <cell r="Z87">
            <v>0</v>
          </cell>
          <cell r="AA87">
            <v>0</v>
          </cell>
          <cell r="AB87">
            <v>87551.964566519149</v>
          </cell>
          <cell r="AC87">
            <v>2279880.964566519</v>
          </cell>
          <cell r="AD87" t="str">
            <v>N/A</v>
          </cell>
          <cell r="AE87">
            <v>847159</v>
          </cell>
          <cell r="AF87">
            <v>847160</v>
          </cell>
          <cell r="AG87">
            <v>847160</v>
          </cell>
          <cell r="AH87">
            <v>847160</v>
          </cell>
          <cell r="AI87">
            <v>835094</v>
          </cell>
          <cell r="AJ87">
            <v>0</v>
          </cell>
          <cell r="AK87">
            <v>4223733</v>
          </cell>
          <cell r="AL87">
            <v>31688670</v>
          </cell>
          <cell r="AM87">
            <v>3055881.0176519942</v>
          </cell>
          <cell r="AN87">
            <v>-840230.13</v>
          </cell>
          <cell r="AO87">
            <v>6359040.5048068697</v>
          </cell>
          <cell r="AP87">
            <v>0</v>
          </cell>
          <cell r="AQ87">
            <v>-2135306.87</v>
          </cell>
          <cell r="AR87">
            <v>0</v>
          </cell>
          <cell r="AS87">
            <v>0</v>
          </cell>
          <cell r="AT87">
            <v>38128054.522458866</v>
          </cell>
          <cell r="AU87">
            <v>9.5578810444558906E-4</v>
          </cell>
          <cell r="AV87">
            <v>0</v>
          </cell>
          <cell r="AW87">
            <v>0</v>
          </cell>
          <cell r="AY87">
            <v>0</v>
          </cell>
          <cell r="AZ87">
            <v>0</v>
          </cell>
          <cell r="BA87">
            <v>0</v>
          </cell>
          <cell r="BB87">
            <v>0</v>
          </cell>
          <cell r="BC87">
            <v>0</v>
          </cell>
          <cell r="BD87">
            <v>0</v>
          </cell>
          <cell r="BE87">
            <v>0</v>
          </cell>
          <cell r="BF87">
            <v>0</v>
          </cell>
          <cell r="BG87">
            <v>0</v>
          </cell>
          <cell r="BH87">
            <v>0</v>
          </cell>
          <cell r="BJ87">
            <v>0</v>
          </cell>
          <cell r="BL87">
            <v>0</v>
          </cell>
          <cell r="BM87">
            <v>0</v>
          </cell>
          <cell r="BN87">
            <v>0</v>
          </cell>
          <cell r="BO87">
            <v>0</v>
          </cell>
          <cell r="BQ87">
            <v>0</v>
          </cell>
          <cell r="BR87">
            <v>0</v>
          </cell>
          <cell r="BS87">
            <v>0</v>
          </cell>
          <cell r="BT87">
            <v>0</v>
          </cell>
          <cell r="CB87">
            <v>0</v>
          </cell>
          <cell r="CC87">
            <v>0</v>
          </cell>
          <cell r="CD87">
            <v>0</v>
          </cell>
          <cell r="CE87">
            <v>0</v>
          </cell>
          <cell r="CF87">
            <v>0</v>
          </cell>
          <cell r="CI87">
            <v>0</v>
          </cell>
          <cell r="CJ87">
            <v>0</v>
          </cell>
          <cell r="CK87">
            <v>0</v>
          </cell>
          <cell r="CV87">
            <v>8.7643852311274301E-4</v>
          </cell>
          <cell r="DG87">
            <v>38128055</v>
          </cell>
          <cell r="DR87">
            <v>14297118.020000001</v>
          </cell>
          <cell r="EC87">
            <v>2.6668350185445275</v>
          </cell>
          <cell r="EN87">
            <v>2.4095909012463064E-2</v>
          </cell>
        </row>
        <row r="88">
          <cell r="B88">
            <v>30900</v>
          </cell>
          <cell r="C88" t="str">
            <v>Bladen County Schools</v>
          </cell>
          <cell r="D88">
            <v>1.4630847682845518E-3</v>
          </cell>
          <cell r="E88">
            <v>2531477.7951446106</v>
          </cell>
          <cell r="F88">
            <v>1973851.2920766564</v>
          </cell>
          <cell r="G88">
            <v>-356090</v>
          </cell>
          <cell r="H88">
            <v>-706372.25660087715</v>
          </cell>
          <cell r="I88">
            <v>-29231.016759902279</v>
          </cell>
          <cell r="J88">
            <v>2136213.1020009439</v>
          </cell>
          <cell r="K88">
            <v>0</v>
          </cell>
          <cell r="L88">
            <v>-112240.18267765587</v>
          </cell>
          <cell r="M88">
            <v>20142.305066736448</v>
          </cell>
          <cell r="N88">
            <v>759.31173304431672</v>
          </cell>
          <cell r="O88">
            <v>-342.66908357992486</v>
          </cell>
          <cell r="P88">
            <v>0</v>
          </cell>
          <cell r="Q88">
            <v>0</v>
          </cell>
          <cell r="R88">
            <v>0</v>
          </cell>
          <cell r="S88">
            <v>5458167.6808999768</v>
          </cell>
          <cell r="T88">
            <v>72471.319999999832</v>
          </cell>
          <cell r="U88">
            <v>10681065.51000472</v>
          </cell>
          <cell r="V88">
            <v>80569.220266945791</v>
          </cell>
          <cell r="W88">
            <v>0</v>
          </cell>
          <cell r="X88">
            <v>10834106.050271666</v>
          </cell>
          <cell r="Y88">
            <v>1852917</v>
          </cell>
          <cell r="Z88">
            <v>0</v>
          </cell>
          <cell r="AA88">
            <v>0</v>
          </cell>
          <cell r="AB88">
            <v>146155.0837995114</v>
          </cell>
          <cell r="AC88">
            <v>1999072.0837995114</v>
          </cell>
          <cell r="AD88" t="str">
            <v>N/A</v>
          </cell>
          <cell r="AE88">
            <v>1771035</v>
          </cell>
          <cell r="AF88">
            <v>1771034</v>
          </cell>
          <cell r="AG88">
            <v>1771034</v>
          </cell>
          <cell r="AH88">
            <v>1771034</v>
          </cell>
          <cell r="AI88">
            <v>1750892</v>
          </cell>
          <cell r="AJ88">
            <v>0</v>
          </cell>
          <cell r="AK88">
            <v>8835029</v>
          </cell>
          <cell r="AL88">
            <v>50731335</v>
          </cell>
          <cell r="AM88">
            <v>5458167.6808999768</v>
          </cell>
          <cell r="AN88">
            <v>-1375376.3199999998</v>
          </cell>
          <cell r="AO88">
            <v>10615479.646472154</v>
          </cell>
          <cell r="AP88">
            <v>0</v>
          </cell>
          <cell r="AQ88">
            <v>-1780445.6800000002</v>
          </cell>
          <cell r="AR88">
            <v>0</v>
          </cell>
          <cell r="AS88">
            <v>0</v>
          </cell>
          <cell r="AT88">
            <v>63649160.327372134</v>
          </cell>
          <cell r="AU88">
            <v>1.5301496183253258E-3</v>
          </cell>
          <cell r="AV88">
            <v>0</v>
          </cell>
          <cell r="AW88">
            <v>0</v>
          </cell>
          <cell r="AY88">
            <v>0</v>
          </cell>
          <cell r="AZ88">
            <v>0</v>
          </cell>
          <cell r="BA88">
            <v>0</v>
          </cell>
          <cell r="BB88">
            <v>0</v>
          </cell>
          <cell r="BC88">
            <v>0</v>
          </cell>
          <cell r="BD88">
            <v>0</v>
          </cell>
          <cell r="BE88">
            <v>0</v>
          </cell>
          <cell r="BF88">
            <v>0</v>
          </cell>
          <cell r="BG88">
            <v>0</v>
          </cell>
          <cell r="BH88">
            <v>0</v>
          </cell>
          <cell r="BJ88">
            <v>0</v>
          </cell>
          <cell r="BL88">
            <v>0</v>
          </cell>
          <cell r="BM88">
            <v>0</v>
          </cell>
          <cell r="BN88">
            <v>0</v>
          </cell>
          <cell r="BO88">
            <v>0</v>
          </cell>
          <cell r="BQ88">
            <v>0</v>
          </cell>
          <cell r="BR88">
            <v>0</v>
          </cell>
          <cell r="BS88">
            <v>0</v>
          </cell>
          <cell r="BT88">
            <v>0</v>
          </cell>
          <cell r="CB88">
            <v>0</v>
          </cell>
          <cell r="CC88">
            <v>0</v>
          </cell>
          <cell r="CD88">
            <v>0</v>
          </cell>
          <cell r="CE88">
            <v>0</v>
          </cell>
          <cell r="CF88">
            <v>0</v>
          </cell>
          <cell r="CI88">
            <v>0</v>
          </cell>
          <cell r="CJ88">
            <v>0</v>
          </cell>
          <cell r="CK88">
            <v>0</v>
          </cell>
          <cell r="CV88">
            <v>1.4630847682845518E-3</v>
          </cell>
          <cell r="DG88">
            <v>63649160</v>
          </cell>
          <cell r="DR88">
            <v>23961633.410000011</v>
          </cell>
          <cell r="EC88">
            <v>2.6562947070810718</v>
          </cell>
          <cell r="EN88">
            <v>2.4095909012463064E-2</v>
          </cell>
        </row>
        <row r="89">
          <cell r="B89">
            <v>30905</v>
          </cell>
          <cell r="C89" t="str">
            <v>Bladen Community College</v>
          </cell>
          <cell r="D89">
            <v>3.0286670498713838E-4</v>
          </cell>
          <cell r="E89">
            <v>524030.01875448454</v>
          </cell>
          <cell r="F89">
            <v>408598.22337347665</v>
          </cell>
          <cell r="G89">
            <v>-156197</v>
          </cell>
          <cell r="H89">
            <v>-146222.99574745423</v>
          </cell>
          <cell r="I89">
            <v>-6050.9834572849595</v>
          </cell>
          <cell r="J89">
            <v>442208.02333412616</v>
          </cell>
          <cell r="K89">
            <v>0</v>
          </cell>
          <cell r="L89">
            <v>-23234.343649543582</v>
          </cell>
          <cell r="M89">
            <v>4169.5694594380138</v>
          </cell>
          <cell r="N89">
            <v>157.18176255422509</v>
          </cell>
          <cell r="O89">
            <v>-70.934410975037679</v>
          </cell>
          <cell r="P89">
            <v>0</v>
          </cell>
          <cell r="Q89">
            <v>0</v>
          </cell>
          <cell r="R89">
            <v>0</v>
          </cell>
          <cell r="S89">
            <v>1047386.7594188218</v>
          </cell>
          <cell r="T89">
            <v>40756.950000000012</v>
          </cell>
          <cell r="U89">
            <v>2211040.1166706309</v>
          </cell>
          <cell r="V89">
            <v>16678.277837752055</v>
          </cell>
          <cell r="W89">
            <v>0</v>
          </cell>
          <cell r="X89">
            <v>2268475.344508383</v>
          </cell>
          <cell r="Y89">
            <v>821737</v>
          </cell>
          <cell r="Z89">
            <v>0</v>
          </cell>
          <cell r="AA89">
            <v>0</v>
          </cell>
          <cell r="AB89">
            <v>30254.917286424799</v>
          </cell>
          <cell r="AC89">
            <v>851991.91728642478</v>
          </cell>
          <cell r="AD89" t="str">
            <v>N/A</v>
          </cell>
          <cell r="AE89">
            <v>284131</v>
          </cell>
          <cell r="AF89">
            <v>284130</v>
          </cell>
          <cell r="AG89">
            <v>284130</v>
          </cell>
          <cell r="AH89">
            <v>284130</v>
          </cell>
          <cell r="AI89">
            <v>279960</v>
          </cell>
          <cell r="AJ89">
            <v>0</v>
          </cell>
          <cell r="AK89">
            <v>1416481</v>
          </cell>
          <cell r="AL89">
            <v>11027477</v>
          </cell>
          <cell r="AM89">
            <v>1047386.7594188218</v>
          </cell>
          <cell r="AN89">
            <v>-315615.95</v>
          </cell>
          <cell r="AO89">
            <v>2197463.4772219583</v>
          </cell>
          <cell r="AP89">
            <v>0</v>
          </cell>
          <cell r="AQ89">
            <v>-780980.05</v>
          </cell>
          <cell r="AR89">
            <v>0</v>
          </cell>
          <cell r="AS89">
            <v>0</v>
          </cell>
          <cell r="AT89">
            <v>13175731.236640779</v>
          </cell>
          <cell r="AU89">
            <v>3.3260882882919568E-4</v>
          </cell>
          <cell r="AV89">
            <v>0</v>
          </cell>
          <cell r="AW89">
            <v>0</v>
          </cell>
          <cell r="AY89">
            <v>0</v>
          </cell>
          <cell r="AZ89">
            <v>0</v>
          </cell>
          <cell r="BA89">
            <v>0</v>
          </cell>
          <cell r="BB89">
            <v>0</v>
          </cell>
          <cell r="BC89">
            <v>0</v>
          </cell>
          <cell r="BD89">
            <v>0</v>
          </cell>
          <cell r="BE89">
            <v>0</v>
          </cell>
          <cell r="BF89">
            <v>0</v>
          </cell>
          <cell r="BG89">
            <v>0</v>
          </cell>
          <cell r="BH89">
            <v>0</v>
          </cell>
          <cell r="BJ89">
            <v>0</v>
          </cell>
          <cell r="BL89">
            <v>0</v>
          </cell>
          <cell r="BM89">
            <v>0</v>
          </cell>
          <cell r="BN89">
            <v>0</v>
          </cell>
          <cell r="BO89">
            <v>0</v>
          </cell>
          <cell r="BQ89">
            <v>0</v>
          </cell>
          <cell r="BR89">
            <v>0</v>
          </cell>
          <cell r="BS89">
            <v>0</v>
          </cell>
          <cell r="BT89">
            <v>0</v>
          </cell>
          <cell r="CB89">
            <v>0</v>
          </cell>
          <cell r="CC89">
            <v>0</v>
          </cell>
          <cell r="CD89">
            <v>0</v>
          </cell>
          <cell r="CE89">
            <v>0</v>
          </cell>
          <cell r="CF89">
            <v>0</v>
          </cell>
          <cell r="CI89">
            <v>0</v>
          </cell>
          <cell r="CJ89">
            <v>0</v>
          </cell>
          <cell r="CK89">
            <v>0</v>
          </cell>
          <cell r="CV89">
            <v>3.0286670498713838E-4</v>
          </cell>
          <cell r="DG89">
            <v>13175731</v>
          </cell>
          <cell r="DR89">
            <v>5723122.6500000013</v>
          </cell>
          <cell r="EC89">
            <v>2.3021926674942037</v>
          </cell>
          <cell r="EN89">
            <v>2.4095909012463064E-2</v>
          </cell>
        </row>
        <row r="90">
          <cell r="B90">
            <v>31000</v>
          </cell>
          <cell r="C90" t="str">
            <v>Brunswick County Schools</v>
          </cell>
          <cell r="D90">
            <v>4.1676672482830312E-3</v>
          </cell>
          <cell r="E90">
            <v>7211036.1103342585</v>
          </cell>
          <cell r="F90">
            <v>5622610.2282606093</v>
          </cell>
          <cell r="G90">
            <v>-308896</v>
          </cell>
          <cell r="H90">
            <v>-2012135.3066801226</v>
          </cell>
          <cell r="I90">
            <v>-83265.955483287224</v>
          </cell>
          <cell r="J90">
            <v>6085105.6436060881</v>
          </cell>
          <cell r="K90">
            <v>0</v>
          </cell>
          <cell r="L90">
            <v>-319721.55231677828</v>
          </cell>
          <cell r="M90">
            <v>57376.323608364095</v>
          </cell>
          <cell r="N90">
            <v>2162.9359485139275</v>
          </cell>
          <cell r="O90">
            <v>-976.10934622036871</v>
          </cell>
          <cell r="P90">
            <v>0</v>
          </cell>
          <cell r="Q90">
            <v>0</v>
          </cell>
          <cell r="R90">
            <v>0</v>
          </cell>
          <cell r="S90">
            <v>16253296.317931427</v>
          </cell>
          <cell r="T90">
            <v>17427.320000000298</v>
          </cell>
          <cell r="U90">
            <v>30425528.218030442</v>
          </cell>
          <cell r="V90">
            <v>229505.29443345638</v>
          </cell>
          <cell r="W90">
            <v>0</v>
          </cell>
          <cell r="X90">
            <v>30672460.832463898</v>
          </cell>
          <cell r="Y90">
            <v>1561907</v>
          </cell>
          <cell r="Z90">
            <v>0</v>
          </cell>
          <cell r="AA90">
            <v>0</v>
          </cell>
          <cell r="AB90">
            <v>416329.77741643612</v>
          </cell>
          <cell r="AC90">
            <v>1978236.777416436</v>
          </cell>
          <cell r="AD90" t="str">
            <v>N/A</v>
          </cell>
          <cell r="AE90">
            <v>5750320</v>
          </cell>
          <cell r="AF90">
            <v>5750320</v>
          </cell>
          <cell r="AG90">
            <v>5750320</v>
          </cell>
          <cell r="AH90">
            <v>5750320</v>
          </cell>
          <cell r="AI90">
            <v>5692944</v>
          </cell>
          <cell r="AJ90">
            <v>0</v>
          </cell>
          <cell r="AK90">
            <v>28694224</v>
          </cell>
          <cell r="AL90">
            <v>140051183</v>
          </cell>
          <cell r="AM90">
            <v>16253296.317931427</v>
          </cell>
          <cell r="AN90">
            <v>-3691012.3200000003</v>
          </cell>
          <cell r="AO90">
            <v>30238703.735047463</v>
          </cell>
          <cell r="AP90">
            <v>0</v>
          </cell>
          <cell r="AQ90">
            <v>-1544479.6799999997</v>
          </cell>
          <cell r="AR90">
            <v>0</v>
          </cell>
          <cell r="AS90">
            <v>0</v>
          </cell>
          <cell r="AT90">
            <v>181307691.05297887</v>
          </cell>
          <cell r="AU90">
            <v>4.2241991804338845E-3</v>
          </cell>
          <cell r="AV90">
            <v>0</v>
          </cell>
          <cell r="AW90">
            <v>0</v>
          </cell>
          <cell r="AY90">
            <v>0</v>
          </cell>
          <cell r="AZ90">
            <v>0</v>
          </cell>
          <cell r="BA90">
            <v>0</v>
          </cell>
          <cell r="BB90">
            <v>0</v>
          </cell>
          <cell r="BC90">
            <v>0</v>
          </cell>
          <cell r="BD90">
            <v>0</v>
          </cell>
          <cell r="BE90">
            <v>0</v>
          </cell>
          <cell r="BF90">
            <v>0</v>
          </cell>
          <cell r="BG90">
            <v>0</v>
          </cell>
          <cell r="BH90">
            <v>0</v>
          </cell>
          <cell r="BJ90">
            <v>0</v>
          </cell>
          <cell r="BL90">
            <v>0</v>
          </cell>
          <cell r="BM90">
            <v>0</v>
          </cell>
          <cell r="BN90">
            <v>0</v>
          </cell>
          <cell r="BO90">
            <v>0</v>
          </cell>
          <cell r="BQ90">
            <v>0</v>
          </cell>
          <cell r="BR90">
            <v>0</v>
          </cell>
          <cell r="BS90">
            <v>0</v>
          </cell>
          <cell r="BT90">
            <v>0</v>
          </cell>
          <cell r="CB90">
            <v>0</v>
          </cell>
          <cell r="CC90">
            <v>0</v>
          </cell>
          <cell r="CD90">
            <v>0</v>
          </cell>
          <cell r="CE90">
            <v>0</v>
          </cell>
          <cell r="CF90">
            <v>0</v>
          </cell>
          <cell r="CI90">
            <v>0</v>
          </cell>
          <cell r="CJ90">
            <v>0</v>
          </cell>
          <cell r="CK90">
            <v>0</v>
          </cell>
          <cell r="CV90">
            <v>4.1676672482830312E-3</v>
          </cell>
          <cell r="DG90">
            <v>181307691</v>
          </cell>
          <cell r="DR90">
            <v>64067581.710000083</v>
          </cell>
          <cell r="EC90">
            <v>2.8299443518983378</v>
          </cell>
          <cell r="EN90">
            <v>2.4095909012463064E-2</v>
          </cell>
        </row>
        <row r="91">
          <cell r="B91">
            <v>31005</v>
          </cell>
          <cell r="C91" t="str">
            <v>Brunswick Community College</v>
          </cell>
          <cell r="D91">
            <v>4.139727274287298E-4</v>
          </cell>
          <cell r="E91">
            <v>716269.34405858442</v>
          </cell>
          <cell r="F91">
            <v>558491.63399996248</v>
          </cell>
          <cell r="G91">
            <v>-15265</v>
          </cell>
          <cell r="H91">
            <v>-199864.59840458122</v>
          </cell>
          <cell r="I91">
            <v>-8270.7741861052546</v>
          </cell>
          <cell r="J91">
            <v>604431.11935420416</v>
          </cell>
          <cell r="K91">
            <v>0</v>
          </cell>
          <cell r="L91">
            <v>-31757.814418809758</v>
          </cell>
          <cell r="M91">
            <v>5699.1673660542829</v>
          </cell>
          <cell r="N91">
            <v>214.8435660809622</v>
          </cell>
          <cell r="O91">
            <v>-96.956552491082803</v>
          </cell>
          <cell r="P91">
            <v>0</v>
          </cell>
          <cell r="Q91">
            <v>0</v>
          </cell>
          <cell r="R91">
            <v>0</v>
          </cell>
          <cell r="S91">
            <v>1629850.964782899</v>
          </cell>
          <cell r="T91">
            <v>54065.590000000026</v>
          </cell>
          <cell r="U91">
            <v>3022155.5967710209</v>
          </cell>
          <cell r="V91">
            <v>22796.669464217131</v>
          </cell>
          <cell r="W91">
            <v>0</v>
          </cell>
          <cell r="X91">
            <v>3099017.8562352378</v>
          </cell>
          <cell r="Y91">
            <v>130390</v>
          </cell>
          <cell r="Z91">
            <v>0</v>
          </cell>
          <cell r="AA91">
            <v>0</v>
          </cell>
          <cell r="AB91">
            <v>41353.870930526275</v>
          </cell>
          <cell r="AC91">
            <v>171743.87093052629</v>
          </cell>
          <cell r="AD91" t="str">
            <v>N/A</v>
          </cell>
          <cell r="AE91">
            <v>586595</v>
          </cell>
          <cell r="AF91">
            <v>586595</v>
          </cell>
          <cell r="AG91">
            <v>586595</v>
          </cell>
          <cell r="AH91">
            <v>586595</v>
          </cell>
          <cell r="AI91">
            <v>580895</v>
          </cell>
          <cell r="AJ91">
            <v>0</v>
          </cell>
          <cell r="AK91">
            <v>2927275</v>
          </cell>
          <cell r="AL91">
            <v>13881524</v>
          </cell>
          <cell r="AM91">
            <v>1629850.964782899</v>
          </cell>
          <cell r="AN91">
            <v>-429428.59</v>
          </cell>
          <cell r="AO91">
            <v>3003598.395304712</v>
          </cell>
          <cell r="AP91">
            <v>0</v>
          </cell>
          <cell r="AQ91">
            <v>-76324.409999999974</v>
          </cell>
          <cell r="AR91">
            <v>0</v>
          </cell>
          <cell r="AS91">
            <v>0</v>
          </cell>
          <cell r="AT91">
            <v>18009220.360087611</v>
          </cell>
          <cell r="AU91">
            <v>4.1869208054641017E-4</v>
          </cell>
          <cell r="AV91">
            <v>0</v>
          </cell>
          <cell r="AW91">
            <v>0</v>
          </cell>
          <cell r="AY91">
            <v>0</v>
          </cell>
          <cell r="AZ91">
            <v>0</v>
          </cell>
          <cell r="BA91">
            <v>0</v>
          </cell>
          <cell r="BB91">
            <v>0</v>
          </cell>
          <cell r="BC91">
            <v>0</v>
          </cell>
          <cell r="BD91">
            <v>0</v>
          </cell>
          <cell r="BE91">
            <v>0</v>
          </cell>
          <cell r="BF91">
            <v>0</v>
          </cell>
          <cell r="BG91">
            <v>0</v>
          </cell>
          <cell r="BH91">
            <v>0</v>
          </cell>
          <cell r="BJ91">
            <v>0</v>
          </cell>
          <cell r="BL91">
            <v>0</v>
          </cell>
          <cell r="BM91">
            <v>0</v>
          </cell>
          <cell r="BN91">
            <v>0</v>
          </cell>
          <cell r="BO91">
            <v>0</v>
          </cell>
          <cell r="BQ91">
            <v>0</v>
          </cell>
          <cell r="BR91">
            <v>0</v>
          </cell>
          <cell r="BS91">
            <v>0</v>
          </cell>
          <cell r="BT91">
            <v>0</v>
          </cell>
          <cell r="CB91">
            <v>0</v>
          </cell>
          <cell r="CC91">
            <v>0</v>
          </cell>
          <cell r="CD91">
            <v>0</v>
          </cell>
          <cell r="CE91">
            <v>0</v>
          </cell>
          <cell r="CF91">
            <v>0</v>
          </cell>
          <cell r="CI91">
            <v>0</v>
          </cell>
          <cell r="CJ91">
            <v>0</v>
          </cell>
          <cell r="CK91">
            <v>0</v>
          </cell>
          <cell r="CV91">
            <v>4.139727274287298E-4</v>
          </cell>
          <cell r="DG91">
            <v>18009221</v>
          </cell>
          <cell r="DR91">
            <v>7512434.1100000022</v>
          </cell>
          <cell r="EC91">
            <v>2.3972551021815209</v>
          </cell>
          <cell r="EN91">
            <v>2.4095909012463064E-2</v>
          </cell>
        </row>
        <row r="92">
          <cell r="B92">
            <v>31100</v>
          </cell>
          <cell r="C92" t="str">
            <v>Buncombe County Schools</v>
          </cell>
          <cell r="D92">
            <v>8.700026123423554E-3</v>
          </cell>
          <cell r="E92">
            <v>15053073.769913921</v>
          </cell>
          <cell r="F92">
            <v>11737226.835431313</v>
          </cell>
          <cell r="G92">
            <v>174364</v>
          </cell>
          <cell r="H92">
            <v>-4200342.4671659637</v>
          </cell>
          <cell r="I92">
            <v>-173818.09648907595</v>
          </cell>
          <cell r="J92">
            <v>12702688.316821644</v>
          </cell>
          <cell r="K92">
            <v>0</v>
          </cell>
          <cell r="L92">
            <v>-667420.33172716503</v>
          </cell>
          <cell r="M92">
            <v>119773.36109652669</v>
          </cell>
          <cell r="N92">
            <v>4515.1395575343558</v>
          </cell>
          <cell r="O92">
            <v>-2037.6331183670306</v>
          </cell>
          <cell r="P92">
            <v>0</v>
          </cell>
          <cell r="Q92">
            <v>0</v>
          </cell>
          <cell r="R92">
            <v>0</v>
          </cell>
          <cell r="S92">
            <v>34748022.894320369</v>
          </cell>
          <cell r="T92">
            <v>1054751</v>
          </cell>
          <cell r="U92">
            <v>63513441.584108219</v>
          </cell>
          <cell r="V92">
            <v>479093.44438610674</v>
          </cell>
          <cell r="W92">
            <v>0</v>
          </cell>
          <cell r="X92">
            <v>65047286.028494328</v>
          </cell>
          <cell r="Y92">
            <v>182932.5700000003</v>
          </cell>
          <cell r="Z92">
            <v>0</v>
          </cell>
          <cell r="AA92">
            <v>0</v>
          </cell>
          <cell r="AB92">
            <v>869090.48244537984</v>
          </cell>
          <cell r="AC92">
            <v>1052023.05244538</v>
          </cell>
          <cell r="AD92" t="str">
            <v>N/A</v>
          </cell>
          <cell r="AE92">
            <v>12823007</v>
          </cell>
          <cell r="AF92">
            <v>12823008</v>
          </cell>
          <cell r="AG92">
            <v>12823008</v>
          </cell>
          <cell r="AH92">
            <v>12823008</v>
          </cell>
          <cell r="AI92">
            <v>12703234</v>
          </cell>
          <cell r="AJ92">
            <v>0</v>
          </cell>
          <cell r="AK92">
            <v>63995265</v>
          </cell>
          <cell r="AL92">
            <v>287179255</v>
          </cell>
          <cell r="AM92">
            <v>34748022.894320369</v>
          </cell>
          <cell r="AN92">
            <v>-7441833.4299999997</v>
          </cell>
          <cell r="AO92">
            <v>63123444.546048947</v>
          </cell>
          <cell r="AP92">
            <v>0</v>
          </cell>
          <cell r="AQ92">
            <v>871818.4299999997</v>
          </cell>
          <cell r="AR92">
            <v>0</v>
          </cell>
          <cell r="AS92">
            <v>0</v>
          </cell>
          <cell r="AT92">
            <v>378480707.44036931</v>
          </cell>
          <cell r="AU92">
            <v>8.6618502728942094E-3</v>
          </cell>
          <cell r="AV92">
            <v>0</v>
          </cell>
          <cell r="AW92">
            <v>0</v>
          </cell>
          <cell r="AY92">
            <v>0</v>
          </cell>
          <cell r="AZ92">
            <v>0</v>
          </cell>
          <cell r="BA92">
            <v>0</v>
          </cell>
          <cell r="BB92">
            <v>0</v>
          </cell>
          <cell r="BC92">
            <v>0</v>
          </cell>
          <cell r="BD92">
            <v>0</v>
          </cell>
          <cell r="BE92">
            <v>0</v>
          </cell>
          <cell r="BF92">
            <v>0</v>
          </cell>
          <cell r="BG92">
            <v>0</v>
          </cell>
          <cell r="BH92">
            <v>0</v>
          </cell>
          <cell r="BJ92">
            <v>0</v>
          </cell>
          <cell r="BL92">
            <v>0</v>
          </cell>
          <cell r="BM92">
            <v>0</v>
          </cell>
          <cell r="BN92">
            <v>0</v>
          </cell>
          <cell r="BO92">
            <v>0</v>
          </cell>
          <cell r="BQ92">
            <v>0</v>
          </cell>
          <cell r="BR92">
            <v>0</v>
          </cell>
          <cell r="BS92">
            <v>0</v>
          </cell>
          <cell r="BT92">
            <v>0</v>
          </cell>
          <cell r="CB92">
            <v>0</v>
          </cell>
          <cell r="CC92">
            <v>0</v>
          </cell>
          <cell r="CD92">
            <v>0</v>
          </cell>
          <cell r="CE92">
            <v>0</v>
          </cell>
          <cell r="CF92">
            <v>0</v>
          </cell>
          <cell r="CI92">
            <v>0</v>
          </cell>
          <cell r="CJ92">
            <v>0</v>
          </cell>
          <cell r="CK92">
            <v>0</v>
          </cell>
          <cell r="CV92">
            <v>8.700026123423554E-3</v>
          </cell>
          <cell r="DG92">
            <v>378480708</v>
          </cell>
          <cell r="DR92">
            <v>129776898.55999997</v>
          </cell>
          <cell r="EC92">
            <v>2.9163950764705353</v>
          </cell>
          <cell r="EN92">
            <v>2.4095909012463064E-2</v>
          </cell>
        </row>
        <row r="93">
          <cell r="B93">
            <v>31101</v>
          </cell>
          <cell r="C93" t="str">
            <v>F. Delany New School For Children</v>
          </cell>
          <cell r="D93">
            <v>5.8952444093732966E-5</v>
          </cell>
          <cell r="E93">
            <v>102001.47416459493</v>
          </cell>
          <cell r="F93">
            <v>79532.888639067853</v>
          </cell>
          <cell r="G93">
            <v>-19370</v>
          </cell>
          <cell r="H93">
            <v>-28462.035740726325</v>
          </cell>
          <cell r="I93">
            <v>-1177.8127410632449</v>
          </cell>
          <cell r="J93">
            <v>86074.974053395199</v>
          </cell>
          <cell r="K93">
            <v>0</v>
          </cell>
          <cell r="L93">
            <v>-4522.5220286675767</v>
          </cell>
          <cell r="M93">
            <v>811.59898531234842</v>
          </cell>
          <cell r="N93">
            <v>30.595139435765535</v>
          </cell>
          <cell r="O93">
            <v>-13.807251931193198</v>
          </cell>
          <cell r="P93">
            <v>0</v>
          </cell>
          <cell r="Q93">
            <v>0</v>
          </cell>
          <cell r="R93">
            <v>0</v>
          </cell>
          <cell r="S93">
            <v>214905.35321941774</v>
          </cell>
          <cell r="T93">
            <v>0</v>
          </cell>
          <cell r="U93">
            <v>430374.87026697601</v>
          </cell>
          <cell r="V93">
            <v>3246.3959412493937</v>
          </cell>
          <cell r="W93">
            <v>0</v>
          </cell>
          <cell r="X93">
            <v>433621.2662082254</v>
          </cell>
          <cell r="Y93">
            <v>96854.32</v>
          </cell>
          <cell r="Z93">
            <v>0</v>
          </cell>
          <cell r="AA93">
            <v>0</v>
          </cell>
          <cell r="AB93">
            <v>5889.0637053162245</v>
          </cell>
          <cell r="AC93">
            <v>102743.38370531623</v>
          </cell>
          <cell r="AD93" t="str">
            <v>N/A</v>
          </cell>
          <cell r="AE93">
            <v>66339</v>
          </cell>
          <cell r="AF93">
            <v>66337</v>
          </cell>
          <cell r="AG93">
            <v>66337</v>
          </cell>
          <cell r="AH93">
            <v>66337</v>
          </cell>
          <cell r="AI93">
            <v>65525</v>
          </cell>
          <cell r="AJ93">
            <v>0</v>
          </cell>
          <cell r="AK93">
            <v>330875</v>
          </cell>
          <cell r="AL93">
            <v>2062750</v>
          </cell>
          <cell r="AM93">
            <v>214905.35321941774</v>
          </cell>
          <cell r="AN93">
            <v>-43901.68</v>
          </cell>
          <cell r="AO93">
            <v>427732.20250290923</v>
          </cell>
          <cell r="AP93">
            <v>0</v>
          </cell>
          <cell r="AQ93">
            <v>-96854.32</v>
          </cell>
          <cell r="AR93">
            <v>0</v>
          </cell>
          <cell r="AS93">
            <v>0</v>
          </cell>
          <cell r="AT93">
            <v>2564631.555722327</v>
          </cell>
          <cell r="AU93">
            <v>6.2216295870849605E-5</v>
          </cell>
          <cell r="AV93">
            <v>0</v>
          </cell>
          <cell r="AW93">
            <v>0</v>
          </cell>
          <cell r="AY93">
            <v>0</v>
          </cell>
          <cell r="AZ93">
            <v>0</v>
          </cell>
          <cell r="BA93">
            <v>0</v>
          </cell>
          <cell r="BB93">
            <v>0</v>
          </cell>
          <cell r="BC93">
            <v>0</v>
          </cell>
          <cell r="BD93">
            <v>0</v>
          </cell>
          <cell r="BE93">
            <v>0</v>
          </cell>
          <cell r="BF93">
            <v>0</v>
          </cell>
          <cell r="BG93">
            <v>0</v>
          </cell>
          <cell r="BH93">
            <v>0</v>
          </cell>
          <cell r="BJ93">
            <v>0</v>
          </cell>
          <cell r="BL93">
            <v>0</v>
          </cell>
          <cell r="BM93">
            <v>0</v>
          </cell>
          <cell r="BN93">
            <v>0</v>
          </cell>
          <cell r="BO93">
            <v>0</v>
          </cell>
          <cell r="BQ93">
            <v>0</v>
          </cell>
          <cell r="BR93">
            <v>0</v>
          </cell>
          <cell r="BS93">
            <v>0</v>
          </cell>
          <cell r="BT93">
            <v>0</v>
          </cell>
          <cell r="CB93">
            <v>0</v>
          </cell>
          <cell r="CC93">
            <v>0</v>
          </cell>
          <cell r="CD93">
            <v>0</v>
          </cell>
          <cell r="CE93">
            <v>0</v>
          </cell>
          <cell r="CF93">
            <v>0</v>
          </cell>
          <cell r="CI93">
            <v>0</v>
          </cell>
          <cell r="CJ93">
            <v>0</v>
          </cell>
          <cell r="CK93">
            <v>0</v>
          </cell>
          <cell r="CV93">
            <v>5.8952444093732966E-5</v>
          </cell>
          <cell r="DG93">
            <v>2564632</v>
          </cell>
          <cell r="DR93">
            <v>758738.24999999988</v>
          </cell>
          <cell r="EC93">
            <v>3.3801274682013203</v>
          </cell>
          <cell r="EN93">
            <v>2.4095909012463064E-2</v>
          </cell>
        </row>
        <row r="94">
          <cell r="B94">
            <v>31102</v>
          </cell>
          <cell r="C94" t="str">
            <v>Evergreen Community Charter School</v>
          </cell>
          <cell r="D94">
            <v>1.4625296914261404E-4</v>
          </cell>
          <cell r="E94">
            <v>253051.7382752843</v>
          </cell>
          <cell r="F94">
            <v>197310.24365093457</v>
          </cell>
          <cell r="G94">
            <v>24869</v>
          </cell>
          <cell r="H94">
            <v>-70610.426741695395</v>
          </cell>
          <cell r="I94">
            <v>-2921.9926861830086</v>
          </cell>
          <cell r="J94">
            <v>213540.26483052594</v>
          </cell>
          <cell r="K94">
            <v>0</v>
          </cell>
          <cell r="L94">
            <v>-11219.760009506137</v>
          </cell>
          <cell r="M94">
            <v>2013.4663317153668</v>
          </cell>
          <cell r="N94">
            <v>75.902365925633831</v>
          </cell>
          <cell r="O94">
            <v>-34.253907902891633</v>
          </cell>
          <cell r="P94">
            <v>0</v>
          </cell>
          <cell r="Q94">
            <v>0</v>
          </cell>
          <cell r="R94">
            <v>0</v>
          </cell>
          <cell r="S94">
            <v>606074.1821090983</v>
          </cell>
          <cell r="T94">
            <v>147564</v>
          </cell>
          <cell r="U94">
            <v>1067701.3241526298</v>
          </cell>
          <cell r="V94">
            <v>8053.8653268614671</v>
          </cell>
          <cell r="W94">
            <v>0</v>
          </cell>
          <cell r="X94">
            <v>1223319.1894794912</v>
          </cell>
          <cell r="Y94">
            <v>23219.53</v>
          </cell>
          <cell r="Z94">
            <v>0</v>
          </cell>
          <cell r="AA94">
            <v>0</v>
          </cell>
          <cell r="AB94">
            <v>14609.963430915042</v>
          </cell>
          <cell r="AC94">
            <v>37829.493430915041</v>
          </cell>
          <cell r="AD94" t="str">
            <v>N/A</v>
          </cell>
          <cell r="AE94">
            <v>237501</v>
          </cell>
          <cell r="AF94">
            <v>237501</v>
          </cell>
          <cell r="AG94">
            <v>237501</v>
          </cell>
          <cell r="AH94">
            <v>237501</v>
          </cell>
          <cell r="AI94">
            <v>235487</v>
          </cell>
          <cell r="AJ94">
            <v>0</v>
          </cell>
          <cell r="AK94">
            <v>1185491</v>
          </cell>
          <cell r="AL94">
            <v>4671866</v>
          </cell>
          <cell r="AM94">
            <v>606074.1821090983</v>
          </cell>
          <cell r="AN94">
            <v>-100928.47</v>
          </cell>
          <cell r="AO94">
            <v>1061145.2260485762</v>
          </cell>
          <cell r="AP94">
            <v>0</v>
          </cell>
          <cell r="AQ94">
            <v>124344.47</v>
          </cell>
          <cell r="AR94">
            <v>0</v>
          </cell>
          <cell r="AS94">
            <v>0</v>
          </cell>
          <cell r="AT94">
            <v>6362501.4081576737</v>
          </cell>
          <cell r="AU94">
            <v>1.4091199513457432E-4</v>
          </cell>
          <cell r="AV94">
            <v>0</v>
          </cell>
          <cell r="AW94">
            <v>0</v>
          </cell>
          <cell r="AY94">
            <v>0</v>
          </cell>
          <cell r="AZ94">
            <v>0</v>
          </cell>
          <cell r="BA94">
            <v>0</v>
          </cell>
          <cell r="BB94">
            <v>0</v>
          </cell>
          <cell r="BC94">
            <v>0</v>
          </cell>
          <cell r="BD94">
            <v>0</v>
          </cell>
          <cell r="BE94">
            <v>0</v>
          </cell>
          <cell r="BF94">
            <v>0</v>
          </cell>
          <cell r="BG94">
            <v>0</v>
          </cell>
          <cell r="BH94">
            <v>0</v>
          </cell>
          <cell r="BJ94">
            <v>0</v>
          </cell>
          <cell r="BL94">
            <v>0</v>
          </cell>
          <cell r="BM94">
            <v>0</v>
          </cell>
          <cell r="BN94">
            <v>0</v>
          </cell>
          <cell r="BO94">
            <v>0</v>
          </cell>
          <cell r="BQ94">
            <v>0</v>
          </cell>
          <cell r="BR94">
            <v>0</v>
          </cell>
          <cell r="BS94">
            <v>0</v>
          </cell>
          <cell r="BT94">
            <v>0</v>
          </cell>
          <cell r="CB94">
            <v>0</v>
          </cell>
          <cell r="CC94">
            <v>0</v>
          </cell>
          <cell r="CD94">
            <v>0</v>
          </cell>
          <cell r="CE94">
            <v>0</v>
          </cell>
          <cell r="CF94">
            <v>0</v>
          </cell>
          <cell r="CI94">
            <v>0</v>
          </cell>
          <cell r="CJ94">
            <v>0</v>
          </cell>
          <cell r="CK94">
            <v>0</v>
          </cell>
          <cell r="CV94">
            <v>1.4625296914261404E-4</v>
          </cell>
          <cell r="DG94">
            <v>6362501</v>
          </cell>
          <cell r="DR94">
            <v>1780792.73</v>
          </cell>
          <cell r="EC94">
            <v>3.5728475823236319</v>
          </cell>
          <cell r="EN94">
            <v>2.4095909012463064E-2</v>
          </cell>
        </row>
        <row r="95">
          <cell r="B95">
            <v>31105</v>
          </cell>
          <cell r="C95" t="str">
            <v>Asheville-Buncombe Technical College</v>
          </cell>
          <cell r="D95">
            <v>1.3901422219367123E-3</v>
          </cell>
          <cell r="E95">
            <v>2405270.1820222591</v>
          </cell>
          <cell r="F95">
            <v>1875444.3217649795</v>
          </cell>
          <cell r="G95">
            <v>-214565</v>
          </cell>
          <cell r="H95">
            <v>-671155.84796698135</v>
          </cell>
          <cell r="I95">
            <v>-27773.695324382446</v>
          </cell>
          <cell r="J95">
            <v>2029711.5331381476</v>
          </cell>
          <cell r="K95">
            <v>0</v>
          </cell>
          <cell r="L95">
            <v>-106644.41344778812</v>
          </cell>
          <cell r="M95">
            <v>19138.104180546237</v>
          </cell>
          <cell r="N95">
            <v>721.4560103407149</v>
          </cell>
          <cell r="O95">
            <v>-325.58520979979738</v>
          </cell>
          <cell r="P95">
            <v>0</v>
          </cell>
          <cell r="Q95">
            <v>0</v>
          </cell>
          <cell r="R95">
            <v>0</v>
          </cell>
          <cell r="S95">
            <v>5309821.055167322</v>
          </cell>
          <cell r="T95">
            <v>35917.379999999888</v>
          </cell>
          <cell r="U95">
            <v>10148557.665690737</v>
          </cell>
          <cell r="V95">
            <v>76552.416722184949</v>
          </cell>
          <cell r="W95">
            <v>0</v>
          </cell>
          <cell r="X95">
            <v>10261027.462412922</v>
          </cell>
          <cell r="Y95">
            <v>1108742</v>
          </cell>
          <cell r="Z95">
            <v>0</v>
          </cell>
          <cell r="AA95">
            <v>0</v>
          </cell>
          <cell r="AB95">
            <v>138868.47662191224</v>
          </cell>
          <cell r="AC95">
            <v>1247610.4766219123</v>
          </cell>
          <cell r="AD95" t="str">
            <v>N/A</v>
          </cell>
          <cell r="AE95">
            <v>1806511</v>
          </cell>
          <cell r="AF95">
            <v>1806511</v>
          </cell>
          <cell r="AG95">
            <v>1806511</v>
          </cell>
          <cell r="AH95">
            <v>1806511</v>
          </cell>
          <cell r="AI95">
            <v>1787373</v>
          </cell>
          <cell r="AJ95">
            <v>0</v>
          </cell>
          <cell r="AK95">
            <v>9013417</v>
          </cell>
          <cell r="AL95">
            <v>47419952</v>
          </cell>
          <cell r="AM95">
            <v>5309821.055167322</v>
          </cell>
          <cell r="AN95">
            <v>-1267278.3799999999</v>
          </cell>
          <cell r="AO95">
            <v>10086241.60579101</v>
          </cell>
          <cell r="AP95">
            <v>0</v>
          </cell>
          <cell r="AQ95">
            <v>-1072824.6200000001</v>
          </cell>
          <cell r="AR95">
            <v>0</v>
          </cell>
          <cell r="AS95">
            <v>0</v>
          </cell>
          <cell r="AT95">
            <v>60475911.660958335</v>
          </cell>
          <cell r="AU95">
            <v>1.4302722583608935E-3</v>
          </cell>
          <cell r="AV95">
            <v>0</v>
          </cell>
          <cell r="AW95">
            <v>0</v>
          </cell>
          <cell r="AY95">
            <v>0</v>
          </cell>
          <cell r="AZ95">
            <v>0</v>
          </cell>
          <cell r="BA95">
            <v>0</v>
          </cell>
          <cell r="BB95">
            <v>0</v>
          </cell>
          <cell r="BC95">
            <v>0</v>
          </cell>
          <cell r="BD95">
            <v>0</v>
          </cell>
          <cell r="BE95">
            <v>0</v>
          </cell>
          <cell r="BF95">
            <v>0</v>
          </cell>
          <cell r="BG95">
            <v>0</v>
          </cell>
          <cell r="BH95">
            <v>0</v>
          </cell>
          <cell r="BJ95">
            <v>0</v>
          </cell>
          <cell r="BL95">
            <v>0</v>
          </cell>
          <cell r="BM95">
            <v>0</v>
          </cell>
          <cell r="BN95">
            <v>0</v>
          </cell>
          <cell r="BO95">
            <v>0</v>
          </cell>
          <cell r="BQ95">
            <v>0</v>
          </cell>
          <cell r="BR95">
            <v>0</v>
          </cell>
          <cell r="BS95">
            <v>0</v>
          </cell>
          <cell r="BT95">
            <v>0</v>
          </cell>
          <cell r="CB95">
            <v>0</v>
          </cell>
          <cell r="CC95">
            <v>0</v>
          </cell>
          <cell r="CD95">
            <v>0</v>
          </cell>
          <cell r="CE95">
            <v>0</v>
          </cell>
          <cell r="CF95">
            <v>0</v>
          </cell>
          <cell r="CI95">
            <v>0</v>
          </cell>
          <cell r="CJ95">
            <v>0</v>
          </cell>
          <cell r="CK95">
            <v>0</v>
          </cell>
          <cell r="CV95">
            <v>1.3901422219367123E-3</v>
          </cell>
          <cell r="DG95">
            <v>60475912</v>
          </cell>
          <cell r="DR95">
            <v>21942969.110000011</v>
          </cell>
          <cell r="EC95">
            <v>2.7560496347068852</v>
          </cell>
          <cell r="EN95">
            <v>2.4095909012463064E-2</v>
          </cell>
        </row>
        <row r="96">
          <cell r="B96">
            <v>31110</v>
          </cell>
          <cell r="C96" t="str">
            <v>Asheville City Schools</v>
          </cell>
          <cell r="D96">
            <v>2.0197565345193864E-3</v>
          </cell>
          <cell r="E96">
            <v>3494649.7493299358</v>
          </cell>
          <cell r="F96">
            <v>2724858.553490181</v>
          </cell>
          <cell r="G96">
            <v>-299624</v>
          </cell>
          <cell r="H96">
            <v>-975131.45649490552</v>
          </cell>
          <cell r="I96">
            <v>-40352.779545836864</v>
          </cell>
          <cell r="J96">
            <v>2948995.4822994871</v>
          </cell>
          <cell r="K96">
            <v>0</v>
          </cell>
          <cell r="L96">
            <v>-154945.11822759622</v>
          </cell>
          <cell r="M96">
            <v>27806.011764119216</v>
          </cell>
          <cell r="N96">
            <v>1048.213246284871</v>
          </cell>
          <cell r="O96">
            <v>-473.04717794978546</v>
          </cell>
          <cell r="P96">
            <v>0</v>
          </cell>
          <cell r="Q96">
            <v>0</v>
          </cell>
          <cell r="R96">
            <v>0</v>
          </cell>
          <cell r="S96">
            <v>7726831.6086837193</v>
          </cell>
          <cell r="T96">
            <v>0</v>
          </cell>
          <cell r="U96">
            <v>14744977.411497435</v>
          </cell>
          <cell r="V96">
            <v>111224.04705647686</v>
          </cell>
          <cell r="W96">
            <v>0</v>
          </cell>
          <cell r="X96">
            <v>14856201.458553912</v>
          </cell>
          <cell r="Y96">
            <v>1498118.76</v>
          </cell>
          <cell r="Z96">
            <v>0</v>
          </cell>
          <cell r="AA96">
            <v>0</v>
          </cell>
          <cell r="AB96">
            <v>201763.89772918433</v>
          </cell>
          <cell r="AC96">
            <v>1699882.6577291843</v>
          </cell>
          <cell r="AD96" t="str">
            <v>N/A</v>
          </cell>
          <cell r="AE96">
            <v>2636825</v>
          </cell>
          <cell r="AF96">
            <v>2636826</v>
          </cell>
          <cell r="AG96">
            <v>2636826</v>
          </cell>
          <cell r="AH96">
            <v>2636826</v>
          </cell>
          <cell r="AI96">
            <v>2609020</v>
          </cell>
          <cell r="AJ96">
            <v>0</v>
          </cell>
          <cell r="AK96">
            <v>13156323</v>
          </cell>
          <cell r="AL96">
            <v>68615139</v>
          </cell>
          <cell r="AM96">
            <v>7726831.6086837193</v>
          </cell>
          <cell r="AN96">
            <v>-1632015.24</v>
          </cell>
          <cell r="AO96">
            <v>14654437.560824728</v>
          </cell>
          <cell r="AP96">
            <v>0</v>
          </cell>
          <cell r="AQ96">
            <v>-1498118.76</v>
          </cell>
          <cell r="AR96">
            <v>0</v>
          </cell>
          <cell r="AS96">
            <v>0</v>
          </cell>
          <cell r="AT96">
            <v>87866274.169508442</v>
          </cell>
          <cell r="AU96">
            <v>2.0695577845615447E-3</v>
          </cell>
          <cell r="AV96">
            <v>0</v>
          </cell>
          <cell r="AW96">
            <v>0</v>
          </cell>
          <cell r="AY96">
            <v>0</v>
          </cell>
          <cell r="AZ96">
            <v>0</v>
          </cell>
          <cell r="BA96">
            <v>0</v>
          </cell>
          <cell r="BB96">
            <v>0</v>
          </cell>
          <cell r="BC96">
            <v>0</v>
          </cell>
          <cell r="BD96">
            <v>0</v>
          </cell>
          <cell r="BE96">
            <v>0</v>
          </cell>
          <cell r="BF96">
            <v>0</v>
          </cell>
          <cell r="BG96">
            <v>0</v>
          </cell>
          <cell r="BH96">
            <v>0</v>
          </cell>
          <cell r="BJ96">
            <v>0</v>
          </cell>
          <cell r="BL96">
            <v>0</v>
          </cell>
          <cell r="BM96">
            <v>0</v>
          </cell>
          <cell r="BN96">
            <v>0</v>
          </cell>
          <cell r="BO96">
            <v>0</v>
          </cell>
          <cell r="BQ96">
            <v>0</v>
          </cell>
          <cell r="BR96">
            <v>0</v>
          </cell>
          <cell r="BS96">
            <v>0</v>
          </cell>
          <cell r="BT96">
            <v>0</v>
          </cell>
          <cell r="CB96">
            <v>0</v>
          </cell>
          <cell r="CC96">
            <v>0</v>
          </cell>
          <cell r="CD96">
            <v>0</v>
          </cell>
          <cell r="CE96">
            <v>0</v>
          </cell>
          <cell r="CF96">
            <v>0</v>
          </cell>
          <cell r="CI96">
            <v>0</v>
          </cell>
          <cell r="CJ96">
            <v>0</v>
          </cell>
          <cell r="CK96">
            <v>0</v>
          </cell>
          <cell r="CV96">
            <v>2.0197565345193864E-3</v>
          </cell>
          <cell r="DG96">
            <v>87866274</v>
          </cell>
          <cell r="DR96">
            <v>28443769.960000005</v>
          </cell>
          <cell r="EC96">
            <v>3.08912194563396</v>
          </cell>
          <cell r="EN96">
            <v>2.4095909012463064E-2</v>
          </cell>
        </row>
        <row r="97">
          <cell r="B97">
            <v>31200</v>
          </cell>
          <cell r="C97" t="str">
            <v>Burke County Schools</v>
          </cell>
          <cell r="D97">
            <v>4.11289503337617E-3</v>
          </cell>
          <cell r="E97">
            <v>7116267.4073628113</v>
          </cell>
          <cell r="F97">
            <v>5548716.8971923292</v>
          </cell>
          <cell r="G97">
            <v>-872569</v>
          </cell>
          <cell r="H97">
            <v>-1985691.4711065006</v>
          </cell>
          <cell r="I97">
            <v>-82171.659673074784</v>
          </cell>
          <cell r="J97">
            <v>6005134.1165654268</v>
          </cell>
          <cell r="K97">
            <v>0</v>
          </cell>
          <cell r="L97">
            <v>-315519.71552640974</v>
          </cell>
          <cell r="M97">
            <v>56622.273887015152</v>
          </cell>
          <cell r="N97">
            <v>2134.5102644215649</v>
          </cell>
          <cell r="O97">
            <v>-963.28114576703274</v>
          </cell>
          <cell r="P97">
            <v>0</v>
          </cell>
          <cell r="Q97">
            <v>0</v>
          </cell>
          <cell r="R97">
            <v>0</v>
          </cell>
          <cell r="S97">
            <v>15471960.077820253</v>
          </cell>
          <cell r="T97">
            <v>0</v>
          </cell>
          <cell r="U97">
            <v>30025670.582827132</v>
          </cell>
          <cell r="V97">
            <v>226489.09554806061</v>
          </cell>
          <cell r="W97">
            <v>0</v>
          </cell>
          <cell r="X97">
            <v>30252159.678375192</v>
          </cell>
          <cell r="Y97">
            <v>4362842.21</v>
          </cell>
          <cell r="Z97">
            <v>0</v>
          </cell>
          <cell r="AA97">
            <v>0</v>
          </cell>
          <cell r="AB97">
            <v>410858.29836537392</v>
          </cell>
          <cell r="AC97">
            <v>4773700.5083653741</v>
          </cell>
          <cell r="AD97" t="str">
            <v>N/A</v>
          </cell>
          <cell r="AE97">
            <v>5107016</v>
          </cell>
          <cell r="AF97">
            <v>5107016</v>
          </cell>
          <cell r="AG97">
            <v>5107016</v>
          </cell>
          <cell r="AH97">
            <v>5107016</v>
          </cell>
          <cell r="AI97">
            <v>5050393</v>
          </cell>
          <cell r="AJ97">
            <v>0</v>
          </cell>
          <cell r="AK97">
            <v>25478457</v>
          </cell>
          <cell r="AL97">
            <v>141550853</v>
          </cell>
          <cell r="AM97">
            <v>15471960.077820253</v>
          </cell>
          <cell r="AN97">
            <v>-3576358.79</v>
          </cell>
          <cell r="AO97">
            <v>29841301.380009823</v>
          </cell>
          <cell r="AP97">
            <v>0</v>
          </cell>
          <cell r="AQ97">
            <v>-4362842.21</v>
          </cell>
          <cell r="AR97">
            <v>0</v>
          </cell>
          <cell r="AS97">
            <v>0</v>
          </cell>
          <cell r="AT97">
            <v>178924913.45783007</v>
          </cell>
          <cell r="AU97">
            <v>4.2694319849186811E-3</v>
          </cell>
          <cell r="AV97">
            <v>0</v>
          </cell>
          <cell r="AW97">
            <v>0</v>
          </cell>
          <cell r="AY97">
            <v>0</v>
          </cell>
          <cell r="AZ97">
            <v>0</v>
          </cell>
          <cell r="BA97">
            <v>0</v>
          </cell>
          <cell r="BB97">
            <v>0</v>
          </cell>
          <cell r="BC97">
            <v>0</v>
          </cell>
          <cell r="BD97">
            <v>0</v>
          </cell>
          <cell r="BE97">
            <v>0</v>
          </cell>
          <cell r="BF97">
            <v>0</v>
          </cell>
          <cell r="BG97">
            <v>0</v>
          </cell>
          <cell r="BH97">
            <v>0</v>
          </cell>
          <cell r="BJ97">
            <v>0</v>
          </cell>
          <cell r="BL97">
            <v>0</v>
          </cell>
          <cell r="BM97">
            <v>0</v>
          </cell>
          <cell r="BN97">
            <v>0</v>
          </cell>
          <cell r="BO97">
            <v>0</v>
          </cell>
          <cell r="BQ97">
            <v>0</v>
          </cell>
          <cell r="BR97">
            <v>0</v>
          </cell>
          <cell r="BS97">
            <v>0</v>
          </cell>
          <cell r="BT97">
            <v>0</v>
          </cell>
          <cell r="CB97">
            <v>0</v>
          </cell>
          <cell r="CC97">
            <v>0</v>
          </cell>
          <cell r="CD97">
            <v>0</v>
          </cell>
          <cell r="CE97">
            <v>0</v>
          </cell>
          <cell r="CF97">
            <v>0</v>
          </cell>
          <cell r="CI97">
            <v>0</v>
          </cell>
          <cell r="CJ97">
            <v>0</v>
          </cell>
          <cell r="CK97">
            <v>0</v>
          </cell>
          <cell r="CV97">
            <v>4.11289503337617E-3</v>
          </cell>
          <cell r="DG97">
            <v>178924914</v>
          </cell>
          <cell r="DR97">
            <v>63059125.209999941</v>
          </cell>
          <cell r="EC97">
            <v>2.837415098990717</v>
          </cell>
          <cell r="EN97">
            <v>2.4095909012463064E-2</v>
          </cell>
        </row>
        <row r="98">
          <cell r="B98">
            <v>31205</v>
          </cell>
          <cell r="C98" t="str">
            <v>Western Piedmont Community College</v>
          </cell>
          <cell r="D98">
            <v>5.0568155364153356E-4</v>
          </cell>
          <cell r="E98">
            <v>874946.99706203409</v>
          </cell>
          <cell r="F98">
            <v>682216.23905290093</v>
          </cell>
          <cell r="G98">
            <v>-351857</v>
          </cell>
          <cell r="H98">
            <v>-244141.30193291488</v>
          </cell>
          <cell r="I98">
            <v>-10103.027719303176</v>
          </cell>
          <cell r="J98">
            <v>738332.85927500215</v>
          </cell>
          <cell r="K98">
            <v>0</v>
          </cell>
          <cell r="L98">
            <v>-38793.23412271891</v>
          </cell>
          <cell r="M98">
            <v>6961.7238459884293</v>
          </cell>
          <cell r="N98">
            <v>262.43861270888311</v>
          </cell>
          <cell r="O98">
            <v>-118.43567667838357</v>
          </cell>
          <cell r="P98">
            <v>0</v>
          </cell>
          <cell r="Q98">
            <v>0</v>
          </cell>
          <cell r="R98">
            <v>0</v>
          </cell>
          <cell r="S98">
            <v>1657707.2583970192</v>
          </cell>
          <cell r="T98">
            <v>45182.330000000016</v>
          </cell>
          <cell r="U98">
            <v>3691664.2963750111</v>
          </cell>
          <cell r="V98">
            <v>27846.895383953717</v>
          </cell>
          <cell r="W98">
            <v>0</v>
          </cell>
          <cell r="X98">
            <v>3764693.5217589648</v>
          </cell>
          <cell r="Y98">
            <v>1804464</v>
          </cell>
          <cell r="Z98">
            <v>0</v>
          </cell>
          <cell r="AA98">
            <v>0</v>
          </cell>
          <cell r="AB98">
            <v>50515.138596515877</v>
          </cell>
          <cell r="AC98">
            <v>1854979.1385965159</v>
          </cell>
          <cell r="AD98" t="str">
            <v>N/A</v>
          </cell>
          <cell r="AE98">
            <v>383335</v>
          </cell>
          <cell r="AF98">
            <v>383336</v>
          </cell>
          <cell r="AG98">
            <v>383336</v>
          </cell>
          <cell r="AH98">
            <v>383336</v>
          </cell>
          <cell r="AI98">
            <v>376374</v>
          </cell>
          <cell r="AJ98">
            <v>0</v>
          </cell>
          <cell r="AK98">
            <v>1909717</v>
          </cell>
          <cell r="AL98">
            <v>18930973</v>
          </cell>
          <cell r="AM98">
            <v>1657707.2583970192</v>
          </cell>
          <cell r="AN98">
            <v>-499527.33</v>
          </cell>
          <cell r="AO98">
            <v>3668996.053162449</v>
          </cell>
          <cell r="AP98">
            <v>0</v>
          </cell>
          <cell r="AQ98">
            <v>-1759281.67</v>
          </cell>
          <cell r="AR98">
            <v>0</v>
          </cell>
          <cell r="AS98">
            <v>0</v>
          </cell>
          <cell r="AT98">
            <v>21998867.311559469</v>
          </cell>
          <cell r="AU98">
            <v>5.709926743370314E-4</v>
          </cell>
          <cell r="AV98">
            <v>0</v>
          </cell>
          <cell r="AW98">
            <v>0</v>
          </cell>
          <cell r="AY98">
            <v>0</v>
          </cell>
          <cell r="AZ98">
            <v>0</v>
          </cell>
          <cell r="BA98">
            <v>0</v>
          </cell>
          <cell r="BB98">
            <v>0</v>
          </cell>
          <cell r="BC98">
            <v>0</v>
          </cell>
          <cell r="BD98">
            <v>0</v>
          </cell>
          <cell r="BE98">
            <v>0</v>
          </cell>
          <cell r="BF98">
            <v>0</v>
          </cell>
          <cell r="BG98">
            <v>0</v>
          </cell>
          <cell r="BH98">
            <v>0</v>
          </cell>
          <cell r="BJ98">
            <v>0</v>
          </cell>
          <cell r="BL98">
            <v>0</v>
          </cell>
          <cell r="BM98">
            <v>0</v>
          </cell>
          <cell r="BN98">
            <v>0</v>
          </cell>
          <cell r="BO98">
            <v>0</v>
          </cell>
          <cell r="BQ98">
            <v>0</v>
          </cell>
          <cell r="BR98">
            <v>0</v>
          </cell>
          <cell r="BS98">
            <v>0</v>
          </cell>
          <cell r="BT98">
            <v>0</v>
          </cell>
          <cell r="CB98">
            <v>0</v>
          </cell>
          <cell r="CC98">
            <v>0</v>
          </cell>
          <cell r="CD98">
            <v>0</v>
          </cell>
          <cell r="CE98">
            <v>0</v>
          </cell>
          <cell r="CF98">
            <v>0</v>
          </cell>
          <cell r="CI98">
            <v>0</v>
          </cell>
          <cell r="CJ98">
            <v>0</v>
          </cell>
          <cell r="CK98">
            <v>0</v>
          </cell>
          <cell r="CV98">
            <v>5.0568155364153356E-4</v>
          </cell>
          <cell r="DG98">
            <v>21998866</v>
          </cell>
          <cell r="DR98">
            <v>8767270.7700000014</v>
          </cell>
          <cell r="EC98">
            <v>2.5092034427950027</v>
          </cell>
          <cell r="EN98">
            <v>2.4095909012463064E-2</v>
          </cell>
        </row>
        <row r="99">
          <cell r="B99">
            <v>31300</v>
          </cell>
          <cell r="C99" t="str">
            <v>Cabarrus County Schools</v>
          </cell>
          <cell r="D99">
            <v>1.0384923954821533E-2</v>
          </cell>
          <cell r="E99">
            <v>17968339.884174876</v>
          </cell>
          <cell r="F99">
            <v>14010326.681465143</v>
          </cell>
          <cell r="G99">
            <v>2335173</v>
          </cell>
          <cell r="H99">
            <v>-5013805.3020651126</v>
          </cell>
          <cell r="I99">
            <v>-207480.72343724919</v>
          </cell>
          <cell r="J99">
            <v>15162765.067661908</v>
          </cell>
          <cell r="K99">
            <v>0</v>
          </cell>
          <cell r="L99">
            <v>-796676.84815650922</v>
          </cell>
          <cell r="M99">
            <v>142969.36918981871</v>
          </cell>
          <cell r="N99">
            <v>5389.5678340732793</v>
          </cell>
          <cell r="O99">
            <v>-2432.2530394587511</v>
          </cell>
          <cell r="P99">
            <v>0</v>
          </cell>
          <cell r="Q99">
            <v>0</v>
          </cell>
          <cell r="R99">
            <v>0</v>
          </cell>
          <cell r="S99">
            <v>43604568.443627484</v>
          </cell>
          <cell r="T99">
            <v>12332434</v>
          </cell>
          <cell r="U99">
            <v>75813825.338309541</v>
          </cell>
          <cell r="V99">
            <v>571877.47675927484</v>
          </cell>
          <cell r="W99">
            <v>0</v>
          </cell>
          <cell r="X99">
            <v>88718136.815068811</v>
          </cell>
          <cell r="Y99">
            <v>656569.02999999933</v>
          </cell>
          <cell r="Z99">
            <v>0</v>
          </cell>
          <cell r="AA99">
            <v>0</v>
          </cell>
          <cell r="AB99">
            <v>1037403.617186246</v>
          </cell>
          <cell r="AC99">
            <v>1693972.6471862453</v>
          </cell>
          <cell r="AD99" t="str">
            <v>N/A</v>
          </cell>
          <cell r="AE99">
            <v>17433427</v>
          </cell>
          <cell r="AF99">
            <v>17433427</v>
          </cell>
          <cell r="AG99">
            <v>17433427</v>
          </cell>
          <cell r="AH99">
            <v>17433427</v>
          </cell>
          <cell r="AI99">
            <v>17290457</v>
          </cell>
          <cell r="AJ99">
            <v>0</v>
          </cell>
          <cell r="AK99">
            <v>87024165</v>
          </cell>
          <cell r="AL99">
            <v>329507969</v>
          </cell>
          <cell r="AM99">
            <v>43604568.443627484</v>
          </cell>
          <cell r="AN99">
            <v>-8357210.9700000007</v>
          </cell>
          <cell r="AO99">
            <v>75348299.197882578</v>
          </cell>
          <cell r="AP99">
            <v>0</v>
          </cell>
          <cell r="AQ99">
            <v>11675864.970000001</v>
          </cell>
          <cell r="AR99">
            <v>0</v>
          </cell>
          <cell r="AS99">
            <v>0</v>
          </cell>
          <cell r="AT99">
            <v>451779490.64151007</v>
          </cell>
          <cell r="AU99">
            <v>9.9385615002979023E-3</v>
          </cell>
          <cell r="AV99">
            <v>0</v>
          </cell>
          <cell r="AW99">
            <v>0</v>
          </cell>
          <cell r="AY99">
            <v>0</v>
          </cell>
          <cell r="AZ99">
            <v>0</v>
          </cell>
          <cell r="BA99">
            <v>0</v>
          </cell>
          <cell r="BB99">
            <v>0</v>
          </cell>
          <cell r="BC99">
            <v>0</v>
          </cell>
          <cell r="BD99">
            <v>0</v>
          </cell>
          <cell r="BE99">
            <v>0</v>
          </cell>
          <cell r="BF99">
            <v>0</v>
          </cell>
          <cell r="BG99">
            <v>0</v>
          </cell>
          <cell r="BH99">
            <v>0</v>
          </cell>
          <cell r="BJ99">
            <v>0</v>
          </cell>
          <cell r="BL99">
            <v>0</v>
          </cell>
          <cell r="BM99">
            <v>0</v>
          </cell>
          <cell r="BN99">
            <v>0</v>
          </cell>
          <cell r="BO99">
            <v>0</v>
          </cell>
          <cell r="BQ99">
            <v>0</v>
          </cell>
          <cell r="BR99">
            <v>0</v>
          </cell>
          <cell r="BS99">
            <v>0</v>
          </cell>
          <cell r="BT99">
            <v>0</v>
          </cell>
          <cell r="CB99">
            <v>0</v>
          </cell>
          <cell r="CC99">
            <v>0</v>
          </cell>
          <cell r="CD99">
            <v>0</v>
          </cell>
          <cell r="CE99">
            <v>0</v>
          </cell>
          <cell r="CF99">
            <v>0</v>
          </cell>
          <cell r="CI99">
            <v>0</v>
          </cell>
          <cell r="CJ99">
            <v>0</v>
          </cell>
          <cell r="CK99">
            <v>0</v>
          </cell>
          <cell r="CV99">
            <v>1.0384923954821533E-2</v>
          </cell>
          <cell r="DG99">
            <v>451779490</v>
          </cell>
          <cell r="DR99">
            <v>143348965.94999999</v>
          </cell>
          <cell r="EC99">
            <v>3.151606201035174</v>
          </cell>
          <cell r="EN99">
            <v>2.4095909012463064E-2</v>
          </cell>
        </row>
        <row r="100">
          <cell r="B100">
            <v>31301</v>
          </cell>
          <cell r="C100" t="str">
            <v>Carolina International School</v>
          </cell>
          <cell r="D100">
            <v>2.0007692437743868E-4</v>
          </cell>
          <cell r="E100">
            <v>346179.73090934905</v>
          </cell>
          <cell r="F100">
            <v>269924.27524221438</v>
          </cell>
          <cell r="G100">
            <v>200175</v>
          </cell>
          <cell r="H100">
            <v>-96596.445831337987</v>
          </cell>
          <cell r="I100">
            <v>-3997.3431864811541</v>
          </cell>
          <cell r="J100">
            <v>292127.26188398898</v>
          </cell>
          <cell r="K100">
            <v>0</v>
          </cell>
          <cell r="L100">
            <v>-15348.851295907765</v>
          </cell>
          <cell r="M100">
            <v>2754.4613511012512</v>
          </cell>
          <cell r="N100">
            <v>103.83592221340312</v>
          </cell>
          <cell r="O100">
            <v>-46.860016458439915</v>
          </cell>
          <cell r="P100">
            <v>0</v>
          </cell>
          <cell r="Q100">
            <v>0</v>
          </cell>
          <cell r="R100">
            <v>0</v>
          </cell>
          <cell r="S100">
            <v>995275.06497868185</v>
          </cell>
          <cell r="T100">
            <v>1014031</v>
          </cell>
          <cell r="U100">
            <v>1460636.3094199446</v>
          </cell>
          <cell r="V100">
            <v>11017.845404405005</v>
          </cell>
          <cell r="W100">
            <v>0</v>
          </cell>
          <cell r="X100">
            <v>2485685.15482435</v>
          </cell>
          <cell r="Y100">
            <v>13152.789999999979</v>
          </cell>
          <cell r="Z100">
            <v>0</v>
          </cell>
          <cell r="AA100">
            <v>0</v>
          </cell>
          <cell r="AB100">
            <v>19986.715932405768</v>
          </cell>
          <cell r="AC100">
            <v>33139.505932405751</v>
          </cell>
          <cell r="AD100" t="str">
            <v>N/A</v>
          </cell>
          <cell r="AE100">
            <v>491059</v>
          </cell>
          <cell r="AF100">
            <v>491060</v>
          </cell>
          <cell r="AG100">
            <v>491060</v>
          </cell>
          <cell r="AH100">
            <v>491060</v>
          </cell>
          <cell r="AI100">
            <v>488306</v>
          </cell>
          <cell r="AJ100">
            <v>0</v>
          </cell>
          <cell r="AK100">
            <v>2452545</v>
          </cell>
          <cell r="AL100">
            <v>5416612</v>
          </cell>
          <cell r="AM100">
            <v>995275.06497868185</v>
          </cell>
          <cell r="AN100">
            <v>-160406.21000000002</v>
          </cell>
          <cell r="AO100">
            <v>1451667.438891944</v>
          </cell>
          <cell r="AP100">
            <v>0</v>
          </cell>
          <cell r="AQ100">
            <v>1000878.21</v>
          </cell>
          <cell r="AR100">
            <v>0</v>
          </cell>
          <cell r="AS100">
            <v>0</v>
          </cell>
          <cell r="AT100">
            <v>8704026.503870625</v>
          </cell>
          <cell r="AU100">
            <v>1.6337489588084882E-4</v>
          </cell>
          <cell r="AV100">
            <v>0</v>
          </cell>
          <cell r="AW100">
            <v>0</v>
          </cell>
          <cell r="AY100">
            <v>0</v>
          </cell>
          <cell r="AZ100">
            <v>0</v>
          </cell>
          <cell r="BA100">
            <v>0</v>
          </cell>
          <cell r="BB100">
            <v>0</v>
          </cell>
          <cell r="BC100">
            <v>0</v>
          </cell>
          <cell r="BD100">
            <v>0</v>
          </cell>
          <cell r="BE100">
            <v>0</v>
          </cell>
          <cell r="BF100">
            <v>0</v>
          </cell>
          <cell r="BG100">
            <v>0</v>
          </cell>
          <cell r="BH100">
            <v>0</v>
          </cell>
          <cell r="BJ100">
            <v>0</v>
          </cell>
          <cell r="BL100">
            <v>0</v>
          </cell>
          <cell r="BM100">
            <v>0</v>
          </cell>
          <cell r="BN100">
            <v>0</v>
          </cell>
          <cell r="BO100">
            <v>0</v>
          </cell>
          <cell r="BQ100">
            <v>0</v>
          </cell>
          <cell r="BR100">
            <v>0</v>
          </cell>
          <cell r="BS100">
            <v>0</v>
          </cell>
          <cell r="BT100">
            <v>0</v>
          </cell>
          <cell r="CB100">
            <v>0</v>
          </cell>
          <cell r="CC100">
            <v>0</v>
          </cell>
          <cell r="CD100">
            <v>0</v>
          </cell>
          <cell r="CE100">
            <v>0</v>
          </cell>
          <cell r="CF100">
            <v>0</v>
          </cell>
          <cell r="CI100">
            <v>0</v>
          </cell>
          <cell r="CJ100">
            <v>0</v>
          </cell>
          <cell r="CK100">
            <v>0</v>
          </cell>
          <cell r="CV100">
            <v>2.0007692437743868E-4</v>
          </cell>
          <cell r="DG100">
            <v>8704026</v>
          </cell>
          <cell r="DR100">
            <v>2594207.0499999993</v>
          </cell>
          <cell r="EC100">
            <v>3.355177837482171</v>
          </cell>
          <cell r="EN100">
            <v>2.4095909012463064E-2</v>
          </cell>
        </row>
        <row r="101">
          <cell r="B101">
            <v>31320</v>
          </cell>
          <cell r="C101" t="str">
            <v>Kannapolis City Schools</v>
          </cell>
          <cell r="D101">
            <v>1.9460158818062662E-3</v>
          </cell>
          <cell r="E101">
            <v>3367061.2261019852</v>
          </cell>
          <cell r="F101">
            <v>2625374.855900309</v>
          </cell>
          <cell r="G101">
            <v>-19395</v>
          </cell>
          <cell r="H101">
            <v>-939529.7248732571</v>
          </cell>
          <cell r="I101">
            <v>-38879.512718057187</v>
          </cell>
          <cell r="J101">
            <v>2841328.6184987207</v>
          </cell>
          <cell r="K101">
            <v>0</v>
          </cell>
          <cell r="L101">
            <v>-149288.12246719713</v>
          </cell>
          <cell r="M101">
            <v>26790.823338291069</v>
          </cell>
          <cell r="N101">
            <v>1009.9433223398161</v>
          </cell>
          <cell r="O101">
            <v>-455.77637967784563</v>
          </cell>
          <cell r="P101">
            <v>0</v>
          </cell>
          <cell r="Q101">
            <v>0</v>
          </cell>
          <cell r="R101">
            <v>0</v>
          </cell>
          <cell r="S101">
            <v>7714017.3307234561</v>
          </cell>
          <cell r="T101">
            <v>14953</v>
          </cell>
          <cell r="U101">
            <v>14206643.092493603</v>
          </cell>
          <cell r="V101">
            <v>107163.29335316428</v>
          </cell>
          <cell r="W101">
            <v>0</v>
          </cell>
          <cell r="X101">
            <v>14328759.385846768</v>
          </cell>
          <cell r="Y101">
            <v>111930.09000000008</v>
          </cell>
          <cell r="Z101">
            <v>0</v>
          </cell>
          <cell r="AA101">
            <v>0</v>
          </cell>
          <cell r="AB101">
            <v>194397.56359028592</v>
          </cell>
          <cell r="AC101">
            <v>306327.65359028603</v>
          </cell>
          <cell r="AD101" t="str">
            <v>N/A</v>
          </cell>
          <cell r="AE101">
            <v>2809845</v>
          </cell>
          <cell r="AF101">
            <v>2809845</v>
          </cell>
          <cell r="AG101">
            <v>2809845</v>
          </cell>
          <cell r="AH101">
            <v>2809845</v>
          </cell>
          <cell r="AI101">
            <v>2783054</v>
          </cell>
          <cell r="AJ101">
            <v>0</v>
          </cell>
          <cell r="AK101">
            <v>14022434</v>
          </cell>
          <cell r="AL101">
            <v>64501226</v>
          </cell>
          <cell r="AM101">
            <v>7714017.3307234561</v>
          </cell>
          <cell r="AN101">
            <v>-1579369.91</v>
          </cell>
          <cell r="AO101">
            <v>14119408.822256481</v>
          </cell>
          <cell r="AP101">
            <v>0</v>
          </cell>
          <cell r="AQ101">
            <v>-96977.090000000084</v>
          </cell>
          <cell r="AR101">
            <v>0</v>
          </cell>
          <cell r="AS101">
            <v>0</v>
          </cell>
          <cell r="AT101">
            <v>84658305.152979925</v>
          </cell>
          <cell r="AU101">
            <v>1.9454746614203044E-3</v>
          </cell>
          <cell r="AV101">
            <v>0</v>
          </cell>
          <cell r="AW101">
            <v>0</v>
          </cell>
          <cell r="AY101">
            <v>0</v>
          </cell>
          <cell r="AZ101">
            <v>0</v>
          </cell>
          <cell r="BA101">
            <v>0</v>
          </cell>
          <cell r="BB101">
            <v>0</v>
          </cell>
          <cell r="BC101">
            <v>0</v>
          </cell>
          <cell r="BD101">
            <v>0</v>
          </cell>
          <cell r="BE101">
            <v>0</v>
          </cell>
          <cell r="BF101">
            <v>0</v>
          </cell>
          <cell r="BG101">
            <v>0</v>
          </cell>
          <cell r="BH101">
            <v>0</v>
          </cell>
          <cell r="BJ101">
            <v>0</v>
          </cell>
          <cell r="BL101">
            <v>0</v>
          </cell>
          <cell r="BM101">
            <v>0</v>
          </cell>
          <cell r="BN101">
            <v>0</v>
          </cell>
          <cell r="BO101">
            <v>0</v>
          </cell>
          <cell r="BQ101">
            <v>0</v>
          </cell>
          <cell r="BR101">
            <v>0</v>
          </cell>
          <cell r="BS101">
            <v>0</v>
          </cell>
          <cell r="BT101">
            <v>0</v>
          </cell>
          <cell r="CB101">
            <v>0</v>
          </cell>
          <cell r="CC101">
            <v>0</v>
          </cell>
          <cell r="CD101">
            <v>0</v>
          </cell>
          <cell r="CE101">
            <v>0</v>
          </cell>
          <cell r="CF101">
            <v>0</v>
          </cell>
          <cell r="CI101">
            <v>0</v>
          </cell>
          <cell r="CJ101">
            <v>0</v>
          </cell>
          <cell r="CK101">
            <v>0</v>
          </cell>
          <cell r="CV101">
            <v>1.9460158818062662E-3</v>
          </cell>
          <cell r="DG101">
            <v>84658305</v>
          </cell>
          <cell r="DR101">
            <v>27324139.419999998</v>
          </cell>
          <cell r="EC101">
            <v>3.0982972125385242</v>
          </cell>
          <cell r="EN101">
            <v>2.4095909012463064E-2</v>
          </cell>
        </row>
        <row r="102">
          <cell r="B102">
            <v>31400</v>
          </cell>
          <cell r="C102" t="str">
            <v>Caldwell County Schools</v>
          </cell>
          <cell r="D102">
            <v>4.0574655579773767E-3</v>
          </cell>
          <cell r="E102">
            <v>7020361.4904875495</v>
          </cell>
          <cell r="F102">
            <v>5473936.854363149</v>
          </cell>
          <cell r="G102">
            <v>-264188</v>
          </cell>
          <cell r="H102">
            <v>-1958930.3124447535</v>
          </cell>
          <cell r="I102">
            <v>-81064.23243475116</v>
          </cell>
          <cell r="J102">
            <v>5924202.9400876788</v>
          </cell>
          <cell r="K102">
            <v>0</v>
          </cell>
          <cell r="L102">
            <v>-311267.4571615156</v>
          </cell>
          <cell r="M102">
            <v>55859.175652809135</v>
          </cell>
          <cell r="N102">
            <v>2105.7434752790991</v>
          </cell>
          <cell r="O102">
            <v>-950.29900833388137</v>
          </cell>
          <cell r="P102">
            <v>0</v>
          </cell>
          <cell r="Q102">
            <v>0</v>
          </cell>
          <cell r="R102">
            <v>0</v>
          </cell>
          <cell r="S102">
            <v>15860065.903017111</v>
          </cell>
          <cell r="T102">
            <v>23406.050000000279</v>
          </cell>
          <cell r="U102">
            <v>29621014.700438395</v>
          </cell>
          <cell r="V102">
            <v>223436.70261123654</v>
          </cell>
          <cell r="W102">
            <v>0</v>
          </cell>
          <cell r="X102">
            <v>29867857.453049634</v>
          </cell>
          <cell r="Y102">
            <v>1344345</v>
          </cell>
          <cell r="Z102">
            <v>0</v>
          </cell>
          <cell r="AA102">
            <v>0</v>
          </cell>
          <cell r="AB102">
            <v>405321.16217375582</v>
          </cell>
          <cell r="AC102">
            <v>1749666.1621737559</v>
          </cell>
          <cell r="AD102" t="str">
            <v>N/A</v>
          </cell>
          <cell r="AE102">
            <v>5634810</v>
          </cell>
          <cell r="AF102">
            <v>5634810</v>
          </cell>
          <cell r="AG102">
            <v>5634810</v>
          </cell>
          <cell r="AH102">
            <v>5634810</v>
          </cell>
          <cell r="AI102">
            <v>5578951</v>
          </cell>
          <cell r="AJ102">
            <v>0</v>
          </cell>
          <cell r="AK102">
            <v>28118191</v>
          </cell>
          <cell r="AL102">
            <v>136136428</v>
          </cell>
          <cell r="AM102">
            <v>15860065.903017111</v>
          </cell>
          <cell r="AN102">
            <v>-3601142.0500000003</v>
          </cell>
          <cell r="AO102">
            <v>29439130.240875877</v>
          </cell>
          <cell r="AP102">
            <v>0</v>
          </cell>
          <cell r="AQ102">
            <v>-1320938.9499999997</v>
          </cell>
          <cell r="AR102">
            <v>0</v>
          </cell>
          <cell r="AS102">
            <v>0</v>
          </cell>
          <cell r="AT102">
            <v>176513543.14389297</v>
          </cell>
          <cell r="AU102">
            <v>4.1061230439273901E-3</v>
          </cell>
          <cell r="AV102">
            <v>0</v>
          </cell>
          <cell r="AW102">
            <v>0</v>
          </cell>
          <cell r="AY102">
            <v>0</v>
          </cell>
          <cell r="AZ102">
            <v>0</v>
          </cell>
          <cell r="BA102">
            <v>0</v>
          </cell>
          <cell r="BB102">
            <v>0</v>
          </cell>
          <cell r="BC102">
            <v>0</v>
          </cell>
          <cell r="BD102">
            <v>0</v>
          </cell>
          <cell r="BE102">
            <v>0</v>
          </cell>
          <cell r="BF102">
            <v>0</v>
          </cell>
          <cell r="BG102">
            <v>0</v>
          </cell>
          <cell r="BH102">
            <v>0</v>
          </cell>
          <cell r="BJ102">
            <v>0</v>
          </cell>
          <cell r="BL102">
            <v>0</v>
          </cell>
          <cell r="BM102">
            <v>0</v>
          </cell>
          <cell r="BN102">
            <v>0</v>
          </cell>
          <cell r="BO102">
            <v>0</v>
          </cell>
          <cell r="BQ102">
            <v>0</v>
          </cell>
          <cell r="BR102">
            <v>0</v>
          </cell>
          <cell r="BS102">
            <v>0</v>
          </cell>
          <cell r="BT102">
            <v>0</v>
          </cell>
          <cell r="CB102">
            <v>0</v>
          </cell>
          <cell r="CC102">
            <v>0</v>
          </cell>
          <cell r="CD102">
            <v>0</v>
          </cell>
          <cell r="CE102">
            <v>0</v>
          </cell>
          <cell r="CF102">
            <v>0</v>
          </cell>
          <cell r="CI102">
            <v>0</v>
          </cell>
          <cell r="CJ102">
            <v>0</v>
          </cell>
          <cell r="CK102">
            <v>0</v>
          </cell>
          <cell r="CV102">
            <v>4.0574655579773767E-3</v>
          </cell>
          <cell r="DG102">
            <v>176513543</v>
          </cell>
          <cell r="DR102">
            <v>62632254.550000124</v>
          </cell>
          <cell r="EC102">
            <v>2.8182530593575712</v>
          </cell>
          <cell r="EN102">
            <v>2.4095909012463064E-2</v>
          </cell>
        </row>
        <row r="103">
          <cell r="B103">
            <v>31405</v>
          </cell>
          <cell r="C103" t="str">
            <v>Caldwell Community College</v>
          </cell>
          <cell r="D103">
            <v>8.1736013230384469E-4</v>
          </cell>
          <cell r="E103">
            <v>1414223.6119303405</v>
          </cell>
          <cell r="F103">
            <v>1102702.5830714647</v>
          </cell>
          <cell r="G103">
            <v>-407386</v>
          </cell>
          <cell r="H103">
            <v>-394618.63975797256</v>
          </cell>
          <cell r="I103">
            <v>-16330.063878843472</v>
          </cell>
          <cell r="J103">
            <v>1193406.8767101755</v>
          </cell>
          <cell r="K103">
            <v>0</v>
          </cell>
          <cell r="L103">
            <v>-62703.578460994599</v>
          </cell>
          <cell r="M103">
            <v>11252.60647307221</v>
          </cell>
          <cell r="N103">
            <v>424.19356146304932</v>
          </cell>
          <cell r="O103">
            <v>-191.43391658688347</v>
          </cell>
          <cell r="P103">
            <v>0</v>
          </cell>
          <cell r="Q103">
            <v>0</v>
          </cell>
          <cell r="R103">
            <v>0</v>
          </cell>
          <cell r="S103">
            <v>2840780.1557321185</v>
          </cell>
          <cell r="T103">
            <v>88598.320000000182</v>
          </cell>
          <cell r="U103">
            <v>5967034.3835508786</v>
          </cell>
          <cell r="V103">
            <v>45010.42589228884</v>
          </cell>
          <cell r="W103">
            <v>0</v>
          </cell>
          <cell r="X103">
            <v>6100643.1294431677</v>
          </cell>
          <cell r="Y103">
            <v>2125528</v>
          </cell>
          <cell r="Z103">
            <v>0</v>
          </cell>
          <cell r="AA103">
            <v>0</v>
          </cell>
          <cell r="AB103">
            <v>81650.319394217353</v>
          </cell>
          <cell r="AC103">
            <v>2207178.3193942173</v>
          </cell>
          <cell r="AD103" t="str">
            <v>N/A</v>
          </cell>
          <cell r="AE103">
            <v>780943</v>
          </cell>
          <cell r="AF103">
            <v>780943</v>
          </cell>
          <cell r="AG103">
            <v>780943</v>
          </cell>
          <cell r="AH103">
            <v>780943</v>
          </cell>
          <cell r="AI103">
            <v>769691</v>
          </cell>
          <cell r="AJ103">
            <v>0</v>
          </cell>
          <cell r="AK103">
            <v>3893463</v>
          </cell>
          <cell r="AL103">
            <v>29649795</v>
          </cell>
          <cell r="AM103">
            <v>2840780.1557321185</v>
          </cell>
          <cell r="AN103">
            <v>-826096.32000000018</v>
          </cell>
          <cell r="AO103">
            <v>5930394.4900489505</v>
          </cell>
          <cell r="AP103">
            <v>0</v>
          </cell>
          <cell r="AQ103">
            <v>-2036929.6799999997</v>
          </cell>
          <cell r="AR103">
            <v>0</v>
          </cell>
          <cell r="AS103">
            <v>0</v>
          </cell>
          <cell r="AT103">
            <v>35557943.64578107</v>
          </cell>
          <cell r="AU103">
            <v>8.9429191443774793E-4</v>
          </cell>
          <cell r="AV103">
            <v>0</v>
          </cell>
          <cell r="AW103">
            <v>0</v>
          </cell>
          <cell r="AY103">
            <v>0</v>
          </cell>
          <cell r="AZ103">
            <v>0</v>
          </cell>
          <cell r="BA103">
            <v>0</v>
          </cell>
          <cell r="BB103">
            <v>0</v>
          </cell>
          <cell r="BC103">
            <v>0</v>
          </cell>
          <cell r="BD103">
            <v>0</v>
          </cell>
          <cell r="BE103">
            <v>0</v>
          </cell>
          <cell r="BF103">
            <v>0</v>
          </cell>
          <cell r="BG103">
            <v>0</v>
          </cell>
          <cell r="BH103">
            <v>0</v>
          </cell>
          <cell r="BJ103">
            <v>0</v>
          </cell>
          <cell r="BL103">
            <v>0</v>
          </cell>
          <cell r="BM103">
            <v>0</v>
          </cell>
          <cell r="BN103">
            <v>0</v>
          </cell>
          <cell r="BO103">
            <v>0</v>
          </cell>
          <cell r="BQ103">
            <v>0</v>
          </cell>
          <cell r="BR103">
            <v>0</v>
          </cell>
          <cell r="BS103">
            <v>0</v>
          </cell>
          <cell r="BT103">
            <v>0</v>
          </cell>
          <cell r="CB103">
            <v>0</v>
          </cell>
          <cell r="CC103">
            <v>0</v>
          </cell>
          <cell r="CD103">
            <v>0</v>
          </cell>
          <cell r="CE103">
            <v>0</v>
          </cell>
          <cell r="CF103">
            <v>0</v>
          </cell>
          <cell r="CI103">
            <v>0</v>
          </cell>
          <cell r="CJ103">
            <v>0</v>
          </cell>
          <cell r="CK103">
            <v>0</v>
          </cell>
          <cell r="CV103">
            <v>8.1736013230384469E-4</v>
          </cell>
          <cell r="DG103">
            <v>35557944</v>
          </cell>
          <cell r="DR103">
            <v>14321380.540000012</v>
          </cell>
          <cell r="EC103">
            <v>2.4828572846511325</v>
          </cell>
          <cell r="EN103">
            <v>2.4095909012463064E-2</v>
          </cell>
        </row>
        <row r="104">
          <cell r="B104">
            <v>31500</v>
          </cell>
          <cell r="C104" t="str">
            <v>Camden County Schools</v>
          </cell>
          <cell r="D104">
            <v>6.2645628178972259E-4</v>
          </cell>
          <cell r="E104">
            <v>1083915.4376809888</v>
          </cell>
          <cell r="F104">
            <v>845153.72454461351</v>
          </cell>
          <cell r="G104">
            <v>-104824</v>
          </cell>
          <cell r="H104">
            <v>-302450.92220353044</v>
          </cell>
          <cell r="I104">
            <v>-12515.989824575905</v>
          </cell>
          <cell r="J104">
            <v>914672.98819539684</v>
          </cell>
          <cell r="K104">
            <v>0</v>
          </cell>
          <cell r="L104">
            <v>-48058.437236063422</v>
          </cell>
          <cell r="M104">
            <v>8624.4309368190388</v>
          </cell>
          <cell r="N104">
            <v>325.11828112323025</v>
          </cell>
          <cell r="O104">
            <v>-146.72232575797094</v>
          </cell>
          <cell r="P104">
            <v>0</v>
          </cell>
          <cell r="Q104">
            <v>0</v>
          </cell>
          <cell r="R104">
            <v>0</v>
          </cell>
          <cell r="S104">
            <v>2384695.6280490132</v>
          </cell>
          <cell r="T104">
            <v>26987.269999999902</v>
          </cell>
          <cell r="U104">
            <v>4573364.9409769839</v>
          </cell>
          <cell r="V104">
            <v>34497.723747276155</v>
          </cell>
          <cell r="W104">
            <v>0</v>
          </cell>
          <cell r="X104">
            <v>4634849.9347242592</v>
          </cell>
          <cell r="Y104">
            <v>551107</v>
          </cell>
          <cell r="Z104">
            <v>0</v>
          </cell>
          <cell r="AA104">
            <v>0</v>
          </cell>
          <cell r="AB104">
            <v>62579.949122879523</v>
          </cell>
          <cell r="AC104">
            <v>613686.94912287954</v>
          </cell>
          <cell r="AD104" t="str">
            <v>N/A</v>
          </cell>
          <cell r="AE104">
            <v>805957</v>
          </cell>
          <cell r="AF104">
            <v>805957</v>
          </cell>
          <cell r="AG104">
            <v>805957</v>
          </cell>
          <cell r="AH104">
            <v>805957</v>
          </cell>
          <cell r="AI104">
            <v>797333</v>
          </cell>
          <cell r="AJ104">
            <v>0</v>
          </cell>
          <cell r="AK104">
            <v>4021161</v>
          </cell>
          <cell r="AL104">
            <v>21431169</v>
          </cell>
          <cell r="AM104">
            <v>2384695.6280490132</v>
          </cell>
          <cell r="AN104">
            <v>-584050.2699999999</v>
          </cell>
          <cell r="AO104">
            <v>4545282.7156013809</v>
          </cell>
          <cell r="AP104">
            <v>0</v>
          </cell>
          <cell r="AQ104">
            <v>-524119.7300000001</v>
          </cell>
          <cell r="AR104">
            <v>0</v>
          </cell>
          <cell r="AS104">
            <v>0</v>
          </cell>
          <cell r="AT104">
            <v>27252977.343650393</v>
          </cell>
          <cell r="AU104">
            <v>6.4640315273709439E-4</v>
          </cell>
          <cell r="AV104">
            <v>0</v>
          </cell>
          <cell r="AW104">
            <v>0</v>
          </cell>
          <cell r="AY104">
            <v>0</v>
          </cell>
          <cell r="AZ104">
            <v>0</v>
          </cell>
          <cell r="BA104">
            <v>0</v>
          </cell>
          <cell r="BB104">
            <v>0</v>
          </cell>
          <cell r="BC104">
            <v>0</v>
          </cell>
          <cell r="BD104">
            <v>0</v>
          </cell>
          <cell r="BE104">
            <v>0</v>
          </cell>
          <cell r="BF104">
            <v>0</v>
          </cell>
          <cell r="BG104">
            <v>0</v>
          </cell>
          <cell r="BH104">
            <v>0</v>
          </cell>
          <cell r="BJ104">
            <v>0</v>
          </cell>
          <cell r="BL104">
            <v>0</v>
          </cell>
          <cell r="BM104">
            <v>0</v>
          </cell>
          <cell r="BN104">
            <v>0</v>
          </cell>
          <cell r="BO104">
            <v>0</v>
          </cell>
          <cell r="BQ104">
            <v>0</v>
          </cell>
          <cell r="BR104">
            <v>0</v>
          </cell>
          <cell r="BS104">
            <v>0</v>
          </cell>
          <cell r="BT104">
            <v>0</v>
          </cell>
          <cell r="CB104">
            <v>0</v>
          </cell>
          <cell r="CC104">
            <v>0</v>
          </cell>
          <cell r="CD104">
            <v>0</v>
          </cell>
          <cell r="CE104">
            <v>0</v>
          </cell>
          <cell r="CF104">
            <v>0</v>
          </cell>
          <cell r="CI104">
            <v>0</v>
          </cell>
          <cell r="CJ104">
            <v>0</v>
          </cell>
          <cell r="CK104">
            <v>0</v>
          </cell>
          <cell r="CV104">
            <v>6.2645628178972259E-4</v>
          </cell>
          <cell r="DG104">
            <v>27252978</v>
          </cell>
          <cell r="DR104">
            <v>10090422.93</v>
          </cell>
          <cell r="EC104">
            <v>2.7008756906485782</v>
          </cell>
          <cell r="EN104">
            <v>2.4095909012463064E-2</v>
          </cell>
        </row>
        <row r="105">
          <cell r="B105">
            <v>31600</v>
          </cell>
          <cell r="C105" t="str">
            <v>Carteret County Schools</v>
          </cell>
          <cell r="D105">
            <v>2.8955995387210634E-3</v>
          </cell>
          <cell r="E105">
            <v>5010062.3660362838</v>
          </cell>
          <cell r="F105">
            <v>3906460.5241858074</v>
          </cell>
          <cell r="G105">
            <v>9033</v>
          </cell>
          <cell r="H105">
            <v>-1397985.4241644714</v>
          </cell>
          <cell r="I105">
            <v>-57851.274568022178</v>
          </cell>
          <cell r="J105">
            <v>4227791.7225646349</v>
          </cell>
          <cell r="K105">
            <v>0</v>
          </cell>
          <cell r="L105">
            <v>-222135.19560349852</v>
          </cell>
          <cell r="M105">
            <v>39863.752616606893</v>
          </cell>
          <cell r="N105">
            <v>1502.7582486054575</v>
          </cell>
          <cell r="O105">
            <v>-678.1783679638603</v>
          </cell>
          <cell r="P105">
            <v>0</v>
          </cell>
          <cell r="Q105">
            <v>0</v>
          </cell>
          <cell r="R105">
            <v>0</v>
          </cell>
          <cell r="S105">
            <v>11516064.050947983</v>
          </cell>
          <cell r="T105">
            <v>53766</v>
          </cell>
          <cell r="U105">
            <v>21138958.612823177</v>
          </cell>
          <cell r="V105">
            <v>159455.01046642757</v>
          </cell>
          <cell r="W105">
            <v>0</v>
          </cell>
          <cell r="X105">
            <v>21352179.623289604</v>
          </cell>
          <cell r="Y105">
            <v>8597.8000000002794</v>
          </cell>
          <cell r="Z105">
            <v>0</v>
          </cell>
          <cell r="AA105">
            <v>0</v>
          </cell>
          <cell r="AB105">
            <v>289256.37284011091</v>
          </cell>
          <cell r="AC105">
            <v>297854.17284011119</v>
          </cell>
          <cell r="AD105" t="str">
            <v>N/A</v>
          </cell>
          <cell r="AE105">
            <v>4218837</v>
          </cell>
          <cell r="AF105">
            <v>4218838</v>
          </cell>
          <cell r="AG105">
            <v>4218838</v>
          </cell>
          <cell r="AH105">
            <v>4218838</v>
          </cell>
          <cell r="AI105">
            <v>4178974</v>
          </cell>
          <cell r="AJ105">
            <v>0</v>
          </cell>
          <cell r="AK105">
            <v>21054325</v>
          </cell>
          <cell r="AL105">
            <v>95937616</v>
          </cell>
          <cell r="AM105">
            <v>11516064.050947983</v>
          </cell>
          <cell r="AN105">
            <v>-2539583.1999999997</v>
          </cell>
          <cell r="AO105">
            <v>21009157.250449494</v>
          </cell>
          <cell r="AP105">
            <v>0</v>
          </cell>
          <cell r="AQ105">
            <v>45168.199999999721</v>
          </cell>
          <cell r="AR105">
            <v>0</v>
          </cell>
          <cell r="AS105">
            <v>0</v>
          </cell>
          <cell r="AT105">
            <v>125968422.30139747</v>
          </cell>
          <cell r="AU105">
            <v>2.8936535350860965E-3</v>
          </cell>
          <cell r="AV105">
            <v>0</v>
          </cell>
          <cell r="AW105">
            <v>0</v>
          </cell>
          <cell r="AY105">
            <v>0</v>
          </cell>
          <cell r="AZ105">
            <v>0</v>
          </cell>
          <cell r="BA105">
            <v>0</v>
          </cell>
          <cell r="BB105">
            <v>0</v>
          </cell>
          <cell r="BC105">
            <v>0</v>
          </cell>
          <cell r="BD105">
            <v>0</v>
          </cell>
          <cell r="BE105">
            <v>0</v>
          </cell>
          <cell r="BF105">
            <v>0</v>
          </cell>
          <cell r="BG105">
            <v>0</v>
          </cell>
          <cell r="BH105">
            <v>0</v>
          </cell>
          <cell r="BJ105">
            <v>0</v>
          </cell>
          <cell r="BL105">
            <v>0</v>
          </cell>
          <cell r="BM105">
            <v>0</v>
          </cell>
          <cell r="BN105">
            <v>0</v>
          </cell>
          <cell r="BO105">
            <v>0</v>
          </cell>
          <cell r="BQ105">
            <v>0</v>
          </cell>
          <cell r="BR105">
            <v>0</v>
          </cell>
          <cell r="BS105">
            <v>0</v>
          </cell>
          <cell r="BT105">
            <v>0</v>
          </cell>
          <cell r="CB105">
            <v>0</v>
          </cell>
          <cell r="CC105">
            <v>0</v>
          </cell>
          <cell r="CD105">
            <v>0</v>
          </cell>
          <cell r="CE105">
            <v>0</v>
          </cell>
          <cell r="CF105">
            <v>0</v>
          </cell>
          <cell r="CI105">
            <v>0</v>
          </cell>
          <cell r="CJ105">
            <v>0</v>
          </cell>
          <cell r="CK105">
            <v>0</v>
          </cell>
          <cell r="CV105">
            <v>2.8955995387210634E-3</v>
          </cell>
          <cell r="DG105">
            <v>125968422</v>
          </cell>
          <cell r="DR105">
            <v>44557895.530000061</v>
          </cell>
          <cell r="EC105">
            <v>2.8270729688117258</v>
          </cell>
          <cell r="EN105">
            <v>2.4095909012463064E-2</v>
          </cell>
        </row>
        <row r="106">
          <cell r="B106">
            <v>31605</v>
          </cell>
          <cell r="C106" t="str">
            <v>Carteret Community College</v>
          </cell>
          <cell r="D106">
            <v>3.9857591310894303E-4</v>
          </cell>
          <cell r="E106">
            <v>689629.26522555517</v>
          </cell>
          <cell r="F106">
            <v>537719.75358827005</v>
          </cell>
          <cell r="G106">
            <v>-34040</v>
          </cell>
          <cell r="H106">
            <v>-192431.06980029924</v>
          </cell>
          <cell r="I106">
            <v>-7963.1607468931952</v>
          </cell>
          <cell r="J106">
            <v>581950.61980148975</v>
          </cell>
          <cell r="K106">
            <v>0</v>
          </cell>
          <cell r="L106">
            <v>-30576.651652736375</v>
          </cell>
          <cell r="M106">
            <v>5487.1992437638282</v>
          </cell>
          <cell r="N106">
            <v>206.85292738527926</v>
          </cell>
          <cell r="O106">
            <v>-93.350464609245549</v>
          </cell>
          <cell r="P106">
            <v>0</v>
          </cell>
          <cell r="Q106">
            <v>0</v>
          </cell>
          <cell r="R106">
            <v>0</v>
          </cell>
          <cell r="S106">
            <v>1549889.4581219263</v>
          </cell>
          <cell r="T106">
            <v>56023.780000000028</v>
          </cell>
          <cell r="U106">
            <v>2909753.0990074486</v>
          </cell>
          <cell r="V106">
            <v>21948.796975055313</v>
          </cell>
          <cell r="W106">
            <v>0</v>
          </cell>
          <cell r="X106">
            <v>2987725.6759825037</v>
          </cell>
          <cell r="Y106">
            <v>226222</v>
          </cell>
          <cell r="Z106">
            <v>0</v>
          </cell>
          <cell r="AA106">
            <v>0</v>
          </cell>
          <cell r="AB106">
            <v>39815.803734465975</v>
          </cell>
          <cell r="AC106">
            <v>266037.80373446597</v>
          </cell>
          <cell r="AD106" t="str">
            <v>N/A</v>
          </cell>
          <cell r="AE106">
            <v>545436</v>
          </cell>
          <cell r="AF106">
            <v>545435</v>
          </cell>
          <cell r="AG106">
            <v>545435</v>
          </cell>
          <cell r="AH106">
            <v>545435</v>
          </cell>
          <cell r="AI106">
            <v>539947</v>
          </cell>
          <cell r="AJ106">
            <v>0</v>
          </cell>
          <cell r="AK106">
            <v>2721688</v>
          </cell>
          <cell r="AL106">
            <v>13486049</v>
          </cell>
          <cell r="AM106">
            <v>1549889.4581219263</v>
          </cell>
          <cell r="AN106">
            <v>-418219.78</v>
          </cell>
          <cell r="AO106">
            <v>2891886.0922480379</v>
          </cell>
          <cell r="AP106">
            <v>0</v>
          </cell>
          <cell r="AQ106">
            <v>-170198.21999999997</v>
          </cell>
          <cell r="AR106">
            <v>0</v>
          </cell>
          <cell r="AS106">
            <v>0</v>
          </cell>
          <cell r="AT106">
            <v>17339406.550369967</v>
          </cell>
          <cell r="AU106">
            <v>4.067638508859306E-4</v>
          </cell>
          <cell r="AV106">
            <v>0</v>
          </cell>
          <cell r="AW106">
            <v>0</v>
          </cell>
          <cell r="AY106">
            <v>0</v>
          </cell>
          <cell r="AZ106">
            <v>0</v>
          </cell>
          <cell r="BA106">
            <v>0</v>
          </cell>
          <cell r="BB106">
            <v>0</v>
          </cell>
          <cell r="BC106">
            <v>0</v>
          </cell>
          <cell r="BD106">
            <v>0</v>
          </cell>
          <cell r="BE106">
            <v>0</v>
          </cell>
          <cell r="BF106">
            <v>0</v>
          </cell>
          <cell r="BG106">
            <v>0</v>
          </cell>
          <cell r="BH106">
            <v>0</v>
          </cell>
          <cell r="BJ106">
            <v>0</v>
          </cell>
          <cell r="BL106">
            <v>0</v>
          </cell>
          <cell r="BM106">
            <v>0</v>
          </cell>
          <cell r="BN106">
            <v>0</v>
          </cell>
          <cell r="BO106">
            <v>0</v>
          </cell>
          <cell r="BQ106">
            <v>0</v>
          </cell>
          <cell r="BR106">
            <v>0</v>
          </cell>
          <cell r="BS106">
            <v>0</v>
          </cell>
          <cell r="BT106">
            <v>0</v>
          </cell>
          <cell r="CB106">
            <v>0</v>
          </cell>
          <cell r="CC106">
            <v>0</v>
          </cell>
          <cell r="CD106">
            <v>0</v>
          </cell>
          <cell r="CE106">
            <v>0</v>
          </cell>
          <cell r="CF106">
            <v>0</v>
          </cell>
          <cell r="CI106">
            <v>0</v>
          </cell>
          <cell r="CJ106">
            <v>0</v>
          </cell>
          <cell r="CK106">
            <v>0</v>
          </cell>
          <cell r="CV106">
            <v>3.9857591310894303E-4</v>
          </cell>
          <cell r="DG106">
            <v>17339407</v>
          </cell>
          <cell r="DR106">
            <v>7142382.8599999985</v>
          </cell>
          <cell r="EC106">
            <v>2.4276781768598727</v>
          </cell>
          <cell r="EN106">
            <v>2.4095909012463064E-2</v>
          </cell>
        </row>
        <row r="107">
          <cell r="B107">
            <v>31700</v>
          </cell>
          <cell r="C107" t="str">
            <v>Caswell County Schools</v>
          </cell>
          <cell r="D107">
            <v>8.4030413506430116E-4</v>
          </cell>
          <cell r="E107">
            <v>1453922.0865361099</v>
          </cell>
          <cell r="F107">
            <v>1133656.3941395937</v>
          </cell>
          <cell r="G107">
            <v>-145441</v>
          </cell>
          <cell r="H107">
            <v>-405695.9247907208</v>
          </cell>
          <cell r="I107">
            <v>-16788.462834097791</v>
          </cell>
          <cell r="J107">
            <v>1226906.8354081945</v>
          </cell>
          <cell r="K107">
            <v>0</v>
          </cell>
          <cell r="L107">
            <v>-64463.721903817612</v>
          </cell>
          <cell r="M107">
            <v>11568.476826636903</v>
          </cell>
          <cell r="N107">
            <v>436.101040015671</v>
          </cell>
          <cell r="O107">
            <v>-196.80763147340997</v>
          </cell>
          <cell r="P107">
            <v>0</v>
          </cell>
          <cell r="Q107">
            <v>0</v>
          </cell>
          <cell r="R107">
            <v>0</v>
          </cell>
          <cell r="S107">
            <v>3193903.9767904412</v>
          </cell>
          <cell r="T107">
            <v>59673.370000000112</v>
          </cell>
          <cell r="U107">
            <v>6134534.1770409727</v>
          </cell>
          <cell r="V107">
            <v>46273.907306547611</v>
          </cell>
          <cell r="W107">
            <v>0</v>
          </cell>
          <cell r="X107">
            <v>6240481.4543475201</v>
          </cell>
          <cell r="Y107">
            <v>786878</v>
          </cell>
          <cell r="Z107">
            <v>0</v>
          </cell>
          <cell r="AA107">
            <v>0</v>
          </cell>
          <cell r="AB107">
            <v>83942.314170488957</v>
          </cell>
          <cell r="AC107">
            <v>870820.31417048897</v>
          </cell>
          <cell r="AD107" t="str">
            <v>N/A</v>
          </cell>
          <cell r="AE107">
            <v>1076246</v>
          </cell>
          <cell r="AF107">
            <v>1076246</v>
          </cell>
          <cell r="AG107">
            <v>1076246</v>
          </cell>
          <cell r="AH107">
            <v>1076246</v>
          </cell>
          <cell r="AI107">
            <v>1064677</v>
          </cell>
          <cell r="AJ107">
            <v>0</v>
          </cell>
          <cell r="AK107">
            <v>5369661</v>
          </cell>
          <cell r="AL107">
            <v>28804112</v>
          </cell>
          <cell r="AM107">
            <v>3193903.9767904412</v>
          </cell>
          <cell r="AN107">
            <v>-811590.37000000011</v>
          </cell>
          <cell r="AO107">
            <v>6096865.7701770319</v>
          </cell>
          <cell r="AP107">
            <v>0</v>
          </cell>
          <cell r="AQ107">
            <v>-727204.62999999989</v>
          </cell>
          <cell r="AR107">
            <v>0</v>
          </cell>
          <cell r="AS107">
            <v>0</v>
          </cell>
          <cell r="AT107">
            <v>36556086.746967472</v>
          </cell>
          <cell r="AU107">
            <v>8.687845739421894E-4</v>
          </cell>
          <cell r="AV107">
            <v>0</v>
          </cell>
          <cell r="AW107">
            <v>0</v>
          </cell>
          <cell r="AY107">
            <v>0</v>
          </cell>
          <cell r="AZ107">
            <v>0</v>
          </cell>
          <cell r="BA107">
            <v>0</v>
          </cell>
          <cell r="BB107">
            <v>0</v>
          </cell>
          <cell r="BC107">
            <v>0</v>
          </cell>
          <cell r="BD107">
            <v>0</v>
          </cell>
          <cell r="BE107">
            <v>0</v>
          </cell>
          <cell r="BF107">
            <v>0</v>
          </cell>
          <cell r="BG107">
            <v>0</v>
          </cell>
          <cell r="BH107">
            <v>0</v>
          </cell>
          <cell r="BJ107">
            <v>0</v>
          </cell>
          <cell r="BL107">
            <v>0</v>
          </cell>
          <cell r="BM107">
            <v>0</v>
          </cell>
          <cell r="BN107">
            <v>0</v>
          </cell>
          <cell r="BO107">
            <v>0</v>
          </cell>
          <cell r="BQ107">
            <v>0</v>
          </cell>
          <cell r="BR107">
            <v>0</v>
          </cell>
          <cell r="BS107">
            <v>0</v>
          </cell>
          <cell r="BT107">
            <v>0</v>
          </cell>
          <cell r="CB107">
            <v>0</v>
          </cell>
          <cell r="CC107">
            <v>0</v>
          </cell>
          <cell r="CD107">
            <v>0</v>
          </cell>
          <cell r="CE107">
            <v>0</v>
          </cell>
          <cell r="CF107">
            <v>0</v>
          </cell>
          <cell r="CI107">
            <v>0</v>
          </cell>
          <cell r="CJ107">
            <v>0</v>
          </cell>
          <cell r="CK107">
            <v>0</v>
          </cell>
          <cell r="CV107">
            <v>8.4030413506430116E-4</v>
          </cell>
          <cell r="DG107">
            <v>36556086</v>
          </cell>
          <cell r="DR107">
            <v>13772995.999999993</v>
          </cell>
          <cell r="EC107">
            <v>2.6541854800509648</v>
          </cell>
          <cell r="EN107">
            <v>2.4095909012463064E-2</v>
          </cell>
        </row>
        <row r="108">
          <cell r="B108">
            <v>31800</v>
          </cell>
          <cell r="C108" t="str">
            <v>Catawba County Schools</v>
          </cell>
          <cell r="D108">
            <v>5.3273257682819267E-3</v>
          </cell>
          <cell r="E108">
            <v>9217515.7463497985</v>
          </cell>
          <cell r="F108">
            <v>7187108.4157110453</v>
          </cell>
          <cell r="G108">
            <v>-601939</v>
          </cell>
          <cell r="H108">
            <v>-2572014.4219678151</v>
          </cell>
          <cell r="I108">
            <v>-106434.8096526845</v>
          </cell>
          <cell r="J108">
            <v>7778293.7472408768</v>
          </cell>
          <cell r="K108">
            <v>0</v>
          </cell>
          <cell r="L108">
            <v>-408684.46612045856</v>
          </cell>
          <cell r="M108">
            <v>73341.355976546722</v>
          </cell>
          <cell r="N108">
            <v>2764.7755272229542</v>
          </cell>
          <cell r="O108">
            <v>-1247.71296818931</v>
          </cell>
          <cell r="P108">
            <v>0</v>
          </cell>
          <cell r="Q108">
            <v>0</v>
          </cell>
          <cell r="R108">
            <v>0</v>
          </cell>
          <cell r="S108">
            <v>20568703.630096346</v>
          </cell>
          <cell r="T108">
            <v>0</v>
          </cell>
          <cell r="U108">
            <v>38891468.736204386</v>
          </cell>
          <cell r="V108">
            <v>293365.42390618689</v>
          </cell>
          <cell r="W108">
            <v>0</v>
          </cell>
          <cell r="X108">
            <v>39184834.16011057</v>
          </cell>
          <cell r="Y108">
            <v>3009694.8499999996</v>
          </cell>
          <cell r="Z108">
            <v>0</v>
          </cell>
          <cell r="AA108">
            <v>0</v>
          </cell>
          <cell r="AB108">
            <v>532174.04826342256</v>
          </cell>
          <cell r="AC108">
            <v>3541868.8982634223</v>
          </cell>
          <cell r="AD108" t="str">
            <v>N/A</v>
          </cell>
          <cell r="AE108">
            <v>7143261</v>
          </cell>
          <cell r="AF108">
            <v>7143261</v>
          </cell>
          <cell r="AG108">
            <v>7143261</v>
          </cell>
          <cell r="AH108">
            <v>7143261</v>
          </cell>
          <cell r="AI108">
            <v>7069920</v>
          </cell>
          <cell r="AJ108">
            <v>0</v>
          </cell>
          <cell r="AK108">
            <v>35642964</v>
          </cell>
          <cell r="AL108">
            <v>180212050</v>
          </cell>
          <cell r="AM108">
            <v>20568703.630096346</v>
          </cell>
          <cell r="AN108">
            <v>-4666941.1500000004</v>
          </cell>
          <cell r="AO108">
            <v>38652660.111847155</v>
          </cell>
          <cell r="AP108">
            <v>0</v>
          </cell>
          <cell r="AQ108">
            <v>-3009694.8499999996</v>
          </cell>
          <cell r="AR108">
            <v>0</v>
          </cell>
          <cell r="AS108">
            <v>0</v>
          </cell>
          <cell r="AT108">
            <v>231756777.74194351</v>
          </cell>
          <cell r="AU108">
            <v>5.4355242125237579E-3</v>
          </cell>
          <cell r="AV108">
            <v>0</v>
          </cell>
          <cell r="AW108">
            <v>0</v>
          </cell>
          <cell r="AY108">
            <v>0</v>
          </cell>
          <cell r="AZ108">
            <v>0</v>
          </cell>
          <cell r="BA108">
            <v>0</v>
          </cell>
          <cell r="BB108">
            <v>0</v>
          </cell>
          <cell r="BC108">
            <v>0</v>
          </cell>
          <cell r="BD108">
            <v>0</v>
          </cell>
          <cell r="BE108">
            <v>0</v>
          </cell>
          <cell r="BF108">
            <v>0</v>
          </cell>
          <cell r="BG108">
            <v>0</v>
          </cell>
          <cell r="BH108">
            <v>0</v>
          </cell>
          <cell r="BJ108">
            <v>0</v>
          </cell>
          <cell r="BL108">
            <v>0</v>
          </cell>
          <cell r="BM108">
            <v>0</v>
          </cell>
          <cell r="BN108">
            <v>0</v>
          </cell>
          <cell r="BO108">
            <v>0</v>
          </cell>
          <cell r="BQ108">
            <v>0</v>
          </cell>
          <cell r="BR108">
            <v>0</v>
          </cell>
          <cell r="BS108">
            <v>0</v>
          </cell>
          <cell r="BT108">
            <v>0</v>
          </cell>
          <cell r="CB108">
            <v>0</v>
          </cell>
          <cell r="CC108">
            <v>0</v>
          </cell>
          <cell r="CD108">
            <v>0</v>
          </cell>
          <cell r="CE108">
            <v>0</v>
          </cell>
          <cell r="CF108">
            <v>0</v>
          </cell>
          <cell r="CI108">
            <v>0</v>
          </cell>
          <cell r="CJ108">
            <v>0</v>
          </cell>
          <cell r="CK108">
            <v>0</v>
          </cell>
          <cell r="CV108">
            <v>5.3273257682819267E-3</v>
          </cell>
          <cell r="DG108">
            <v>231756779</v>
          </cell>
          <cell r="DR108">
            <v>82414063.260000065</v>
          </cell>
          <cell r="EC108">
            <v>2.8121023261388438</v>
          </cell>
          <cell r="EN108">
            <v>2.4095909012463064E-2</v>
          </cell>
        </row>
        <row r="109">
          <cell r="B109">
            <v>31805</v>
          </cell>
          <cell r="C109" t="str">
            <v>Catawba Valley Community College</v>
          </cell>
          <cell r="D109">
            <v>9.9102628267439311E-4</v>
          </cell>
          <cell r="E109">
            <v>1714706.545634005</v>
          </cell>
          <cell r="F109">
            <v>1336996.017552916</v>
          </cell>
          <cell r="G109">
            <v>-204168</v>
          </cell>
          <cell r="H109">
            <v>-478464.05541099998</v>
          </cell>
          <cell r="I109">
            <v>-19799.745377927949</v>
          </cell>
          <cell r="J109">
            <v>1446972.4347951049</v>
          </cell>
          <cell r="K109">
            <v>0</v>
          </cell>
          <cell r="L109">
            <v>-76026.33382353597</v>
          </cell>
          <cell r="M109">
            <v>13643.470390431363</v>
          </cell>
          <cell r="N109">
            <v>514.32282018235651</v>
          </cell>
          <cell r="O109">
            <v>-232.1082656651696</v>
          </cell>
          <cell r="P109">
            <v>0</v>
          </cell>
          <cell r="Q109">
            <v>0</v>
          </cell>
          <cell r="R109">
            <v>0</v>
          </cell>
          <cell r="S109">
            <v>3734142.5483145108</v>
          </cell>
          <cell r="T109">
            <v>93127.410000000149</v>
          </cell>
          <cell r="U109">
            <v>7234862.1739755236</v>
          </cell>
          <cell r="V109">
            <v>54573.881561725451</v>
          </cell>
          <cell r="W109">
            <v>0</v>
          </cell>
          <cell r="X109">
            <v>7382563.4655372491</v>
          </cell>
          <cell r="Y109">
            <v>1113964</v>
          </cell>
          <cell r="Z109">
            <v>0</v>
          </cell>
          <cell r="AA109">
            <v>0</v>
          </cell>
          <cell r="AB109">
            <v>98998.726889639744</v>
          </cell>
          <cell r="AC109">
            <v>1212962.7268896396</v>
          </cell>
          <cell r="AD109" t="str">
            <v>N/A</v>
          </cell>
          <cell r="AE109">
            <v>1236648</v>
          </cell>
          <cell r="AF109">
            <v>1236649</v>
          </cell>
          <cell r="AG109">
            <v>1236649</v>
          </cell>
          <cell r="AH109">
            <v>1236649</v>
          </cell>
          <cell r="AI109">
            <v>1223006</v>
          </cell>
          <cell r="AJ109">
            <v>0</v>
          </cell>
          <cell r="AK109">
            <v>6169601</v>
          </cell>
          <cell r="AL109">
            <v>34193731</v>
          </cell>
          <cell r="AM109">
            <v>3734142.5483145108</v>
          </cell>
          <cell r="AN109">
            <v>-984462.41000000015</v>
          </cell>
          <cell r="AO109">
            <v>7190437.3286476098</v>
          </cell>
          <cell r="AP109">
            <v>0</v>
          </cell>
          <cell r="AQ109">
            <v>-1020836.5899999999</v>
          </cell>
          <cell r="AR109">
            <v>0</v>
          </cell>
          <cell r="AS109">
            <v>0</v>
          </cell>
          <cell r="AT109">
            <v>43113011.876962125</v>
          </cell>
          <cell r="AU109">
            <v>1.0313453086340505E-3</v>
          </cell>
          <cell r="AV109">
            <v>0</v>
          </cell>
          <cell r="AW109">
            <v>0</v>
          </cell>
          <cell r="AY109">
            <v>0</v>
          </cell>
          <cell r="AZ109">
            <v>0</v>
          </cell>
          <cell r="BA109">
            <v>0</v>
          </cell>
          <cell r="BB109">
            <v>0</v>
          </cell>
          <cell r="BC109">
            <v>0</v>
          </cell>
          <cell r="BD109">
            <v>0</v>
          </cell>
          <cell r="BE109">
            <v>0</v>
          </cell>
          <cell r="BF109">
            <v>0</v>
          </cell>
          <cell r="BG109">
            <v>0</v>
          </cell>
          <cell r="BH109">
            <v>0</v>
          </cell>
          <cell r="BJ109">
            <v>0</v>
          </cell>
          <cell r="BL109">
            <v>0</v>
          </cell>
          <cell r="BM109">
            <v>0</v>
          </cell>
          <cell r="BN109">
            <v>0</v>
          </cell>
          <cell r="BO109">
            <v>0</v>
          </cell>
          <cell r="BQ109">
            <v>0</v>
          </cell>
          <cell r="BR109">
            <v>0</v>
          </cell>
          <cell r="BS109">
            <v>0</v>
          </cell>
          <cell r="BT109">
            <v>0</v>
          </cell>
          <cell r="CB109">
            <v>0</v>
          </cell>
          <cell r="CC109">
            <v>0</v>
          </cell>
          <cell r="CD109">
            <v>0</v>
          </cell>
          <cell r="CE109">
            <v>0</v>
          </cell>
          <cell r="CF109">
            <v>0</v>
          </cell>
          <cell r="CI109">
            <v>0</v>
          </cell>
          <cell r="CJ109">
            <v>0</v>
          </cell>
          <cell r="CK109">
            <v>0</v>
          </cell>
          <cell r="CV109">
            <v>9.9102628267439311E-4</v>
          </cell>
          <cell r="DG109">
            <v>43113012</v>
          </cell>
          <cell r="DR109">
            <v>16926582.729999989</v>
          </cell>
          <cell r="EC109">
            <v>2.5470594205402279</v>
          </cell>
          <cell r="EN109">
            <v>2.4095909012463064E-2</v>
          </cell>
        </row>
        <row r="110">
          <cell r="B110">
            <v>31810</v>
          </cell>
          <cell r="C110" t="str">
            <v>Hickory City Schools</v>
          </cell>
          <cell r="D110">
            <v>1.3237118370651817E-3</v>
          </cell>
          <cell r="E110">
            <v>2290330.1266881009</v>
          </cell>
          <cell r="F110">
            <v>1785822.9246633195</v>
          </cell>
          <cell r="G110">
            <v>31680</v>
          </cell>
          <cell r="H110">
            <v>-639083.4883294832</v>
          </cell>
          <cell r="I110">
            <v>-26446.480568518891</v>
          </cell>
          <cell r="J110">
            <v>1932718.2067023073</v>
          </cell>
          <cell r="K110">
            <v>0</v>
          </cell>
          <cell r="L110">
            <v>-101548.22305953753</v>
          </cell>
          <cell r="M110">
            <v>18223.55629734194</v>
          </cell>
          <cell r="N110">
            <v>686.97996920008802</v>
          </cell>
          <cell r="O110">
            <v>-310.02654935903621</v>
          </cell>
          <cell r="P110">
            <v>0</v>
          </cell>
          <cell r="Q110">
            <v>0</v>
          </cell>
          <cell r="R110">
            <v>0</v>
          </cell>
          <cell r="S110">
            <v>5292073.5758133708</v>
          </cell>
          <cell r="T110">
            <v>159567</v>
          </cell>
          <cell r="U110">
            <v>9663591.0335115362</v>
          </cell>
          <cell r="V110">
            <v>72894.22518936776</v>
          </cell>
          <cell r="W110">
            <v>0</v>
          </cell>
          <cell r="X110">
            <v>9896052.2587009035</v>
          </cell>
          <cell r="Y110">
            <v>1165.6000000000931</v>
          </cell>
          <cell r="Z110">
            <v>0</v>
          </cell>
          <cell r="AA110">
            <v>0</v>
          </cell>
          <cell r="AB110">
            <v>132232.40284259446</v>
          </cell>
          <cell r="AC110">
            <v>133398.00284259455</v>
          </cell>
          <cell r="AD110" t="str">
            <v>N/A</v>
          </cell>
          <cell r="AE110">
            <v>1956175</v>
          </cell>
          <cell r="AF110">
            <v>1956176</v>
          </cell>
          <cell r="AG110">
            <v>1956176</v>
          </cell>
          <cell r="AH110">
            <v>1956176</v>
          </cell>
          <cell r="AI110">
            <v>1937953</v>
          </cell>
          <cell r="AJ110">
            <v>0</v>
          </cell>
          <cell r="AK110">
            <v>9762656</v>
          </cell>
          <cell r="AL110">
            <v>43695515</v>
          </cell>
          <cell r="AM110">
            <v>5292073.5758133708</v>
          </cell>
          <cell r="AN110">
            <v>-1164278.3999999999</v>
          </cell>
          <cell r="AO110">
            <v>9604252.8558583111</v>
          </cell>
          <cell r="AP110">
            <v>0</v>
          </cell>
          <cell r="AQ110">
            <v>158401.39999999991</v>
          </cell>
          <cell r="AR110">
            <v>0</v>
          </cell>
          <cell r="AS110">
            <v>0</v>
          </cell>
          <cell r="AT110">
            <v>57585964.431671679</v>
          </cell>
          <cell r="AU110">
            <v>1.3179364552008059E-3</v>
          </cell>
          <cell r="AV110">
            <v>0</v>
          </cell>
          <cell r="AW110">
            <v>0</v>
          </cell>
          <cell r="AY110">
            <v>0</v>
          </cell>
          <cell r="AZ110">
            <v>0</v>
          </cell>
          <cell r="BA110">
            <v>0</v>
          </cell>
          <cell r="BB110">
            <v>0</v>
          </cell>
          <cell r="BC110">
            <v>0</v>
          </cell>
          <cell r="BD110">
            <v>0</v>
          </cell>
          <cell r="BE110">
            <v>0</v>
          </cell>
          <cell r="BF110">
            <v>0</v>
          </cell>
          <cell r="BG110">
            <v>0</v>
          </cell>
          <cell r="BH110">
            <v>0</v>
          </cell>
          <cell r="BJ110">
            <v>0</v>
          </cell>
          <cell r="BL110">
            <v>0</v>
          </cell>
          <cell r="BM110">
            <v>0</v>
          </cell>
          <cell r="BN110">
            <v>0</v>
          </cell>
          <cell r="BO110">
            <v>0</v>
          </cell>
          <cell r="BQ110">
            <v>0</v>
          </cell>
          <cell r="BR110">
            <v>0</v>
          </cell>
          <cell r="BS110">
            <v>0</v>
          </cell>
          <cell r="BT110">
            <v>0</v>
          </cell>
          <cell r="CB110">
            <v>0</v>
          </cell>
          <cell r="CC110">
            <v>0</v>
          </cell>
          <cell r="CD110">
            <v>0</v>
          </cell>
          <cell r="CE110">
            <v>0</v>
          </cell>
          <cell r="CF110">
            <v>0</v>
          </cell>
          <cell r="CI110">
            <v>0</v>
          </cell>
          <cell r="CJ110">
            <v>0</v>
          </cell>
          <cell r="CK110">
            <v>0</v>
          </cell>
          <cell r="CV110">
            <v>1.3237118370651817E-3</v>
          </cell>
          <cell r="DG110">
            <v>57585964</v>
          </cell>
          <cell r="DR110">
            <v>20050932.22000001</v>
          </cell>
          <cell r="EC110">
            <v>2.8719843730038788</v>
          </cell>
          <cell r="EN110">
            <v>2.4095909012463064E-2</v>
          </cell>
        </row>
        <row r="111">
          <cell r="B111">
            <v>31820</v>
          </cell>
          <cell r="C111" t="str">
            <v>Newton-Conover City Schools</v>
          </cell>
          <cell r="D111">
            <v>1.1810036712035577E-3</v>
          </cell>
          <cell r="E111">
            <v>2043411.7246271656</v>
          </cell>
          <cell r="F111">
            <v>1593294.9839165041</v>
          </cell>
          <cell r="G111">
            <v>168497</v>
          </cell>
          <cell r="H111">
            <v>-570184.48032925627</v>
          </cell>
          <cell r="I111">
            <v>-23595.309618959294</v>
          </cell>
          <cell r="J111">
            <v>1724353.6195748209</v>
          </cell>
          <cell r="K111">
            <v>0</v>
          </cell>
          <cell r="L111">
            <v>-90600.401748621749</v>
          </cell>
          <cell r="M111">
            <v>16258.891313733688</v>
          </cell>
          <cell r="N111">
            <v>612.91728528122235</v>
          </cell>
          <cell r="O111">
            <v>-276.60286983258527</v>
          </cell>
          <cell r="P111">
            <v>0</v>
          </cell>
          <cell r="Q111">
            <v>0</v>
          </cell>
          <cell r="R111">
            <v>0</v>
          </cell>
          <cell r="S111">
            <v>4861772.3421508344</v>
          </cell>
          <cell r="T111">
            <v>903566</v>
          </cell>
          <cell r="U111">
            <v>8621768.097874105</v>
          </cell>
          <cell r="V111">
            <v>65035.565254934751</v>
          </cell>
          <cell r="W111">
            <v>0</v>
          </cell>
          <cell r="X111">
            <v>9590369.6631290391</v>
          </cell>
          <cell r="Y111">
            <v>61077.710000000196</v>
          </cell>
          <cell r="Z111">
            <v>0</v>
          </cell>
          <cell r="AA111">
            <v>0</v>
          </cell>
          <cell r="AB111">
            <v>117976.54809479647</v>
          </cell>
          <cell r="AC111">
            <v>179054.25809479668</v>
          </cell>
          <cell r="AD111" t="str">
            <v>N/A</v>
          </cell>
          <cell r="AE111">
            <v>1885514</v>
          </cell>
          <cell r="AF111">
            <v>1885515</v>
          </cell>
          <cell r="AG111">
            <v>1885515</v>
          </cell>
          <cell r="AH111">
            <v>1885515</v>
          </cell>
          <cell r="AI111">
            <v>1869256</v>
          </cell>
          <cell r="AJ111">
            <v>0</v>
          </cell>
          <cell r="AK111">
            <v>9411315</v>
          </cell>
          <cell r="AL111">
            <v>38071299</v>
          </cell>
          <cell r="AM111">
            <v>4861772.3421508344</v>
          </cell>
          <cell r="AN111">
            <v>-966713.2899999998</v>
          </cell>
          <cell r="AO111">
            <v>8568827.1150342431</v>
          </cell>
          <cell r="AP111">
            <v>0</v>
          </cell>
          <cell r="AQ111">
            <v>842488.2899999998</v>
          </cell>
          <cell r="AR111">
            <v>0</v>
          </cell>
          <cell r="AS111">
            <v>0</v>
          </cell>
          <cell r="AT111">
            <v>51377673.457185082</v>
          </cell>
          <cell r="AU111">
            <v>1.1482998345797451E-3</v>
          </cell>
          <cell r="AV111">
            <v>0</v>
          </cell>
          <cell r="AW111">
            <v>0</v>
          </cell>
          <cell r="AY111">
            <v>0</v>
          </cell>
          <cell r="AZ111">
            <v>0</v>
          </cell>
          <cell r="BA111">
            <v>0</v>
          </cell>
          <cell r="BB111">
            <v>0</v>
          </cell>
          <cell r="BC111">
            <v>0</v>
          </cell>
          <cell r="BD111">
            <v>0</v>
          </cell>
          <cell r="BE111">
            <v>0</v>
          </cell>
          <cell r="BF111">
            <v>0</v>
          </cell>
          <cell r="BG111">
            <v>0</v>
          </cell>
          <cell r="BH111">
            <v>0</v>
          </cell>
          <cell r="BJ111">
            <v>0</v>
          </cell>
          <cell r="BL111">
            <v>0</v>
          </cell>
          <cell r="BM111">
            <v>0</v>
          </cell>
          <cell r="BN111">
            <v>0</v>
          </cell>
          <cell r="BO111">
            <v>0</v>
          </cell>
          <cell r="BQ111">
            <v>0</v>
          </cell>
          <cell r="BR111">
            <v>0</v>
          </cell>
          <cell r="BS111">
            <v>0</v>
          </cell>
          <cell r="BT111">
            <v>0</v>
          </cell>
          <cell r="CB111">
            <v>0</v>
          </cell>
          <cell r="CC111">
            <v>0</v>
          </cell>
          <cell r="CD111">
            <v>0</v>
          </cell>
          <cell r="CE111">
            <v>0</v>
          </cell>
          <cell r="CF111">
            <v>0</v>
          </cell>
          <cell r="CI111">
            <v>0</v>
          </cell>
          <cell r="CJ111">
            <v>0</v>
          </cell>
          <cell r="CK111">
            <v>0</v>
          </cell>
          <cell r="CV111">
            <v>1.1810036712035577E-3</v>
          </cell>
          <cell r="DG111">
            <v>51377674</v>
          </cell>
          <cell r="DR111">
            <v>16854643.890000008</v>
          </cell>
          <cell r="EC111">
            <v>3.0482800072971448</v>
          </cell>
          <cell r="EN111">
            <v>2.4095909012463064E-2</v>
          </cell>
        </row>
        <row r="112">
          <cell r="B112">
            <v>31900</v>
          </cell>
          <cell r="C112" t="str">
            <v>Chatham County Schools</v>
          </cell>
          <cell r="D112">
            <v>3.1102419442671095E-3</v>
          </cell>
          <cell r="E112">
            <v>5381443.7755860025</v>
          </cell>
          <cell r="F112">
            <v>4196035.1262221988</v>
          </cell>
          <cell r="G112">
            <v>-242153</v>
          </cell>
          <cell r="H112">
            <v>-1501614.0338352362</v>
          </cell>
          <cell r="I112">
            <v>-62139.621962451456</v>
          </cell>
          <cell r="J112">
            <v>4541185.6754728286</v>
          </cell>
          <cell r="K112">
            <v>0</v>
          </cell>
          <cell r="L112">
            <v>-238601.4341503646</v>
          </cell>
          <cell r="M112">
            <v>42818.737116811724</v>
          </cell>
          <cell r="N112">
            <v>1614.1533642357444</v>
          </cell>
          <cell r="O112">
            <v>-728.44976576679971</v>
          </cell>
          <cell r="P112">
            <v>0</v>
          </cell>
          <cell r="Q112">
            <v>0</v>
          </cell>
          <cell r="R112">
            <v>0</v>
          </cell>
          <cell r="S112">
            <v>12117860.928048261</v>
          </cell>
          <cell r="T112">
            <v>0</v>
          </cell>
          <cell r="U112">
            <v>22705928.377364144</v>
          </cell>
          <cell r="V112">
            <v>171274.9484672469</v>
          </cell>
          <cell r="W112">
            <v>0</v>
          </cell>
          <cell r="X112">
            <v>22877203.325831391</v>
          </cell>
          <cell r="Y112">
            <v>1210768.4999999995</v>
          </cell>
          <cell r="Z112">
            <v>0</v>
          </cell>
          <cell r="AA112">
            <v>0</v>
          </cell>
          <cell r="AB112">
            <v>310698.10981225729</v>
          </cell>
          <cell r="AC112">
            <v>1521466.6098122569</v>
          </cell>
          <cell r="AD112" t="str">
            <v>N/A</v>
          </cell>
          <cell r="AE112">
            <v>4279712</v>
          </cell>
          <cell r="AF112">
            <v>4279711</v>
          </cell>
          <cell r="AG112">
            <v>4279711</v>
          </cell>
          <cell r="AH112">
            <v>4279711</v>
          </cell>
          <cell r="AI112">
            <v>4236892</v>
          </cell>
          <cell r="AJ112">
            <v>0</v>
          </cell>
          <cell r="AK112">
            <v>21355737</v>
          </cell>
          <cell r="AL112">
            <v>104488969</v>
          </cell>
          <cell r="AM112">
            <v>12117860.928048261</v>
          </cell>
          <cell r="AN112">
            <v>-2656470.5000000005</v>
          </cell>
          <cell r="AO112">
            <v>22566505.216019135</v>
          </cell>
          <cell r="AP112">
            <v>0</v>
          </cell>
          <cell r="AQ112">
            <v>-1210768.4999999995</v>
          </cell>
          <cell r="AR112">
            <v>0</v>
          </cell>
          <cell r="AS112">
            <v>0</v>
          </cell>
          <cell r="AT112">
            <v>135306096.14406738</v>
          </cell>
          <cell r="AU112">
            <v>3.1515779398981767E-3</v>
          </cell>
          <cell r="AV112">
            <v>0</v>
          </cell>
          <cell r="AW112">
            <v>0</v>
          </cell>
          <cell r="AY112">
            <v>0</v>
          </cell>
          <cell r="AZ112">
            <v>0</v>
          </cell>
          <cell r="BA112">
            <v>0</v>
          </cell>
          <cell r="BB112">
            <v>0</v>
          </cell>
          <cell r="BC112">
            <v>0</v>
          </cell>
          <cell r="BD112">
            <v>0</v>
          </cell>
          <cell r="BE112">
            <v>0</v>
          </cell>
          <cell r="BF112">
            <v>0</v>
          </cell>
          <cell r="BG112">
            <v>0</v>
          </cell>
          <cell r="BH112">
            <v>0</v>
          </cell>
          <cell r="BJ112">
            <v>0</v>
          </cell>
          <cell r="BL112">
            <v>0</v>
          </cell>
          <cell r="BM112">
            <v>0</v>
          </cell>
          <cell r="BN112">
            <v>0</v>
          </cell>
          <cell r="BO112">
            <v>0</v>
          </cell>
          <cell r="BQ112">
            <v>0</v>
          </cell>
          <cell r="BR112">
            <v>0</v>
          </cell>
          <cell r="BS112">
            <v>0</v>
          </cell>
          <cell r="BT112">
            <v>0</v>
          </cell>
          <cell r="CB112">
            <v>0</v>
          </cell>
          <cell r="CC112">
            <v>0</v>
          </cell>
          <cell r="CD112">
            <v>0</v>
          </cell>
          <cell r="CE112">
            <v>0</v>
          </cell>
          <cell r="CF112">
            <v>0</v>
          </cell>
          <cell r="CI112">
            <v>0</v>
          </cell>
          <cell r="CJ112">
            <v>0</v>
          </cell>
          <cell r="CK112">
            <v>0</v>
          </cell>
          <cell r="CV112">
            <v>3.1102419442671095E-3</v>
          </cell>
          <cell r="DG112">
            <v>135306096</v>
          </cell>
          <cell r="DR112">
            <v>45846473.449999966</v>
          </cell>
          <cell r="EC112">
            <v>2.951286889002803</v>
          </cell>
          <cell r="EN112">
            <v>2.4095909012463064E-2</v>
          </cell>
        </row>
        <row r="113">
          <cell r="B113">
            <v>32000</v>
          </cell>
          <cell r="C113" t="str">
            <v>Cherokee County Schools</v>
          </cell>
          <cell r="D113">
            <v>1.2502836665452377E-3</v>
          </cell>
          <cell r="E113">
            <v>2163282.2705155057</v>
          </cell>
          <cell r="F113">
            <v>1686760.7975758011</v>
          </cell>
          <cell r="G113">
            <v>280865</v>
          </cell>
          <cell r="H113">
            <v>-603632.62202796258</v>
          </cell>
          <cell r="I113">
            <v>-24979.456832338485</v>
          </cell>
          <cell r="J113">
            <v>1825507.5902562225</v>
          </cell>
          <cell r="K113">
            <v>0</v>
          </cell>
          <cell r="L113">
            <v>-95915.199292563484</v>
          </cell>
          <cell r="M113">
            <v>17212.669817511261</v>
          </cell>
          <cell r="N113">
            <v>648.87221726364749</v>
          </cell>
          <cell r="O113">
            <v>-292.82893754156009</v>
          </cell>
          <cell r="P113">
            <v>0</v>
          </cell>
          <cell r="Q113">
            <v>0</v>
          </cell>
          <cell r="R113">
            <v>0</v>
          </cell>
          <cell r="S113">
            <v>5249457.0932918983</v>
          </cell>
          <cell r="T113">
            <v>1414852</v>
          </cell>
          <cell r="U113">
            <v>9127537.9512811136</v>
          </cell>
          <cell r="V113">
            <v>68850.679270045046</v>
          </cell>
          <cell r="W113">
            <v>0</v>
          </cell>
          <cell r="X113">
            <v>10611240.630551159</v>
          </cell>
          <cell r="Y113">
            <v>10528.949999999953</v>
          </cell>
          <cell r="Z113">
            <v>0</v>
          </cell>
          <cell r="AA113">
            <v>0</v>
          </cell>
          <cell r="AB113">
            <v>124897.28416169241</v>
          </cell>
          <cell r="AC113">
            <v>135426.23416169238</v>
          </cell>
          <cell r="AD113" t="str">
            <v>N/A</v>
          </cell>
          <cell r="AE113">
            <v>2098605</v>
          </cell>
          <cell r="AF113">
            <v>2098606</v>
          </cell>
          <cell r="AG113">
            <v>2098606</v>
          </cell>
          <cell r="AH113">
            <v>2098606</v>
          </cell>
          <cell r="AI113">
            <v>2081393</v>
          </cell>
          <cell r="AJ113">
            <v>0</v>
          </cell>
          <cell r="AK113">
            <v>10475816</v>
          </cell>
          <cell r="AL113">
            <v>39754698</v>
          </cell>
          <cell r="AM113">
            <v>5249457.0932918983</v>
          </cell>
          <cell r="AN113">
            <v>-1088380.05</v>
          </cell>
          <cell r="AO113">
            <v>9071491.3463894669</v>
          </cell>
          <cell r="AP113">
            <v>0</v>
          </cell>
          <cell r="AQ113">
            <v>1404323.05</v>
          </cell>
          <cell r="AR113">
            <v>0</v>
          </cell>
          <cell r="AS113">
            <v>0</v>
          </cell>
          <cell r="AT113">
            <v>54391589.439681366</v>
          </cell>
          <cell r="AU113">
            <v>1.199074213095507E-3</v>
          </cell>
          <cell r="AV113">
            <v>0</v>
          </cell>
          <cell r="AW113">
            <v>0</v>
          </cell>
          <cell r="AY113">
            <v>0</v>
          </cell>
          <cell r="AZ113">
            <v>0</v>
          </cell>
          <cell r="BA113">
            <v>0</v>
          </cell>
          <cell r="BB113">
            <v>0</v>
          </cell>
          <cell r="BC113">
            <v>0</v>
          </cell>
          <cell r="BD113">
            <v>0</v>
          </cell>
          <cell r="BE113">
            <v>0</v>
          </cell>
          <cell r="BF113">
            <v>0</v>
          </cell>
          <cell r="BG113">
            <v>0</v>
          </cell>
          <cell r="BH113">
            <v>0</v>
          </cell>
          <cell r="BJ113">
            <v>0</v>
          </cell>
          <cell r="BL113">
            <v>0</v>
          </cell>
          <cell r="BM113">
            <v>0</v>
          </cell>
          <cell r="BN113">
            <v>0</v>
          </cell>
          <cell r="BO113">
            <v>0</v>
          </cell>
          <cell r="BQ113">
            <v>0</v>
          </cell>
          <cell r="BR113">
            <v>0</v>
          </cell>
          <cell r="BS113">
            <v>0</v>
          </cell>
          <cell r="BT113">
            <v>0</v>
          </cell>
          <cell r="CB113">
            <v>0</v>
          </cell>
          <cell r="CC113">
            <v>0</v>
          </cell>
          <cell r="CD113">
            <v>0</v>
          </cell>
          <cell r="CE113">
            <v>0</v>
          </cell>
          <cell r="CF113">
            <v>0</v>
          </cell>
          <cell r="CI113">
            <v>0</v>
          </cell>
          <cell r="CJ113">
            <v>0</v>
          </cell>
          <cell r="CK113">
            <v>0</v>
          </cell>
          <cell r="CV113">
            <v>1.2502836665452377E-3</v>
          </cell>
          <cell r="DG113">
            <v>54391589</v>
          </cell>
          <cell r="DR113">
            <v>18666686.109999992</v>
          </cell>
          <cell r="EC113">
            <v>2.9138320899316832</v>
          </cell>
          <cell r="EN113">
            <v>2.4095909012463064E-2</v>
          </cell>
        </row>
        <row r="114">
          <cell r="B114">
            <v>32005</v>
          </cell>
          <cell r="C114" t="str">
            <v>Tri-County Community College</v>
          </cell>
          <cell r="D114">
            <v>2.8196215099069024E-4</v>
          </cell>
          <cell r="E114">
            <v>487860.26604667847</v>
          </cell>
          <cell r="F114">
            <v>380395.83769451483</v>
          </cell>
          <cell r="G114">
            <v>90512</v>
          </cell>
          <cell r="H114">
            <v>-136130.34951136541</v>
          </cell>
          <cell r="I114">
            <v>-5633.3307132509153</v>
          </cell>
          <cell r="J114">
            <v>411685.81224511453</v>
          </cell>
          <cell r="K114">
            <v>0</v>
          </cell>
          <cell r="L114">
            <v>-21630.656009416412</v>
          </cell>
          <cell r="M114">
            <v>3881.7762207904557</v>
          </cell>
          <cell r="N114">
            <v>146.33271712114842</v>
          </cell>
          <cell r="O114">
            <v>-66.038355383529563</v>
          </cell>
          <cell r="P114">
            <v>0</v>
          </cell>
          <cell r="Q114">
            <v>0</v>
          </cell>
          <cell r="R114">
            <v>0</v>
          </cell>
          <cell r="S114">
            <v>1211021.6503348032</v>
          </cell>
          <cell r="T114">
            <v>452557.93000000005</v>
          </cell>
          <cell r="U114">
            <v>2058429.0612255728</v>
          </cell>
          <cell r="V114">
            <v>15527.104883161823</v>
          </cell>
          <cell r="W114">
            <v>0</v>
          </cell>
          <cell r="X114">
            <v>2526514.0961087346</v>
          </cell>
          <cell r="Y114">
            <v>0</v>
          </cell>
          <cell r="Z114">
            <v>0</v>
          </cell>
          <cell r="AA114">
            <v>0</v>
          </cell>
          <cell r="AB114">
            <v>28166.653566254572</v>
          </cell>
          <cell r="AC114">
            <v>28166.653566254572</v>
          </cell>
          <cell r="AD114" t="str">
            <v>N/A</v>
          </cell>
          <cell r="AE114">
            <v>500445</v>
          </cell>
          <cell r="AF114">
            <v>500446</v>
          </cell>
          <cell r="AG114">
            <v>500446</v>
          </cell>
          <cell r="AH114">
            <v>500446</v>
          </cell>
          <cell r="AI114">
            <v>496564</v>
          </cell>
          <cell r="AJ114">
            <v>0</v>
          </cell>
          <cell r="AK114">
            <v>2498347</v>
          </cell>
          <cell r="AL114">
            <v>8830263</v>
          </cell>
          <cell r="AM114">
            <v>1211021.6503348032</v>
          </cell>
          <cell r="AN114">
            <v>-273319.93000000005</v>
          </cell>
          <cell r="AO114">
            <v>2045789.5125424801</v>
          </cell>
          <cell r="AP114">
            <v>0</v>
          </cell>
          <cell r="AQ114">
            <v>452557.93000000005</v>
          </cell>
          <cell r="AR114">
            <v>0</v>
          </cell>
          <cell r="AS114">
            <v>0</v>
          </cell>
          <cell r="AT114">
            <v>12266312.162877284</v>
          </cell>
          <cell r="AU114">
            <v>2.6633683280864024E-4</v>
          </cell>
          <cell r="AV114">
            <v>0</v>
          </cell>
          <cell r="AW114">
            <v>0</v>
          </cell>
          <cell r="AY114">
            <v>0</v>
          </cell>
          <cell r="AZ114">
            <v>0</v>
          </cell>
          <cell r="BA114">
            <v>0</v>
          </cell>
          <cell r="BB114">
            <v>0</v>
          </cell>
          <cell r="BC114">
            <v>0</v>
          </cell>
          <cell r="BD114">
            <v>0</v>
          </cell>
          <cell r="BE114">
            <v>0</v>
          </cell>
          <cell r="BF114">
            <v>0</v>
          </cell>
          <cell r="BG114">
            <v>0</v>
          </cell>
          <cell r="BH114">
            <v>0</v>
          </cell>
          <cell r="BJ114">
            <v>0</v>
          </cell>
          <cell r="BL114">
            <v>0</v>
          </cell>
          <cell r="BM114">
            <v>0</v>
          </cell>
          <cell r="BN114">
            <v>0</v>
          </cell>
          <cell r="BO114">
            <v>0</v>
          </cell>
          <cell r="BQ114">
            <v>0</v>
          </cell>
          <cell r="BR114">
            <v>0</v>
          </cell>
          <cell r="BS114">
            <v>0</v>
          </cell>
          <cell r="BT114">
            <v>0</v>
          </cell>
          <cell r="CB114">
            <v>0</v>
          </cell>
          <cell r="CC114">
            <v>0</v>
          </cell>
          <cell r="CD114">
            <v>0</v>
          </cell>
          <cell r="CE114">
            <v>0</v>
          </cell>
          <cell r="CF114">
            <v>0</v>
          </cell>
          <cell r="CI114">
            <v>0</v>
          </cell>
          <cell r="CJ114">
            <v>0</v>
          </cell>
          <cell r="CK114">
            <v>0</v>
          </cell>
          <cell r="CV114">
            <v>2.8196215099069024E-4</v>
          </cell>
          <cell r="DG114">
            <v>12266312</v>
          </cell>
          <cell r="DR114">
            <v>4742534.0500000007</v>
          </cell>
          <cell r="EC114">
            <v>2.586446796307134</v>
          </cell>
          <cell r="EN114">
            <v>2.4095909012463064E-2</v>
          </cell>
        </row>
        <row r="115">
          <cell r="B115">
            <v>32100</v>
          </cell>
          <cell r="C115" t="str">
            <v>Edenton-Chowan County Schools</v>
          </cell>
          <cell r="D115">
            <v>7.7965061302360617E-4</v>
          </cell>
          <cell r="E115">
            <v>1348977.3508846269</v>
          </cell>
          <cell r="F115">
            <v>1051828.5770204277</v>
          </cell>
          <cell r="G115">
            <v>-215686</v>
          </cell>
          <cell r="H115">
            <v>-376412.61451136443</v>
          </cell>
          <cell r="I115">
            <v>-15576.664203046881</v>
          </cell>
          <cell r="J115">
            <v>1138348.1604260514</v>
          </cell>
          <cell r="K115">
            <v>0</v>
          </cell>
          <cell r="L115">
            <v>-59810.702105195247</v>
          </cell>
          <cell r="M115">
            <v>10733.459081391607</v>
          </cell>
          <cell r="N115">
            <v>404.62307514699114</v>
          </cell>
          <cell r="O115">
            <v>-182.60197007625879</v>
          </cell>
          <cell r="P115">
            <v>0</v>
          </cell>
          <cell r="Q115">
            <v>0</v>
          </cell>
          <cell r="R115">
            <v>0</v>
          </cell>
          <cell r="S115">
            <v>2882623.5876979628</v>
          </cell>
          <cell r="T115">
            <v>12292.670000000042</v>
          </cell>
          <cell r="U115">
            <v>5691740.8021302568</v>
          </cell>
          <cell r="V115">
            <v>42933.83632556643</v>
          </cell>
          <cell r="W115">
            <v>0</v>
          </cell>
          <cell r="X115">
            <v>5746967.308455823</v>
          </cell>
          <cell r="Y115">
            <v>1090723</v>
          </cell>
          <cell r="Z115">
            <v>0</v>
          </cell>
          <cell r="AA115">
            <v>0</v>
          </cell>
          <cell r="AB115">
            <v>77883.321015234396</v>
          </cell>
          <cell r="AC115">
            <v>1168606.3210152343</v>
          </cell>
          <cell r="AD115" t="str">
            <v>N/A</v>
          </cell>
          <cell r="AE115">
            <v>917819</v>
          </cell>
          <cell r="AF115">
            <v>917818</v>
          </cell>
          <cell r="AG115">
            <v>917818</v>
          </cell>
          <cell r="AH115">
            <v>917818</v>
          </cell>
          <cell r="AI115">
            <v>907084</v>
          </cell>
          <cell r="AJ115">
            <v>0</v>
          </cell>
          <cell r="AK115">
            <v>4578357</v>
          </cell>
          <cell r="AL115">
            <v>27157789</v>
          </cell>
          <cell r="AM115">
            <v>2882623.5876979628</v>
          </cell>
          <cell r="AN115">
            <v>-701321.67</v>
          </cell>
          <cell r="AO115">
            <v>5656791.3174405899</v>
          </cell>
          <cell r="AP115">
            <v>0</v>
          </cell>
          <cell r="AQ115">
            <v>-1078430.33</v>
          </cell>
          <cell r="AR115">
            <v>0</v>
          </cell>
          <cell r="AS115">
            <v>0</v>
          </cell>
          <cell r="AT115">
            <v>33917451.905138552</v>
          </cell>
          <cell r="AU115">
            <v>8.1912845509370526E-4</v>
          </cell>
          <cell r="AV115">
            <v>0</v>
          </cell>
          <cell r="AW115">
            <v>0</v>
          </cell>
          <cell r="AY115">
            <v>0</v>
          </cell>
          <cell r="AZ115">
            <v>0</v>
          </cell>
          <cell r="BA115">
            <v>0</v>
          </cell>
          <cell r="BB115">
            <v>0</v>
          </cell>
          <cell r="BC115">
            <v>0</v>
          </cell>
          <cell r="BD115">
            <v>0</v>
          </cell>
          <cell r="BE115">
            <v>0</v>
          </cell>
          <cell r="BF115">
            <v>0</v>
          </cell>
          <cell r="BG115">
            <v>0</v>
          </cell>
          <cell r="BH115">
            <v>0</v>
          </cell>
          <cell r="BJ115">
            <v>0</v>
          </cell>
          <cell r="BL115">
            <v>0</v>
          </cell>
          <cell r="BM115">
            <v>0</v>
          </cell>
          <cell r="BN115">
            <v>0</v>
          </cell>
          <cell r="BO115">
            <v>0</v>
          </cell>
          <cell r="BQ115">
            <v>0</v>
          </cell>
          <cell r="BR115">
            <v>0</v>
          </cell>
          <cell r="BS115">
            <v>0</v>
          </cell>
          <cell r="BT115">
            <v>0</v>
          </cell>
          <cell r="CB115">
            <v>0</v>
          </cell>
          <cell r="CC115">
            <v>0</v>
          </cell>
          <cell r="CD115">
            <v>0</v>
          </cell>
          <cell r="CE115">
            <v>0</v>
          </cell>
          <cell r="CF115">
            <v>0</v>
          </cell>
          <cell r="CI115">
            <v>0</v>
          </cell>
          <cell r="CJ115">
            <v>0</v>
          </cell>
          <cell r="CK115">
            <v>0</v>
          </cell>
          <cell r="CV115">
            <v>7.7965061302360617E-4</v>
          </cell>
          <cell r="DG115">
            <v>33917452</v>
          </cell>
          <cell r="DR115">
            <v>12404863.179999989</v>
          </cell>
          <cell r="EC115">
            <v>2.7342060535326302</v>
          </cell>
          <cell r="EN115">
            <v>2.4095909012463064E-2</v>
          </cell>
        </row>
        <row r="116">
          <cell r="B116">
            <v>32200</v>
          </cell>
          <cell r="C116" t="str">
            <v>Clay County Schools</v>
          </cell>
          <cell r="D116">
            <v>4.7996602982330541E-4</v>
          </cell>
          <cell r="E116">
            <v>830453.14479352627</v>
          </cell>
          <cell r="F116">
            <v>647523.36204718135</v>
          </cell>
          <cell r="G116">
            <v>109985</v>
          </cell>
          <cell r="H116">
            <v>-231725.93613667783</v>
          </cell>
          <cell r="I116">
            <v>-9589.2564573675863</v>
          </cell>
          <cell r="J116">
            <v>700786.27270932728</v>
          </cell>
          <cell r="K116">
            <v>0</v>
          </cell>
          <cell r="L116">
            <v>-36820.474133976968</v>
          </cell>
          <cell r="M116">
            <v>6607.6979297013013</v>
          </cell>
          <cell r="N116">
            <v>249.09277015769905</v>
          </cell>
          <cell r="O116">
            <v>-112.41284384491637</v>
          </cell>
          <cell r="P116">
            <v>0</v>
          </cell>
          <cell r="Q116">
            <v>0</v>
          </cell>
          <cell r="R116">
            <v>0</v>
          </cell>
          <cell r="S116">
            <v>2017356.4906780266</v>
          </cell>
          <cell r="T116">
            <v>549922.92999999993</v>
          </cell>
          <cell r="U116">
            <v>3503931.3635466364</v>
          </cell>
          <cell r="V116">
            <v>26430.791718805205</v>
          </cell>
          <cell r="W116">
            <v>0</v>
          </cell>
          <cell r="X116">
            <v>4080285.0852654418</v>
          </cell>
          <cell r="Y116">
            <v>0</v>
          </cell>
          <cell r="Z116">
            <v>0</v>
          </cell>
          <cell r="AA116">
            <v>0</v>
          </cell>
          <cell r="AB116">
            <v>47946.282286837937</v>
          </cell>
          <cell r="AC116">
            <v>47946.282286837937</v>
          </cell>
          <cell r="AD116" t="str">
            <v>N/A</v>
          </cell>
          <cell r="AE116">
            <v>807790</v>
          </cell>
          <cell r="AF116">
            <v>807790</v>
          </cell>
          <cell r="AG116">
            <v>807790</v>
          </cell>
          <cell r="AH116">
            <v>807790</v>
          </cell>
          <cell r="AI116">
            <v>801182</v>
          </cell>
          <cell r="AJ116">
            <v>0</v>
          </cell>
          <cell r="AK116">
            <v>4032342</v>
          </cell>
          <cell r="AL116">
            <v>15253619</v>
          </cell>
          <cell r="AM116">
            <v>2017356.4906780266</v>
          </cell>
          <cell r="AN116">
            <v>-423160.93</v>
          </cell>
          <cell r="AO116">
            <v>3482415.8729786039</v>
          </cell>
          <cell r="AP116">
            <v>0</v>
          </cell>
          <cell r="AQ116">
            <v>549922.92999999993</v>
          </cell>
          <cell r="AR116">
            <v>0</v>
          </cell>
          <cell r="AS116">
            <v>0</v>
          </cell>
          <cell r="AT116">
            <v>20880153.363656633</v>
          </cell>
          <cell r="AU116">
            <v>4.6007697330434149E-4</v>
          </cell>
          <cell r="AV116">
            <v>0</v>
          </cell>
          <cell r="AW116">
            <v>0</v>
          </cell>
          <cell r="AY116">
            <v>0</v>
          </cell>
          <cell r="AZ116">
            <v>0</v>
          </cell>
          <cell r="BA116">
            <v>0</v>
          </cell>
          <cell r="BB116">
            <v>0</v>
          </cell>
          <cell r="BC116">
            <v>0</v>
          </cell>
          <cell r="BD116">
            <v>0</v>
          </cell>
          <cell r="BE116">
            <v>0</v>
          </cell>
          <cell r="BF116">
            <v>0</v>
          </cell>
          <cell r="BG116">
            <v>0</v>
          </cell>
          <cell r="BH116">
            <v>0</v>
          </cell>
          <cell r="BJ116">
            <v>0</v>
          </cell>
          <cell r="BL116">
            <v>0</v>
          </cell>
          <cell r="BM116">
            <v>0</v>
          </cell>
          <cell r="BN116">
            <v>0</v>
          </cell>
          <cell r="BO116">
            <v>0</v>
          </cell>
          <cell r="BQ116">
            <v>0</v>
          </cell>
          <cell r="BR116">
            <v>0</v>
          </cell>
          <cell r="BS116">
            <v>0</v>
          </cell>
          <cell r="BT116">
            <v>0</v>
          </cell>
          <cell r="CB116">
            <v>0</v>
          </cell>
          <cell r="CC116">
            <v>0</v>
          </cell>
          <cell r="CD116">
            <v>0</v>
          </cell>
          <cell r="CE116">
            <v>0</v>
          </cell>
          <cell r="CF116">
            <v>0</v>
          </cell>
          <cell r="CI116">
            <v>0</v>
          </cell>
          <cell r="CJ116">
            <v>0</v>
          </cell>
          <cell r="CK116">
            <v>0</v>
          </cell>
          <cell r="CV116">
            <v>4.7996602982330541E-4</v>
          </cell>
          <cell r="DG116">
            <v>20880154</v>
          </cell>
          <cell r="DR116">
            <v>7296762.5800000038</v>
          </cell>
          <cell r="EC116">
            <v>2.8615641212215497</v>
          </cell>
          <cell r="EN116">
            <v>2.4095909012463064E-2</v>
          </cell>
        </row>
        <row r="117">
          <cell r="B117">
            <v>32300</v>
          </cell>
          <cell r="C117" t="str">
            <v>Cleveland County Schools</v>
          </cell>
          <cell r="D117">
            <v>5.4555043298767552E-3</v>
          </cell>
          <cell r="E117">
            <v>9439294.5451758802</v>
          </cell>
          <cell r="F117">
            <v>7360034.4312809603</v>
          </cell>
          <cell r="G117">
            <v>-193350</v>
          </cell>
          <cell r="H117">
            <v>-2633898.5873724981</v>
          </cell>
          <cell r="I117">
            <v>-108995.69318004954</v>
          </cell>
          <cell r="J117">
            <v>7965444.0263019828</v>
          </cell>
          <cell r="K117">
            <v>0</v>
          </cell>
          <cell r="L117">
            <v>-418517.65246798034</v>
          </cell>
          <cell r="M117">
            <v>75105.991728777022</v>
          </cell>
          <cell r="N117">
            <v>2831.2976371194386</v>
          </cell>
          <cell r="O117">
            <v>-1277.7336691004348</v>
          </cell>
          <cell r="P117">
            <v>0</v>
          </cell>
          <cell r="Q117">
            <v>0</v>
          </cell>
          <cell r="R117">
            <v>0</v>
          </cell>
          <cell r="S117">
            <v>21486670.625435088</v>
          </cell>
          <cell r="T117">
            <v>0</v>
          </cell>
          <cell r="U117">
            <v>39827220.131509915</v>
          </cell>
          <cell r="V117">
            <v>300423.96691510809</v>
          </cell>
          <cell r="W117">
            <v>0</v>
          </cell>
          <cell r="X117">
            <v>40127644.098425023</v>
          </cell>
          <cell r="Y117">
            <v>966750.41999999993</v>
          </cell>
          <cell r="Z117">
            <v>0</v>
          </cell>
          <cell r="AA117">
            <v>0</v>
          </cell>
          <cell r="AB117">
            <v>544978.46590024768</v>
          </cell>
          <cell r="AC117">
            <v>1511728.8859002476</v>
          </cell>
          <cell r="AD117" t="str">
            <v>N/A</v>
          </cell>
          <cell r="AE117">
            <v>7738204</v>
          </cell>
          <cell r="AF117">
            <v>7738203</v>
          </cell>
          <cell r="AG117">
            <v>7738203</v>
          </cell>
          <cell r="AH117">
            <v>7738203</v>
          </cell>
          <cell r="AI117">
            <v>7663097</v>
          </cell>
          <cell r="AJ117">
            <v>0</v>
          </cell>
          <cell r="AK117">
            <v>38615910</v>
          </cell>
          <cell r="AL117">
            <v>181830555</v>
          </cell>
          <cell r="AM117">
            <v>21486670.625435088</v>
          </cell>
          <cell r="AN117">
            <v>-4600158.58</v>
          </cell>
          <cell r="AO117">
            <v>39582665.632524781</v>
          </cell>
          <cell r="AP117">
            <v>0</v>
          </cell>
          <cell r="AQ117">
            <v>-966750.41999999993</v>
          </cell>
          <cell r="AR117">
            <v>0</v>
          </cell>
          <cell r="AS117">
            <v>0</v>
          </cell>
          <cell r="AT117">
            <v>237332982.25795987</v>
          </cell>
          <cell r="AU117">
            <v>5.4843412859807497E-3</v>
          </cell>
          <cell r="AV117">
            <v>0</v>
          </cell>
          <cell r="AW117">
            <v>0</v>
          </cell>
          <cell r="AY117">
            <v>0</v>
          </cell>
          <cell r="AZ117">
            <v>0</v>
          </cell>
          <cell r="BA117">
            <v>0</v>
          </cell>
          <cell r="BB117">
            <v>0</v>
          </cell>
          <cell r="BC117">
            <v>0</v>
          </cell>
          <cell r="BD117">
            <v>0</v>
          </cell>
          <cell r="BE117">
            <v>0</v>
          </cell>
          <cell r="BF117">
            <v>0</v>
          </cell>
          <cell r="BG117">
            <v>0</v>
          </cell>
          <cell r="BH117">
            <v>0</v>
          </cell>
          <cell r="BJ117">
            <v>0</v>
          </cell>
          <cell r="BL117">
            <v>0</v>
          </cell>
          <cell r="BM117">
            <v>0</v>
          </cell>
          <cell r="BN117">
            <v>0</v>
          </cell>
          <cell r="BO117">
            <v>0</v>
          </cell>
          <cell r="BQ117">
            <v>0</v>
          </cell>
          <cell r="BR117">
            <v>0</v>
          </cell>
          <cell r="BS117">
            <v>0</v>
          </cell>
          <cell r="BT117">
            <v>0</v>
          </cell>
          <cell r="CB117">
            <v>0</v>
          </cell>
          <cell r="CC117">
            <v>0</v>
          </cell>
          <cell r="CD117">
            <v>0</v>
          </cell>
          <cell r="CE117">
            <v>0</v>
          </cell>
          <cell r="CF117">
            <v>0</v>
          </cell>
          <cell r="CI117">
            <v>0</v>
          </cell>
          <cell r="CJ117">
            <v>0</v>
          </cell>
          <cell r="CK117">
            <v>0</v>
          </cell>
          <cell r="CV117">
            <v>5.4555043298767552E-3</v>
          </cell>
          <cell r="DG117">
            <v>237332982</v>
          </cell>
          <cell r="DR117">
            <v>80257674.519999996</v>
          </cell>
          <cell r="EC117">
            <v>2.9571375375554552</v>
          </cell>
          <cell r="EN117">
            <v>2.4095909012463064E-2</v>
          </cell>
        </row>
        <row r="118">
          <cell r="B118">
            <v>32305</v>
          </cell>
          <cell r="C118" t="str">
            <v>Cleveland Technical College</v>
          </cell>
          <cell r="D118">
            <v>5.6059646284835048E-4</v>
          </cell>
          <cell r="E118">
            <v>969962.59444429225</v>
          </cell>
          <cell r="F118">
            <v>756302.07935539982</v>
          </cell>
          <cell r="G118">
            <v>-53300</v>
          </cell>
          <cell r="H118">
            <v>-270654.02982012596</v>
          </cell>
          <cell r="I118">
            <v>-11200.174423437807</v>
          </cell>
          <cell r="J118">
            <v>818512.73065753246</v>
          </cell>
          <cell r="K118">
            <v>0</v>
          </cell>
          <cell r="L118">
            <v>-43006.017670678899</v>
          </cell>
          <cell r="M118">
            <v>7717.7380414288909</v>
          </cell>
          <cell r="N118">
            <v>290.93835228903691</v>
          </cell>
          <cell r="O118">
            <v>-131.29729756371216</v>
          </cell>
          <cell r="P118">
            <v>0</v>
          </cell>
          <cell r="Q118">
            <v>0</v>
          </cell>
          <cell r="R118">
            <v>0</v>
          </cell>
          <cell r="S118">
            <v>2174494.5616391362</v>
          </cell>
          <cell r="T118">
            <v>57607.459999999963</v>
          </cell>
          <cell r="U118">
            <v>4092563.6532876627</v>
          </cell>
          <cell r="V118">
            <v>30870.952165715564</v>
          </cell>
          <cell r="W118">
            <v>0</v>
          </cell>
          <cell r="X118">
            <v>4181042.065453378</v>
          </cell>
          <cell r="Y118">
            <v>324103</v>
          </cell>
          <cell r="Z118">
            <v>0</v>
          </cell>
          <cell r="AA118">
            <v>0</v>
          </cell>
          <cell r="AB118">
            <v>56000.872117189036</v>
          </cell>
          <cell r="AC118">
            <v>380103.87211718905</v>
          </cell>
          <cell r="AD118" t="str">
            <v>N/A</v>
          </cell>
          <cell r="AE118">
            <v>761730</v>
          </cell>
          <cell r="AF118">
            <v>761731</v>
          </cell>
          <cell r="AG118">
            <v>761731</v>
          </cell>
          <cell r="AH118">
            <v>761731</v>
          </cell>
          <cell r="AI118">
            <v>754014</v>
          </cell>
          <cell r="AJ118">
            <v>0</v>
          </cell>
          <cell r="AK118">
            <v>3800937</v>
          </cell>
          <cell r="AL118">
            <v>18975216</v>
          </cell>
          <cell r="AM118">
            <v>2174494.5616391362</v>
          </cell>
          <cell r="AN118">
            <v>-562796.46</v>
          </cell>
          <cell r="AO118">
            <v>4067433.7333361893</v>
          </cell>
          <cell r="AP118">
            <v>0</v>
          </cell>
          <cell r="AQ118">
            <v>-266495.54000000004</v>
          </cell>
          <cell r="AR118">
            <v>0</v>
          </cell>
          <cell r="AS118">
            <v>0</v>
          </cell>
          <cell r="AT118">
            <v>24387852.294975325</v>
          </cell>
          <cell r="AU118">
            <v>5.7232713659562172E-4</v>
          </cell>
          <cell r="AV118">
            <v>0</v>
          </cell>
          <cell r="AW118">
            <v>0</v>
          </cell>
          <cell r="AY118">
            <v>0</v>
          </cell>
          <cell r="AZ118">
            <v>0</v>
          </cell>
          <cell r="BA118">
            <v>0</v>
          </cell>
          <cell r="BB118">
            <v>0</v>
          </cell>
          <cell r="BC118">
            <v>0</v>
          </cell>
          <cell r="BD118">
            <v>0</v>
          </cell>
          <cell r="BE118">
            <v>0</v>
          </cell>
          <cell r="BF118">
            <v>0</v>
          </cell>
          <cell r="BG118">
            <v>0</v>
          </cell>
          <cell r="BH118">
            <v>0</v>
          </cell>
          <cell r="BJ118">
            <v>0</v>
          </cell>
          <cell r="BL118">
            <v>0</v>
          </cell>
          <cell r="BM118">
            <v>0</v>
          </cell>
          <cell r="BN118">
            <v>0</v>
          </cell>
          <cell r="BO118">
            <v>0</v>
          </cell>
          <cell r="BQ118">
            <v>0</v>
          </cell>
          <cell r="BR118">
            <v>0</v>
          </cell>
          <cell r="BS118">
            <v>0</v>
          </cell>
          <cell r="BT118">
            <v>0</v>
          </cell>
          <cell r="CB118">
            <v>0</v>
          </cell>
          <cell r="CC118">
            <v>0</v>
          </cell>
          <cell r="CD118">
            <v>0</v>
          </cell>
          <cell r="CE118">
            <v>0</v>
          </cell>
          <cell r="CF118">
            <v>0</v>
          </cell>
          <cell r="CI118">
            <v>0</v>
          </cell>
          <cell r="CJ118">
            <v>0</v>
          </cell>
          <cell r="CK118">
            <v>0</v>
          </cell>
          <cell r="CV118">
            <v>5.6059646284835048E-4</v>
          </cell>
          <cell r="DG118">
            <v>24387852</v>
          </cell>
          <cell r="DR118">
            <v>9632273.0300000012</v>
          </cell>
          <cell r="EC118">
            <v>2.5318896094455909</v>
          </cell>
          <cell r="EN118">
            <v>2.4095909012463064E-2</v>
          </cell>
        </row>
        <row r="119">
          <cell r="B119">
            <v>32400</v>
          </cell>
          <cell r="C119" t="str">
            <v>Columbus County Schools</v>
          </cell>
          <cell r="D119">
            <v>1.9323558965699554E-3</v>
          </cell>
          <cell r="E119">
            <v>3343426.2665580702</v>
          </cell>
          <cell r="F119">
            <v>2606946.1359157152</v>
          </cell>
          <cell r="G119">
            <v>127379</v>
          </cell>
          <cell r="H119">
            <v>-932934.73133243795</v>
          </cell>
          <cell r="I119">
            <v>-38606.599441917497</v>
          </cell>
          <cell r="J119">
            <v>2821384.019205844</v>
          </cell>
          <cell r="K119">
            <v>0</v>
          </cell>
          <cell r="L119">
            <v>-148240.20011058942</v>
          </cell>
          <cell r="M119">
            <v>26602.766162246859</v>
          </cell>
          <cell r="N119">
            <v>1002.8540632018754</v>
          </cell>
          <cell r="O119">
            <v>-452.57707453564927</v>
          </cell>
          <cell r="P119">
            <v>0</v>
          </cell>
          <cell r="Q119">
            <v>0</v>
          </cell>
          <cell r="R119">
            <v>0</v>
          </cell>
          <cell r="S119">
            <v>7806506.9339455971</v>
          </cell>
          <cell r="T119">
            <v>636893.70000000019</v>
          </cell>
          <cell r="U119">
            <v>14106920.09602922</v>
          </cell>
          <cell r="V119">
            <v>106411.06464898743</v>
          </cell>
          <cell r="W119">
            <v>0</v>
          </cell>
          <cell r="X119">
            <v>14850224.860678209</v>
          </cell>
          <cell r="Y119">
            <v>0</v>
          </cell>
          <cell r="Z119">
            <v>0</v>
          </cell>
          <cell r="AA119">
            <v>0</v>
          </cell>
          <cell r="AB119">
            <v>193032.99720958745</v>
          </cell>
          <cell r="AC119">
            <v>193032.99720958745</v>
          </cell>
          <cell r="AD119" t="str">
            <v>N/A</v>
          </cell>
          <cell r="AE119">
            <v>2936758</v>
          </cell>
          <cell r="AF119">
            <v>2936759</v>
          </cell>
          <cell r="AG119">
            <v>2936759</v>
          </cell>
          <cell r="AH119">
            <v>2936759</v>
          </cell>
          <cell r="AI119">
            <v>2910156</v>
          </cell>
          <cell r="AJ119">
            <v>0</v>
          </cell>
          <cell r="AK119">
            <v>14657191</v>
          </cell>
          <cell r="AL119">
            <v>63403607</v>
          </cell>
          <cell r="AM119">
            <v>7806506.9339455971</v>
          </cell>
          <cell r="AN119">
            <v>-1803256.7000000002</v>
          </cell>
          <cell r="AO119">
            <v>14020298.16346862</v>
          </cell>
          <cell r="AP119">
            <v>0</v>
          </cell>
          <cell r="AQ119">
            <v>636893.70000000019</v>
          </cell>
          <cell r="AR119">
            <v>0</v>
          </cell>
          <cell r="AS119">
            <v>0</v>
          </cell>
          <cell r="AT119">
            <v>84064049.09741421</v>
          </cell>
          <cell r="AU119">
            <v>1.9123684743540695E-3</v>
          </cell>
          <cell r="AV119">
            <v>0</v>
          </cell>
          <cell r="AW119">
            <v>0</v>
          </cell>
          <cell r="AY119">
            <v>0</v>
          </cell>
          <cell r="AZ119">
            <v>0</v>
          </cell>
          <cell r="BA119">
            <v>0</v>
          </cell>
          <cell r="BB119">
            <v>0</v>
          </cell>
          <cell r="BC119">
            <v>0</v>
          </cell>
          <cell r="BD119">
            <v>0</v>
          </cell>
          <cell r="BE119">
            <v>0</v>
          </cell>
          <cell r="BF119">
            <v>0</v>
          </cell>
          <cell r="BG119">
            <v>0</v>
          </cell>
          <cell r="BH119">
            <v>0</v>
          </cell>
          <cell r="BJ119">
            <v>0</v>
          </cell>
          <cell r="BL119">
            <v>0</v>
          </cell>
          <cell r="BM119">
            <v>0</v>
          </cell>
          <cell r="BN119">
            <v>0</v>
          </cell>
          <cell r="BO119">
            <v>0</v>
          </cell>
          <cell r="BQ119">
            <v>0</v>
          </cell>
          <cell r="BR119">
            <v>0</v>
          </cell>
          <cell r="BS119">
            <v>0</v>
          </cell>
          <cell r="BT119">
            <v>0</v>
          </cell>
          <cell r="CB119">
            <v>0</v>
          </cell>
          <cell r="CC119">
            <v>0</v>
          </cell>
          <cell r="CD119">
            <v>0</v>
          </cell>
          <cell r="CE119">
            <v>0</v>
          </cell>
          <cell r="CF119">
            <v>0</v>
          </cell>
          <cell r="CI119">
            <v>0</v>
          </cell>
          <cell r="CJ119">
            <v>0</v>
          </cell>
          <cell r="CK119">
            <v>0</v>
          </cell>
          <cell r="CV119">
            <v>1.9323558965699554E-3</v>
          </cell>
          <cell r="DG119">
            <v>84064050</v>
          </cell>
          <cell r="DR119">
            <v>31292810.310000047</v>
          </cell>
          <cell r="EC119">
            <v>2.6863694620976939</v>
          </cell>
          <cell r="EN119">
            <v>2.4095909012463064E-2</v>
          </cell>
        </row>
        <row r="120">
          <cell r="B120">
            <v>32405</v>
          </cell>
          <cell r="C120" t="str">
            <v>Southeastern Community College</v>
          </cell>
          <cell r="D120">
            <v>4.8297413324923321E-4</v>
          </cell>
          <cell r="E120">
            <v>835657.86511684908</v>
          </cell>
          <cell r="F120">
            <v>651581.60184481763</v>
          </cell>
          <cell r="G120">
            <v>-202811</v>
          </cell>
          <cell r="H120">
            <v>-233178.23804776452</v>
          </cell>
          <cell r="I120">
            <v>-9649.3554506486889</v>
          </cell>
          <cell r="J120">
            <v>705178.32851493533</v>
          </cell>
          <cell r="K120">
            <v>0</v>
          </cell>
          <cell r="L120">
            <v>-37051.240037196156</v>
          </cell>
          <cell r="M120">
            <v>6649.110524645047</v>
          </cell>
          <cell r="N120">
            <v>250.65391567368704</v>
          </cell>
          <cell r="O120">
            <v>-113.11737174830292</v>
          </cell>
          <cell r="P120">
            <v>0</v>
          </cell>
          <cell r="Q120">
            <v>0</v>
          </cell>
          <cell r="R120">
            <v>0</v>
          </cell>
          <cell r="S120">
            <v>1716514.6090095635</v>
          </cell>
          <cell r="T120">
            <v>52597.27999999997</v>
          </cell>
          <cell r="U120">
            <v>3525891.6425746768</v>
          </cell>
          <cell r="V120">
            <v>26596.442098580188</v>
          </cell>
          <cell r="W120">
            <v>0</v>
          </cell>
          <cell r="X120">
            <v>3605085.3646732569</v>
          </cell>
          <cell r="Y120">
            <v>1066649</v>
          </cell>
          <cell r="Z120">
            <v>0</v>
          </cell>
          <cell r="AA120">
            <v>0</v>
          </cell>
          <cell r="AB120">
            <v>48246.777253243439</v>
          </cell>
          <cell r="AC120">
            <v>1114895.7772532434</v>
          </cell>
          <cell r="AD120" t="str">
            <v>N/A</v>
          </cell>
          <cell r="AE120">
            <v>499367</v>
          </cell>
          <cell r="AF120">
            <v>499368</v>
          </cell>
          <cell r="AG120">
            <v>499368</v>
          </cell>
          <cell r="AH120">
            <v>499368</v>
          </cell>
          <cell r="AI120">
            <v>492719</v>
          </cell>
          <cell r="AJ120">
            <v>0</v>
          </cell>
          <cell r="AK120">
            <v>2490190</v>
          </cell>
          <cell r="AL120">
            <v>17292742</v>
          </cell>
          <cell r="AM120">
            <v>1716514.6090095635</v>
          </cell>
          <cell r="AN120">
            <v>-488429.27999999997</v>
          </cell>
          <cell r="AO120">
            <v>3504241.3074200135</v>
          </cell>
          <cell r="AP120">
            <v>0</v>
          </cell>
          <cell r="AQ120">
            <v>-1014051.72</v>
          </cell>
          <cell r="AR120">
            <v>0</v>
          </cell>
          <cell r="AS120">
            <v>0</v>
          </cell>
          <cell r="AT120">
            <v>21011016.916429579</v>
          </cell>
          <cell r="AU120">
            <v>5.2158064660007709E-4</v>
          </cell>
          <cell r="AV120">
            <v>0</v>
          </cell>
          <cell r="AW120">
            <v>0</v>
          </cell>
          <cell r="AY120">
            <v>0</v>
          </cell>
          <cell r="AZ120">
            <v>0</v>
          </cell>
          <cell r="BA120">
            <v>0</v>
          </cell>
          <cell r="BB120">
            <v>0</v>
          </cell>
          <cell r="BC120">
            <v>0</v>
          </cell>
          <cell r="BD120">
            <v>0</v>
          </cell>
          <cell r="BE120">
            <v>0</v>
          </cell>
          <cell r="BF120">
            <v>0</v>
          </cell>
          <cell r="BG120">
            <v>0</v>
          </cell>
          <cell r="BH120">
            <v>0</v>
          </cell>
          <cell r="BJ120">
            <v>0</v>
          </cell>
          <cell r="BL120">
            <v>0</v>
          </cell>
          <cell r="BM120">
            <v>0</v>
          </cell>
          <cell r="BN120">
            <v>0</v>
          </cell>
          <cell r="BO120">
            <v>0</v>
          </cell>
          <cell r="BQ120">
            <v>0</v>
          </cell>
          <cell r="BR120">
            <v>0</v>
          </cell>
          <cell r="BS120">
            <v>0</v>
          </cell>
          <cell r="BT120">
            <v>0</v>
          </cell>
          <cell r="CB120">
            <v>0</v>
          </cell>
          <cell r="CC120">
            <v>0</v>
          </cell>
          <cell r="CD120">
            <v>0</v>
          </cell>
          <cell r="CE120">
            <v>0</v>
          </cell>
          <cell r="CF120">
            <v>0</v>
          </cell>
          <cell r="CI120">
            <v>0</v>
          </cell>
          <cell r="CJ120">
            <v>0</v>
          </cell>
          <cell r="CK120">
            <v>0</v>
          </cell>
          <cell r="CV120">
            <v>4.8297413324923321E-4</v>
          </cell>
          <cell r="DG120">
            <v>21011016</v>
          </cell>
          <cell r="DR120">
            <v>8446599.3999999985</v>
          </cell>
          <cell r="EC120">
            <v>2.4875118381960917</v>
          </cell>
          <cell r="EN120">
            <v>2.4095909012463064E-2</v>
          </cell>
        </row>
        <row r="121">
          <cell r="B121">
            <v>32410</v>
          </cell>
          <cell r="C121" t="str">
            <v>Whiteville City Schools</v>
          </cell>
          <cell r="D121">
            <v>7.6961629253301256E-4</v>
          </cell>
          <cell r="E121">
            <v>1331615.6367434254</v>
          </cell>
          <cell r="F121">
            <v>1038291.250342704</v>
          </cell>
          <cell r="G121">
            <v>-125748</v>
          </cell>
          <cell r="H121">
            <v>-371568.07934700232</v>
          </cell>
          <cell r="I121">
            <v>-15376.188197286341</v>
          </cell>
          <cell r="J121">
            <v>1123697.3026177131</v>
          </cell>
          <cell r="K121">
            <v>0</v>
          </cell>
          <cell r="L121">
            <v>-59040.921714253927</v>
          </cell>
          <cell r="M121">
            <v>10595.316474182377</v>
          </cell>
          <cell r="N121">
            <v>399.41546349878286</v>
          </cell>
          <cell r="O121">
            <v>-180.25183187415686</v>
          </cell>
          <cell r="P121">
            <v>0</v>
          </cell>
          <cell r="Q121">
            <v>0</v>
          </cell>
          <cell r="R121">
            <v>0</v>
          </cell>
          <cell r="S121">
            <v>2932685.4805511069</v>
          </cell>
          <cell r="T121">
            <v>38754.969999999972</v>
          </cell>
          <cell r="U121">
            <v>5618486.5130885653</v>
          </cell>
          <cell r="V121">
            <v>42381.265896729506</v>
          </cell>
          <cell r="W121">
            <v>0</v>
          </cell>
          <cell r="X121">
            <v>5699622.7489852943</v>
          </cell>
          <cell r="Y121">
            <v>667493</v>
          </cell>
          <cell r="Z121">
            <v>0</v>
          </cell>
          <cell r="AA121">
            <v>0</v>
          </cell>
          <cell r="AB121">
            <v>76880.940986431699</v>
          </cell>
          <cell r="AC121">
            <v>744373.94098643167</v>
          </cell>
          <cell r="AD121" t="str">
            <v>N/A</v>
          </cell>
          <cell r="AE121">
            <v>993168</v>
          </cell>
          <cell r="AF121">
            <v>993168</v>
          </cell>
          <cell r="AG121">
            <v>993168</v>
          </cell>
          <cell r="AH121">
            <v>993168</v>
          </cell>
          <cell r="AI121">
            <v>982573</v>
          </cell>
          <cell r="AJ121">
            <v>0</v>
          </cell>
          <cell r="AK121">
            <v>4955245</v>
          </cell>
          <cell r="AL121">
            <v>26317230</v>
          </cell>
          <cell r="AM121">
            <v>2932685.4805511069</v>
          </cell>
          <cell r="AN121">
            <v>-724239.97</v>
          </cell>
          <cell r="AO121">
            <v>5583986.8379988633</v>
          </cell>
          <cell r="AP121">
            <v>0</v>
          </cell>
          <cell r="AQ121">
            <v>-628738.03</v>
          </cell>
          <cell r="AR121">
            <v>0</v>
          </cell>
          <cell r="AS121">
            <v>0</v>
          </cell>
          <cell r="AT121">
            <v>33480924.318549976</v>
          </cell>
          <cell r="AU121">
            <v>7.9377567437313972E-4</v>
          </cell>
          <cell r="AV121">
            <v>0</v>
          </cell>
          <cell r="AW121">
            <v>0</v>
          </cell>
          <cell r="AY121">
            <v>0</v>
          </cell>
          <cell r="AZ121">
            <v>0</v>
          </cell>
          <cell r="BA121">
            <v>0</v>
          </cell>
          <cell r="BB121">
            <v>0</v>
          </cell>
          <cell r="BC121">
            <v>0</v>
          </cell>
          <cell r="BD121">
            <v>0</v>
          </cell>
          <cell r="BE121">
            <v>0</v>
          </cell>
          <cell r="BF121">
            <v>0</v>
          </cell>
          <cell r="BG121">
            <v>0</v>
          </cell>
          <cell r="BH121">
            <v>0</v>
          </cell>
          <cell r="BJ121">
            <v>0</v>
          </cell>
          <cell r="BL121">
            <v>0</v>
          </cell>
          <cell r="BM121">
            <v>0</v>
          </cell>
          <cell r="BN121">
            <v>0</v>
          </cell>
          <cell r="BO121">
            <v>0</v>
          </cell>
          <cell r="BQ121">
            <v>0</v>
          </cell>
          <cell r="BR121">
            <v>0</v>
          </cell>
          <cell r="BS121">
            <v>0</v>
          </cell>
          <cell r="BT121">
            <v>0</v>
          </cell>
          <cell r="CB121">
            <v>0</v>
          </cell>
          <cell r="CC121">
            <v>0</v>
          </cell>
          <cell r="CD121">
            <v>0</v>
          </cell>
          <cell r="CE121">
            <v>0</v>
          </cell>
          <cell r="CF121">
            <v>0</v>
          </cell>
          <cell r="CI121">
            <v>0</v>
          </cell>
          <cell r="CJ121">
            <v>0</v>
          </cell>
          <cell r="CK121">
            <v>0</v>
          </cell>
          <cell r="CV121">
            <v>7.6961629253301256E-4</v>
          </cell>
          <cell r="DG121">
            <v>33480925</v>
          </cell>
          <cell r="DR121">
            <v>12612983.220000003</v>
          </cell>
          <cell r="EC121">
            <v>2.6544810546414088</v>
          </cell>
          <cell r="EN121">
            <v>2.4095909012463064E-2</v>
          </cell>
        </row>
        <row r="122">
          <cell r="B122">
            <v>32500</v>
          </cell>
          <cell r="C122" t="str">
            <v>New Bern/Craven County Board Of Education</v>
          </cell>
          <cell r="D122">
            <v>4.4128118097172247E-3</v>
          </cell>
          <cell r="E122">
            <v>7635193.3617276587</v>
          </cell>
          <cell r="F122">
            <v>5953335.3645080393</v>
          </cell>
          <cell r="G122">
            <v>203123</v>
          </cell>
          <cell r="H122">
            <v>-2130490.2515250039</v>
          </cell>
          <cell r="I122">
            <v>-88163.706412841129</v>
          </cell>
          <cell r="J122">
            <v>6443035.0236200765</v>
          </cell>
          <cell r="K122">
            <v>0</v>
          </cell>
          <cell r="L122">
            <v>-338527.75613644405</v>
          </cell>
          <cell r="M122">
            <v>60751.231644381944</v>
          </cell>
          <cell r="N122">
            <v>2290.1610730070452</v>
          </cell>
          <cell r="O122">
            <v>-1033.5246539538712</v>
          </cell>
          <cell r="P122">
            <v>0</v>
          </cell>
          <cell r="Q122">
            <v>0</v>
          </cell>
          <cell r="R122">
            <v>0</v>
          </cell>
          <cell r="S122">
            <v>17739512.903844923</v>
          </cell>
          <cell r="T122">
            <v>1038383</v>
          </cell>
          <cell r="U122">
            <v>32215175.118100382</v>
          </cell>
          <cell r="V122">
            <v>243004.92657752777</v>
          </cell>
          <cell r="W122">
            <v>0</v>
          </cell>
          <cell r="X122">
            <v>33496563.044677909</v>
          </cell>
          <cell r="Y122">
            <v>22772.470000000205</v>
          </cell>
          <cell r="Z122">
            <v>0</v>
          </cell>
          <cell r="AA122">
            <v>0</v>
          </cell>
          <cell r="AB122">
            <v>440818.53206420562</v>
          </cell>
          <cell r="AC122">
            <v>463591.00206420582</v>
          </cell>
          <cell r="AD122" t="str">
            <v>N/A</v>
          </cell>
          <cell r="AE122">
            <v>6618746</v>
          </cell>
          <cell r="AF122">
            <v>6618745</v>
          </cell>
          <cell r="AG122">
            <v>6618745</v>
          </cell>
          <cell r="AH122">
            <v>6618745</v>
          </cell>
          <cell r="AI122">
            <v>6557993</v>
          </cell>
          <cell r="AJ122">
            <v>0</v>
          </cell>
          <cell r="AK122">
            <v>33032974</v>
          </cell>
          <cell r="AL122">
            <v>145058479</v>
          </cell>
          <cell r="AM122">
            <v>17739512.903844923</v>
          </cell>
          <cell r="AN122">
            <v>-3858650.53</v>
          </cell>
          <cell r="AO122">
            <v>32017361.51261371</v>
          </cell>
          <cell r="AP122">
            <v>0</v>
          </cell>
          <cell r="AQ122">
            <v>1015610.5299999998</v>
          </cell>
          <cell r="AR122">
            <v>0</v>
          </cell>
          <cell r="AS122">
            <v>0</v>
          </cell>
          <cell r="AT122">
            <v>191972313.41645864</v>
          </cell>
          <cell r="AU122">
            <v>4.3752283820829383E-3</v>
          </cell>
          <cell r="AV122">
            <v>0</v>
          </cell>
          <cell r="AW122">
            <v>0</v>
          </cell>
          <cell r="AY122">
            <v>0</v>
          </cell>
          <cell r="AZ122">
            <v>0</v>
          </cell>
          <cell r="BA122">
            <v>0</v>
          </cell>
          <cell r="BB122">
            <v>0</v>
          </cell>
          <cell r="BC122">
            <v>0</v>
          </cell>
          <cell r="BD122">
            <v>0</v>
          </cell>
          <cell r="BE122">
            <v>0</v>
          </cell>
          <cell r="BF122">
            <v>0</v>
          </cell>
          <cell r="BG122">
            <v>0</v>
          </cell>
          <cell r="BH122">
            <v>0</v>
          </cell>
          <cell r="BJ122">
            <v>0</v>
          </cell>
          <cell r="BL122">
            <v>0</v>
          </cell>
          <cell r="BM122">
            <v>0</v>
          </cell>
          <cell r="BN122">
            <v>0</v>
          </cell>
          <cell r="BO122">
            <v>0</v>
          </cell>
          <cell r="BQ122">
            <v>0</v>
          </cell>
          <cell r="BR122">
            <v>0</v>
          </cell>
          <cell r="BS122">
            <v>0</v>
          </cell>
          <cell r="BT122">
            <v>0</v>
          </cell>
          <cell r="CB122">
            <v>0</v>
          </cell>
          <cell r="CC122">
            <v>0</v>
          </cell>
          <cell r="CD122">
            <v>0</v>
          </cell>
          <cell r="CE122">
            <v>0</v>
          </cell>
          <cell r="CF122">
            <v>0</v>
          </cell>
          <cell r="CI122">
            <v>0</v>
          </cell>
          <cell r="CJ122">
            <v>0</v>
          </cell>
          <cell r="CK122">
            <v>0</v>
          </cell>
          <cell r="CV122">
            <v>4.4128118097172247E-3</v>
          </cell>
          <cell r="DG122">
            <v>191972313</v>
          </cell>
          <cell r="DR122">
            <v>66814500.440000139</v>
          </cell>
          <cell r="EC122">
            <v>2.8732133254875176</v>
          </cell>
          <cell r="EN122">
            <v>2.4095909012463064E-2</v>
          </cell>
        </row>
        <row r="123">
          <cell r="B123">
            <v>32505</v>
          </cell>
          <cell r="C123" t="str">
            <v>Craven Community College</v>
          </cell>
          <cell r="D123">
            <v>6.4352270126326599E-4</v>
          </cell>
          <cell r="E123">
            <v>1113444.322730181</v>
          </cell>
          <cell r="F123">
            <v>868178.07341297949</v>
          </cell>
          <cell r="G123">
            <v>-29195</v>
          </cell>
          <cell r="H123">
            <v>-310690.53039093479</v>
          </cell>
          <cell r="I123">
            <v>-12856.96035784691</v>
          </cell>
          <cell r="J123">
            <v>939591.23604673182</v>
          </cell>
          <cell r="K123">
            <v>0</v>
          </cell>
          <cell r="L123">
            <v>-49367.683344619356</v>
          </cell>
          <cell r="M123">
            <v>8859.3845327313629</v>
          </cell>
          <cell r="N123">
            <v>333.97541150160976</v>
          </cell>
          <cell r="O123">
            <v>-150.71945186286953</v>
          </cell>
          <cell r="P123">
            <v>0</v>
          </cell>
          <cell r="Q123">
            <v>0</v>
          </cell>
          <cell r="R123">
            <v>0</v>
          </cell>
          <cell r="S123">
            <v>2528146.0985888615</v>
          </cell>
          <cell r="T123">
            <v>6751.8899999998976</v>
          </cell>
          <cell r="U123">
            <v>4697956.1802336592</v>
          </cell>
          <cell r="V123">
            <v>35437.538130925452</v>
          </cell>
          <cell r="W123">
            <v>0</v>
          </cell>
          <cell r="X123">
            <v>4740145.6083645839</v>
          </cell>
          <cell r="Y123">
            <v>152725</v>
          </cell>
          <cell r="Z123">
            <v>0</v>
          </cell>
          <cell r="AA123">
            <v>0</v>
          </cell>
          <cell r="AB123">
            <v>64284.801789234552</v>
          </cell>
          <cell r="AC123">
            <v>217009.80178923457</v>
          </cell>
          <cell r="AD123" t="str">
            <v>N/A</v>
          </cell>
          <cell r="AE123">
            <v>906399</v>
          </cell>
          <cell r="AF123">
            <v>906399</v>
          </cell>
          <cell r="AG123">
            <v>906399</v>
          </cell>
          <cell r="AH123">
            <v>906399</v>
          </cell>
          <cell r="AI123">
            <v>897539</v>
          </cell>
          <cell r="AJ123">
            <v>0</v>
          </cell>
          <cell r="AK123">
            <v>4523135</v>
          </cell>
          <cell r="AL123">
            <v>21518939</v>
          </cell>
          <cell r="AM123">
            <v>2528146.0985888615</v>
          </cell>
          <cell r="AN123">
            <v>-574795.8899999999</v>
          </cell>
          <cell r="AO123">
            <v>4669108.9165753499</v>
          </cell>
          <cell r="AP123">
            <v>0</v>
          </cell>
          <cell r="AQ123">
            <v>-145973.1100000001</v>
          </cell>
          <cell r="AR123">
            <v>0</v>
          </cell>
          <cell r="AS123">
            <v>0</v>
          </cell>
          <cell r="AT123">
            <v>27995425.015164211</v>
          </cell>
          <cell r="AU123">
            <v>6.4905044886177563E-4</v>
          </cell>
          <cell r="AV123">
            <v>0</v>
          </cell>
          <cell r="AW123">
            <v>0</v>
          </cell>
          <cell r="AY123">
            <v>0</v>
          </cell>
          <cell r="AZ123">
            <v>0</v>
          </cell>
          <cell r="BA123">
            <v>0</v>
          </cell>
          <cell r="BB123">
            <v>0</v>
          </cell>
          <cell r="BC123">
            <v>0</v>
          </cell>
          <cell r="BD123">
            <v>0</v>
          </cell>
          <cell r="BE123">
            <v>0</v>
          </cell>
          <cell r="BF123">
            <v>0</v>
          </cell>
          <cell r="BG123">
            <v>0</v>
          </cell>
          <cell r="BH123">
            <v>0</v>
          </cell>
          <cell r="BJ123">
            <v>0</v>
          </cell>
          <cell r="BL123">
            <v>0</v>
          </cell>
          <cell r="BM123">
            <v>0</v>
          </cell>
          <cell r="BN123">
            <v>0</v>
          </cell>
          <cell r="BO123">
            <v>0</v>
          </cell>
          <cell r="BQ123">
            <v>0</v>
          </cell>
          <cell r="BR123">
            <v>0</v>
          </cell>
          <cell r="BS123">
            <v>0</v>
          </cell>
          <cell r="BT123">
            <v>0</v>
          </cell>
          <cell r="CB123">
            <v>0</v>
          </cell>
          <cell r="CC123">
            <v>0</v>
          </cell>
          <cell r="CD123">
            <v>0</v>
          </cell>
          <cell r="CE123">
            <v>0</v>
          </cell>
          <cell r="CF123">
            <v>0</v>
          </cell>
          <cell r="CI123">
            <v>0</v>
          </cell>
          <cell r="CJ123">
            <v>0</v>
          </cell>
          <cell r="CK123">
            <v>0</v>
          </cell>
          <cell r="CV123">
            <v>6.4352270126326599E-4</v>
          </cell>
          <cell r="DG123">
            <v>27995425</v>
          </cell>
          <cell r="DR123">
            <v>10117872.079999996</v>
          </cell>
          <cell r="EC123">
            <v>2.7669281424637275</v>
          </cell>
          <cell r="EN123">
            <v>2.4095909012463064E-2</v>
          </cell>
        </row>
        <row r="124">
          <cell r="B124">
            <v>32600</v>
          </cell>
          <cell r="C124" t="str">
            <v>Cumberland County Schools</v>
          </cell>
          <cell r="D124">
            <v>1.5847388067665232E-2</v>
          </cell>
          <cell r="E124">
            <v>27419676.476689201</v>
          </cell>
          <cell r="F124">
            <v>21379750.573220074</v>
          </cell>
          <cell r="G124">
            <v>-3646100</v>
          </cell>
          <cell r="H124">
            <v>-7651064.048538697</v>
          </cell>
          <cell r="I124">
            <v>-316615.46634084312</v>
          </cell>
          <cell r="J124">
            <v>23138370.897219144</v>
          </cell>
          <cell r="K124">
            <v>0</v>
          </cell>
          <cell r="L124">
            <v>-1215728.418636993</v>
          </cell>
          <cell r="M124">
            <v>218171.17633186316</v>
          </cell>
          <cell r="N124">
            <v>8224.4774593569018</v>
          </cell>
          <cell r="O124">
            <v>-3711.6167593278738</v>
          </cell>
          <cell r="P124">
            <v>0</v>
          </cell>
          <cell r="Q124">
            <v>0</v>
          </cell>
          <cell r="R124">
            <v>0</v>
          </cell>
          <cell r="S124">
            <v>59330974.050643779</v>
          </cell>
          <cell r="T124">
            <v>0</v>
          </cell>
          <cell r="U124">
            <v>115691854.48609573</v>
          </cell>
          <cell r="V124">
            <v>872684.70532745263</v>
          </cell>
          <cell r="W124">
            <v>0</v>
          </cell>
          <cell r="X124">
            <v>116564539.19142318</v>
          </cell>
          <cell r="Y124">
            <v>18230496.579999998</v>
          </cell>
          <cell r="Z124">
            <v>0</v>
          </cell>
          <cell r="AA124">
            <v>0</v>
          </cell>
          <cell r="AB124">
            <v>1583077.3317042156</v>
          </cell>
          <cell r="AC124">
            <v>19813573.911704212</v>
          </cell>
          <cell r="AD124" t="str">
            <v>N/A</v>
          </cell>
          <cell r="AE124">
            <v>19393827</v>
          </cell>
          <cell r="AF124">
            <v>19393828</v>
          </cell>
          <cell r="AG124">
            <v>19393828</v>
          </cell>
          <cell r="AH124">
            <v>19393828</v>
          </cell>
          <cell r="AI124">
            <v>19175656</v>
          </cell>
          <cell r="AJ124">
            <v>0</v>
          </cell>
          <cell r="AK124">
            <v>96750967</v>
          </cell>
          <cell r="AL124">
            <v>546859441</v>
          </cell>
          <cell r="AM124">
            <v>59330974.050643779</v>
          </cell>
          <cell r="AN124">
            <v>-13526134.420000002</v>
          </cell>
          <cell r="AO124">
            <v>114981461.85971896</v>
          </cell>
          <cell r="AP124">
            <v>0</v>
          </cell>
          <cell r="AQ124">
            <v>-18230496.579999998</v>
          </cell>
          <cell r="AR124">
            <v>0</v>
          </cell>
          <cell r="AS124">
            <v>0</v>
          </cell>
          <cell r="AT124">
            <v>689415245.91036272</v>
          </cell>
          <cell r="AU124">
            <v>1.6494278452513444E-2</v>
          </cell>
          <cell r="AV124">
            <v>0</v>
          </cell>
          <cell r="AW124">
            <v>0</v>
          </cell>
          <cell r="AY124">
            <v>0</v>
          </cell>
          <cell r="AZ124">
            <v>0</v>
          </cell>
          <cell r="BA124">
            <v>0</v>
          </cell>
          <cell r="BB124">
            <v>0</v>
          </cell>
          <cell r="BC124">
            <v>0</v>
          </cell>
          <cell r="BD124">
            <v>0</v>
          </cell>
          <cell r="BE124">
            <v>0</v>
          </cell>
          <cell r="BF124">
            <v>0</v>
          </cell>
          <cell r="BG124">
            <v>0</v>
          </cell>
          <cell r="BH124">
            <v>0</v>
          </cell>
          <cell r="BJ124">
            <v>0</v>
          </cell>
          <cell r="BL124">
            <v>0</v>
          </cell>
          <cell r="BM124">
            <v>0</v>
          </cell>
          <cell r="BN124">
            <v>0</v>
          </cell>
          <cell r="BO124">
            <v>0</v>
          </cell>
          <cell r="BQ124">
            <v>0</v>
          </cell>
          <cell r="BR124">
            <v>0</v>
          </cell>
          <cell r="BS124">
            <v>0</v>
          </cell>
          <cell r="BT124">
            <v>0</v>
          </cell>
          <cell r="CB124">
            <v>0</v>
          </cell>
          <cell r="CC124">
            <v>0</v>
          </cell>
          <cell r="CD124">
            <v>0</v>
          </cell>
          <cell r="CE124">
            <v>0</v>
          </cell>
          <cell r="CF124">
            <v>0</v>
          </cell>
          <cell r="CI124">
            <v>0</v>
          </cell>
          <cell r="CJ124">
            <v>0</v>
          </cell>
          <cell r="CK124">
            <v>0</v>
          </cell>
          <cell r="CV124">
            <v>1.5847388067665232E-2</v>
          </cell>
          <cell r="DG124">
            <v>689415246</v>
          </cell>
          <cell r="DR124">
            <v>236983812.70999849</v>
          </cell>
          <cell r="EC124">
            <v>2.9091237840942759</v>
          </cell>
          <cell r="EN124">
            <v>2.4095909012463064E-2</v>
          </cell>
        </row>
        <row r="125">
          <cell r="B125">
            <v>32605</v>
          </cell>
          <cell r="C125" t="str">
            <v>Fayetteville Technical Community College</v>
          </cell>
          <cell r="D125">
            <v>2.2536259926727435E-3</v>
          </cell>
          <cell r="E125">
            <v>3899298.4430429316</v>
          </cell>
          <cell r="F125">
            <v>3040372.4199181115</v>
          </cell>
          <cell r="G125">
            <v>178428</v>
          </cell>
          <cell r="H125">
            <v>-1088042.8205435553</v>
          </cell>
          <cell r="I125">
            <v>-45025.264831105371</v>
          </cell>
          <cell r="J125">
            <v>3290462.3689043089</v>
          </cell>
          <cell r="K125">
            <v>0</v>
          </cell>
          <cell r="L125">
            <v>-172886.3553143813</v>
          </cell>
          <cell r="M125">
            <v>31025.695321785166</v>
          </cell>
          <cell r="N125">
            <v>1169.5868176773004</v>
          </cell>
          <cell r="O125">
            <v>-527.8217437438833</v>
          </cell>
          <cell r="P125">
            <v>0</v>
          </cell>
          <cell r="Q125">
            <v>0</v>
          </cell>
          <cell r="R125">
            <v>0</v>
          </cell>
          <cell r="S125">
            <v>9134274.2515720297</v>
          </cell>
          <cell r="T125">
            <v>892140.70000000019</v>
          </cell>
          <cell r="U125">
            <v>16452311.844521543</v>
          </cell>
          <cell r="V125">
            <v>124102.78128714066</v>
          </cell>
          <cell r="W125">
            <v>0</v>
          </cell>
          <cell r="X125">
            <v>17468555.325808685</v>
          </cell>
          <cell r="Y125">
            <v>0</v>
          </cell>
          <cell r="Z125">
            <v>0</v>
          </cell>
          <cell r="AA125">
            <v>0</v>
          </cell>
          <cell r="AB125">
            <v>225126.32415552685</v>
          </cell>
          <cell r="AC125">
            <v>225126.32415552685</v>
          </cell>
          <cell r="AD125" t="str">
            <v>N/A</v>
          </cell>
          <cell r="AE125">
            <v>3454891</v>
          </cell>
          <cell r="AF125">
            <v>3454891</v>
          </cell>
          <cell r="AG125">
            <v>3454891</v>
          </cell>
          <cell r="AH125">
            <v>3454891</v>
          </cell>
          <cell r="AI125">
            <v>3423865</v>
          </cell>
          <cell r="AJ125">
            <v>0</v>
          </cell>
          <cell r="AK125">
            <v>17243429</v>
          </cell>
          <cell r="AL125">
            <v>73794870</v>
          </cell>
          <cell r="AM125">
            <v>9134274.2515720297</v>
          </cell>
          <cell r="AN125">
            <v>-2132182.7000000002</v>
          </cell>
          <cell r="AO125">
            <v>16351288.301653158</v>
          </cell>
          <cell r="AP125">
            <v>0</v>
          </cell>
          <cell r="AQ125">
            <v>892140.70000000019</v>
          </cell>
          <cell r="AR125">
            <v>0</v>
          </cell>
          <cell r="AS125">
            <v>0</v>
          </cell>
          <cell r="AT125">
            <v>98040390.553225189</v>
          </cell>
          <cell r="AU125">
            <v>2.2257879065669993E-3</v>
          </cell>
          <cell r="AV125">
            <v>0</v>
          </cell>
          <cell r="AW125">
            <v>0</v>
          </cell>
          <cell r="AY125">
            <v>0</v>
          </cell>
          <cell r="AZ125">
            <v>0</v>
          </cell>
          <cell r="BA125">
            <v>0</v>
          </cell>
          <cell r="BB125">
            <v>0</v>
          </cell>
          <cell r="BC125">
            <v>0</v>
          </cell>
          <cell r="BD125">
            <v>0</v>
          </cell>
          <cell r="BE125">
            <v>0</v>
          </cell>
          <cell r="BF125">
            <v>0</v>
          </cell>
          <cell r="BG125">
            <v>0</v>
          </cell>
          <cell r="BH125">
            <v>0</v>
          </cell>
          <cell r="BJ125">
            <v>0</v>
          </cell>
          <cell r="BL125">
            <v>0</v>
          </cell>
          <cell r="BM125">
            <v>0</v>
          </cell>
          <cell r="BN125">
            <v>0</v>
          </cell>
          <cell r="BO125">
            <v>0</v>
          </cell>
          <cell r="BQ125">
            <v>0</v>
          </cell>
          <cell r="BR125">
            <v>0</v>
          </cell>
          <cell r="BS125">
            <v>0</v>
          </cell>
          <cell r="BT125">
            <v>0</v>
          </cell>
          <cell r="CB125">
            <v>0</v>
          </cell>
          <cell r="CC125">
            <v>0</v>
          </cell>
          <cell r="CD125">
            <v>0</v>
          </cell>
          <cell r="CE125">
            <v>0</v>
          </cell>
          <cell r="CF125">
            <v>0</v>
          </cell>
          <cell r="CI125">
            <v>0</v>
          </cell>
          <cell r="CJ125">
            <v>0</v>
          </cell>
          <cell r="CK125">
            <v>0</v>
          </cell>
          <cell r="CV125">
            <v>2.2536259926727435E-3</v>
          </cell>
          <cell r="DG125">
            <v>98040391</v>
          </cell>
          <cell r="DR125">
            <v>37431550.5</v>
          </cell>
          <cell r="EC125">
            <v>2.6191912889101401</v>
          </cell>
          <cell r="EN125">
            <v>2.4095909012463064E-2</v>
          </cell>
        </row>
        <row r="126">
          <cell r="B126">
            <v>32700</v>
          </cell>
          <cell r="C126" t="str">
            <v>Currituck County Schools</v>
          </cell>
          <cell r="D126">
            <v>1.3479360943731201E-3</v>
          </cell>
          <cell r="E126">
            <v>2332243.7401766866</v>
          </cell>
          <cell r="F126">
            <v>1818503.9303188797</v>
          </cell>
          <cell r="G126">
            <v>53234</v>
          </cell>
          <cell r="H126">
            <v>-650778.87582172779</v>
          </cell>
          <cell r="I126">
            <v>-26930.457769781653</v>
          </cell>
          <cell r="J126">
            <v>1968087.4327165554</v>
          </cell>
          <cell r="K126">
            <v>0</v>
          </cell>
          <cell r="L126">
            <v>-103406.58091030065</v>
          </cell>
          <cell r="M126">
            <v>18557.051930191505</v>
          </cell>
          <cell r="N126">
            <v>699.55187425776182</v>
          </cell>
          <cell r="O126">
            <v>-315.70011266312844</v>
          </cell>
          <cell r="P126">
            <v>0</v>
          </cell>
          <cell r="Q126">
            <v>0</v>
          </cell>
          <cell r="R126">
            <v>0</v>
          </cell>
          <cell r="S126">
            <v>5409894.0924020978</v>
          </cell>
          <cell r="T126">
            <v>266165.64999999991</v>
          </cell>
          <cell r="U126">
            <v>9840437.1635827776</v>
          </cell>
          <cell r="V126">
            <v>74228.207720766019</v>
          </cell>
          <cell r="W126">
            <v>0</v>
          </cell>
          <cell r="X126">
            <v>10180831.021303544</v>
          </cell>
          <cell r="Y126">
            <v>0</v>
          </cell>
          <cell r="Z126">
            <v>0</v>
          </cell>
          <cell r="AA126">
            <v>0</v>
          </cell>
          <cell r="AB126">
            <v>134652.28884890824</v>
          </cell>
          <cell r="AC126">
            <v>134652.28884890824</v>
          </cell>
          <cell r="AD126" t="str">
            <v>N/A</v>
          </cell>
          <cell r="AE126">
            <v>2012947</v>
          </cell>
          <cell r="AF126">
            <v>2012948</v>
          </cell>
          <cell r="AG126">
            <v>2012948</v>
          </cell>
          <cell r="AH126">
            <v>2012948</v>
          </cell>
          <cell r="AI126">
            <v>1994391</v>
          </cell>
          <cell r="AJ126">
            <v>0</v>
          </cell>
          <cell r="AK126">
            <v>10046182</v>
          </cell>
          <cell r="AL126">
            <v>44391503</v>
          </cell>
          <cell r="AM126">
            <v>5409894.0924020978</v>
          </cell>
          <cell r="AN126">
            <v>-1207773.6499999999</v>
          </cell>
          <cell r="AO126">
            <v>9780013.0824546367</v>
          </cell>
          <cell r="AP126">
            <v>0</v>
          </cell>
          <cell r="AQ126">
            <v>266165.64999999991</v>
          </cell>
          <cell r="AR126">
            <v>0</v>
          </cell>
          <cell r="AS126">
            <v>0</v>
          </cell>
          <cell r="AT126">
            <v>58639802.174856737</v>
          </cell>
          <cell r="AU126">
            <v>1.3389287312515854E-3</v>
          </cell>
          <cell r="AV126">
            <v>0</v>
          </cell>
          <cell r="AW126">
            <v>0</v>
          </cell>
          <cell r="AY126">
            <v>0</v>
          </cell>
          <cell r="AZ126">
            <v>0</v>
          </cell>
          <cell r="BA126">
            <v>0</v>
          </cell>
          <cell r="BB126">
            <v>0</v>
          </cell>
          <cell r="BC126">
            <v>0</v>
          </cell>
          <cell r="BD126">
            <v>0</v>
          </cell>
          <cell r="BE126">
            <v>0</v>
          </cell>
          <cell r="BF126">
            <v>0</v>
          </cell>
          <cell r="BG126">
            <v>0</v>
          </cell>
          <cell r="BH126">
            <v>0</v>
          </cell>
          <cell r="BJ126">
            <v>0</v>
          </cell>
          <cell r="BL126">
            <v>0</v>
          </cell>
          <cell r="BM126">
            <v>0</v>
          </cell>
          <cell r="BN126">
            <v>0</v>
          </cell>
          <cell r="BO126">
            <v>0</v>
          </cell>
          <cell r="BQ126">
            <v>0</v>
          </cell>
          <cell r="BR126">
            <v>0</v>
          </cell>
          <cell r="BS126">
            <v>0</v>
          </cell>
          <cell r="BT126">
            <v>0</v>
          </cell>
          <cell r="CB126">
            <v>0</v>
          </cell>
          <cell r="CC126">
            <v>0</v>
          </cell>
          <cell r="CD126">
            <v>0</v>
          </cell>
          <cell r="CE126">
            <v>0</v>
          </cell>
          <cell r="CF126">
            <v>0</v>
          </cell>
          <cell r="CI126">
            <v>0</v>
          </cell>
          <cell r="CJ126">
            <v>0</v>
          </cell>
          <cell r="CK126">
            <v>0</v>
          </cell>
          <cell r="CV126">
            <v>1.3479360943731201E-3</v>
          </cell>
          <cell r="DG126">
            <v>58639802</v>
          </cell>
          <cell r="DR126">
            <v>20714552.539999999</v>
          </cell>
          <cell r="EC126">
            <v>2.8308505282344854</v>
          </cell>
          <cell r="EN126">
            <v>2.4095909012463064E-2</v>
          </cell>
        </row>
        <row r="127">
          <cell r="B127">
            <v>32800</v>
          </cell>
          <cell r="C127" t="str">
            <v>Dare County Schools</v>
          </cell>
          <cell r="D127">
            <v>1.8069744625663399E-3</v>
          </cell>
          <cell r="E127">
            <v>3126487.1506682299</v>
          </cell>
          <cell r="F127">
            <v>2437793.7321212087</v>
          </cell>
          <cell r="G127">
            <v>-99826</v>
          </cell>
          <cell r="H127">
            <v>-872401.00943686359</v>
          </cell>
          <cell r="I127">
            <v>-36101.599814973481</v>
          </cell>
          <cell r="J127">
            <v>2638317.755464864</v>
          </cell>
          <cell r="K127">
            <v>0</v>
          </cell>
          <cell r="L127">
            <v>-138621.59470780575</v>
          </cell>
          <cell r="M127">
            <v>24876.638498183493</v>
          </cell>
          <cell r="N127">
            <v>937.78360658267911</v>
          </cell>
          <cell r="O127">
            <v>-423.21148887766248</v>
          </cell>
          <cell r="P127">
            <v>0</v>
          </cell>
          <cell r="Q127">
            <v>0</v>
          </cell>
          <cell r="R127">
            <v>0</v>
          </cell>
          <cell r="S127">
            <v>7081039.6449105479</v>
          </cell>
          <cell r="T127">
            <v>184499.01</v>
          </cell>
          <cell r="U127">
            <v>13191588.777324321</v>
          </cell>
          <cell r="V127">
            <v>99506.553992733971</v>
          </cell>
          <cell r="W127">
            <v>0</v>
          </cell>
          <cell r="X127">
            <v>13475594.341317054</v>
          </cell>
          <cell r="Y127">
            <v>683630</v>
          </cell>
          <cell r="Z127">
            <v>0</v>
          </cell>
          <cell r="AA127">
            <v>0</v>
          </cell>
          <cell r="AB127">
            <v>180507.9990748674</v>
          </cell>
          <cell r="AC127">
            <v>864137.99907486746</v>
          </cell>
          <cell r="AD127" t="str">
            <v>N/A</v>
          </cell>
          <cell r="AE127">
            <v>2527267</v>
          </cell>
          <cell r="AF127">
            <v>2527267</v>
          </cell>
          <cell r="AG127">
            <v>2527267</v>
          </cell>
          <cell r="AH127">
            <v>2527267</v>
          </cell>
          <cell r="AI127">
            <v>2502390</v>
          </cell>
          <cell r="AJ127">
            <v>0</v>
          </cell>
          <cell r="AK127">
            <v>12611458</v>
          </cell>
          <cell r="AL127">
            <v>60729678</v>
          </cell>
          <cell r="AM127">
            <v>7081039.6449105479</v>
          </cell>
          <cell r="AN127">
            <v>-1812643.01</v>
          </cell>
          <cell r="AO127">
            <v>13110587.332242187</v>
          </cell>
          <cell r="AP127">
            <v>0</v>
          </cell>
          <cell r="AQ127">
            <v>-499130.99</v>
          </cell>
          <cell r="AR127">
            <v>0</v>
          </cell>
          <cell r="AS127">
            <v>0</v>
          </cell>
          <cell r="AT127">
            <v>78609530.977152735</v>
          </cell>
          <cell r="AU127">
            <v>1.8317178800786238E-3</v>
          </cell>
          <cell r="AV127">
            <v>0</v>
          </cell>
          <cell r="AW127">
            <v>0</v>
          </cell>
          <cell r="AY127">
            <v>0</v>
          </cell>
          <cell r="AZ127">
            <v>0</v>
          </cell>
          <cell r="BA127">
            <v>0</v>
          </cell>
          <cell r="BB127">
            <v>0</v>
          </cell>
          <cell r="BC127">
            <v>0</v>
          </cell>
          <cell r="BD127">
            <v>0</v>
          </cell>
          <cell r="BE127">
            <v>0</v>
          </cell>
          <cell r="BF127">
            <v>0</v>
          </cell>
          <cell r="BG127">
            <v>0</v>
          </cell>
          <cell r="BH127">
            <v>0</v>
          </cell>
          <cell r="BJ127">
            <v>0</v>
          </cell>
          <cell r="BL127">
            <v>0</v>
          </cell>
          <cell r="BM127">
            <v>0</v>
          </cell>
          <cell r="BN127">
            <v>0</v>
          </cell>
          <cell r="BO127">
            <v>0</v>
          </cell>
          <cell r="BQ127">
            <v>0</v>
          </cell>
          <cell r="BR127">
            <v>0</v>
          </cell>
          <cell r="BS127">
            <v>0</v>
          </cell>
          <cell r="BT127">
            <v>0</v>
          </cell>
          <cell r="CB127">
            <v>0</v>
          </cell>
          <cell r="CC127">
            <v>0</v>
          </cell>
          <cell r="CD127">
            <v>0</v>
          </cell>
          <cell r="CE127">
            <v>0</v>
          </cell>
          <cell r="CF127">
            <v>0</v>
          </cell>
          <cell r="CI127">
            <v>0</v>
          </cell>
          <cell r="CJ127">
            <v>0</v>
          </cell>
          <cell r="CK127">
            <v>0</v>
          </cell>
          <cell r="CV127">
            <v>1.8069744625663399E-3</v>
          </cell>
          <cell r="DG127">
            <v>78609531</v>
          </cell>
          <cell r="DR127">
            <v>31559927.679999985</v>
          </cell>
          <cell r="EC127">
            <v>2.4908020004689706</v>
          </cell>
          <cell r="EN127">
            <v>2.4095909012463064E-2</v>
          </cell>
        </row>
        <row r="128">
          <cell r="B128">
            <v>32900</v>
          </cell>
          <cell r="C128" t="str">
            <v>Davidson County Schools</v>
          </cell>
          <cell r="D128">
            <v>5.7509570539636679E-3</v>
          </cell>
          <cell r="E128">
            <v>9950496.6482624616</v>
          </cell>
          <cell r="F128">
            <v>7758630.434621417</v>
          </cell>
          <cell r="G128">
            <v>-221218</v>
          </cell>
          <cell r="H128">
            <v>-2776542.1388304541</v>
          </cell>
          <cell r="I128">
            <v>-114898.55247894675</v>
          </cell>
          <cell r="J128">
            <v>8396827.0834548157</v>
          </cell>
          <cell r="K128">
            <v>0</v>
          </cell>
          <cell r="L128">
            <v>-441183.23442397855</v>
          </cell>
          <cell r="M128">
            <v>79173.492826703485</v>
          </cell>
          <cell r="N128">
            <v>2984.6316918660646</v>
          </cell>
          <cell r="O128">
            <v>-1346.9316516088306</v>
          </cell>
          <cell r="P128">
            <v>0</v>
          </cell>
          <cell r="Q128">
            <v>0</v>
          </cell>
          <cell r="R128">
            <v>0</v>
          </cell>
          <cell r="S128">
            <v>22632923.433472279</v>
          </cell>
          <cell r="T128">
            <v>0</v>
          </cell>
          <cell r="U128">
            <v>41984135.417274073</v>
          </cell>
          <cell r="V128">
            <v>316693.97130681394</v>
          </cell>
          <cell r="W128">
            <v>0</v>
          </cell>
          <cell r="X128">
            <v>42300829.388580889</v>
          </cell>
          <cell r="Y128">
            <v>1106094.79</v>
          </cell>
          <cell r="Z128">
            <v>0</v>
          </cell>
          <cell r="AA128">
            <v>0</v>
          </cell>
          <cell r="AB128">
            <v>574492.76239473373</v>
          </cell>
          <cell r="AC128">
            <v>1680587.5523947338</v>
          </cell>
          <cell r="AD128" t="str">
            <v>N/A</v>
          </cell>
          <cell r="AE128">
            <v>8139883</v>
          </cell>
          <cell r="AF128">
            <v>8139883</v>
          </cell>
          <cell r="AG128">
            <v>8139883</v>
          </cell>
          <cell r="AH128">
            <v>8139883</v>
          </cell>
          <cell r="AI128">
            <v>8060710</v>
          </cell>
          <cell r="AJ128">
            <v>0</v>
          </cell>
          <cell r="AK128">
            <v>40620242</v>
          </cell>
          <cell r="AL128">
            <v>191900254</v>
          </cell>
          <cell r="AM128">
            <v>22632923.433472279</v>
          </cell>
          <cell r="AN128">
            <v>-4967240.21</v>
          </cell>
          <cell r="AO128">
            <v>41726336.626186155</v>
          </cell>
          <cell r="AP128">
            <v>0</v>
          </cell>
          <cell r="AQ128">
            <v>-1106094.79</v>
          </cell>
          <cell r="AR128">
            <v>0</v>
          </cell>
          <cell r="AS128">
            <v>0</v>
          </cell>
          <cell r="AT128">
            <v>250186179.05965844</v>
          </cell>
          <cell r="AU128">
            <v>5.7880617574740442E-3</v>
          </cell>
          <cell r="AV128">
            <v>0</v>
          </cell>
          <cell r="AW128">
            <v>0</v>
          </cell>
          <cell r="AY128">
            <v>0</v>
          </cell>
          <cell r="AZ128">
            <v>0</v>
          </cell>
          <cell r="BA128">
            <v>0</v>
          </cell>
          <cell r="BB128">
            <v>0</v>
          </cell>
          <cell r="BC128">
            <v>0</v>
          </cell>
          <cell r="BD128">
            <v>0</v>
          </cell>
          <cell r="BE128">
            <v>0</v>
          </cell>
          <cell r="BF128">
            <v>0</v>
          </cell>
          <cell r="BG128">
            <v>0</v>
          </cell>
          <cell r="BH128">
            <v>0</v>
          </cell>
          <cell r="BJ128">
            <v>0</v>
          </cell>
          <cell r="BL128">
            <v>0</v>
          </cell>
          <cell r="BM128">
            <v>0</v>
          </cell>
          <cell r="BN128">
            <v>0</v>
          </cell>
          <cell r="BO128">
            <v>0</v>
          </cell>
          <cell r="BQ128">
            <v>0</v>
          </cell>
          <cell r="BR128">
            <v>0</v>
          </cell>
          <cell r="BS128">
            <v>0</v>
          </cell>
          <cell r="BT128">
            <v>0</v>
          </cell>
          <cell r="CB128">
            <v>0</v>
          </cell>
          <cell r="CC128">
            <v>0</v>
          </cell>
          <cell r="CD128">
            <v>0</v>
          </cell>
          <cell r="CE128">
            <v>0</v>
          </cell>
          <cell r="CF128">
            <v>0</v>
          </cell>
          <cell r="CI128">
            <v>0</v>
          </cell>
          <cell r="CJ128">
            <v>0</v>
          </cell>
          <cell r="CK128">
            <v>0</v>
          </cell>
          <cell r="CV128">
            <v>5.7509570539636679E-3</v>
          </cell>
          <cell r="DG128">
            <v>250186179</v>
          </cell>
          <cell r="DR128">
            <v>86770011.830000177</v>
          </cell>
          <cell r="EC128">
            <v>2.8833253992193155</v>
          </cell>
          <cell r="EN128">
            <v>2.4095909012463064E-2</v>
          </cell>
        </row>
        <row r="129">
          <cell r="B129">
            <v>32901</v>
          </cell>
          <cell r="C129" t="str">
            <v>Invest Collegiate Charter School</v>
          </cell>
          <cell r="D129">
            <v>1.9763566281025743E-4</v>
          </cell>
          <cell r="E129">
            <v>341955.77917160717</v>
          </cell>
          <cell r="F129">
            <v>266630.76320304</v>
          </cell>
          <cell r="G129">
            <v>479680</v>
          </cell>
          <cell r="H129">
            <v>-95417.813205571074</v>
          </cell>
          <cell r="I129">
            <v>-3948.5691445852426</v>
          </cell>
          <cell r="J129">
            <v>288562.83755378524</v>
          </cell>
          <cell r="K129">
            <v>0</v>
          </cell>
          <cell r="L129">
            <v>-15161.57052434616</v>
          </cell>
          <cell r="M129">
            <v>2720.8524746370954</v>
          </cell>
          <cell r="N129">
            <v>102.5689562852674</v>
          </cell>
          <cell r="O129">
            <v>-46.288248586790395</v>
          </cell>
          <cell r="P129">
            <v>0</v>
          </cell>
          <cell r="Q129">
            <v>0</v>
          </cell>
          <cell r="R129">
            <v>0</v>
          </cell>
          <cell r="S129">
            <v>1265078.5602362657</v>
          </cell>
          <cell r="T129">
            <v>2440401</v>
          </cell>
          <cell r="U129">
            <v>1442814.1877689261</v>
          </cell>
          <cell r="V129">
            <v>10883.409898548382</v>
          </cell>
          <cell r="W129">
            <v>0</v>
          </cell>
          <cell r="X129">
            <v>3894098.5976674743</v>
          </cell>
          <cell r="Y129">
            <v>42002.640000000029</v>
          </cell>
          <cell r="Z129">
            <v>0</v>
          </cell>
          <cell r="AA129">
            <v>0</v>
          </cell>
          <cell r="AB129">
            <v>19742.845722926213</v>
          </cell>
          <cell r="AC129">
            <v>61745.485722926242</v>
          </cell>
          <cell r="AD129" t="str">
            <v>N/A</v>
          </cell>
          <cell r="AE129">
            <v>767014</v>
          </cell>
          <cell r="AF129">
            <v>767015</v>
          </cell>
          <cell r="AG129">
            <v>767015</v>
          </cell>
          <cell r="AH129">
            <v>767015</v>
          </cell>
          <cell r="AI129">
            <v>764294</v>
          </cell>
          <cell r="AJ129">
            <v>0</v>
          </cell>
          <cell r="AK129">
            <v>3832353</v>
          </cell>
          <cell r="AL129">
            <v>3624029</v>
          </cell>
          <cell r="AM129">
            <v>1265078.5602362657</v>
          </cell>
          <cell r="AN129">
            <v>-123637.35999999997</v>
          </cell>
          <cell r="AO129">
            <v>1433954.7519445485</v>
          </cell>
          <cell r="AP129">
            <v>0</v>
          </cell>
          <cell r="AQ129">
            <v>2398398.36</v>
          </cell>
          <cell r="AR129">
            <v>0</v>
          </cell>
          <cell r="AS129">
            <v>0</v>
          </cell>
          <cell r="AT129">
            <v>8597823.3121808134</v>
          </cell>
          <cell r="AU129">
            <v>1.0930731873870581E-4</v>
          </cell>
          <cell r="AV129">
            <v>0</v>
          </cell>
          <cell r="AW129">
            <v>0</v>
          </cell>
          <cell r="AY129">
            <v>0</v>
          </cell>
          <cell r="AZ129">
            <v>0</v>
          </cell>
          <cell r="BA129">
            <v>0</v>
          </cell>
          <cell r="BB129">
            <v>0</v>
          </cell>
          <cell r="BC129">
            <v>0</v>
          </cell>
          <cell r="BD129">
            <v>0</v>
          </cell>
          <cell r="BE129">
            <v>0</v>
          </cell>
          <cell r="BF129">
            <v>0</v>
          </cell>
          <cell r="BG129">
            <v>0</v>
          </cell>
          <cell r="BH129">
            <v>0</v>
          </cell>
          <cell r="BJ129">
            <v>0</v>
          </cell>
          <cell r="BL129">
            <v>0</v>
          </cell>
          <cell r="BM129">
            <v>0</v>
          </cell>
          <cell r="BN129">
            <v>0</v>
          </cell>
          <cell r="BO129">
            <v>0</v>
          </cell>
          <cell r="BQ129">
            <v>0</v>
          </cell>
          <cell r="BR129">
            <v>0</v>
          </cell>
          <cell r="BS129">
            <v>0</v>
          </cell>
          <cell r="BT129">
            <v>0</v>
          </cell>
          <cell r="CB129">
            <v>0</v>
          </cell>
          <cell r="CC129">
            <v>0</v>
          </cell>
          <cell r="CD129">
            <v>0</v>
          </cell>
          <cell r="CE129">
            <v>0</v>
          </cell>
          <cell r="CF129">
            <v>0</v>
          </cell>
          <cell r="CI129">
            <v>0</v>
          </cell>
          <cell r="CJ129">
            <v>0</v>
          </cell>
          <cell r="CK129">
            <v>0</v>
          </cell>
          <cell r="CV129">
            <v>1.9763566281025743E-4</v>
          </cell>
          <cell r="DG129">
            <v>8597823</v>
          </cell>
          <cell r="DR129">
            <v>2206162.0200000005</v>
          </cell>
          <cell r="EC129">
            <v>3.8971856654480881</v>
          </cell>
          <cell r="EN129">
            <v>2.4095909012463064E-2</v>
          </cell>
        </row>
        <row r="130">
          <cell r="B130">
            <v>32905</v>
          </cell>
          <cell r="C130" t="str">
            <v>Davidson County Community College</v>
          </cell>
          <cell r="D130">
            <v>8.3108550435342281E-4</v>
          </cell>
          <cell r="E130">
            <v>1437971.705907386</v>
          </cell>
          <cell r="F130">
            <v>1121219.5165681187</v>
          </cell>
          <cell r="G130">
            <v>-159193</v>
          </cell>
          <cell r="H130">
            <v>-401245.20182567462</v>
          </cell>
          <cell r="I130">
            <v>-16604.283520189012</v>
          </cell>
          <cell r="J130">
            <v>1213446.945636957</v>
          </cell>
          <cell r="K130">
            <v>0</v>
          </cell>
          <cell r="L130">
            <v>-63756.516950655525</v>
          </cell>
          <cell r="M130">
            <v>11441.563830137178</v>
          </cell>
          <cell r="N130">
            <v>431.31675504933935</v>
          </cell>
          <cell r="O130">
            <v>-194.64853597461516</v>
          </cell>
          <cell r="P130">
            <v>0</v>
          </cell>
          <cell r="Q130">
            <v>0</v>
          </cell>
          <cell r="R130">
            <v>0</v>
          </cell>
          <cell r="S130">
            <v>3143517.3978651538</v>
          </cell>
          <cell r="T130">
            <v>30669.230000000098</v>
          </cell>
          <cell r="U130">
            <v>6067234.7281847848</v>
          </cell>
          <cell r="V130">
            <v>45766.255320548713</v>
          </cell>
          <cell r="W130">
            <v>0</v>
          </cell>
          <cell r="X130">
            <v>6143670.2135053342</v>
          </cell>
          <cell r="Y130">
            <v>826635</v>
          </cell>
          <cell r="Z130">
            <v>0</v>
          </cell>
          <cell r="AA130">
            <v>0</v>
          </cell>
          <cell r="AB130">
            <v>83021.41760094506</v>
          </cell>
          <cell r="AC130">
            <v>909656.4176009451</v>
          </cell>
          <cell r="AD130" t="str">
            <v>N/A</v>
          </cell>
          <cell r="AE130">
            <v>1049091</v>
          </cell>
          <cell r="AF130">
            <v>1049091</v>
          </cell>
          <cell r="AG130">
            <v>1049091</v>
          </cell>
          <cell r="AH130">
            <v>1049091</v>
          </cell>
          <cell r="AI130">
            <v>1037650</v>
          </cell>
          <cell r="AJ130">
            <v>0</v>
          </cell>
          <cell r="AK130">
            <v>5234014</v>
          </cell>
          <cell r="AL130">
            <v>28546181</v>
          </cell>
          <cell r="AM130">
            <v>3143517.3978651538</v>
          </cell>
          <cell r="AN130">
            <v>-768667.2300000001</v>
          </cell>
          <cell r="AO130">
            <v>6029979.5659043891</v>
          </cell>
          <cell r="AP130">
            <v>0</v>
          </cell>
          <cell r="AQ130">
            <v>-795965.7699999999</v>
          </cell>
          <cell r="AR130">
            <v>0</v>
          </cell>
          <cell r="AS130">
            <v>0</v>
          </cell>
          <cell r="AT130">
            <v>36155044.96376954</v>
          </cell>
          <cell r="AU130">
            <v>8.6100491293295814E-4</v>
          </cell>
          <cell r="AV130">
            <v>0</v>
          </cell>
          <cell r="AW130">
            <v>0</v>
          </cell>
          <cell r="AY130">
            <v>0</v>
          </cell>
          <cell r="AZ130">
            <v>0</v>
          </cell>
          <cell r="BA130">
            <v>0</v>
          </cell>
          <cell r="BB130">
            <v>0</v>
          </cell>
          <cell r="BC130">
            <v>0</v>
          </cell>
          <cell r="BD130">
            <v>0</v>
          </cell>
          <cell r="BE130">
            <v>0</v>
          </cell>
          <cell r="BF130">
            <v>0</v>
          </cell>
          <cell r="BG130">
            <v>0</v>
          </cell>
          <cell r="BH130">
            <v>0</v>
          </cell>
          <cell r="BJ130">
            <v>0</v>
          </cell>
          <cell r="BL130">
            <v>0</v>
          </cell>
          <cell r="BM130">
            <v>0</v>
          </cell>
          <cell r="BN130">
            <v>0</v>
          </cell>
          <cell r="BO130">
            <v>0</v>
          </cell>
          <cell r="BQ130">
            <v>0</v>
          </cell>
          <cell r="BR130">
            <v>0</v>
          </cell>
          <cell r="BS130">
            <v>0</v>
          </cell>
          <cell r="BT130">
            <v>0</v>
          </cell>
          <cell r="CB130">
            <v>0</v>
          </cell>
          <cell r="CC130">
            <v>0</v>
          </cell>
          <cell r="CD130">
            <v>0</v>
          </cell>
          <cell r="CE130">
            <v>0</v>
          </cell>
          <cell r="CF130">
            <v>0</v>
          </cell>
          <cell r="CI130">
            <v>0</v>
          </cell>
          <cell r="CJ130">
            <v>0</v>
          </cell>
          <cell r="CK130">
            <v>0</v>
          </cell>
          <cell r="CV130">
            <v>8.3108550435342281E-4</v>
          </cell>
          <cell r="DG130">
            <v>36155044</v>
          </cell>
          <cell r="DR130">
            <v>13363003.759999996</v>
          </cell>
          <cell r="EC130">
            <v>2.70560756019723</v>
          </cell>
          <cell r="EN130">
            <v>2.4095909012463064E-2</v>
          </cell>
        </row>
        <row r="131">
          <cell r="B131">
            <v>32910</v>
          </cell>
          <cell r="C131" t="str">
            <v>Lexington City Schools</v>
          </cell>
          <cell r="D131">
            <v>1.0467233667264405E-3</v>
          </cell>
          <cell r="E131">
            <v>1811075.4878774383</v>
          </cell>
          <cell r="F131">
            <v>1412137.0918803702</v>
          </cell>
          <cell r="G131">
            <v>-122411</v>
          </cell>
          <cell r="H131">
            <v>-505354.41460328549</v>
          </cell>
          <cell r="I131">
            <v>-20912.519177980554</v>
          </cell>
          <cell r="J131">
            <v>1528294.339905726</v>
          </cell>
          <cell r="K131">
            <v>0</v>
          </cell>
          <cell r="L131">
            <v>-80299.121719444622</v>
          </cell>
          <cell r="M131">
            <v>14410.252796087445</v>
          </cell>
          <cell r="N131">
            <v>543.22849286368807</v>
          </cell>
          <cell r="O131">
            <v>-245.15307972099964</v>
          </cell>
          <cell r="P131">
            <v>0</v>
          </cell>
          <cell r="Q131">
            <v>0</v>
          </cell>
          <cell r="R131">
            <v>0</v>
          </cell>
          <cell r="S131">
            <v>4037238.1923720534</v>
          </cell>
          <cell r="T131">
            <v>30062.839999999967</v>
          </cell>
          <cell r="U131">
            <v>7641471.6995286299</v>
          </cell>
          <cell r="V131">
            <v>57641.01118434978</v>
          </cell>
          <cell r="W131">
            <v>0</v>
          </cell>
          <cell r="X131">
            <v>7729175.5507129794</v>
          </cell>
          <cell r="Y131">
            <v>642117</v>
          </cell>
          <cell r="Z131">
            <v>0</v>
          </cell>
          <cell r="AA131">
            <v>0</v>
          </cell>
          <cell r="AB131">
            <v>104562.59588990276</v>
          </cell>
          <cell r="AC131">
            <v>746679.59588990279</v>
          </cell>
          <cell r="AD131" t="str">
            <v>N/A</v>
          </cell>
          <cell r="AE131">
            <v>1399382</v>
          </cell>
          <cell r="AF131">
            <v>1399380</v>
          </cell>
          <cell r="AG131">
            <v>1399380</v>
          </cell>
          <cell r="AH131">
            <v>1399380</v>
          </cell>
          <cell r="AI131">
            <v>1384970</v>
          </cell>
          <cell r="AJ131">
            <v>0</v>
          </cell>
          <cell r="AK131">
            <v>6982492</v>
          </cell>
          <cell r="AL131">
            <v>35474123</v>
          </cell>
          <cell r="AM131">
            <v>4037238.1923720534</v>
          </cell>
          <cell r="AN131">
            <v>-957832.84</v>
          </cell>
          <cell r="AO131">
            <v>7594550.1148230778</v>
          </cell>
          <cell r="AP131">
            <v>0</v>
          </cell>
          <cell r="AQ131">
            <v>-612054.16</v>
          </cell>
          <cell r="AR131">
            <v>0</v>
          </cell>
          <cell r="AS131">
            <v>0</v>
          </cell>
          <cell r="AT131">
            <v>45536024.307195134</v>
          </cell>
          <cell r="AU131">
            <v>1.0699642547046229E-3</v>
          </cell>
          <cell r="AV131">
            <v>0</v>
          </cell>
          <cell r="AW131">
            <v>0</v>
          </cell>
          <cell r="AY131">
            <v>0</v>
          </cell>
          <cell r="AZ131">
            <v>0</v>
          </cell>
          <cell r="BA131">
            <v>0</v>
          </cell>
          <cell r="BB131">
            <v>0</v>
          </cell>
          <cell r="BC131">
            <v>0</v>
          </cell>
          <cell r="BD131">
            <v>0</v>
          </cell>
          <cell r="BE131">
            <v>0</v>
          </cell>
          <cell r="BF131">
            <v>0</v>
          </cell>
          <cell r="BG131">
            <v>0</v>
          </cell>
          <cell r="BH131">
            <v>0</v>
          </cell>
          <cell r="BJ131">
            <v>0</v>
          </cell>
          <cell r="BL131">
            <v>0</v>
          </cell>
          <cell r="BM131">
            <v>0</v>
          </cell>
          <cell r="BN131">
            <v>0</v>
          </cell>
          <cell r="BO131">
            <v>0</v>
          </cell>
          <cell r="BQ131">
            <v>0</v>
          </cell>
          <cell r="BR131">
            <v>0</v>
          </cell>
          <cell r="BS131">
            <v>0</v>
          </cell>
          <cell r="BT131">
            <v>0</v>
          </cell>
          <cell r="CB131">
            <v>0</v>
          </cell>
          <cell r="CC131">
            <v>0</v>
          </cell>
          <cell r="CD131">
            <v>0</v>
          </cell>
          <cell r="CE131">
            <v>0</v>
          </cell>
          <cell r="CF131">
            <v>0</v>
          </cell>
          <cell r="CI131">
            <v>0</v>
          </cell>
          <cell r="CJ131">
            <v>0</v>
          </cell>
          <cell r="CK131">
            <v>0</v>
          </cell>
          <cell r="CV131">
            <v>1.0467233667264405E-3</v>
          </cell>
          <cell r="DG131">
            <v>45536024</v>
          </cell>
          <cell r="DR131">
            <v>16502634.739999995</v>
          </cell>
          <cell r="EC131">
            <v>2.7593184189932578</v>
          </cell>
          <cell r="EN131">
            <v>2.4095909012463064E-2</v>
          </cell>
        </row>
        <row r="132">
          <cell r="B132">
            <v>32920</v>
          </cell>
          <cell r="C132" t="str">
            <v>Thomasville City Schools</v>
          </cell>
          <cell r="D132">
            <v>8.5878063645003586E-4</v>
          </cell>
          <cell r="E132">
            <v>1485890.7420807825</v>
          </cell>
          <cell r="F132">
            <v>1158583.0880153347</v>
          </cell>
          <cell r="G132">
            <v>-165225</v>
          </cell>
          <cell r="H132">
            <v>-414616.31563945685</v>
          </cell>
          <cell r="I132">
            <v>-17157.605438394065</v>
          </cell>
          <cell r="J132">
            <v>1253883.9082305867</v>
          </cell>
          <cell r="K132">
            <v>0</v>
          </cell>
          <cell r="L132">
            <v>-65881.142094180424</v>
          </cell>
          <cell r="M132">
            <v>11822.843036678034</v>
          </cell>
          <cell r="N132">
            <v>445.68997470483959</v>
          </cell>
          <cell r="O132">
            <v>-201.1350128629629</v>
          </cell>
          <cell r="P132">
            <v>0</v>
          </cell>
          <cell r="Q132">
            <v>0</v>
          </cell>
          <cell r="R132">
            <v>0</v>
          </cell>
          <cell r="S132">
            <v>3247545.0731531926</v>
          </cell>
          <cell r="T132">
            <v>8362.9300000000512</v>
          </cell>
          <cell r="U132">
            <v>6269419.5411529327</v>
          </cell>
          <cell r="V132">
            <v>47291.372146712136</v>
          </cell>
          <cell r="W132">
            <v>0</v>
          </cell>
          <cell r="X132">
            <v>6325073.8432996441</v>
          </cell>
          <cell r="Y132">
            <v>834489</v>
          </cell>
          <cell r="Z132">
            <v>0</v>
          </cell>
          <cell r="AA132">
            <v>0</v>
          </cell>
          <cell r="AB132">
            <v>85788.027191970323</v>
          </cell>
          <cell r="AC132">
            <v>920277.02719197026</v>
          </cell>
          <cell r="AD132" t="str">
            <v>N/A</v>
          </cell>
          <cell r="AE132">
            <v>1083324</v>
          </cell>
          <cell r="AF132">
            <v>1083323</v>
          </cell>
          <cell r="AG132">
            <v>1083323</v>
          </cell>
          <cell r="AH132">
            <v>1083323</v>
          </cell>
          <cell r="AI132">
            <v>1071500</v>
          </cell>
          <cell r="AJ132">
            <v>0</v>
          </cell>
          <cell r="AK132">
            <v>5404793</v>
          </cell>
          <cell r="AL132">
            <v>29473824</v>
          </cell>
          <cell r="AM132">
            <v>3247545.0731531926</v>
          </cell>
          <cell r="AN132">
            <v>-766288.93</v>
          </cell>
          <cell r="AO132">
            <v>6230922.8861076757</v>
          </cell>
          <cell r="AP132">
            <v>0</v>
          </cell>
          <cell r="AQ132">
            <v>-826126.07</v>
          </cell>
          <cell r="AR132">
            <v>0</v>
          </cell>
          <cell r="AS132">
            <v>0</v>
          </cell>
          <cell r="AT132">
            <v>37359876.959260873</v>
          </cell>
          <cell r="AU132">
            <v>8.8898430386855824E-4</v>
          </cell>
          <cell r="AV132">
            <v>0</v>
          </cell>
          <cell r="AW132">
            <v>0</v>
          </cell>
          <cell r="AY132">
            <v>0</v>
          </cell>
          <cell r="AZ132">
            <v>0</v>
          </cell>
          <cell r="BA132">
            <v>0</v>
          </cell>
          <cell r="BB132">
            <v>0</v>
          </cell>
          <cell r="BC132">
            <v>0</v>
          </cell>
          <cell r="BD132">
            <v>0</v>
          </cell>
          <cell r="BE132">
            <v>0</v>
          </cell>
          <cell r="BF132">
            <v>0</v>
          </cell>
          <cell r="BG132">
            <v>0</v>
          </cell>
          <cell r="BH132">
            <v>0</v>
          </cell>
          <cell r="BJ132">
            <v>0</v>
          </cell>
          <cell r="BL132">
            <v>0</v>
          </cell>
          <cell r="BM132">
            <v>0</v>
          </cell>
          <cell r="BN132">
            <v>0</v>
          </cell>
          <cell r="BO132">
            <v>0</v>
          </cell>
          <cell r="BQ132">
            <v>0</v>
          </cell>
          <cell r="BR132">
            <v>0</v>
          </cell>
          <cell r="BS132">
            <v>0</v>
          </cell>
          <cell r="BT132">
            <v>0</v>
          </cell>
          <cell r="CB132">
            <v>0</v>
          </cell>
          <cell r="CC132">
            <v>0</v>
          </cell>
          <cell r="CD132">
            <v>0</v>
          </cell>
          <cell r="CE132">
            <v>0</v>
          </cell>
          <cell r="CF132">
            <v>0</v>
          </cell>
          <cell r="CI132">
            <v>0</v>
          </cell>
          <cell r="CJ132">
            <v>0</v>
          </cell>
          <cell r="CK132">
            <v>0</v>
          </cell>
          <cell r="CV132">
            <v>8.5878063645003586E-4</v>
          </cell>
          <cell r="DG132">
            <v>37359877</v>
          </cell>
          <cell r="DR132">
            <v>12899764.759999992</v>
          </cell>
          <cell r="EC132">
            <v>2.8961673096432512</v>
          </cell>
          <cell r="EN132">
            <v>2.4095909012463064E-2</v>
          </cell>
        </row>
        <row r="133">
          <cell r="B133">
            <v>33000</v>
          </cell>
          <cell r="C133" t="str">
            <v>Davie County Schools</v>
          </cell>
          <cell r="D133">
            <v>2.2214001891298269E-3</v>
          </cell>
          <cell r="E133">
            <v>3843540.2888552998</v>
          </cell>
          <cell r="F133">
            <v>2996896.5083781565</v>
          </cell>
          <cell r="G133">
            <v>-235496</v>
          </cell>
          <cell r="H133">
            <v>-1072484.3142540827</v>
          </cell>
          <cell r="I133">
            <v>-44381.424485088515</v>
          </cell>
          <cell r="J133">
            <v>3243410.2874096716</v>
          </cell>
          <cell r="K133">
            <v>0</v>
          </cell>
          <cell r="L133">
            <v>-170414.16084212792</v>
          </cell>
          <cell r="M133">
            <v>30582.042308608627</v>
          </cell>
          <cell r="N133">
            <v>1152.8622701545976</v>
          </cell>
          <cell r="O133">
            <v>-520.27413829609679</v>
          </cell>
          <cell r="P133">
            <v>0</v>
          </cell>
          <cell r="Q133">
            <v>0</v>
          </cell>
          <cell r="R133">
            <v>0</v>
          </cell>
          <cell r="S133">
            <v>8592285.8155022953</v>
          </cell>
          <cell r="T133">
            <v>0</v>
          </cell>
          <cell r="U133">
            <v>16217051.437048359</v>
          </cell>
          <cell r="V133">
            <v>122328.16923443451</v>
          </cell>
          <cell r="W133">
            <v>0</v>
          </cell>
          <cell r="X133">
            <v>16339379.606282793</v>
          </cell>
          <cell r="Y133">
            <v>1177479.46</v>
          </cell>
          <cell r="Z133">
            <v>0</v>
          </cell>
          <cell r="AA133">
            <v>0</v>
          </cell>
          <cell r="AB133">
            <v>221907.12242544259</v>
          </cell>
          <cell r="AC133">
            <v>1399386.5824254425</v>
          </cell>
          <cell r="AD133" t="str">
            <v>N/A</v>
          </cell>
          <cell r="AE133">
            <v>2994115</v>
          </cell>
          <cell r="AF133">
            <v>2994115</v>
          </cell>
          <cell r="AG133">
            <v>2994115</v>
          </cell>
          <cell r="AH133">
            <v>2994115</v>
          </cell>
          <cell r="AI133">
            <v>2963533</v>
          </cell>
          <cell r="AJ133">
            <v>0</v>
          </cell>
          <cell r="AK133">
            <v>14939993</v>
          </cell>
          <cell r="AL133">
            <v>74967610</v>
          </cell>
          <cell r="AM133">
            <v>8592285.8155022953</v>
          </cell>
          <cell r="AN133">
            <v>-1861430.54</v>
          </cell>
          <cell r="AO133">
            <v>16117472.483857352</v>
          </cell>
          <cell r="AP133">
            <v>0</v>
          </cell>
          <cell r="AQ133">
            <v>-1177479.46</v>
          </cell>
          <cell r="AR133">
            <v>0</v>
          </cell>
          <cell r="AS133">
            <v>0</v>
          </cell>
          <cell r="AT133">
            <v>96638458.299359649</v>
          </cell>
          <cell r="AU133">
            <v>2.2611599054885461E-3</v>
          </cell>
          <cell r="AV133">
            <v>0</v>
          </cell>
          <cell r="AW133">
            <v>0</v>
          </cell>
          <cell r="AY133">
            <v>0</v>
          </cell>
          <cell r="AZ133">
            <v>0</v>
          </cell>
          <cell r="BA133">
            <v>0</v>
          </cell>
          <cell r="BB133">
            <v>0</v>
          </cell>
          <cell r="BC133">
            <v>0</v>
          </cell>
          <cell r="BD133">
            <v>0</v>
          </cell>
          <cell r="BE133">
            <v>0</v>
          </cell>
          <cell r="BF133">
            <v>0</v>
          </cell>
          <cell r="BG133">
            <v>0</v>
          </cell>
          <cell r="BH133">
            <v>0</v>
          </cell>
          <cell r="BJ133">
            <v>0</v>
          </cell>
          <cell r="BL133">
            <v>0</v>
          </cell>
          <cell r="BM133">
            <v>0</v>
          </cell>
          <cell r="BN133">
            <v>0</v>
          </cell>
          <cell r="BO133">
            <v>0</v>
          </cell>
          <cell r="BQ133">
            <v>0</v>
          </cell>
          <cell r="BR133">
            <v>0</v>
          </cell>
          <cell r="BS133">
            <v>0</v>
          </cell>
          <cell r="BT133">
            <v>0</v>
          </cell>
          <cell r="CB133">
            <v>0</v>
          </cell>
          <cell r="CC133">
            <v>0</v>
          </cell>
          <cell r="CD133">
            <v>0</v>
          </cell>
          <cell r="CE133">
            <v>0</v>
          </cell>
          <cell r="CF133">
            <v>0</v>
          </cell>
          <cell r="CI133">
            <v>0</v>
          </cell>
          <cell r="CJ133">
            <v>0</v>
          </cell>
          <cell r="CK133">
            <v>0</v>
          </cell>
          <cell r="CV133">
            <v>2.2214001891298269E-3</v>
          </cell>
          <cell r="DG133">
            <v>96638459</v>
          </cell>
          <cell r="DR133">
            <v>32554020.660000037</v>
          </cell>
          <cell r="EC133">
            <v>2.9685567877869588</v>
          </cell>
          <cell r="EN133">
            <v>2.4095909012463064E-2</v>
          </cell>
        </row>
        <row r="134">
          <cell r="B134">
            <v>33001</v>
          </cell>
          <cell r="C134" t="str">
            <v>N.E. Regional School For Biotechnology</v>
          </cell>
          <cell r="D134">
            <v>5.9114053478424925E-5</v>
          </cell>
          <cell r="E134">
            <v>102281.09608241063</v>
          </cell>
          <cell r="F134">
            <v>79750.916261049017</v>
          </cell>
          <cell r="G134">
            <v>57272</v>
          </cell>
          <cell r="H134">
            <v>-28540.060191685912</v>
          </cell>
          <cell r="I134">
            <v>-1181.0415400603304</v>
          </cell>
          <cell r="J134">
            <v>86310.935832554489</v>
          </cell>
          <cell r="K134">
            <v>0</v>
          </cell>
          <cell r="L134">
            <v>-4534.9198522615698</v>
          </cell>
          <cell r="M134">
            <v>813.82386359601048</v>
          </cell>
          <cell r="N134">
            <v>30.679011474232968</v>
          </cell>
          <cell r="O134">
            <v>-13.845102465181903</v>
          </cell>
          <cell r="P134">
            <v>0</v>
          </cell>
          <cell r="Q134">
            <v>0</v>
          </cell>
          <cell r="R134">
            <v>0</v>
          </cell>
          <cell r="S134">
            <v>292189.58436461142</v>
          </cell>
          <cell r="T134">
            <v>288321</v>
          </cell>
          <cell r="U134">
            <v>431554.67916277243</v>
          </cell>
          <cell r="V134">
            <v>3255.2954543840419</v>
          </cell>
          <cell r="W134">
            <v>0</v>
          </cell>
          <cell r="X134">
            <v>723130.97461715643</v>
          </cell>
          <cell r="Y134">
            <v>1961.1400000000067</v>
          </cell>
          <cell r="Z134">
            <v>0</v>
          </cell>
          <cell r="AA134">
            <v>0</v>
          </cell>
          <cell r="AB134">
            <v>5905.207700301652</v>
          </cell>
          <cell r="AC134">
            <v>7866.3477003016587</v>
          </cell>
          <cell r="AD134" t="str">
            <v>N/A</v>
          </cell>
          <cell r="AE134">
            <v>143216</v>
          </cell>
          <cell r="AF134">
            <v>143216</v>
          </cell>
          <cell r="AG134">
            <v>143216</v>
          </cell>
          <cell r="AH134">
            <v>143216</v>
          </cell>
          <cell r="AI134">
            <v>142402</v>
          </cell>
          <cell r="AJ134">
            <v>0</v>
          </cell>
          <cell r="AK134">
            <v>715266</v>
          </cell>
          <cell r="AL134">
            <v>1613911</v>
          </cell>
          <cell r="AM134">
            <v>292189.58436461142</v>
          </cell>
          <cell r="AN134">
            <v>-49703.859999999993</v>
          </cell>
          <cell r="AO134">
            <v>428904.76691685483</v>
          </cell>
          <cell r="AP134">
            <v>0</v>
          </cell>
          <cell r="AQ134">
            <v>286359.86</v>
          </cell>
          <cell r="AR134">
            <v>0</v>
          </cell>
          <cell r="AS134">
            <v>0</v>
          </cell>
          <cell r="AT134">
            <v>2571661.351281466</v>
          </cell>
          <cell r="AU134">
            <v>4.8678510169402041E-5</v>
          </cell>
          <cell r="AV134">
            <v>0</v>
          </cell>
          <cell r="AW134">
            <v>0</v>
          </cell>
          <cell r="AY134">
            <v>0</v>
          </cell>
          <cell r="AZ134">
            <v>0</v>
          </cell>
          <cell r="BA134">
            <v>0</v>
          </cell>
          <cell r="BB134">
            <v>0</v>
          </cell>
          <cell r="BC134">
            <v>0</v>
          </cell>
          <cell r="BD134">
            <v>0</v>
          </cell>
          <cell r="BE134">
            <v>0</v>
          </cell>
          <cell r="BF134">
            <v>0</v>
          </cell>
          <cell r="BG134">
            <v>0</v>
          </cell>
          <cell r="BH134">
            <v>0</v>
          </cell>
          <cell r="BJ134">
            <v>0</v>
          </cell>
          <cell r="BL134">
            <v>0</v>
          </cell>
          <cell r="BM134">
            <v>0</v>
          </cell>
          <cell r="BN134">
            <v>0</v>
          </cell>
          <cell r="BO134">
            <v>0</v>
          </cell>
          <cell r="BQ134">
            <v>0</v>
          </cell>
          <cell r="BR134">
            <v>0</v>
          </cell>
          <cell r="BS134">
            <v>0</v>
          </cell>
          <cell r="BT134">
            <v>0</v>
          </cell>
          <cell r="CB134">
            <v>0</v>
          </cell>
          <cell r="CC134">
            <v>0</v>
          </cell>
          <cell r="CD134">
            <v>0</v>
          </cell>
          <cell r="CE134">
            <v>0</v>
          </cell>
          <cell r="CF134">
            <v>0</v>
          </cell>
          <cell r="CI134">
            <v>0</v>
          </cell>
          <cell r="CJ134">
            <v>0</v>
          </cell>
          <cell r="CK134">
            <v>0</v>
          </cell>
          <cell r="CV134">
            <v>5.9114053478424925E-5</v>
          </cell>
          <cell r="DG134">
            <v>2571662</v>
          </cell>
          <cell r="DR134">
            <v>746290.78</v>
          </cell>
          <cell r="EC134">
            <v>3.4459249248664174</v>
          </cell>
          <cell r="EN134">
            <v>2.4095909012463064E-2</v>
          </cell>
        </row>
        <row r="135">
          <cell r="B135">
            <v>33027</v>
          </cell>
          <cell r="C135" t="str">
            <v>Cornerstone Academy</v>
          </cell>
          <cell r="D135">
            <v>2.2844448469440254E-4</v>
          </cell>
          <cell r="E135">
            <v>395262.22469336813</v>
          </cell>
          <cell r="F135">
            <v>308195.02127038408</v>
          </cell>
          <cell r="G135">
            <v>281683</v>
          </cell>
          <cell r="H135">
            <v>-110292.20565997022</v>
          </cell>
          <cell r="I135">
            <v>-4564.0995693221503</v>
          </cell>
          <cell r="J135">
            <v>333546.01993172121</v>
          </cell>
          <cell r="K135">
            <v>0</v>
          </cell>
          <cell r="L135">
            <v>-17525.061602456593</v>
          </cell>
          <cell r="M135">
            <v>3144.9978847931975</v>
          </cell>
          <cell r="N135">
            <v>118.55811866670103</v>
          </cell>
          <cell r="O135">
            <v>-53.503982760276017</v>
          </cell>
          <cell r="P135">
            <v>0</v>
          </cell>
          <cell r="Q135">
            <v>0</v>
          </cell>
          <cell r="R135">
            <v>0</v>
          </cell>
          <cell r="S135">
            <v>1189514.9510844243</v>
          </cell>
          <cell r="T135">
            <v>1448018</v>
          </cell>
          <cell r="U135">
            <v>1667730.0996586061</v>
          </cell>
          <cell r="V135">
            <v>12579.99153917279</v>
          </cell>
          <cell r="W135">
            <v>0</v>
          </cell>
          <cell r="X135">
            <v>3128328.0911977789</v>
          </cell>
          <cell r="Y135">
            <v>39606.349999999977</v>
          </cell>
          <cell r="Z135">
            <v>0</v>
          </cell>
          <cell r="AA135">
            <v>0</v>
          </cell>
          <cell r="AB135">
            <v>22820.49784661075</v>
          </cell>
          <cell r="AC135">
            <v>62426.847846610726</v>
          </cell>
          <cell r="AD135" t="str">
            <v>N/A</v>
          </cell>
          <cell r="AE135">
            <v>613810</v>
          </cell>
          <cell r="AF135">
            <v>613810</v>
          </cell>
          <cell r="AG135">
            <v>613810</v>
          </cell>
          <cell r="AH135">
            <v>613810</v>
          </cell>
          <cell r="AI135">
            <v>610665</v>
          </cell>
          <cell r="AJ135">
            <v>0</v>
          </cell>
          <cell r="AK135">
            <v>3065905</v>
          </cell>
          <cell r="AL135">
            <v>5836339</v>
          </cell>
          <cell r="AM135">
            <v>1189514.9510844243</v>
          </cell>
          <cell r="AN135">
            <v>-153643.65000000002</v>
          </cell>
          <cell r="AO135">
            <v>1657489.5933511681</v>
          </cell>
          <cell r="AP135">
            <v>0</v>
          </cell>
          <cell r="AQ135">
            <v>1408411.65</v>
          </cell>
          <cell r="AR135">
            <v>0</v>
          </cell>
          <cell r="AS135">
            <v>0</v>
          </cell>
          <cell r="AT135">
            <v>9938111.5444355924</v>
          </cell>
          <cell r="AU135">
            <v>1.7603461970201124E-4</v>
          </cell>
          <cell r="AV135">
            <v>0</v>
          </cell>
          <cell r="AW135">
            <v>0</v>
          </cell>
          <cell r="AY135">
            <v>0</v>
          </cell>
          <cell r="AZ135">
            <v>0</v>
          </cell>
          <cell r="BA135">
            <v>0</v>
          </cell>
          <cell r="BB135">
            <v>0</v>
          </cell>
          <cell r="BC135">
            <v>0</v>
          </cell>
          <cell r="BD135">
            <v>0</v>
          </cell>
          <cell r="BE135">
            <v>0</v>
          </cell>
          <cell r="BF135">
            <v>0</v>
          </cell>
          <cell r="BG135">
            <v>0</v>
          </cell>
          <cell r="BH135">
            <v>0</v>
          </cell>
          <cell r="BJ135">
            <v>0</v>
          </cell>
          <cell r="BL135">
            <v>0</v>
          </cell>
          <cell r="BM135">
            <v>0</v>
          </cell>
          <cell r="BN135">
            <v>0</v>
          </cell>
          <cell r="BO135">
            <v>0</v>
          </cell>
          <cell r="BQ135">
            <v>0</v>
          </cell>
          <cell r="BR135">
            <v>0</v>
          </cell>
          <cell r="BS135">
            <v>0</v>
          </cell>
          <cell r="BT135">
            <v>0</v>
          </cell>
          <cell r="CB135">
            <v>0</v>
          </cell>
          <cell r="CC135">
            <v>0</v>
          </cell>
          <cell r="CD135">
            <v>0</v>
          </cell>
          <cell r="CE135">
            <v>0</v>
          </cell>
          <cell r="CF135">
            <v>0</v>
          </cell>
          <cell r="CI135">
            <v>0</v>
          </cell>
          <cell r="CJ135">
            <v>0</v>
          </cell>
          <cell r="CK135">
            <v>0</v>
          </cell>
          <cell r="CV135">
            <v>2.2844448469440254E-4</v>
          </cell>
          <cell r="DG135">
            <v>9938112</v>
          </cell>
          <cell r="DR135">
            <v>2796774.3499999982</v>
          </cell>
          <cell r="EC135">
            <v>3.5534193167925778</v>
          </cell>
          <cell r="EN135">
            <v>2.4095909012463064E-2</v>
          </cell>
        </row>
        <row r="136">
          <cell r="B136">
            <v>33100</v>
          </cell>
          <cell r="C136" t="str">
            <v>Duplin County Schools</v>
          </cell>
          <cell r="D136">
            <v>3.1759199237567891E-3</v>
          </cell>
          <cell r="E136">
            <v>5495081.9941719472</v>
          </cell>
          <cell r="F136">
            <v>4284641.4513558326</v>
          </cell>
          <cell r="G136">
            <v>822968</v>
          </cell>
          <cell r="H136">
            <v>-1533323.1347614296</v>
          </cell>
          <cell r="I136">
            <v>-63451.804387445409</v>
          </cell>
          <cell r="J136">
            <v>4637080.4338218644</v>
          </cell>
          <cell r="K136">
            <v>0</v>
          </cell>
          <cell r="L136">
            <v>-243639.90394761649</v>
          </cell>
          <cell r="M136">
            <v>43722.926626349901</v>
          </cell>
          <cell r="N136">
            <v>1648.2389220312984</v>
          </cell>
          <cell r="O136">
            <v>-743.83220534307759</v>
          </cell>
          <cell r="P136">
            <v>0</v>
          </cell>
          <cell r="Q136">
            <v>0</v>
          </cell>
          <cell r="R136">
            <v>0</v>
          </cell>
          <cell r="S136">
            <v>13443984.369596193</v>
          </cell>
          <cell r="T136">
            <v>4114837.9</v>
          </cell>
          <cell r="U136">
            <v>23185402.169109322</v>
          </cell>
          <cell r="V136">
            <v>174891.7065053996</v>
          </cell>
          <cell r="W136">
            <v>0</v>
          </cell>
          <cell r="X136">
            <v>27475131.77561472</v>
          </cell>
          <cell r="Y136">
            <v>0</v>
          </cell>
          <cell r="Z136">
            <v>0</v>
          </cell>
          <cell r="AA136">
            <v>0</v>
          </cell>
          <cell r="AB136">
            <v>317259.02193722705</v>
          </cell>
          <cell r="AC136">
            <v>317259.02193722705</v>
          </cell>
          <cell r="AD136" t="str">
            <v>N/A</v>
          </cell>
          <cell r="AE136">
            <v>5440319</v>
          </cell>
          <cell r="AF136">
            <v>5440320</v>
          </cell>
          <cell r="AG136">
            <v>5440320</v>
          </cell>
          <cell r="AH136">
            <v>5440320</v>
          </cell>
          <cell r="AI136">
            <v>5396597</v>
          </cell>
          <cell r="AJ136">
            <v>0</v>
          </cell>
          <cell r="AK136">
            <v>27157876</v>
          </cell>
          <cell r="AL136">
            <v>100376612</v>
          </cell>
          <cell r="AM136">
            <v>13443984.369596193</v>
          </cell>
          <cell r="AN136">
            <v>-2815157.9</v>
          </cell>
          <cell r="AO136">
            <v>23043034.853677496</v>
          </cell>
          <cell r="AP136">
            <v>0</v>
          </cell>
          <cell r="AQ136">
            <v>4114837.9</v>
          </cell>
          <cell r="AR136">
            <v>0</v>
          </cell>
          <cell r="AS136">
            <v>0</v>
          </cell>
          <cell r="AT136">
            <v>138163311.22327369</v>
          </cell>
          <cell r="AU136">
            <v>3.0275417569832828E-3</v>
          </cell>
          <cell r="AV136">
            <v>0</v>
          </cell>
          <cell r="AW136">
            <v>0</v>
          </cell>
          <cell r="AY136">
            <v>0</v>
          </cell>
          <cell r="AZ136">
            <v>0</v>
          </cell>
          <cell r="BA136">
            <v>0</v>
          </cell>
          <cell r="BB136">
            <v>0</v>
          </cell>
          <cell r="BC136">
            <v>0</v>
          </cell>
          <cell r="BD136">
            <v>0</v>
          </cell>
          <cell r="BE136">
            <v>0</v>
          </cell>
          <cell r="BF136">
            <v>0</v>
          </cell>
          <cell r="BG136">
            <v>0</v>
          </cell>
          <cell r="BH136">
            <v>0</v>
          </cell>
          <cell r="BJ136">
            <v>0</v>
          </cell>
          <cell r="BL136">
            <v>0</v>
          </cell>
          <cell r="BM136">
            <v>0</v>
          </cell>
          <cell r="BN136">
            <v>0</v>
          </cell>
          <cell r="BO136">
            <v>0</v>
          </cell>
          <cell r="BQ136">
            <v>0</v>
          </cell>
          <cell r="BR136">
            <v>0</v>
          </cell>
          <cell r="BS136">
            <v>0</v>
          </cell>
          <cell r="BT136">
            <v>0</v>
          </cell>
          <cell r="CB136">
            <v>0</v>
          </cell>
          <cell r="CC136">
            <v>0</v>
          </cell>
          <cell r="CD136">
            <v>0</v>
          </cell>
          <cell r="CE136">
            <v>0</v>
          </cell>
          <cell r="CF136">
            <v>0</v>
          </cell>
          <cell r="CI136">
            <v>0</v>
          </cell>
          <cell r="CJ136">
            <v>0</v>
          </cell>
          <cell r="CK136">
            <v>0</v>
          </cell>
          <cell r="CV136">
            <v>3.1759199237567891E-3</v>
          </cell>
          <cell r="DG136">
            <v>138163312</v>
          </cell>
          <cell r="DR136">
            <v>48424353.820000038</v>
          </cell>
          <cell r="EC136">
            <v>2.8531782275004014</v>
          </cell>
          <cell r="EN136">
            <v>2.4095909012463064E-2</v>
          </cell>
        </row>
        <row r="137">
          <cell r="B137">
            <v>33105</v>
          </cell>
          <cell r="C137" t="str">
            <v>James Sprunt Technical College</v>
          </cell>
          <cell r="D137">
            <v>3.5701058323638399E-4</v>
          </cell>
          <cell r="E137">
            <v>617711.55279962695</v>
          </cell>
          <cell r="F137">
            <v>481643.8638975186</v>
          </cell>
          <cell r="G137">
            <v>-164000</v>
          </cell>
          <cell r="H137">
            <v>-172363.47255993955</v>
          </cell>
          <cell r="I137">
            <v>-7132.725709584859</v>
          </cell>
          <cell r="J137">
            <v>521262.13189736108</v>
          </cell>
          <cell r="K137">
            <v>0</v>
          </cell>
          <cell r="L137">
            <v>-27387.97775011414</v>
          </cell>
          <cell r="M137">
            <v>4914.9688626942143</v>
          </cell>
          <cell r="N137">
            <v>185.28135248801857</v>
          </cell>
          <cell r="O137">
            <v>-83.61544869979349</v>
          </cell>
          <cell r="P137">
            <v>0</v>
          </cell>
          <cell r="Q137">
            <v>0</v>
          </cell>
          <cell r="R137">
            <v>0</v>
          </cell>
          <cell r="S137">
            <v>1254750.0073413504</v>
          </cell>
          <cell r="T137">
            <v>9507.2199999999139</v>
          </cell>
          <cell r="U137">
            <v>2606310.6594868056</v>
          </cell>
          <cell r="V137">
            <v>19659.875450776857</v>
          </cell>
          <cell r="W137">
            <v>0</v>
          </cell>
          <cell r="X137">
            <v>2635477.7549375822</v>
          </cell>
          <cell r="Y137">
            <v>829512</v>
          </cell>
          <cell r="Z137">
            <v>0</v>
          </cell>
          <cell r="AA137">
            <v>0</v>
          </cell>
          <cell r="AB137">
            <v>35663.628547924294</v>
          </cell>
          <cell r="AC137">
            <v>865175.62854792434</v>
          </cell>
          <cell r="AD137" t="str">
            <v>N/A</v>
          </cell>
          <cell r="AE137">
            <v>355043</v>
          </cell>
          <cell r="AF137">
            <v>355043</v>
          </cell>
          <cell r="AG137">
            <v>355043</v>
          </cell>
          <cell r="AH137">
            <v>355043</v>
          </cell>
          <cell r="AI137">
            <v>350128</v>
          </cell>
          <cell r="AJ137">
            <v>0</v>
          </cell>
          <cell r="AK137">
            <v>1770300</v>
          </cell>
          <cell r="AL137">
            <v>12831919</v>
          </cell>
          <cell r="AM137">
            <v>1254750.0073413504</v>
          </cell>
          <cell r="AN137">
            <v>-325797.21999999991</v>
          </cell>
          <cell r="AO137">
            <v>2590306.9063896583</v>
          </cell>
          <cell r="AP137">
            <v>0</v>
          </cell>
          <cell r="AQ137">
            <v>-820004.78</v>
          </cell>
          <cell r="AR137">
            <v>0</v>
          </cell>
          <cell r="AS137">
            <v>0</v>
          </cell>
          <cell r="AT137">
            <v>15531173.913731011</v>
          </cell>
          <cell r="AU137">
            <v>3.8703409191319041E-4</v>
          </cell>
          <cell r="AV137">
            <v>0</v>
          </cell>
          <cell r="AW137">
            <v>0</v>
          </cell>
          <cell r="AY137">
            <v>0</v>
          </cell>
          <cell r="AZ137">
            <v>0</v>
          </cell>
          <cell r="BA137">
            <v>0</v>
          </cell>
          <cell r="BB137">
            <v>0</v>
          </cell>
          <cell r="BC137">
            <v>0</v>
          </cell>
          <cell r="BD137">
            <v>0</v>
          </cell>
          <cell r="BE137">
            <v>0</v>
          </cell>
          <cell r="BF137">
            <v>0</v>
          </cell>
          <cell r="BG137">
            <v>0</v>
          </cell>
          <cell r="BH137">
            <v>0</v>
          </cell>
          <cell r="BJ137">
            <v>0</v>
          </cell>
          <cell r="BL137">
            <v>0</v>
          </cell>
          <cell r="BM137">
            <v>0</v>
          </cell>
          <cell r="BN137">
            <v>0</v>
          </cell>
          <cell r="BO137">
            <v>0</v>
          </cell>
          <cell r="BQ137">
            <v>0</v>
          </cell>
          <cell r="BR137">
            <v>0</v>
          </cell>
          <cell r="BS137">
            <v>0</v>
          </cell>
          <cell r="BT137">
            <v>0</v>
          </cell>
          <cell r="CB137">
            <v>0</v>
          </cell>
          <cell r="CC137">
            <v>0</v>
          </cell>
          <cell r="CD137">
            <v>0</v>
          </cell>
          <cell r="CE137">
            <v>0</v>
          </cell>
          <cell r="CF137">
            <v>0</v>
          </cell>
          <cell r="CI137">
            <v>0</v>
          </cell>
          <cell r="CJ137">
            <v>0</v>
          </cell>
          <cell r="CK137">
            <v>0</v>
          </cell>
          <cell r="CV137">
            <v>3.5701058323638399E-4</v>
          </cell>
          <cell r="DG137">
            <v>15531174</v>
          </cell>
          <cell r="DR137">
            <v>5705826.6699999999</v>
          </cell>
          <cell r="EC137">
            <v>2.7219848933826798</v>
          </cell>
          <cell r="EN137">
            <v>2.4095909012463064E-2</v>
          </cell>
        </row>
        <row r="138">
          <cell r="B138">
            <v>33200</v>
          </cell>
          <cell r="C138" t="str">
            <v>Durham Public Schools</v>
          </cell>
          <cell r="D138">
            <v>1.3861030528488062E-2</v>
          </cell>
          <cell r="E138">
            <v>23982814.776911646</v>
          </cell>
          <cell r="F138">
            <v>18699950.687237989</v>
          </cell>
          <cell r="G138">
            <v>2001565</v>
          </cell>
          <cell r="H138">
            <v>-6692057.5112689054</v>
          </cell>
          <cell r="I138">
            <v>-276929.96637700679</v>
          </cell>
          <cell r="J138">
            <v>20238140.444117088</v>
          </cell>
          <cell r="K138">
            <v>0</v>
          </cell>
          <cell r="L138">
            <v>-1063345.4959975963</v>
          </cell>
          <cell r="M138">
            <v>190824.96892610262</v>
          </cell>
          <cell r="N138">
            <v>7193.5976236747347</v>
          </cell>
          <cell r="O138">
            <v>-3246.3919600771892</v>
          </cell>
          <cell r="P138">
            <v>0</v>
          </cell>
          <cell r="Q138">
            <v>0</v>
          </cell>
          <cell r="R138">
            <v>0</v>
          </cell>
          <cell r="S138">
            <v>57084910.109212928</v>
          </cell>
          <cell r="T138">
            <v>10564641</v>
          </cell>
          <cell r="U138">
            <v>101190702.22058544</v>
          </cell>
          <cell r="V138">
            <v>763299.87570441049</v>
          </cell>
          <cell r="W138">
            <v>0</v>
          </cell>
          <cell r="X138">
            <v>112518643.09628984</v>
          </cell>
          <cell r="Y138">
            <v>556814.71999999881</v>
          </cell>
          <cell r="Z138">
            <v>0</v>
          </cell>
          <cell r="AA138">
            <v>0</v>
          </cell>
          <cell r="AB138">
            <v>1384649.831885034</v>
          </cell>
          <cell r="AC138">
            <v>1941464.5518850328</v>
          </cell>
          <cell r="AD138" t="str">
            <v>N/A</v>
          </cell>
          <cell r="AE138">
            <v>22153600</v>
          </cell>
          <cell r="AF138">
            <v>22153600</v>
          </cell>
          <cell r="AG138">
            <v>22153600</v>
          </cell>
          <cell r="AH138">
            <v>22153600</v>
          </cell>
          <cell r="AI138">
            <v>21962775</v>
          </cell>
          <cell r="AJ138">
            <v>0</v>
          </cell>
          <cell r="AK138">
            <v>110577175</v>
          </cell>
          <cell r="AL138">
            <v>446877872</v>
          </cell>
          <cell r="AM138">
            <v>57084910.109212928</v>
          </cell>
          <cell r="AN138">
            <v>-11538019.280000001</v>
          </cell>
          <cell r="AO138">
            <v>100569352.26440483</v>
          </cell>
          <cell r="AP138">
            <v>0</v>
          </cell>
          <cell r="AQ138">
            <v>10007826.280000001</v>
          </cell>
          <cell r="AR138">
            <v>0</v>
          </cell>
          <cell r="AS138">
            <v>0</v>
          </cell>
          <cell r="AT138">
            <v>603001941.37361765</v>
          </cell>
          <cell r="AU138">
            <v>1.3478651924261592E-2</v>
          </cell>
          <cell r="AV138">
            <v>0</v>
          </cell>
          <cell r="AW138">
            <v>0</v>
          </cell>
          <cell r="AY138">
            <v>0</v>
          </cell>
          <cell r="AZ138">
            <v>0</v>
          </cell>
          <cell r="BA138">
            <v>0</v>
          </cell>
          <cell r="BB138">
            <v>0</v>
          </cell>
          <cell r="BC138">
            <v>0</v>
          </cell>
          <cell r="BD138">
            <v>0</v>
          </cell>
          <cell r="BE138">
            <v>0</v>
          </cell>
          <cell r="BF138">
            <v>0</v>
          </cell>
          <cell r="BG138">
            <v>0</v>
          </cell>
          <cell r="BH138">
            <v>0</v>
          </cell>
          <cell r="BJ138">
            <v>0</v>
          </cell>
          <cell r="BL138">
            <v>0</v>
          </cell>
          <cell r="BM138">
            <v>0</v>
          </cell>
          <cell r="BN138">
            <v>0</v>
          </cell>
          <cell r="BO138">
            <v>0</v>
          </cell>
          <cell r="BQ138">
            <v>0</v>
          </cell>
          <cell r="BR138">
            <v>0</v>
          </cell>
          <cell r="BS138">
            <v>0</v>
          </cell>
          <cell r="BT138">
            <v>0</v>
          </cell>
          <cell r="CB138">
            <v>0</v>
          </cell>
          <cell r="CC138">
            <v>0</v>
          </cell>
          <cell r="CD138">
            <v>0</v>
          </cell>
          <cell r="CE138">
            <v>0</v>
          </cell>
          <cell r="CF138">
            <v>0</v>
          </cell>
          <cell r="CI138">
            <v>0</v>
          </cell>
          <cell r="CJ138">
            <v>0</v>
          </cell>
          <cell r="CK138">
            <v>0</v>
          </cell>
          <cell r="CV138">
            <v>1.3861030528488062E-2</v>
          </cell>
          <cell r="DG138">
            <v>603001942</v>
          </cell>
          <cell r="DR138">
            <v>198407653.93000114</v>
          </cell>
          <cell r="EC138">
            <v>3.0392070570661605</v>
          </cell>
          <cell r="EN138">
            <v>2.4095909012463064E-2</v>
          </cell>
        </row>
        <row r="139">
          <cell r="B139">
            <v>33202</v>
          </cell>
          <cell r="C139" t="str">
            <v>Central Park School For Children</v>
          </cell>
          <cell r="D139">
            <v>1.6583970091368149E-4</v>
          </cell>
          <cell r="E139">
            <v>286941.35125789134</v>
          </cell>
          <cell r="F139">
            <v>223734.75209497384</v>
          </cell>
          <cell r="G139">
            <v>113924</v>
          </cell>
          <cell r="H139">
            <v>-80066.832973568744</v>
          </cell>
          <cell r="I139">
            <v>-3313.3166183862527</v>
          </cell>
          <cell r="J139">
            <v>242138.3569860413</v>
          </cell>
          <cell r="K139">
            <v>0</v>
          </cell>
          <cell r="L139">
            <v>-12722.351246663553</v>
          </cell>
          <cell r="M139">
            <v>2283.1170964183248</v>
          </cell>
          <cell r="N139">
            <v>86.06748798018242</v>
          </cell>
          <cell r="O139">
            <v>-38.841316350993338</v>
          </cell>
          <cell r="P139">
            <v>0</v>
          </cell>
          <cell r="Q139">
            <v>0</v>
          </cell>
          <cell r="R139">
            <v>0</v>
          </cell>
          <cell r="S139">
            <v>772966.30276833544</v>
          </cell>
          <cell r="T139">
            <v>583485</v>
          </cell>
          <cell r="U139">
            <v>1210691.7849302064</v>
          </cell>
          <cell r="V139">
            <v>9132.4683856732991</v>
          </cell>
          <cell r="W139">
            <v>0</v>
          </cell>
          <cell r="X139">
            <v>1803309.2533158797</v>
          </cell>
          <cell r="Y139">
            <v>13867.510000000009</v>
          </cell>
          <cell r="Z139">
            <v>0</v>
          </cell>
          <cell r="AA139">
            <v>0</v>
          </cell>
          <cell r="AB139">
            <v>16566.583091931261</v>
          </cell>
          <cell r="AC139">
            <v>30434.09309193127</v>
          </cell>
          <cell r="AD139" t="str">
            <v>N/A</v>
          </cell>
          <cell r="AE139">
            <v>355031</v>
          </cell>
          <cell r="AF139">
            <v>355032</v>
          </cell>
          <cell r="AG139">
            <v>355032</v>
          </cell>
          <cell r="AH139">
            <v>355032</v>
          </cell>
          <cell r="AI139">
            <v>352749</v>
          </cell>
          <cell r="AJ139">
            <v>0</v>
          </cell>
          <cell r="AK139">
            <v>1772876</v>
          </cell>
          <cell r="AL139">
            <v>4798149</v>
          </cell>
          <cell r="AM139">
            <v>772966.30276833544</v>
          </cell>
          <cell r="AN139">
            <v>-129400.48999999999</v>
          </cell>
          <cell r="AO139">
            <v>1203257.6702239485</v>
          </cell>
          <cell r="AP139">
            <v>0</v>
          </cell>
          <cell r="AQ139">
            <v>569617.49</v>
          </cell>
          <cell r="AR139">
            <v>0</v>
          </cell>
          <cell r="AS139">
            <v>0</v>
          </cell>
          <cell r="AT139">
            <v>7214589.9729922842</v>
          </cell>
          <cell r="AU139">
            <v>1.4472092777425487E-4</v>
          </cell>
          <cell r="AV139">
            <v>0</v>
          </cell>
          <cell r="AW139">
            <v>0</v>
          </cell>
          <cell r="AY139">
            <v>0</v>
          </cell>
          <cell r="AZ139">
            <v>0</v>
          </cell>
          <cell r="BA139">
            <v>0</v>
          </cell>
          <cell r="BB139">
            <v>0</v>
          </cell>
          <cell r="BC139">
            <v>0</v>
          </cell>
          <cell r="BD139">
            <v>0</v>
          </cell>
          <cell r="BE139">
            <v>0</v>
          </cell>
          <cell r="BF139">
            <v>0</v>
          </cell>
          <cell r="BG139">
            <v>0</v>
          </cell>
          <cell r="BH139">
            <v>0</v>
          </cell>
          <cell r="BJ139">
            <v>0</v>
          </cell>
          <cell r="BL139">
            <v>0</v>
          </cell>
          <cell r="BM139">
            <v>0</v>
          </cell>
          <cell r="BN139">
            <v>0</v>
          </cell>
          <cell r="BO139">
            <v>0</v>
          </cell>
          <cell r="BQ139">
            <v>0</v>
          </cell>
          <cell r="BR139">
            <v>0</v>
          </cell>
          <cell r="BS139">
            <v>0</v>
          </cell>
          <cell r="BT139">
            <v>0</v>
          </cell>
          <cell r="CB139">
            <v>0</v>
          </cell>
          <cell r="CC139">
            <v>0</v>
          </cell>
          <cell r="CD139">
            <v>0</v>
          </cell>
          <cell r="CE139">
            <v>0</v>
          </cell>
          <cell r="CF139">
            <v>0</v>
          </cell>
          <cell r="CI139">
            <v>0</v>
          </cell>
          <cell r="CJ139">
            <v>0</v>
          </cell>
          <cell r="CK139">
            <v>0</v>
          </cell>
          <cell r="CV139">
            <v>1.6583970091368149E-4</v>
          </cell>
          <cell r="DG139">
            <v>7214591</v>
          </cell>
          <cell r="DR139">
            <v>2083307.32</v>
          </cell>
          <cell r="EC139">
            <v>3.4630469209890742</v>
          </cell>
          <cell r="EN139">
            <v>2.4095909012463064E-2</v>
          </cell>
        </row>
        <row r="140">
          <cell r="B140">
            <v>33203</v>
          </cell>
          <cell r="C140" t="str">
            <v>Healthy Start Academy</v>
          </cell>
          <cell r="D140">
            <v>1.1475133798238069E-4</v>
          </cell>
          <cell r="E140">
            <v>198546.57116424461</v>
          </cell>
          <cell r="F140">
            <v>154811.31486975838</v>
          </cell>
          <cell r="G140">
            <v>75281</v>
          </cell>
          <cell r="H140">
            <v>-55401.548369355711</v>
          </cell>
          <cell r="I140">
            <v>-2292.6206030543622</v>
          </cell>
          <cell r="J140">
            <v>167545.52913397894</v>
          </cell>
          <cell r="K140">
            <v>0</v>
          </cell>
          <cell r="L140">
            <v>-8803.1202407698747</v>
          </cell>
          <cell r="M140">
            <v>1579.7830081761626</v>
          </cell>
          <cell r="N140">
            <v>59.553649386095927</v>
          </cell>
          <cell r="O140">
            <v>-26.875910868853381</v>
          </cell>
          <cell r="P140">
            <v>0</v>
          </cell>
          <cell r="Q140">
            <v>0</v>
          </cell>
          <cell r="R140">
            <v>0</v>
          </cell>
          <cell r="S140">
            <v>531299.58670149522</v>
          </cell>
          <cell r="T140">
            <v>394559</v>
          </cell>
          <cell r="U140">
            <v>837727.64566989464</v>
          </cell>
          <cell r="V140">
            <v>6319.1320327046506</v>
          </cell>
          <cell r="W140">
            <v>0</v>
          </cell>
          <cell r="X140">
            <v>1238605.7777025993</v>
          </cell>
          <cell r="Y140">
            <v>18155.159999999989</v>
          </cell>
          <cell r="Z140">
            <v>0</v>
          </cell>
          <cell r="AA140">
            <v>0</v>
          </cell>
          <cell r="AB140">
            <v>11463.10301527181</v>
          </cell>
          <cell r="AC140">
            <v>29618.263015271797</v>
          </cell>
          <cell r="AD140" t="str">
            <v>N/A</v>
          </cell>
          <cell r="AE140">
            <v>242114</v>
          </cell>
          <cell r="AF140">
            <v>242114</v>
          </cell>
          <cell r="AG140">
            <v>242114</v>
          </cell>
          <cell r="AH140">
            <v>242114</v>
          </cell>
          <cell r="AI140">
            <v>240534</v>
          </cell>
          <cell r="AJ140">
            <v>0</v>
          </cell>
          <cell r="AK140">
            <v>1208990</v>
          </cell>
          <cell r="AL140">
            <v>3331051</v>
          </cell>
          <cell r="AM140">
            <v>531299.58670149522</v>
          </cell>
          <cell r="AN140">
            <v>-79264.840000000011</v>
          </cell>
          <cell r="AO140">
            <v>832583.67468732758</v>
          </cell>
          <cell r="AP140">
            <v>0</v>
          </cell>
          <cell r="AQ140">
            <v>376403.84</v>
          </cell>
          <cell r="AR140">
            <v>0</v>
          </cell>
          <cell r="AS140">
            <v>0</v>
          </cell>
          <cell r="AT140">
            <v>4992073.2613888225</v>
          </cell>
          <cell r="AU140">
            <v>1.0047057826492E-4</v>
          </cell>
          <cell r="AV140">
            <v>0</v>
          </cell>
          <cell r="AW140">
            <v>0</v>
          </cell>
          <cell r="AY140">
            <v>0</v>
          </cell>
          <cell r="AZ140">
            <v>0</v>
          </cell>
          <cell r="BA140">
            <v>0</v>
          </cell>
          <cell r="BB140">
            <v>0</v>
          </cell>
          <cell r="BC140">
            <v>0</v>
          </cell>
          <cell r="BD140">
            <v>0</v>
          </cell>
          <cell r="BE140">
            <v>0</v>
          </cell>
          <cell r="BF140">
            <v>0</v>
          </cell>
          <cell r="BG140">
            <v>0</v>
          </cell>
          <cell r="BH140">
            <v>0</v>
          </cell>
          <cell r="BJ140">
            <v>0</v>
          </cell>
          <cell r="BL140">
            <v>0</v>
          </cell>
          <cell r="BM140">
            <v>0</v>
          </cell>
          <cell r="BN140">
            <v>0</v>
          </cell>
          <cell r="BO140">
            <v>0</v>
          </cell>
          <cell r="BQ140">
            <v>0</v>
          </cell>
          <cell r="BR140">
            <v>0</v>
          </cell>
          <cell r="BS140">
            <v>0</v>
          </cell>
          <cell r="BT140">
            <v>0</v>
          </cell>
          <cell r="CB140">
            <v>0</v>
          </cell>
          <cell r="CC140">
            <v>0</v>
          </cell>
          <cell r="CD140">
            <v>0</v>
          </cell>
          <cell r="CE140">
            <v>0</v>
          </cell>
          <cell r="CF140">
            <v>0</v>
          </cell>
          <cell r="CI140">
            <v>0</v>
          </cell>
          <cell r="CJ140">
            <v>0</v>
          </cell>
          <cell r="CK140">
            <v>0</v>
          </cell>
          <cell r="CV140">
            <v>1.1475133798238069E-4</v>
          </cell>
          <cell r="DG140">
            <v>4992073</v>
          </cell>
          <cell r="DR140">
            <v>1400711.38</v>
          </cell>
          <cell r="EC140">
            <v>3.5639554809642515</v>
          </cell>
          <cell r="EN140">
            <v>2.4095909012463064E-2</v>
          </cell>
        </row>
        <row r="141">
          <cell r="B141">
            <v>33204</v>
          </cell>
          <cell r="C141" t="str">
            <v>Voyager Academy</v>
          </cell>
          <cell r="D141">
            <v>4.0490674464265631E-4</v>
          </cell>
          <cell r="E141">
            <v>700583.07993253705</v>
          </cell>
          <cell r="F141">
            <v>546260.69412269385</v>
          </cell>
          <cell r="G141">
            <v>198362</v>
          </cell>
          <cell r="H141">
            <v>-195487.57332871223</v>
          </cell>
          <cell r="I141">
            <v>-8089.6446299036561</v>
          </cell>
          <cell r="J141">
            <v>591194.10696097661</v>
          </cell>
          <cell r="K141">
            <v>0</v>
          </cell>
          <cell r="L141">
            <v>-31062.319813084039</v>
          </cell>
          <cell r="M141">
            <v>5574.3558753154512</v>
          </cell>
          <cell r="N141">
            <v>210.13850233464578</v>
          </cell>
          <cell r="O141">
            <v>-94.833208662756533</v>
          </cell>
          <cell r="P141">
            <v>0</v>
          </cell>
          <cell r="Q141">
            <v>0</v>
          </cell>
          <cell r="R141">
            <v>0</v>
          </cell>
          <cell r="S141">
            <v>1807450.0044134951</v>
          </cell>
          <cell r="T141">
            <v>1052110</v>
          </cell>
          <cell r="U141">
            <v>2955970.5348048829</v>
          </cell>
          <cell r="V141">
            <v>22297.423501261805</v>
          </cell>
          <cell r="W141">
            <v>0</v>
          </cell>
          <cell r="X141">
            <v>4030377.9583061449</v>
          </cell>
          <cell r="Y141">
            <v>60301.110000000044</v>
          </cell>
          <cell r="Z141">
            <v>0</v>
          </cell>
          <cell r="AA141">
            <v>0</v>
          </cell>
          <cell r="AB141">
            <v>40448.223149518279</v>
          </cell>
          <cell r="AC141">
            <v>100749.33314951832</v>
          </cell>
          <cell r="AD141" t="str">
            <v>N/A</v>
          </cell>
          <cell r="AE141">
            <v>787041</v>
          </cell>
          <cell r="AF141">
            <v>787041</v>
          </cell>
          <cell r="AG141">
            <v>787041</v>
          </cell>
          <cell r="AH141">
            <v>787041</v>
          </cell>
          <cell r="AI141">
            <v>781466</v>
          </cell>
          <cell r="AJ141">
            <v>0</v>
          </cell>
          <cell r="AK141">
            <v>3929630</v>
          </cell>
          <cell r="AL141">
            <v>12161946</v>
          </cell>
          <cell r="AM141">
            <v>1807450.0044134951</v>
          </cell>
          <cell r="AN141">
            <v>-284204.88999999996</v>
          </cell>
          <cell r="AO141">
            <v>2937819.7351566264</v>
          </cell>
          <cell r="AP141">
            <v>0</v>
          </cell>
          <cell r="AQ141">
            <v>991808.8899999999</v>
          </cell>
          <cell r="AR141">
            <v>0</v>
          </cell>
          <cell r="AS141">
            <v>0</v>
          </cell>
          <cell r="AT141">
            <v>17614819.739570122</v>
          </cell>
          <cell r="AU141">
            <v>3.6682647886358247E-4</v>
          </cell>
          <cell r="AV141">
            <v>0</v>
          </cell>
          <cell r="AW141">
            <v>0</v>
          </cell>
          <cell r="AY141">
            <v>0</v>
          </cell>
          <cell r="AZ141">
            <v>0</v>
          </cell>
          <cell r="BA141">
            <v>0</v>
          </cell>
          <cell r="BB141">
            <v>0</v>
          </cell>
          <cell r="BC141">
            <v>0</v>
          </cell>
          <cell r="BD141">
            <v>0</v>
          </cell>
          <cell r="BE141">
            <v>0</v>
          </cell>
          <cell r="BF141">
            <v>0</v>
          </cell>
          <cell r="BG141">
            <v>0</v>
          </cell>
          <cell r="BH141">
            <v>0</v>
          </cell>
          <cell r="BJ141">
            <v>0</v>
          </cell>
          <cell r="BL141">
            <v>0</v>
          </cell>
          <cell r="BM141">
            <v>0</v>
          </cell>
          <cell r="BN141">
            <v>0</v>
          </cell>
          <cell r="BO141">
            <v>0</v>
          </cell>
          <cell r="BQ141">
            <v>0</v>
          </cell>
          <cell r="BR141">
            <v>0</v>
          </cell>
          <cell r="BS141">
            <v>0</v>
          </cell>
          <cell r="BT141">
            <v>0</v>
          </cell>
          <cell r="CB141">
            <v>0</v>
          </cell>
          <cell r="CC141">
            <v>0</v>
          </cell>
          <cell r="CD141">
            <v>0</v>
          </cell>
          <cell r="CE141">
            <v>0</v>
          </cell>
          <cell r="CF141">
            <v>0</v>
          </cell>
          <cell r="CI141">
            <v>0</v>
          </cell>
          <cell r="CJ141">
            <v>0</v>
          </cell>
          <cell r="CK141">
            <v>0</v>
          </cell>
          <cell r="CV141">
            <v>4.0490674464265631E-4</v>
          </cell>
          <cell r="DG141">
            <v>17614820</v>
          </cell>
          <cell r="DR141">
            <v>4874017.7599999988</v>
          </cell>
          <cell r="EC141">
            <v>3.6140245824627453</v>
          </cell>
          <cell r="EN141">
            <v>2.4095909012463064E-2</v>
          </cell>
        </row>
        <row r="142">
          <cell r="B142">
            <v>33205</v>
          </cell>
          <cell r="C142" t="str">
            <v>Durham Technical Institute</v>
          </cell>
          <cell r="D142">
            <v>1.1182984542950423E-3</v>
          </cell>
          <cell r="E142">
            <v>1934917.0784627127</v>
          </cell>
          <cell r="F142">
            <v>1508699.2201591246</v>
          </cell>
          <cell r="G142">
            <v>202739</v>
          </cell>
          <cell r="H142">
            <v>-539910.61887675221</v>
          </cell>
          <cell r="I142">
            <v>-22342.520111393569</v>
          </cell>
          <cell r="J142">
            <v>1632799.3167569202</v>
          </cell>
          <cell r="K142">
            <v>0</v>
          </cell>
          <cell r="L142">
            <v>-85789.986690507358</v>
          </cell>
          <cell r="M142">
            <v>15395.627861317269</v>
          </cell>
          <cell r="N142">
            <v>580.37453181004105</v>
          </cell>
          <cell r="O142">
            <v>-261.91668098044187</v>
          </cell>
          <cell r="P142">
            <v>0</v>
          </cell>
          <cell r="Q142">
            <v>0</v>
          </cell>
          <cell r="R142">
            <v>0</v>
          </cell>
          <cell r="S142">
            <v>4646825.5754122511</v>
          </cell>
          <cell r="T142">
            <v>1013693.1900000001</v>
          </cell>
          <cell r="U142">
            <v>8163996.5837846017</v>
          </cell>
          <cell r="V142">
            <v>61582.511445269076</v>
          </cell>
          <cell r="W142">
            <v>0</v>
          </cell>
          <cell r="X142">
            <v>9239272.285229871</v>
          </cell>
          <cell r="Y142">
            <v>0</v>
          </cell>
          <cell r="Z142">
            <v>0</v>
          </cell>
          <cell r="AA142">
            <v>0</v>
          </cell>
          <cell r="AB142">
            <v>111712.60055696784</v>
          </cell>
          <cell r="AC142">
            <v>111712.60055696784</v>
          </cell>
          <cell r="AD142" t="str">
            <v>N/A</v>
          </cell>
          <cell r="AE142">
            <v>1828590</v>
          </cell>
          <cell r="AF142">
            <v>1828591</v>
          </cell>
          <cell r="AG142">
            <v>1828591</v>
          </cell>
          <cell r="AH142">
            <v>1828591</v>
          </cell>
          <cell r="AI142">
            <v>1813196</v>
          </cell>
          <cell r="AJ142">
            <v>0</v>
          </cell>
          <cell r="AK142">
            <v>9127559</v>
          </cell>
          <cell r="AL142">
            <v>35901235</v>
          </cell>
          <cell r="AM142">
            <v>4646825.5754122511</v>
          </cell>
          <cell r="AN142">
            <v>-1025837.1900000001</v>
          </cell>
          <cell r="AO142">
            <v>8113866.4946729029</v>
          </cell>
          <cell r="AP142">
            <v>0</v>
          </cell>
          <cell r="AQ142">
            <v>1013693.1900000001</v>
          </cell>
          <cell r="AR142">
            <v>0</v>
          </cell>
          <cell r="AS142">
            <v>0</v>
          </cell>
          <cell r="AT142">
            <v>48649783.070085153</v>
          </cell>
          <cell r="AU142">
            <v>1.0828467437052501E-3</v>
          </cell>
          <cell r="AV142">
            <v>0</v>
          </cell>
          <cell r="AW142">
            <v>0</v>
          </cell>
          <cell r="AY142">
            <v>0</v>
          </cell>
          <cell r="AZ142">
            <v>0</v>
          </cell>
          <cell r="BA142">
            <v>0</v>
          </cell>
          <cell r="BB142">
            <v>0</v>
          </cell>
          <cell r="BC142">
            <v>0</v>
          </cell>
          <cell r="BD142">
            <v>0</v>
          </cell>
          <cell r="BE142">
            <v>0</v>
          </cell>
          <cell r="BF142">
            <v>0</v>
          </cell>
          <cell r="BG142">
            <v>0</v>
          </cell>
          <cell r="BH142">
            <v>0</v>
          </cell>
          <cell r="BJ142">
            <v>0</v>
          </cell>
          <cell r="BL142">
            <v>0</v>
          </cell>
          <cell r="BM142">
            <v>0</v>
          </cell>
          <cell r="BN142">
            <v>0</v>
          </cell>
          <cell r="BO142">
            <v>0</v>
          </cell>
          <cell r="BQ142">
            <v>0</v>
          </cell>
          <cell r="BR142">
            <v>0</v>
          </cell>
          <cell r="BS142">
            <v>0</v>
          </cell>
          <cell r="BT142">
            <v>0</v>
          </cell>
          <cell r="CB142">
            <v>0</v>
          </cell>
          <cell r="CC142">
            <v>0</v>
          </cell>
          <cell r="CD142">
            <v>0</v>
          </cell>
          <cell r="CE142">
            <v>0</v>
          </cell>
          <cell r="CF142">
            <v>0</v>
          </cell>
          <cell r="CI142">
            <v>0</v>
          </cell>
          <cell r="CJ142">
            <v>0</v>
          </cell>
          <cell r="CK142">
            <v>0</v>
          </cell>
          <cell r="CV142">
            <v>1.1182984542950423E-3</v>
          </cell>
          <cell r="DG142">
            <v>48649784</v>
          </cell>
          <cell r="DR142">
            <v>17495640.5</v>
          </cell>
          <cell r="EC142">
            <v>2.780680364345621</v>
          </cell>
          <cell r="EN142">
            <v>2.4095909012463064E-2</v>
          </cell>
        </row>
        <row r="143">
          <cell r="B143">
            <v>33206</v>
          </cell>
          <cell r="C143" t="str">
            <v>Bear Grass Charter School</v>
          </cell>
          <cell r="D143">
            <v>9.1382949996967092E-5</v>
          </cell>
          <cell r="E143">
            <v>158113.81116582092</v>
          </cell>
          <cell r="F143">
            <v>123284.96464137135</v>
          </cell>
          <cell r="G143">
            <v>-27643</v>
          </cell>
          <cell r="H143">
            <v>-44119.371620475045</v>
          </cell>
          <cell r="I143">
            <v>-1825.7428419972032</v>
          </cell>
          <cell r="J143">
            <v>133425.93629206016</v>
          </cell>
          <cell r="K143">
            <v>0</v>
          </cell>
          <cell r="L143">
            <v>-7010.4201913800871</v>
          </cell>
          <cell r="M143">
            <v>1258.0701382705172</v>
          </cell>
          <cell r="N143">
            <v>47.425923389425982</v>
          </cell>
          <cell r="O143">
            <v>-21.402800718789663</v>
          </cell>
          <cell r="P143">
            <v>0</v>
          </cell>
          <cell r="Q143">
            <v>0</v>
          </cell>
          <cell r="R143">
            <v>0</v>
          </cell>
          <cell r="S143">
            <v>335510.27070634119</v>
          </cell>
          <cell r="T143">
            <v>0</v>
          </cell>
          <cell r="U143">
            <v>667129.68146030081</v>
          </cell>
          <cell r="V143">
            <v>5032.2805530820688</v>
          </cell>
          <cell r="W143">
            <v>0</v>
          </cell>
          <cell r="X143">
            <v>672161.96201338293</v>
          </cell>
          <cell r="Y143">
            <v>138212.82</v>
          </cell>
          <cell r="Z143">
            <v>0</v>
          </cell>
          <cell r="AA143">
            <v>0</v>
          </cell>
          <cell r="AB143">
            <v>9128.7142099860157</v>
          </cell>
          <cell r="AC143">
            <v>147341.53420998601</v>
          </cell>
          <cell r="AD143" t="str">
            <v>N/A</v>
          </cell>
          <cell r="AE143">
            <v>105215</v>
          </cell>
          <cell r="AF143">
            <v>105215</v>
          </cell>
          <cell r="AG143">
            <v>105215</v>
          </cell>
          <cell r="AH143">
            <v>105215</v>
          </cell>
          <cell r="AI143">
            <v>103957</v>
          </cell>
          <cell r="AJ143">
            <v>0</v>
          </cell>
          <cell r="AK143">
            <v>524817</v>
          </cell>
          <cell r="AL143">
            <v>3187367</v>
          </cell>
          <cell r="AM143">
            <v>335510.27070634119</v>
          </cell>
          <cell r="AN143">
            <v>-72229.179999999993</v>
          </cell>
          <cell r="AO143">
            <v>663033.24780339689</v>
          </cell>
          <cell r="AP143">
            <v>0</v>
          </cell>
          <cell r="AQ143">
            <v>-138212.82</v>
          </cell>
          <cell r="AR143">
            <v>0</v>
          </cell>
          <cell r="AS143">
            <v>0</v>
          </cell>
          <cell r="AT143">
            <v>3975468.5185097381</v>
          </cell>
          <cell r="AU143">
            <v>9.6136797168055663E-5</v>
          </cell>
          <cell r="AV143">
            <v>0</v>
          </cell>
          <cell r="AW143">
            <v>0</v>
          </cell>
          <cell r="AY143">
            <v>0</v>
          </cell>
          <cell r="AZ143">
            <v>0</v>
          </cell>
          <cell r="BA143">
            <v>0</v>
          </cell>
          <cell r="BB143">
            <v>0</v>
          </cell>
          <cell r="BC143">
            <v>0</v>
          </cell>
          <cell r="BD143">
            <v>0</v>
          </cell>
          <cell r="BE143">
            <v>0</v>
          </cell>
          <cell r="BF143">
            <v>0</v>
          </cell>
          <cell r="BG143">
            <v>0</v>
          </cell>
          <cell r="BH143">
            <v>0</v>
          </cell>
          <cell r="BJ143">
            <v>0</v>
          </cell>
          <cell r="BL143">
            <v>0</v>
          </cell>
          <cell r="BM143">
            <v>0</v>
          </cell>
          <cell r="BN143">
            <v>0</v>
          </cell>
          <cell r="BO143">
            <v>0</v>
          </cell>
          <cell r="BQ143">
            <v>0</v>
          </cell>
          <cell r="BR143">
            <v>0</v>
          </cell>
          <cell r="BS143">
            <v>0</v>
          </cell>
          <cell r="BT143">
            <v>0</v>
          </cell>
          <cell r="CB143">
            <v>0</v>
          </cell>
          <cell r="CC143">
            <v>0</v>
          </cell>
          <cell r="CD143">
            <v>0</v>
          </cell>
          <cell r="CE143">
            <v>0</v>
          </cell>
          <cell r="CF143">
            <v>0</v>
          </cell>
          <cell r="CI143">
            <v>0</v>
          </cell>
          <cell r="CJ143">
            <v>0</v>
          </cell>
          <cell r="CK143">
            <v>0</v>
          </cell>
          <cell r="CV143">
            <v>9.1382949996967092E-5</v>
          </cell>
          <cell r="DG143">
            <v>3975469</v>
          </cell>
          <cell r="DR143">
            <v>1272069.9199999997</v>
          </cell>
          <cell r="EC143">
            <v>3.1251969231376848</v>
          </cell>
          <cell r="EN143">
            <v>2.4095909012463064E-2</v>
          </cell>
        </row>
        <row r="144">
          <cell r="B144">
            <v>33207</v>
          </cell>
          <cell r="C144" t="str">
            <v>Invest Collegiate Charter (Buncombe)</v>
          </cell>
          <cell r="D144">
            <v>1.8750286738630526E-4</v>
          </cell>
          <cell r="E144">
            <v>324423.6804343937</v>
          </cell>
          <cell r="F144">
            <v>252960.58374832058</v>
          </cell>
          <cell r="G144">
            <v>656385</v>
          </cell>
          <cell r="H144">
            <v>-90525.73468459498</v>
          </cell>
          <cell r="I144">
            <v>-3746.1257050233039</v>
          </cell>
          <cell r="J144">
            <v>273768.19898344367</v>
          </cell>
          <cell r="K144">
            <v>0</v>
          </cell>
          <cell r="L144">
            <v>-14384.235653480691</v>
          </cell>
          <cell r="M144">
            <v>2581.3541618719519</v>
          </cell>
          <cell r="N144">
            <v>97.310238116144703</v>
          </cell>
          <cell r="O144">
            <v>-43.915046570546558</v>
          </cell>
          <cell r="P144">
            <v>0</v>
          </cell>
          <cell r="Q144">
            <v>0</v>
          </cell>
          <cell r="R144">
            <v>0</v>
          </cell>
          <cell r="S144">
            <v>1401516.1164764767</v>
          </cell>
          <cell r="T144">
            <v>3304737</v>
          </cell>
          <cell r="U144">
            <v>1368840.9949172183</v>
          </cell>
          <cell r="V144">
            <v>10325.416647487807</v>
          </cell>
          <cell r="W144">
            <v>0</v>
          </cell>
          <cell r="X144">
            <v>4683903.4115647068</v>
          </cell>
          <cell r="Y144">
            <v>22808.76999999999</v>
          </cell>
          <cell r="Z144">
            <v>0</v>
          </cell>
          <cell r="AA144">
            <v>0</v>
          </cell>
          <cell r="AB144">
            <v>18730.628525116517</v>
          </cell>
          <cell r="AC144">
            <v>41539.398525116507</v>
          </cell>
          <cell r="AD144" t="str">
            <v>N/A</v>
          </cell>
          <cell r="AE144">
            <v>928988</v>
          </cell>
          <cell r="AF144">
            <v>928989</v>
          </cell>
          <cell r="AG144">
            <v>928989</v>
          </cell>
          <cell r="AH144">
            <v>928989</v>
          </cell>
          <cell r="AI144">
            <v>926408</v>
          </cell>
          <cell r="AJ144">
            <v>0</v>
          </cell>
          <cell r="AK144">
            <v>4642363</v>
          </cell>
          <cell r="AL144">
            <v>2250879</v>
          </cell>
          <cell r="AM144">
            <v>1401516.1164764767</v>
          </cell>
          <cell r="AN144">
            <v>-137746.23000000001</v>
          </cell>
          <cell r="AO144">
            <v>1360435.7830395899</v>
          </cell>
          <cell r="AP144">
            <v>0</v>
          </cell>
          <cell r="AQ144">
            <v>3281928.23</v>
          </cell>
          <cell r="AR144">
            <v>0</v>
          </cell>
          <cell r="AS144">
            <v>0</v>
          </cell>
          <cell r="AT144">
            <v>8157012.8995160665</v>
          </cell>
          <cell r="AU144">
            <v>6.7890614210609432E-5</v>
          </cell>
          <cell r="AV144">
            <v>0</v>
          </cell>
          <cell r="AW144">
            <v>0</v>
          </cell>
          <cell r="AY144">
            <v>0</v>
          </cell>
          <cell r="AZ144">
            <v>0</v>
          </cell>
          <cell r="BA144">
            <v>0</v>
          </cell>
          <cell r="BB144">
            <v>0</v>
          </cell>
          <cell r="BC144">
            <v>0</v>
          </cell>
          <cell r="BD144">
            <v>0</v>
          </cell>
          <cell r="BE144">
            <v>0</v>
          </cell>
          <cell r="BF144">
            <v>0</v>
          </cell>
          <cell r="BG144">
            <v>0</v>
          </cell>
          <cell r="BH144">
            <v>0</v>
          </cell>
          <cell r="BJ144">
            <v>0</v>
          </cell>
          <cell r="BL144">
            <v>0</v>
          </cell>
          <cell r="BM144">
            <v>0</v>
          </cell>
          <cell r="BN144">
            <v>0</v>
          </cell>
          <cell r="BO144">
            <v>0</v>
          </cell>
          <cell r="BQ144">
            <v>0</v>
          </cell>
          <cell r="BR144">
            <v>0</v>
          </cell>
          <cell r="BS144">
            <v>0</v>
          </cell>
          <cell r="BT144">
            <v>0</v>
          </cell>
          <cell r="CB144">
            <v>0</v>
          </cell>
          <cell r="CC144">
            <v>0</v>
          </cell>
          <cell r="CD144">
            <v>0</v>
          </cell>
          <cell r="CE144">
            <v>0</v>
          </cell>
          <cell r="CF144">
            <v>0</v>
          </cell>
          <cell r="CI144">
            <v>0</v>
          </cell>
          <cell r="CJ144">
            <v>0</v>
          </cell>
          <cell r="CK144">
            <v>0</v>
          </cell>
          <cell r="CV144">
            <v>1.8750286738630526E-4</v>
          </cell>
          <cell r="DG144">
            <v>8157012</v>
          </cell>
          <cell r="DR144">
            <v>1940969.2600000007</v>
          </cell>
          <cell r="EC144">
            <v>4.2025456910121273</v>
          </cell>
          <cell r="EN144">
            <v>2.4095909012463064E-2</v>
          </cell>
        </row>
        <row r="145">
          <cell r="B145">
            <v>33208</v>
          </cell>
          <cell r="C145" t="str">
            <v>Kipp Halifax College Prep Charter</v>
          </cell>
          <cell r="D145">
            <v>2.9970915411450654E-5</v>
          </cell>
          <cell r="E145">
            <v>51856.671950185206</v>
          </cell>
          <cell r="F145">
            <v>40433.836365458301</v>
          </cell>
          <cell r="G145">
            <v>62822</v>
          </cell>
          <cell r="H145">
            <v>-14469.854112692794</v>
          </cell>
          <cell r="I145">
            <v>-598.78986487496593</v>
          </cell>
          <cell r="J145">
            <v>43759.776308771587</v>
          </cell>
          <cell r="K145">
            <v>0</v>
          </cell>
          <cell r="L145">
            <v>-2299.2112922766401</v>
          </cell>
          <cell r="M145">
            <v>412.60994197527117</v>
          </cell>
          <cell r="N145">
            <v>15.554305680234661</v>
          </cell>
          <cell r="O145">
            <v>-7.0194880985158576</v>
          </cell>
          <cell r="P145">
            <v>0</v>
          </cell>
          <cell r="Q145">
            <v>0</v>
          </cell>
          <cell r="R145">
            <v>0</v>
          </cell>
          <cell r="S145">
            <v>181925.57411412767</v>
          </cell>
          <cell r="T145">
            <v>314109.83</v>
          </cell>
          <cell r="U145">
            <v>218798.88154385795</v>
          </cell>
          <cell r="V145">
            <v>1650.4397679010847</v>
          </cell>
          <cell r="W145">
            <v>0</v>
          </cell>
          <cell r="X145">
            <v>534559.15131175902</v>
          </cell>
          <cell r="Y145">
            <v>0</v>
          </cell>
          <cell r="Z145">
            <v>0</v>
          </cell>
          <cell r="AA145">
            <v>0</v>
          </cell>
          <cell r="AB145">
            <v>2993.9493243748298</v>
          </cell>
          <cell r="AC145">
            <v>2993.9493243748298</v>
          </cell>
          <cell r="AD145" t="str">
            <v>N/A</v>
          </cell>
          <cell r="AE145">
            <v>106396</v>
          </cell>
          <cell r="AF145">
            <v>106396</v>
          </cell>
          <cell r="AG145">
            <v>106396</v>
          </cell>
          <cell r="AH145">
            <v>106396</v>
          </cell>
          <cell r="AI145">
            <v>105983</v>
          </cell>
          <cell r="AJ145">
            <v>0</v>
          </cell>
          <cell r="AK145">
            <v>531567</v>
          </cell>
          <cell r="AL145">
            <v>618533</v>
          </cell>
          <cell r="AM145">
            <v>181925.57411412767</v>
          </cell>
          <cell r="AN145">
            <v>-28186.83</v>
          </cell>
          <cell r="AO145">
            <v>217455.37198738422</v>
          </cell>
          <cell r="AP145">
            <v>0</v>
          </cell>
          <cell r="AQ145">
            <v>314109.83</v>
          </cell>
          <cell r="AR145">
            <v>0</v>
          </cell>
          <cell r="AS145">
            <v>0</v>
          </cell>
          <cell r="AT145">
            <v>1303836.9461015121</v>
          </cell>
          <cell r="AU145">
            <v>1.8656076932907597E-5</v>
          </cell>
          <cell r="AV145">
            <v>0</v>
          </cell>
          <cell r="AW145">
            <v>0</v>
          </cell>
          <cell r="AY145">
            <v>0</v>
          </cell>
          <cell r="AZ145">
            <v>0</v>
          </cell>
          <cell r="BA145">
            <v>0</v>
          </cell>
          <cell r="BB145">
            <v>0</v>
          </cell>
          <cell r="BC145">
            <v>0</v>
          </cell>
          <cell r="BD145">
            <v>0</v>
          </cell>
          <cell r="BE145">
            <v>0</v>
          </cell>
          <cell r="BF145">
            <v>0</v>
          </cell>
          <cell r="BG145">
            <v>0</v>
          </cell>
          <cell r="BH145">
            <v>0</v>
          </cell>
          <cell r="BJ145">
            <v>0</v>
          </cell>
          <cell r="BL145">
            <v>0</v>
          </cell>
          <cell r="BM145">
            <v>0</v>
          </cell>
          <cell r="BN145">
            <v>0</v>
          </cell>
          <cell r="BO145">
            <v>0</v>
          </cell>
          <cell r="BQ145">
            <v>0</v>
          </cell>
          <cell r="BR145">
            <v>0</v>
          </cell>
          <cell r="BS145">
            <v>0</v>
          </cell>
          <cell r="BT145">
            <v>0</v>
          </cell>
          <cell r="CB145">
            <v>0</v>
          </cell>
          <cell r="CC145">
            <v>0</v>
          </cell>
          <cell r="CD145">
            <v>0</v>
          </cell>
          <cell r="CE145">
            <v>0</v>
          </cell>
          <cell r="CF145">
            <v>0</v>
          </cell>
          <cell r="CI145">
            <v>0</v>
          </cell>
          <cell r="CJ145">
            <v>0</v>
          </cell>
          <cell r="CK145">
            <v>0</v>
          </cell>
          <cell r="CV145">
            <v>2.9970915411450654E-5</v>
          </cell>
          <cell r="DG145">
            <v>1303837</v>
          </cell>
          <cell r="DR145">
            <v>364821.84</v>
          </cell>
          <cell r="EC145">
            <v>3.5739006195462419</v>
          </cell>
          <cell r="EN145">
            <v>2.4095909012463064E-2</v>
          </cell>
        </row>
        <row r="146">
          <cell r="B146">
            <v>33209</v>
          </cell>
          <cell r="C146" t="str">
            <v>Pioneer Springs Community Charter</v>
          </cell>
          <cell r="D146">
            <v>6.9109201951951491E-5</v>
          </cell>
          <cell r="E146">
            <v>119575.03350038601</v>
          </cell>
          <cell r="F146">
            <v>93235.395873327638</v>
          </cell>
          <cell r="G146">
            <v>142841</v>
          </cell>
          <cell r="H146">
            <v>-33365.68324193739</v>
          </cell>
          <cell r="I146">
            <v>-1380.7349268556359</v>
          </cell>
          <cell r="J146">
            <v>100904.59956854352</v>
          </cell>
          <cell r="K146">
            <v>0</v>
          </cell>
          <cell r="L146">
            <v>-5301.6951716945496</v>
          </cell>
          <cell r="M146">
            <v>951.42718918947457</v>
          </cell>
          <cell r="N146">
            <v>35.866293629023787</v>
          </cell>
          <cell r="O146">
            <v>-16.18606618916656</v>
          </cell>
          <cell r="P146">
            <v>0</v>
          </cell>
          <cell r="Q146">
            <v>0</v>
          </cell>
          <cell r="R146">
            <v>0</v>
          </cell>
          <cell r="S146">
            <v>417479.02301839902</v>
          </cell>
          <cell r="T146">
            <v>727344</v>
          </cell>
          <cell r="U146">
            <v>504522.99784271762</v>
          </cell>
          <cell r="V146">
            <v>3805.7087567578983</v>
          </cell>
          <cell r="W146">
            <v>0</v>
          </cell>
          <cell r="X146">
            <v>1235672.7065994756</v>
          </cell>
          <cell r="Y146">
            <v>13140.879999999997</v>
          </cell>
          <cell r="Z146">
            <v>0</v>
          </cell>
          <cell r="AA146">
            <v>0</v>
          </cell>
          <cell r="AB146">
            <v>6903.6746342781789</v>
          </cell>
          <cell r="AC146">
            <v>20044.554634278174</v>
          </cell>
          <cell r="AD146" t="str">
            <v>N/A</v>
          </cell>
          <cell r="AE146">
            <v>243316</v>
          </cell>
          <cell r="AF146">
            <v>243316</v>
          </cell>
          <cell r="AG146">
            <v>243316</v>
          </cell>
          <cell r="AH146">
            <v>243316</v>
          </cell>
          <cell r="AI146">
            <v>242365</v>
          </cell>
          <cell r="AJ146">
            <v>0</v>
          </cell>
          <cell r="AK146">
            <v>1215629</v>
          </cell>
          <cell r="AL146">
            <v>1418468</v>
          </cell>
          <cell r="AM146">
            <v>417479.02301839902</v>
          </cell>
          <cell r="AN146">
            <v>-45089.120000000003</v>
          </cell>
          <cell r="AO146">
            <v>501425.03196519736</v>
          </cell>
          <cell r="AP146">
            <v>0</v>
          </cell>
          <cell r="AQ146">
            <v>714203.12</v>
          </cell>
          <cell r="AR146">
            <v>0</v>
          </cell>
          <cell r="AS146">
            <v>0</v>
          </cell>
          <cell r="AT146">
            <v>3006486.0549835963</v>
          </cell>
          <cell r="AU146">
            <v>4.2783569407861607E-5</v>
          </cell>
          <cell r="AV146">
            <v>0</v>
          </cell>
          <cell r="AW146">
            <v>0</v>
          </cell>
          <cell r="AY146">
            <v>0</v>
          </cell>
          <cell r="AZ146">
            <v>0</v>
          </cell>
          <cell r="BA146">
            <v>0</v>
          </cell>
          <cell r="BB146">
            <v>0</v>
          </cell>
          <cell r="BC146">
            <v>0</v>
          </cell>
          <cell r="BD146">
            <v>0</v>
          </cell>
          <cell r="BE146">
            <v>0</v>
          </cell>
          <cell r="BF146">
            <v>0</v>
          </cell>
          <cell r="BG146">
            <v>0</v>
          </cell>
          <cell r="BH146">
            <v>0</v>
          </cell>
          <cell r="BJ146">
            <v>0</v>
          </cell>
          <cell r="BL146">
            <v>0</v>
          </cell>
          <cell r="BM146">
            <v>0</v>
          </cell>
          <cell r="BN146">
            <v>0</v>
          </cell>
          <cell r="BO146">
            <v>0</v>
          </cell>
          <cell r="BQ146">
            <v>0</v>
          </cell>
          <cell r="BR146">
            <v>0</v>
          </cell>
          <cell r="BS146">
            <v>0</v>
          </cell>
          <cell r="BT146">
            <v>0</v>
          </cell>
          <cell r="CB146">
            <v>0</v>
          </cell>
          <cell r="CC146">
            <v>0</v>
          </cell>
          <cell r="CD146">
            <v>0</v>
          </cell>
          <cell r="CE146">
            <v>0</v>
          </cell>
          <cell r="CF146">
            <v>0</v>
          </cell>
          <cell r="CI146">
            <v>0</v>
          </cell>
          <cell r="CJ146">
            <v>0</v>
          </cell>
          <cell r="CK146">
            <v>0</v>
          </cell>
          <cell r="CV146">
            <v>6.9109201951951491E-5</v>
          </cell>
          <cell r="DG146">
            <v>3006485</v>
          </cell>
          <cell r="DR146">
            <v>801128.51</v>
          </cell>
          <cell r="EC146">
            <v>3.752812392109226</v>
          </cell>
          <cell r="EN146">
            <v>2.4095909012463064E-2</v>
          </cell>
        </row>
        <row r="147">
          <cell r="B147">
            <v>33300</v>
          </cell>
          <cell r="C147" t="str">
            <v>Edgecombe County Schools</v>
          </cell>
          <cell r="D147">
            <v>1.9979924577220956E-3</v>
          </cell>
          <cell r="E147">
            <v>3456992.8217626</v>
          </cell>
          <cell r="F147">
            <v>2695496.5834673797</v>
          </cell>
          <cell r="G147">
            <v>-66132</v>
          </cell>
          <cell r="H147">
            <v>-964623.83562878007</v>
          </cell>
          <cell r="I147">
            <v>-39917.954368638602</v>
          </cell>
          <cell r="J147">
            <v>2917218.3036867674</v>
          </cell>
          <cell r="K147">
            <v>0</v>
          </cell>
          <cell r="L147">
            <v>-153275.49251041879</v>
          </cell>
          <cell r="M147">
            <v>27506.38546504913</v>
          </cell>
          <cell r="N147">
            <v>1036.9181257086132</v>
          </cell>
          <cell r="O147">
            <v>-467.94981352309202</v>
          </cell>
          <cell r="P147">
            <v>0</v>
          </cell>
          <cell r="Q147">
            <v>0</v>
          </cell>
          <cell r="R147">
            <v>0</v>
          </cell>
          <cell r="S147">
            <v>7873833.7801861446</v>
          </cell>
          <cell r="T147">
            <v>0</v>
          </cell>
          <cell r="U147">
            <v>14586091.518433837</v>
          </cell>
          <cell r="V147">
            <v>110025.54186019652</v>
          </cell>
          <cell r="W147">
            <v>0</v>
          </cell>
          <cell r="X147">
            <v>14696117.060294034</v>
          </cell>
          <cell r="Y147">
            <v>330660.01</v>
          </cell>
          <cell r="Z147">
            <v>0</v>
          </cell>
          <cell r="AA147">
            <v>0</v>
          </cell>
          <cell r="AB147">
            <v>199589.77184319301</v>
          </cell>
          <cell r="AC147">
            <v>530249.78184319299</v>
          </cell>
          <cell r="AD147" t="str">
            <v>N/A</v>
          </cell>
          <cell r="AE147">
            <v>2838675</v>
          </cell>
          <cell r="AF147">
            <v>2838675</v>
          </cell>
          <cell r="AG147">
            <v>2838675</v>
          </cell>
          <cell r="AH147">
            <v>2838675</v>
          </cell>
          <cell r="AI147">
            <v>2811168</v>
          </cell>
          <cell r="AJ147">
            <v>0</v>
          </cell>
          <cell r="AK147">
            <v>14165868</v>
          </cell>
          <cell r="AL147">
            <v>66604119</v>
          </cell>
          <cell r="AM147">
            <v>7873833.7801861446</v>
          </cell>
          <cell r="AN147">
            <v>-1724356.99</v>
          </cell>
          <cell r="AO147">
            <v>14496527.288450843</v>
          </cell>
          <cell r="AP147">
            <v>0</v>
          </cell>
          <cell r="AQ147">
            <v>-330660.01</v>
          </cell>
          <cell r="AR147">
            <v>0</v>
          </cell>
          <cell r="AS147">
            <v>0</v>
          </cell>
          <cell r="AT147">
            <v>86919463.068636984</v>
          </cell>
          <cell r="AU147">
            <v>2.0089017525020784E-3</v>
          </cell>
          <cell r="AV147">
            <v>0</v>
          </cell>
          <cell r="AW147">
            <v>0</v>
          </cell>
          <cell r="AY147">
            <v>0</v>
          </cell>
          <cell r="AZ147">
            <v>0</v>
          </cell>
          <cell r="BA147">
            <v>0</v>
          </cell>
          <cell r="BB147">
            <v>0</v>
          </cell>
          <cell r="BC147">
            <v>0</v>
          </cell>
          <cell r="BD147">
            <v>0</v>
          </cell>
          <cell r="BE147">
            <v>0</v>
          </cell>
          <cell r="BF147">
            <v>0</v>
          </cell>
          <cell r="BG147">
            <v>0</v>
          </cell>
          <cell r="BH147">
            <v>0</v>
          </cell>
          <cell r="BJ147">
            <v>0</v>
          </cell>
          <cell r="BL147">
            <v>0</v>
          </cell>
          <cell r="BM147">
            <v>0</v>
          </cell>
          <cell r="BN147">
            <v>0</v>
          </cell>
          <cell r="BO147">
            <v>0</v>
          </cell>
          <cell r="BQ147">
            <v>0</v>
          </cell>
          <cell r="BR147">
            <v>0</v>
          </cell>
          <cell r="BS147">
            <v>0</v>
          </cell>
          <cell r="BT147">
            <v>0</v>
          </cell>
          <cell r="CB147">
            <v>0</v>
          </cell>
          <cell r="CC147">
            <v>0</v>
          </cell>
          <cell r="CD147">
            <v>0</v>
          </cell>
          <cell r="CE147">
            <v>0</v>
          </cell>
          <cell r="CF147">
            <v>0</v>
          </cell>
          <cell r="CI147">
            <v>0</v>
          </cell>
          <cell r="CJ147">
            <v>0</v>
          </cell>
          <cell r="CK147">
            <v>0</v>
          </cell>
          <cell r="CV147">
            <v>1.9979924577220956E-3</v>
          </cell>
          <cell r="DG147">
            <v>86919463</v>
          </cell>
          <cell r="DR147">
            <v>30152921.930000052</v>
          </cell>
          <cell r="EC147">
            <v>2.8826215648945519</v>
          </cell>
          <cell r="EN147">
            <v>2.4095909012463064E-2</v>
          </cell>
        </row>
        <row r="148">
          <cell r="B148">
            <v>33305</v>
          </cell>
          <cell r="C148" t="str">
            <v>Edgecombe Technical College</v>
          </cell>
          <cell r="D148">
            <v>5.0947246059903392E-4</v>
          </cell>
          <cell r="E148">
            <v>881506.15002049413</v>
          </cell>
          <cell r="F148">
            <v>687330.56103779713</v>
          </cell>
          <cell r="G148">
            <v>-132634</v>
          </cell>
          <cell r="H148">
            <v>-245971.53867666362</v>
          </cell>
          <cell r="I148">
            <v>-10178.76636904652</v>
          </cell>
          <cell r="J148">
            <v>743867.86673774396</v>
          </cell>
          <cell r="K148">
            <v>0</v>
          </cell>
          <cell r="L148">
            <v>-39084.052603402517</v>
          </cell>
          <cell r="M148">
            <v>7013.9133062799983</v>
          </cell>
          <cell r="N148">
            <v>264.40601760168664</v>
          </cell>
          <cell r="O148">
            <v>-119.32354499689974</v>
          </cell>
          <cell r="P148">
            <v>0</v>
          </cell>
          <cell r="Q148">
            <v>0</v>
          </cell>
          <cell r="R148">
            <v>0</v>
          </cell>
          <cell r="S148">
            <v>1891995.2159258076</v>
          </cell>
          <cell r="T148">
            <v>87548.70000000007</v>
          </cell>
          <cell r="U148">
            <v>3719339.3336887197</v>
          </cell>
          <cell r="V148">
            <v>28055.653225119993</v>
          </cell>
          <cell r="W148">
            <v>0</v>
          </cell>
          <cell r="X148">
            <v>3834943.68691384</v>
          </cell>
          <cell r="Y148">
            <v>750722</v>
          </cell>
          <cell r="Z148">
            <v>0</v>
          </cell>
          <cell r="AA148">
            <v>0</v>
          </cell>
          <cell r="AB148">
            <v>50893.831845232591</v>
          </cell>
          <cell r="AC148">
            <v>801615.83184523263</v>
          </cell>
          <cell r="AD148" t="str">
            <v>N/A</v>
          </cell>
          <cell r="AE148">
            <v>608069</v>
          </cell>
          <cell r="AF148">
            <v>608068</v>
          </cell>
          <cell r="AG148">
            <v>608068</v>
          </cell>
          <cell r="AH148">
            <v>608068</v>
          </cell>
          <cell r="AI148">
            <v>601054</v>
          </cell>
          <cell r="AJ148">
            <v>0</v>
          </cell>
          <cell r="AK148">
            <v>3033327</v>
          </cell>
          <cell r="AL148">
            <v>17792167</v>
          </cell>
          <cell r="AM148">
            <v>1891995.2159258076</v>
          </cell>
          <cell r="AN148">
            <v>-553706.70000000007</v>
          </cell>
          <cell r="AO148">
            <v>3696501.1550686075</v>
          </cell>
          <cell r="AP148">
            <v>0</v>
          </cell>
          <cell r="AQ148">
            <v>-663173.29999999993</v>
          </cell>
          <cell r="AR148">
            <v>0</v>
          </cell>
          <cell r="AS148">
            <v>0</v>
          </cell>
          <cell r="AT148">
            <v>22163783.370994415</v>
          </cell>
          <cell r="AU148">
            <v>5.3664421705445478E-4</v>
          </cell>
          <cell r="AV148">
            <v>0</v>
          </cell>
          <cell r="AW148">
            <v>0</v>
          </cell>
          <cell r="AY148">
            <v>0</v>
          </cell>
          <cell r="AZ148">
            <v>0</v>
          </cell>
          <cell r="BA148">
            <v>0</v>
          </cell>
          <cell r="BB148">
            <v>0</v>
          </cell>
          <cell r="BC148">
            <v>0</v>
          </cell>
          <cell r="BD148">
            <v>0</v>
          </cell>
          <cell r="BE148">
            <v>0</v>
          </cell>
          <cell r="BF148">
            <v>0</v>
          </cell>
          <cell r="BG148">
            <v>0</v>
          </cell>
          <cell r="BH148">
            <v>0</v>
          </cell>
          <cell r="BJ148">
            <v>0</v>
          </cell>
          <cell r="BL148">
            <v>0</v>
          </cell>
          <cell r="BM148">
            <v>0</v>
          </cell>
          <cell r="BN148">
            <v>0</v>
          </cell>
          <cell r="BO148">
            <v>0</v>
          </cell>
          <cell r="BQ148">
            <v>0</v>
          </cell>
          <cell r="BR148">
            <v>0</v>
          </cell>
          <cell r="BS148">
            <v>0</v>
          </cell>
          <cell r="BT148">
            <v>0</v>
          </cell>
          <cell r="CB148">
            <v>0</v>
          </cell>
          <cell r="CC148">
            <v>0</v>
          </cell>
          <cell r="CD148">
            <v>0</v>
          </cell>
          <cell r="CE148">
            <v>0</v>
          </cell>
          <cell r="CF148">
            <v>0</v>
          </cell>
          <cell r="CI148">
            <v>0</v>
          </cell>
          <cell r="CJ148">
            <v>0</v>
          </cell>
          <cell r="CK148">
            <v>0</v>
          </cell>
          <cell r="CV148">
            <v>5.0947246059903392E-4</v>
          </cell>
          <cell r="DG148">
            <v>22163784</v>
          </cell>
          <cell r="DR148">
            <v>9481893.4399999995</v>
          </cell>
          <cell r="EC148">
            <v>2.3374850329471748</v>
          </cell>
          <cell r="EN148">
            <v>2.4095909012463064E-2</v>
          </cell>
        </row>
        <row r="149">
          <cell r="B149">
            <v>33400</v>
          </cell>
          <cell r="C149" t="str">
            <v>Winston-Salem-Forsyth County Schools</v>
          </cell>
          <cell r="D149">
            <v>1.7769357204634899E-2</v>
          </cell>
          <cell r="E149">
            <v>30745131.227268424</v>
          </cell>
          <cell r="F149">
            <v>23972683.905980468</v>
          </cell>
          <cell r="G149">
            <v>89100</v>
          </cell>
          <cell r="H149">
            <v>-8578984.0883257985</v>
          </cell>
          <cell r="I149">
            <v>-355014.54838490469</v>
          </cell>
          <cell r="J149">
            <v>25944589.471177764</v>
          </cell>
          <cell r="K149">
            <v>0</v>
          </cell>
          <cell r="L149">
            <v>-1363171.8010783424</v>
          </cell>
          <cell r="M149">
            <v>244630.94785356766</v>
          </cell>
          <cell r="N149">
            <v>9221.9410020614196</v>
          </cell>
          <cell r="O149">
            <v>-4161.7611508975397</v>
          </cell>
          <cell r="P149">
            <v>0</v>
          </cell>
          <cell r="Q149">
            <v>0</v>
          </cell>
          <cell r="R149">
            <v>0</v>
          </cell>
          <cell r="S149">
            <v>70704025.294342324</v>
          </cell>
          <cell r="T149">
            <v>445495.31000000238</v>
          </cell>
          <cell r="U149">
            <v>129722947.35588881</v>
          </cell>
          <cell r="V149">
            <v>978523.79141427064</v>
          </cell>
          <cell r="W149">
            <v>0</v>
          </cell>
          <cell r="X149">
            <v>131146966.45730309</v>
          </cell>
          <cell r="Y149">
            <v>0</v>
          </cell>
          <cell r="Z149">
            <v>0</v>
          </cell>
          <cell r="AA149">
            <v>0</v>
          </cell>
          <cell r="AB149">
            <v>1775072.7419245234</v>
          </cell>
          <cell r="AC149">
            <v>1775072.7419245234</v>
          </cell>
          <cell r="AD149" t="str">
            <v>N/A</v>
          </cell>
          <cell r="AE149">
            <v>25923305</v>
          </cell>
          <cell r="AF149">
            <v>25923306</v>
          </cell>
          <cell r="AG149">
            <v>25923306</v>
          </cell>
          <cell r="AH149">
            <v>25923306</v>
          </cell>
          <cell r="AI149">
            <v>25678675</v>
          </cell>
          <cell r="AJ149">
            <v>0</v>
          </cell>
          <cell r="AK149">
            <v>129371898</v>
          </cell>
          <cell r="AL149">
            <v>588665314</v>
          </cell>
          <cell r="AM149">
            <v>70704025.294342324</v>
          </cell>
          <cell r="AN149">
            <v>-15713796.310000002</v>
          </cell>
          <cell r="AO149">
            <v>128926398.40537857</v>
          </cell>
          <cell r="AP149">
            <v>0</v>
          </cell>
          <cell r="AQ149">
            <v>445495.31000000238</v>
          </cell>
          <cell r="AR149">
            <v>0</v>
          </cell>
          <cell r="AS149">
            <v>0</v>
          </cell>
          <cell r="AT149">
            <v>773027436.69972086</v>
          </cell>
          <cell r="AU149">
            <v>1.7755219836229876E-2</v>
          </cell>
          <cell r="AV149">
            <v>0</v>
          </cell>
          <cell r="AW149">
            <v>0</v>
          </cell>
          <cell r="AY149">
            <v>0</v>
          </cell>
          <cell r="AZ149">
            <v>0</v>
          </cell>
          <cell r="BA149">
            <v>0</v>
          </cell>
          <cell r="BB149">
            <v>0</v>
          </cell>
          <cell r="BC149">
            <v>0</v>
          </cell>
          <cell r="BD149">
            <v>0</v>
          </cell>
          <cell r="BE149">
            <v>0</v>
          </cell>
          <cell r="BF149">
            <v>0</v>
          </cell>
          <cell r="BG149">
            <v>0</v>
          </cell>
          <cell r="BH149">
            <v>0</v>
          </cell>
          <cell r="BJ149">
            <v>0</v>
          </cell>
          <cell r="BL149">
            <v>0</v>
          </cell>
          <cell r="BM149">
            <v>0</v>
          </cell>
          <cell r="BN149">
            <v>0</v>
          </cell>
          <cell r="BO149">
            <v>0</v>
          </cell>
          <cell r="BQ149">
            <v>0</v>
          </cell>
          <cell r="BR149">
            <v>0</v>
          </cell>
          <cell r="BS149">
            <v>0</v>
          </cell>
          <cell r="BT149">
            <v>0</v>
          </cell>
          <cell r="CB149">
            <v>0</v>
          </cell>
          <cell r="CC149">
            <v>0</v>
          </cell>
          <cell r="CD149">
            <v>0</v>
          </cell>
          <cell r="CE149">
            <v>0</v>
          </cell>
          <cell r="CF149">
            <v>0</v>
          </cell>
          <cell r="CI149">
            <v>0</v>
          </cell>
          <cell r="CJ149">
            <v>0</v>
          </cell>
          <cell r="CK149">
            <v>0</v>
          </cell>
          <cell r="CV149">
            <v>1.7769357204634899E-2</v>
          </cell>
          <cell r="DG149">
            <v>773027436</v>
          </cell>
          <cell r="DR149">
            <v>271727145.94999874</v>
          </cell>
          <cell r="EC149">
            <v>2.8448664313511278</v>
          </cell>
          <cell r="EN149">
            <v>2.4095909012463064E-2</v>
          </cell>
        </row>
        <row r="150">
          <cell r="B150">
            <v>33402</v>
          </cell>
          <cell r="C150" t="str">
            <v>Arts Based Elementary Charter</v>
          </cell>
          <cell r="D150">
            <v>1.4056542009747432E-4</v>
          </cell>
          <cell r="E150">
            <v>243210.95226706928</v>
          </cell>
          <cell r="F150">
            <v>189637.1571183879</v>
          </cell>
          <cell r="G150">
            <v>43162</v>
          </cell>
          <cell r="H150">
            <v>-67864.497769819078</v>
          </cell>
          <cell r="I150">
            <v>-2808.360964313486</v>
          </cell>
          <cell r="J150">
            <v>205236.0181786071</v>
          </cell>
          <cell r="K150">
            <v>0</v>
          </cell>
          <cell r="L150">
            <v>-10783.441104646583</v>
          </cell>
          <cell r="M150">
            <v>1935.1657776855752</v>
          </cell>
          <cell r="N150">
            <v>72.950641722187228</v>
          </cell>
          <cell r="O150">
            <v>-32.921827041029459</v>
          </cell>
          <cell r="P150">
            <v>0</v>
          </cell>
          <cell r="Q150">
            <v>0</v>
          </cell>
          <cell r="R150">
            <v>0</v>
          </cell>
          <cell r="S150">
            <v>601765.02231765189</v>
          </cell>
          <cell r="T150">
            <v>232721</v>
          </cell>
          <cell r="U150">
            <v>1026180.0908930356</v>
          </cell>
          <cell r="V150">
            <v>7740.6631107423009</v>
          </cell>
          <cell r="W150">
            <v>0</v>
          </cell>
          <cell r="X150">
            <v>1266641.7540037781</v>
          </cell>
          <cell r="Y150">
            <v>16910.510000000009</v>
          </cell>
          <cell r="Z150">
            <v>0</v>
          </cell>
          <cell r="AA150">
            <v>0</v>
          </cell>
          <cell r="AB150">
            <v>14041.804821567428</v>
          </cell>
          <cell r="AC150">
            <v>30952.314821567437</v>
          </cell>
          <cell r="AD150" t="str">
            <v>N/A</v>
          </cell>
          <cell r="AE150">
            <v>247525</v>
          </cell>
          <cell r="AF150">
            <v>247525</v>
          </cell>
          <cell r="AG150">
            <v>247525</v>
          </cell>
          <cell r="AH150">
            <v>247525</v>
          </cell>
          <cell r="AI150">
            <v>245590</v>
          </cell>
          <cell r="AJ150">
            <v>0</v>
          </cell>
          <cell r="AK150">
            <v>1235690</v>
          </cell>
          <cell r="AL150">
            <v>4381110</v>
          </cell>
          <cell r="AM150">
            <v>601765.02231765189</v>
          </cell>
          <cell r="AN150">
            <v>-103491.48999999999</v>
          </cell>
          <cell r="AO150">
            <v>1019878.9491822105</v>
          </cell>
          <cell r="AP150">
            <v>0</v>
          </cell>
          <cell r="AQ150">
            <v>215810.49</v>
          </cell>
          <cell r="AR150">
            <v>0</v>
          </cell>
          <cell r="AS150">
            <v>0</v>
          </cell>
          <cell r="AT150">
            <v>6115072.9714998621</v>
          </cell>
          <cell r="AU150">
            <v>1.3214227145512793E-4</v>
          </cell>
          <cell r="AV150">
            <v>0</v>
          </cell>
          <cell r="AW150">
            <v>0</v>
          </cell>
          <cell r="AY150">
            <v>0</v>
          </cell>
          <cell r="AZ150">
            <v>0</v>
          </cell>
          <cell r="BA150">
            <v>0</v>
          </cell>
          <cell r="BB150">
            <v>0</v>
          </cell>
          <cell r="BC150">
            <v>0</v>
          </cell>
          <cell r="BD150">
            <v>0</v>
          </cell>
          <cell r="BE150">
            <v>0</v>
          </cell>
          <cell r="BF150">
            <v>0</v>
          </cell>
          <cell r="BG150">
            <v>0</v>
          </cell>
          <cell r="BH150">
            <v>0</v>
          </cell>
          <cell r="BJ150">
            <v>0</v>
          </cell>
          <cell r="BL150">
            <v>0</v>
          </cell>
          <cell r="BM150">
            <v>0</v>
          </cell>
          <cell r="BN150">
            <v>0</v>
          </cell>
          <cell r="BO150">
            <v>0</v>
          </cell>
          <cell r="BQ150">
            <v>0</v>
          </cell>
          <cell r="BR150">
            <v>0</v>
          </cell>
          <cell r="BS150">
            <v>0</v>
          </cell>
          <cell r="BT150">
            <v>0</v>
          </cell>
          <cell r="CB150">
            <v>0</v>
          </cell>
          <cell r="CC150">
            <v>0</v>
          </cell>
          <cell r="CD150">
            <v>0</v>
          </cell>
          <cell r="CE150">
            <v>0</v>
          </cell>
          <cell r="CF150">
            <v>0</v>
          </cell>
          <cell r="CI150">
            <v>0</v>
          </cell>
          <cell r="CJ150">
            <v>0</v>
          </cell>
          <cell r="CK150">
            <v>0</v>
          </cell>
          <cell r="CV150">
            <v>1.4056542009747432E-4</v>
          </cell>
          <cell r="DG150">
            <v>6115074</v>
          </cell>
          <cell r="DR150">
            <v>1807378.6900000004</v>
          </cell>
          <cell r="EC150">
            <v>3.3833938807810102</v>
          </cell>
          <cell r="EN150">
            <v>2.4095909012463064E-2</v>
          </cell>
        </row>
        <row r="151">
          <cell r="B151">
            <v>33405</v>
          </cell>
          <cell r="C151" t="str">
            <v>Forsyth Technical Institute</v>
          </cell>
          <cell r="D151">
            <v>1.7860272560133689E-3</v>
          </cell>
          <cell r="E151">
            <v>3090243.5990923853</v>
          </cell>
          <cell r="F151">
            <v>2409533.8037723838</v>
          </cell>
          <cell r="G151">
            <v>19382</v>
          </cell>
          <cell r="H151">
            <v>-862287.77069427492</v>
          </cell>
          <cell r="I151">
            <v>-35683.09491416657</v>
          </cell>
          <cell r="J151">
            <v>2607733.2684557876</v>
          </cell>
          <cell r="K151">
            <v>0</v>
          </cell>
          <cell r="L151">
            <v>-137014.63498745495</v>
          </cell>
          <cell r="M151">
            <v>24588.25806129289</v>
          </cell>
          <cell r="N151">
            <v>926.91242532581816</v>
          </cell>
          <cell r="O151">
            <v>-418.30544363089109</v>
          </cell>
          <cell r="P151">
            <v>0</v>
          </cell>
          <cell r="Q151">
            <v>0</v>
          </cell>
          <cell r="R151">
            <v>0</v>
          </cell>
          <cell r="S151">
            <v>7117004.0357676493</v>
          </cell>
          <cell r="T151">
            <v>96910.160000000149</v>
          </cell>
          <cell r="U151">
            <v>13038666.342278937</v>
          </cell>
          <cell r="V151">
            <v>98353.032245171562</v>
          </cell>
          <cell r="W151">
            <v>0</v>
          </cell>
          <cell r="X151">
            <v>13233929.534524109</v>
          </cell>
          <cell r="Y151">
            <v>0</v>
          </cell>
          <cell r="Z151">
            <v>0</v>
          </cell>
          <cell r="AA151">
            <v>0</v>
          </cell>
          <cell r="AB151">
            <v>178415.47457083286</v>
          </cell>
          <cell r="AC151">
            <v>178415.47457083286</v>
          </cell>
          <cell r="AD151" t="str">
            <v>N/A</v>
          </cell>
          <cell r="AE151">
            <v>2616020</v>
          </cell>
          <cell r="AF151">
            <v>2616021</v>
          </cell>
          <cell r="AG151">
            <v>2616021</v>
          </cell>
          <cell r="AH151">
            <v>2616021</v>
          </cell>
          <cell r="AI151">
            <v>2591433</v>
          </cell>
          <cell r="AJ151">
            <v>0</v>
          </cell>
          <cell r="AK151">
            <v>13055516</v>
          </cell>
          <cell r="AL151">
            <v>59204762</v>
          </cell>
          <cell r="AM151">
            <v>7117004.0357676493</v>
          </cell>
          <cell r="AN151">
            <v>-1679024.1600000001</v>
          </cell>
          <cell r="AO151">
            <v>12958603.899953278</v>
          </cell>
          <cell r="AP151">
            <v>0</v>
          </cell>
          <cell r="AQ151">
            <v>96910.160000000149</v>
          </cell>
          <cell r="AR151">
            <v>0</v>
          </cell>
          <cell r="AS151">
            <v>0</v>
          </cell>
          <cell r="AT151">
            <v>77698255.935720921</v>
          </cell>
          <cell r="AU151">
            <v>1.7857236360827411E-3</v>
          </cell>
          <cell r="AV151">
            <v>0</v>
          </cell>
          <cell r="AW151">
            <v>0</v>
          </cell>
          <cell r="AY151">
            <v>0</v>
          </cell>
          <cell r="AZ151">
            <v>0</v>
          </cell>
          <cell r="BA151">
            <v>0</v>
          </cell>
          <cell r="BB151">
            <v>0</v>
          </cell>
          <cell r="BC151">
            <v>0</v>
          </cell>
          <cell r="BD151">
            <v>0</v>
          </cell>
          <cell r="BE151">
            <v>0</v>
          </cell>
          <cell r="BF151">
            <v>0</v>
          </cell>
          <cell r="BG151">
            <v>0</v>
          </cell>
          <cell r="BH151">
            <v>0</v>
          </cell>
          <cell r="BJ151">
            <v>0</v>
          </cell>
          <cell r="BL151">
            <v>0</v>
          </cell>
          <cell r="BM151">
            <v>0</v>
          </cell>
          <cell r="BN151">
            <v>0</v>
          </cell>
          <cell r="BO151">
            <v>0</v>
          </cell>
          <cell r="BQ151">
            <v>0</v>
          </cell>
          <cell r="BR151">
            <v>0</v>
          </cell>
          <cell r="BS151">
            <v>0</v>
          </cell>
          <cell r="BT151">
            <v>0</v>
          </cell>
          <cell r="CB151">
            <v>0</v>
          </cell>
          <cell r="CC151">
            <v>0</v>
          </cell>
          <cell r="CD151">
            <v>0</v>
          </cell>
          <cell r="CE151">
            <v>0</v>
          </cell>
          <cell r="CF151">
            <v>0</v>
          </cell>
          <cell r="CI151">
            <v>0</v>
          </cell>
          <cell r="CJ151">
            <v>0</v>
          </cell>
          <cell r="CK151">
            <v>0</v>
          </cell>
          <cell r="CV151">
            <v>1.7860272560133689E-3</v>
          </cell>
          <cell r="DG151">
            <v>77698256</v>
          </cell>
          <cell r="DR151">
            <v>29326717.320000004</v>
          </cell>
          <cell r="EC151">
            <v>2.6494017435429758</v>
          </cell>
          <cell r="EN151">
            <v>2.4095909012463064E-2</v>
          </cell>
        </row>
        <row r="152">
          <cell r="B152">
            <v>33500</v>
          </cell>
          <cell r="C152" t="str">
            <v>Franklin County Schools</v>
          </cell>
          <cell r="D152">
            <v>2.9704637198475579E-3</v>
          </cell>
          <cell r="E152">
            <v>5139594.8553913683</v>
          </cell>
          <cell r="F152">
            <v>4007459.9767466127</v>
          </cell>
          <cell r="G152">
            <v>596271</v>
          </cell>
          <cell r="H152">
            <v>-1434129.5914111184</v>
          </cell>
          <cell r="I152">
            <v>-59346.988405430755</v>
          </cell>
          <cell r="J152">
            <v>4337099.0218132632</v>
          </cell>
          <cell r="K152">
            <v>0</v>
          </cell>
          <cell r="L152">
            <v>-227878.382565593</v>
          </cell>
          <cell r="M152">
            <v>40894.408671203993</v>
          </cell>
          <cell r="N152">
            <v>1541.6112613264856</v>
          </cell>
          <cell r="O152">
            <v>-695.71230782549651</v>
          </cell>
          <cell r="P152">
            <v>0</v>
          </cell>
          <cell r="Q152">
            <v>0</v>
          </cell>
          <cell r="R152">
            <v>0</v>
          </cell>
          <cell r="S152">
            <v>12400810.199193807</v>
          </cell>
          <cell r="T152">
            <v>3054213</v>
          </cell>
          <cell r="U152">
            <v>21685495.109066315</v>
          </cell>
          <cell r="V152">
            <v>163577.63468481597</v>
          </cell>
          <cell r="W152">
            <v>0</v>
          </cell>
          <cell r="X152">
            <v>24903285.743751131</v>
          </cell>
          <cell r="Y152">
            <v>72861.060000000522</v>
          </cell>
          <cell r="Z152">
            <v>0</v>
          </cell>
          <cell r="AA152">
            <v>0</v>
          </cell>
          <cell r="AB152">
            <v>296734.94202715374</v>
          </cell>
          <cell r="AC152">
            <v>369596.00202715426</v>
          </cell>
          <cell r="AD152" t="str">
            <v>N/A</v>
          </cell>
          <cell r="AE152">
            <v>4914917</v>
          </cell>
          <cell r="AF152">
            <v>4914917</v>
          </cell>
          <cell r="AG152">
            <v>4914917</v>
          </cell>
          <cell r="AH152">
            <v>4914917</v>
          </cell>
          <cell r="AI152">
            <v>4874023</v>
          </cell>
          <cell r="AJ152">
            <v>0</v>
          </cell>
          <cell r="AK152">
            <v>24533691</v>
          </cell>
          <cell r="AL152">
            <v>94819163</v>
          </cell>
          <cell r="AM152">
            <v>12400810.199193807</v>
          </cell>
          <cell r="AN152">
            <v>-2528393.9399999995</v>
          </cell>
          <cell r="AO152">
            <v>21552337.801723979</v>
          </cell>
          <cell r="AP152">
            <v>0</v>
          </cell>
          <cell r="AQ152">
            <v>2981351.9399999995</v>
          </cell>
          <cell r="AR152">
            <v>0</v>
          </cell>
          <cell r="AS152">
            <v>0</v>
          </cell>
          <cell r="AT152">
            <v>129225269.00091779</v>
          </cell>
          <cell r="AU152">
            <v>2.8599189544238654E-3</v>
          </cell>
          <cell r="AV152">
            <v>0</v>
          </cell>
          <cell r="AW152">
            <v>0</v>
          </cell>
          <cell r="AY152">
            <v>0</v>
          </cell>
          <cell r="AZ152">
            <v>0</v>
          </cell>
          <cell r="BA152">
            <v>0</v>
          </cell>
          <cell r="BB152">
            <v>0</v>
          </cell>
          <cell r="BC152">
            <v>0</v>
          </cell>
          <cell r="BD152">
            <v>0</v>
          </cell>
          <cell r="BE152">
            <v>0</v>
          </cell>
          <cell r="BF152">
            <v>0</v>
          </cell>
          <cell r="BG152">
            <v>0</v>
          </cell>
          <cell r="BH152">
            <v>0</v>
          </cell>
          <cell r="BJ152">
            <v>0</v>
          </cell>
          <cell r="BL152">
            <v>0</v>
          </cell>
          <cell r="BM152">
            <v>0</v>
          </cell>
          <cell r="BN152">
            <v>0</v>
          </cell>
          <cell r="BO152">
            <v>0</v>
          </cell>
          <cell r="BQ152">
            <v>0</v>
          </cell>
          <cell r="BR152">
            <v>0</v>
          </cell>
          <cell r="BS152">
            <v>0</v>
          </cell>
          <cell r="BT152">
            <v>0</v>
          </cell>
          <cell r="CB152">
            <v>0</v>
          </cell>
          <cell r="CC152">
            <v>0</v>
          </cell>
          <cell r="CD152">
            <v>0</v>
          </cell>
          <cell r="CE152">
            <v>0</v>
          </cell>
          <cell r="CF152">
            <v>0</v>
          </cell>
          <cell r="CI152">
            <v>0</v>
          </cell>
          <cell r="CJ152">
            <v>0</v>
          </cell>
          <cell r="CK152">
            <v>0</v>
          </cell>
          <cell r="CV152">
            <v>2.9704637198475579E-3</v>
          </cell>
          <cell r="DG152">
            <v>129225268</v>
          </cell>
          <cell r="DR152">
            <v>43377886.109999992</v>
          </cell>
          <cell r="EC152">
            <v>2.9790586768636804</v>
          </cell>
          <cell r="EN152">
            <v>2.4095909012463064E-2</v>
          </cell>
        </row>
        <row r="153">
          <cell r="B153">
            <v>33501</v>
          </cell>
          <cell r="C153" t="str">
            <v>A Childs Garden Charter (AKA Cross Creek Charter)</v>
          </cell>
          <cell r="D153">
            <v>6.1684665278100188E-5</v>
          </cell>
          <cell r="E153">
            <v>106728.85388283155</v>
          </cell>
          <cell r="F153">
            <v>83218.935019911311</v>
          </cell>
          <cell r="G153">
            <v>14396</v>
          </cell>
          <cell r="H153">
            <v>-29781.142661507856</v>
          </cell>
          <cell r="I153">
            <v>-1232.3998743334789</v>
          </cell>
          <cell r="J153">
            <v>90064.221168894292</v>
          </cell>
          <cell r="K153">
            <v>0</v>
          </cell>
          <cell r="L153">
            <v>-4732.1236946111703</v>
          </cell>
          <cell r="M153">
            <v>849.21350621932925</v>
          </cell>
          <cell r="N153">
            <v>32.013107586028433</v>
          </cell>
          <cell r="O153">
            <v>-14.447165454783844</v>
          </cell>
          <cell r="P153">
            <v>0</v>
          </cell>
          <cell r="Q153">
            <v>0</v>
          </cell>
          <cell r="R153">
            <v>0</v>
          </cell>
          <cell r="S153">
            <v>259529.12328953523</v>
          </cell>
          <cell r="T153">
            <v>76357</v>
          </cell>
          <cell r="U153">
            <v>450321.10584447143</v>
          </cell>
          <cell r="V153">
            <v>3396.854024877317</v>
          </cell>
          <cell r="W153">
            <v>0</v>
          </cell>
          <cell r="X153">
            <v>530074.95986934868</v>
          </cell>
          <cell r="Y153">
            <v>4382.8700000000026</v>
          </cell>
          <cell r="Z153">
            <v>0</v>
          </cell>
          <cell r="AA153">
            <v>0</v>
          </cell>
          <cell r="AB153">
            <v>6161.9993716673944</v>
          </cell>
          <cell r="AC153">
            <v>10544.869371667397</v>
          </cell>
          <cell r="AD153" t="str">
            <v>N/A</v>
          </cell>
          <cell r="AE153">
            <v>104075</v>
          </cell>
          <cell r="AF153">
            <v>104077</v>
          </cell>
          <cell r="AG153">
            <v>104077</v>
          </cell>
          <cell r="AH153">
            <v>104077</v>
          </cell>
          <cell r="AI153">
            <v>103228</v>
          </cell>
          <cell r="AJ153">
            <v>0</v>
          </cell>
          <cell r="AK153">
            <v>519534</v>
          </cell>
          <cell r="AL153">
            <v>1953495</v>
          </cell>
          <cell r="AM153">
            <v>259529.12328953523</v>
          </cell>
          <cell r="AN153">
            <v>-49061.13</v>
          </cell>
          <cell r="AO153">
            <v>447555.9604976814</v>
          </cell>
          <cell r="AP153">
            <v>0</v>
          </cell>
          <cell r="AQ153">
            <v>71974.13</v>
          </cell>
          <cell r="AR153">
            <v>0</v>
          </cell>
          <cell r="AS153">
            <v>0</v>
          </cell>
          <cell r="AT153">
            <v>2683493.0837872168</v>
          </cell>
          <cell r="AU153">
            <v>5.8920963816648025E-5</v>
          </cell>
          <cell r="AV153">
            <v>0</v>
          </cell>
          <cell r="AW153">
            <v>0</v>
          </cell>
          <cell r="AY153">
            <v>0</v>
          </cell>
          <cell r="AZ153">
            <v>0</v>
          </cell>
          <cell r="BA153">
            <v>0</v>
          </cell>
          <cell r="BB153">
            <v>0</v>
          </cell>
          <cell r="BC153">
            <v>0</v>
          </cell>
          <cell r="BD153">
            <v>0</v>
          </cell>
          <cell r="BE153">
            <v>0</v>
          </cell>
          <cell r="BF153">
            <v>0</v>
          </cell>
          <cell r="BG153">
            <v>0</v>
          </cell>
          <cell r="BH153">
            <v>0</v>
          </cell>
          <cell r="BJ153">
            <v>0</v>
          </cell>
          <cell r="BL153">
            <v>0</v>
          </cell>
          <cell r="BM153">
            <v>0</v>
          </cell>
          <cell r="BN153">
            <v>0</v>
          </cell>
          <cell r="BO153">
            <v>0</v>
          </cell>
          <cell r="BQ153">
            <v>0</v>
          </cell>
          <cell r="BR153">
            <v>0</v>
          </cell>
          <cell r="BS153">
            <v>0</v>
          </cell>
          <cell r="BT153">
            <v>0</v>
          </cell>
          <cell r="CB153">
            <v>0</v>
          </cell>
          <cell r="CC153">
            <v>0</v>
          </cell>
          <cell r="CD153">
            <v>0</v>
          </cell>
          <cell r="CE153">
            <v>0</v>
          </cell>
          <cell r="CF153">
            <v>0</v>
          </cell>
          <cell r="CI153">
            <v>0</v>
          </cell>
          <cell r="CJ153">
            <v>0</v>
          </cell>
          <cell r="CK153">
            <v>0</v>
          </cell>
          <cell r="CV153">
            <v>6.1684665278100188E-5</v>
          </cell>
          <cell r="DG153">
            <v>2683493</v>
          </cell>
          <cell r="DR153">
            <v>814819.99</v>
          </cell>
          <cell r="EC153">
            <v>3.2933568554202997</v>
          </cell>
          <cell r="EN153">
            <v>2.4095909012463064E-2</v>
          </cell>
        </row>
        <row r="154">
          <cell r="B154">
            <v>33600</v>
          </cell>
          <cell r="C154" t="str">
            <v>Gaston County Schools</v>
          </cell>
          <cell r="D154">
            <v>9.4147007227892501E-3</v>
          </cell>
          <cell r="E154">
            <v>16289627.466778236</v>
          </cell>
          <cell r="F154">
            <v>12701396.111163935</v>
          </cell>
          <cell r="G154">
            <v>1617097</v>
          </cell>
          <cell r="H154">
            <v>-4545384.8874224313</v>
          </cell>
          <cell r="I154">
            <v>-188096.60286463556</v>
          </cell>
          <cell r="J154">
            <v>13746166.641472859</v>
          </cell>
          <cell r="K154">
            <v>0</v>
          </cell>
          <cell r="L154">
            <v>-722246.41516861704</v>
          </cell>
          <cell r="M154">
            <v>129612.29464017207</v>
          </cell>
          <cell r="N154">
            <v>4886.0413811131648</v>
          </cell>
          <cell r="O154">
            <v>-2205.0170562844701</v>
          </cell>
          <cell r="P154">
            <v>0</v>
          </cell>
          <cell r="Q154">
            <v>0</v>
          </cell>
          <cell r="R154">
            <v>0</v>
          </cell>
          <cell r="S154">
            <v>39030852.632924341</v>
          </cell>
          <cell r="T154">
            <v>8281272</v>
          </cell>
          <cell r="U154">
            <v>68730833.207364291</v>
          </cell>
          <cell r="V154">
            <v>518449.17856068828</v>
          </cell>
          <cell r="W154">
            <v>0</v>
          </cell>
          <cell r="X154">
            <v>77530554.38592498</v>
          </cell>
          <cell r="Y154">
            <v>195786.12000000011</v>
          </cell>
          <cell r="Z154">
            <v>0</v>
          </cell>
          <cell r="AA154">
            <v>0</v>
          </cell>
          <cell r="AB154">
            <v>940483.01432317775</v>
          </cell>
          <cell r="AC154">
            <v>1136269.1343231779</v>
          </cell>
          <cell r="AD154" t="str">
            <v>N/A</v>
          </cell>
          <cell r="AE154">
            <v>15304779</v>
          </cell>
          <cell r="AF154">
            <v>15304780</v>
          </cell>
          <cell r="AG154">
            <v>15304780</v>
          </cell>
          <cell r="AH154">
            <v>15304780</v>
          </cell>
          <cell r="AI154">
            <v>15175168</v>
          </cell>
          <cell r="AJ154">
            <v>0</v>
          </cell>
          <cell r="AK154">
            <v>76394287</v>
          </cell>
          <cell r="AL154">
            <v>302202104</v>
          </cell>
          <cell r="AM154">
            <v>39030852.632924341</v>
          </cell>
          <cell r="AN154">
            <v>-8055759.8799999999</v>
          </cell>
          <cell r="AO154">
            <v>68308799.371601805</v>
          </cell>
          <cell r="AP154">
            <v>0</v>
          </cell>
          <cell r="AQ154">
            <v>8085485.8799999999</v>
          </cell>
          <cell r="AR154">
            <v>0</v>
          </cell>
          <cell r="AS154">
            <v>0</v>
          </cell>
          <cell r="AT154">
            <v>409571482.00452614</v>
          </cell>
          <cell r="AU154">
            <v>9.1149668153587826E-3</v>
          </cell>
          <cell r="AV154">
            <v>0</v>
          </cell>
          <cell r="AW154">
            <v>0</v>
          </cell>
          <cell r="AY154">
            <v>0</v>
          </cell>
          <cell r="AZ154">
            <v>0</v>
          </cell>
          <cell r="BA154">
            <v>0</v>
          </cell>
          <cell r="BB154">
            <v>0</v>
          </cell>
          <cell r="BC154">
            <v>0</v>
          </cell>
          <cell r="BD154">
            <v>0</v>
          </cell>
          <cell r="BE154">
            <v>0</v>
          </cell>
          <cell r="BF154">
            <v>0</v>
          </cell>
          <cell r="BG154">
            <v>0</v>
          </cell>
          <cell r="BH154">
            <v>0</v>
          </cell>
          <cell r="BJ154">
            <v>0</v>
          </cell>
          <cell r="BL154">
            <v>0</v>
          </cell>
          <cell r="BM154">
            <v>0</v>
          </cell>
          <cell r="BN154">
            <v>0</v>
          </cell>
          <cell r="BO154">
            <v>0</v>
          </cell>
          <cell r="BQ154">
            <v>0</v>
          </cell>
          <cell r="BR154">
            <v>0</v>
          </cell>
          <cell r="BS154">
            <v>0</v>
          </cell>
          <cell r="BT154">
            <v>0</v>
          </cell>
          <cell r="CB154">
            <v>0</v>
          </cell>
          <cell r="CC154">
            <v>0</v>
          </cell>
          <cell r="CD154">
            <v>0</v>
          </cell>
          <cell r="CE154">
            <v>0</v>
          </cell>
          <cell r="CF154">
            <v>0</v>
          </cell>
          <cell r="CI154">
            <v>0</v>
          </cell>
          <cell r="CJ154">
            <v>0</v>
          </cell>
          <cell r="CK154">
            <v>0</v>
          </cell>
          <cell r="CV154">
            <v>9.4147007227892501E-3</v>
          </cell>
          <cell r="DG154">
            <v>409571482</v>
          </cell>
          <cell r="DR154">
            <v>138243699.03999978</v>
          </cell>
          <cell r="EC154">
            <v>2.9626773939367288</v>
          </cell>
          <cell r="EN154">
            <v>2.4095909012463064E-2</v>
          </cell>
        </row>
        <row r="155">
          <cell r="B155">
            <v>33605</v>
          </cell>
          <cell r="C155" t="str">
            <v>Gaston College</v>
          </cell>
          <cell r="D155">
            <v>1.2534016746131289E-3</v>
          </cell>
          <cell r="E155">
            <v>2168677.1514957808</v>
          </cell>
          <cell r="F155">
            <v>1690967.3099986792</v>
          </cell>
          <cell r="G155">
            <v>48046</v>
          </cell>
          <cell r="H155">
            <v>-605137.98551937437</v>
          </cell>
          <cell r="I155">
            <v>-25041.751613929919</v>
          </cell>
          <cell r="J155">
            <v>1830060.1150525704</v>
          </cell>
          <cell r="K155">
            <v>0</v>
          </cell>
          <cell r="L155">
            <v>-96154.396502948541</v>
          </cell>
          <cell r="M155">
            <v>17255.595470942571</v>
          </cell>
          <cell r="N155">
            <v>650.49040109072166</v>
          </cell>
          <cell r="O155">
            <v>-293.55920621114092</v>
          </cell>
          <cell r="P155">
            <v>0</v>
          </cell>
          <cell r="Q155">
            <v>0</v>
          </cell>
          <cell r="R155">
            <v>0</v>
          </cell>
          <cell r="S155">
            <v>5029028.9695766</v>
          </cell>
          <cell r="T155">
            <v>240228.45999999996</v>
          </cell>
          <cell r="U155">
            <v>9150300.575262852</v>
          </cell>
          <cell r="V155">
            <v>69022.381883770286</v>
          </cell>
          <cell r="W155">
            <v>0</v>
          </cell>
          <cell r="X155">
            <v>9459551.4171466231</v>
          </cell>
          <cell r="Y155">
            <v>0</v>
          </cell>
          <cell r="Z155">
            <v>0</v>
          </cell>
          <cell r="AA155">
            <v>0</v>
          </cell>
          <cell r="AB155">
            <v>125208.75806964959</v>
          </cell>
          <cell r="AC155">
            <v>125208.75806964959</v>
          </cell>
          <cell r="AD155" t="str">
            <v>N/A</v>
          </cell>
          <cell r="AE155">
            <v>1870320</v>
          </cell>
          <cell r="AF155">
            <v>1870320</v>
          </cell>
          <cell r="AG155">
            <v>1870320</v>
          </cell>
          <cell r="AH155">
            <v>1870320</v>
          </cell>
          <cell r="AI155">
            <v>1853064</v>
          </cell>
          <cell r="AJ155">
            <v>0</v>
          </cell>
          <cell r="AK155">
            <v>9334344</v>
          </cell>
          <cell r="AL155">
            <v>41442769</v>
          </cell>
          <cell r="AM155">
            <v>5029028.9695766</v>
          </cell>
          <cell r="AN155">
            <v>-1278907.46</v>
          </cell>
          <cell r="AO155">
            <v>9094114.1990769729</v>
          </cell>
          <cell r="AP155">
            <v>0</v>
          </cell>
          <cell r="AQ155">
            <v>240228.45999999996</v>
          </cell>
          <cell r="AR155">
            <v>0</v>
          </cell>
          <cell r="AS155">
            <v>0</v>
          </cell>
          <cell r="AT155">
            <v>54527233.16865357</v>
          </cell>
          <cell r="AU155">
            <v>1.2499895237390113E-3</v>
          </cell>
          <cell r="AV155">
            <v>0</v>
          </cell>
          <cell r="AW155">
            <v>0</v>
          </cell>
          <cell r="AY155">
            <v>0</v>
          </cell>
          <cell r="AZ155">
            <v>0</v>
          </cell>
          <cell r="BA155">
            <v>0</v>
          </cell>
          <cell r="BB155">
            <v>0</v>
          </cell>
          <cell r="BC155">
            <v>0</v>
          </cell>
          <cell r="BD155">
            <v>0</v>
          </cell>
          <cell r="BE155">
            <v>0</v>
          </cell>
          <cell r="BF155">
            <v>0</v>
          </cell>
          <cell r="BG155">
            <v>0</v>
          </cell>
          <cell r="BH155">
            <v>0</v>
          </cell>
          <cell r="BJ155">
            <v>0</v>
          </cell>
          <cell r="BL155">
            <v>0</v>
          </cell>
          <cell r="BM155">
            <v>0</v>
          </cell>
          <cell r="BN155">
            <v>0</v>
          </cell>
          <cell r="BO155">
            <v>0</v>
          </cell>
          <cell r="BQ155">
            <v>0</v>
          </cell>
          <cell r="BR155">
            <v>0</v>
          </cell>
          <cell r="BS155">
            <v>0</v>
          </cell>
          <cell r="BT155">
            <v>0</v>
          </cell>
          <cell r="CB155">
            <v>0</v>
          </cell>
          <cell r="CC155">
            <v>0</v>
          </cell>
          <cell r="CD155">
            <v>0</v>
          </cell>
          <cell r="CE155">
            <v>0</v>
          </cell>
          <cell r="CF155">
            <v>0</v>
          </cell>
          <cell r="CI155">
            <v>0</v>
          </cell>
          <cell r="CJ155">
            <v>0</v>
          </cell>
          <cell r="CK155">
            <v>0</v>
          </cell>
          <cell r="CV155">
            <v>1.2534016746131289E-3</v>
          </cell>
          <cell r="DG155">
            <v>54527233</v>
          </cell>
          <cell r="DR155">
            <v>21891172.329999983</v>
          </cell>
          <cell r="EC155">
            <v>2.4908320202328809</v>
          </cell>
          <cell r="EN155">
            <v>2.4095909012463064E-2</v>
          </cell>
        </row>
        <row r="156">
          <cell r="B156">
            <v>33700</v>
          </cell>
          <cell r="C156" t="str">
            <v>Gates County Schools</v>
          </cell>
          <cell r="D156">
            <v>6.6795511279260232E-4</v>
          </cell>
          <cell r="E156">
            <v>1155718.0915568967</v>
          </cell>
          <cell r="F156">
            <v>901139.90044523915</v>
          </cell>
          <cell r="G156">
            <v>-246088</v>
          </cell>
          <cell r="H156">
            <v>-322486.41402002476</v>
          </cell>
          <cell r="I156">
            <v>-13345.096278868243</v>
          </cell>
          <cell r="J156">
            <v>975264.38278015214</v>
          </cell>
          <cell r="K156">
            <v>0</v>
          </cell>
          <cell r="L156">
            <v>-51242.009694502478</v>
          </cell>
          <cell r="M156">
            <v>9195.7458271743017</v>
          </cell>
          <cell r="N156">
            <v>346.65534443710476</v>
          </cell>
          <cell r="O156">
            <v>-156.44176696715539</v>
          </cell>
          <cell r="P156">
            <v>0</v>
          </cell>
          <cell r="Q156">
            <v>0</v>
          </cell>
          <cell r="R156">
            <v>0</v>
          </cell>
          <cell r="S156">
            <v>2408346.8141935365</v>
          </cell>
          <cell r="T156">
            <v>0</v>
          </cell>
          <cell r="U156">
            <v>4876321.9139007609</v>
          </cell>
          <cell r="V156">
            <v>36782.983308697207</v>
          </cell>
          <cell r="W156">
            <v>0</v>
          </cell>
          <cell r="X156">
            <v>4913104.8972094581</v>
          </cell>
          <cell r="Y156">
            <v>1230442.92</v>
          </cell>
          <cell r="Z156">
            <v>0</v>
          </cell>
          <cell r="AA156">
            <v>0</v>
          </cell>
          <cell r="AB156">
            <v>66725.481394341215</v>
          </cell>
          <cell r="AC156">
            <v>1297168.4013943411</v>
          </cell>
          <cell r="AD156" t="str">
            <v>N/A</v>
          </cell>
          <cell r="AE156">
            <v>725027</v>
          </cell>
          <cell r="AF156">
            <v>725027</v>
          </cell>
          <cell r="AG156">
            <v>725027</v>
          </cell>
          <cell r="AH156">
            <v>725027</v>
          </cell>
          <cell r="AI156">
            <v>715831</v>
          </cell>
          <cell r="AJ156">
            <v>0</v>
          </cell>
          <cell r="AK156">
            <v>3615939</v>
          </cell>
          <cell r="AL156">
            <v>23615834</v>
          </cell>
          <cell r="AM156">
            <v>2408346.8141935365</v>
          </cell>
          <cell r="AN156">
            <v>-581800.07999999996</v>
          </cell>
          <cell r="AO156">
            <v>4846379.4158151178</v>
          </cell>
          <cell r="AP156">
            <v>0</v>
          </cell>
          <cell r="AQ156">
            <v>-1230442.92</v>
          </cell>
          <cell r="AR156">
            <v>0</v>
          </cell>
          <cell r="AS156">
            <v>0</v>
          </cell>
          <cell r="AT156">
            <v>29058317.230008654</v>
          </cell>
          <cell r="AU156">
            <v>7.1229664502386436E-4</v>
          </cell>
          <cell r="AV156">
            <v>0</v>
          </cell>
          <cell r="AW156">
            <v>0</v>
          </cell>
          <cell r="AY156">
            <v>0</v>
          </cell>
          <cell r="AZ156">
            <v>0</v>
          </cell>
          <cell r="BA156">
            <v>0</v>
          </cell>
          <cell r="BB156">
            <v>0</v>
          </cell>
          <cell r="BC156">
            <v>0</v>
          </cell>
          <cell r="BD156">
            <v>0</v>
          </cell>
          <cell r="BE156">
            <v>0</v>
          </cell>
          <cell r="BF156">
            <v>0</v>
          </cell>
          <cell r="BG156">
            <v>0</v>
          </cell>
          <cell r="BH156">
            <v>0</v>
          </cell>
          <cell r="BJ156">
            <v>0</v>
          </cell>
          <cell r="BL156">
            <v>0</v>
          </cell>
          <cell r="BM156">
            <v>0</v>
          </cell>
          <cell r="BN156">
            <v>0</v>
          </cell>
          <cell r="BO156">
            <v>0</v>
          </cell>
          <cell r="BQ156">
            <v>0</v>
          </cell>
          <cell r="BR156">
            <v>0</v>
          </cell>
          <cell r="BS156">
            <v>0</v>
          </cell>
          <cell r="BT156">
            <v>0</v>
          </cell>
          <cell r="CB156">
            <v>0</v>
          </cell>
          <cell r="CC156">
            <v>0</v>
          </cell>
          <cell r="CD156">
            <v>0</v>
          </cell>
          <cell r="CE156">
            <v>0</v>
          </cell>
          <cell r="CF156">
            <v>0</v>
          </cell>
          <cell r="CI156">
            <v>0</v>
          </cell>
          <cell r="CJ156">
            <v>0</v>
          </cell>
          <cell r="CK156">
            <v>0</v>
          </cell>
          <cell r="CV156">
            <v>6.6795511279260232E-4</v>
          </cell>
          <cell r="DG156">
            <v>29058318</v>
          </cell>
          <cell r="DR156">
            <v>10624542.059999999</v>
          </cell>
          <cell r="EC156">
            <v>2.7350183975835289</v>
          </cell>
          <cell r="EN156">
            <v>2.4095909012463064E-2</v>
          </cell>
        </row>
        <row r="157">
          <cell r="B157">
            <v>33800</v>
          </cell>
          <cell r="C157" t="str">
            <v>Graham County Schools</v>
          </cell>
          <cell r="D157">
            <v>5.0504283975162081E-4</v>
          </cell>
          <cell r="E157">
            <v>873841.87310420605</v>
          </cell>
          <cell r="F157">
            <v>681354.54855881585</v>
          </cell>
          <cell r="G157">
            <v>34712</v>
          </cell>
          <cell r="H157">
            <v>-243832.93307998165</v>
          </cell>
          <cell r="I157">
            <v>-10090.266834339065</v>
          </cell>
          <cell r="J157">
            <v>737400.28926290281</v>
          </cell>
          <cell r="K157">
            <v>0</v>
          </cell>
          <cell r="L157">
            <v>-38744.235346136324</v>
          </cell>
          <cell r="M157">
            <v>6952.9306644176386</v>
          </cell>
          <cell r="N157">
            <v>262.10713297429618</v>
          </cell>
          <cell r="O157">
            <v>-118.28608349822711</v>
          </cell>
          <cell r="P157">
            <v>0</v>
          </cell>
          <cell r="Q157">
            <v>0</v>
          </cell>
          <cell r="R157">
            <v>0</v>
          </cell>
          <cell r="S157">
            <v>2041738.027379361</v>
          </cell>
          <cell r="T157">
            <v>173558.58999999997</v>
          </cell>
          <cell r="U157">
            <v>3687001.4463145137</v>
          </cell>
          <cell r="V157">
            <v>27811.722657670554</v>
          </cell>
          <cell r="W157">
            <v>0</v>
          </cell>
          <cell r="X157">
            <v>3888371.7589721843</v>
          </cell>
          <cell r="Y157">
            <v>0</v>
          </cell>
          <cell r="Z157">
            <v>0</v>
          </cell>
          <cell r="AA157">
            <v>0</v>
          </cell>
          <cell r="AB157">
            <v>50451.334171695329</v>
          </cell>
          <cell r="AC157">
            <v>50451.334171695329</v>
          </cell>
          <cell r="AD157" t="str">
            <v>N/A</v>
          </cell>
          <cell r="AE157">
            <v>768975</v>
          </cell>
          <cell r="AF157">
            <v>768975</v>
          </cell>
          <cell r="AG157">
            <v>768975</v>
          </cell>
          <cell r="AH157">
            <v>768975</v>
          </cell>
          <cell r="AI157">
            <v>762022</v>
          </cell>
          <cell r="AJ157">
            <v>0</v>
          </cell>
          <cell r="AK157">
            <v>3837922</v>
          </cell>
          <cell r="AL157">
            <v>16539444</v>
          </cell>
          <cell r="AM157">
            <v>2041738.027379361</v>
          </cell>
          <cell r="AN157">
            <v>-448022.58999999997</v>
          </cell>
          <cell r="AO157">
            <v>3664361.8348004892</v>
          </cell>
          <cell r="AP157">
            <v>0</v>
          </cell>
          <cell r="AQ157">
            <v>173558.58999999997</v>
          </cell>
          <cell r="AR157">
            <v>0</v>
          </cell>
          <cell r="AS157">
            <v>0</v>
          </cell>
          <cell r="AT157">
            <v>21971079.862179849</v>
          </cell>
          <cell r="AU157">
            <v>4.9885979553380099E-4</v>
          </cell>
          <cell r="AV157">
            <v>0</v>
          </cell>
          <cell r="AW157">
            <v>0</v>
          </cell>
          <cell r="AY157">
            <v>0</v>
          </cell>
          <cell r="AZ157">
            <v>0</v>
          </cell>
          <cell r="BA157">
            <v>0</v>
          </cell>
          <cell r="BB157">
            <v>0</v>
          </cell>
          <cell r="BC157">
            <v>0</v>
          </cell>
          <cell r="BD157">
            <v>0</v>
          </cell>
          <cell r="BE157">
            <v>0</v>
          </cell>
          <cell r="BF157">
            <v>0</v>
          </cell>
          <cell r="BG157">
            <v>0</v>
          </cell>
          <cell r="BH157">
            <v>0</v>
          </cell>
          <cell r="BJ157">
            <v>0</v>
          </cell>
          <cell r="BL157">
            <v>0</v>
          </cell>
          <cell r="BM157">
            <v>0</v>
          </cell>
          <cell r="BN157">
            <v>0</v>
          </cell>
          <cell r="BO157">
            <v>0</v>
          </cell>
          <cell r="BQ157">
            <v>0</v>
          </cell>
          <cell r="BR157">
            <v>0</v>
          </cell>
          <cell r="BS157">
            <v>0</v>
          </cell>
          <cell r="BT157">
            <v>0</v>
          </cell>
          <cell r="CB157">
            <v>0</v>
          </cell>
          <cell r="CC157">
            <v>0</v>
          </cell>
          <cell r="CD157">
            <v>0</v>
          </cell>
          <cell r="CE157">
            <v>0</v>
          </cell>
          <cell r="CF157">
            <v>0</v>
          </cell>
          <cell r="CI157">
            <v>0</v>
          </cell>
          <cell r="CJ157">
            <v>0</v>
          </cell>
          <cell r="CK157">
            <v>0</v>
          </cell>
          <cell r="CV157">
            <v>5.0504283975162081E-4</v>
          </cell>
          <cell r="DG157">
            <v>21971080</v>
          </cell>
          <cell r="DR157">
            <v>7657986.129999998</v>
          </cell>
          <cell r="EC157">
            <v>2.8690414982509256</v>
          </cell>
          <cell r="EN157">
            <v>2.4095909012463064E-2</v>
          </cell>
        </row>
        <row r="158">
          <cell r="B158">
            <v>33900</v>
          </cell>
          <cell r="C158" t="str">
            <v>Granville County Schools And Oxford Orphanage</v>
          </cell>
          <cell r="D158">
            <v>2.6348934399150169E-3</v>
          </cell>
          <cell r="E158">
            <v>4558980.0265214704</v>
          </cell>
          <cell r="F158">
            <v>3554741.2792483214</v>
          </cell>
          <cell r="G158">
            <v>150072</v>
          </cell>
          <cell r="H158">
            <v>-1272117.4229965294</v>
          </cell>
          <cell r="I158">
            <v>-52642.619192200407</v>
          </cell>
          <cell r="J158">
            <v>3847141.3350317138</v>
          </cell>
          <cell r="K158">
            <v>0</v>
          </cell>
          <cell r="L158">
            <v>-202135.19232995025</v>
          </cell>
          <cell r="M158">
            <v>36274.60871411988</v>
          </cell>
          <cell r="N158">
            <v>1367.4569974470955</v>
          </cell>
          <cell r="O158">
            <v>-617.11839256249607</v>
          </cell>
          <cell r="P158">
            <v>0</v>
          </cell>
          <cell r="Q158">
            <v>0</v>
          </cell>
          <cell r="R158">
            <v>0</v>
          </cell>
          <cell r="S158">
            <v>10621064.35360183</v>
          </cell>
          <cell r="T158">
            <v>750361.99000000022</v>
          </cell>
          <cell r="U158">
            <v>19235706.675158568</v>
          </cell>
          <cell r="V158">
            <v>145098.43485647952</v>
          </cell>
          <cell r="W158">
            <v>0</v>
          </cell>
          <cell r="X158">
            <v>20131167.100015048</v>
          </cell>
          <cell r="Y158">
            <v>0</v>
          </cell>
          <cell r="Z158">
            <v>0</v>
          </cell>
          <cell r="AA158">
            <v>0</v>
          </cell>
          <cell r="AB158">
            <v>263213.09596100199</v>
          </cell>
          <cell r="AC158">
            <v>263213.09596100199</v>
          </cell>
          <cell r="AD158" t="str">
            <v>N/A</v>
          </cell>
          <cell r="AE158">
            <v>3980845</v>
          </cell>
          <cell r="AF158">
            <v>3980845</v>
          </cell>
          <cell r="AG158">
            <v>3980845</v>
          </cell>
          <cell r="AH158">
            <v>3980845</v>
          </cell>
          <cell r="AI158">
            <v>3944571</v>
          </cell>
          <cell r="AJ158">
            <v>0</v>
          </cell>
          <cell r="AK158">
            <v>19867951</v>
          </cell>
          <cell r="AL158">
            <v>86459269</v>
          </cell>
          <cell r="AM158">
            <v>10621064.35360183</v>
          </cell>
          <cell r="AN158">
            <v>-2321466.9900000002</v>
          </cell>
          <cell r="AO158">
            <v>19117592.014054049</v>
          </cell>
          <cell r="AP158">
            <v>0</v>
          </cell>
          <cell r="AQ158">
            <v>750361.99000000022</v>
          </cell>
          <cell r="AR158">
            <v>0</v>
          </cell>
          <cell r="AS158">
            <v>0</v>
          </cell>
          <cell r="AT158">
            <v>114626820.36765587</v>
          </cell>
          <cell r="AU158">
            <v>2.6077692770783891E-3</v>
          </cell>
          <cell r="AV158">
            <v>0</v>
          </cell>
          <cell r="AW158">
            <v>0</v>
          </cell>
          <cell r="AY158">
            <v>0</v>
          </cell>
          <cell r="AZ158">
            <v>0</v>
          </cell>
          <cell r="BA158">
            <v>0</v>
          </cell>
          <cell r="BB158">
            <v>0</v>
          </cell>
          <cell r="BC158">
            <v>0</v>
          </cell>
          <cell r="BD158">
            <v>0</v>
          </cell>
          <cell r="BE158">
            <v>0</v>
          </cell>
          <cell r="BF158">
            <v>0</v>
          </cell>
          <cell r="BG158">
            <v>0</v>
          </cell>
          <cell r="BH158">
            <v>0</v>
          </cell>
          <cell r="BJ158">
            <v>0</v>
          </cell>
          <cell r="BL158">
            <v>0</v>
          </cell>
          <cell r="BM158">
            <v>0</v>
          </cell>
          <cell r="BN158">
            <v>0</v>
          </cell>
          <cell r="BO158">
            <v>0</v>
          </cell>
          <cell r="BQ158">
            <v>0</v>
          </cell>
          <cell r="BR158">
            <v>0</v>
          </cell>
          <cell r="BS158">
            <v>0</v>
          </cell>
          <cell r="BT158">
            <v>0</v>
          </cell>
          <cell r="CB158">
            <v>0</v>
          </cell>
          <cell r="CC158">
            <v>0</v>
          </cell>
          <cell r="CD158">
            <v>0</v>
          </cell>
          <cell r="CE158">
            <v>0</v>
          </cell>
          <cell r="CF158">
            <v>0</v>
          </cell>
          <cell r="CI158">
            <v>0</v>
          </cell>
          <cell r="CJ158">
            <v>0</v>
          </cell>
          <cell r="CK158">
            <v>0</v>
          </cell>
          <cell r="CV158">
            <v>2.6348934399150169E-3</v>
          </cell>
          <cell r="DG158">
            <v>114626821</v>
          </cell>
          <cell r="DR158">
            <v>40592529.850000031</v>
          </cell>
          <cell r="EC158">
            <v>2.823840283509699</v>
          </cell>
          <cell r="EN158">
            <v>2.4095909012463064E-2</v>
          </cell>
        </row>
        <row r="159">
          <cell r="B159">
            <v>34000</v>
          </cell>
          <cell r="C159" t="str">
            <v>Greene County Schools</v>
          </cell>
          <cell r="D159">
            <v>1.1494173860556655E-3</v>
          </cell>
          <cell r="E159">
            <v>1988760.0863787907</v>
          </cell>
          <cell r="F159">
            <v>1550681.8482304772</v>
          </cell>
          <cell r="G159">
            <v>-229834</v>
          </cell>
          <cell r="H159">
            <v>-554934.73130499735</v>
          </cell>
          <cell r="I159">
            <v>-22964.246231139568</v>
          </cell>
          <cell r="J159">
            <v>1678235.282729869</v>
          </cell>
          <cell r="K159">
            <v>0</v>
          </cell>
          <cell r="L159">
            <v>-88177.2677703597</v>
          </cell>
          <cell r="M159">
            <v>15824.042557759192</v>
          </cell>
          <cell r="N159">
            <v>596.52463501516934</v>
          </cell>
          <cell r="O159">
            <v>-269.20504598809742</v>
          </cell>
          <cell r="P159">
            <v>0</v>
          </cell>
          <cell r="Q159">
            <v>0</v>
          </cell>
          <cell r="R159">
            <v>0</v>
          </cell>
          <cell r="S159">
            <v>4337918.3341794265</v>
          </cell>
          <cell r="T159">
            <v>0</v>
          </cell>
          <cell r="U159">
            <v>8391176.4136493448</v>
          </cell>
          <cell r="V159">
            <v>63296.170231036769</v>
          </cell>
          <cell r="W159">
            <v>0</v>
          </cell>
          <cell r="X159">
            <v>8454472.5838803817</v>
          </cell>
          <cell r="Y159">
            <v>1149172.21</v>
          </cell>
          <cell r="Z159">
            <v>0</v>
          </cell>
          <cell r="AA159">
            <v>0</v>
          </cell>
          <cell r="AB159">
            <v>114821.23115569784</v>
          </cell>
          <cell r="AC159">
            <v>1263993.4411556977</v>
          </cell>
          <cell r="AD159" t="str">
            <v>N/A</v>
          </cell>
          <cell r="AE159">
            <v>1441261</v>
          </cell>
          <cell r="AF159">
            <v>1441260</v>
          </cell>
          <cell r="AG159">
            <v>1441260</v>
          </cell>
          <cell r="AH159">
            <v>1441260</v>
          </cell>
          <cell r="AI159">
            <v>1425436</v>
          </cell>
          <cell r="AJ159">
            <v>0</v>
          </cell>
          <cell r="AK159">
            <v>7190477</v>
          </cell>
          <cell r="AL159">
            <v>39436879</v>
          </cell>
          <cell r="AM159">
            <v>4337918.3341794265</v>
          </cell>
          <cell r="AN159">
            <v>-961712.79</v>
          </cell>
          <cell r="AO159">
            <v>8339651.3527246853</v>
          </cell>
          <cell r="AP159">
            <v>0</v>
          </cell>
          <cell r="AQ159">
            <v>-1149172.21</v>
          </cell>
          <cell r="AR159">
            <v>0</v>
          </cell>
          <cell r="AS159">
            <v>0</v>
          </cell>
          <cell r="AT159">
            <v>50003563.68690411</v>
          </cell>
          <cell r="AU159">
            <v>1.1894882282020263E-3</v>
          </cell>
          <cell r="AV159">
            <v>0</v>
          </cell>
          <cell r="AW159">
            <v>0</v>
          </cell>
          <cell r="AY159">
            <v>0</v>
          </cell>
          <cell r="AZ159">
            <v>0</v>
          </cell>
          <cell r="BA159">
            <v>0</v>
          </cell>
          <cell r="BB159">
            <v>0</v>
          </cell>
          <cell r="BC159">
            <v>0</v>
          </cell>
          <cell r="BD159">
            <v>0</v>
          </cell>
          <cell r="BE159">
            <v>0</v>
          </cell>
          <cell r="BF159">
            <v>0</v>
          </cell>
          <cell r="BG159">
            <v>0</v>
          </cell>
          <cell r="BH159">
            <v>0</v>
          </cell>
          <cell r="BJ159">
            <v>0</v>
          </cell>
          <cell r="BL159">
            <v>0</v>
          </cell>
          <cell r="BM159">
            <v>0</v>
          </cell>
          <cell r="BN159">
            <v>0</v>
          </cell>
          <cell r="BO159">
            <v>0</v>
          </cell>
          <cell r="BQ159">
            <v>0</v>
          </cell>
          <cell r="BR159">
            <v>0</v>
          </cell>
          <cell r="BS159">
            <v>0</v>
          </cell>
          <cell r="BT159">
            <v>0</v>
          </cell>
          <cell r="CB159">
            <v>0</v>
          </cell>
          <cell r="CC159">
            <v>0</v>
          </cell>
          <cell r="CD159">
            <v>0</v>
          </cell>
          <cell r="CE159">
            <v>0</v>
          </cell>
          <cell r="CF159">
            <v>0</v>
          </cell>
          <cell r="CI159">
            <v>0</v>
          </cell>
          <cell r="CJ159">
            <v>0</v>
          </cell>
          <cell r="CK159">
            <v>0</v>
          </cell>
          <cell r="CV159">
            <v>1.1494173860556655E-3</v>
          </cell>
          <cell r="DG159">
            <v>50003563</v>
          </cell>
          <cell r="DR159">
            <v>16688110.669999991</v>
          </cell>
          <cell r="EC159">
            <v>2.9963585446428507</v>
          </cell>
          <cell r="EN159">
            <v>2.4095909012463064E-2</v>
          </cell>
        </row>
        <row r="160">
          <cell r="B160">
            <v>34100</v>
          </cell>
          <cell r="C160" t="str">
            <v>Guilford County Schools</v>
          </cell>
          <cell r="D160">
            <v>2.6079346093567862E-2</v>
          </cell>
          <cell r="E160">
            <v>45123349.636921689</v>
          </cell>
          <cell r="F160">
            <v>35183710.540339403</v>
          </cell>
          <cell r="G160">
            <v>-3123597</v>
          </cell>
          <cell r="H160">
            <v>-12591017.930142242</v>
          </cell>
          <cell r="I160">
            <v>-521040.07865668065</v>
          </cell>
          <cell r="J160">
            <v>38077794.277099393</v>
          </cell>
          <cell r="K160">
            <v>0</v>
          </cell>
          <cell r="L160">
            <v>-2000670.5237509338</v>
          </cell>
          <cell r="M160">
            <v>359034.66179444315</v>
          </cell>
          <cell r="N160">
            <v>13534.659035639848</v>
          </cell>
          <cell r="O160">
            <v>-6108.0436485745286</v>
          </cell>
          <cell r="P160">
            <v>0</v>
          </cell>
          <cell r="Q160">
            <v>0</v>
          </cell>
          <cell r="R160">
            <v>0</v>
          </cell>
          <cell r="S160">
            <v>100514990.19899213</v>
          </cell>
          <cell r="T160">
            <v>0</v>
          </cell>
          <cell r="U160">
            <v>190388971.38549697</v>
          </cell>
          <cell r="V160">
            <v>1436138.6471777726</v>
          </cell>
          <cell r="W160">
            <v>0</v>
          </cell>
          <cell r="X160">
            <v>191825110.03267476</v>
          </cell>
          <cell r="Y160">
            <v>15617982.099999998</v>
          </cell>
          <cell r="Z160">
            <v>0</v>
          </cell>
          <cell r="AA160">
            <v>0</v>
          </cell>
          <cell r="AB160">
            <v>2605200.393283403</v>
          </cell>
          <cell r="AC160">
            <v>18223182.493283402</v>
          </cell>
          <cell r="AD160" t="str">
            <v>N/A</v>
          </cell>
          <cell r="AE160">
            <v>34792193</v>
          </cell>
          <cell r="AF160">
            <v>34792192</v>
          </cell>
          <cell r="AG160">
            <v>34792192</v>
          </cell>
          <cell r="AH160">
            <v>34792192</v>
          </cell>
          <cell r="AI160">
            <v>34433157</v>
          </cell>
          <cell r="AJ160">
            <v>0</v>
          </cell>
          <cell r="AK160">
            <v>173601926</v>
          </cell>
          <cell r="AL160">
            <v>882082297</v>
          </cell>
          <cell r="AM160">
            <v>100514990.19899213</v>
          </cell>
          <cell r="AN160">
            <v>-21659015.900000002</v>
          </cell>
          <cell r="AO160">
            <v>189219909.63939136</v>
          </cell>
          <cell r="AP160">
            <v>0</v>
          </cell>
          <cell r="AQ160">
            <v>-15617982.099999998</v>
          </cell>
          <cell r="AR160">
            <v>0</v>
          </cell>
          <cell r="AS160">
            <v>0</v>
          </cell>
          <cell r="AT160">
            <v>1134540198.8383837</v>
          </cell>
          <cell r="AU160">
            <v>2.6605211370241317E-2</v>
          </cell>
          <cell r="AV160">
            <v>0</v>
          </cell>
          <cell r="AW160">
            <v>0</v>
          </cell>
          <cell r="AY160">
            <v>0</v>
          </cell>
          <cell r="AZ160">
            <v>0</v>
          </cell>
          <cell r="BA160">
            <v>0</v>
          </cell>
          <cell r="BB160">
            <v>0</v>
          </cell>
          <cell r="BC160">
            <v>0</v>
          </cell>
          <cell r="BD160">
            <v>0</v>
          </cell>
          <cell r="BE160">
            <v>0</v>
          </cell>
          <cell r="BF160">
            <v>0</v>
          </cell>
          <cell r="BG160">
            <v>0</v>
          </cell>
          <cell r="BH160">
            <v>0</v>
          </cell>
          <cell r="BJ160">
            <v>0</v>
          </cell>
          <cell r="BL160">
            <v>0</v>
          </cell>
          <cell r="BM160">
            <v>0</v>
          </cell>
          <cell r="BN160">
            <v>0</v>
          </cell>
          <cell r="BO160">
            <v>0</v>
          </cell>
          <cell r="BQ160">
            <v>0</v>
          </cell>
          <cell r="BR160">
            <v>0</v>
          </cell>
          <cell r="BS160">
            <v>0</v>
          </cell>
          <cell r="BT160">
            <v>0</v>
          </cell>
          <cell r="CB160">
            <v>0</v>
          </cell>
          <cell r="CC160">
            <v>0</v>
          </cell>
          <cell r="CD160">
            <v>0</v>
          </cell>
          <cell r="CE160">
            <v>0</v>
          </cell>
          <cell r="CF160">
            <v>0</v>
          </cell>
          <cell r="CI160">
            <v>0</v>
          </cell>
          <cell r="CJ160">
            <v>0</v>
          </cell>
          <cell r="CK160">
            <v>0</v>
          </cell>
          <cell r="CV160">
            <v>2.6079346093567862E-2</v>
          </cell>
          <cell r="DG160">
            <v>1134540199</v>
          </cell>
          <cell r="DR160">
            <v>379271646.59000385</v>
          </cell>
          <cell r="EC160">
            <v>2.9913657116226471</v>
          </cell>
          <cell r="EN160">
            <v>2.4095909012463064E-2</v>
          </cell>
        </row>
        <row r="161">
          <cell r="B161">
            <v>34105</v>
          </cell>
          <cell r="C161" t="str">
            <v>Guilford Technical Community College</v>
          </cell>
          <cell r="D161">
            <v>2.1879300458095808E-3</v>
          </cell>
          <cell r="E161">
            <v>3785629.1367114261</v>
          </cell>
          <cell r="F161">
            <v>2951741.8549563186</v>
          </cell>
          <cell r="G161">
            <v>-618986</v>
          </cell>
          <cell r="H161">
            <v>-1056325.0450317003</v>
          </cell>
          <cell r="I161">
            <v>-43712.723435389555</v>
          </cell>
          <cell r="J161">
            <v>3194541.3768472364</v>
          </cell>
          <cell r="K161">
            <v>0</v>
          </cell>
          <cell r="L161">
            <v>-167846.50715455902</v>
          </cell>
          <cell r="M161">
            <v>30121.258455206724</v>
          </cell>
          <cell r="N161">
            <v>1135.4919351742562</v>
          </cell>
          <cell r="O161">
            <v>-512.43509602906192</v>
          </cell>
          <cell r="P161">
            <v>0</v>
          </cell>
          <cell r="Q161">
            <v>0</v>
          </cell>
          <cell r="R161">
            <v>0</v>
          </cell>
          <cell r="S161">
            <v>8075786.4081876837</v>
          </cell>
          <cell r="T161">
            <v>88477.240000000224</v>
          </cell>
          <cell r="U161">
            <v>15972706.884236181</v>
          </cell>
          <cell r="V161">
            <v>120485.03382082689</v>
          </cell>
          <cell r="W161">
            <v>0</v>
          </cell>
          <cell r="X161">
            <v>16181669.158057008</v>
          </cell>
          <cell r="Y161">
            <v>3183409</v>
          </cell>
          <cell r="Z161">
            <v>0</v>
          </cell>
          <cell r="AA161">
            <v>0</v>
          </cell>
          <cell r="AB161">
            <v>218563.61717694777</v>
          </cell>
          <cell r="AC161">
            <v>3401972.6171769476</v>
          </cell>
          <cell r="AD161" t="str">
            <v>N/A</v>
          </cell>
          <cell r="AE161">
            <v>2561963</v>
          </cell>
          <cell r="AF161">
            <v>2561964</v>
          </cell>
          <cell r="AG161">
            <v>2561964</v>
          </cell>
          <cell r="AH161">
            <v>2561964</v>
          </cell>
          <cell r="AI161">
            <v>2531843</v>
          </cell>
          <cell r="AJ161">
            <v>0</v>
          </cell>
          <cell r="AK161">
            <v>12779698</v>
          </cell>
          <cell r="AL161">
            <v>76359803</v>
          </cell>
          <cell r="AM161">
            <v>8075786.4081876837</v>
          </cell>
          <cell r="AN161">
            <v>-2032892.2400000002</v>
          </cell>
          <cell r="AO161">
            <v>15874628.300880061</v>
          </cell>
          <cell r="AP161">
            <v>0</v>
          </cell>
          <cell r="AQ161">
            <v>-3094931.76</v>
          </cell>
          <cell r="AR161">
            <v>0</v>
          </cell>
          <cell r="AS161">
            <v>0</v>
          </cell>
          <cell r="AT161">
            <v>95182393.709067747</v>
          </cell>
          <cell r="AU161">
            <v>2.3031509821002847E-3</v>
          </cell>
          <cell r="AV161">
            <v>0</v>
          </cell>
          <cell r="AW161">
            <v>0</v>
          </cell>
          <cell r="AY161">
            <v>0</v>
          </cell>
          <cell r="AZ161">
            <v>0</v>
          </cell>
          <cell r="BA161">
            <v>0</v>
          </cell>
          <cell r="BB161">
            <v>0</v>
          </cell>
          <cell r="BC161">
            <v>0</v>
          </cell>
          <cell r="BD161">
            <v>0</v>
          </cell>
          <cell r="BE161">
            <v>0</v>
          </cell>
          <cell r="BF161">
            <v>0</v>
          </cell>
          <cell r="BG161">
            <v>0</v>
          </cell>
          <cell r="BH161">
            <v>0</v>
          </cell>
          <cell r="BJ161">
            <v>0</v>
          </cell>
          <cell r="BL161">
            <v>0</v>
          </cell>
          <cell r="BM161">
            <v>0</v>
          </cell>
          <cell r="BN161">
            <v>0</v>
          </cell>
          <cell r="BO161">
            <v>0</v>
          </cell>
          <cell r="BQ161">
            <v>0</v>
          </cell>
          <cell r="BR161">
            <v>0</v>
          </cell>
          <cell r="BS161">
            <v>0</v>
          </cell>
          <cell r="BT161">
            <v>0</v>
          </cell>
          <cell r="CB161">
            <v>0</v>
          </cell>
          <cell r="CC161">
            <v>0</v>
          </cell>
          <cell r="CD161">
            <v>0</v>
          </cell>
          <cell r="CE161">
            <v>0</v>
          </cell>
          <cell r="CF161">
            <v>0</v>
          </cell>
          <cell r="CI161">
            <v>0</v>
          </cell>
          <cell r="CJ161">
            <v>0</v>
          </cell>
          <cell r="CK161">
            <v>0</v>
          </cell>
          <cell r="CV161">
            <v>2.1879300458095808E-3</v>
          </cell>
          <cell r="DG161">
            <v>95182394</v>
          </cell>
          <cell r="DR161">
            <v>35328585.719999991</v>
          </cell>
          <cell r="EC161">
            <v>2.6942033500683262</v>
          </cell>
          <cell r="EN161">
            <v>2.4095909012463064E-2</v>
          </cell>
        </row>
        <row r="162">
          <cell r="B162">
            <v>34200</v>
          </cell>
          <cell r="C162" t="str">
            <v>Halifax County Schools</v>
          </cell>
          <cell r="D162">
            <v>1.0017279265030735E-3</v>
          </cell>
          <cell r="E162">
            <v>1733222.8847492118</v>
          </cell>
          <cell r="F162">
            <v>1351433.6318022611</v>
          </cell>
          <cell r="G162">
            <v>-931635</v>
          </cell>
          <cell r="H162">
            <v>-483630.77197074314</v>
          </cell>
          <cell r="I162">
            <v>-20013.553857720573</v>
          </cell>
          <cell r="J162">
            <v>1462597.6345479386</v>
          </cell>
          <cell r="K162">
            <v>0</v>
          </cell>
          <cell r="L162">
            <v>-76847.307757732982</v>
          </cell>
          <cell r="M162">
            <v>13790.800045818025</v>
          </cell>
          <cell r="N162">
            <v>519.87675929656507</v>
          </cell>
          <cell r="O162">
            <v>-234.61469766628483</v>
          </cell>
          <cell r="P162">
            <v>0</v>
          </cell>
          <cell r="Q162">
            <v>0</v>
          </cell>
          <cell r="R162">
            <v>0</v>
          </cell>
          <cell r="S162">
            <v>3049203.5796206635</v>
          </cell>
          <cell r="T162">
            <v>10833.380000000005</v>
          </cell>
          <cell r="U162">
            <v>7312988.172739693</v>
          </cell>
          <cell r="V162">
            <v>55163.2001832721</v>
          </cell>
          <cell r="W162">
            <v>0</v>
          </cell>
          <cell r="X162">
            <v>7378984.7529229652</v>
          </cell>
          <cell r="Y162">
            <v>4669012</v>
          </cell>
          <cell r="Z162">
            <v>0</v>
          </cell>
          <cell r="AA162">
            <v>0</v>
          </cell>
          <cell r="AB162">
            <v>100067.76928860285</v>
          </cell>
          <cell r="AC162">
            <v>4769079.7692886032</v>
          </cell>
          <cell r="AD162" t="str">
            <v>N/A</v>
          </cell>
          <cell r="AE162">
            <v>524740</v>
          </cell>
          <cell r="AF162">
            <v>524739</v>
          </cell>
          <cell r="AG162">
            <v>524739</v>
          </cell>
          <cell r="AH162">
            <v>524739</v>
          </cell>
          <cell r="AI162">
            <v>510948</v>
          </cell>
          <cell r="AJ162">
            <v>0</v>
          </cell>
          <cell r="AK162">
            <v>2609905</v>
          </cell>
          <cell r="AL162">
            <v>38814596</v>
          </cell>
          <cell r="AM162">
            <v>3049203.5796206635</v>
          </cell>
          <cell r="AN162">
            <v>-895134.38</v>
          </cell>
          <cell r="AO162">
            <v>7268083.6036343621</v>
          </cell>
          <cell r="AP162">
            <v>0</v>
          </cell>
          <cell r="AQ162">
            <v>-4658178.62</v>
          </cell>
          <cell r="AR162">
            <v>0</v>
          </cell>
          <cell r="AS162">
            <v>0</v>
          </cell>
          <cell r="AT162">
            <v>43578570.183255032</v>
          </cell>
          <cell r="AU162">
            <v>1.1707190288918895E-3</v>
          </cell>
          <cell r="AV162">
            <v>0</v>
          </cell>
          <cell r="AW162">
            <v>0</v>
          </cell>
          <cell r="AY162">
            <v>0</v>
          </cell>
          <cell r="AZ162">
            <v>0</v>
          </cell>
          <cell r="BA162">
            <v>0</v>
          </cell>
          <cell r="BB162">
            <v>0</v>
          </cell>
          <cell r="BC162">
            <v>0</v>
          </cell>
          <cell r="BD162">
            <v>0</v>
          </cell>
          <cell r="BE162">
            <v>0</v>
          </cell>
          <cell r="BF162">
            <v>0</v>
          </cell>
          <cell r="BG162">
            <v>0</v>
          </cell>
          <cell r="BH162">
            <v>0</v>
          </cell>
          <cell r="BJ162">
            <v>0</v>
          </cell>
          <cell r="BL162">
            <v>0</v>
          </cell>
          <cell r="BM162">
            <v>0</v>
          </cell>
          <cell r="BN162">
            <v>0</v>
          </cell>
          <cell r="BO162">
            <v>0</v>
          </cell>
          <cell r="BQ162">
            <v>0</v>
          </cell>
          <cell r="BR162">
            <v>0</v>
          </cell>
          <cell r="BS162">
            <v>0</v>
          </cell>
          <cell r="BT162">
            <v>0</v>
          </cell>
          <cell r="CB162">
            <v>0</v>
          </cell>
          <cell r="CC162">
            <v>0</v>
          </cell>
          <cell r="CD162">
            <v>0</v>
          </cell>
          <cell r="CE162">
            <v>0</v>
          </cell>
          <cell r="CF162">
            <v>0</v>
          </cell>
          <cell r="CI162">
            <v>0</v>
          </cell>
          <cell r="CJ162">
            <v>0</v>
          </cell>
          <cell r="CK162">
            <v>0</v>
          </cell>
          <cell r="CV162">
            <v>1.0017279265030735E-3</v>
          </cell>
          <cell r="DG162">
            <v>43578570</v>
          </cell>
          <cell r="DR162">
            <v>16579502.449999988</v>
          </cell>
          <cell r="EC162">
            <v>2.6284606628831635</v>
          </cell>
          <cell r="EN162">
            <v>2.4095909012463064E-2</v>
          </cell>
        </row>
        <row r="163">
          <cell r="B163">
            <v>34205</v>
          </cell>
          <cell r="C163" t="str">
            <v>Halifax Community College</v>
          </cell>
          <cell r="D163">
            <v>4.0870677652817434E-4</v>
          </cell>
          <cell r="E163">
            <v>707158.02114411793</v>
          </cell>
          <cell r="F163">
            <v>551387.32657062553</v>
          </cell>
          <cell r="G163">
            <v>-90396</v>
          </cell>
          <cell r="H163">
            <v>-197322.21555609041</v>
          </cell>
          <cell r="I163">
            <v>-8165.5655868718422</v>
          </cell>
          <cell r="J163">
            <v>596742.43750055484</v>
          </cell>
          <cell r="K163">
            <v>0</v>
          </cell>
          <cell r="L163">
            <v>-31353.838310342093</v>
          </cell>
          <cell r="M163">
            <v>5626.6709585974495</v>
          </cell>
          <cell r="N163">
            <v>212.11064288259192</v>
          </cell>
          <cell r="O163">
            <v>-95.723214130663706</v>
          </cell>
          <cell r="P163">
            <v>0</v>
          </cell>
          <cell r="Q163">
            <v>0</v>
          </cell>
          <cell r="R163">
            <v>0</v>
          </cell>
          <cell r="S163">
            <v>1533793.2241493433</v>
          </cell>
          <cell r="T163">
            <v>31915.049999999988</v>
          </cell>
          <cell r="U163">
            <v>2983712.1875027739</v>
          </cell>
          <cell r="V163">
            <v>22506.683834389798</v>
          </cell>
          <cell r="W163">
            <v>0</v>
          </cell>
          <cell r="X163">
            <v>3038133.9213371635</v>
          </cell>
          <cell r="Y163">
            <v>483893</v>
          </cell>
          <cell r="Z163">
            <v>0</v>
          </cell>
          <cell r="AA163">
            <v>0</v>
          </cell>
          <cell r="AB163">
            <v>40827.827934359215</v>
          </cell>
          <cell r="AC163">
            <v>524720.8279343592</v>
          </cell>
          <cell r="AD163" t="str">
            <v>N/A</v>
          </cell>
          <cell r="AE163">
            <v>503808</v>
          </cell>
          <cell r="AF163">
            <v>503808</v>
          </cell>
          <cell r="AG163">
            <v>503808</v>
          </cell>
          <cell r="AH163">
            <v>503808</v>
          </cell>
          <cell r="AI163">
            <v>498181</v>
          </cell>
          <cell r="AJ163">
            <v>0</v>
          </cell>
          <cell r="AK163">
            <v>2513413</v>
          </cell>
          <cell r="AL163">
            <v>14131138</v>
          </cell>
          <cell r="AM163">
            <v>1533793.2241493433</v>
          </cell>
          <cell r="AN163">
            <v>-398210.05</v>
          </cell>
          <cell r="AO163">
            <v>2965391.043402805</v>
          </cell>
          <cell r="AP163">
            <v>0</v>
          </cell>
          <cell r="AQ163">
            <v>-451977.95</v>
          </cell>
          <cell r="AR163">
            <v>0</v>
          </cell>
          <cell r="AS163">
            <v>0</v>
          </cell>
          <cell r="AT163">
            <v>17780134.267552149</v>
          </cell>
          <cell r="AU163">
            <v>4.2622090937176506E-4</v>
          </cell>
          <cell r="AV163">
            <v>0</v>
          </cell>
          <cell r="AW163">
            <v>0</v>
          </cell>
          <cell r="AY163">
            <v>0</v>
          </cell>
          <cell r="AZ163">
            <v>0</v>
          </cell>
          <cell r="BA163">
            <v>0</v>
          </cell>
          <cell r="BB163">
            <v>0</v>
          </cell>
          <cell r="BC163">
            <v>0</v>
          </cell>
          <cell r="BD163">
            <v>0</v>
          </cell>
          <cell r="BE163">
            <v>0</v>
          </cell>
          <cell r="BF163">
            <v>0</v>
          </cell>
          <cell r="BG163">
            <v>0</v>
          </cell>
          <cell r="BH163">
            <v>0</v>
          </cell>
          <cell r="BJ163">
            <v>0</v>
          </cell>
          <cell r="BL163">
            <v>0</v>
          </cell>
          <cell r="BM163">
            <v>0</v>
          </cell>
          <cell r="BN163">
            <v>0</v>
          </cell>
          <cell r="BO163">
            <v>0</v>
          </cell>
          <cell r="BQ163">
            <v>0</v>
          </cell>
          <cell r="BR163">
            <v>0</v>
          </cell>
          <cell r="BS163">
            <v>0</v>
          </cell>
          <cell r="BT163">
            <v>0</v>
          </cell>
          <cell r="CB163">
            <v>0</v>
          </cell>
          <cell r="CC163">
            <v>0</v>
          </cell>
          <cell r="CD163">
            <v>0</v>
          </cell>
          <cell r="CE163">
            <v>0</v>
          </cell>
          <cell r="CF163">
            <v>0</v>
          </cell>
          <cell r="CI163">
            <v>0</v>
          </cell>
          <cell r="CJ163">
            <v>0</v>
          </cell>
          <cell r="CK163">
            <v>0</v>
          </cell>
          <cell r="CV163">
            <v>4.0870677652817434E-4</v>
          </cell>
          <cell r="DG163">
            <v>17780134</v>
          </cell>
          <cell r="DR163">
            <v>7032339.1499999976</v>
          </cell>
          <cell r="EC163">
            <v>2.528338525880113</v>
          </cell>
          <cell r="EN163">
            <v>2.4095909012463064E-2</v>
          </cell>
        </row>
        <row r="164">
          <cell r="B164">
            <v>34220</v>
          </cell>
          <cell r="C164" t="str">
            <v>Roanoke Rapids City Schools</v>
          </cell>
          <cell r="D164">
            <v>9.1141766955882503E-4</v>
          </cell>
          <cell r="E164">
            <v>1576965.0826833607</v>
          </cell>
          <cell r="F164">
            <v>1229595.8400205956</v>
          </cell>
          <cell r="G164">
            <v>-122229</v>
          </cell>
          <cell r="H164">
            <v>-440029.29283928452</v>
          </cell>
          <cell r="I164">
            <v>-18209.242384077381</v>
          </cell>
          <cell r="J164">
            <v>1330737.910278118</v>
          </cell>
          <cell r="K164">
            <v>0</v>
          </cell>
          <cell r="L164">
            <v>-69919.178946048793</v>
          </cell>
          <cell r="M164">
            <v>12547.497685313496</v>
          </cell>
          <cell r="N164">
            <v>473.00754214763901</v>
          </cell>
          <cell r="O164">
            <v>-213.46313238737241</v>
          </cell>
          <cell r="P164">
            <v>0</v>
          </cell>
          <cell r="Q164">
            <v>0</v>
          </cell>
          <cell r="R164">
            <v>0</v>
          </cell>
          <cell r="S164">
            <v>3499719.1609077374</v>
          </cell>
          <cell r="T164">
            <v>61156.439999999944</v>
          </cell>
          <cell r="U164">
            <v>6653689.5513905901</v>
          </cell>
          <cell r="V164">
            <v>50189.990741253983</v>
          </cell>
          <cell r="W164">
            <v>0</v>
          </cell>
          <cell r="X164">
            <v>6765035.9821318435</v>
          </cell>
          <cell r="Y164">
            <v>672300</v>
          </cell>
          <cell r="Z164">
            <v>0</v>
          </cell>
          <cell r="AA164">
            <v>0</v>
          </cell>
          <cell r="AB164">
            <v>91046.211920386893</v>
          </cell>
          <cell r="AC164">
            <v>763346.21192038688</v>
          </cell>
          <cell r="AD164" t="str">
            <v>N/A</v>
          </cell>
          <cell r="AE164">
            <v>1202847</v>
          </cell>
          <cell r="AF164">
            <v>1202847</v>
          </cell>
          <cell r="AG164">
            <v>1202847</v>
          </cell>
          <cell r="AH164">
            <v>1202847</v>
          </cell>
          <cell r="AI164">
            <v>1190300</v>
          </cell>
          <cell r="AJ164">
            <v>0</v>
          </cell>
          <cell r="AK164">
            <v>6001688</v>
          </cell>
          <cell r="AL164">
            <v>31024351</v>
          </cell>
          <cell r="AM164">
            <v>3499719.1609077374</v>
          </cell>
          <cell r="AN164">
            <v>-875993.44</v>
          </cell>
          <cell r="AO164">
            <v>6612833.3302114578</v>
          </cell>
          <cell r="AP164">
            <v>0</v>
          </cell>
          <cell r="AQ164">
            <v>-611143.56000000006</v>
          </cell>
          <cell r="AR164">
            <v>0</v>
          </cell>
          <cell r="AS164">
            <v>0</v>
          </cell>
          <cell r="AT164">
            <v>39649766.491119199</v>
          </cell>
          <cell r="AU164">
            <v>9.3575101871192694E-4</v>
          </cell>
          <cell r="AV164">
            <v>0</v>
          </cell>
          <cell r="AW164">
            <v>0</v>
          </cell>
          <cell r="AY164">
            <v>0</v>
          </cell>
          <cell r="AZ164">
            <v>0</v>
          </cell>
          <cell r="BA164">
            <v>0</v>
          </cell>
          <cell r="BB164">
            <v>0</v>
          </cell>
          <cell r="BC164">
            <v>0</v>
          </cell>
          <cell r="BD164">
            <v>0</v>
          </cell>
          <cell r="BE164">
            <v>0</v>
          </cell>
          <cell r="BF164">
            <v>0</v>
          </cell>
          <cell r="BG164">
            <v>0</v>
          </cell>
          <cell r="BH164">
            <v>0</v>
          </cell>
          <cell r="BJ164">
            <v>0</v>
          </cell>
          <cell r="BL164">
            <v>0</v>
          </cell>
          <cell r="BM164">
            <v>0</v>
          </cell>
          <cell r="BN164">
            <v>0</v>
          </cell>
          <cell r="BO164">
            <v>0</v>
          </cell>
          <cell r="BQ164">
            <v>0</v>
          </cell>
          <cell r="BR164">
            <v>0</v>
          </cell>
          <cell r="BS164">
            <v>0</v>
          </cell>
          <cell r="BT164">
            <v>0</v>
          </cell>
          <cell r="CB164">
            <v>0</v>
          </cell>
          <cell r="CC164">
            <v>0</v>
          </cell>
          <cell r="CD164">
            <v>0</v>
          </cell>
          <cell r="CE164">
            <v>0</v>
          </cell>
          <cell r="CF164">
            <v>0</v>
          </cell>
          <cell r="CI164">
            <v>0</v>
          </cell>
          <cell r="CJ164">
            <v>0</v>
          </cell>
          <cell r="CK164">
            <v>0</v>
          </cell>
          <cell r="CV164">
            <v>9.1141766955882503E-4</v>
          </cell>
          <cell r="DG164">
            <v>39649767</v>
          </cell>
          <cell r="DR164">
            <v>15110977.050000003</v>
          </cell>
          <cell r="EC164">
            <v>2.6239049181799925</v>
          </cell>
          <cell r="EN164">
            <v>2.4095909012463064E-2</v>
          </cell>
        </row>
        <row r="165">
          <cell r="B165">
            <v>34230</v>
          </cell>
          <cell r="C165" t="str">
            <v>Weldon City Schools</v>
          </cell>
          <cell r="D165">
            <v>4.2912639671802925E-4</v>
          </cell>
          <cell r="E165">
            <v>742488.72529498697</v>
          </cell>
          <cell r="F165">
            <v>578935.48684757052</v>
          </cell>
          <cell r="G165">
            <v>-31160</v>
          </cell>
          <cell r="H165">
            <v>-207180.73743063115</v>
          </cell>
          <cell r="I165">
            <v>-8573.5298230796525</v>
          </cell>
          <cell r="J165">
            <v>626556.60899151757</v>
          </cell>
          <cell r="K165">
            <v>0</v>
          </cell>
          <cell r="L165">
            <v>-32920.324374580799</v>
          </cell>
          <cell r="M165">
            <v>5907.7881078745831</v>
          </cell>
          <cell r="N165">
            <v>222.70801736872281</v>
          </cell>
          <cell r="O165">
            <v>-100.50569337532963</v>
          </cell>
          <cell r="P165">
            <v>0</v>
          </cell>
          <cell r="Q165">
            <v>0</v>
          </cell>
          <cell r="R165">
            <v>0</v>
          </cell>
          <cell r="S165">
            <v>1674176.2199376514</v>
          </cell>
          <cell r="T165">
            <v>4594.6300000000047</v>
          </cell>
          <cell r="U165">
            <v>3132783.0449575875</v>
          </cell>
          <cell r="V165">
            <v>23631.152431498333</v>
          </cell>
          <cell r="W165">
            <v>0</v>
          </cell>
          <cell r="X165">
            <v>3161008.8273890857</v>
          </cell>
          <cell r="Y165">
            <v>160392</v>
          </cell>
          <cell r="Z165">
            <v>0</v>
          </cell>
          <cell r="AA165">
            <v>0</v>
          </cell>
          <cell r="AB165">
            <v>42867.649115398264</v>
          </cell>
          <cell r="AC165">
            <v>203259.64911539826</v>
          </cell>
          <cell r="AD165" t="str">
            <v>N/A</v>
          </cell>
          <cell r="AE165">
            <v>592732</v>
          </cell>
          <cell r="AF165">
            <v>592731</v>
          </cell>
          <cell r="AG165">
            <v>592731</v>
          </cell>
          <cell r="AH165">
            <v>592731</v>
          </cell>
          <cell r="AI165">
            <v>586823</v>
          </cell>
          <cell r="AJ165">
            <v>0</v>
          </cell>
          <cell r="AK165">
            <v>2957748</v>
          </cell>
          <cell r="AL165">
            <v>14419939</v>
          </cell>
          <cell r="AM165">
            <v>1674176.2199376514</v>
          </cell>
          <cell r="AN165">
            <v>-383407.63</v>
          </cell>
          <cell r="AO165">
            <v>3113546.5482736882</v>
          </cell>
          <cell r="AP165">
            <v>0</v>
          </cell>
          <cell r="AQ165">
            <v>-155797.37</v>
          </cell>
          <cell r="AR165">
            <v>0</v>
          </cell>
          <cell r="AS165">
            <v>0</v>
          </cell>
          <cell r="AT165">
            <v>18668456.768211339</v>
          </cell>
          <cell r="AU165">
            <v>4.3493167610547304E-4</v>
          </cell>
          <cell r="AV165">
            <v>0</v>
          </cell>
          <cell r="AW165">
            <v>0</v>
          </cell>
          <cell r="AY165">
            <v>0</v>
          </cell>
          <cell r="AZ165">
            <v>0</v>
          </cell>
          <cell r="BA165">
            <v>0</v>
          </cell>
          <cell r="BB165">
            <v>0</v>
          </cell>
          <cell r="BC165">
            <v>0</v>
          </cell>
          <cell r="BD165">
            <v>0</v>
          </cell>
          <cell r="BE165">
            <v>0</v>
          </cell>
          <cell r="BF165">
            <v>0</v>
          </cell>
          <cell r="BG165">
            <v>0</v>
          </cell>
          <cell r="BH165">
            <v>0</v>
          </cell>
          <cell r="BJ165">
            <v>0</v>
          </cell>
          <cell r="BL165">
            <v>0</v>
          </cell>
          <cell r="BM165">
            <v>0</v>
          </cell>
          <cell r="BN165">
            <v>0</v>
          </cell>
          <cell r="BO165">
            <v>0</v>
          </cell>
          <cell r="BQ165">
            <v>0</v>
          </cell>
          <cell r="BR165">
            <v>0</v>
          </cell>
          <cell r="BS165">
            <v>0</v>
          </cell>
          <cell r="BT165">
            <v>0</v>
          </cell>
          <cell r="CB165">
            <v>0</v>
          </cell>
          <cell r="CC165">
            <v>0</v>
          </cell>
          <cell r="CD165">
            <v>0</v>
          </cell>
          <cell r="CE165">
            <v>0</v>
          </cell>
          <cell r="CF165">
            <v>0</v>
          </cell>
          <cell r="CI165">
            <v>0</v>
          </cell>
          <cell r="CJ165">
            <v>0</v>
          </cell>
          <cell r="CK165">
            <v>0</v>
          </cell>
          <cell r="CV165">
            <v>4.2912639671802925E-4</v>
          </cell>
          <cell r="DG165">
            <v>18668457</v>
          </cell>
          <cell r="DR165">
            <v>6807248.9900000021</v>
          </cell>
          <cell r="EC165">
            <v>2.742437808198932</v>
          </cell>
          <cell r="EN165">
            <v>2.4095909012463064E-2</v>
          </cell>
        </row>
        <row r="166">
          <cell r="B166">
            <v>34300</v>
          </cell>
          <cell r="C166" t="str">
            <v>Harnett County Schools</v>
          </cell>
          <cell r="D166">
            <v>6.1604554914126784E-3</v>
          </cell>
          <cell r="E166">
            <v>10659024.427390411</v>
          </cell>
          <cell r="F166">
            <v>8311085.7929051407</v>
          </cell>
          <cell r="G166">
            <v>-539295</v>
          </cell>
          <cell r="H166">
            <v>-2974246.5655360525</v>
          </cell>
          <cell r="I166">
            <v>-123079.93468434046</v>
          </cell>
          <cell r="J166">
            <v>8994725.4050627649</v>
          </cell>
          <cell r="K166">
            <v>0</v>
          </cell>
          <cell r="L166">
            <v>-472597.80480419076</v>
          </cell>
          <cell r="M166">
            <v>84811.06259043004</v>
          </cell>
          <cell r="N166">
            <v>3197.1531909333517</v>
          </cell>
          <cell r="O166">
            <v>-1442.8402806437634</v>
          </cell>
          <cell r="P166">
            <v>0</v>
          </cell>
          <cell r="Q166">
            <v>0</v>
          </cell>
          <cell r="R166">
            <v>0</v>
          </cell>
          <cell r="S166">
            <v>23942181.695834454</v>
          </cell>
          <cell r="T166">
            <v>0</v>
          </cell>
          <cell r="U166">
            <v>44973627.025313824</v>
          </cell>
          <cell r="V166">
            <v>339244.25036172016</v>
          </cell>
          <cell r="W166">
            <v>0</v>
          </cell>
          <cell r="X166">
            <v>45312871.275675543</v>
          </cell>
          <cell r="Y166">
            <v>2696478.37</v>
          </cell>
          <cell r="Z166">
            <v>0</v>
          </cell>
          <cell r="AA166">
            <v>0</v>
          </cell>
          <cell r="AB166">
            <v>615399.67342170235</v>
          </cell>
          <cell r="AC166">
            <v>3311878.0434217025</v>
          </cell>
          <cell r="AD166" t="str">
            <v>N/A</v>
          </cell>
          <cell r="AE166">
            <v>8417162</v>
          </cell>
          <cell r="AF166">
            <v>8417161</v>
          </cell>
          <cell r="AG166">
            <v>8417161</v>
          </cell>
          <cell r="AH166">
            <v>8417161</v>
          </cell>
          <cell r="AI166">
            <v>8332349</v>
          </cell>
          <cell r="AJ166">
            <v>0</v>
          </cell>
          <cell r="AK166">
            <v>42000994</v>
          </cell>
          <cell r="AL166">
            <v>207203370</v>
          </cell>
          <cell r="AM166">
            <v>23942181.695834454</v>
          </cell>
          <cell r="AN166">
            <v>-5145791.63</v>
          </cell>
          <cell r="AO166">
            <v>44697471.602253847</v>
          </cell>
          <cell r="AP166">
            <v>0</v>
          </cell>
          <cell r="AQ166">
            <v>-2696478.37</v>
          </cell>
          <cell r="AR166">
            <v>0</v>
          </cell>
          <cell r="AS166">
            <v>0</v>
          </cell>
          <cell r="AT166">
            <v>268000753.29808831</v>
          </cell>
          <cell r="AU166">
            <v>6.2496316588030757E-3</v>
          </cell>
          <cell r="AV166">
            <v>0</v>
          </cell>
          <cell r="AW166">
            <v>0</v>
          </cell>
          <cell r="AY166">
            <v>0</v>
          </cell>
          <cell r="AZ166">
            <v>0</v>
          </cell>
          <cell r="BA166">
            <v>0</v>
          </cell>
          <cell r="BB166">
            <v>0</v>
          </cell>
          <cell r="BC166">
            <v>0</v>
          </cell>
          <cell r="BD166">
            <v>0</v>
          </cell>
          <cell r="BE166">
            <v>0</v>
          </cell>
          <cell r="BF166">
            <v>0</v>
          </cell>
          <cell r="BG166">
            <v>0</v>
          </cell>
          <cell r="BH166">
            <v>0</v>
          </cell>
          <cell r="BJ166">
            <v>0</v>
          </cell>
          <cell r="BL166">
            <v>0</v>
          </cell>
          <cell r="BM166">
            <v>0</v>
          </cell>
          <cell r="BN166">
            <v>0</v>
          </cell>
          <cell r="BO166">
            <v>0</v>
          </cell>
          <cell r="BQ166">
            <v>0</v>
          </cell>
          <cell r="BR166">
            <v>0</v>
          </cell>
          <cell r="BS166">
            <v>0</v>
          </cell>
          <cell r="BT166">
            <v>0</v>
          </cell>
          <cell r="CB166">
            <v>0</v>
          </cell>
          <cell r="CC166">
            <v>0</v>
          </cell>
          <cell r="CD166">
            <v>0</v>
          </cell>
          <cell r="CE166">
            <v>0</v>
          </cell>
          <cell r="CF166">
            <v>0</v>
          </cell>
          <cell r="CI166">
            <v>0</v>
          </cell>
          <cell r="CJ166">
            <v>0</v>
          </cell>
          <cell r="CK166">
            <v>0</v>
          </cell>
          <cell r="CV166">
            <v>6.1604554914126784E-3</v>
          </cell>
          <cell r="DG166">
            <v>268000753</v>
          </cell>
          <cell r="DR166">
            <v>88020095.33999981</v>
          </cell>
          <cell r="EC166">
            <v>3.0447678108593217</v>
          </cell>
          <cell r="EN166">
            <v>2.4095909012463064E-2</v>
          </cell>
        </row>
        <row r="167">
          <cell r="B167">
            <v>34400</v>
          </cell>
          <cell r="C167" t="str">
            <v>Haywood County Schools</v>
          </cell>
          <cell r="D167">
            <v>2.6150590035770769E-3</v>
          </cell>
          <cell r="E167">
            <v>4524661.8268811479</v>
          </cell>
          <cell r="F167">
            <v>3527982.5919583444</v>
          </cell>
          <cell r="G167">
            <v>10604</v>
          </cell>
          <cell r="H167">
            <v>-1262541.4258580557</v>
          </cell>
          <cell r="I167">
            <v>-52246.346362638164</v>
          </cell>
          <cell r="J167">
            <v>3818181.575696928</v>
          </cell>
          <cell r="K167">
            <v>0</v>
          </cell>
          <cell r="L167">
            <v>-200613.59849879518</v>
          </cell>
          <cell r="M167">
            <v>36001.547797756182</v>
          </cell>
          <cell r="N167">
            <v>1357.1633216764315</v>
          </cell>
          <cell r="O167">
            <v>-612.47296922778719</v>
          </cell>
          <cell r="P167">
            <v>0</v>
          </cell>
          <cell r="Q167">
            <v>0</v>
          </cell>
          <cell r="R167">
            <v>0</v>
          </cell>
          <cell r="S167">
            <v>10402774.861967133</v>
          </cell>
          <cell r="T167">
            <v>137906</v>
          </cell>
          <cell r="U167">
            <v>19090907.87848464</v>
          </cell>
          <cell r="V167">
            <v>144006.19119102473</v>
          </cell>
          <cell r="W167">
            <v>0</v>
          </cell>
          <cell r="X167">
            <v>19372820.069675665</v>
          </cell>
          <cell r="Y167">
            <v>84885.049999999814</v>
          </cell>
          <cell r="Z167">
            <v>0</v>
          </cell>
          <cell r="AA167">
            <v>0</v>
          </cell>
          <cell r="AB167">
            <v>261231.7318131908</v>
          </cell>
          <cell r="AC167">
            <v>346116.78181319061</v>
          </cell>
          <cell r="AD167" t="str">
            <v>N/A</v>
          </cell>
          <cell r="AE167">
            <v>3812541</v>
          </cell>
          <cell r="AF167">
            <v>3812541</v>
          </cell>
          <cell r="AG167">
            <v>3812541</v>
          </cell>
          <cell r="AH167">
            <v>3812541</v>
          </cell>
          <cell r="AI167">
            <v>3776539</v>
          </cell>
          <cell r="AJ167">
            <v>0</v>
          </cell>
          <cell r="AK167">
            <v>19026703</v>
          </cell>
          <cell r="AL167">
            <v>86535469</v>
          </cell>
          <cell r="AM167">
            <v>10402774.861967133</v>
          </cell>
          <cell r="AN167">
            <v>-2200991.9500000002</v>
          </cell>
          <cell r="AO167">
            <v>18973682.337862477</v>
          </cell>
          <cell r="AP167">
            <v>0</v>
          </cell>
          <cell r="AQ167">
            <v>53020.950000000186</v>
          </cell>
          <cell r="AR167">
            <v>0</v>
          </cell>
          <cell r="AS167">
            <v>0</v>
          </cell>
          <cell r="AT167">
            <v>113763955.19982961</v>
          </cell>
          <cell r="AU167">
            <v>2.6100676176731594E-3</v>
          </cell>
          <cell r="AV167">
            <v>0</v>
          </cell>
          <cell r="AW167">
            <v>0</v>
          </cell>
          <cell r="AY167">
            <v>0</v>
          </cell>
          <cell r="AZ167">
            <v>0</v>
          </cell>
          <cell r="BA167">
            <v>0</v>
          </cell>
          <cell r="BB167">
            <v>0</v>
          </cell>
          <cell r="BC167">
            <v>0</v>
          </cell>
          <cell r="BD167">
            <v>0</v>
          </cell>
          <cell r="BE167">
            <v>0</v>
          </cell>
          <cell r="BF167">
            <v>0</v>
          </cell>
          <cell r="BG167">
            <v>0</v>
          </cell>
          <cell r="BH167">
            <v>0</v>
          </cell>
          <cell r="BJ167">
            <v>0</v>
          </cell>
          <cell r="BL167">
            <v>0</v>
          </cell>
          <cell r="BM167">
            <v>0</v>
          </cell>
          <cell r="BN167">
            <v>0</v>
          </cell>
          <cell r="BO167">
            <v>0</v>
          </cell>
          <cell r="BQ167">
            <v>0</v>
          </cell>
          <cell r="BR167">
            <v>0</v>
          </cell>
          <cell r="BS167">
            <v>0</v>
          </cell>
          <cell r="BT167">
            <v>0</v>
          </cell>
          <cell r="CB167">
            <v>0</v>
          </cell>
          <cell r="CC167">
            <v>0</v>
          </cell>
          <cell r="CD167">
            <v>0</v>
          </cell>
          <cell r="CE167">
            <v>0</v>
          </cell>
          <cell r="CF167">
            <v>0</v>
          </cell>
          <cell r="CI167">
            <v>0</v>
          </cell>
          <cell r="CJ167">
            <v>0</v>
          </cell>
          <cell r="CK167">
            <v>0</v>
          </cell>
          <cell r="CV167">
            <v>2.6150590035770769E-3</v>
          </cell>
          <cell r="DG167">
            <v>113763955</v>
          </cell>
          <cell r="DR167">
            <v>38324638.400000051</v>
          </cell>
          <cell r="EC167">
            <v>2.9684286597208924</v>
          </cell>
          <cell r="EN167">
            <v>2.4095909012463064E-2</v>
          </cell>
        </row>
        <row r="168">
          <cell r="B168">
            <v>34405</v>
          </cell>
          <cell r="C168" t="str">
            <v>Haywood Technical College</v>
          </cell>
          <cell r="D168">
            <v>5.4795195720686181E-4</v>
          </cell>
          <cell r="E168">
            <v>948084.65137778095</v>
          </cell>
          <cell r="F168">
            <v>739243.34541246749</v>
          </cell>
          <cell r="G168">
            <v>81268</v>
          </cell>
          <cell r="H168">
            <v>-264549.30630909302</v>
          </cell>
          <cell r="I168">
            <v>-10947.549446171181</v>
          </cell>
          <cell r="J168">
            <v>800050.8074626493</v>
          </cell>
          <cell r="K168">
            <v>0</v>
          </cell>
          <cell r="L168">
            <v>-42035.997577630325</v>
          </cell>
          <cell r="M168">
            <v>7543.6609848086146</v>
          </cell>
          <cell r="N168">
            <v>284.37610675121715</v>
          </cell>
          <cell r="O168">
            <v>-128.33582789741911</v>
          </cell>
          <cell r="P168">
            <v>0</v>
          </cell>
          <cell r="Q168">
            <v>0</v>
          </cell>
          <cell r="R168">
            <v>0</v>
          </cell>
          <cell r="S168">
            <v>2258813.6521836654</v>
          </cell>
          <cell r="T168">
            <v>416047</v>
          </cell>
          <cell r="U168">
            <v>4000254.0373132462</v>
          </cell>
          <cell r="V168">
            <v>30174.643939234458</v>
          </cell>
          <cell r="W168">
            <v>0</v>
          </cell>
          <cell r="X168">
            <v>4446475.6812524805</v>
          </cell>
          <cell r="Y168">
            <v>9709.960000000021</v>
          </cell>
          <cell r="Z168">
            <v>0</v>
          </cell>
          <cell r="AA168">
            <v>0</v>
          </cell>
          <cell r="AB168">
            <v>54737.747230855901</v>
          </cell>
          <cell r="AC168">
            <v>64447.707230855922</v>
          </cell>
          <cell r="AD168" t="str">
            <v>N/A</v>
          </cell>
          <cell r="AE168">
            <v>877914</v>
          </cell>
          <cell r="AF168">
            <v>877915</v>
          </cell>
          <cell r="AG168">
            <v>877915</v>
          </cell>
          <cell r="AH168">
            <v>877915</v>
          </cell>
          <cell r="AI168">
            <v>870371</v>
          </cell>
          <cell r="AJ168">
            <v>0</v>
          </cell>
          <cell r="AK168">
            <v>4382030</v>
          </cell>
          <cell r="AL168">
            <v>17667812</v>
          </cell>
          <cell r="AM168">
            <v>2258813.6521836654</v>
          </cell>
          <cell r="AN168">
            <v>-470881.04</v>
          </cell>
          <cell r="AO168">
            <v>3975690.9340216252</v>
          </cell>
          <cell r="AP168">
            <v>0</v>
          </cell>
          <cell r="AQ168">
            <v>406337.04</v>
          </cell>
          <cell r="AR168">
            <v>0</v>
          </cell>
          <cell r="AS168">
            <v>0</v>
          </cell>
          <cell r="AT168">
            <v>23837772.586205292</v>
          </cell>
          <cell r="AU168">
            <v>5.3289343165832496E-4</v>
          </cell>
          <cell r="AV168">
            <v>0</v>
          </cell>
          <cell r="AW168">
            <v>0</v>
          </cell>
          <cell r="AY168">
            <v>0</v>
          </cell>
          <cell r="AZ168">
            <v>0</v>
          </cell>
          <cell r="BA168">
            <v>0</v>
          </cell>
          <cell r="BB168">
            <v>0</v>
          </cell>
          <cell r="BC168">
            <v>0</v>
          </cell>
          <cell r="BD168">
            <v>0</v>
          </cell>
          <cell r="BE168">
            <v>0</v>
          </cell>
          <cell r="BF168">
            <v>0</v>
          </cell>
          <cell r="BG168">
            <v>0</v>
          </cell>
          <cell r="BH168">
            <v>0</v>
          </cell>
          <cell r="BJ168">
            <v>0</v>
          </cell>
          <cell r="BL168">
            <v>0</v>
          </cell>
          <cell r="BM168">
            <v>0</v>
          </cell>
          <cell r="BN168">
            <v>0</v>
          </cell>
          <cell r="BO168">
            <v>0</v>
          </cell>
          <cell r="BQ168">
            <v>0</v>
          </cell>
          <cell r="BR168">
            <v>0</v>
          </cell>
          <cell r="BS168">
            <v>0</v>
          </cell>
          <cell r="BT168">
            <v>0</v>
          </cell>
          <cell r="CB168">
            <v>0</v>
          </cell>
          <cell r="CC168">
            <v>0</v>
          </cell>
          <cell r="CD168">
            <v>0</v>
          </cell>
          <cell r="CE168">
            <v>0</v>
          </cell>
          <cell r="CF168">
            <v>0</v>
          </cell>
          <cell r="CI168">
            <v>0</v>
          </cell>
          <cell r="CJ168">
            <v>0</v>
          </cell>
          <cell r="CK168">
            <v>0</v>
          </cell>
          <cell r="CV168">
            <v>5.4795195720686181E-4</v>
          </cell>
          <cell r="DG168">
            <v>23837773</v>
          </cell>
          <cell r="DR168">
            <v>8141265.6999999993</v>
          </cell>
          <cell r="EC168">
            <v>2.9280180598945447</v>
          </cell>
          <cell r="EN168">
            <v>2.4095909012463064E-2</v>
          </cell>
        </row>
        <row r="169">
          <cell r="B169">
            <v>34500</v>
          </cell>
          <cell r="C169" t="str">
            <v>Henderson County Schools</v>
          </cell>
          <cell r="D169">
            <v>4.4938371957256697E-3</v>
          </cell>
          <cell r="E169">
            <v>7775386.172130499</v>
          </cell>
          <cell r="F169">
            <v>6062646.913866384</v>
          </cell>
          <cell r="G169">
            <v>299864</v>
          </cell>
          <cell r="H169">
            <v>-2169609.0271403417</v>
          </cell>
          <cell r="I169">
            <v>-89782.515157031245</v>
          </cell>
          <cell r="J169">
            <v>6561338.1424399568</v>
          </cell>
          <cell r="K169">
            <v>0</v>
          </cell>
          <cell r="L169">
            <v>-344743.59839265072</v>
          </cell>
          <cell r="M169">
            <v>61866.709078437743</v>
          </cell>
          <cell r="N169">
            <v>2332.211627837708</v>
          </cell>
          <cell r="O169">
            <v>-1052.5016096109091</v>
          </cell>
          <cell r="P169">
            <v>0</v>
          </cell>
          <cell r="Q169">
            <v>0</v>
          </cell>
          <cell r="R169">
            <v>0</v>
          </cell>
          <cell r="S169">
            <v>18158246.506843481</v>
          </cell>
          <cell r="T169">
            <v>1613282</v>
          </cell>
          <cell r="U169">
            <v>32806690.712199785</v>
          </cell>
          <cell r="V169">
            <v>247466.83631375097</v>
          </cell>
          <cell r="W169">
            <v>0</v>
          </cell>
          <cell r="X169">
            <v>34667439.548513539</v>
          </cell>
          <cell r="Y169">
            <v>113965.67000000039</v>
          </cell>
          <cell r="Z169">
            <v>0</v>
          </cell>
          <cell r="AA169">
            <v>0</v>
          </cell>
          <cell r="AB169">
            <v>448912.57578515622</v>
          </cell>
          <cell r="AC169">
            <v>562878.24578515661</v>
          </cell>
          <cell r="AD169" t="str">
            <v>N/A</v>
          </cell>
          <cell r="AE169">
            <v>6833285</v>
          </cell>
          <cell r="AF169">
            <v>6833286</v>
          </cell>
          <cell r="AG169">
            <v>6833286</v>
          </cell>
          <cell r="AH169">
            <v>6833286</v>
          </cell>
          <cell r="AI169">
            <v>6771420</v>
          </cell>
          <cell r="AJ169">
            <v>0</v>
          </cell>
          <cell r="AK169">
            <v>34104563</v>
          </cell>
          <cell r="AL169">
            <v>147054955</v>
          </cell>
          <cell r="AM169">
            <v>18158246.506843481</v>
          </cell>
          <cell r="AN169">
            <v>-3820570.3299999996</v>
          </cell>
          <cell r="AO169">
            <v>32605244.972728383</v>
          </cell>
          <cell r="AP169">
            <v>0</v>
          </cell>
          <cell r="AQ169">
            <v>1499316.3299999996</v>
          </cell>
          <cell r="AR169">
            <v>0</v>
          </cell>
          <cell r="AS169">
            <v>0</v>
          </cell>
          <cell r="AT169">
            <v>195497192.47957185</v>
          </cell>
          <cell r="AU169">
            <v>4.4354457241586528E-3</v>
          </cell>
          <cell r="AV169">
            <v>0</v>
          </cell>
          <cell r="AW169">
            <v>0</v>
          </cell>
          <cell r="AY169">
            <v>0</v>
          </cell>
          <cell r="AZ169">
            <v>0</v>
          </cell>
          <cell r="BA169">
            <v>0</v>
          </cell>
          <cell r="BB169">
            <v>0</v>
          </cell>
          <cell r="BC169">
            <v>0</v>
          </cell>
          <cell r="BD169">
            <v>0</v>
          </cell>
          <cell r="BE169">
            <v>0</v>
          </cell>
          <cell r="BF169">
            <v>0</v>
          </cell>
          <cell r="BG169">
            <v>0</v>
          </cell>
          <cell r="BH169">
            <v>0</v>
          </cell>
          <cell r="BJ169">
            <v>0</v>
          </cell>
          <cell r="BL169">
            <v>0</v>
          </cell>
          <cell r="BM169">
            <v>0</v>
          </cell>
          <cell r="BN169">
            <v>0</v>
          </cell>
          <cell r="BO169">
            <v>0</v>
          </cell>
          <cell r="BQ169">
            <v>0</v>
          </cell>
          <cell r="BR169">
            <v>0</v>
          </cell>
          <cell r="BS169">
            <v>0</v>
          </cell>
          <cell r="BT169">
            <v>0</v>
          </cell>
          <cell r="CB169">
            <v>0</v>
          </cell>
          <cell r="CC169">
            <v>0</v>
          </cell>
          <cell r="CD169">
            <v>0</v>
          </cell>
          <cell r="CE169">
            <v>0</v>
          </cell>
          <cell r="CF169">
            <v>0</v>
          </cell>
          <cell r="CI169">
            <v>0</v>
          </cell>
          <cell r="CJ169">
            <v>0</v>
          </cell>
          <cell r="CK169">
            <v>0</v>
          </cell>
          <cell r="CV169">
            <v>4.4938371957256697E-3</v>
          </cell>
          <cell r="DG169">
            <v>195497193</v>
          </cell>
          <cell r="DR169">
            <v>66754769.790000111</v>
          </cell>
          <cell r="EC169">
            <v>2.9285876292436193</v>
          </cell>
          <cell r="EN169">
            <v>2.4095909012463064E-2</v>
          </cell>
        </row>
        <row r="170">
          <cell r="B170">
            <v>34501</v>
          </cell>
          <cell r="C170" t="str">
            <v>Mountain Community School</v>
          </cell>
          <cell r="D170">
            <v>5.1589004249023141E-5</v>
          </cell>
          <cell r="E170">
            <v>89261.00630734177</v>
          </cell>
          <cell r="F170">
            <v>69598.853669480595</v>
          </cell>
          <cell r="G170">
            <v>-31116</v>
          </cell>
          <cell r="H170">
            <v>-24906.992497708368</v>
          </cell>
          <cell r="I170">
            <v>-1030.6983440186962</v>
          </cell>
          <cell r="J170">
            <v>75323.801590224801</v>
          </cell>
          <cell r="K170">
            <v>0</v>
          </cell>
          <cell r="L170">
            <v>-3957.6375795763661</v>
          </cell>
          <cell r="M170">
            <v>710.22642310147455</v>
          </cell>
          <cell r="N170">
            <v>26.773661425158028</v>
          </cell>
          <cell r="O170">
            <v>-12.08266068516371</v>
          </cell>
          <cell r="P170">
            <v>0</v>
          </cell>
          <cell r="Q170">
            <v>0</v>
          </cell>
          <cell r="R170">
            <v>0</v>
          </cell>
          <cell r="S170">
            <v>173897.25056958519</v>
          </cell>
          <cell r="T170">
            <v>0</v>
          </cell>
          <cell r="U170">
            <v>376619.00795112399</v>
          </cell>
          <cell r="V170">
            <v>2840.9056924058982</v>
          </cell>
          <cell r="W170">
            <v>0</v>
          </cell>
          <cell r="X170">
            <v>379459.91364352987</v>
          </cell>
          <cell r="Y170">
            <v>155576.72</v>
          </cell>
          <cell r="Z170">
            <v>0</v>
          </cell>
          <cell r="AA170">
            <v>0</v>
          </cell>
          <cell r="AB170">
            <v>5153.4917200934806</v>
          </cell>
          <cell r="AC170">
            <v>160730.21172009347</v>
          </cell>
          <cell r="AD170" t="str">
            <v>N/A</v>
          </cell>
          <cell r="AE170">
            <v>43887</v>
          </cell>
          <cell r="AF170">
            <v>43887</v>
          </cell>
          <cell r="AG170">
            <v>43887</v>
          </cell>
          <cell r="AH170">
            <v>43887</v>
          </cell>
          <cell r="AI170">
            <v>43177</v>
          </cell>
          <cell r="AJ170">
            <v>0</v>
          </cell>
          <cell r="AK170">
            <v>218725</v>
          </cell>
          <cell r="AL170">
            <v>1895421</v>
          </cell>
          <cell r="AM170">
            <v>173897.25056958519</v>
          </cell>
          <cell r="AN170">
            <v>-43751.279999999992</v>
          </cell>
          <cell r="AO170">
            <v>374306.42192343646</v>
          </cell>
          <cell r="AP170">
            <v>0</v>
          </cell>
          <cell r="AQ170">
            <v>-155576.72</v>
          </cell>
          <cell r="AR170">
            <v>0</v>
          </cell>
          <cell r="AS170">
            <v>0</v>
          </cell>
          <cell r="AT170">
            <v>2244296.6724930215</v>
          </cell>
          <cell r="AU170">
            <v>5.7169358129020601E-5</v>
          </cell>
          <cell r="AV170">
            <v>0</v>
          </cell>
          <cell r="AW170">
            <v>0</v>
          </cell>
          <cell r="AY170">
            <v>0</v>
          </cell>
          <cell r="AZ170">
            <v>0</v>
          </cell>
          <cell r="BA170">
            <v>0</v>
          </cell>
          <cell r="BB170">
            <v>0</v>
          </cell>
          <cell r="BC170">
            <v>0</v>
          </cell>
          <cell r="BD170">
            <v>0</v>
          </cell>
          <cell r="BE170">
            <v>0</v>
          </cell>
          <cell r="BF170">
            <v>0</v>
          </cell>
          <cell r="BG170">
            <v>0</v>
          </cell>
          <cell r="BH170">
            <v>0</v>
          </cell>
          <cell r="BJ170">
            <v>0</v>
          </cell>
          <cell r="BL170">
            <v>0</v>
          </cell>
          <cell r="BM170">
            <v>0</v>
          </cell>
          <cell r="BN170">
            <v>0</v>
          </cell>
          <cell r="BO170">
            <v>0</v>
          </cell>
          <cell r="BQ170">
            <v>0</v>
          </cell>
          <cell r="BR170">
            <v>0</v>
          </cell>
          <cell r="BS170">
            <v>0</v>
          </cell>
          <cell r="BT170">
            <v>0</v>
          </cell>
          <cell r="CB170">
            <v>0</v>
          </cell>
          <cell r="CC170">
            <v>0</v>
          </cell>
          <cell r="CD170">
            <v>0</v>
          </cell>
          <cell r="CE170">
            <v>0</v>
          </cell>
          <cell r="CF170">
            <v>0</v>
          </cell>
          <cell r="CI170">
            <v>0</v>
          </cell>
          <cell r="CJ170">
            <v>0</v>
          </cell>
          <cell r="CK170">
            <v>0</v>
          </cell>
          <cell r="CV170">
            <v>5.1589004249023141E-5</v>
          </cell>
          <cell r="DG170">
            <v>2244297</v>
          </cell>
          <cell r="DR170">
            <v>756108.58000000007</v>
          </cell>
          <cell r="EC170">
            <v>2.9682205166882247</v>
          </cell>
          <cell r="EN170">
            <v>2.4095909012463064E-2</v>
          </cell>
        </row>
        <row r="171">
          <cell r="B171">
            <v>34505</v>
          </cell>
          <cell r="C171" t="str">
            <v>Blue Ridge Community College</v>
          </cell>
          <cell r="D171">
            <v>5.5545647658876765E-4</v>
          </cell>
          <cell r="E171">
            <v>961069.21972975775</v>
          </cell>
          <cell r="F171">
            <v>749367.71113582677</v>
          </cell>
          <cell r="G171">
            <v>37200</v>
          </cell>
          <cell r="H171">
            <v>-268172.46226383455</v>
          </cell>
          <cell r="I171">
            <v>-11097.482475741779</v>
          </cell>
          <cell r="J171">
            <v>811007.96659338346</v>
          </cell>
          <cell r="K171">
            <v>0</v>
          </cell>
          <cell r="L171">
            <v>-42611.704908191023</v>
          </cell>
          <cell r="M171">
            <v>7646.975790653265</v>
          </cell>
          <cell r="N171">
            <v>288.27080222003866</v>
          </cell>
          <cell r="O171">
            <v>-130.09346138185526</v>
          </cell>
          <cell r="P171">
            <v>0</v>
          </cell>
          <cell r="Q171">
            <v>0</v>
          </cell>
          <cell r="R171">
            <v>0</v>
          </cell>
          <cell r="S171">
            <v>2244568.4009426916</v>
          </cell>
          <cell r="T171">
            <v>186003.14999999991</v>
          </cell>
          <cell r="U171">
            <v>4055039.8329669177</v>
          </cell>
          <cell r="V171">
            <v>30587.90316261306</v>
          </cell>
          <cell r="W171">
            <v>0</v>
          </cell>
          <cell r="X171">
            <v>4271630.8861295311</v>
          </cell>
          <cell r="Y171">
            <v>0</v>
          </cell>
          <cell r="Z171">
            <v>0</v>
          </cell>
          <cell r="AA171">
            <v>0</v>
          </cell>
          <cell r="AB171">
            <v>55487.412378708897</v>
          </cell>
          <cell r="AC171">
            <v>55487.412378708897</v>
          </cell>
          <cell r="AD171" t="str">
            <v>N/A</v>
          </cell>
          <cell r="AE171">
            <v>844757</v>
          </cell>
          <cell r="AF171">
            <v>844758</v>
          </cell>
          <cell r="AG171">
            <v>844758</v>
          </cell>
          <cell r="AH171">
            <v>844758</v>
          </cell>
          <cell r="AI171">
            <v>837111</v>
          </cell>
          <cell r="AJ171">
            <v>0</v>
          </cell>
          <cell r="AK171">
            <v>4216142</v>
          </cell>
          <cell r="AL171">
            <v>18253907</v>
          </cell>
          <cell r="AM171">
            <v>2244568.4009426916</v>
          </cell>
          <cell r="AN171">
            <v>-550374.14999999991</v>
          </cell>
          <cell r="AO171">
            <v>4030140.3237508219</v>
          </cell>
          <cell r="AP171">
            <v>0</v>
          </cell>
          <cell r="AQ171">
            <v>186003.14999999991</v>
          </cell>
          <cell r="AR171">
            <v>0</v>
          </cell>
          <cell r="AS171">
            <v>0</v>
          </cell>
          <cell r="AT171">
            <v>24164244.724693514</v>
          </cell>
          <cell r="AU171">
            <v>5.5057112825791289E-4</v>
          </cell>
          <cell r="AV171">
            <v>0</v>
          </cell>
          <cell r="AW171">
            <v>0</v>
          </cell>
          <cell r="AY171">
            <v>0</v>
          </cell>
          <cell r="AZ171">
            <v>0</v>
          </cell>
          <cell r="BA171">
            <v>0</v>
          </cell>
          <cell r="BB171">
            <v>0</v>
          </cell>
          <cell r="BC171">
            <v>0</v>
          </cell>
          <cell r="BD171">
            <v>0</v>
          </cell>
          <cell r="BE171">
            <v>0</v>
          </cell>
          <cell r="BF171">
            <v>0</v>
          </cell>
          <cell r="BG171">
            <v>0</v>
          </cell>
          <cell r="BH171">
            <v>0</v>
          </cell>
          <cell r="BJ171">
            <v>0</v>
          </cell>
          <cell r="BL171">
            <v>0</v>
          </cell>
          <cell r="BM171">
            <v>0</v>
          </cell>
          <cell r="BN171">
            <v>0</v>
          </cell>
          <cell r="BO171">
            <v>0</v>
          </cell>
          <cell r="BQ171">
            <v>0</v>
          </cell>
          <cell r="BR171">
            <v>0</v>
          </cell>
          <cell r="BS171">
            <v>0</v>
          </cell>
          <cell r="BT171">
            <v>0</v>
          </cell>
          <cell r="CB171">
            <v>0</v>
          </cell>
          <cell r="CC171">
            <v>0</v>
          </cell>
          <cell r="CD171">
            <v>0</v>
          </cell>
          <cell r="CE171">
            <v>0</v>
          </cell>
          <cell r="CF171">
            <v>0</v>
          </cell>
          <cell r="CI171">
            <v>0</v>
          </cell>
          <cell r="CJ171">
            <v>0</v>
          </cell>
          <cell r="CK171">
            <v>0</v>
          </cell>
          <cell r="CV171">
            <v>5.5545647658876765E-4</v>
          </cell>
          <cell r="DG171">
            <v>24164245</v>
          </cell>
          <cell r="DR171">
            <v>9672640.7699999996</v>
          </cell>
          <cell r="EC171">
            <v>2.4982055650144859</v>
          </cell>
          <cell r="EN171">
            <v>2.4095909012463064E-2</v>
          </cell>
        </row>
        <row r="172">
          <cell r="B172">
            <v>34600</v>
          </cell>
          <cell r="C172" t="str">
            <v>Hertford County Schools</v>
          </cell>
          <cell r="D172">
            <v>1.0584263195967936E-3</v>
          </cell>
          <cell r="E172">
            <v>1831324.325108967</v>
          </cell>
          <cell r="F172">
            <v>1427925.5746429535</v>
          </cell>
          <cell r="G172">
            <v>-158584</v>
          </cell>
          <cell r="H172">
            <v>-511004.55969885475</v>
          </cell>
          <cell r="I172">
            <v>-21146.332842717649</v>
          </cell>
          <cell r="J172">
            <v>1545381.5256899509</v>
          </cell>
          <cell r="K172">
            <v>0</v>
          </cell>
          <cell r="L172">
            <v>-81196.910826754203</v>
          </cell>
          <cell r="M172">
            <v>14571.367484727582</v>
          </cell>
          <cell r="N172">
            <v>549.30209134434392</v>
          </cell>
          <cell r="O172">
            <v>-247.89402831276502</v>
          </cell>
          <cell r="P172">
            <v>0</v>
          </cell>
          <cell r="Q172">
            <v>0</v>
          </cell>
          <cell r="R172">
            <v>0</v>
          </cell>
          <cell r="S172">
            <v>4047572.3976213033</v>
          </cell>
          <cell r="T172">
            <v>31111.170000000042</v>
          </cell>
          <cell r="U172">
            <v>7726907.6284497548</v>
          </cell>
          <cell r="V172">
            <v>58285.469938910326</v>
          </cell>
          <cell r="W172">
            <v>0</v>
          </cell>
          <cell r="X172">
            <v>7816304.2683886653</v>
          </cell>
          <cell r="Y172">
            <v>824032</v>
          </cell>
          <cell r="Z172">
            <v>0</v>
          </cell>
          <cell r="AA172">
            <v>0</v>
          </cell>
          <cell r="AB172">
            <v>105731.66421358824</v>
          </cell>
          <cell r="AC172">
            <v>929763.66421358823</v>
          </cell>
          <cell r="AD172" t="str">
            <v>N/A</v>
          </cell>
          <cell r="AE172">
            <v>1380223</v>
          </cell>
          <cell r="AF172">
            <v>1380222</v>
          </cell>
          <cell r="AG172">
            <v>1380222</v>
          </cell>
          <cell r="AH172">
            <v>1380222</v>
          </cell>
          <cell r="AI172">
            <v>1365650</v>
          </cell>
          <cell r="AJ172">
            <v>0</v>
          </cell>
          <cell r="AK172">
            <v>6886539</v>
          </cell>
          <cell r="AL172">
            <v>36080426</v>
          </cell>
          <cell r="AM172">
            <v>4047572.3976213033</v>
          </cell>
          <cell r="AN172">
            <v>-969396.17</v>
          </cell>
          <cell r="AO172">
            <v>7679461.4341750769</v>
          </cell>
          <cell r="AP172">
            <v>0</v>
          </cell>
          <cell r="AQ172">
            <v>-792920.83</v>
          </cell>
          <cell r="AR172">
            <v>0</v>
          </cell>
          <cell r="AS172">
            <v>0</v>
          </cell>
          <cell r="AT172">
            <v>46045142.831796378</v>
          </cell>
          <cell r="AU172">
            <v>1.0882514752291229E-3</v>
          </cell>
          <cell r="AV172">
            <v>0</v>
          </cell>
          <cell r="AW172">
            <v>0</v>
          </cell>
          <cell r="AY172">
            <v>0</v>
          </cell>
          <cell r="AZ172">
            <v>0</v>
          </cell>
          <cell r="BA172">
            <v>0</v>
          </cell>
          <cell r="BB172">
            <v>0</v>
          </cell>
          <cell r="BC172">
            <v>0</v>
          </cell>
          <cell r="BD172">
            <v>0</v>
          </cell>
          <cell r="BE172">
            <v>0</v>
          </cell>
          <cell r="BF172">
            <v>0</v>
          </cell>
          <cell r="BG172">
            <v>0</v>
          </cell>
          <cell r="BH172">
            <v>0</v>
          </cell>
          <cell r="BJ172">
            <v>0</v>
          </cell>
          <cell r="BL172">
            <v>0</v>
          </cell>
          <cell r="BM172">
            <v>0</v>
          </cell>
          <cell r="BN172">
            <v>0</v>
          </cell>
          <cell r="BO172">
            <v>0</v>
          </cell>
          <cell r="BQ172">
            <v>0</v>
          </cell>
          <cell r="BR172">
            <v>0</v>
          </cell>
          <cell r="BS172">
            <v>0</v>
          </cell>
          <cell r="BT172">
            <v>0</v>
          </cell>
          <cell r="CB172">
            <v>0</v>
          </cell>
          <cell r="CC172">
            <v>0</v>
          </cell>
          <cell r="CD172">
            <v>0</v>
          </cell>
          <cell r="CE172">
            <v>0</v>
          </cell>
          <cell r="CF172">
            <v>0</v>
          </cell>
          <cell r="CI172">
            <v>0</v>
          </cell>
          <cell r="CJ172">
            <v>0</v>
          </cell>
          <cell r="CK172">
            <v>0</v>
          </cell>
          <cell r="CV172">
            <v>1.0584263195967936E-3</v>
          </cell>
          <cell r="DG172">
            <v>46045142</v>
          </cell>
          <cell r="DR172">
            <v>16910461.929999992</v>
          </cell>
          <cell r="EC172">
            <v>2.7228790195443242</v>
          </cell>
          <cell r="EN172">
            <v>2.4095909012463064E-2</v>
          </cell>
        </row>
        <row r="173">
          <cell r="B173">
            <v>34605</v>
          </cell>
          <cell r="C173" t="str">
            <v>Roanoke-Chowan Community College</v>
          </cell>
          <cell r="D173">
            <v>2.4764422203784329E-4</v>
          </cell>
          <cell r="E173">
            <v>428482.24708107725</v>
          </cell>
          <cell r="F173">
            <v>334097.43457164289</v>
          </cell>
          <cell r="G173">
            <v>62984</v>
          </cell>
          <cell r="H173">
            <v>-119561.77232310474</v>
          </cell>
          <cell r="I173">
            <v>-4947.6917276424574</v>
          </cell>
          <cell r="J173">
            <v>361579.07130175503</v>
          </cell>
          <cell r="K173">
            <v>0</v>
          </cell>
          <cell r="L173">
            <v>-18997.964658728233</v>
          </cell>
          <cell r="M173">
            <v>3409.3208926980833</v>
          </cell>
          <cell r="N173">
            <v>128.52239835319992</v>
          </cell>
          <cell r="O173">
            <v>-58.000753243483274</v>
          </cell>
          <cell r="P173">
            <v>0</v>
          </cell>
          <cell r="Q173">
            <v>0</v>
          </cell>
          <cell r="R173">
            <v>0</v>
          </cell>
          <cell r="S173">
            <v>1047115.1667828076</v>
          </cell>
          <cell r="T173">
            <v>314917.58999999997</v>
          </cell>
          <cell r="U173">
            <v>1807895.3565087754</v>
          </cell>
          <cell r="V173">
            <v>13637.283570792333</v>
          </cell>
          <cell r="W173">
            <v>0</v>
          </cell>
          <cell r="X173">
            <v>2136450.230079568</v>
          </cell>
          <cell r="Y173">
            <v>0</v>
          </cell>
          <cell r="Z173">
            <v>0</v>
          </cell>
          <cell r="AA173">
            <v>0</v>
          </cell>
          <cell r="AB173">
            <v>24738.458638212287</v>
          </cell>
          <cell r="AC173">
            <v>24738.458638212287</v>
          </cell>
          <cell r="AD173" t="str">
            <v>N/A</v>
          </cell>
          <cell r="AE173">
            <v>423025</v>
          </cell>
          <cell r="AF173">
            <v>423025</v>
          </cell>
          <cell r="AG173">
            <v>423025</v>
          </cell>
          <cell r="AH173">
            <v>423025</v>
          </cell>
          <cell r="AI173">
            <v>419615</v>
          </cell>
          <cell r="AJ173">
            <v>0</v>
          </cell>
          <cell r="AK173">
            <v>2111715</v>
          </cell>
          <cell r="AL173">
            <v>7856029</v>
          </cell>
          <cell r="AM173">
            <v>1047115.1667828076</v>
          </cell>
          <cell r="AN173">
            <v>-241490.59</v>
          </cell>
          <cell r="AO173">
            <v>1796794.1814413555</v>
          </cell>
          <cell r="AP173">
            <v>0</v>
          </cell>
          <cell r="AQ173">
            <v>314917.58999999997</v>
          </cell>
          <cell r="AR173">
            <v>0</v>
          </cell>
          <cell r="AS173">
            <v>0</v>
          </cell>
          <cell r="AT173">
            <v>10773365.348224163</v>
          </cell>
          <cell r="AU173">
            <v>2.3695216199379654E-4</v>
          </cell>
          <cell r="AV173">
            <v>0</v>
          </cell>
          <cell r="AW173">
            <v>0</v>
          </cell>
          <cell r="AY173">
            <v>0</v>
          </cell>
          <cell r="AZ173">
            <v>0</v>
          </cell>
          <cell r="BA173">
            <v>0</v>
          </cell>
          <cell r="BB173">
            <v>0</v>
          </cell>
          <cell r="BC173">
            <v>0</v>
          </cell>
          <cell r="BD173">
            <v>0</v>
          </cell>
          <cell r="BE173">
            <v>0</v>
          </cell>
          <cell r="BF173">
            <v>0</v>
          </cell>
          <cell r="BG173">
            <v>0</v>
          </cell>
          <cell r="BH173">
            <v>0</v>
          </cell>
          <cell r="BJ173">
            <v>0</v>
          </cell>
          <cell r="BL173">
            <v>0</v>
          </cell>
          <cell r="BM173">
            <v>0</v>
          </cell>
          <cell r="BN173">
            <v>0</v>
          </cell>
          <cell r="BO173">
            <v>0</v>
          </cell>
          <cell r="BQ173">
            <v>0</v>
          </cell>
          <cell r="BR173">
            <v>0</v>
          </cell>
          <cell r="BS173">
            <v>0</v>
          </cell>
          <cell r="BT173">
            <v>0</v>
          </cell>
          <cell r="CB173">
            <v>0</v>
          </cell>
          <cell r="CC173">
            <v>0</v>
          </cell>
          <cell r="CD173">
            <v>0</v>
          </cell>
          <cell r="CE173">
            <v>0</v>
          </cell>
          <cell r="CF173">
            <v>0</v>
          </cell>
          <cell r="CI173">
            <v>0</v>
          </cell>
          <cell r="CJ173">
            <v>0</v>
          </cell>
          <cell r="CK173">
            <v>0</v>
          </cell>
          <cell r="CV173">
            <v>2.4764422203784329E-4</v>
          </cell>
          <cell r="DG173">
            <v>10773365</v>
          </cell>
          <cell r="DR173">
            <v>4201772.21</v>
          </cell>
          <cell r="EC173">
            <v>2.5640050106381183</v>
          </cell>
          <cell r="EN173">
            <v>2.4095909012463064E-2</v>
          </cell>
        </row>
        <row r="174">
          <cell r="B174">
            <v>34700</v>
          </cell>
          <cell r="C174" t="str">
            <v>Hoke County Schools</v>
          </cell>
          <cell r="D174">
            <v>2.9499284301126028E-3</v>
          </cell>
          <cell r="E174">
            <v>5104064.0159569234</v>
          </cell>
          <cell r="F174">
            <v>3979755.7663992965</v>
          </cell>
          <cell r="G174">
            <v>731778</v>
          </cell>
          <cell r="H174">
            <v>-1424215.2246809935</v>
          </cell>
          <cell r="I174">
            <v>-58936.713203730906</v>
          </cell>
          <cell r="J174">
            <v>4307115.964142154</v>
          </cell>
          <cell r="K174">
            <v>0</v>
          </cell>
          <cell r="L174">
            <v>-226303.02294108376</v>
          </cell>
          <cell r="M174">
            <v>40611.699097950586</v>
          </cell>
          <cell r="N174">
            <v>1530.9538566598385</v>
          </cell>
          <cell r="O174">
            <v>-690.90273761667265</v>
          </cell>
          <cell r="P174">
            <v>0</v>
          </cell>
          <cell r="Q174">
            <v>0</v>
          </cell>
          <cell r="R174">
            <v>0</v>
          </cell>
          <cell r="S174">
            <v>12454710.535889557</v>
          </cell>
          <cell r="T174">
            <v>3920876</v>
          </cell>
          <cell r="U174">
            <v>21535579.820710771</v>
          </cell>
          <cell r="V174">
            <v>162446.79639180235</v>
          </cell>
          <cell r="W174">
            <v>0</v>
          </cell>
          <cell r="X174">
            <v>25618902.617102575</v>
          </cell>
          <cell r="Y174">
            <v>261986.9700000002</v>
          </cell>
          <cell r="Z174">
            <v>0</v>
          </cell>
          <cell r="AA174">
            <v>0</v>
          </cell>
          <cell r="AB174">
            <v>294683.5660186545</v>
          </cell>
          <cell r="AC174">
            <v>556670.5360186547</v>
          </cell>
          <cell r="AD174" t="str">
            <v>N/A</v>
          </cell>
          <cell r="AE174">
            <v>5020569</v>
          </cell>
          <cell r="AF174">
            <v>5020569</v>
          </cell>
          <cell r="AG174">
            <v>5020569</v>
          </cell>
          <cell r="AH174">
            <v>5020569</v>
          </cell>
          <cell r="AI174">
            <v>4979957</v>
          </cell>
          <cell r="AJ174">
            <v>0</v>
          </cell>
          <cell r="AK174">
            <v>25062233</v>
          </cell>
          <cell r="AL174">
            <v>93098331</v>
          </cell>
          <cell r="AM174">
            <v>12454710.535889557</v>
          </cell>
          <cell r="AN174">
            <v>-2283360.0299999998</v>
          </cell>
          <cell r="AO174">
            <v>21403343.051083922</v>
          </cell>
          <cell r="AP174">
            <v>0</v>
          </cell>
          <cell r="AQ174">
            <v>3658889.03</v>
          </cell>
          <cell r="AR174">
            <v>0</v>
          </cell>
          <cell r="AS174">
            <v>0</v>
          </cell>
          <cell r="AT174">
            <v>128331913.58697347</v>
          </cell>
          <cell r="AU174">
            <v>2.808015515772702E-3</v>
          </cell>
          <cell r="AV174">
            <v>0</v>
          </cell>
          <cell r="AW174">
            <v>0</v>
          </cell>
          <cell r="AY174">
            <v>0</v>
          </cell>
          <cell r="AZ174">
            <v>0</v>
          </cell>
          <cell r="BA174">
            <v>0</v>
          </cell>
          <cell r="BB174">
            <v>0</v>
          </cell>
          <cell r="BC174">
            <v>0</v>
          </cell>
          <cell r="BD174">
            <v>0</v>
          </cell>
          <cell r="BE174">
            <v>0</v>
          </cell>
          <cell r="BF174">
            <v>0</v>
          </cell>
          <cell r="BG174">
            <v>0</v>
          </cell>
          <cell r="BH174">
            <v>0</v>
          </cell>
          <cell r="BJ174">
            <v>0</v>
          </cell>
          <cell r="BL174">
            <v>0</v>
          </cell>
          <cell r="BM174">
            <v>0</v>
          </cell>
          <cell r="BN174">
            <v>0</v>
          </cell>
          <cell r="BO174">
            <v>0</v>
          </cell>
          <cell r="BQ174">
            <v>0</v>
          </cell>
          <cell r="BR174">
            <v>0</v>
          </cell>
          <cell r="BS174">
            <v>0</v>
          </cell>
          <cell r="BT174">
            <v>0</v>
          </cell>
          <cell r="CB174">
            <v>0</v>
          </cell>
          <cell r="CC174">
            <v>0</v>
          </cell>
          <cell r="CD174">
            <v>0</v>
          </cell>
          <cell r="CE174">
            <v>0</v>
          </cell>
          <cell r="CF174">
            <v>0</v>
          </cell>
          <cell r="CI174">
            <v>0</v>
          </cell>
          <cell r="CJ174">
            <v>0</v>
          </cell>
          <cell r="CK174">
            <v>0</v>
          </cell>
          <cell r="CV174">
            <v>2.9499284301126028E-3</v>
          </cell>
          <cell r="DG174">
            <v>128331914</v>
          </cell>
          <cell r="DR174">
            <v>39591307.19000005</v>
          </cell>
          <cell r="EC174">
            <v>3.2414164398293472</v>
          </cell>
          <cell r="EN174">
            <v>2.4095909012463064E-2</v>
          </cell>
        </row>
        <row r="175">
          <cell r="B175">
            <v>34800</v>
          </cell>
          <cell r="C175" t="str">
            <v>Hyde County Schools</v>
          </cell>
          <cell r="D175">
            <v>3.0197101229566622E-4</v>
          </cell>
          <cell r="E175">
            <v>522480.26155046851</v>
          </cell>
          <cell r="F175">
            <v>407389.84214042005</v>
          </cell>
          <cell r="G175">
            <v>96968</v>
          </cell>
          <cell r="H175">
            <v>-145790.55841954879</v>
          </cell>
          <cell r="I175">
            <v>-6033.0883847343493</v>
          </cell>
          <cell r="J175">
            <v>440900.24506702495</v>
          </cell>
          <cell r="K175">
            <v>0</v>
          </cell>
          <cell r="L175">
            <v>-23165.630808365044</v>
          </cell>
          <cell r="M175">
            <v>4157.2384477093956</v>
          </cell>
          <cell r="N175">
            <v>156.71691596120485</v>
          </cell>
          <cell r="O175">
            <v>-70.724630789767986</v>
          </cell>
          <cell r="P175">
            <v>0</v>
          </cell>
          <cell r="Q175">
            <v>0</v>
          </cell>
          <cell r="R175">
            <v>0</v>
          </cell>
          <cell r="S175">
            <v>1296992.3018781461</v>
          </cell>
          <cell r="T175">
            <v>484837.2</v>
          </cell>
          <cell r="U175">
            <v>2204501.2253351249</v>
          </cell>
          <cell r="V175">
            <v>16628.953790837582</v>
          </cell>
          <cell r="W175">
            <v>0</v>
          </cell>
          <cell r="X175">
            <v>2705967.3791259625</v>
          </cell>
          <cell r="Y175">
            <v>0</v>
          </cell>
          <cell r="Z175">
            <v>0</v>
          </cell>
          <cell r="AA175">
            <v>0</v>
          </cell>
          <cell r="AB175">
            <v>30165.441923671748</v>
          </cell>
          <cell r="AC175">
            <v>30165.441923671748</v>
          </cell>
          <cell r="AD175" t="str">
            <v>N/A</v>
          </cell>
          <cell r="AE175">
            <v>535992</v>
          </cell>
          <cell r="AF175">
            <v>535992</v>
          </cell>
          <cell r="AG175">
            <v>535992</v>
          </cell>
          <cell r="AH175">
            <v>535992</v>
          </cell>
          <cell r="AI175">
            <v>531835</v>
          </cell>
          <cell r="AJ175">
            <v>0</v>
          </cell>
          <cell r="AK175">
            <v>2675803</v>
          </cell>
          <cell r="AL175">
            <v>9466808</v>
          </cell>
          <cell r="AM175">
            <v>1296992.3018781461</v>
          </cell>
          <cell r="AN175">
            <v>-302836.2</v>
          </cell>
          <cell r="AO175">
            <v>2190964.7372022909</v>
          </cell>
          <cell r="AP175">
            <v>0</v>
          </cell>
          <cell r="AQ175">
            <v>484837.2</v>
          </cell>
          <cell r="AR175">
            <v>0</v>
          </cell>
          <cell r="AS175">
            <v>0</v>
          </cell>
          <cell r="AT175">
            <v>13136766.039080437</v>
          </cell>
          <cell r="AU175">
            <v>2.8553619787913319E-4</v>
          </cell>
          <cell r="AV175">
            <v>0</v>
          </cell>
          <cell r="AW175">
            <v>0</v>
          </cell>
          <cell r="AY175">
            <v>0</v>
          </cell>
          <cell r="AZ175">
            <v>0</v>
          </cell>
          <cell r="BA175">
            <v>0</v>
          </cell>
          <cell r="BB175">
            <v>0</v>
          </cell>
          <cell r="BC175">
            <v>0</v>
          </cell>
          <cell r="BD175">
            <v>0</v>
          </cell>
          <cell r="BE175">
            <v>0</v>
          </cell>
          <cell r="BF175">
            <v>0</v>
          </cell>
          <cell r="BG175">
            <v>0</v>
          </cell>
          <cell r="BH175">
            <v>0</v>
          </cell>
          <cell r="BJ175">
            <v>0</v>
          </cell>
          <cell r="BL175">
            <v>0</v>
          </cell>
          <cell r="BM175">
            <v>0</v>
          </cell>
          <cell r="BN175">
            <v>0</v>
          </cell>
          <cell r="BO175">
            <v>0</v>
          </cell>
          <cell r="BQ175">
            <v>0</v>
          </cell>
          <cell r="BR175">
            <v>0</v>
          </cell>
          <cell r="BS175">
            <v>0</v>
          </cell>
          <cell r="BT175">
            <v>0</v>
          </cell>
          <cell r="CB175">
            <v>0</v>
          </cell>
          <cell r="CC175">
            <v>0</v>
          </cell>
          <cell r="CD175">
            <v>0</v>
          </cell>
          <cell r="CE175">
            <v>0</v>
          </cell>
          <cell r="CF175">
            <v>0</v>
          </cell>
          <cell r="CI175">
            <v>0</v>
          </cell>
          <cell r="CJ175">
            <v>0</v>
          </cell>
          <cell r="CK175">
            <v>0</v>
          </cell>
          <cell r="CV175">
            <v>3.0197101229566622E-4</v>
          </cell>
          <cell r="DG175">
            <v>13136765</v>
          </cell>
          <cell r="DR175">
            <v>5121679.4700000016</v>
          </cell>
          <cell r="EC175">
            <v>2.5649330609125363</v>
          </cell>
          <cell r="EN175">
            <v>2.4095909012463064E-2</v>
          </cell>
        </row>
        <row r="176">
          <cell r="B176">
            <v>34900</v>
          </cell>
          <cell r="C176" t="str">
            <v>Iredell County Schools</v>
          </cell>
          <cell r="D176">
            <v>6.4268871434988049E-3</v>
          </cell>
          <cell r="E176">
            <v>11120013.309101295</v>
          </cell>
          <cell r="F176">
            <v>8670529.3959828522</v>
          </cell>
          <cell r="G176">
            <v>-645571</v>
          </cell>
          <cell r="H176">
            <v>-3102878.8439888172</v>
          </cell>
          <cell r="I176">
            <v>-128402.98106984103</v>
          </cell>
          <cell r="J176">
            <v>9383735.5282707773</v>
          </cell>
          <cell r="K176">
            <v>0</v>
          </cell>
          <cell r="L176">
            <v>-493037.04246799269</v>
          </cell>
          <cell r="M176">
            <v>88479.030251692457</v>
          </cell>
          <cell r="N176">
            <v>3335.4258897330096</v>
          </cell>
          <cell r="O176">
            <v>-1505.2412378788551</v>
          </cell>
          <cell r="P176">
            <v>0</v>
          </cell>
          <cell r="Q176">
            <v>0</v>
          </cell>
          <cell r="R176">
            <v>0</v>
          </cell>
          <cell r="S176">
            <v>24894697.58073182</v>
          </cell>
          <cell r="T176">
            <v>0</v>
          </cell>
          <cell r="U176">
            <v>46918677.64135389</v>
          </cell>
          <cell r="V176">
            <v>353916.12100676983</v>
          </cell>
          <cell r="W176">
            <v>0</v>
          </cell>
          <cell r="X176">
            <v>47272593.762360662</v>
          </cell>
          <cell r="Y176">
            <v>3227851.1899999995</v>
          </cell>
          <cell r="Z176">
            <v>0</v>
          </cell>
          <cell r="AA176">
            <v>0</v>
          </cell>
          <cell r="AB176">
            <v>642014.90534920513</v>
          </cell>
          <cell r="AC176">
            <v>3869866.0953492047</v>
          </cell>
          <cell r="AD176" t="str">
            <v>N/A</v>
          </cell>
          <cell r="AE176">
            <v>8698242</v>
          </cell>
          <cell r="AF176">
            <v>8698241</v>
          </cell>
          <cell r="AG176">
            <v>8698241</v>
          </cell>
          <cell r="AH176">
            <v>8698241</v>
          </cell>
          <cell r="AI176">
            <v>8609762</v>
          </cell>
          <cell r="AJ176">
            <v>0</v>
          </cell>
          <cell r="AK176">
            <v>43402727</v>
          </cell>
          <cell r="AL176">
            <v>216810108</v>
          </cell>
          <cell r="AM176">
            <v>24894697.58073182</v>
          </cell>
          <cell r="AN176">
            <v>-5516097.8100000005</v>
          </cell>
          <cell r="AO176">
            <v>46630578.85701146</v>
          </cell>
          <cell r="AP176">
            <v>0</v>
          </cell>
          <cell r="AQ176">
            <v>-3227851.1899999995</v>
          </cell>
          <cell r="AR176">
            <v>0</v>
          </cell>
          <cell r="AS176">
            <v>0</v>
          </cell>
          <cell r="AT176">
            <v>279591435.43774325</v>
          </cell>
          <cell r="AU176">
            <v>6.5393884122890216E-3</v>
          </cell>
          <cell r="AV176">
            <v>0</v>
          </cell>
          <cell r="AW176">
            <v>0</v>
          </cell>
          <cell r="AY176">
            <v>0</v>
          </cell>
          <cell r="AZ176">
            <v>0</v>
          </cell>
          <cell r="BA176">
            <v>0</v>
          </cell>
          <cell r="BB176">
            <v>0</v>
          </cell>
          <cell r="BC176">
            <v>0</v>
          </cell>
          <cell r="BD176">
            <v>0</v>
          </cell>
          <cell r="BE176">
            <v>0</v>
          </cell>
          <cell r="BF176">
            <v>0</v>
          </cell>
          <cell r="BG176">
            <v>0</v>
          </cell>
          <cell r="BH176">
            <v>0</v>
          </cell>
          <cell r="BJ176">
            <v>0</v>
          </cell>
          <cell r="BL176">
            <v>0</v>
          </cell>
          <cell r="BM176">
            <v>0</v>
          </cell>
          <cell r="BN176">
            <v>0</v>
          </cell>
          <cell r="BO176">
            <v>0</v>
          </cell>
          <cell r="BQ176">
            <v>0</v>
          </cell>
          <cell r="BR176">
            <v>0</v>
          </cell>
          <cell r="BS176">
            <v>0</v>
          </cell>
          <cell r="BT176">
            <v>0</v>
          </cell>
          <cell r="CB176">
            <v>0</v>
          </cell>
          <cell r="CC176">
            <v>0</v>
          </cell>
          <cell r="CD176">
            <v>0</v>
          </cell>
          <cell r="CE176">
            <v>0</v>
          </cell>
          <cell r="CF176">
            <v>0</v>
          </cell>
          <cell r="CI176">
            <v>0</v>
          </cell>
          <cell r="CJ176">
            <v>0</v>
          </cell>
          <cell r="CK176">
            <v>0</v>
          </cell>
          <cell r="CV176">
            <v>6.4268871434988049E-3</v>
          </cell>
          <cell r="DG176">
            <v>279591436</v>
          </cell>
          <cell r="DR176">
            <v>96933813.520000041</v>
          </cell>
          <cell r="EC176">
            <v>2.8843540334076798</v>
          </cell>
          <cell r="EN176">
            <v>2.4095909012463064E-2</v>
          </cell>
        </row>
        <row r="177">
          <cell r="B177">
            <v>34901</v>
          </cell>
          <cell r="C177" t="str">
            <v>American Renaissance Middle School</v>
          </cell>
          <cell r="D177">
            <v>1.6389090689676063E-4</v>
          </cell>
          <cell r="E177">
            <v>283569.4832102661</v>
          </cell>
          <cell r="F177">
            <v>221105.62925009546</v>
          </cell>
          <cell r="G177">
            <v>47511</v>
          </cell>
          <cell r="H177">
            <v>-79125.961974688282</v>
          </cell>
          <cell r="I177">
            <v>-3274.3816012190641</v>
          </cell>
          <cell r="J177">
            <v>239292.97208265768</v>
          </cell>
          <cell r="K177">
            <v>0</v>
          </cell>
          <cell r="L177">
            <v>-12572.850000254719</v>
          </cell>
          <cell r="M177">
            <v>2256.2880264615142</v>
          </cell>
          <cell r="N177">
            <v>85.056102861280834</v>
          </cell>
          <cell r="O177">
            <v>-38.384889304290304</v>
          </cell>
          <cell r="P177">
            <v>0</v>
          </cell>
          <cell r="Q177">
            <v>0</v>
          </cell>
          <cell r="R177">
            <v>0</v>
          </cell>
          <cell r="S177">
            <v>698808.85020687571</v>
          </cell>
          <cell r="T177">
            <v>255662</v>
          </cell>
          <cell r="U177">
            <v>1196464.8604132885</v>
          </cell>
          <cell r="V177">
            <v>9025.1521058460567</v>
          </cell>
          <cell r="W177">
            <v>0</v>
          </cell>
          <cell r="X177">
            <v>1461152.0125191344</v>
          </cell>
          <cell r="Y177">
            <v>18112.839999999982</v>
          </cell>
          <cell r="Z177">
            <v>0</v>
          </cell>
          <cell r="AA177">
            <v>0</v>
          </cell>
          <cell r="AB177">
            <v>16371.90800609532</v>
          </cell>
          <cell r="AC177">
            <v>34484.748006095302</v>
          </cell>
          <cell r="AD177" t="str">
            <v>N/A</v>
          </cell>
          <cell r="AE177">
            <v>285784</v>
          </cell>
          <cell r="AF177">
            <v>285786</v>
          </cell>
          <cell r="AG177">
            <v>285786</v>
          </cell>
          <cell r="AH177">
            <v>285786</v>
          </cell>
          <cell r="AI177">
            <v>283530</v>
          </cell>
          <cell r="AJ177">
            <v>0</v>
          </cell>
          <cell r="AK177">
            <v>1426672</v>
          </cell>
          <cell r="AL177">
            <v>5126925</v>
          </cell>
          <cell r="AM177">
            <v>698808.85020687571</v>
          </cell>
          <cell r="AN177">
            <v>-122589.16000000002</v>
          </cell>
          <cell r="AO177">
            <v>1189118.1045130391</v>
          </cell>
          <cell r="AP177">
            <v>0</v>
          </cell>
          <cell r="AQ177">
            <v>237549.16000000003</v>
          </cell>
          <cell r="AR177">
            <v>0</v>
          </cell>
          <cell r="AS177">
            <v>0</v>
          </cell>
          <cell r="AT177">
            <v>7129811.9547199151</v>
          </cell>
          <cell r="AU177">
            <v>1.5463741092972694E-4</v>
          </cell>
          <cell r="AV177">
            <v>0</v>
          </cell>
          <cell r="AW177">
            <v>0</v>
          </cell>
          <cell r="AY177">
            <v>0</v>
          </cell>
          <cell r="AZ177">
            <v>0</v>
          </cell>
          <cell r="BA177">
            <v>0</v>
          </cell>
          <cell r="BB177">
            <v>0</v>
          </cell>
          <cell r="BC177">
            <v>0</v>
          </cell>
          <cell r="BD177">
            <v>0</v>
          </cell>
          <cell r="BE177">
            <v>0</v>
          </cell>
          <cell r="BF177">
            <v>0</v>
          </cell>
          <cell r="BG177">
            <v>0</v>
          </cell>
          <cell r="BH177">
            <v>0</v>
          </cell>
          <cell r="BJ177">
            <v>0</v>
          </cell>
          <cell r="BL177">
            <v>0</v>
          </cell>
          <cell r="BM177">
            <v>0</v>
          </cell>
          <cell r="BN177">
            <v>0</v>
          </cell>
          <cell r="BO177">
            <v>0</v>
          </cell>
          <cell r="BQ177">
            <v>0</v>
          </cell>
          <cell r="BR177">
            <v>0</v>
          </cell>
          <cell r="BS177">
            <v>0</v>
          </cell>
          <cell r="BT177">
            <v>0</v>
          </cell>
          <cell r="CB177">
            <v>0</v>
          </cell>
          <cell r="CC177">
            <v>0</v>
          </cell>
          <cell r="CD177">
            <v>0</v>
          </cell>
          <cell r="CE177">
            <v>0</v>
          </cell>
          <cell r="CF177">
            <v>0</v>
          </cell>
          <cell r="CI177">
            <v>0</v>
          </cell>
          <cell r="CJ177">
            <v>0</v>
          </cell>
          <cell r="CK177">
            <v>0</v>
          </cell>
          <cell r="CV177">
            <v>1.6389090689676063E-4</v>
          </cell>
          <cell r="DG177">
            <v>7129812</v>
          </cell>
          <cell r="DR177">
            <v>2162233.81</v>
          </cell>
          <cell r="EC177">
            <v>3.2974287826902495</v>
          </cell>
          <cell r="EN177">
            <v>2.4095909012463064E-2</v>
          </cell>
        </row>
        <row r="178">
          <cell r="B178">
            <v>34903</v>
          </cell>
          <cell r="C178" t="str">
            <v>Success Institute</v>
          </cell>
          <cell r="D178">
            <v>1.0277800466765437E-5</v>
          </cell>
          <cell r="E178">
            <v>17782.99127196124</v>
          </cell>
          <cell r="F178">
            <v>13865.806117862256</v>
          </cell>
          <cell r="G178">
            <v>-27445</v>
          </cell>
          <cell r="H178">
            <v>-4962.0864532099895</v>
          </cell>
          <cell r="I178">
            <v>-205.34049988860383</v>
          </cell>
          <cell r="J178">
            <v>15006.356769470283</v>
          </cell>
          <cell r="K178">
            <v>0</v>
          </cell>
          <cell r="L178">
            <v>-788.45889651821733</v>
          </cell>
          <cell r="M178">
            <v>141.49459888052991</v>
          </cell>
          <cell r="N178">
            <v>5.3339728862419262</v>
          </cell>
          <cell r="O178">
            <v>-2.4071636473211329</v>
          </cell>
          <cell r="P178">
            <v>0</v>
          </cell>
          <cell r="Q178">
            <v>0</v>
          </cell>
          <cell r="R178">
            <v>0</v>
          </cell>
          <cell r="S178">
            <v>13398.689717796418</v>
          </cell>
          <cell r="T178">
            <v>5130.6699999999983</v>
          </cell>
          <cell r="U178">
            <v>75031.783847351413</v>
          </cell>
          <cell r="V178">
            <v>565.97839552211963</v>
          </cell>
          <cell r="W178">
            <v>0</v>
          </cell>
          <cell r="X178">
            <v>80728.432242873532</v>
          </cell>
          <cell r="Y178">
            <v>142353</v>
          </cell>
          <cell r="Z178">
            <v>0</v>
          </cell>
          <cell r="AA178">
            <v>0</v>
          </cell>
          <cell r="AB178">
            <v>1026.7024994430192</v>
          </cell>
          <cell r="AC178">
            <v>143379.70249944302</v>
          </cell>
          <cell r="AD178" t="str">
            <v>N/A</v>
          </cell>
          <cell r="AE178">
            <v>-12502</v>
          </cell>
          <cell r="AF178">
            <v>-12502</v>
          </cell>
          <cell r="AG178">
            <v>-12502</v>
          </cell>
          <cell r="AH178">
            <v>-12502</v>
          </cell>
          <cell r="AI178">
            <v>-12644</v>
          </cell>
          <cell r="AJ178">
            <v>0</v>
          </cell>
          <cell r="AK178">
            <v>-62652</v>
          </cell>
          <cell r="AL178">
            <v>511579</v>
          </cell>
          <cell r="AM178">
            <v>13398.689717796418</v>
          </cell>
          <cell r="AN178">
            <v>-15207.669999999998</v>
          </cell>
          <cell r="AO178">
            <v>74571.059743430524</v>
          </cell>
          <cell r="AP178">
            <v>0</v>
          </cell>
          <cell r="AQ178">
            <v>-137222.33000000002</v>
          </cell>
          <cell r="AR178">
            <v>0</v>
          </cell>
          <cell r="AS178">
            <v>0</v>
          </cell>
          <cell r="AT178">
            <v>447118.74946122692</v>
          </cell>
          <cell r="AU178">
            <v>1.5430163940450943E-5</v>
          </cell>
          <cell r="AV178">
            <v>0</v>
          </cell>
          <cell r="AW178">
            <v>0</v>
          </cell>
          <cell r="AY178">
            <v>0</v>
          </cell>
          <cell r="AZ178">
            <v>0</v>
          </cell>
          <cell r="BA178">
            <v>0</v>
          </cell>
          <cell r="BB178">
            <v>0</v>
          </cell>
          <cell r="BC178">
            <v>0</v>
          </cell>
          <cell r="BD178">
            <v>0</v>
          </cell>
          <cell r="BE178">
            <v>0</v>
          </cell>
          <cell r="BF178">
            <v>0</v>
          </cell>
          <cell r="BG178">
            <v>0</v>
          </cell>
          <cell r="BH178">
            <v>0</v>
          </cell>
          <cell r="BJ178">
            <v>0</v>
          </cell>
          <cell r="BL178">
            <v>0</v>
          </cell>
          <cell r="BM178">
            <v>0</v>
          </cell>
          <cell r="BN178">
            <v>0</v>
          </cell>
          <cell r="BO178">
            <v>0</v>
          </cell>
          <cell r="BQ178">
            <v>0</v>
          </cell>
          <cell r="BR178">
            <v>0</v>
          </cell>
          <cell r="BS178">
            <v>0</v>
          </cell>
          <cell r="BT178">
            <v>0</v>
          </cell>
          <cell r="CB178">
            <v>0</v>
          </cell>
          <cell r="CC178">
            <v>0</v>
          </cell>
          <cell r="CD178">
            <v>0</v>
          </cell>
          <cell r="CE178">
            <v>0</v>
          </cell>
          <cell r="CF178">
            <v>0</v>
          </cell>
          <cell r="CI178">
            <v>0</v>
          </cell>
          <cell r="CJ178">
            <v>0</v>
          </cell>
          <cell r="CK178">
            <v>0</v>
          </cell>
          <cell r="CV178">
            <v>1.0277800466765437E-5</v>
          </cell>
          <cell r="DG178">
            <v>447119</v>
          </cell>
          <cell r="DR178">
            <v>241292.06</v>
          </cell>
          <cell r="EC178">
            <v>1.8530199460355223</v>
          </cell>
          <cell r="EN178">
            <v>2.4095909012463064E-2</v>
          </cell>
        </row>
        <row r="179">
          <cell r="B179">
            <v>34905</v>
          </cell>
          <cell r="C179" t="str">
            <v>Mitchell Community College</v>
          </cell>
          <cell r="D179">
            <v>6.4680458820755033E-4</v>
          </cell>
          <cell r="E179">
            <v>1119122.7523780898</v>
          </cell>
          <cell r="F179">
            <v>872605.67523472523</v>
          </cell>
          <cell r="G179">
            <v>-278301</v>
          </cell>
          <cell r="H179">
            <v>-312275.01403603569</v>
          </cell>
          <cell r="I179">
            <v>-12922.529280681752</v>
          </cell>
          <cell r="J179">
            <v>944383.03624972759</v>
          </cell>
          <cell r="K179">
            <v>0</v>
          </cell>
          <cell r="L179">
            <v>-49619.452482087574</v>
          </cell>
          <cell r="M179">
            <v>8904.5663085650485</v>
          </cell>
          <cell r="N179">
            <v>335.67864518795449</v>
          </cell>
          <cell r="O179">
            <v>-151.48810260409036</v>
          </cell>
          <cell r="P179">
            <v>0</v>
          </cell>
          <cell r="Q179">
            <v>0</v>
          </cell>
          <cell r="R179">
            <v>0</v>
          </cell>
          <cell r="S179">
            <v>2292082.2249148865</v>
          </cell>
          <cell r="T179">
            <v>4387.6899999999441</v>
          </cell>
          <cell r="U179">
            <v>4721915.1812486378</v>
          </cell>
          <cell r="V179">
            <v>35618.265234260194</v>
          </cell>
          <cell r="W179">
            <v>0</v>
          </cell>
          <cell r="X179">
            <v>4761921.1364828981</v>
          </cell>
          <cell r="Y179">
            <v>1395896</v>
          </cell>
          <cell r="Z179">
            <v>0</v>
          </cell>
          <cell r="AA179">
            <v>0</v>
          </cell>
          <cell r="AB179">
            <v>64612.646403408755</v>
          </cell>
          <cell r="AC179">
            <v>1460508.6464034088</v>
          </cell>
          <cell r="AD179" t="str">
            <v>N/A</v>
          </cell>
          <cell r="AE179">
            <v>662064</v>
          </cell>
          <cell r="AF179">
            <v>662063</v>
          </cell>
          <cell r="AG179">
            <v>662063</v>
          </cell>
          <cell r="AH179">
            <v>662063</v>
          </cell>
          <cell r="AI179">
            <v>653159</v>
          </cell>
          <cell r="AJ179">
            <v>0</v>
          </cell>
          <cell r="AK179">
            <v>3301412</v>
          </cell>
          <cell r="AL179">
            <v>23119553</v>
          </cell>
          <cell r="AM179">
            <v>2292082.2249148865</v>
          </cell>
          <cell r="AN179">
            <v>-574849.68999999994</v>
          </cell>
          <cell r="AO179">
            <v>4692920.8000794901</v>
          </cell>
          <cell r="AP179">
            <v>0</v>
          </cell>
          <cell r="AQ179">
            <v>-1391508.31</v>
          </cell>
          <cell r="AR179">
            <v>0</v>
          </cell>
          <cell r="AS179">
            <v>0</v>
          </cell>
          <cell r="AT179">
            <v>28138198.024994377</v>
          </cell>
          <cell r="AU179">
            <v>6.9732791259809873E-4</v>
          </cell>
          <cell r="AV179">
            <v>0</v>
          </cell>
          <cell r="AW179">
            <v>0</v>
          </cell>
          <cell r="AY179">
            <v>0</v>
          </cell>
          <cell r="AZ179">
            <v>0</v>
          </cell>
          <cell r="BA179">
            <v>0</v>
          </cell>
          <cell r="BB179">
            <v>0</v>
          </cell>
          <cell r="BC179">
            <v>0</v>
          </cell>
          <cell r="BD179">
            <v>0</v>
          </cell>
          <cell r="BE179">
            <v>0</v>
          </cell>
          <cell r="BF179">
            <v>0</v>
          </cell>
          <cell r="BG179">
            <v>0</v>
          </cell>
          <cell r="BH179">
            <v>0</v>
          </cell>
          <cell r="BJ179">
            <v>0</v>
          </cell>
          <cell r="BL179">
            <v>0</v>
          </cell>
          <cell r="BM179">
            <v>0</v>
          </cell>
          <cell r="BN179">
            <v>0</v>
          </cell>
          <cell r="BO179">
            <v>0</v>
          </cell>
          <cell r="BQ179">
            <v>0</v>
          </cell>
          <cell r="BR179">
            <v>0</v>
          </cell>
          <cell r="BS179">
            <v>0</v>
          </cell>
          <cell r="BT179">
            <v>0</v>
          </cell>
          <cell r="CB179">
            <v>0</v>
          </cell>
          <cell r="CC179">
            <v>0</v>
          </cell>
          <cell r="CD179">
            <v>0</v>
          </cell>
          <cell r="CE179">
            <v>0</v>
          </cell>
          <cell r="CF179">
            <v>0</v>
          </cell>
          <cell r="CI179">
            <v>0</v>
          </cell>
          <cell r="CJ179">
            <v>0</v>
          </cell>
          <cell r="CK179">
            <v>0</v>
          </cell>
          <cell r="CV179">
            <v>6.4680458820755033E-4</v>
          </cell>
          <cell r="DG179">
            <v>28138198</v>
          </cell>
          <cell r="DR179">
            <v>10185169.599999998</v>
          </cell>
          <cell r="EC179">
            <v>2.7626636673777143</v>
          </cell>
          <cell r="EN179">
            <v>2.4095909012463064E-2</v>
          </cell>
        </row>
        <row r="180">
          <cell r="B180">
            <v>34910</v>
          </cell>
          <cell r="C180" t="str">
            <v>Mooresville City Schools</v>
          </cell>
          <cell r="D180">
            <v>2.0249211906262152E-3</v>
          </cell>
          <cell r="E180">
            <v>3503585.8086324492</v>
          </cell>
          <cell r="F180">
            <v>2731826.2038619011</v>
          </cell>
          <cell r="G180">
            <v>292746</v>
          </cell>
          <cell r="H180">
            <v>-977624.93456796731</v>
          </cell>
          <cell r="I180">
            <v>-40455.964373189592</v>
          </cell>
          <cell r="J180">
            <v>2956536.2661842597</v>
          </cell>
          <cell r="K180">
            <v>0</v>
          </cell>
          <cell r="L180">
            <v>-155341.32353125568</v>
          </cell>
          <cell r="M180">
            <v>27877.113644969562</v>
          </cell>
          <cell r="N180">
            <v>1050.8935995111931</v>
          </cell>
          <cell r="O180">
            <v>-474.25679205656587</v>
          </cell>
          <cell r="P180">
            <v>0</v>
          </cell>
          <cell r="Q180">
            <v>0</v>
          </cell>
          <cell r="R180">
            <v>0</v>
          </cell>
          <cell r="S180">
            <v>8339725.80665862</v>
          </cell>
          <cell r="T180">
            <v>1563174</v>
          </cell>
          <cell r="U180">
            <v>14782681.3309213</v>
          </cell>
          <cell r="V180">
            <v>111508.45457987825</v>
          </cell>
          <cell r="W180">
            <v>0</v>
          </cell>
          <cell r="X180">
            <v>16457363.785501178</v>
          </cell>
          <cell r="Y180">
            <v>99443.689999999944</v>
          </cell>
          <cell r="Z180">
            <v>0</v>
          </cell>
          <cell r="AA180">
            <v>0</v>
          </cell>
          <cell r="AB180">
            <v>202279.82186594795</v>
          </cell>
          <cell r="AC180">
            <v>301723.51186594786</v>
          </cell>
          <cell r="AD180" t="str">
            <v>N/A</v>
          </cell>
          <cell r="AE180">
            <v>3236703</v>
          </cell>
          <cell r="AF180">
            <v>3236703</v>
          </cell>
          <cell r="AG180">
            <v>3236703</v>
          </cell>
          <cell r="AH180">
            <v>3236703</v>
          </cell>
          <cell r="AI180">
            <v>3208826</v>
          </cell>
          <cell r="AJ180">
            <v>0</v>
          </cell>
          <cell r="AK180">
            <v>16155638</v>
          </cell>
          <cell r="AL180">
            <v>65259427</v>
          </cell>
          <cell r="AM180">
            <v>8339725.80665862</v>
          </cell>
          <cell r="AN180">
            <v>-1663838.31</v>
          </cell>
          <cell r="AO180">
            <v>14691909.96363523</v>
          </cell>
          <cell r="AP180">
            <v>0</v>
          </cell>
          <cell r="AQ180">
            <v>1463730.31</v>
          </cell>
          <cell r="AR180">
            <v>0</v>
          </cell>
          <cell r="AS180">
            <v>0</v>
          </cell>
          <cell r="AT180">
            <v>88090954.770293862</v>
          </cell>
          <cell r="AU180">
            <v>1.9683433939587879E-3</v>
          </cell>
          <cell r="AV180">
            <v>0</v>
          </cell>
          <cell r="AW180">
            <v>0</v>
          </cell>
          <cell r="AY180">
            <v>0</v>
          </cell>
          <cell r="AZ180">
            <v>0</v>
          </cell>
          <cell r="BA180">
            <v>0</v>
          </cell>
          <cell r="BB180">
            <v>0</v>
          </cell>
          <cell r="BC180">
            <v>0</v>
          </cell>
          <cell r="BD180">
            <v>0</v>
          </cell>
          <cell r="BE180">
            <v>0</v>
          </cell>
          <cell r="BF180">
            <v>0</v>
          </cell>
          <cell r="BG180">
            <v>0</v>
          </cell>
          <cell r="BH180">
            <v>0</v>
          </cell>
          <cell r="BJ180">
            <v>0</v>
          </cell>
          <cell r="BL180">
            <v>0</v>
          </cell>
          <cell r="BM180">
            <v>0</v>
          </cell>
          <cell r="BN180">
            <v>0</v>
          </cell>
          <cell r="BO180">
            <v>0</v>
          </cell>
          <cell r="BQ180">
            <v>0</v>
          </cell>
          <cell r="BR180">
            <v>0</v>
          </cell>
          <cell r="BS180">
            <v>0</v>
          </cell>
          <cell r="BT180">
            <v>0</v>
          </cell>
          <cell r="CB180">
            <v>0</v>
          </cell>
          <cell r="CC180">
            <v>0</v>
          </cell>
          <cell r="CD180">
            <v>0</v>
          </cell>
          <cell r="CE180">
            <v>0</v>
          </cell>
          <cell r="CF180">
            <v>0</v>
          </cell>
          <cell r="CI180">
            <v>0</v>
          </cell>
          <cell r="CJ180">
            <v>0</v>
          </cell>
          <cell r="CK180">
            <v>0</v>
          </cell>
          <cell r="CV180">
            <v>2.0249211906262152E-3</v>
          </cell>
          <cell r="DG180">
            <v>88090955</v>
          </cell>
          <cell r="DR180">
            <v>28760253.99000001</v>
          </cell>
          <cell r="EC180">
            <v>3.0629407873320376</v>
          </cell>
          <cell r="EN180">
            <v>2.4095909012463064E-2</v>
          </cell>
        </row>
        <row r="181">
          <cell r="B181">
            <v>35000</v>
          </cell>
          <cell r="C181" t="str">
            <v>Jackson County Schools</v>
          </cell>
          <cell r="D181">
            <v>1.3013259753777465E-3</v>
          </cell>
          <cell r="E181">
            <v>2251597.3662798544</v>
          </cell>
          <cell r="F181">
            <v>1755622.1031020361</v>
          </cell>
          <cell r="G181">
            <v>-42224</v>
          </cell>
          <cell r="H181">
            <v>-628275.67187285447</v>
          </cell>
          <cell r="I181">
            <v>-25999.232731377164</v>
          </cell>
          <cell r="J181">
            <v>1900033.1756823007</v>
          </cell>
          <cell r="K181">
            <v>0</v>
          </cell>
          <cell r="L181">
            <v>-99830.897269767709</v>
          </cell>
          <cell r="M181">
            <v>17915.369878438294</v>
          </cell>
          <cell r="N181">
            <v>675.36215470154286</v>
          </cell>
          <cell r="O181">
            <v>-304.78355669322201</v>
          </cell>
          <cell r="P181">
            <v>0</v>
          </cell>
          <cell r="Q181">
            <v>0</v>
          </cell>
          <cell r="R181">
            <v>0</v>
          </cell>
          <cell r="S181">
            <v>5129208.791666639</v>
          </cell>
          <cell r="T181">
            <v>0</v>
          </cell>
          <cell r="U181">
            <v>9500165.8784115035</v>
          </cell>
          <cell r="V181">
            <v>71661.479513753176</v>
          </cell>
          <cell r="W181">
            <v>0</v>
          </cell>
          <cell r="X181">
            <v>9571827.3579252567</v>
          </cell>
          <cell r="Y181">
            <v>211122.25</v>
          </cell>
          <cell r="Z181">
            <v>0</v>
          </cell>
          <cell r="AA181">
            <v>0</v>
          </cell>
          <cell r="AB181">
            <v>129996.16365688581</v>
          </cell>
          <cell r="AC181">
            <v>341118.41365688579</v>
          </cell>
          <cell r="AD181" t="str">
            <v>N/A</v>
          </cell>
          <cell r="AE181">
            <v>1849725</v>
          </cell>
          <cell r="AF181">
            <v>1849724</v>
          </cell>
          <cell r="AG181">
            <v>1849724</v>
          </cell>
          <cell r="AH181">
            <v>1849724</v>
          </cell>
          <cell r="AI181">
            <v>1831809</v>
          </cell>
          <cell r="AJ181">
            <v>0</v>
          </cell>
          <cell r="AK181">
            <v>9230706</v>
          </cell>
          <cell r="AL181">
            <v>43375569</v>
          </cell>
          <cell r="AM181">
            <v>5129208.791666639</v>
          </cell>
          <cell r="AN181">
            <v>-1123383.75</v>
          </cell>
          <cell r="AO181">
            <v>9441831.1942683719</v>
          </cell>
          <cell r="AP181">
            <v>0</v>
          </cell>
          <cell r="AQ181">
            <v>-211122.25</v>
          </cell>
          <cell r="AR181">
            <v>0</v>
          </cell>
          <cell r="AS181">
            <v>0</v>
          </cell>
          <cell r="AT181">
            <v>56612102.985935017</v>
          </cell>
          <cell r="AU181">
            <v>1.3082863040847189E-3</v>
          </cell>
          <cell r="AV181">
            <v>0</v>
          </cell>
          <cell r="AW181">
            <v>0</v>
          </cell>
          <cell r="AY181">
            <v>0</v>
          </cell>
          <cell r="AZ181">
            <v>0</v>
          </cell>
          <cell r="BA181">
            <v>0</v>
          </cell>
          <cell r="BB181">
            <v>0</v>
          </cell>
          <cell r="BC181">
            <v>0</v>
          </cell>
          <cell r="BD181">
            <v>0</v>
          </cell>
          <cell r="BE181">
            <v>0</v>
          </cell>
          <cell r="BF181">
            <v>0</v>
          </cell>
          <cell r="BG181">
            <v>0</v>
          </cell>
          <cell r="BH181">
            <v>0</v>
          </cell>
          <cell r="BJ181">
            <v>0</v>
          </cell>
          <cell r="BL181">
            <v>0</v>
          </cell>
          <cell r="BM181">
            <v>0</v>
          </cell>
          <cell r="BN181">
            <v>0</v>
          </cell>
          <cell r="BO181">
            <v>0</v>
          </cell>
          <cell r="BQ181">
            <v>0</v>
          </cell>
          <cell r="BR181">
            <v>0</v>
          </cell>
          <cell r="BS181">
            <v>0</v>
          </cell>
          <cell r="BT181">
            <v>0</v>
          </cell>
          <cell r="CB181">
            <v>0</v>
          </cell>
          <cell r="CC181">
            <v>0</v>
          </cell>
          <cell r="CD181">
            <v>0</v>
          </cell>
          <cell r="CE181">
            <v>0</v>
          </cell>
          <cell r="CF181">
            <v>0</v>
          </cell>
          <cell r="CI181">
            <v>0</v>
          </cell>
          <cell r="CJ181">
            <v>0</v>
          </cell>
          <cell r="CK181">
            <v>0</v>
          </cell>
          <cell r="CV181">
            <v>1.3013259753777465E-3</v>
          </cell>
          <cell r="DG181">
            <v>56612103</v>
          </cell>
          <cell r="DR181">
            <v>18923949.79000001</v>
          </cell>
          <cell r="EC181">
            <v>2.9915585080401956</v>
          </cell>
          <cell r="EN181">
            <v>2.4095909012463064E-2</v>
          </cell>
        </row>
        <row r="182">
          <cell r="B182">
            <v>35005</v>
          </cell>
          <cell r="C182" t="str">
            <v>Southwestern Community College</v>
          </cell>
          <cell r="D182">
            <v>6.1334207961408302E-4</v>
          </cell>
          <cell r="E182">
            <v>1061224.8100917251</v>
          </cell>
          <cell r="F182">
            <v>827461.32184173318</v>
          </cell>
          <cell r="G182">
            <v>48096</v>
          </cell>
          <cell r="H182">
            <v>-296119.43083328812</v>
          </cell>
          <cell r="I182">
            <v>-12253.980765430049</v>
          </cell>
          <cell r="J182">
            <v>895525.27295895328</v>
          </cell>
          <cell r="K182">
            <v>0</v>
          </cell>
          <cell r="L182">
            <v>-47052.384490677156</v>
          </cell>
          <cell r="M182">
            <v>8443.8875625357414</v>
          </cell>
          <cell r="N182">
            <v>318.31227247811682</v>
          </cell>
          <cell r="O182">
            <v>-143.65084846641437</v>
          </cell>
          <cell r="P182">
            <v>0</v>
          </cell>
          <cell r="Q182">
            <v>0</v>
          </cell>
          <cell r="R182">
            <v>0</v>
          </cell>
          <cell r="S182">
            <v>2485500.1577895633</v>
          </cell>
          <cell r="T182">
            <v>240482.01</v>
          </cell>
          <cell r="U182">
            <v>4477626.3647947665</v>
          </cell>
          <cell r="V182">
            <v>33775.550250142966</v>
          </cell>
          <cell r="W182">
            <v>0</v>
          </cell>
          <cell r="X182">
            <v>4751883.9250449091</v>
          </cell>
          <cell r="Y182">
            <v>0</v>
          </cell>
          <cell r="Z182">
            <v>0</v>
          </cell>
          <cell r="AA182">
            <v>0</v>
          </cell>
          <cell r="AB182">
            <v>61269.90382715025</v>
          </cell>
          <cell r="AC182">
            <v>61269.90382715025</v>
          </cell>
          <cell r="AD182" t="str">
            <v>N/A</v>
          </cell>
          <cell r="AE182">
            <v>939811</v>
          </cell>
          <cell r="AF182">
            <v>939811</v>
          </cell>
          <cell r="AG182">
            <v>939811</v>
          </cell>
          <cell r="AH182">
            <v>939811</v>
          </cell>
          <cell r="AI182">
            <v>931367</v>
          </cell>
          <cell r="AJ182">
            <v>0</v>
          </cell>
          <cell r="AK182">
            <v>4690611</v>
          </cell>
          <cell r="AL182">
            <v>20053303</v>
          </cell>
          <cell r="AM182">
            <v>2485500.1577895633</v>
          </cell>
          <cell r="AN182">
            <v>-546952.01</v>
          </cell>
          <cell r="AO182">
            <v>4450132.0112177599</v>
          </cell>
          <cell r="AP182">
            <v>0</v>
          </cell>
          <cell r="AQ182">
            <v>240482.01</v>
          </cell>
          <cell r="AR182">
            <v>0</v>
          </cell>
          <cell r="AS182">
            <v>0</v>
          </cell>
          <cell r="AT182">
            <v>26682465.16900732</v>
          </cell>
          <cell r="AU182">
            <v>6.0484421486170265E-4</v>
          </cell>
          <cell r="AV182">
            <v>0</v>
          </cell>
          <cell r="AW182">
            <v>0</v>
          </cell>
          <cell r="AY182">
            <v>0</v>
          </cell>
          <cell r="AZ182">
            <v>0</v>
          </cell>
          <cell r="BA182">
            <v>0</v>
          </cell>
          <cell r="BB182">
            <v>0</v>
          </cell>
          <cell r="BC182">
            <v>0</v>
          </cell>
          <cell r="BD182">
            <v>0</v>
          </cell>
          <cell r="BE182">
            <v>0</v>
          </cell>
          <cell r="BF182">
            <v>0</v>
          </cell>
          <cell r="BG182">
            <v>0</v>
          </cell>
          <cell r="BH182">
            <v>0</v>
          </cell>
          <cell r="BJ182">
            <v>0</v>
          </cell>
          <cell r="BL182">
            <v>0</v>
          </cell>
          <cell r="BM182">
            <v>0</v>
          </cell>
          <cell r="BN182">
            <v>0</v>
          </cell>
          <cell r="BO182">
            <v>0</v>
          </cell>
          <cell r="BQ182">
            <v>0</v>
          </cell>
          <cell r="BR182">
            <v>0</v>
          </cell>
          <cell r="BS182">
            <v>0</v>
          </cell>
          <cell r="BT182">
            <v>0</v>
          </cell>
          <cell r="CB182">
            <v>0</v>
          </cell>
          <cell r="CC182">
            <v>0</v>
          </cell>
          <cell r="CD182">
            <v>0</v>
          </cell>
          <cell r="CE182">
            <v>0</v>
          </cell>
          <cell r="CF182">
            <v>0</v>
          </cell>
          <cell r="CI182">
            <v>0</v>
          </cell>
          <cell r="CJ182">
            <v>0</v>
          </cell>
          <cell r="CK182">
            <v>0</v>
          </cell>
          <cell r="CV182">
            <v>6.1334207961408302E-4</v>
          </cell>
          <cell r="DG182">
            <v>26682465</v>
          </cell>
          <cell r="DR182">
            <v>9473854.3199999947</v>
          </cell>
          <cell r="EC182">
            <v>2.8164318448164627</v>
          </cell>
          <cell r="EN182">
            <v>2.4095909012463064E-2</v>
          </cell>
        </row>
        <row r="183">
          <cell r="B183">
            <v>35100</v>
          </cell>
          <cell r="C183" t="str">
            <v>Johnston County Schools</v>
          </cell>
          <cell r="D183">
            <v>1.1413440915809547E-2</v>
          </cell>
          <cell r="E183">
            <v>19747914.044955414</v>
          </cell>
          <cell r="F183">
            <v>15397901.466177898</v>
          </cell>
          <cell r="G183">
            <v>950099</v>
          </cell>
          <cell r="H183">
            <v>-5510369.727062312</v>
          </cell>
          <cell r="I183">
            <v>-228029.49626039513</v>
          </cell>
          <cell r="J183">
            <v>16664476.694575293</v>
          </cell>
          <cell r="K183">
            <v>0</v>
          </cell>
          <cell r="L183">
            <v>-875579.27000573336</v>
          </cell>
          <cell r="M183">
            <v>157128.97418579124</v>
          </cell>
          <cell r="N183">
            <v>5923.3475664868383</v>
          </cell>
          <cell r="O183">
            <v>-2673.1419968917539</v>
          </cell>
          <cell r="P183">
            <v>0</v>
          </cell>
          <cell r="Q183">
            <v>0</v>
          </cell>
          <cell r="R183">
            <v>0</v>
          </cell>
          <cell r="S183">
            <v>46306791.892135561</v>
          </cell>
          <cell r="T183">
            <v>5393316</v>
          </cell>
          <cell r="U183">
            <v>83322383.472876459</v>
          </cell>
          <cell r="V183">
            <v>628515.89674316498</v>
          </cell>
          <cell r="W183">
            <v>0</v>
          </cell>
          <cell r="X183">
            <v>89344215.369619623</v>
          </cell>
          <cell r="Y183">
            <v>642818.80000000075</v>
          </cell>
          <cell r="Z183">
            <v>0</v>
          </cell>
          <cell r="AA183">
            <v>0</v>
          </cell>
          <cell r="AB183">
            <v>1140147.4813019757</v>
          </cell>
          <cell r="AC183">
            <v>1782966.2813019764</v>
          </cell>
          <cell r="AD183" t="str">
            <v>N/A</v>
          </cell>
          <cell r="AE183">
            <v>17543675</v>
          </cell>
          <cell r="AF183">
            <v>17543675</v>
          </cell>
          <cell r="AG183">
            <v>17543675</v>
          </cell>
          <cell r="AH183">
            <v>17543675</v>
          </cell>
          <cell r="AI183">
            <v>17386546</v>
          </cell>
          <cell r="AJ183">
            <v>0</v>
          </cell>
          <cell r="AK183">
            <v>87561246</v>
          </cell>
          <cell r="AL183">
            <v>371934869</v>
          </cell>
          <cell r="AM183">
            <v>46306791.892135561</v>
          </cell>
          <cell r="AN183">
            <v>-9279436.1999999993</v>
          </cell>
          <cell r="AO183">
            <v>82810751.888317659</v>
          </cell>
          <cell r="AP183">
            <v>0</v>
          </cell>
          <cell r="AQ183">
            <v>4750497.1999999993</v>
          </cell>
          <cell r="AR183">
            <v>0</v>
          </cell>
          <cell r="AS183">
            <v>0</v>
          </cell>
          <cell r="AT183">
            <v>496523473.78045321</v>
          </cell>
          <cell r="AU183">
            <v>1.1218234207632584E-2</v>
          </cell>
          <cell r="AV183">
            <v>0</v>
          </cell>
          <cell r="AW183">
            <v>0</v>
          </cell>
          <cell r="AY183">
            <v>0</v>
          </cell>
          <cell r="AZ183">
            <v>0</v>
          </cell>
          <cell r="BA183">
            <v>0</v>
          </cell>
          <cell r="BB183">
            <v>0</v>
          </cell>
          <cell r="BC183">
            <v>0</v>
          </cell>
          <cell r="BD183">
            <v>0</v>
          </cell>
          <cell r="BE183">
            <v>0</v>
          </cell>
          <cell r="BF183">
            <v>0</v>
          </cell>
          <cell r="BG183">
            <v>0</v>
          </cell>
          <cell r="BH183">
            <v>0</v>
          </cell>
          <cell r="BJ183">
            <v>0</v>
          </cell>
          <cell r="BL183">
            <v>0</v>
          </cell>
          <cell r="BM183">
            <v>0</v>
          </cell>
          <cell r="BN183">
            <v>0</v>
          </cell>
          <cell r="BO183">
            <v>0</v>
          </cell>
          <cell r="BQ183">
            <v>0</v>
          </cell>
          <cell r="BR183">
            <v>0</v>
          </cell>
          <cell r="BS183">
            <v>0</v>
          </cell>
          <cell r="BT183">
            <v>0</v>
          </cell>
          <cell r="CB183">
            <v>0</v>
          </cell>
          <cell r="CC183">
            <v>0</v>
          </cell>
          <cell r="CD183">
            <v>0</v>
          </cell>
          <cell r="CE183">
            <v>0</v>
          </cell>
          <cell r="CF183">
            <v>0</v>
          </cell>
          <cell r="CI183">
            <v>0</v>
          </cell>
          <cell r="CJ183">
            <v>0</v>
          </cell>
          <cell r="CK183">
            <v>0</v>
          </cell>
          <cell r="CV183">
            <v>1.1413440915809547E-2</v>
          </cell>
          <cell r="DG183">
            <v>496523474</v>
          </cell>
          <cell r="DR183">
            <v>160761230.99999928</v>
          </cell>
          <cell r="EC183">
            <v>3.0885772080210199</v>
          </cell>
          <cell r="EN183">
            <v>2.4095909012463064E-2</v>
          </cell>
        </row>
        <row r="184">
          <cell r="B184">
            <v>35105</v>
          </cell>
          <cell r="C184" t="str">
            <v>Johnston Technical College</v>
          </cell>
          <cell r="D184">
            <v>1.0623775128854984E-3</v>
          </cell>
          <cell r="E184">
            <v>1838160.8107942143</v>
          </cell>
          <cell r="F184">
            <v>1433256.1393150871</v>
          </cell>
          <cell r="G184">
            <v>183872</v>
          </cell>
          <cell r="H184">
            <v>-512912.18212792359</v>
          </cell>
          <cell r="I184">
            <v>-21225.273858130695</v>
          </cell>
          <cell r="J184">
            <v>1551150.5631748848</v>
          </cell>
          <cell r="K184">
            <v>0</v>
          </cell>
          <cell r="L184">
            <v>-81500.025633313868</v>
          </cell>
          <cell r="M184">
            <v>14625.763608810021</v>
          </cell>
          <cell r="N184">
            <v>551.35268163731598</v>
          </cell>
          <cell r="O184">
            <v>-248.81943729291257</v>
          </cell>
          <cell r="P184">
            <v>0</v>
          </cell>
          <cell r="Q184">
            <v>0</v>
          </cell>
          <cell r="R184">
            <v>0</v>
          </cell>
          <cell r="S184">
            <v>4405730.3285179716</v>
          </cell>
          <cell r="T184">
            <v>959474</v>
          </cell>
          <cell r="U184">
            <v>7755752.8158744238</v>
          </cell>
          <cell r="V184">
            <v>58503.054435240083</v>
          </cell>
          <cell r="W184">
            <v>0</v>
          </cell>
          <cell r="X184">
            <v>8773729.8703096639</v>
          </cell>
          <cell r="Y184">
            <v>40113.789999999804</v>
          </cell>
          <cell r="Z184">
            <v>0</v>
          </cell>
          <cell r="AA184">
            <v>0</v>
          </cell>
          <cell r="AB184">
            <v>106126.36929065347</v>
          </cell>
          <cell r="AC184">
            <v>146240.15929065328</v>
          </cell>
          <cell r="AD184" t="str">
            <v>N/A</v>
          </cell>
          <cell r="AE184">
            <v>1728423</v>
          </cell>
          <cell r="AF184">
            <v>1728423</v>
          </cell>
          <cell r="AG184">
            <v>1728423</v>
          </cell>
          <cell r="AH184">
            <v>1728423</v>
          </cell>
          <cell r="AI184">
            <v>1713797</v>
          </cell>
          <cell r="AJ184">
            <v>0</v>
          </cell>
          <cell r="AK184">
            <v>8627489</v>
          </cell>
          <cell r="AL184">
            <v>34071219</v>
          </cell>
          <cell r="AM184">
            <v>4405730.3285179716</v>
          </cell>
          <cell r="AN184">
            <v>-887406.2100000002</v>
          </cell>
          <cell r="AO184">
            <v>7708129.5010190113</v>
          </cell>
          <cell r="AP184">
            <v>0</v>
          </cell>
          <cell r="AQ184">
            <v>919360.2100000002</v>
          </cell>
          <cell r="AR184">
            <v>0</v>
          </cell>
          <cell r="AS184">
            <v>0</v>
          </cell>
          <cell r="AT184">
            <v>46217032.829536982</v>
          </cell>
          <cell r="AU184">
            <v>1.0276501268383588E-3</v>
          </cell>
          <cell r="AV184">
            <v>0</v>
          </cell>
          <cell r="AW184">
            <v>0</v>
          </cell>
          <cell r="AY184">
            <v>0</v>
          </cell>
          <cell r="AZ184">
            <v>0</v>
          </cell>
          <cell r="BA184">
            <v>0</v>
          </cell>
          <cell r="BB184">
            <v>0</v>
          </cell>
          <cell r="BC184">
            <v>0</v>
          </cell>
          <cell r="BD184">
            <v>0</v>
          </cell>
          <cell r="BE184">
            <v>0</v>
          </cell>
          <cell r="BF184">
            <v>0</v>
          </cell>
          <cell r="BG184">
            <v>0</v>
          </cell>
          <cell r="BH184">
            <v>0</v>
          </cell>
          <cell r="BJ184">
            <v>0</v>
          </cell>
          <cell r="BL184">
            <v>0</v>
          </cell>
          <cell r="BM184">
            <v>0</v>
          </cell>
          <cell r="BN184">
            <v>0</v>
          </cell>
          <cell r="BO184">
            <v>0</v>
          </cell>
          <cell r="BQ184">
            <v>0</v>
          </cell>
          <cell r="BR184">
            <v>0</v>
          </cell>
          <cell r="BS184">
            <v>0</v>
          </cell>
          <cell r="BT184">
            <v>0</v>
          </cell>
          <cell r="CB184">
            <v>0</v>
          </cell>
          <cell r="CC184">
            <v>0</v>
          </cell>
          <cell r="CD184">
            <v>0</v>
          </cell>
          <cell r="CE184">
            <v>0</v>
          </cell>
          <cell r="CF184">
            <v>0</v>
          </cell>
          <cell r="CI184">
            <v>0</v>
          </cell>
          <cell r="CJ184">
            <v>0</v>
          </cell>
          <cell r="CK184">
            <v>0</v>
          </cell>
          <cell r="CV184">
            <v>1.0623775128854984E-3</v>
          </cell>
          <cell r="DG184">
            <v>46217033</v>
          </cell>
          <cell r="DR184">
            <v>15728539.479999999</v>
          </cell>
          <cell r="EC184">
            <v>2.9384186026152253</v>
          </cell>
          <cell r="EN184">
            <v>2.4095909012463064E-2</v>
          </cell>
        </row>
        <row r="185">
          <cell r="B185">
            <v>35106</v>
          </cell>
          <cell r="C185" t="str">
            <v>Neuse Charter School</v>
          </cell>
          <cell r="D185">
            <v>2.6629198982874028E-4</v>
          </cell>
          <cell r="E185">
            <v>460747.23344069708</v>
          </cell>
          <cell r="F185">
            <v>359255.18437964912</v>
          </cell>
          <cell r="G185">
            <v>158620</v>
          </cell>
          <cell r="H185">
            <v>-128564.8499988223</v>
          </cell>
          <cell r="I185">
            <v>-5320.2560688525646</v>
          </cell>
          <cell r="J185">
            <v>388806.20587488858</v>
          </cell>
          <cell r="K185">
            <v>0</v>
          </cell>
          <cell r="L185">
            <v>-20428.523508599137</v>
          </cell>
          <cell r="M185">
            <v>3666.0449293363063</v>
          </cell>
          <cell r="N185">
            <v>138.20021688131962</v>
          </cell>
          <cell r="O185">
            <v>-62.368246937789259</v>
          </cell>
          <cell r="P185">
            <v>0</v>
          </cell>
          <cell r="Q185">
            <v>0</v>
          </cell>
          <cell r="R185">
            <v>0</v>
          </cell>
          <cell r="S185">
            <v>1216856.8710182405</v>
          </cell>
          <cell r="T185">
            <v>828574</v>
          </cell>
          <cell r="U185">
            <v>1944031.0293744428</v>
          </cell>
          <cell r="V185">
            <v>14664.179717345225</v>
          </cell>
          <cell r="W185">
            <v>0</v>
          </cell>
          <cell r="X185">
            <v>2787269.2090917882</v>
          </cell>
          <cell r="Y185">
            <v>35472.290000000008</v>
          </cell>
          <cell r="Z185">
            <v>0</v>
          </cell>
          <cell r="AA185">
            <v>0</v>
          </cell>
          <cell r="AB185">
            <v>26601.280344262821</v>
          </cell>
          <cell r="AC185">
            <v>62073.570344262829</v>
          </cell>
          <cell r="AD185" t="str">
            <v>N/A</v>
          </cell>
          <cell r="AE185">
            <v>545773</v>
          </cell>
          <cell r="AF185">
            <v>545772</v>
          </cell>
          <cell r="AG185">
            <v>545772</v>
          </cell>
          <cell r="AH185">
            <v>545772</v>
          </cell>
          <cell r="AI185">
            <v>542106</v>
          </cell>
          <cell r="AJ185">
            <v>0</v>
          </cell>
          <cell r="AK185">
            <v>2725195</v>
          </cell>
          <cell r="AL185">
            <v>7834487</v>
          </cell>
          <cell r="AM185">
            <v>1216856.8710182405</v>
          </cell>
          <cell r="AN185">
            <v>-191932.71</v>
          </cell>
          <cell r="AO185">
            <v>1932093.9287475254</v>
          </cell>
          <cell r="AP185">
            <v>0</v>
          </cell>
          <cell r="AQ185">
            <v>793101.71</v>
          </cell>
          <cell r="AR185">
            <v>0</v>
          </cell>
          <cell r="AS185">
            <v>0</v>
          </cell>
          <cell r="AT185">
            <v>11584606.799765766</v>
          </cell>
          <cell r="AU185">
            <v>2.3630241392937746E-4</v>
          </cell>
          <cell r="AV185">
            <v>0</v>
          </cell>
          <cell r="AW185">
            <v>0</v>
          </cell>
          <cell r="AY185">
            <v>0</v>
          </cell>
          <cell r="AZ185">
            <v>0</v>
          </cell>
          <cell r="BA185">
            <v>0</v>
          </cell>
          <cell r="BB185">
            <v>0</v>
          </cell>
          <cell r="BC185">
            <v>0</v>
          </cell>
          <cell r="BD185">
            <v>0</v>
          </cell>
          <cell r="BE185">
            <v>0</v>
          </cell>
          <cell r="BF185">
            <v>0</v>
          </cell>
          <cell r="BG185">
            <v>0</v>
          </cell>
          <cell r="BH185">
            <v>0</v>
          </cell>
          <cell r="BJ185">
            <v>0</v>
          </cell>
          <cell r="BL185">
            <v>0</v>
          </cell>
          <cell r="BM185">
            <v>0</v>
          </cell>
          <cell r="BN185">
            <v>0</v>
          </cell>
          <cell r="BO185">
            <v>0</v>
          </cell>
          <cell r="BQ185">
            <v>0</v>
          </cell>
          <cell r="BR185">
            <v>0</v>
          </cell>
          <cell r="BS185">
            <v>0</v>
          </cell>
          <cell r="BT185">
            <v>0</v>
          </cell>
          <cell r="CB185">
            <v>0</v>
          </cell>
          <cell r="CC185">
            <v>0</v>
          </cell>
          <cell r="CD185">
            <v>0</v>
          </cell>
          <cell r="CE185">
            <v>0</v>
          </cell>
          <cell r="CF185">
            <v>0</v>
          </cell>
          <cell r="CI185">
            <v>0</v>
          </cell>
          <cell r="CJ185">
            <v>0</v>
          </cell>
          <cell r="CK185">
            <v>0</v>
          </cell>
          <cell r="CV185">
            <v>2.6629198982874028E-4</v>
          </cell>
          <cell r="DG185">
            <v>11584607</v>
          </cell>
          <cell r="DR185">
            <v>3395559.830000001</v>
          </cell>
          <cell r="EC185">
            <v>3.4116927929377692</v>
          </cell>
          <cell r="EN185">
            <v>2.4095909012463064E-2</v>
          </cell>
        </row>
        <row r="186">
          <cell r="B186">
            <v>35200</v>
          </cell>
          <cell r="C186" t="str">
            <v>Jones County Schools</v>
          </cell>
          <cell r="D186">
            <v>4.906476542015859E-4</v>
          </cell>
          <cell r="E186">
            <v>848934.84559162613</v>
          </cell>
          <cell r="F186">
            <v>661933.96800630644</v>
          </cell>
          <cell r="G186">
            <v>51397</v>
          </cell>
          <cell r="H186">
            <v>-236882.98737513451</v>
          </cell>
          <cell r="I186">
            <v>-9802.6649679288639</v>
          </cell>
          <cell r="J186">
            <v>716382.24256846914</v>
          </cell>
          <cell r="K186">
            <v>0</v>
          </cell>
          <cell r="L186">
            <v>-37639.912281035264</v>
          </cell>
          <cell r="M186">
            <v>6754.7519770808512</v>
          </cell>
          <cell r="N186">
            <v>254.63631957753904</v>
          </cell>
          <cell r="O186">
            <v>-114.91458709055344</v>
          </cell>
          <cell r="P186">
            <v>0</v>
          </cell>
          <cell r="Q186">
            <v>0</v>
          </cell>
          <cell r="R186">
            <v>0</v>
          </cell>
          <cell r="S186">
            <v>2001216.9652518709</v>
          </cell>
          <cell r="T186">
            <v>256982.06</v>
          </cell>
          <cell r="U186">
            <v>3581911.2128423457</v>
          </cell>
          <cell r="V186">
            <v>27019.007908323405</v>
          </cell>
          <cell r="W186">
            <v>0</v>
          </cell>
          <cell r="X186">
            <v>3865912.2807506691</v>
          </cell>
          <cell r="Y186">
            <v>0</v>
          </cell>
          <cell r="Z186">
            <v>0</v>
          </cell>
          <cell r="AA186">
            <v>0</v>
          </cell>
          <cell r="AB186">
            <v>49013.324839644323</v>
          </cell>
          <cell r="AC186">
            <v>49013.324839644323</v>
          </cell>
          <cell r="AD186" t="str">
            <v>N/A</v>
          </cell>
          <cell r="AE186">
            <v>764730</v>
          </cell>
          <cell r="AF186">
            <v>764731</v>
          </cell>
          <cell r="AG186">
            <v>764731</v>
          </cell>
          <cell r="AH186">
            <v>764731</v>
          </cell>
          <cell r="AI186">
            <v>757977</v>
          </cell>
          <cell r="AJ186">
            <v>0</v>
          </cell>
          <cell r="AK186">
            <v>3816900</v>
          </cell>
          <cell r="AL186">
            <v>16003381</v>
          </cell>
          <cell r="AM186">
            <v>2001216.9652518709</v>
          </cell>
          <cell r="AN186">
            <v>-476656.06</v>
          </cell>
          <cell r="AO186">
            <v>3559916.8959110253</v>
          </cell>
          <cell r="AP186">
            <v>0</v>
          </cell>
          <cell r="AQ186">
            <v>256982.06</v>
          </cell>
          <cell r="AR186">
            <v>0</v>
          </cell>
          <cell r="AS186">
            <v>0</v>
          </cell>
          <cell r="AT186">
            <v>21344840.861162897</v>
          </cell>
          <cell r="AU186">
            <v>4.8269115606973812E-4</v>
          </cell>
          <cell r="AV186">
            <v>0</v>
          </cell>
          <cell r="AW186">
            <v>0</v>
          </cell>
          <cell r="AY186">
            <v>0</v>
          </cell>
          <cell r="AZ186">
            <v>0</v>
          </cell>
          <cell r="BA186">
            <v>0</v>
          </cell>
          <cell r="BB186">
            <v>0</v>
          </cell>
          <cell r="BC186">
            <v>0</v>
          </cell>
          <cell r="BD186">
            <v>0</v>
          </cell>
          <cell r="BE186">
            <v>0</v>
          </cell>
          <cell r="BF186">
            <v>0</v>
          </cell>
          <cell r="BG186">
            <v>0</v>
          </cell>
          <cell r="BH186">
            <v>0</v>
          </cell>
          <cell r="BJ186">
            <v>0</v>
          </cell>
          <cell r="BL186">
            <v>0</v>
          </cell>
          <cell r="BM186">
            <v>0</v>
          </cell>
          <cell r="BN186">
            <v>0</v>
          </cell>
          <cell r="BO186">
            <v>0</v>
          </cell>
          <cell r="BQ186">
            <v>0</v>
          </cell>
          <cell r="BR186">
            <v>0</v>
          </cell>
          <cell r="BS186">
            <v>0</v>
          </cell>
          <cell r="BT186">
            <v>0</v>
          </cell>
          <cell r="CB186">
            <v>0</v>
          </cell>
          <cell r="CC186">
            <v>0</v>
          </cell>
          <cell r="CD186">
            <v>0</v>
          </cell>
          <cell r="CE186">
            <v>0</v>
          </cell>
          <cell r="CF186">
            <v>0</v>
          </cell>
          <cell r="CI186">
            <v>0</v>
          </cell>
          <cell r="CJ186">
            <v>0</v>
          </cell>
          <cell r="CK186">
            <v>0</v>
          </cell>
          <cell r="CV186">
            <v>4.906476542015859E-4</v>
          </cell>
          <cell r="DG186">
            <v>21344841</v>
          </cell>
          <cell r="DR186">
            <v>8278732.1899999976</v>
          </cell>
          <cell r="EC186">
            <v>2.5782741258115278</v>
          </cell>
          <cell r="EN186">
            <v>2.4095909012463064E-2</v>
          </cell>
        </row>
        <row r="187">
          <cell r="B187">
            <v>35300</v>
          </cell>
          <cell r="C187" t="str">
            <v>Sanford-Lee County Board Of Education</v>
          </cell>
          <cell r="D187">
            <v>3.3455649867538506E-3</v>
          </cell>
          <cell r="E187">
            <v>5788607.509126558</v>
          </cell>
          <cell r="F187">
            <v>4513510.0268819025</v>
          </cell>
          <cell r="G187">
            <v>750283</v>
          </cell>
          <cell r="H187">
            <v>-1615227.1833634353</v>
          </cell>
          <cell r="I187">
            <v>-66841.148454991155</v>
          </cell>
          <cell r="J187">
            <v>4884774.9038347034</v>
          </cell>
          <cell r="K187">
            <v>0</v>
          </cell>
          <cell r="L187">
            <v>-256654.18259633615</v>
          </cell>
          <cell r="M187">
            <v>46058.432186946346</v>
          </cell>
          <cell r="N187">
            <v>1736.2813168255134</v>
          </cell>
          <cell r="O187">
            <v>-783.56477554761932</v>
          </cell>
          <cell r="P187">
            <v>0</v>
          </cell>
          <cell r="Q187">
            <v>0</v>
          </cell>
          <cell r="R187">
            <v>0</v>
          </cell>
          <cell r="S187">
            <v>14045464.074156627</v>
          </cell>
          <cell r="T187">
            <v>3848715</v>
          </cell>
          <cell r="U187">
            <v>24423874.519173514</v>
          </cell>
          <cell r="V187">
            <v>184233.72874778538</v>
          </cell>
          <cell r="W187">
            <v>0</v>
          </cell>
          <cell r="X187">
            <v>28456823.247921299</v>
          </cell>
          <cell r="Y187">
            <v>97301.279999999795</v>
          </cell>
          <cell r="Z187">
            <v>0</v>
          </cell>
          <cell r="AA187">
            <v>0</v>
          </cell>
          <cell r="AB187">
            <v>334205.74227495573</v>
          </cell>
          <cell r="AC187">
            <v>431507.02227495553</v>
          </cell>
          <cell r="AD187" t="str">
            <v>N/A</v>
          </cell>
          <cell r="AE187">
            <v>5614275</v>
          </cell>
          <cell r="AF187">
            <v>5614275</v>
          </cell>
          <cell r="AG187">
            <v>5614275</v>
          </cell>
          <cell r="AH187">
            <v>5614275</v>
          </cell>
          <cell r="AI187">
            <v>5568217</v>
          </cell>
          <cell r="AJ187">
            <v>0</v>
          </cell>
          <cell r="AK187">
            <v>28025317</v>
          </cell>
          <cell r="AL187">
            <v>106302053</v>
          </cell>
          <cell r="AM187">
            <v>14045464.074156627</v>
          </cell>
          <cell r="AN187">
            <v>-2829384.72</v>
          </cell>
          <cell r="AO187">
            <v>24273902.505646344</v>
          </cell>
          <cell r="AP187">
            <v>0</v>
          </cell>
          <cell r="AQ187">
            <v>3751413.72</v>
          </cell>
          <cell r="AR187">
            <v>0</v>
          </cell>
          <cell r="AS187">
            <v>0</v>
          </cell>
          <cell r="AT187">
            <v>145543448.57980296</v>
          </cell>
          <cell r="AU187">
            <v>3.2062638597825256E-3</v>
          </cell>
          <cell r="AV187">
            <v>0</v>
          </cell>
          <cell r="AW187">
            <v>0</v>
          </cell>
          <cell r="AY187">
            <v>0</v>
          </cell>
          <cell r="AZ187">
            <v>0</v>
          </cell>
          <cell r="BA187">
            <v>0</v>
          </cell>
          <cell r="BB187">
            <v>0</v>
          </cell>
          <cell r="BC187">
            <v>0</v>
          </cell>
          <cell r="BD187">
            <v>0</v>
          </cell>
          <cell r="BE187">
            <v>0</v>
          </cell>
          <cell r="BF187">
            <v>0</v>
          </cell>
          <cell r="BG187">
            <v>0</v>
          </cell>
          <cell r="BH187">
            <v>0</v>
          </cell>
          <cell r="BJ187">
            <v>0</v>
          </cell>
          <cell r="BL187">
            <v>0</v>
          </cell>
          <cell r="BM187">
            <v>0</v>
          </cell>
          <cell r="BN187">
            <v>0</v>
          </cell>
          <cell r="BO187">
            <v>0</v>
          </cell>
          <cell r="BQ187">
            <v>0</v>
          </cell>
          <cell r="BR187">
            <v>0</v>
          </cell>
          <cell r="BS187">
            <v>0</v>
          </cell>
          <cell r="BT187">
            <v>0</v>
          </cell>
          <cell r="CB187">
            <v>0</v>
          </cell>
          <cell r="CC187">
            <v>0</v>
          </cell>
          <cell r="CD187">
            <v>0</v>
          </cell>
          <cell r="CE187">
            <v>0</v>
          </cell>
          <cell r="CF187">
            <v>0</v>
          </cell>
          <cell r="CI187">
            <v>0</v>
          </cell>
          <cell r="CJ187">
            <v>0</v>
          </cell>
          <cell r="CK187">
            <v>0</v>
          </cell>
          <cell r="CV187">
            <v>3.3455649867538506E-3</v>
          </cell>
          <cell r="DG187">
            <v>145543449</v>
          </cell>
          <cell r="DR187">
            <v>47527684.359999925</v>
          </cell>
          <cell r="EC187">
            <v>3.0622878215058114</v>
          </cell>
          <cell r="EN187">
            <v>2.4095909012463064E-2</v>
          </cell>
        </row>
        <row r="188">
          <cell r="B188">
            <v>35305</v>
          </cell>
          <cell r="C188" t="str">
            <v>Central Carolina Community College</v>
          </cell>
          <cell r="D188">
            <v>1.2597015295089031E-3</v>
          </cell>
          <cell r="E188">
            <v>2179577.3693963364</v>
          </cell>
          <cell r="F188">
            <v>1699466.4598739792</v>
          </cell>
          <cell r="G188">
            <v>536665</v>
          </cell>
          <cell r="H188">
            <v>-608179.53363432304</v>
          </cell>
          <cell r="I188">
            <v>-25167.616613713384</v>
          </cell>
          <cell r="J188">
            <v>1839258.3740056974</v>
          </cell>
          <cell r="K188">
            <v>0</v>
          </cell>
          <cell r="L188">
            <v>-96637.688298251334</v>
          </cell>
          <cell r="M188">
            <v>17342.325646758451</v>
          </cell>
          <cell r="N188">
            <v>653.75989978453049</v>
          </cell>
          <cell r="O188">
            <v>-295.03469522628018</v>
          </cell>
          <cell r="P188">
            <v>0</v>
          </cell>
          <cell r="Q188">
            <v>0</v>
          </cell>
          <cell r="R188">
            <v>0</v>
          </cell>
          <cell r="S188">
            <v>5542683.415581041</v>
          </cell>
          <cell r="T188">
            <v>2683324.21</v>
          </cell>
          <cell r="U188">
            <v>9196291.8700284883</v>
          </cell>
          <cell r="V188">
            <v>69369.302587033802</v>
          </cell>
          <cell r="W188">
            <v>0</v>
          </cell>
          <cell r="X188">
            <v>11948985.382615523</v>
          </cell>
          <cell r="Y188">
            <v>0</v>
          </cell>
          <cell r="Z188">
            <v>0</v>
          </cell>
          <cell r="AA188">
            <v>0</v>
          </cell>
          <cell r="AB188">
            <v>125838.08306856692</v>
          </cell>
          <cell r="AC188">
            <v>125838.08306856692</v>
          </cell>
          <cell r="AD188" t="str">
            <v>N/A</v>
          </cell>
          <cell r="AE188">
            <v>2368098</v>
          </cell>
          <cell r="AF188">
            <v>2368098</v>
          </cell>
          <cell r="AG188">
            <v>2368098</v>
          </cell>
          <cell r="AH188">
            <v>2368098</v>
          </cell>
          <cell r="AI188">
            <v>2350756</v>
          </cell>
          <cell r="AJ188">
            <v>0</v>
          </cell>
          <cell r="AK188">
            <v>11823148</v>
          </cell>
          <cell r="AL188">
            <v>38557191</v>
          </cell>
          <cell r="AM188">
            <v>5542683.415581041</v>
          </cell>
          <cell r="AN188">
            <v>-1121723.2100000002</v>
          </cell>
          <cell r="AO188">
            <v>9139823.0895469561</v>
          </cell>
          <cell r="AP188">
            <v>0</v>
          </cell>
          <cell r="AQ188">
            <v>2683324.21</v>
          </cell>
          <cell r="AR188">
            <v>0</v>
          </cell>
          <cell r="AS188">
            <v>0</v>
          </cell>
          <cell r="AT188">
            <v>54801298.505127996</v>
          </cell>
          <cell r="AU188">
            <v>1.1629552377531902E-3</v>
          </cell>
          <cell r="AV188">
            <v>0</v>
          </cell>
          <cell r="AW188">
            <v>0</v>
          </cell>
          <cell r="AY188">
            <v>0</v>
          </cell>
          <cell r="AZ188">
            <v>0</v>
          </cell>
          <cell r="BA188">
            <v>0</v>
          </cell>
          <cell r="BB188">
            <v>0</v>
          </cell>
          <cell r="BC188">
            <v>0</v>
          </cell>
          <cell r="BD188">
            <v>0</v>
          </cell>
          <cell r="BE188">
            <v>0</v>
          </cell>
          <cell r="BF188">
            <v>0</v>
          </cell>
          <cell r="BG188">
            <v>0</v>
          </cell>
          <cell r="BH188">
            <v>0</v>
          </cell>
          <cell r="BJ188">
            <v>0</v>
          </cell>
          <cell r="BL188">
            <v>0</v>
          </cell>
          <cell r="BM188">
            <v>0</v>
          </cell>
          <cell r="BN188">
            <v>0</v>
          </cell>
          <cell r="BO188">
            <v>0</v>
          </cell>
          <cell r="BQ188">
            <v>0</v>
          </cell>
          <cell r="BR188">
            <v>0</v>
          </cell>
          <cell r="BS188">
            <v>0</v>
          </cell>
          <cell r="BT188">
            <v>0</v>
          </cell>
          <cell r="CB188">
            <v>0</v>
          </cell>
          <cell r="CC188">
            <v>0</v>
          </cell>
          <cell r="CD188">
            <v>0</v>
          </cell>
          <cell r="CE188">
            <v>0</v>
          </cell>
          <cell r="CF188">
            <v>0</v>
          </cell>
          <cell r="CI188">
            <v>0</v>
          </cell>
          <cell r="CJ188">
            <v>0</v>
          </cell>
          <cell r="CK188">
            <v>0</v>
          </cell>
          <cell r="CV188">
            <v>1.2597015295089031E-3</v>
          </cell>
          <cell r="DG188">
            <v>54801298</v>
          </cell>
          <cell r="DR188">
            <v>18830477.289999992</v>
          </cell>
          <cell r="EC188">
            <v>2.9102447673539573</v>
          </cell>
          <cell r="EN188">
            <v>2.4095909012463064E-2</v>
          </cell>
        </row>
        <row r="189">
          <cell r="B189">
            <v>35400</v>
          </cell>
          <cell r="C189" t="str">
            <v>Lenoir County Schools</v>
          </cell>
          <cell r="D189">
            <v>2.6768339883394055E-3</v>
          </cell>
          <cell r="E189">
            <v>4631546.9545313986</v>
          </cell>
          <cell r="F189">
            <v>3611323.3772185892</v>
          </cell>
          <cell r="G189">
            <v>-87210</v>
          </cell>
          <cell r="H189">
            <v>-1292366.1744535959</v>
          </cell>
          <cell r="I189">
            <v>-53480.550732797485</v>
          </cell>
          <cell r="J189">
            <v>3908377.6700626169</v>
          </cell>
          <cell r="K189">
            <v>0</v>
          </cell>
          <cell r="L189">
            <v>-205352.65103008682</v>
          </cell>
          <cell r="M189">
            <v>36852.004733368143</v>
          </cell>
          <cell r="N189">
            <v>1389.2233032683846</v>
          </cell>
          <cell r="O189">
            <v>-626.94128840897213</v>
          </cell>
          <cell r="P189">
            <v>0</v>
          </cell>
          <cell r="Q189">
            <v>0</v>
          </cell>
          <cell r="R189">
            <v>0</v>
          </cell>
          <cell r="S189">
            <v>10550452.912344351</v>
          </cell>
          <cell r="T189">
            <v>50329.89000000013</v>
          </cell>
          <cell r="U189">
            <v>19541888.350313082</v>
          </cell>
          <cell r="V189">
            <v>147408.01893347257</v>
          </cell>
          <cell r="W189">
            <v>0</v>
          </cell>
          <cell r="X189">
            <v>19739626.259246554</v>
          </cell>
          <cell r="Y189">
            <v>486381</v>
          </cell>
          <cell r="Z189">
            <v>0</v>
          </cell>
          <cell r="AA189">
            <v>0</v>
          </cell>
          <cell r="AB189">
            <v>267402.75366398745</v>
          </cell>
          <cell r="AC189">
            <v>753783.75366398739</v>
          </cell>
          <cell r="AD189" t="str">
            <v>N/A</v>
          </cell>
          <cell r="AE189">
            <v>3804539</v>
          </cell>
          <cell r="AF189">
            <v>3804539</v>
          </cell>
          <cell r="AG189">
            <v>3804539</v>
          </cell>
          <cell r="AH189">
            <v>3804539</v>
          </cell>
          <cell r="AI189">
            <v>3767687</v>
          </cell>
          <cell r="AJ189">
            <v>0</v>
          </cell>
          <cell r="AK189">
            <v>18985843</v>
          </cell>
          <cell r="AL189">
            <v>89332731</v>
          </cell>
          <cell r="AM189">
            <v>10550452.912344351</v>
          </cell>
          <cell r="AN189">
            <v>-2417648.89</v>
          </cell>
          <cell r="AO189">
            <v>19421893.61558257</v>
          </cell>
          <cell r="AP189">
            <v>0</v>
          </cell>
          <cell r="AQ189">
            <v>-436051.10999999987</v>
          </cell>
          <cell r="AR189">
            <v>0</v>
          </cell>
          <cell r="AS189">
            <v>0</v>
          </cell>
          <cell r="AT189">
            <v>116451377.52792692</v>
          </cell>
          <cell r="AU189">
            <v>2.6944381381537237E-3</v>
          </cell>
          <cell r="AV189">
            <v>0</v>
          </cell>
          <cell r="AW189">
            <v>0</v>
          </cell>
          <cell r="AY189">
            <v>0</v>
          </cell>
          <cell r="AZ189">
            <v>0</v>
          </cell>
          <cell r="BA189">
            <v>0</v>
          </cell>
          <cell r="BB189">
            <v>0</v>
          </cell>
          <cell r="BC189">
            <v>0</v>
          </cell>
          <cell r="BD189">
            <v>0</v>
          </cell>
          <cell r="BE189">
            <v>0</v>
          </cell>
          <cell r="BF189">
            <v>0</v>
          </cell>
          <cell r="BG189">
            <v>0</v>
          </cell>
          <cell r="BH189">
            <v>0</v>
          </cell>
          <cell r="BJ189">
            <v>0</v>
          </cell>
          <cell r="BL189">
            <v>0</v>
          </cell>
          <cell r="BM189">
            <v>0</v>
          </cell>
          <cell r="BN189">
            <v>0</v>
          </cell>
          <cell r="BO189">
            <v>0</v>
          </cell>
          <cell r="BQ189">
            <v>0</v>
          </cell>
          <cell r="BR189">
            <v>0</v>
          </cell>
          <cell r="BS189">
            <v>0</v>
          </cell>
          <cell r="BT189">
            <v>0</v>
          </cell>
          <cell r="CB189">
            <v>0</v>
          </cell>
          <cell r="CC189">
            <v>0</v>
          </cell>
          <cell r="CD189">
            <v>0</v>
          </cell>
          <cell r="CE189">
            <v>0</v>
          </cell>
          <cell r="CF189">
            <v>0</v>
          </cell>
          <cell r="CI189">
            <v>0</v>
          </cell>
          <cell r="CJ189">
            <v>0</v>
          </cell>
          <cell r="CK189">
            <v>0</v>
          </cell>
          <cell r="CV189">
            <v>2.6768339883394055E-3</v>
          </cell>
          <cell r="DG189">
            <v>116451377</v>
          </cell>
          <cell r="DR189">
            <v>41850396.309999958</v>
          </cell>
          <cell r="EC189">
            <v>2.7825633032816581</v>
          </cell>
          <cell r="EN189">
            <v>2.4095909012463064E-2</v>
          </cell>
        </row>
        <row r="190">
          <cell r="B190">
            <v>35401</v>
          </cell>
          <cell r="C190" t="str">
            <v>Childrens Village Academy</v>
          </cell>
          <cell r="D190">
            <v>2.4651261078602637E-5</v>
          </cell>
          <cell r="E190">
            <v>42652.429575877002</v>
          </cell>
          <cell r="F190">
            <v>33257.077502330641</v>
          </cell>
          <cell r="G190">
            <v>-3724</v>
          </cell>
          <cell r="H190">
            <v>-11901.543433171271</v>
          </cell>
          <cell r="I190">
            <v>-492.50832307292279</v>
          </cell>
          <cell r="J190">
            <v>35992.683430571466</v>
          </cell>
          <cell r="K190">
            <v>0</v>
          </cell>
          <cell r="L190">
            <v>-1891.1153384099941</v>
          </cell>
          <cell r="M190">
            <v>339.37419873980349</v>
          </cell>
          <cell r="N190">
            <v>12.793511474573197</v>
          </cell>
          <cell r="O190">
            <v>-5.7735718572195234</v>
          </cell>
          <cell r="P190">
            <v>0</v>
          </cell>
          <cell r="Q190">
            <v>0</v>
          </cell>
          <cell r="R190">
            <v>0</v>
          </cell>
          <cell r="S190">
            <v>94239.417552482104</v>
          </cell>
          <cell r="T190">
            <v>825.77999999999884</v>
          </cell>
          <cell r="U190">
            <v>179963.41715285732</v>
          </cell>
          <cell r="V190">
            <v>1357.496794959214</v>
          </cell>
          <cell r="W190">
            <v>0</v>
          </cell>
          <cell r="X190">
            <v>182146.69394781653</v>
          </cell>
          <cell r="Y190">
            <v>19443</v>
          </cell>
          <cell r="Z190">
            <v>0</v>
          </cell>
          <cell r="AA190">
            <v>0</v>
          </cell>
          <cell r="AB190">
            <v>2462.5416153646138</v>
          </cell>
          <cell r="AC190">
            <v>21905.541615364615</v>
          </cell>
          <cell r="AD190" t="str">
            <v>N/A</v>
          </cell>
          <cell r="AE190">
            <v>32116</v>
          </cell>
          <cell r="AF190">
            <v>32116</v>
          </cell>
          <cell r="AG190">
            <v>32116</v>
          </cell>
          <cell r="AH190">
            <v>32116</v>
          </cell>
          <cell r="AI190">
            <v>31776</v>
          </cell>
          <cell r="AJ190">
            <v>0</v>
          </cell>
          <cell r="AK190">
            <v>160240</v>
          </cell>
          <cell r="AL190">
            <v>840632</v>
          </cell>
          <cell r="AM190">
            <v>94239.417552482104</v>
          </cell>
          <cell r="AN190">
            <v>-22698.78</v>
          </cell>
          <cell r="AO190">
            <v>178858.37233245192</v>
          </cell>
          <cell r="AP190">
            <v>0</v>
          </cell>
          <cell r="AQ190">
            <v>-18617.22</v>
          </cell>
          <cell r="AR190">
            <v>0</v>
          </cell>
          <cell r="AS190">
            <v>0</v>
          </cell>
          <cell r="AT190">
            <v>1072413.789884934</v>
          </cell>
          <cell r="AU190">
            <v>2.5354994484920251E-5</v>
          </cell>
          <cell r="AV190">
            <v>0</v>
          </cell>
          <cell r="AW190">
            <v>0</v>
          </cell>
          <cell r="AY190">
            <v>0</v>
          </cell>
          <cell r="AZ190">
            <v>0</v>
          </cell>
          <cell r="BA190">
            <v>0</v>
          </cell>
          <cell r="BB190">
            <v>0</v>
          </cell>
          <cell r="BC190">
            <v>0</v>
          </cell>
          <cell r="BD190">
            <v>0</v>
          </cell>
          <cell r="BE190">
            <v>0</v>
          </cell>
          <cell r="BF190">
            <v>0</v>
          </cell>
          <cell r="BG190">
            <v>0</v>
          </cell>
          <cell r="BH190">
            <v>0</v>
          </cell>
          <cell r="BJ190">
            <v>0</v>
          </cell>
          <cell r="BL190">
            <v>0</v>
          </cell>
          <cell r="BM190">
            <v>0</v>
          </cell>
          <cell r="BN190">
            <v>0</v>
          </cell>
          <cell r="BO190">
            <v>0</v>
          </cell>
          <cell r="BQ190">
            <v>0</v>
          </cell>
          <cell r="BR190">
            <v>0</v>
          </cell>
          <cell r="BS190">
            <v>0</v>
          </cell>
          <cell r="BT190">
            <v>0</v>
          </cell>
          <cell r="CB190">
            <v>0</v>
          </cell>
          <cell r="CC190">
            <v>0</v>
          </cell>
          <cell r="CD190">
            <v>0</v>
          </cell>
          <cell r="CE190">
            <v>0</v>
          </cell>
          <cell r="CF190">
            <v>0</v>
          </cell>
          <cell r="CI190">
            <v>0</v>
          </cell>
          <cell r="CJ190">
            <v>0</v>
          </cell>
          <cell r="CK190">
            <v>0</v>
          </cell>
          <cell r="CV190">
            <v>2.4651261078602637E-5</v>
          </cell>
          <cell r="DG190">
            <v>1072414</v>
          </cell>
          <cell r="DR190">
            <v>344520.31</v>
          </cell>
          <cell r="EC190">
            <v>3.1127743963773864</v>
          </cell>
          <cell r="EN190">
            <v>2.4095909012463064E-2</v>
          </cell>
        </row>
        <row r="191">
          <cell r="B191">
            <v>35405</v>
          </cell>
          <cell r="C191" t="str">
            <v>Lenoir County Community College</v>
          </cell>
          <cell r="D191">
            <v>9.2830572145810521E-4</v>
          </cell>
          <cell r="E191">
            <v>1606185.3502392888</v>
          </cell>
          <cell r="F191">
            <v>1252379.552751838</v>
          </cell>
          <cell r="G191">
            <v>239268</v>
          </cell>
          <cell r="H191">
            <v>-448182.78577987076</v>
          </cell>
          <cell r="I191">
            <v>-18546.649305952975</v>
          </cell>
          <cell r="J191">
            <v>1355395.7281411346</v>
          </cell>
          <cell r="K191">
            <v>0</v>
          </cell>
          <cell r="L191">
            <v>-71214.741630682183</v>
          </cell>
          <cell r="M191">
            <v>12779.995692750903</v>
          </cell>
          <cell r="N191">
            <v>481.77210332232744</v>
          </cell>
          <cell r="O191">
            <v>-217.41848302270282</v>
          </cell>
          <cell r="P191">
            <v>0</v>
          </cell>
          <cell r="Q191">
            <v>0</v>
          </cell>
          <cell r="R191">
            <v>0</v>
          </cell>
          <cell r="S191">
            <v>3928328.8037288059</v>
          </cell>
          <cell r="T191">
            <v>1197255</v>
          </cell>
          <cell r="U191">
            <v>6776978.640705673</v>
          </cell>
          <cell r="V191">
            <v>51119.982771003612</v>
          </cell>
          <cell r="W191">
            <v>0</v>
          </cell>
          <cell r="X191">
            <v>8025353.6234766766</v>
          </cell>
          <cell r="Y191">
            <v>915.47999999998137</v>
          </cell>
          <cell r="Z191">
            <v>0</v>
          </cell>
          <cell r="AA191">
            <v>0</v>
          </cell>
          <cell r="AB191">
            <v>92733.246529764874</v>
          </cell>
          <cell r="AC191">
            <v>93648.726529764856</v>
          </cell>
          <cell r="AD191" t="str">
            <v>N/A</v>
          </cell>
          <cell r="AE191">
            <v>1588897</v>
          </cell>
          <cell r="AF191">
            <v>1588897</v>
          </cell>
          <cell r="AG191">
            <v>1588897</v>
          </cell>
          <cell r="AH191">
            <v>1588897</v>
          </cell>
          <cell r="AI191">
            <v>1576117</v>
          </cell>
          <cell r="AJ191">
            <v>0</v>
          </cell>
          <cell r="AK191">
            <v>7931705</v>
          </cell>
          <cell r="AL191">
            <v>29340800</v>
          </cell>
          <cell r="AM191">
            <v>3928328.8037288059</v>
          </cell>
          <cell r="AN191">
            <v>-816379.52</v>
          </cell>
          <cell r="AO191">
            <v>6735365.3769469121</v>
          </cell>
          <cell r="AP191">
            <v>0</v>
          </cell>
          <cell r="AQ191">
            <v>1196339.52</v>
          </cell>
          <cell r="AR191">
            <v>0</v>
          </cell>
          <cell r="AS191">
            <v>0</v>
          </cell>
          <cell r="AT191">
            <v>40384454.180675723</v>
          </cell>
          <cell r="AU191">
            <v>8.8497206143644657E-4</v>
          </cell>
          <cell r="AV191">
            <v>0</v>
          </cell>
          <cell r="AW191">
            <v>0</v>
          </cell>
          <cell r="AY191">
            <v>0</v>
          </cell>
          <cell r="AZ191">
            <v>0</v>
          </cell>
          <cell r="BA191">
            <v>0</v>
          </cell>
          <cell r="BB191">
            <v>0</v>
          </cell>
          <cell r="BC191">
            <v>0</v>
          </cell>
          <cell r="BD191">
            <v>0</v>
          </cell>
          <cell r="BE191">
            <v>0</v>
          </cell>
          <cell r="BF191">
            <v>0</v>
          </cell>
          <cell r="BG191">
            <v>0</v>
          </cell>
          <cell r="BH191">
            <v>0</v>
          </cell>
          <cell r="BJ191">
            <v>0</v>
          </cell>
          <cell r="BL191">
            <v>0</v>
          </cell>
          <cell r="BM191">
            <v>0</v>
          </cell>
          <cell r="BN191">
            <v>0</v>
          </cell>
          <cell r="BO191">
            <v>0</v>
          </cell>
          <cell r="BQ191">
            <v>0</v>
          </cell>
          <cell r="BR191">
            <v>0</v>
          </cell>
          <cell r="BS191">
            <v>0</v>
          </cell>
          <cell r="BT191">
            <v>0</v>
          </cell>
          <cell r="CB191">
            <v>0</v>
          </cell>
          <cell r="CC191">
            <v>0</v>
          </cell>
          <cell r="CD191">
            <v>0</v>
          </cell>
          <cell r="CE191">
            <v>0</v>
          </cell>
          <cell r="CF191">
            <v>0</v>
          </cell>
          <cell r="CI191">
            <v>0</v>
          </cell>
          <cell r="CJ191">
            <v>0</v>
          </cell>
          <cell r="CK191">
            <v>0</v>
          </cell>
          <cell r="CV191">
            <v>9.2830572145810521E-4</v>
          </cell>
          <cell r="DG191">
            <v>40384454</v>
          </cell>
          <cell r="DR191">
            <v>14071193.000000006</v>
          </cell>
          <cell r="EC191">
            <v>2.8700092451293919</v>
          </cell>
          <cell r="EN191">
            <v>2.4095909012463064E-2</v>
          </cell>
        </row>
        <row r="192">
          <cell r="B192">
            <v>35500</v>
          </cell>
          <cell r="C192" t="str">
            <v>Lincoln County Schools</v>
          </cell>
          <cell r="D192">
            <v>3.816186104927143E-3</v>
          </cell>
          <cell r="E192">
            <v>6602891.7778218575</v>
          </cell>
          <cell r="F192">
            <v>5148426.1454292098</v>
          </cell>
          <cell r="G192">
            <v>21964</v>
          </cell>
          <cell r="H192">
            <v>-1842441.4285352109</v>
          </cell>
          <cell r="I192">
            <v>-76243.702627581617</v>
          </cell>
          <cell r="J192">
            <v>5571916.907164338</v>
          </cell>
          <cell r="K192">
            <v>0</v>
          </cell>
          <cell r="L192">
            <v>-292757.76416643674</v>
          </cell>
          <cell r="M192">
            <v>52537.478608986232</v>
          </cell>
          <cell r="N192">
            <v>1980.5242647350888</v>
          </cell>
          <cell r="O192">
            <v>-893.78894763498613</v>
          </cell>
          <cell r="P192">
            <v>0</v>
          </cell>
          <cell r="Q192">
            <v>0</v>
          </cell>
          <cell r="R192">
            <v>0</v>
          </cell>
          <cell r="S192">
            <v>15187380.149012258</v>
          </cell>
          <cell r="T192">
            <v>262040</v>
          </cell>
          <cell r="U192">
            <v>27859584.535821691</v>
          </cell>
          <cell r="V192">
            <v>210149.91443594493</v>
          </cell>
          <cell r="W192">
            <v>0</v>
          </cell>
          <cell r="X192">
            <v>28331774.450257637</v>
          </cell>
          <cell r="Y192">
            <v>152220.91999999946</v>
          </cell>
          <cell r="Z192">
            <v>0</v>
          </cell>
          <cell r="AA192">
            <v>0</v>
          </cell>
          <cell r="AB192">
            <v>381218.51313790807</v>
          </cell>
          <cell r="AC192">
            <v>533439.43313790753</v>
          </cell>
          <cell r="AD192" t="str">
            <v>N/A</v>
          </cell>
          <cell r="AE192">
            <v>5570175</v>
          </cell>
          <cell r="AF192">
            <v>5570175</v>
          </cell>
          <cell r="AG192">
            <v>5570175</v>
          </cell>
          <cell r="AH192">
            <v>5570175</v>
          </cell>
          <cell r="AI192">
            <v>5517637</v>
          </cell>
          <cell r="AJ192">
            <v>0</v>
          </cell>
          <cell r="AK192">
            <v>27798337</v>
          </cell>
          <cell r="AL192">
            <v>126209268</v>
          </cell>
          <cell r="AM192">
            <v>15187380.149012258</v>
          </cell>
          <cell r="AN192">
            <v>-3177916.0800000005</v>
          </cell>
          <cell r="AO192">
            <v>27688515.93711973</v>
          </cell>
          <cell r="AP192">
            <v>0</v>
          </cell>
          <cell r="AQ192">
            <v>109819.08000000054</v>
          </cell>
          <cell r="AR192">
            <v>0</v>
          </cell>
          <cell r="AS192">
            <v>0</v>
          </cell>
          <cell r="AT192">
            <v>166017067.08613199</v>
          </cell>
          <cell r="AU192">
            <v>3.8067017956261722E-3</v>
          </cell>
          <cell r="AV192">
            <v>0</v>
          </cell>
          <cell r="AW192">
            <v>0</v>
          </cell>
          <cell r="AY192">
            <v>0</v>
          </cell>
          <cell r="AZ192">
            <v>0</v>
          </cell>
          <cell r="BA192">
            <v>0</v>
          </cell>
          <cell r="BB192">
            <v>0</v>
          </cell>
          <cell r="BC192">
            <v>0</v>
          </cell>
          <cell r="BD192">
            <v>0</v>
          </cell>
          <cell r="BE192">
            <v>0</v>
          </cell>
          <cell r="BF192">
            <v>0</v>
          </cell>
          <cell r="BG192">
            <v>0</v>
          </cell>
          <cell r="BH192">
            <v>0</v>
          </cell>
          <cell r="BJ192">
            <v>0</v>
          </cell>
          <cell r="BL192">
            <v>0</v>
          </cell>
          <cell r="BM192">
            <v>0</v>
          </cell>
          <cell r="BN192">
            <v>0</v>
          </cell>
          <cell r="BO192">
            <v>0</v>
          </cell>
          <cell r="BQ192">
            <v>0</v>
          </cell>
          <cell r="BR192">
            <v>0</v>
          </cell>
          <cell r="BS192">
            <v>0</v>
          </cell>
          <cell r="BT192">
            <v>0</v>
          </cell>
          <cell r="CB192">
            <v>0</v>
          </cell>
          <cell r="CC192">
            <v>0</v>
          </cell>
          <cell r="CD192">
            <v>0</v>
          </cell>
          <cell r="CE192">
            <v>0</v>
          </cell>
          <cell r="CF192">
            <v>0</v>
          </cell>
          <cell r="CI192">
            <v>0</v>
          </cell>
          <cell r="CJ192">
            <v>0</v>
          </cell>
          <cell r="CK192">
            <v>0</v>
          </cell>
          <cell r="CV192">
            <v>3.816186104927143E-3</v>
          </cell>
          <cell r="DG192">
            <v>166017067</v>
          </cell>
          <cell r="DR192">
            <v>55798882.090000018</v>
          </cell>
          <cell r="EC192">
            <v>2.9752758618394024</v>
          </cell>
          <cell r="EN192">
            <v>2.4095909012463064E-2</v>
          </cell>
        </row>
        <row r="193">
          <cell r="B193">
            <v>35600</v>
          </cell>
          <cell r="C193" t="str">
            <v>Macon County Schools</v>
          </cell>
          <cell r="D193">
            <v>1.4624347078516144E-3</v>
          </cell>
          <cell r="E193">
            <v>2530353.039021688</v>
          </cell>
          <cell r="F193">
            <v>1972974.293933216</v>
          </cell>
          <cell r="G193">
            <v>-123243</v>
          </cell>
          <cell r="H193">
            <v>-706058.40967628697</v>
          </cell>
          <cell r="I193">
            <v>-29218.02918199699</v>
          </cell>
          <cell r="J193">
            <v>2135263.9651880707</v>
          </cell>
          <cell r="K193">
            <v>0</v>
          </cell>
          <cell r="L193">
            <v>-112190.3134538583</v>
          </cell>
          <cell r="M193">
            <v>20133.355677175517</v>
          </cell>
          <cell r="N193">
            <v>758.97436468083083</v>
          </cell>
          <cell r="O193">
            <v>-342.51683292592662</v>
          </cell>
          <cell r="P193">
            <v>0</v>
          </cell>
          <cell r="Q193">
            <v>0</v>
          </cell>
          <cell r="R193">
            <v>0</v>
          </cell>
          <cell r="S193">
            <v>5688431.359039763</v>
          </cell>
          <cell r="T193">
            <v>14387.350000000326</v>
          </cell>
          <cell r="U193">
            <v>10676319.825940352</v>
          </cell>
          <cell r="V193">
            <v>80533.42270870207</v>
          </cell>
          <cell r="W193">
            <v>0</v>
          </cell>
          <cell r="X193">
            <v>10771240.598649053</v>
          </cell>
          <cell r="Y193">
            <v>630600</v>
          </cell>
          <cell r="Z193">
            <v>0</v>
          </cell>
          <cell r="AA193">
            <v>0</v>
          </cell>
          <cell r="AB193">
            <v>146090.14590998495</v>
          </cell>
          <cell r="AC193">
            <v>776690.14590998495</v>
          </cell>
          <cell r="AD193" t="str">
            <v>N/A</v>
          </cell>
          <cell r="AE193">
            <v>2002936</v>
          </cell>
          <cell r="AF193">
            <v>2002937</v>
          </cell>
          <cell r="AG193">
            <v>2002937</v>
          </cell>
          <cell r="AH193">
            <v>2002937</v>
          </cell>
          <cell r="AI193">
            <v>1982804</v>
          </cell>
          <cell r="AJ193">
            <v>0</v>
          </cell>
          <cell r="AK193">
            <v>9994551</v>
          </cell>
          <cell r="AL193">
            <v>49243001</v>
          </cell>
          <cell r="AM193">
            <v>5688431.359039763</v>
          </cell>
          <cell r="AN193">
            <v>-1305102.3500000003</v>
          </cell>
          <cell r="AO193">
            <v>10610763.102739071</v>
          </cell>
          <cell r="AP193">
            <v>0</v>
          </cell>
          <cell r="AQ193">
            <v>-616212.64999999967</v>
          </cell>
          <cell r="AR193">
            <v>0</v>
          </cell>
          <cell r="AS193">
            <v>0</v>
          </cell>
          <cell r="AT193">
            <v>63620880.461778834</v>
          </cell>
          <cell r="AU193">
            <v>1.4852587410871857E-3</v>
          </cell>
          <cell r="AV193">
            <v>0</v>
          </cell>
          <cell r="AW193">
            <v>0</v>
          </cell>
          <cell r="AY193">
            <v>0</v>
          </cell>
          <cell r="AZ193">
            <v>0</v>
          </cell>
          <cell r="BA193">
            <v>0</v>
          </cell>
          <cell r="BB193">
            <v>0</v>
          </cell>
          <cell r="BC193">
            <v>0</v>
          </cell>
          <cell r="BD193">
            <v>0</v>
          </cell>
          <cell r="BE193">
            <v>0</v>
          </cell>
          <cell r="BF193">
            <v>0</v>
          </cell>
          <cell r="BG193">
            <v>0</v>
          </cell>
          <cell r="BH193">
            <v>0</v>
          </cell>
          <cell r="BJ193">
            <v>0</v>
          </cell>
          <cell r="BL193">
            <v>0</v>
          </cell>
          <cell r="BM193">
            <v>0</v>
          </cell>
          <cell r="BN193">
            <v>0</v>
          </cell>
          <cell r="BO193">
            <v>0</v>
          </cell>
          <cell r="BQ193">
            <v>0</v>
          </cell>
          <cell r="BR193">
            <v>0</v>
          </cell>
          <cell r="BS193">
            <v>0</v>
          </cell>
          <cell r="BT193">
            <v>0</v>
          </cell>
          <cell r="CB193">
            <v>0</v>
          </cell>
          <cell r="CC193">
            <v>0</v>
          </cell>
          <cell r="CD193">
            <v>0</v>
          </cell>
          <cell r="CE193">
            <v>0</v>
          </cell>
          <cell r="CF193">
            <v>0</v>
          </cell>
          <cell r="CI193">
            <v>0</v>
          </cell>
          <cell r="CJ193">
            <v>0</v>
          </cell>
          <cell r="CK193">
            <v>0</v>
          </cell>
          <cell r="CV193">
            <v>1.4624347078516144E-3</v>
          </cell>
          <cell r="DG193">
            <v>63620881</v>
          </cell>
          <cell r="DR193">
            <v>22403744.750000019</v>
          </cell>
          <cell r="EC193">
            <v>2.8397431639190565</v>
          </cell>
          <cell r="EN193">
            <v>2.4095909012463064E-2</v>
          </cell>
        </row>
        <row r="194">
          <cell r="B194">
            <v>35700</v>
          </cell>
          <cell r="C194" t="str">
            <v>Madison County Schools</v>
          </cell>
          <cell r="D194">
            <v>8.2385240165957683E-4</v>
          </cell>
          <cell r="E194">
            <v>1425456.7517117104</v>
          </cell>
          <cell r="F194">
            <v>1111461.3197722416</v>
          </cell>
          <cell r="G194">
            <v>-334675</v>
          </cell>
          <cell r="H194">
            <v>-397753.08490748104</v>
          </cell>
          <cell r="I194">
            <v>-16459.773133194958</v>
          </cell>
          <cell r="J194">
            <v>1202886.0751544978</v>
          </cell>
          <cell r="K194">
            <v>0</v>
          </cell>
          <cell r="L194">
            <v>-63201.631283548624</v>
          </cell>
          <cell r="M194">
            <v>11341.985621002174</v>
          </cell>
          <cell r="N194">
            <v>427.5629194132872</v>
          </cell>
          <cell r="O194">
            <v>-192.95447099268949</v>
          </cell>
          <cell r="P194">
            <v>0</v>
          </cell>
          <cell r="Q194">
            <v>0</v>
          </cell>
          <cell r="R194">
            <v>0</v>
          </cell>
          <cell r="S194">
            <v>2939291.2513836478</v>
          </cell>
          <cell r="T194">
            <v>12655.170000000042</v>
          </cell>
          <cell r="U194">
            <v>6014430.3757724883</v>
          </cell>
          <cell r="V194">
            <v>45367.942484008694</v>
          </cell>
          <cell r="W194">
            <v>0</v>
          </cell>
          <cell r="X194">
            <v>6072453.4882564973</v>
          </cell>
          <cell r="Y194">
            <v>1686031</v>
          </cell>
          <cell r="Z194">
            <v>0</v>
          </cell>
          <cell r="AA194">
            <v>0</v>
          </cell>
          <cell r="AB194">
            <v>82298.865665974779</v>
          </cell>
          <cell r="AC194">
            <v>1768329.8656659748</v>
          </cell>
          <cell r="AD194" t="str">
            <v>N/A</v>
          </cell>
          <cell r="AE194">
            <v>863093</v>
          </cell>
          <cell r="AF194">
            <v>863093</v>
          </cell>
          <cell r="AG194">
            <v>863093</v>
          </cell>
          <cell r="AH194">
            <v>863093</v>
          </cell>
          <cell r="AI194">
            <v>851751</v>
          </cell>
          <cell r="AJ194">
            <v>0</v>
          </cell>
          <cell r="AK194">
            <v>4304123</v>
          </cell>
          <cell r="AL194">
            <v>29337646</v>
          </cell>
          <cell r="AM194">
            <v>2939291.2513836478</v>
          </cell>
          <cell r="AN194">
            <v>-740681.17</v>
          </cell>
          <cell r="AO194">
            <v>5977499.4525905233</v>
          </cell>
          <cell r="AP194">
            <v>0</v>
          </cell>
          <cell r="AQ194">
            <v>-1673375.83</v>
          </cell>
          <cell r="AR194">
            <v>0</v>
          </cell>
          <cell r="AS194">
            <v>0</v>
          </cell>
          <cell r="AT194">
            <v>35840379.703974172</v>
          </cell>
          <cell r="AU194">
            <v>8.8487693575365961E-4</v>
          </cell>
          <cell r="AV194">
            <v>0</v>
          </cell>
          <cell r="AW194">
            <v>0</v>
          </cell>
          <cell r="AY194">
            <v>0</v>
          </cell>
          <cell r="AZ194">
            <v>0</v>
          </cell>
          <cell r="BA194">
            <v>0</v>
          </cell>
          <cell r="BB194">
            <v>0</v>
          </cell>
          <cell r="BC194">
            <v>0</v>
          </cell>
          <cell r="BD194">
            <v>0</v>
          </cell>
          <cell r="BE194">
            <v>0</v>
          </cell>
          <cell r="BF194">
            <v>0</v>
          </cell>
          <cell r="BG194">
            <v>0</v>
          </cell>
          <cell r="BH194">
            <v>0</v>
          </cell>
          <cell r="BJ194">
            <v>0</v>
          </cell>
          <cell r="BL194">
            <v>0</v>
          </cell>
          <cell r="BM194">
            <v>0</v>
          </cell>
          <cell r="BN194">
            <v>0</v>
          </cell>
          <cell r="BO194">
            <v>0</v>
          </cell>
          <cell r="BQ194">
            <v>0</v>
          </cell>
          <cell r="BR194">
            <v>0</v>
          </cell>
          <cell r="BS194">
            <v>0</v>
          </cell>
          <cell r="BT194">
            <v>0</v>
          </cell>
          <cell r="CB194">
            <v>0</v>
          </cell>
          <cell r="CC194">
            <v>0</v>
          </cell>
          <cell r="CD194">
            <v>0</v>
          </cell>
          <cell r="CE194">
            <v>0</v>
          </cell>
          <cell r="CF194">
            <v>0</v>
          </cell>
          <cell r="CI194">
            <v>0</v>
          </cell>
          <cell r="CJ194">
            <v>0</v>
          </cell>
          <cell r="CK194">
            <v>0</v>
          </cell>
          <cell r="CV194">
            <v>8.2385240165957683E-4</v>
          </cell>
          <cell r="DG194">
            <v>35840380</v>
          </cell>
          <cell r="DR194">
            <v>12609939.180000005</v>
          </cell>
          <cell r="EC194">
            <v>2.8422325824413677</v>
          </cell>
          <cell r="EN194">
            <v>2.4095909012463064E-2</v>
          </cell>
        </row>
        <row r="195">
          <cell r="B195">
            <v>35800</v>
          </cell>
          <cell r="C195" t="str">
            <v>Martin County Schools</v>
          </cell>
          <cell r="D195">
            <v>1.1867186442876363E-3</v>
          </cell>
          <cell r="E195">
            <v>2053299.9606171807</v>
          </cell>
          <cell r="F195">
            <v>1601005.0682880459</v>
          </cell>
          <cell r="G195">
            <v>-339263</v>
          </cell>
          <cell r="H195">
            <v>-572943.64953210903</v>
          </cell>
          <cell r="I195">
            <v>-23709.489246568268</v>
          </cell>
          <cell r="J195">
            <v>1732697.9073730635</v>
          </cell>
          <cell r="K195">
            <v>0</v>
          </cell>
          <cell r="L195">
            <v>-91038.824481780917</v>
          </cell>
          <cell r="M195">
            <v>16337.569414827356</v>
          </cell>
          <cell r="N195">
            <v>615.88324201239743</v>
          </cell>
          <cell r="O195">
            <v>-277.94137367860731</v>
          </cell>
          <cell r="P195">
            <v>0</v>
          </cell>
          <cell r="Q195">
            <v>0</v>
          </cell>
          <cell r="R195">
            <v>0</v>
          </cell>
          <cell r="S195">
            <v>4376723.4843009925</v>
          </cell>
          <cell r="T195">
            <v>73051.520000000019</v>
          </cell>
          <cell r="U195">
            <v>8663489.5368653163</v>
          </cell>
          <cell r="V195">
            <v>65350.277659309424</v>
          </cell>
          <cell r="W195">
            <v>0</v>
          </cell>
          <cell r="X195">
            <v>8801891.3345246259</v>
          </cell>
          <cell r="Y195">
            <v>1769364</v>
          </cell>
          <cell r="Z195">
            <v>0</v>
          </cell>
          <cell r="AA195">
            <v>0</v>
          </cell>
          <cell r="AB195">
            <v>118547.44623284134</v>
          </cell>
          <cell r="AC195">
            <v>1887911.4462328414</v>
          </cell>
          <cell r="AD195" t="str">
            <v>N/A</v>
          </cell>
          <cell r="AE195">
            <v>1386063</v>
          </cell>
          <cell r="AF195">
            <v>1386063</v>
          </cell>
          <cell r="AG195">
            <v>1386063</v>
          </cell>
          <cell r="AH195">
            <v>1386063</v>
          </cell>
          <cell r="AI195">
            <v>1369725</v>
          </cell>
          <cell r="AJ195">
            <v>0</v>
          </cell>
          <cell r="AK195">
            <v>6913977</v>
          </cell>
          <cell r="AL195">
            <v>41468292</v>
          </cell>
          <cell r="AM195">
            <v>4376723.4843009925</v>
          </cell>
          <cell r="AN195">
            <v>-1132700.52</v>
          </cell>
          <cell r="AO195">
            <v>8610292.3682917859</v>
          </cell>
          <cell r="AP195">
            <v>0</v>
          </cell>
          <cell r="AQ195">
            <v>-1696312.48</v>
          </cell>
          <cell r="AR195">
            <v>0</v>
          </cell>
          <cell r="AS195">
            <v>0</v>
          </cell>
          <cell r="AT195">
            <v>51626294.852592781</v>
          </cell>
          <cell r="AU195">
            <v>1.2507593363649612E-3</v>
          </cell>
          <cell r="AV195">
            <v>0</v>
          </cell>
          <cell r="AW195">
            <v>0</v>
          </cell>
          <cell r="AY195">
            <v>0</v>
          </cell>
          <cell r="AZ195">
            <v>0</v>
          </cell>
          <cell r="BA195">
            <v>0</v>
          </cell>
          <cell r="BB195">
            <v>0</v>
          </cell>
          <cell r="BC195">
            <v>0</v>
          </cell>
          <cell r="BD195">
            <v>0</v>
          </cell>
          <cell r="BE195">
            <v>0</v>
          </cell>
          <cell r="BF195">
            <v>0</v>
          </cell>
          <cell r="BG195">
            <v>0</v>
          </cell>
          <cell r="BH195">
            <v>0</v>
          </cell>
          <cell r="BJ195">
            <v>0</v>
          </cell>
          <cell r="BL195">
            <v>0</v>
          </cell>
          <cell r="BM195">
            <v>0</v>
          </cell>
          <cell r="BN195">
            <v>0</v>
          </cell>
          <cell r="BO195">
            <v>0</v>
          </cell>
          <cell r="BQ195">
            <v>0</v>
          </cell>
          <cell r="BR195">
            <v>0</v>
          </cell>
          <cell r="BS195">
            <v>0</v>
          </cell>
          <cell r="BT195">
            <v>0</v>
          </cell>
          <cell r="CB195">
            <v>0</v>
          </cell>
          <cell r="CC195">
            <v>0</v>
          </cell>
          <cell r="CD195">
            <v>0</v>
          </cell>
          <cell r="CE195">
            <v>0</v>
          </cell>
          <cell r="CF195">
            <v>0</v>
          </cell>
          <cell r="CI195">
            <v>0</v>
          </cell>
          <cell r="CJ195">
            <v>0</v>
          </cell>
          <cell r="CK195">
            <v>0</v>
          </cell>
          <cell r="CV195">
            <v>1.1867186442876363E-3</v>
          </cell>
          <cell r="DG195">
            <v>51626295</v>
          </cell>
          <cell r="DR195">
            <v>19721483.920000002</v>
          </cell>
          <cell r="EC195">
            <v>2.6177692920787066</v>
          </cell>
          <cell r="EN195">
            <v>2.4095909012463064E-2</v>
          </cell>
        </row>
        <row r="196">
          <cell r="B196">
            <v>35805</v>
          </cell>
          <cell r="C196" t="str">
            <v>Martin Community College</v>
          </cell>
          <cell r="D196">
            <v>1.8563772340785819E-4</v>
          </cell>
          <cell r="E196">
            <v>321196.54645792395</v>
          </cell>
          <cell r="F196">
            <v>250444.31337795561</v>
          </cell>
          <cell r="G196">
            <v>24617</v>
          </cell>
          <cell r="H196">
            <v>-89625.24963444582</v>
          </cell>
          <cell r="I196">
            <v>-3708.8619346147434</v>
          </cell>
          <cell r="J196">
            <v>271044.94938762678</v>
          </cell>
          <cell r="K196">
            <v>0</v>
          </cell>
          <cell r="L196">
            <v>-14241.151598886587</v>
          </cell>
          <cell r="M196">
            <v>2555.6767029702946</v>
          </cell>
          <cell r="N196">
            <v>96.342265694210241</v>
          </cell>
          <cell r="O196">
            <v>-43.478211199354469</v>
          </cell>
          <cell r="P196">
            <v>0</v>
          </cell>
          <cell r="Q196">
            <v>0</v>
          </cell>
          <cell r="R196">
            <v>0</v>
          </cell>
          <cell r="S196">
            <v>762336.08681302425</v>
          </cell>
          <cell r="T196">
            <v>123083.18</v>
          </cell>
          <cell r="U196">
            <v>1355224.7469381338</v>
          </cell>
          <cell r="V196">
            <v>10222.706811881179</v>
          </cell>
          <cell r="W196">
            <v>0</v>
          </cell>
          <cell r="X196">
            <v>1488530.6337500149</v>
          </cell>
          <cell r="Y196">
            <v>0</v>
          </cell>
          <cell r="Z196">
            <v>0</v>
          </cell>
          <cell r="AA196">
            <v>0</v>
          </cell>
          <cell r="AB196">
            <v>18544.309673073716</v>
          </cell>
          <cell r="AC196">
            <v>18544.309673073716</v>
          </cell>
          <cell r="AD196" t="str">
            <v>N/A</v>
          </cell>
          <cell r="AE196">
            <v>294509</v>
          </cell>
          <cell r="AF196">
            <v>294509</v>
          </cell>
          <cell r="AG196">
            <v>294509</v>
          </cell>
          <cell r="AH196">
            <v>294509</v>
          </cell>
          <cell r="AI196">
            <v>291953</v>
          </cell>
          <cell r="AJ196">
            <v>0</v>
          </cell>
          <cell r="AK196">
            <v>1469989</v>
          </cell>
          <cell r="AL196">
            <v>6053909</v>
          </cell>
          <cell r="AM196">
            <v>762336.08681302425</v>
          </cell>
          <cell r="AN196">
            <v>-210359.18</v>
          </cell>
          <cell r="AO196">
            <v>1346903.1440769415</v>
          </cell>
          <cell r="AP196">
            <v>0</v>
          </cell>
          <cell r="AQ196">
            <v>123083.18</v>
          </cell>
          <cell r="AR196">
            <v>0</v>
          </cell>
          <cell r="AS196">
            <v>0</v>
          </cell>
          <cell r="AT196">
            <v>8075872.2308899658</v>
          </cell>
          <cell r="AU196">
            <v>1.8259693092330072E-4</v>
          </cell>
          <cell r="AV196">
            <v>0</v>
          </cell>
          <cell r="AW196">
            <v>0</v>
          </cell>
          <cell r="AY196">
            <v>0</v>
          </cell>
          <cell r="AZ196">
            <v>0</v>
          </cell>
          <cell r="BA196">
            <v>0</v>
          </cell>
          <cell r="BB196">
            <v>0</v>
          </cell>
          <cell r="BC196">
            <v>0</v>
          </cell>
          <cell r="BD196">
            <v>0</v>
          </cell>
          <cell r="BE196">
            <v>0</v>
          </cell>
          <cell r="BF196">
            <v>0</v>
          </cell>
          <cell r="BG196">
            <v>0</v>
          </cell>
          <cell r="BH196">
            <v>0</v>
          </cell>
          <cell r="BJ196">
            <v>0</v>
          </cell>
          <cell r="BL196">
            <v>0</v>
          </cell>
          <cell r="BM196">
            <v>0</v>
          </cell>
          <cell r="BN196">
            <v>0</v>
          </cell>
          <cell r="BO196">
            <v>0</v>
          </cell>
          <cell r="BQ196">
            <v>0</v>
          </cell>
          <cell r="BR196">
            <v>0</v>
          </cell>
          <cell r="BS196">
            <v>0</v>
          </cell>
          <cell r="BT196">
            <v>0</v>
          </cell>
          <cell r="CB196">
            <v>0</v>
          </cell>
          <cell r="CC196">
            <v>0</v>
          </cell>
          <cell r="CD196">
            <v>0</v>
          </cell>
          <cell r="CE196">
            <v>0</v>
          </cell>
          <cell r="CF196">
            <v>0</v>
          </cell>
          <cell r="CI196">
            <v>0</v>
          </cell>
          <cell r="CJ196">
            <v>0</v>
          </cell>
          <cell r="CK196">
            <v>0</v>
          </cell>
          <cell r="CV196">
            <v>1.8563772340785819E-4</v>
          </cell>
          <cell r="DG196">
            <v>8075872</v>
          </cell>
          <cell r="DR196">
            <v>3495280.6200000006</v>
          </cell>
          <cell r="EC196">
            <v>2.3105074750764931</v>
          </cell>
          <cell r="EN196">
            <v>2.4095909012463064E-2</v>
          </cell>
        </row>
        <row r="197">
          <cell r="B197">
            <v>35900</v>
          </cell>
          <cell r="C197" t="str">
            <v>Mcdowell County Schools</v>
          </cell>
          <cell r="D197">
            <v>2.225742813351026E-3</v>
          </cell>
          <cell r="E197">
            <v>3851054.0413233214</v>
          </cell>
          <cell r="F197">
            <v>3002755.1534927986</v>
          </cell>
          <cell r="G197">
            <v>-62690</v>
          </cell>
          <cell r="H197">
            <v>-1074580.9181810683</v>
          </cell>
          <cell r="I197">
            <v>-44468.185911455264</v>
          </cell>
          <cell r="J197">
            <v>3249750.8433087459</v>
          </cell>
          <cell r="K197">
            <v>0</v>
          </cell>
          <cell r="L197">
            <v>-170747.30417493652</v>
          </cell>
          <cell r="M197">
            <v>30641.827266903387</v>
          </cell>
          <cell r="N197">
            <v>1155.1160052729156</v>
          </cell>
          <cell r="O197">
            <v>-521.29122431494386</v>
          </cell>
          <cell r="P197">
            <v>0</v>
          </cell>
          <cell r="Q197">
            <v>0</v>
          </cell>
          <cell r="R197">
            <v>0</v>
          </cell>
          <cell r="S197">
            <v>8782349.2819052674</v>
          </cell>
          <cell r="T197">
            <v>0</v>
          </cell>
          <cell r="U197">
            <v>16248754.21654373</v>
          </cell>
          <cell r="V197">
            <v>122567.30906761355</v>
          </cell>
          <cell r="W197">
            <v>0</v>
          </cell>
          <cell r="X197">
            <v>16371321.525611345</v>
          </cell>
          <cell r="Y197">
            <v>313446.18000000017</v>
          </cell>
          <cell r="Z197">
            <v>0</v>
          </cell>
          <cell r="AA197">
            <v>0</v>
          </cell>
          <cell r="AB197">
            <v>222340.92955727631</v>
          </cell>
          <cell r="AC197">
            <v>535787.10955727648</v>
          </cell>
          <cell r="AD197" t="str">
            <v>N/A</v>
          </cell>
          <cell r="AE197">
            <v>3173235</v>
          </cell>
          <cell r="AF197">
            <v>3173234</v>
          </cell>
          <cell r="AG197">
            <v>3173234</v>
          </cell>
          <cell r="AH197">
            <v>3173234</v>
          </cell>
          <cell r="AI197">
            <v>3142593</v>
          </cell>
          <cell r="AJ197">
            <v>0</v>
          </cell>
          <cell r="AK197">
            <v>15835530</v>
          </cell>
          <cell r="AL197">
            <v>74108822</v>
          </cell>
          <cell r="AM197">
            <v>8782349.2819052674</v>
          </cell>
          <cell r="AN197">
            <v>-1899327.8199999998</v>
          </cell>
          <cell r="AO197">
            <v>16148980.596054068</v>
          </cell>
          <cell r="AP197">
            <v>0</v>
          </cell>
          <cell r="AQ197">
            <v>-313446.18000000017</v>
          </cell>
          <cell r="AR197">
            <v>0</v>
          </cell>
          <cell r="AS197">
            <v>0</v>
          </cell>
          <cell r="AT197">
            <v>96827377.877959326</v>
          </cell>
          <cell r="AU197">
            <v>2.2352572897208051E-3</v>
          </cell>
          <cell r="AV197">
            <v>0</v>
          </cell>
          <cell r="AW197">
            <v>0</v>
          </cell>
          <cell r="AY197">
            <v>0</v>
          </cell>
          <cell r="AZ197">
            <v>0</v>
          </cell>
          <cell r="BA197">
            <v>0</v>
          </cell>
          <cell r="BB197">
            <v>0</v>
          </cell>
          <cell r="BC197">
            <v>0</v>
          </cell>
          <cell r="BD197">
            <v>0</v>
          </cell>
          <cell r="BE197">
            <v>0</v>
          </cell>
          <cell r="BF197">
            <v>0</v>
          </cell>
          <cell r="BG197">
            <v>0</v>
          </cell>
          <cell r="BH197">
            <v>0</v>
          </cell>
          <cell r="BJ197">
            <v>0</v>
          </cell>
          <cell r="BL197">
            <v>0</v>
          </cell>
          <cell r="BM197">
            <v>0</v>
          </cell>
          <cell r="BN197">
            <v>0</v>
          </cell>
          <cell r="BO197">
            <v>0</v>
          </cell>
          <cell r="BQ197">
            <v>0</v>
          </cell>
          <cell r="BR197">
            <v>0</v>
          </cell>
          <cell r="BS197">
            <v>0</v>
          </cell>
          <cell r="BT197">
            <v>0</v>
          </cell>
          <cell r="CB197">
            <v>0</v>
          </cell>
          <cell r="CC197">
            <v>0</v>
          </cell>
          <cell r="CD197">
            <v>0</v>
          </cell>
          <cell r="CE197">
            <v>0</v>
          </cell>
          <cell r="CF197">
            <v>0</v>
          </cell>
          <cell r="CI197">
            <v>0</v>
          </cell>
          <cell r="CJ197">
            <v>0</v>
          </cell>
          <cell r="CK197">
            <v>0</v>
          </cell>
          <cell r="CV197">
            <v>2.225742813351026E-3</v>
          </cell>
          <cell r="DG197">
            <v>96827378</v>
          </cell>
          <cell r="DR197">
            <v>33198038.550000027</v>
          </cell>
          <cell r="EC197">
            <v>2.9166596048789732</v>
          </cell>
          <cell r="EN197">
            <v>2.4095909012463064E-2</v>
          </cell>
        </row>
        <row r="198">
          <cell r="B198">
            <v>35905</v>
          </cell>
          <cell r="C198" t="str">
            <v>Mcdowell Technical College</v>
          </cell>
          <cell r="D198">
            <v>2.9266541278908449E-4</v>
          </cell>
          <cell r="E198">
            <v>506379.40462675079</v>
          </cell>
          <cell r="F198">
            <v>394835.63475081656</v>
          </cell>
          <cell r="G198">
            <v>-132166</v>
          </cell>
          <cell r="H198">
            <v>-141297.84722128024</v>
          </cell>
          <cell r="I198">
            <v>-5847.1715185115136</v>
          </cell>
          <cell r="J198">
            <v>427313.37435464584</v>
          </cell>
          <cell r="K198">
            <v>0</v>
          </cell>
          <cell r="L198">
            <v>-22451.754065756031</v>
          </cell>
          <cell r="M198">
            <v>4029.1281507850367</v>
          </cell>
          <cell r="N198">
            <v>151.88749592927908</v>
          </cell>
          <cell r="O198">
            <v>-68.545166329331479</v>
          </cell>
          <cell r="P198">
            <v>0</v>
          </cell>
          <cell r="Q198">
            <v>0</v>
          </cell>
          <cell r="R198">
            <v>0</v>
          </cell>
          <cell r="S198">
            <v>1030878.1114070503</v>
          </cell>
          <cell r="T198">
            <v>57614.160000000033</v>
          </cell>
          <cell r="U198">
            <v>2136566.871773229</v>
          </cell>
          <cell r="V198">
            <v>16116.512603140147</v>
          </cell>
          <cell r="W198">
            <v>0</v>
          </cell>
          <cell r="X198">
            <v>2210297.5443763691</v>
          </cell>
          <cell r="Y198">
            <v>718445</v>
          </cell>
          <cell r="Z198">
            <v>0</v>
          </cell>
          <cell r="AA198">
            <v>0</v>
          </cell>
          <cell r="AB198">
            <v>29235.857592557564</v>
          </cell>
          <cell r="AC198">
            <v>747680.85759255756</v>
          </cell>
          <cell r="AD198" t="str">
            <v>N/A</v>
          </cell>
          <cell r="AE198">
            <v>293329</v>
          </cell>
          <cell r="AF198">
            <v>293329</v>
          </cell>
          <cell r="AG198">
            <v>293329</v>
          </cell>
          <cell r="AH198">
            <v>293329</v>
          </cell>
          <cell r="AI198">
            <v>289300</v>
          </cell>
          <cell r="AJ198">
            <v>0</v>
          </cell>
          <cell r="AK198">
            <v>1462616</v>
          </cell>
          <cell r="AL198">
            <v>10565307</v>
          </cell>
          <cell r="AM198">
            <v>1030878.1114070503</v>
          </cell>
          <cell r="AN198">
            <v>-326862.16000000003</v>
          </cell>
          <cell r="AO198">
            <v>2123447.5267838119</v>
          </cell>
          <cell r="AP198">
            <v>0</v>
          </cell>
          <cell r="AQ198">
            <v>-660830.84</v>
          </cell>
          <cell r="AR198">
            <v>0</v>
          </cell>
          <cell r="AS198">
            <v>0</v>
          </cell>
          <cell r="AT198">
            <v>12731939.638190862</v>
          </cell>
          <cell r="AU198">
            <v>3.1866893214690196E-4</v>
          </cell>
          <cell r="AV198">
            <v>0</v>
          </cell>
          <cell r="AW198">
            <v>0</v>
          </cell>
          <cell r="AY198">
            <v>0</v>
          </cell>
          <cell r="AZ198">
            <v>0</v>
          </cell>
          <cell r="BA198">
            <v>0</v>
          </cell>
          <cell r="BB198">
            <v>0</v>
          </cell>
          <cell r="BC198">
            <v>0</v>
          </cell>
          <cell r="BD198">
            <v>0</v>
          </cell>
          <cell r="BE198">
            <v>0</v>
          </cell>
          <cell r="BF198">
            <v>0</v>
          </cell>
          <cell r="BG198">
            <v>0</v>
          </cell>
          <cell r="BH198">
            <v>0</v>
          </cell>
          <cell r="BJ198">
            <v>0</v>
          </cell>
          <cell r="BL198">
            <v>0</v>
          </cell>
          <cell r="BM198">
            <v>0</v>
          </cell>
          <cell r="BN198">
            <v>0</v>
          </cell>
          <cell r="BO198">
            <v>0</v>
          </cell>
          <cell r="BQ198">
            <v>0</v>
          </cell>
          <cell r="BR198">
            <v>0</v>
          </cell>
          <cell r="BS198">
            <v>0</v>
          </cell>
          <cell r="BT198">
            <v>0</v>
          </cell>
          <cell r="CB198">
            <v>0</v>
          </cell>
          <cell r="CC198">
            <v>0</v>
          </cell>
          <cell r="CD198">
            <v>0</v>
          </cell>
          <cell r="CE198">
            <v>0</v>
          </cell>
          <cell r="CF198">
            <v>0</v>
          </cell>
          <cell r="CI198">
            <v>0</v>
          </cell>
          <cell r="CJ198">
            <v>0</v>
          </cell>
          <cell r="CK198">
            <v>0</v>
          </cell>
          <cell r="CV198">
            <v>2.9266541278908449E-4</v>
          </cell>
          <cell r="DG198">
            <v>12731940</v>
          </cell>
          <cell r="DR198">
            <v>5626005.3199999994</v>
          </cell>
          <cell r="EC198">
            <v>2.2630515393824764</v>
          </cell>
          <cell r="EN198">
            <v>2.4095909012463064E-2</v>
          </cell>
        </row>
        <row r="199">
          <cell r="B199">
            <v>36000</v>
          </cell>
          <cell r="C199" t="str">
            <v>Charlotte-Mecklenburg County Schools</v>
          </cell>
          <cell r="D199">
            <v>5.223530484919834E-2</v>
          </cell>
          <cell r="E199">
            <v>90379257.042909518</v>
          </cell>
          <cell r="F199">
            <v>70470779.413210034</v>
          </cell>
          <cell r="G199">
            <v>10876567</v>
          </cell>
          <cell r="H199">
            <v>-25219024.18806868</v>
          </cell>
          <cell r="I199">
            <v>-1043610.8041065739</v>
          </cell>
          <cell r="J199">
            <v>76267448.766282901</v>
          </cell>
          <cell r="K199">
            <v>0</v>
          </cell>
          <cell r="L199">
            <v>-4007218.3687423943</v>
          </cell>
          <cell r="M199">
            <v>719124.05100092094</v>
          </cell>
          <cell r="N199">
            <v>27109.078510636955</v>
          </cell>
          <cell r="O199">
            <v>-12234.030748730744</v>
          </cell>
          <cell r="P199">
            <v>0</v>
          </cell>
          <cell r="Q199">
            <v>0</v>
          </cell>
          <cell r="R199">
            <v>0</v>
          </cell>
          <cell r="S199">
            <v>218458197.96024761</v>
          </cell>
          <cell r="T199">
            <v>58077887</v>
          </cell>
          <cell r="U199">
            <v>381337243.83141446</v>
          </cell>
          <cell r="V199">
            <v>2876496.2040036838</v>
          </cell>
          <cell r="W199">
            <v>0</v>
          </cell>
          <cell r="X199">
            <v>442291627.03541815</v>
          </cell>
          <cell r="Y199">
            <v>3695054.8200000003</v>
          </cell>
          <cell r="Z199">
            <v>0</v>
          </cell>
          <cell r="AA199">
            <v>0</v>
          </cell>
          <cell r="AB199">
            <v>5218054.0205328697</v>
          </cell>
          <cell r="AC199">
            <v>8913108.8405328691</v>
          </cell>
          <cell r="AD199" t="str">
            <v>N/A</v>
          </cell>
          <cell r="AE199">
            <v>86819528</v>
          </cell>
          <cell r="AF199">
            <v>86819529</v>
          </cell>
          <cell r="AG199">
            <v>86819529</v>
          </cell>
          <cell r="AH199">
            <v>86819529</v>
          </cell>
          <cell r="AI199">
            <v>86100405</v>
          </cell>
          <cell r="AJ199">
            <v>0</v>
          </cell>
          <cell r="AK199">
            <v>433378520</v>
          </cell>
          <cell r="AL199">
            <v>1662141589</v>
          </cell>
          <cell r="AM199">
            <v>218458197.96024761</v>
          </cell>
          <cell r="AN199">
            <v>-41564996.18</v>
          </cell>
          <cell r="AO199">
            <v>378995686.01488531</v>
          </cell>
          <cell r="AP199">
            <v>0</v>
          </cell>
          <cell r="AQ199">
            <v>54382832.18</v>
          </cell>
          <cell r="AR199">
            <v>0</v>
          </cell>
          <cell r="AS199">
            <v>0</v>
          </cell>
          <cell r="AT199">
            <v>2272413308.9751325</v>
          </cell>
          <cell r="AU199">
            <v>5.0133222789853771E-2</v>
          </cell>
          <cell r="AV199">
            <v>0</v>
          </cell>
          <cell r="AW199">
            <v>0</v>
          </cell>
          <cell r="AY199">
            <v>0</v>
          </cell>
          <cell r="AZ199">
            <v>0</v>
          </cell>
          <cell r="BA199">
            <v>0</v>
          </cell>
          <cell r="BB199">
            <v>0</v>
          </cell>
          <cell r="BC199">
            <v>0</v>
          </cell>
          <cell r="BD199">
            <v>0</v>
          </cell>
          <cell r="BE199">
            <v>0</v>
          </cell>
          <cell r="BF199">
            <v>0</v>
          </cell>
          <cell r="BG199">
            <v>0</v>
          </cell>
          <cell r="BH199">
            <v>0</v>
          </cell>
          <cell r="BJ199">
            <v>0</v>
          </cell>
          <cell r="BL199">
            <v>0</v>
          </cell>
          <cell r="BM199">
            <v>0</v>
          </cell>
          <cell r="BN199">
            <v>0</v>
          </cell>
          <cell r="BO199">
            <v>0</v>
          </cell>
          <cell r="BQ199">
            <v>0</v>
          </cell>
          <cell r="BR199">
            <v>0</v>
          </cell>
          <cell r="BS199">
            <v>0</v>
          </cell>
          <cell r="BT199">
            <v>0</v>
          </cell>
          <cell r="CB199">
            <v>0</v>
          </cell>
          <cell r="CC199">
            <v>0</v>
          </cell>
          <cell r="CD199">
            <v>0</v>
          </cell>
          <cell r="CE199">
            <v>0</v>
          </cell>
          <cell r="CF199">
            <v>0</v>
          </cell>
          <cell r="CI199">
            <v>0</v>
          </cell>
          <cell r="CJ199">
            <v>0</v>
          </cell>
          <cell r="CK199">
            <v>0</v>
          </cell>
          <cell r="CV199">
            <v>5.223530484919834E-2</v>
          </cell>
          <cell r="DG199">
            <v>2272413309</v>
          </cell>
          <cell r="DR199">
            <v>714265233.25000679</v>
          </cell>
          <cell r="EC199">
            <v>3.1814698563168213</v>
          </cell>
          <cell r="EN199">
            <v>2.4095909012463064E-2</v>
          </cell>
        </row>
        <row r="200">
          <cell r="B200">
            <v>36001</v>
          </cell>
          <cell r="C200" t="str">
            <v>Community Charter School</v>
          </cell>
          <cell r="D200">
            <v>2.6673578625407405E-5</v>
          </cell>
          <cell r="E200">
            <v>46151.51047360932</v>
          </cell>
          <cell r="F200">
            <v>35985.391123851121</v>
          </cell>
          <cell r="G200">
            <v>-10042</v>
          </cell>
          <cell r="H200">
            <v>-12877.911337523759</v>
          </cell>
          <cell r="I200">
            <v>-532.91226916403377</v>
          </cell>
          <cell r="J200">
            <v>38945.418182199021</v>
          </cell>
          <cell r="K200">
            <v>0</v>
          </cell>
          <cell r="L200">
            <v>-2046.2569240555979</v>
          </cell>
          <cell r="M200">
            <v>367.2154679899208</v>
          </cell>
          <cell r="N200">
            <v>13.843053835013935</v>
          </cell>
          <cell r="O200">
            <v>-6.2472188498566679</v>
          </cell>
          <cell r="P200">
            <v>0</v>
          </cell>
          <cell r="Q200">
            <v>0</v>
          </cell>
          <cell r="R200">
            <v>0</v>
          </cell>
          <cell r="S200">
            <v>95958.050551891152</v>
          </cell>
          <cell r="T200">
            <v>0</v>
          </cell>
          <cell r="U200">
            <v>194727.09091099512</v>
          </cell>
          <cell r="V200">
            <v>1468.8618719596832</v>
          </cell>
          <cell r="W200">
            <v>0</v>
          </cell>
          <cell r="X200">
            <v>196195.95278295479</v>
          </cell>
          <cell r="Y200">
            <v>50209.94</v>
          </cell>
          <cell r="Z200">
            <v>0</v>
          </cell>
          <cell r="AA200">
            <v>0</v>
          </cell>
          <cell r="AB200">
            <v>2664.5613458201688</v>
          </cell>
          <cell r="AC200">
            <v>52874.501345820172</v>
          </cell>
          <cell r="AD200" t="str">
            <v>N/A</v>
          </cell>
          <cell r="AE200">
            <v>28738</v>
          </cell>
          <cell r="AF200">
            <v>28738</v>
          </cell>
          <cell r="AG200">
            <v>28738</v>
          </cell>
          <cell r="AH200">
            <v>28738</v>
          </cell>
          <cell r="AI200">
            <v>28371</v>
          </cell>
          <cell r="AJ200">
            <v>0</v>
          </cell>
          <cell r="AK200">
            <v>143323</v>
          </cell>
          <cell r="AL200">
            <v>941855</v>
          </cell>
          <cell r="AM200">
            <v>95958.050551891152</v>
          </cell>
          <cell r="AN200">
            <v>-20743.060000000001</v>
          </cell>
          <cell r="AO200">
            <v>193531.39143713465</v>
          </cell>
          <cell r="AP200">
            <v>0</v>
          </cell>
          <cell r="AQ200">
            <v>-50209.94</v>
          </cell>
          <cell r="AR200">
            <v>0</v>
          </cell>
          <cell r="AS200">
            <v>0</v>
          </cell>
          <cell r="AT200">
            <v>1160391.4419890258</v>
          </cell>
          <cell r="AU200">
            <v>2.8408073839590356E-5</v>
          </cell>
          <cell r="AV200">
            <v>0</v>
          </cell>
          <cell r="AW200">
            <v>0</v>
          </cell>
          <cell r="AY200">
            <v>0</v>
          </cell>
          <cell r="AZ200">
            <v>0</v>
          </cell>
          <cell r="BA200">
            <v>0</v>
          </cell>
          <cell r="BB200">
            <v>0</v>
          </cell>
          <cell r="BC200">
            <v>0</v>
          </cell>
          <cell r="BD200">
            <v>0</v>
          </cell>
          <cell r="BE200">
            <v>0</v>
          </cell>
          <cell r="BF200">
            <v>0</v>
          </cell>
          <cell r="BG200">
            <v>0</v>
          </cell>
          <cell r="BH200">
            <v>0</v>
          </cell>
          <cell r="BJ200">
            <v>0</v>
          </cell>
          <cell r="BL200">
            <v>0</v>
          </cell>
          <cell r="BM200">
            <v>0</v>
          </cell>
          <cell r="BN200">
            <v>0</v>
          </cell>
          <cell r="BO200">
            <v>0</v>
          </cell>
          <cell r="BQ200">
            <v>0</v>
          </cell>
          <cell r="BR200">
            <v>0</v>
          </cell>
          <cell r="BS200">
            <v>0</v>
          </cell>
          <cell r="BT200">
            <v>0</v>
          </cell>
          <cell r="CB200">
            <v>0</v>
          </cell>
          <cell r="CC200">
            <v>0</v>
          </cell>
          <cell r="CD200">
            <v>0</v>
          </cell>
          <cell r="CE200">
            <v>0</v>
          </cell>
          <cell r="CF200">
            <v>0</v>
          </cell>
          <cell r="CI200">
            <v>0</v>
          </cell>
          <cell r="CJ200">
            <v>0</v>
          </cell>
          <cell r="CK200">
            <v>0</v>
          </cell>
          <cell r="CV200">
            <v>2.6673578625407405E-5</v>
          </cell>
          <cell r="DG200">
            <v>1160391</v>
          </cell>
          <cell r="DR200">
            <v>353785.51</v>
          </cell>
          <cell r="EC200">
            <v>3.2799279993123518</v>
          </cell>
          <cell r="EN200">
            <v>2.4095909012463064E-2</v>
          </cell>
        </row>
        <row r="201">
          <cell r="B201">
            <v>36002</v>
          </cell>
          <cell r="C201" t="str">
            <v>Kennedy Charter</v>
          </cell>
          <cell r="D201">
            <v>1.4676337160561461E-4</v>
          </cell>
          <cell r="E201">
            <v>253934.85354630719</v>
          </cell>
          <cell r="F201">
            <v>197998.82888052042</v>
          </cell>
          <cell r="G201">
            <v>-293915</v>
          </cell>
          <cell r="H201">
            <v>-70856.8472823091</v>
          </cell>
          <cell r="I201">
            <v>-2932.1900330993858</v>
          </cell>
          <cell r="J201">
            <v>214285.49057027153</v>
          </cell>
          <cell r="K201">
            <v>0</v>
          </cell>
          <cell r="L201">
            <v>-11258.915407011558</v>
          </cell>
          <cell r="M201">
            <v>2020.4930483755541</v>
          </cell>
          <cell r="N201">
            <v>76.167254595881872</v>
          </cell>
          <cell r="O201">
            <v>-34.373449263750999</v>
          </cell>
          <cell r="P201">
            <v>0</v>
          </cell>
          <cell r="Q201">
            <v>0</v>
          </cell>
          <cell r="R201">
            <v>0</v>
          </cell>
          <cell r="S201">
            <v>289318.50712838676</v>
          </cell>
          <cell r="T201">
            <v>0</v>
          </cell>
          <cell r="U201">
            <v>1071427.4528513576</v>
          </cell>
          <cell r="V201">
            <v>8081.9721935022162</v>
          </cell>
          <cell r="W201">
            <v>0</v>
          </cell>
          <cell r="X201">
            <v>1079509.4250448598</v>
          </cell>
          <cell r="Y201">
            <v>1469574.41</v>
          </cell>
          <cell r="Z201">
            <v>0</v>
          </cell>
          <cell r="AA201">
            <v>0</v>
          </cell>
          <cell r="AB201">
            <v>14660.950165496928</v>
          </cell>
          <cell r="AC201">
            <v>1484235.3601654968</v>
          </cell>
          <cell r="AD201" t="str">
            <v>N/A</v>
          </cell>
          <cell r="AE201">
            <v>-80541</v>
          </cell>
          <cell r="AF201">
            <v>-80541</v>
          </cell>
          <cell r="AG201">
            <v>-80541</v>
          </cell>
          <cell r="AH201">
            <v>-80541</v>
          </cell>
          <cell r="AI201">
            <v>-82562</v>
          </cell>
          <cell r="AJ201">
            <v>0</v>
          </cell>
          <cell r="AK201">
            <v>-404726</v>
          </cell>
          <cell r="AL201">
            <v>6600441</v>
          </cell>
          <cell r="AM201">
            <v>289318.50712838676</v>
          </cell>
          <cell r="AN201">
            <v>-100328.58999999998</v>
          </cell>
          <cell r="AO201">
            <v>1064848.4748793631</v>
          </cell>
          <cell r="AP201">
            <v>0</v>
          </cell>
          <cell r="AQ201">
            <v>-1469574.41</v>
          </cell>
          <cell r="AR201">
            <v>0</v>
          </cell>
          <cell r="AS201">
            <v>0</v>
          </cell>
          <cell r="AT201">
            <v>6384704.9820077494</v>
          </cell>
          <cell r="AU201">
            <v>1.9908134100986438E-4</v>
          </cell>
          <cell r="AV201">
            <v>0</v>
          </cell>
          <cell r="AW201">
            <v>0</v>
          </cell>
          <cell r="AY201">
            <v>0</v>
          </cell>
          <cell r="AZ201">
            <v>0</v>
          </cell>
          <cell r="BA201">
            <v>0</v>
          </cell>
          <cell r="BB201">
            <v>0</v>
          </cell>
          <cell r="BC201">
            <v>0</v>
          </cell>
          <cell r="BD201">
            <v>0</v>
          </cell>
          <cell r="BE201">
            <v>0</v>
          </cell>
          <cell r="BF201">
            <v>0</v>
          </cell>
          <cell r="BG201">
            <v>0</v>
          </cell>
          <cell r="BH201">
            <v>0</v>
          </cell>
          <cell r="BJ201">
            <v>0</v>
          </cell>
          <cell r="BL201">
            <v>0</v>
          </cell>
          <cell r="BM201">
            <v>0</v>
          </cell>
          <cell r="BN201">
            <v>0</v>
          </cell>
          <cell r="BO201">
            <v>0</v>
          </cell>
          <cell r="BQ201">
            <v>0</v>
          </cell>
          <cell r="BR201">
            <v>0</v>
          </cell>
          <cell r="BS201">
            <v>0</v>
          </cell>
          <cell r="BT201">
            <v>0</v>
          </cell>
          <cell r="CB201">
            <v>0</v>
          </cell>
          <cell r="CC201">
            <v>0</v>
          </cell>
          <cell r="CD201">
            <v>0</v>
          </cell>
          <cell r="CE201">
            <v>0</v>
          </cell>
          <cell r="CF201">
            <v>0</v>
          </cell>
          <cell r="CI201">
            <v>0</v>
          </cell>
          <cell r="CJ201">
            <v>0</v>
          </cell>
          <cell r="CK201">
            <v>0</v>
          </cell>
          <cell r="CV201">
            <v>1.4676337160561461E-4</v>
          </cell>
          <cell r="DG201">
            <v>6384706</v>
          </cell>
          <cell r="DR201">
            <v>1857050.5799999996</v>
          </cell>
          <cell r="EC201">
            <v>3.438089446115141</v>
          </cell>
          <cell r="EN201">
            <v>2.4095909012463064E-2</v>
          </cell>
        </row>
        <row r="202">
          <cell r="B202">
            <v>36003</v>
          </cell>
          <cell r="C202" t="str">
            <v>Community School Of Davidson</v>
          </cell>
          <cell r="D202">
            <v>3.876324350915837E-4</v>
          </cell>
          <cell r="E202">
            <v>670694.49657569767</v>
          </cell>
          <cell r="F202">
            <v>522955.8802347774</v>
          </cell>
          <cell r="G202">
            <v>19404</v>
          </cell>
          <cell r="H202">
            <v>-187147.5965322071</v>
          </cell>
          <cell r="I202">
            <v>-7744.5206542127698</v>
          </cell>
          <cell r="J202">
            <v>565972.32406025787</v>
          </cell>
          <cell r="K202">
            <v>0</v>
          </cell>
          <cell r="L202">
            <v>-29737.125469139039</v>
          </cell>
          <cell r="M202">
            <v>5336.5402542814736</v>
          </cell>
          <cell r="N202">
            <v>201.1734811638301</v>
          </cell>
          <cell r="O202">
            <v>-90.787392622799814</v>
          </cell>
          <cell r="P202">
            <v>0</v>
          </cell>
          <cell r="Q202">
            <v>0</v>
          </cell>
          <cell r="R202">
            <v>0</v>
          </cell>
          <cell r="S202">
            <v>1559844.3845579964</v>
          </cell>
          <cell r="T202">
            <v>148457</v>
          </cell>
          <cell r="U202">
            <v>2829861.620301289</v>
          </cell>
          <cell r="V202">
            <v>21346.161017125894</v>
          </cell>
          <cell r="W202">
            <v>0</v>
          </cell>
          <cell r="X202">
            <v>2999664.781318415</v>
          </cell>
          <cell r="Y202">
            <v>51432.159999999974</v>
          </cell>
          <cell r="Z202">
            <v>0</v>
          </cell>
          <cell r="AA202">
            <v>0</v>
          </cell>
          <cell r="AB202">
            <v>38722.603271063846</v>
          </cell>
          <cell r="AC202">
            <v>90154.763271063828</v>
          </cell>
          <cell r="AD202" t="str">
            <v>N/A</v>
          </cell>
          <cell r="AE202">
            <v>582969</v>
          </cell>
          <cell r="AF202">
            <v>582969</v>
          </cell>
          <cell r="AG202">
            <v>582969</v>
          </cell>
          <cell r="AH202">
            <v>582969</v>
          </cell>
          <cell r="AI202">
            <v>577633</v>
          </cell>
          <cell r="AJ202">
            <v>0</v>
          </cell>
          <cell r="AK202">
            <v>2909509</v>
          </cell>
          <cell r="AL202">
            <v>12673609</v>
          </cell>
          <cell r="AM202">
            <v>1559844.3845579964</v>
          </cell>
          <cell r="AN202">
            <v>-279634.84000000003</v>
          </cell>
          <cell r="AO202">
            <v>2812485.1780473515</v>
          </cell>
          <cell r="AP202">
            <v>0</v>
          </cell>
          <cell r="AQ202">
            <v>97024.840000000026</v>
          </cell>
          <cell r="AR202">
            <v>0</v>
          </cell>
          <cell r="AS202">
            <v>0</v>
          </cell>
          <cell r="AT202">
            <v>16863328.562605347</v>
          </cell>
          <cell r="AU202">
            <v>3.8225918370144178E-4</v>
          </cell>
          <cell r="AV202">
            <v>0</v>
          </cell>
          <cell r="AW202">
            <v>0</v>
          </cell>
          <cell r="AY202">
            <v>0</v>
          </cell>
          <cell r="AZ202">
            <v>0</v>
          </cell>
          <cell r="BA202">
            <v>0</v>
          </cell>
          <cell r="BB202">
            <v>0</v>
          </cell>
          <cell r="BC202">
            <v>0</v>
          </cell>
          <cell r="BD202">
            <v>0</v>
          </cell>
          <cell r="BE202">
            <v>0</v>
          </cell>
          <cell r="BF202">
            <v>0</v>
          </cell>
          <cell r="BG202">
            <v>0</v>
          </cell>
          <cell r="BH202">
            <v>0</v>
          </cell>
          <cell r="BJ202">
            <v>0</v>
          </cell>
          <cell r="BL202">
            <v>0</v>
          </cell>
          <cell r="BM202">
            <v>0</v>
          </cell>
          <cell r="BN202">
            <v>0</v>
          </cell>
          <cell r="BO202">
            <v>0</v>
          </cell>
          <cell r="BQ202">
            <v>0</v>
          </cell>
          <cell r="BR202">
            <v>0</v>
          </cell>
          <cell r="BS202">
            <v>0</v>
          </cell>
          <cell r="BT202">
            <v>0</v>
          </cell>
          <cell r="CB202">
            <v>0</v>
          </cell>
          <cell r="CC202">
            <v>0</v>
          </cell>
          <cell r="CD202">
            <v>0</v>
          </cell>
          <cell r="CE202">
            <v>0</v>
          </cell>
          <cell r="CF202">
            <v>0</v>
          </cell>
          <cell r="CI202">
            <v>0</v>
          </cell>
          <cell r="CJ202">
            <v>0</v>
          </cell>
          <cell r="CK202">
            <v>0</v>
          </cell>
          <cell r="CV202">
            <v>3.876324350915837E-4</v>
          </cell>
          <cell r="DG202">
            <v>16863328</v>
          </cell>
          <cell r="DR202">
            <v>4819997.4300000006</v>
          </cell>
          <cell r="EC202">
            <v>3.4986176330803556</v>
          </cell>
          <cell r="EN202">
            <v>2.4095909012463064E-2</v>
          </cell>
        </row>
        <row r="203">
          <cell r="B203">
            <v>36004</v>
          </cell>
          <cell r="C203" t="str">
            <v>Corvian Community School</v>
          </cell>
          <cell r="D203">
            <v>1.9730645184590787E-4</v>
          </cell>
          <cell r="E203">
            <v>341386.1674414911</v>
          </cell>
          <cell r="F203">
            <v>266186.62387397769</v>
          </cell>
          <cell r="G203">
            <v>221317</v>
          </cell>
          <cell r="H203">
            <v>-95258.871292685188</v>
          </cell>
          <cell r="I203">
            <v>-3941.9918283387419</v>
          </cell>
          <cell r="J203">
            <v>288082.16494300379</v>
          </cell>
          <cell r="K203">
            <v>0</v>
          </cell>
          <cell r="L203">
            <v>-15136.315187417593</v>
          </cell>
          <cell r="M203">
            <v>2716.3202234518012</v>
          </cell>
          <cell r="N203">
            <v>102.39810237898926</v>
          </cell>
          <cell r="O203">
            <v>-46.211144086830082</v>
          </cell>
          <cell r="P203">
            <v>0</v>
          </cell>
          <cell r="Q203">
            <v>0</v>
          </cell>
          <cell r="R203">
            <v>0</v>
          </cell>
          <cell r="S203">
            <v>1005407.2851317751</v>
          </cell>
          <cell r="T203">
            <v>1142128</v>
          </cell>
          <cell r="U203">
            <v>1440410.824715019</v>
          </cell>
          <cell r="V203">
            <v>10865.280893807205</v>
          </cell>
          <cell r="W203">
            <v>0</v>
          </cell>
          <cell r="X203">
            <v>2593404.1056088265</v>
          </cell>
          <cell r="Y203">
            <v>35545.830000000016</v>
          </cell>
          <cell r="Z203">
            <v>0</v>
          </cell>
          <cell r="AA203">
            <v>0</v>
          </cell>
          <cell r="AB203">
            <v>19709.959141693711</v>
          </cell>
          <cell r="AC203">
            <v>55255.789141693727</v>
          </cell>
          <cell r="AD203" t="str">
            <v>N/A</v>
          </cell>
          <cell r="AE203">
            <v>508173</v>
          </cell>
          <cell r="AF203">
            <v>508173</v>
          </cell>
          <cell r="AG203">
            <v>508173</v>
          </cell>
          <cell r="AH203">
            <v>508173</v>
          </cell>
          <cell r="AI203">
            <v>505457</v>
          </cell>
          <cell r="AJ203">
            <v>0</v>
          </cell>
          <cell r="AK203">
            <v>2538149</v>
          </cell>
          <cell r="AL203">
            <v>5171041</v>
          </cell>
          <cell r="AM203">
            <v>1005407.2851317751</v>
          </cell>
          <cell r="AN203">
            <v>-131096.16999999998</v>
          </cell>
          <cell r="AO203">
            <v>1431566.1464671325</v>
          </cell>
          <cell r="AP203">
            <v>0</v>
          </cell>
          <cell r="AQ203">
            <v>1106582.17</v>
          </cell>
          <cell r="AR203">
            <v>0</v>
          </cell>
          <cell r="AS203">
            <v>0</v>
          </cell>
          <cell r="AT203">
            <v>8583500.4315989073</v>
          </cell>
          <cell r="AU203">
            <v>1.5596802992803741E-4</v>
          </cell>
          <cell r="AV203">
            <v>0</v>
          </cell>
          <cell r="AW203">
            <v>0</v>
          </cell>
          <cell r="AY203">
            <v>0</v>
          </cell>
          <cell r="AZ203">
            <v>0</v>
          </cell>
          <cell r="BA203">
            <v>0</v>
          </cell>
          <cell r="BB203">
            <v>0</v>
          </cell>
          <cell r="BC203">
            <v>0</v>
          </cell>
          <cell r="BD203">
            <v>0</v>
          </cell>
          <cell r="BE203">
            <v>0</v>
          </cell>
          <cell r="BF203">
            <v>0</v>
          </cell>
          <cell r="BG203">
            <v>0</v>
          </cell>
          <cell r="BH203">
            <v>0</v>
          </cell>
          <cell r="BJ203">
            <v>0</v>
          </cell>
          <cell r="BL203">
            <v>0</v>
          </cell>
          <cell r="BM203">
            <v>0</v>
          </cell>
          <cell r="BN203">
            <v>0</v>
          </cell>
          <cell r="BO203">
            <v>0</v>
          </cell>
          <cell r="BQ203">
            <v>0</v>
          </cell>
          <cell r="BR203">
            <v>0</v>
          </cell>
          <cell r="BS203">
            <v>0</v>
          </cell>
          <cell r="BT203">
            <v>0</v>
          </cell>
          <cell r="CB203">
            <v>0</v>
          </cell>
          <cell r="CC203">
            <v>0</v>
          </cell>
          <cell r="CD203">
            <v>0</v>
          </cell>
          <cell r="CE203">
            <v>0</v>
          </cell>
          <cell r="CF203">
            <v>0</v>
          </cell>
          <cell r="CI203">
            <v>0</v>
          </cell>
          <cell r="CJ203">
            <v>0</v>
          </cell>
          <cell r="CK203">
            <v>0</v>
          </cell>
          <cell r="CV203">
            <v>1.9730645184590787E-4</v>
          </cell>
          <cell r="DG203">
            <v>8583501</v>
          </cell>
          <cell r="DR203">
            <v>2255330.2499999995</v>
          </cell>
          <cell r="EC203">
            <v>3.805873219675922</v>
          </cell>
          <cell r="EN203">
            <v>2.4095909012463064E-2</v>
          </cell>
        </row>
        <row r="204">
          <cell r="B204">
            <v>36005</v>
          </cell>
          <cell r="C204" t="str">
            <v>Central Piedmont Community College</v>
          </cell>
          <cell r="D204">
            <v>4.444733449763769E-3</v>
          </cell>
          <cell r="E204">
            <v>7690425.242145068</v>
          </cell>
          <cell r="F204">
            <v>5996400.9283201443</v>
          </cell>
          <cell r="G204">
            <v>1388775</v>
          </cell>
          <cell r="H204">
            <v>-2145901.9087323411</v>
          </cell>
          <cell r="I204">
            <v>-88801.469866764673</v>
          </cell>
          <cell r="J204">
            <v>6489643.0036790445</v>
          </cell>
          <cell r="K204">
            <v>0</v>
          </cell>
          <cell r="L204">
            <v>-340976.6167820206</v>
          </cell>
          <cell r="M204">
            <v>61190.69723515692</v>
          </cell>
          <cell r="N204">
            <v>2306.7277657584009</v>
          </cell>
          <cell r="O204">
            <v>-1041.0010212691723</v>
          </cell>
          <cell r="P204">
            <v>0</v>
          </cell>
          <cell r="Q204">
            <v>0</v>
          </cell>
          <cell r="R204">
            <v>0</v>
          </cell>
          <cell r="S204">
            <v>19052020.602742776</v>
          </cell>
          <cell r="T204">
            <v>6943875.2200000007</v>
          </cell>
          <cell r="U204">
            <v>32448215.018395223</v>
          </cell>
          <cell r="V204">
            <v>244762.78894062768</v>
          </cell>
          <cell r="W204">
            <v>0</v>
          </cell>
          <cell r="X204">
            <v>39636853.027335852</v>
          </cell>
          <cell r="Y204">
            <v>0</v>
          </cell>
          <cell r="Z204">
            <v>0</v>
          </cell>
          <cell r="AA204">
            <v>0</v>
          </cell>
          <cell r="AB204">
            <v>444007.34933382337</v>
          </cell>
          <cell r="AC204">
            <v>444007.34933382337</v>
          </cell>
          <cell r="AD204" t="str">
            <v>N/A</v>
          </cell>
          <cell r="AE204">
            <v>7850807</v>
          </cell>
          <cell r="AF204">
            <v>7850807</v>
          </cell>
          <cell r="AG204">
            <v>7850807</v>
          </cell>
          <cell r="AH204">
            <v>7850807</v>
          </cell>
          <cell r="AI204">
            <v>7789617</v>
          </cell>
          <cell r="AJ204">
            <v>0</v>
          </cell>
          <cell r="AK204">
            <v>39192845</v>
          </cell>
          <cell r="AL204">
            <v>139117085</v>
          </cell>
          <cell r="AM204">
            <v>19052020.602742776</v>
          </cell>
          <cell r="AN204">
            <v>-4000939.22</v>
          </cell>
          <cell r="AO204">
            <v>32248970.458002031</v>
          </cell>
          <cell r="AP204">
            <v>0</v>
          </cell>
          <cell r="AQ204">
            <v>6943875.2200000007</v>
          </cell>
          <cell r="AR204">
            <v>0</v>
          </cell>
          <cell r="AS204">
            <v>0</v>
          </cell>
          <cell r="AT204">
            <v>193361012.06074482</v>
          </cell>
          <cell r="AU204">
            <v>4.1960250917593847E-3</v>
          </cell>
          <cell r="AV204">
            <v>0</v>
          </cell>
          <cell r="AW204">
            <v>0</v>
          </cell>
          <cell r="AY204">
            <v>0</v>
          </cell>
          <cell r="AZ204">
            <v>0</v>
          </cell>
          <cell r="BA204">
            <v>0</v>
          </cell>
          <cell r="BB204">
            <v>0</v>
          </cell>
          <cell r="BC204">
            <v>0</v>
          </cell>
          <cell r="BD204">
            <v>0</v>
          </cell>
          <cell r="BE204">
            <v>0</v>
          </cell>
          <cell r="BF204">
            <v>0</v>
          </cell>
          <cell r="BG204">
            <v>0</v>
          </cell>
          <cell r="BH204">
            <v>0</v>
          </cell>
          <cell r="BJ204">
            <v>0</v>
          </cell>
          <cell r="BL204">
            <v>0</v>
          </cell>
          <cell r="BM204">
            <v>0</v>
          </cell>
          <cell r="BN204">
            <v>0</v>
          </cell>
          <cell r="BO204">
            <v>0</v>
          </cell>
          <cell r="BQ204">
            <v>0</v>
          </cell>
          <cell r="BR204">
            <v>0</v>
          </cell>
          <cell r="BS204">
            <v>0</v>
          </cell>
          <cell r="BT204">
            <v>0</v>
          </cell>
          <cell r="CB204">
            <v>0</v>
          </cell>
          <cell r="CC204">
            <v>0</v>
          </cell>
          <cell r="CD204">
            <v>0</v>
          </cell>
          <cell r="CE204">
            <v>0</v>
          </cell>
          <cell r="CF204">
            <v>0</v>
          </cell>
          <cell r="CI204">
            <v>0</v>
          </cell>
          <cell r="CJ204">
            <v>0</v>
          </cell>
          <cell r="CK204">
            <v>0</v>
          </cell>
          <cell r="CV204">
            <v>4.444733449763769E-3</v>
          </cell>
          <cell r="DG204">
            <v>193361013</v>
          </cell>
          <cell r="DR204">
            <v>69143334.120000049</v>
          </cell>
          <cell r="EC204">
            <v>2.7965242848199501</v>
          </cell>
          <cell r="EN204">
            <v>2.4095909012463064E-2</v>
          </cell>
        </row>
        <row r="205">
          <cell r="B205">
            <v>36006</v>
          </cell>
          <cell r="C205" t="str">
            <v>Lake Norman Charter School</v>
          </cell>
          <cell r="D205">
            <v>4.8326750042809637E-4</v>
          </cell>
          <cell r="E205">
            <v>836165.458740414</v>
          </cell>
          <cell r="F205">
            <v>651977.38423392072</v>
          </cell>
          <cell r="G205">
            <v>35473</v>
          </cell>
          <cell r="H205">
            <v>-233319.87470521475</v>
          </cell>
          <cell r="I205">
            <v>-9655.2166427737411</v>
          </cell>
          <cell r="J205">
            <v>705606.666520203</v>
          </cell>
          <cell r="K205">
            <v>0</v>
          </cell>
          <cell r="L205">
            <v>-37073.745627071061</v>
          </cell>
          <cell r="M205">
            <v>6653.149314017558</v>
          </cell>
          <cell r="N205">
            <v>250.80616737217346</v>
          </cell>
          <cell r="O205">
            <v>-113.18608127526446</v>
          </cell>
          <cell r="P205">
            <v>0</v>
          </cell>
          <cell r="Q205">
            <v>0</v>
          </cell>
          <cell r="R205">
            <v>0</v>
          </cell>
          <cell r="S205">
            <v>1955964.4419195927</v>
          </cell>
          <cell r="T205">
            <v>238779</v>
          </cell>
          <cell r="U205">
            <v>3528033.332601015</v>
          </cell>
          <cell r="V205">
            <v>26612.597256070232</v>
          </cell>
          <cell r="W205">
            <v>0</v>
          </cell>
          <cell r="X205">
            <v>3793424.929857085</v>
          </cell>
          <cell r="Y205">
            <v>61412.820000000007</v>
          </cell>
          <cell r="Z205">
            <v>0</v>
          </cell>
          <cell r="AA205">
            <v>0</v>
          </cell>
          <cell r="AB205">
            <v>48276.083213868704</v>
          </cell>
          <cell r="AC205">
            <v>109688.9032138687</v>
          </cell>
          <cell r="AD205" t="str">
            <v>N/A</v>
          </cell>
          <cell r="AE205">
            <v>738078</v>
          </cell>
          <cell r="AF205">
            <v>738079</v>
          </cell>
          <cell r="AG205">
            <v>738079</v>
          </cell>
          <cell r="AH205">
            <v>738079</v>
          </cell>
          <cell r="AI205">
            <v>731425</v>
          </cell>
          <cell r="AJ205">
            <v>0</v>
          </cell>
          <cell r="AK205">
            <v>3683740</v>
          </cell>
          <cell r="AL205">
            <v>15735954</v>
          </cell>
          <cell r="AM205">
            <v>1955964.4419195927</v>
          </cell>
          <cell r="AN205">
            <v>-351875.18</v>
          </cell>
          <cell r="AO205">
            <v>3506369.8466432169</v>
          </cell>
          <cell r="AP205">
            <v>0</v>
          </cell>
          <cell r="AQ205">
            <v>177366.18</v>
          </cell>
          <cell r="AR205">
            <v>0</v>
          </cell>
          <cell r="AS205">
            <v>0</v>
          </cell>
          <cell r="AT205">
            <v>21023779.288562808</v>
          </cell>
          <cell r="AU205">
            <v>4.7462507611900477E-4</v>
          </cell>
          <cell r="AV205">
            <v>0</v>
          </cell>
          <cell r="AW205">
            <v>0</v>
          </cell>
          <cell r="AY205">
            <v>0</v>
          </cell>
          <cell r="AZ205">
            <v>0</v>
          </cell>
          <cell r="BA205">
            <v>0</v>
          </cell>
          <cell r="BB205">
            <v>0</v>
          </cell>
          <cell r="BC205">
            <v>0</v>
          </cell>
          <cell r="BD205">
            <v>0</v>
          </cell>
          <cell r="BE205">
            <v>0</v>
          </cell>
          <cell r="BF205">
            <v>0</v>
          </cell>
          <cell r="BG205">
            <v>0</v>
          </cell>
          <cell r="BH205">
            <v>0</v>
          </cell>
          <cell r="BJ205">
            <v>0</v>
          </cell>
          <cell r="BL205">
            <v>0</v>
          </cell>
          <cell r="BM205">
            <v>0</v>
          </cell>
          <cell r="BN205">
            <v>0</v>
          </cell>
          <cell r="BO205">
            <v>0</v>
          </cell>
          <cell r="BQ205">
            <v>0</v>
          </cell>
          <cell r="BR205">
            <v>0</v>
          </cell>
          <cell r="BS205">
            <v>0</v>
          </cell>
          <cell r="BT205">
            <v>0</v>
          </cell>
          <cell r="CB205">
            <v>0</v>
          </cell>
          <cell r="CC205">
            <v>0</v>
          </cell>
          <cell r="CD205">
            <v>0</v>
          </cell>
          <cell r="CE205">
            <v>0</v>
          </cell>
          <cell r="CF205">
            <v>0</v>
          </cell>
          <cell r="CI205">
            <v>0</v>
          </cell>
          <cell r="CJ205">
            <v>0</v>
          </cell>
          <cell r="CK205">
            <v>0</v>
          </cell>
          <cell r="CV205">
            <v>4.8326750042809637E-4</v>
          </cell>
          <cell r="DG205">
            <v>21023779</v>
          </cell>
          <cell r="DR205">
            <v>6132666.4799999995</v>
          </cell>
          <cell r="EC205">
            <v>3.4281627850728973</v>
          </cell>
          <cell r="EN205">
            <v>2.4095909012463064E-2</v>
          </cell>
        </row>
        <row r="206">
          <cell r="B206">
            <v>36007</v>
          </cell>
          <cell r="C206" t="str">
            <v>Socrates Academy</v>
          </cell>
          <cell r="D206">
            <v>1.6440453688332634E-4</v>
          </cell>
          <cell r="E206">
            <v>284458.18284961511</v>
          </cell>
          <cell r="F206">
            <v>221798.56873973334</v>
          </cell>
          <cell r="G206">
            <v>-9512</v>
          </cell>
          <cell r="H206">
            <v>-79373.940752496012</v>
          </cell>
          <cell r="I206">
            <v>-3284.6434309306087</v>
          </cell>
          <cell r="J206">
            <v>240042.91024800998</v>
          </cell>
          <cell r="K206">
            <v>0</v>
          </cell>
          <cell r="L206">
            <v>-12612.252996424553</v>
          </cell>
          <cell r="M206">
            <v>2263.35917647626</v>
          </cell>
          <cell r="N206">
            <v>85.322666551708707</v>
          </cell>
          <cell r="O206">
            <v>-38.505186583443859</v>
          </cell>
          <cell r="P206">
            <v>0</v>
          </cell>
          <cell r="Q206">
            <v>0</v>
          </cell>
          <cell r="R206">
            <v>0</v>
          </cell>
          <cell r="S206">
            <v>643827.00131395168</v>
          </cell>
          <cell r="T206">
            <v>0</v>
          </cell>
          <cell r="U206">
            <v>1200214.55124005</v>
          </cell>
          <cell r="V206">
            <v>9053.4367059050401</v>
          </cell>
          <cell r="W206">
            <v>0</v>
          </cell>
          <cell r="X206">
            <v>1209267.987945955</v>
          </cell>
          <cell r="Y206">
            <v>47562.17</v>
          </cell>
          <cell r="Z206">
            <v>0</v>
          </cell>
          <cell r="AA206">
            <v>0</v>
          </cell>
          <cell r="AB206">
            <v>16423.217154653044</v>
          </cell>
          <cell r="AC206">
            <v>63985.387154653043</v>
          </cell>
          <cell r="AD206" t="str">
            <v>N/A</v>
          </cell>
          <cell r="AE206">
            <v>229510</v>
          </cell>
          <cell r="AF206">
            <v>229509</v>
          </cell>
          <cell r="AG206">
            <v>229509</v>
          </cell>
          <cell r="AH206">
            <v>229509</v>
          </cell>
          <cell r="AI206">
            <v>227245</v>
          </cell>
          <cell r="AJ206">
            <v>0</v>
          </cell>
          <cell r="AK206">
            <v>1145282</v>
          </cell>
          <cell r="AL206">
            <v>5487475</v>
          </cell>
          <cell r="AM206">
            <v>643827.00131395168</v>
          </cell>
          <cell r="AN206">
            <v>-124428.83</v>
          </cell>
          <cell r="AO206">
            <v>1192844.770791302</v>
          </cell>
          <cell r="AP206">
            <v>0</v>
          </cell>
          <cell r="AQ206">
            <v>-47562.17</v>
          </cell>
          <cell r="AR206">
            <v>0</v>
          </cell>
          <cell r="AS206">
            <v>0</v>
          </cell>
          <cell r="AT206">
            <v>7152155.7721052542</v>
          </cell>
          <cell r="AU206">
            <v>1.6551226589657202E-4</v>
          </cell>
          <cell r="AV206">
            <v>0</v>
          </cell>
          <cell r="AW206">
            <v>0</v>
          </cell>
          <cell r="AY206">
            <v>0</v>
          </cell>
          <cell r="AZ206">
            <v>0</v>
          </cell>
          <cell r="BA206">
            <v>0</v>
          </cell>
          <cell r="BB206">
            <v>0</v>
          </cell>
          <cell r="BC206">
            <v>0</v>
          </cell>
          <cell r="BD206">
            <v>0</v>
          </cell>
          <cell r="BE206">
            <v>0</v>
          </cell>
          <cell r="BF206">
            <v>0</v>
          </cell>
          <cell r="BG206">
            <v>0</v>
          </cell>
          <cell r="BH206">
            <v>0</v>
          </cell>
          <cell r="BJ206">
            <v>0</v>
          </cell>
          <cell r="BL206">
            <v>0</v>
          </cell>
          <cell r="BM206">
            <v>0</v>
          </cell>
          <cell r="BN206">
            <v>0</v>
          </cell>
          <cell r="BO206">
            <v>0</v>
          </cell>
          <cell r="BQ206">
            <v>0</v>
          </cell>
          <cell r="BR206">
            <v>0</v>
          </cell>
          <cell r="BS206">
            <v>0</v>
          </cell>
          <cell r="BT206">
            <v>0</v>
          </cell>
          <cell r="CB206">
            <v>0</v>
          </cell>
          <cell r="CC206">
            <v>0</v>
          </cell>
          <cell r="CD206">
            <v>0</v>
          </cell>
          <cell r="CE206">
            <v>0</v>
          </cell>
          <cell r="CF206">
            <v>0</v>
          </cell>
          <cell r="CI206">
            <v>0</v>
          </cell>
          <cell r="CJ206">
            <v>0</v>
          </cell>
          <cell r="CK206">
            <v>0</v>
          </cell>
          <cell r="CV206">
            <v>1.6440453688332634E-4</v>
          </cell>
          <cell r="DG206">
            <v>7152156</v>
          </cell>
          <cell r="DR206">
            <v>2123885.6199999996</v>
          </cell>
          <cell r="EC206">
            <v>3.3674864280120702</v>
          </cell>
          <cell r="EN206">
            <v>2.4095909012463064E-2</v>
          </cell>
        </row>
        <row r="207">
          <cell r="B207">
            <v>36008</v>
          </cell>
          <cell r="C207" t="str">
            <v>Pine Lake Prep Charter</v>
          </cell>
          <cell r="D207">
            <v>5.1236741829565377E-4</v>
          </cell>
          <cell r="E207">
            <v>886515.10185003758</v>
          </cell>
          <cell r="F207">
            <v>691236.15565121127</v>
          </cell>
          <cell r="G207">
            <v>125540</v>
          </cell>
          <cell r="H207">
            <v>-247369.21422168557</v>
          </cell>
          <cell r="I207">
            <v>-10236.604820230945</v>
          </cell>
          <cell r="J207">
            <v>748094.72132287419</v>
          </cell>
          <cell r="K207">
            <v>0</v>
          </cell>
          <cell r="L207">
            <v>-39306.138560249477</v>
          </cell>
          <cell r="M207">
            <v>7053.7682226489123</v>
          </cell>
          <cell r="N207">
            <v>265.90844274707837</v>
          </cell>
          <cell r="O207">
            <v>-120.00157303902508</v>
          </cell>
          <cell r="P207">
            <v>0</v>
          </cell>
          <cell r="Q207">
            <v>0</v>
          </cell>
          <cell r="R207">
            <v>0</v>
          </cell>
          <cell r="S207">
            <v>2161673.6963143134</v>
          </cell>
          <cell r="T207">
            <v>723078</v>
          </cell>
          <cell r="U207">
            <v>3740473.6066143708</v>
          </cell>
          <cell r="V207">
            <v>28215.072890595649</v>
          </cell>
          <cell r="W207">
            <v>0</v>
          </cell>
          <cell r="X207">
            <v>4491766.6795049664</v>
          </cell>
          <cell r="Y207">
            <v>95380.920000000042</v>
          </cell>
          <cell r="Z207">
            <v>0</v>
          </cell>
          <cell r="AA207">
            <v>0</v>
          </cell>
          <cell r="AB207">
            <v>51183.024101154719</v>
          </cell>
          <cell r="AC207">
            <v>146563.94410115475</v>
          </cell>
          <cell r="AD207" t="str">
            <v>N/A</v>
          </cell>
          <cell r="AE207">
            <v>870452</v>
          </cell>
          <cell r="AF207">
            <v>870452</v>
          </cell>
          <cell r="AG207">
            <v>870452</v>
          </cell>
          <cell r="AH207">
            <v>870452</v>
          </cell>
          <cell r="AI207">
            <v>863398</v>
          </cell>
          <cell r="AJ207">
            <v>0</v>
          </cell>
          <cell r="AK207">
            <v>4345206</v>
          </cell>
          <cell r="AL207">
            <v>16119588</v>
          </cell>
          <cell r="AM207">
            <v>2161673.6963143134</v>
          </cell>
          <cell r="AN207">
            <v>-336740.07999999996</v>
          </cell>
          <cell r="AO207">
            <v>3717505.655403812</v>
          </cell>
          <cell r="AP207">
            <v>0</v>
          </cell>
          <cell r="AQ207">
            <v>627697.07999999996</v>
          </cell>
          <cell r="AR207">
            <v>0</v>
          </cell>
          <cell r="AS207">
            <v>0</v>
          </cell>
          <cell r="AT207">
            <v>22289724.351718124</v>
          </cell>
          <cell r="AU207">
            <v>4.8619618220996239E-4</v>
          </cell>
          <cell r="AV207">
            <v>0</v>
          </cell>
          <cell r="AW207">
            <v>0</v>
          </cell>
          <cell r="AY207">
            <v>0</v>
          </cell>
          <cell r="AZ207">
            <v>0</v>
          </cell>
          <cell r="BA207">
            <v>0</v>
          </cell>
          <cell r="BB207">
            <v>0</v>
          </cell>
          <cell r="BC207">
            <v>0</v>
          </cell>
          <cell r="BD207">
            <v>0</v>
          </cell>
          <cell r="BE207">
            <v>0</v>
          </cell>
          <cell r="BF207">
            <v>0</v>
          </cell>
          <cell r="BG207">
            <v>0</v>
          </cell>
          <cell r="BH207">
            <v>0</v>
          </cell>
          <cell r="BJ207">
            <v>0</v>
          </cell>
          <cell r="BL207">
            <v>0</v>
          </cell>
          <cell r="BM207">
            <v>0</v>
          </cell>
          <cell r="BN207">
            <v>0</v>
          </cell>
          <cell r="BO207">
            <v>0</v>
          </cell>
          <cell r="BQ207">
            <v>0</v>
          </cell>
          <cell r="BR207">
            <v>0</v>
          </cell>
          <cell r="BS207">
            <v>0</v>
          </cell>
          <cell r="BT207">
            <v>0</v>
          </cell>
          <cell r="CB207">
            <v>0</v>
          </cell>
          <cell r="CC207">
            <v>0</v>
          </cell>
          <cell r="CD207">
            <v>0</v>
          </cell>
          <cell r="CE207">
            <v>0</v>
          </cell>
          <cell r="CF207">
            <v>0</v>
          </cell>
          <cell r="CI207">
            <v>0</v>
          </cell>
          <cell r="CJ207">
            <v>0</v>
          </cell>
          <cell r="CK207">
            <v>0</v>
          </cell>
          <cell r="CV207">
            <v>5.1236741829565377E-4</v>
          </cell>
          <cell r="DG207">
            <v>22289724</v>
          </cell>
          <cell r="DR207">
            <v>5994908.870000002</v>
          </cell>
          <cell r="EC207">
            <v>3.7181088959572444</v>
          </cell>
          <cell r="EN207">
            <v>2.4095909012463064E-2</v>
          </cell>
        </row>
        <row r="208">
          <cell r="B208">
            <v>36009</v>
          </cell>
          <cell r="C208" t="str">
            <v>Charlotte Secondary Charter</v>
          </cell>
          <cell r="D208">
            <v>1.5927350958971524E-4</v>
          </cell>
          <cell r="E208">
            <v>275580.3092351649</v>
          </cell>
          <cell r="F208">
            <v>214876.2870833877</v>
          </cell>
          <cell r="G208">
            <v>136423</v>
          </cell>
          <cell r="H208">
            <v>-76896.69855393334</v>
          </cell>
          <cell r="I208">
            <v>-3182.1304746984706</v>
          </cell>
          <cell r="J208">
            <v>232551.22694370762</v>
          </cell>
          <cell r="K208">
            <v>0</v>
          </cell>
          <cell r="L208">
            <v>-12218.62751877421</v>
          </cell>
          <cell r="M208">
            <v>2192.7202638896415</v>
          </cell>
          <cell r="N208">
            <v>82.659766006870413</v>
          </cell>
          <cell r="O208">
            <v>-37.303448681007204</v>
          </cell>
          <cell r="P208">
            <v>0</v>
          </cell>
          <cell r="Q208">
            <v>0</v>
          </cell>
          <cell r="R208">
            <v>0</v>
          </cell>
          <cell r="S208">
            <v>769371.44329606974</v>
          </cell>
          <cell r="T208">
            <v>707265</v>
          </cell>
          <cell r="U208">
            <v>1162756.134718538</v>
          </cell>
          <cell r="V208">
            <v>8770.881055558566</v>
          </cell>
          <cell r="W208">
            <v>0</v>
          </cell>
          <cell r="X208">
            <v>1878792.0157740966</v>
          </cell>
          <cell r="Y208">
            <v>25151.42</v>
          </cell>
          <cell r="Z208">
            <v>0</v>
          </cell>
          <cell r="AA208">
            <v>0</v>
          </cell>
          <cell r="AB208">
            <v>15910.652373492352</v>
          </cell>
          <cell r="AC208">
            <v>41062.072373492352</v>
          </cell>
          <cell r="AD208" t="str">
            <v>N/A</v>
          </cell>
          <cell r="AE208">
            <v>367985</v>
          </cell>
          <cell r="AF208">
            <v>367985</v>
          </cell>
          <cell r="AG208">
            <v>367985</v>
          </cell>
          <cell r="AH208">
            <v>367985</v>
          </cell>
          <cell r="AI208">
            <v>365792</v>
          </cell>
          <cell r="AJ208">
            <v>0</v>
          </cell>
          <cell r="AK208">
            <v>1837732</v>
          </cell>
          <cell r="AL208">
            <v>4431914</v>
          </cell>
          <cell r="AM208">
            <v>769371.44329606974</v>
          </cell>
          <cell r="AN208">
            <v>-110076.58</v>
          </cell>
          <cell r="AO208">
            <v>1155616.3634006043</v>
          </cell>
          <cell r="AP208">
            <v>0</v>
          </cell>
          <cell r="AQ208">
            <v>682113.58</v>
          </cell>
          <cell r="AR208">
            <v>0</v>
          </cell>
          <cell r="AS208">
            <v>0</v>
          </cell>
          <cell r="AT208">
            <v>6928938.8066966739</v>
          </cell>
          <cell r="AU208">
            <v>1.3367459981016111E-4</v>
          </cell>
          <cell r="AV208">
            <v>0</v>
          </cell>
          <cell r="AW208">
            <v>0</v>
          </cell>
          <cell r="AY208">
            <v>0</v>
          </cell>
          <cell r="AZ208">
            <v>0</v>
          </cell>
          <cell r="BA208">
            <v>0</v>
          </cell>
          <cell r="BB208">
            <v>0</v>
          </cell>
          <cell r="BC208">
            <v>0</v>
          </cell>
          <cell r="BD208">
            <v>0</v>
          </cell>
          <cell r="BE208">
            <v>0</v>
          </cell>
          <cell r="BF208">
            <v>0</v>
          </cell>
          <cell r="BG208">
            <v>0</v>
          </cell>
          <cell r="BH208">
            <v>0</v>
          </cell>
          <cell r="BJ208">
            <v>0</v>
          </cell>
          <cell r="BL208">
            <v>0</v>
          </cell>
          <cell r="BM208">
            <v>0</v>
          </cell>
          <cell r="BN208">
            <v>0</v>
          </cell>
          <cell r="BO208">
            <v>0</v>
          </cell>
          <cell r="BQ208">
            <v>0</v>
          </cell>
          <cell r="BR208">
            <v>0</v>
          </cell>
          <cell r="BS208">
            <v>0</v>
          </cell>
          <cell r="BT208">
            <v>0</v>
          </cell>
          <cell r="CB208">
            <v>0</v>
          </cell>
          <cell r="CC208">
            <v>0</v>
          </cell>
          <cell r="CD208">
            <v>0</v>
          </cell>
          <cell r="CE208">
            <v>0</v>
          </cell>
          <cell r="CF208">
            <v>0</v>
          </cell>
          <cell r="CI208">
            <v>0</v>
          </cell>
          <cell r="CJ208">
            <v>0</v>
          </cell>
          <cell r="CK208">
            <v>0</v>
          </cell>
          <cell r="CV208">
            <v>1.5927350958971524E-4</v>
          </cell>
          <cell r="DG208">
            <v>6928939</v>
          </cell>
          <cell r="DR208">
            <v>1841895.1</v>
          </cell>
          <cell r="EC208">
            <v>3.761853213030427</v>
          </cell>
          <cell r="EN208">
            <v>2.4095909012463064E-2</v>
          </cell>
        </row>
        <row r="209">
          <cell r="B209">
            <v>36100</v>
          </cell>
          <cell r="C209" t="str">
            <v>Mitchell County Schools</v>
          </cell>
          <cell r="D209">
            <v>6.7253678859313421E-4</v>
          </cell>
          <cell r="E209">
            <v>1163645.4589965816</v>
          </cell>
          <cell r="F209">
            <v>907321.05063885346</v>
          </cell>
          <cell r="G209">
            <v>-82714</v>
          </cell>
          <cell r="H209">
            <v>-324698.43122120848</v>
          </cell>
          <cell r="I209">
            <v>-13436.633724282847</v>
          </cell>
          <cell r="J209">
            <v>981953.9718500271</v>
          </cell>
          <cell r="K209">
            <v>0</v>
          </cell>
          <cell r="L209">
            <v>-51593.491809530198</v>
          </cell>
          <cell r="M209">
            <v>9258.8218113494368</v>
          </cell>
          <cell r="N209">
            <v>349.03314254406479</v>
          </cell>
          <cell r="O209">
            <v>-157.51484125639797</v>
          </cell>
          <cell r="P209">
            <v>0</v>
          </cell>
          <cell r="Q209">
            <v>0</v>
          </cell>
          <cell r="R209">
            <v>0</v>
          </cell>
          <cell r="S209">
            <v>2589928.2648430779</v>
          </cell>
          <cell r="T209">
            <v>30312.339999999967</v>
          </cell>
          <cell r="U209">
            <v>4909769.8592501357</v>
          </cell>
          <cell r="V209">
            <v>37035.287245397747</v>
          </cell>
          <cell r="W209">
            <v>0</v>
          </cell>
          <cell r="X209">
            <v>4977117.486495533</v>
          </cell>
          <cell r="Y209">
            <v>443879</v>
          </cell>
          <cell r="Z209">
            <v>0</v>
          </cell>
          <cell r="AA209">
            <v>0</v>
          </cell>
          <cell r="AB209">
            <v>67183.168621414225</v>
          </cell>
          <cell r="AC209">
            <v>511062.16862141422</v>
          </cell>
          <cell r="AD209" t="str">
            <v>N/A</v>
          </cell>
          <cell r="AE209">
            <v>895062</v>
          </cell>
          <cell r="AF209">
            <v>895063</v>
          </cell>
          <cell r="AG209">
            <v>895063</v>
          </cell>
          <cell r="AH209">
            <v>895063</v>
          </cell>
          <cell r="AI209">
            <v>885804</v>
          </cell>
          <cell r="AJ209">
            <v>0</v>
          </cell>
          <cell r="AK209">
            <v>4466055</v>
          </cell>
          <cell r="AL209">
            <v>22830271</v>
          </cell>
          <cell r="AM209">
            <v>2589928.2648430779</v>
          </cell>
          <cell r="AN209">
            <v>-628618.34</v>
          </cell>
          <cell r="AO209">
            <v>4879621.9778741198</v>
          </cell>
          <cell r="AP209">
            <v>0</v>
          </cell>
          <cell r="AQ209">
            <v>-413566.66000000003</v>
          </cell>
          <cell r="AR209">
            <v>0</v>
          </cell>
          <cell r="AS209">
            <v>0</v>
          </cell>
          <cell r="AT209">
            <v>29257636.242717195</v>
          </cell>
          <cell r="AU209">
            <v>6.8860262771461116E-4</v>
          </cell>
          <cell r="AV209">
            <v>0</v>
          </cell>
          <cell r="AW209">
            <v>0</v>
          </cell>
          <cell r="AY209">
            <v>0</v>
          </cell>
          <cell r="AZ209">
            <v>0</v>
          </cell>
          <cell r="BA209">
            <v>0</v>
          </cell>
          <cell r="BB209">
            <v>0</v>
          </cell>
          <cell r="BC209">
            <v>0</v>
          </cell>
          <cell r="BD209">
            <v>0</v>
          </cell>
          <cell r="BE209">
            <v>0</v>
          </cell>
          <cell r="BF209">
            <v>0</v>
          </cell>
          <cell r="BG209">
            <v>0</v>
          </cell>
          <cell r="BH209">
            <v>0</v>
          </cell>
          <cell r="BJ209">
            <v>0</v>
          </cell>
          <cell r="BL209">
            <v>0</v>
          </cell>
          <cell r="BM209">
            <v>0</v>
          </cell>
          <cell r="BN209">
            <v>0</v>
          </cell>
          <cell r="BO209">
            <v>0</v>
          </cell>
          <cell r="BQ209">
            <v>0</v>
          </cell>
          <cell r="BR209">
            <v>0</v>
          </cell>
          <cell r="BS209">
            <v>0</v>
          </cell>
          <cell r="BT209">
            <v>0</v>
          </cell>
          <cell r="CB209">
            <v>0</v>
          </cell>
          <cell r="CC209">
            <v>0</v>
          </cell>
          <cell r="CD209">
            <v>0</v>
          </cell>
          <cell r="CE209">
            <v>0</v>
          </cell>
          <cell r="CF209">
            <v>0</v>
          </cell>
          <cell r="CI209">
            <v>0</v>
          </cell>
          <cell r="CJ209">
            <v>0</v>
          </cell>
          <cell r="CK209">
            <v>0</v>
          </cell>
          <cell r="CV209">
            <v>6.7253678859313421E-4</v>
          </cell>
          <cell r="DG209">
            <v>29257636</v>
          </cell>
          <cell r="DR209">
            <v>10989867.26999999</v>
          </cell>
          <cell r="EC209">
            <v>2.6622374302797223</v>
          </cell>
          <cell r="EN209">
            <v>2.4095909012463064E-2</v>
          </cell>
        </row>
        <row r="210">
          <cell r="B210">
            <v>36102</v>
          </cell>
          <cell r="C210" t="str">
            <v>Kipp Charlotte Charter</v>
          </cell>
          <cell r="D210">
            <v>1.6273927781060074E-4</v>
          </cell>
          <cell r="E210">
            <v>281576.89636700711</v>
          </cell>
          <cell r="F210">
            <v>219551.96359176523</v>
          </cell>
          <cell r="G210">
            <v>177923</v>
          </cell>
          <cell r="H210">
            <v>-78569.959442236417</v>
          </cell>
          <cell r="I210">
            <v>-3251.3731673617422</v>
          </cell>
          <cell r="J210">
            <v>237611.50755248926</v>
          </cell>
          <cell r="K210">
            <v>0</v>
          </cell>
          <cell r="L210">
            <v>-12484.503062463109</v>
          </cell>
          <cell r="M210">
            <v>2240.433535402628</v>
          </cell>
          <cell r="N210">
            <v>84.458430398145566</v>
          </cell>
          <cell r="O210">
            <v>-38.1151662560208</v>
          </cell>
          <cell r="P210">
            <v>0</v>
          </cell>
          <cell r="Q210">
            <v>0</v>
          </cell>
          <cell r="R210">
            <v>0</v>
          </cell>
          <cell r="S210">
            <v>824644.3086387451</v>
          </cell>
          <cell r="T210">
            <v>923911</v>
          </cell>
          <cell r="U210">
            <v>1188057.5377624463</v>
          </cell>
          <cell r="V210">
            <v>8961.7341416105119</v>
          </cell>
          <cell r="W210">
            <v>0</v>
          </cell>
          <cell r="X210">
            <v>2120930.2719040569</v>
          </cell>
          <cell r="Y210">
            <v>34294.78</v>
          </cell>
          <cell r="Z210">
            <v>0</v>
          </cell>
          <cell r="AA210">
            <v>0</v>
          </cell>
          <cell r="AB210">
            <v>16256.865836808709</v>
          </cell>
          <cell r="AC210">
            <v>50551.645836808704</v>
          </cell>
          <cell r="AD210" t="str">
            <v>N/A</v>
          </cell>
          <cell r="AE210">
            <v>414524</v>
          </cell>
          <cell r="AF210">
            <v>414524</v>
          </cell>
          <cell r="AG210">
            <v>414524</v>
          </cell>
          <cell r="AH210">
            <v>414524</v>
          </cell>
          <cell r="AI210">
            <v>412283</v>
          </cell>
          <cell r="AJ210">
            <v>0</v>
          </cell>
          <cell r="AK210">
            <v>2070379</v>
          </cell>
          <cell r="AL210">
            <v>4286845</v>
          </cell>
          <cell r="AM210">
            <v>824644.3086387451</v>
          </cell>
          <cell r="AN210">
            <v>-102156.22</v>
          </cell>
          <cell r="AO210">
            <v>1180762.4060672482</v>
          </cell>
          <cell r="AP210">
            <v>0</v>
          </cell>
          <cell r="AQ210">
            <v>889616.22</v>
          </cell>
          <cell r="AR210">
            <v>0</v>
          </cell>
          <cell r="AS210">
            <v>0</v>
          </cell>
          <cell r="AT210">
            <v>7079711.7147059934</v>
          </cell>
          <cell r="AU210">
            <v>1.2929906699602807E-4</v>
          </cell>
          <cell r="AV210">
            <v>0</v>
          </cell>
          <cell r="AW210">
            <v>0</v>
          </cell>
          <cell r="AY210">
            <v>0</v>
          </cell>
          <cell r="AZ210">
            <v>0</v>
          </cell>
          <cell r="BA210">
            <v>0</v>
          </cell>
          <cell r="BB210">
            <v>0</v>
          </cell>
          <cell r="BC210">
            <v>0</v>
          </cell>
          <cell r="BD210">
            <v>0</v>
          </cell>
          <cell r="BE210">
            <v>0</v>
          </cell>
          <cell r="BF210">
            <v>0</v>
          </cell>
          <cell r="BG210">
            <v>0</v>
          </cell>
          <cell r="BH210">
            <v>0</v>
          </cell>
          <cell r="BJ210">
            <v>0</v>
          </cell>
          <cell r="BL210">
            <v>0</v>
          </cell>
          <cell r="BM210">
            <v>0</v>
          </cell>
          <cell r="BN210">
            <v>0</v>
          </cell>
          <cell r="BO210">
            <v>0</v>
          </cell>
          <cell r="BQ210">
            <v>0</v>
          </cell>
          <cell r="BR210">
            <v>0</v>
          </cell>
          <cell r="BS210">
            <v>0</v>
          </cell>
          <cell r="BT210">
            <v>0</v>
          </cell>
          <cell r="CB210">
            <v>0</v>
          </cell>
          <cell r="CC210">
            <v>0</v>
          </cell>
          <cell r="CD210">
            <v>0</v>
          </cell>
          <cell r="CE210">
            <v>0</v>
          </cell>
          <cell r="CF210">
            <v>0</v>
          </cell>
          <cell r="CI210">
            <v>0</v>
          </cell>
          <cell r="CJ210">
            <v>0</v>
          </cell>
          <cell r="CK210">
            <v>0</v>
          </cell>
          <cell r="CV210">
            <v>1.6273927781060074E-4</v>
          </cell>
          <cell r="DG210">
            <v>7079712</v>
          </cell>
          <cell r="DR210">
            <v>1834403.22</v>
          </cell>
          <cell r="EC210">
            <v>3.8594088381506442</v>
          </cell>
          <cell r="EN210">
            <v>2.4095909012463064E-2</v>
          </cell>
        </row>
        <row r="211">
          <cell r="B211">
            <v>36105</v>
          </cell>
          <cell r="C211" t="str">
            <v>Mayland Technical College</v>
          </cell>
          <cell r="D211">
            <v>3.4452709511830436E-4</v>
          </cell>
          <cell r="E211">
            <v>596112.20759290818</v>
          </cell>
          <cell r="F211">
            <v>464802.3590950417</v>
          </cell>
          <cell r="G211">
            <v>-77364</v>
          </cell>
          <cell r="H211">
            <v>-166336.48775128959</v>
          </cell>
          <cell r="I211">
            <v>-6883.3177065000664</v>
          </cell>
          <cell r="J211">
            <v>503035.30631993269</v>
          </cell>
          <cell r="K211">
            <v>0</v>
          </cell>
          <cell r="L211">
            <v>-26430.310076169018</v>
          </cell>
          <cell r="M211">
            <v>4743.1085361964151</v>
          </cell>
          <cell r="N211">
            <v>178.80267182449759</v>
          </cell>
          <cell r="O211">
            <v>-80.69169094765806</v>
          </cell>
          <cell r="P211">
            <v>0</v>
          </cell>
          <cell r="Q211">
            <v>0</v>
          </cell>
          <cell r="R211">
            <v>0</v>
          </cell>
          <cell r="S211">
            <v>1291776.9769909973</v>
          </cell>
          <cell r="T211">
            <v>39895.189999999944</v>
          </cell>
          <cell r="U211">
            <v>2515176.5315996632</v>
          </cell>
          <cell r="V211">
            <v>18972.43414478566</v>
          </cell>
          <cell r="W211">
            <v>0</v>
          </cell>
          <cell r="X211">
            <v>2574044.1557444488</v>
          </cell>
          <cell r="Y211">
            <v>426715</v>
          </cell>
          <cell r="Z211">
            <v>0</v>
          </cell>
          <cell r="AA211">
            <v>0</v>
          </cell>
          <cell r="AB211">
            <v>34416.588532500333</v>
          </cell>
          <cell r="AC211">
            <v>461131.58853250032</v>
          </cell>
          <cell r="AD211" t="str">
            <v>N/A</v>
          </cell>
          <cell r="AE211">
            <v>423531</v>
          </cell>
          <cell r="AF211">
            <v>423531</v>
          </cell>
          <cell r="AG211">
            <v>423531</v>
          </cell>
          <cell r="AH211">
            <v>423531</v>
          </cell>
          <cell r="AI211">
            <v>418788</v>
          </cell>
          <cell r="AJ211">
            <v>0</v>
          </cell>
          <cell r="AK211">
            <v>2112912</v>
          </cell>
          <cell r="AL211">
            <v>11934679</v>
          </cell>
          <cell r="AM211">
            <v>1291776.9769909973</v>
          </cell>
          <cell r="AN211">
            <v>-351269.18999999994</v>
          </cell>
          <cell r="AO211">
            <v>2499732.3772119489</v>
          </cell>
          <cell r="AP211">
            <v>0</v>
          </cell>
          <cell r="AQ211">
            <v>-386819.81000000006</v>
          </cell>
          <cell r="AR211">
            <v>0</v>
          </cell>
          <cell r="AS211">
            <v>0</v>
          </cell>
          <cell r="AT211">
            <v>14988099.354202947</v>
          </cell>
          <cell r="AU211">
            <v>3.599716783877378E-4</v>
          </cell>
          <cell r="AV211">
            <v>0</v>
          </cell>
          <cell r="AW211">
            <v>0</v>
          </cell>
          <cell r="AY211">
            <v>0</v>
          </cell>
          <cell r="AZ211">
            <v>0</v>
          </cell>
          <cell r="BA211">
            <v>0</v>
          </cell>
          <cell r="BB211">
            <v>0</v>
          </cell>
          <cell r="BC211">
            <v>0</v>
          </cell>
          <cell r="BD211">
            <v>0</v>
          </cell>
          <cell r="BE211">
            <v>0</v>
          </cell>
          <cell r="BF211">
            <v>0</v>
          </cell>
          <cell r="BG211">
            <v>0</v>
          </cell>
          <cell r="BH211">
            <v>0</v>
          </cell>
          <cell r="BJ211">
            <v>0</v>
          </cell>
          <cell r="BL211">
            <v>0</v>
          </cell>
          <cell r="BM211">
            <v>0</v>
          </cell>
          <cell r="BN211">
            <v>0</v>
          </cell>
          <cell r="BO211">
            <v>0</v>
          </cell>
          <cell r="BQ211">
            <v>0</v>
          </cell>
          <cell r="BR211">
            <v>0</v>
          </cell>
          <cell r="BS211">
            <v>0</v>
          </cell>
          <cell r="BT211">
            <v>0</v>
          </cell>
          <cell r="CB211">
            <v>0</v>
          </cell>
          <cell r="CC211">
            <v>0</v>
          </cell>
          <cell r="CD211">
            <v>0</v>
          </cell>
          <cell r="CE211">
            <v>0</v>
          </cell>
          <cell r="CF211">
            <v>0</v>
          </cell>
          <cell r="CI211">
            <v>0</v>
          </cell>
          <cell r="CJ211">
            <v>0</v>
          </cell>
          <cell r="CK211">
            <v>0</v>
          </cell>
          <cell r="CV211">
            <v>3.4452709511830436E-4</v>
          </cell>
          <cell r="DG211">
            <v>14988100</v>
          </cell>
          <cell r="DR211">
            <v>5969869.6899999995</v>
          </cell>
          <cell r="EC211">
            <v>2.5106243148164933</v>
          </cell>
          <cell r="EN211">
            <v>2.4095909012463064E-2</v>
          </cell>
        </row>
        <row r="212">
          <cell r="B212">
            <v>36200</v>
          </cell>
          <cell r="C212" t="str">
            <v>Montgomery County Schools</v>
          </cell>
          <cell r="D212">
            <v>1.3812649658540327E-3</v>
          </cell>
          <cell r="E212">
            <v>2389910.4590983</v>
          </cell>
          <cell r="F212">
            <v>1863467.9935516545</v>
          </cell>
          <cell r="G212">
            <v>90690</v>
          </cell>
          <cell r="H212">
            <v>-666869.93948958092</v>
          </cell>
          <cell r="I212">
            <v>-27596.336344944091</v>
          </cell>
          <cell r="J212">
            <v>2016750.0758359348</v>
          </cell>
          <cell r="K212">
            <v>0</v>
          </cell>
          <cell r="L212">
            <v>-105963.39696398962</v>
          </cell>
          <cell r="M212">
            <v>19015.890892533866</v>
          </cell>
          <cell r="N212">
            <v>716.84889197892585</v>
          </cell>
          <cell r="O212">
            <v>-323.50606765267298</v>
          </cell>
          <cell r="P212">
            <v>0</v>
          </cell>
          <cell r="Q212">
            <v>0</v>
          </cell>
          <cell r="R212">
            <v>0</v>
          </cell>
          <cell r="S212">
            <v>5579798.0894042356</v>
          </cell>
          <cell r="T212">
            <v>453449.17999999993</v>
          </cell>
          <cell r="U212">
            <v>10083750.379179675</v>
          </cell>
          <cell r="V212">
            <v>76063.563570135462</v>
          </cell>
          <cell r="W212">
            <v>0</v>
          </cell>
          <cell r="X212">
            <v>10613263.122749811</v>
          </cell>
          <cell r="Y212">
            <v>0</v>
          </cell>
          <cell r="Z212">
            <v>0</v>
          </cell>
          <cell r="AA212">
            <v>0</v>
          </cell>
          <cell r="AB212">
            <v>137981.68172472046</v>
          </cell>
          <cell r="AC212">
            <v>137981.68172472046</v>
          </cell>
          <cell r="AD212" t="str">
            <v>N/A</v>
          </cell>
          <cell r="AE212">
            <v>2098860</v>
          </cell>
          <cell r="AF212">
            <v>2098860</v>
          </cell>
          <cell r="AG212">
            <v>2098860</v>
          </cell>
          <cell r="AH212">
            <v>2098860</v>
          </cell>
          <cell r="AI212">
            <v>2079844</v>
          </cell>
          <cell r="AJ212">
            <v>0</v>
          </cell>
          <cell r="AK212">
            <v>10475284</v>
          </cell>
          <cell r="AL212">
            <v>45314695</v>
          </cell>
          <cell r="AM212">
            <v>5579798.0894042356</v>
          </cell>
          <cell r="AN212">
            <v>-1280053.18</v>
          </cell>
          <cell r="AO212">
            <v>10021832.26102509</v>
          </cell>
          <cell r="AP212">
            <v>0</v>
          </cell>
          <cell r="AQ212">
            <v>453449.17999999993</v>
          </cell>
          <cell r="AR212">
            <v>0</v>
          </cell>
          <cell r="AS212">
            <v>0</v>
          </cell>
          <cell r="AT212">
            <v>60089721.350429319</v>
          </cell>
          <cell r="AU212">
            <v>1.3667738617282928E-3</v>
          </cell>
          <cell r="AV212">
            <v>0</v>
          </cell>
          <cell r="AW212">
            <v>0</v>
          </cell>
          <cell r="AY212">
            <v>0</v>
          </cell>
          <cell r="AZ212">
            <v>0</v>
          </cell>
          <cell r="BA212">
            <v>0</v>
          </cell>
          <cell r="BB212">
            <v>0</v>
          </cell>
          <cell r="BC212">
            <v>0</v>
          </cell>
          <cell r="BD212">
            <v>0</v>
          </cell>
          <cell r="BE212">
            <v>0</v>
          </cell>
          <cell r="BF212">
            <v>0</v>
          </cell>
          <cell r="BG212">
            <v>0</v>
          </cell>
          <cell r="BH212">
            <v>0</v>
          </cell>
          <cell r="BJ212">
            <v>0</v>
          </cell>
          <cell r="BL212">
            <v>0</v>
          </cell>
          <cell r="BM212">
            <v>0</v>
          </cell>
          <cell r="BN212">
            <v>0</v>
          </cell>
          <cell r="BO212">
            <v>0</v>
          </cell>
          <cell r="BQ212">
            <v>0</v>
          </cell>
          <cell r="BR212">
            <v>0</v>
          </cell>
          <cell r="BS212">
            <v>0</v>
          </cell>
          <cell r="BT212">
            <v>0</v>
          </cell>
          <cell r="CB212">
            <v>0</v>
          </cell>
          <cell r="CC212">
            <v>0</v>
          </cell>
          <cell r="CD212">
            <v>0</v>
          </cell>
          <cell r="CE212">
            <v>0</v>
          </cell>
          <cell r="CF212">
            <v>0</v>
          </cell>
          <cell r="CI212">
            <v>0</v>
          </cell>
          <cell r="CJ212">
            <v>0</v>
          </cell>
          <cell r="CK212">
            <v>0</v>
          </cell>
          <cell r="CV212">
            <v>1.3812649658540327E-3</v>
          </cell>
          <cell r="DG212">
            <v>60089721</v>
          </cell>
          <cell r="DR212">
            <v>22195620.610000007</v>
          </cell>
          <cell r="EC212">
            <v>2.7072782534824551</v>
          </cell>
          <cell r="EN212">
            <v>2.4095909012463064E-2</v>
          </cell>
        </row>
        <row r="213">
          <cell r="B213">
            <v>36205</v>
          </cell>
          <cell r="C213" t="str">
            <v>Montgomery Community College</v>
          </cell>
          <cell r="D213">
            <v>2.4367880035541003E-4</v>
          </cell>
          <cell r="E213">
            <v>421621.14295705943</v>
          </cell>
          <cell r="F213">
            <v>328747.67433821713</v>
          </cell>
          <cell r="G213">
            <v>-2007</v>
          </cell>
          <cell r="H213">
            <v>-117647.28047484455</v>
          </cell>
          <cell r="I213">
            <v>-4868.4664427020689</v>
          </cell>
          <cell r="J213">
            <v>355789.25929865107</v>
          </cell>
          <cell r="K213">
            <v>0</v>
          </cell>
          <cell r="L213">
            <v>-18693.758324496419</v>
          </cell>
          <cell r="M213">
            <v>3354.7288861532597</v>
          </cell>
          <cell r="N213">
            <v>126.4644238084507</v>
          </cell>
          <cell r="O213">
            <v>-57.072011831240587</v>
          </cell>
          <cell r="P213">
            <v>0</v>
          </cell>
          <cell r="Q213">
            <v>0</v>
          </cell>
          <cell r="R213">
            <v>0</v>
          </cell>
          <cell r="S213">
            <v>966365.69265001523</v>
          </cell>
          <cell r="T213">
            <v>7384.5199999999895</v>
          </cell>
          <cell r="U213">
            <v>1778946.2964932553</v>
          </cell>
          <cell r="V213">
            <v>13418.915544613039</v>
          </cell>
          <cell r="W213">
            <v>0</v>
          </cell>
          <cell r="X213">
            <v>1799749.7320378684</v>
          </cell>
          <cell r="Y213">
            <v>17419</v>
          </cell>
          <cell r="Z213">
            <v>0</v>
          </cell>
          <cell r="AA213">
            <v>0</v>
          </cell>
          <cell r="AB213">
            <v>24342.332213510344</v>
          </cell>
          <cell r="AC213">
            <v>41761.332213510344</v>
          </cell>
          <cell r="AD213" t="str">
            <v>N/A</v>
          </cell>
          <cell r="AE213">
            <v>352269</v>
          </cell>
          <cell r="AF213">
            <v>352269</v>
          </cell>
          <cell r="AG213">
            <v>352269</v>
          </cell>
          <cell r="AH213">
            <v>352269</v>
          </cell>
          <cell r="AI213">
            <v>348914</v>
          </cell>
          <cell r="AJ213">
            <v>0</v>
          </cell>
          <cell r="AK213">
            <v>1757990</v>
          </cell>
          <cell r="AL213">
            <v>8099950</v>
          </cell>
          <cell r="AM213">
            <v>966365.69265001523</v>
          </cell>
          <cell r="AN213">
            <v>-223448.52</v>
          </cell>
          <cell r="AO213">
            <v>1768022.879824358</v>
          </cell>
          <cell r="AP213">
            <v>0</v>
          </cell>
          <cell r="AQ213">
            <v>-10034.48000000001</v>
          </cell>
          <cell r="AR213">
            <v>0</v>
          </cell>
          <cell r="AS213">
            <v>0</v>
          </cell>
          <cell r="AT213">
            <v>10600855.572474372</v>
          </cell>
          <cell r="AU213">
            <v>2.4430927666928694E-4</v>
          </cell>
          <cell r="AV213">
            <v>0</v>
          </cell>
          <cell r="AW213">
            <v>0</v>
          </cell>
          <cell r="AY213">
            <v>0</v>
          </cell>
          <cell r="AZ213">
            <v>0</v>
          </cell>
          <cell r="BA213">
            <v>0</v>
          </cell>
          <cell r="BB213">
            <v>0</v>
          </cell>
          <cell r="BC213">
            <v>0</v>
          </cell>
          <cell r="BD213">
            <v>0</v>
          </cell>
          <cell r="BE213">
            <v>0</v>
          </cell>
          <cell r="BF213">
            <v>0</v>
          </cell>
          <cell r="BG213">
            <v>0</v>
          </cell>
          <cell r="BH213">
            <v>0</v>
          </cell>
          <cell r="BJ213">
            <v>0</v>
          </cell>
          <cell r="BL213">
            <v>0</v>
          </cell>
          <cell r="BM213">
            <v>0</v>
          </cell>
          <cell r="BN213">
            <v>0</v>
          </cell>
          <cell r="BO213">
            <v>0</v>
          </cell>
          <cell r="BQ213">
            <v>0</v>
          </cell>
          <cell r="BR213">
            <v>0</v>
          </cell>
          <cell r="BS213">
            <v>0</v>
          </cell>
          <cell r="BT213">
            <v>0</v>
          </cell>
          <cell r="CB213">
            <v>0</v>
          </cell>
          <cell r="CC213">
            <v>0</v>
          </cell>
          <cell r="CD213">
            <v>0</v>
          </cell>
          <cell r="CE213">
            <v>0</v>
          </cell>
          <cell r="CF213">
            <v>0</v>
          </cell>
          <cell r="CI213">
            <v>0</v>
          </cell>
          <cell r="CJ213">
            <v>0</v>
          </cell>
          <cell r="CK213">
            <v>0</v>
          </cell>
          <cell r="CV213">
            <v>2.4367880035541003E-4</v>
          </cell>
          <cell r="DG213">
            <v>10600856</v>
          </cell>
          <cell r="DR213">
            <v>3891820.2999999989</v>
          </cell>
          <cell r="EC213">
            <v>2.7238811617278431</v>
          </cell>
          <cell r="EN213">
            <v>2.4095909012463064E-2</v>
          </cell>
        </row>
        <row r="214">
          <cell r="B214">
            <v>36300</v>
          </cell>
          <cell r="C214" t="str">
            <v>Moore County Schools</v>
          </cell>
          <cell r="D214">
            <v>4.3680148372305747E-3</v>
          </cell>
          <cell r="E214">
            <v>7557684.1540604765</v>
          </cell>
          <cell r="F214">
            <v>5892899.6577461055</v>
          </cell>
          <cell r="G214">
            <v>563426</v>
          </cell>
          <cell r="H214">
            <v>-2108862.428428066</v>
          </cell>
          <cell r="I214">
            <v>-87268.706285756576</v>
          </cell>
          <cell r="J214">
            <v>6377628.0959899304</v>
          </cell>
          <cell r="K214">
            <v>0</v>
          </cell>
          <cell r="L214">
            <v>-335091.16757759877</v>
          </cell>
          <cell r="M214">
            <v>60134.511201758338</v>
          </cell>
          <cell r="N214">
            <v>2266.9123402259238</v>
          </cell>
          <cell r="O214">
            <v>-1023.0327550277729</v>
          </cell>
          <cell r="P214">
            <v>0</v>
          </cell>
          <cell r="Q214">
            <v>0</v>
          </cell>
          <cell r="R214">
            <v>0</v>
          </cell>
          <cell r="S214">
            <v>17921793.996292051</v>
          </cell>
          <cell r="T214">
            <v>2833370</v>
          </cell>
          <cell r="U214">
            <v>31888140.479949649</v>
          </cell>
          <cell r="V214">
            <v>240538.04480703335</v>
          </cell>
          <cell r="W214">
            <v>0</v>
          </cell>
          <cell r="X214">
            <v>34962048.524756685</v>
          </cell>
          <cell r="Y214">
            <v>16239.030000000726</v>
          </cell>
          <cell r="Z214">
            <v>0</v>
          </cell>
          <cell r="AA214">
            <v>0</v>
          </cell>
          <cell r="AB214">
            <v>436343.53142878285</v>
          </cell>
          <cell r="AC214">
            <v>452582.56142878358</v>
          </cell>
          <cell r="AD214" t="str">
            <v>N/A</v>
          </cell>
          <cell r="AE214">
            <v>6913920</v>
          </cell>
          <cell r="AF214">
            <v>6913920</v>
          </cell>
          <cell r="AG214">
            <v>6913920</v>
          </cell>
          <cell r="AH214">
            <v>6913920</v>
          </cell>
          <cell r="AI214">
            <v>6853785</v>
          </cell>
          <cell r="AJ214">
            <v>0</v>
          </cell>
          <cell r="AK214">
            <v>34509465</v>
          </cell>
          <cell r="AL214">
            <v>141419274</v>
          </cell>
          <cell r="AM214">
            <v>17921793.996292051</v>
          </cell>
          <cell r="AN214">
            <v>-3827040.9699999993</v>
          </cell>
          <cell r="AO214">
            <v>31692334.993327904</v>
          </cell>
          <cell r="AP214">
            <v>0</v>
          </cell>
          <cell r="AQ214">
            <v>2817130.9699999993</v>
          </cell>
          <cell r="AR214">
            <v>0</v>
          </cell>
          <cell r="AS214">
            <v>0</v>
          </cell>
          <cell r="AT214">
            <v>190023492.98961997</v>
          </cell>
          <cell r="AU214">
            <v>4.2654633217207253E-3</v>
          </cell>
          <cell r="AV214">
            <v>0</v>
          </cell>
          <cell r="AW214">
            <v>0</v>
          </cell>
          <cell r="AY214">
            <v>0</v>
          </cell>
          <cell r="AZ214">
            <v>0</v>
          </cell>
          <cell r="BA214">
            <v>0</v>
          </cell>
          <cell r="BB214">
            <v>0</v>
          </cell>
          <cell r="BC214">
            <v>0</v>
          </cell>
          <cell r="BD214">
            <v>0</v>
          </cell>
          <cell r="BE214">
            <v>0</v>
          </cell>
          <cell r="BF214">
            <v>0</v>
          </cell>
          <cell r="BG214">
            <v>0</v>
          </cell>
          <cell r="BH214">
            <v>0</v>
          </cell>
          <cell r="BJ214">
            <v>0</v>
          </cell>
          <cell r="BL214">
            <v>0</v>
          </cell>
          <cell r="BM214">
            <v>0</v>
          </cell>
          <cell r="BN214">
            <v>0</v>
          </cell>
          <cell r="BO214">
            <v>0</v>
          </cell>
          <cell r="BQ214">
            <v>0</v>
          </cell>
          <cell r="BR214">
            <v>0</v>
          </cell>
          <cell r="BS214">
            <v>0</v>
          </cell>
          <cell r="BT214">
            <v>0</v>
          </cell>
          <cell r="CB214">
            <v>0</v>
          </cell>
          <cell r="CC214">
            <v>0</v>
          </cell>
          <cell r="CD214">
            <v>0</v>
          </cell>
          <cell r="CE214">
            <v>0</v>
          </cell>
          <cell r="CF214">
            <v>0</v>
          </cell>
          <cell r="CI214">
            <v>0</v>
          </cell>
          <cell r="CJ214">
            <v>0</v>
          </cell>
          <cell r="CK214">
            <v>0</v>
          </cell>
          <cell r="CV214">
            <v>4.3680148372305747E-3</v>
          </cell>
          <cell r="DG214">
            <v>190023492</v>
          </cell>
          <cell r="DR214">
            <v>65112504.539999925</v>
          </cell>
          <cell r="EC214">
            <v>2.9183870800617835</v>
          </cell>
          <cell r="EN214">
            <v>2.4095909012463064E-2</v>
          </cell>
        </row>
        <row r="215">
          <cell r="B215">
            <v>36301</v>
          </cell>
          <cell r="C215" t="str">
            <v>Academy Of Moore County</v>
          </cell>
          <cell r="D215">
            <v>5.6376106519571636E-5</v>
          </cell>
          <cell r="E215">
            <v>97543.809439239994</v>
          </cell>
          <cell r="F215">
            <v>76057.145223635802</v>
          </cell>
          <cell r="G215">
            <v>57027</v>
          </cell>
          <cell r="H215">
            <v>-27218.188886822074</v>
          </cell>
          <cell r="I215">
            <v>-1126.3400113609362</v>
          </cell>
          <cell r="J215">
            <v>82313.328658403043</v>
          </cell>
          <cell r="K215">
            <v>0</v>
          </cell>
          <cell r="L215">
            <v>-4324.8789349579602</v>
          </cell>
          <cell r="M215">
            <v>776.13051588490873</v>
          </cell>
          <cell r="N215">
            <v>29.258071761527287</v>
          </cell>
          <cell r="O215">
            <v>-13.203847907948873</v>
          </cell>
          <cell r="P215">
            <v>0</v>
          </cell>
          <cell r="Q215">
            <v>0</v>
          </cell>
          <cell r="R215">
            <v>0</v>
          </cell>
          <cell r="S215">
            <v>281064.06022787635</v>
          </cell>
          <cell r="T215">
            <v>292499</v>
          </cell>
          <cell r="U215">
            <v>411566.64329201519</v>
          </cell>
          <cell r="V215">
            <v>3104.5220635396349</v>
          </cell>
          <cell r="W215">
            <v>0</v>
          </cell>
          <cell r="X215">
            <v>707170.16535555478</v>
          </cell>
          <cell r="Y215">
            <v>7364.4700000000012</v>
          </cell>
          <cell r="Z215">
            <v>0</v>
          </cell>
          <cell r="AA215">
            <v>0</v>
          </cell>
          <cell r="AB215">
            <v>5631.7000568046806</v>
          </cell>
          <cell r="AC215">
            <v>12996.170056804682</v>
          </cell>
          <cell r="AD215" t="str">
            <v>N/A</v>
          </cell>
          <cell r="AE215">
            <v>138990</v>
          </cell>
          <cell r="AF215">
            <v>138990</v>
          </cell>
          <cell r="AG215">
            <v>138990</v>
          </cell>
          <cell r="AH215">
            <v>138990</v>
          </cell>
          <cell r="AI215">
            <v>138214</v>
          </cell>
          <cell r="AJ215">
            <v>0</v>
          </cell>
          <cell r="AK215">
            <v>694174</v>
          </cell>
          <cell r="AL215">
            <v>1518122</v>
          </cell>
          <cell r="AM215">
            <v>281064.06022787635</v>
          </cell>
          <cell r="AN215">
            <v>-40808.53</v>
          </cell>
          <cell r="AO215">
            <v>409039.46529875015</v>
          </cell>
          <cell r="AP215">
            <v>0</v>
          </cell>
          <cell r="AQ215">
            <v>285134.53000000003</v>
          </cell>
          <cell r="AR215">
            <v>0</v>
          </cell>
          <cell r="AS215">
            <v>0</v>
          </cell>
          <cell r="AT215">
            <v>2452551.525526626</v>
          </cell>
          <cell r="AU215">
            <v>4.5789344165860129E-5</v>
          </cell>
          <cell r="AV215">
            <v>0</v>
          </cell>
          <cell r="AW215">
            <v>0</v>
          </cell>
          <cell r="AY215">
            <v>0</v>
          </cell>
          <cell r="AZ215">
            <v>0</v>
          </cell>
          <cell r="BA215">
            <v>0</v>
          </cell>
          <cell r="BB215">
            <v>0</v>
          </cell>
          <cell r="BC215">
            <v>0</v>
          </cell>
          <cell r="BD215">
            <v>0</v>
          </cell>
          <cell r="BE215">
            <v>0</v>
          </cell>
          <cell r="BF215">
            <v>0</v>
          </cell>
          <cell r="BG215">
            <v>0</v>
          </cell>
          <cell r="BH215">
            <v>0</v>
          </cell>
          <cell r="BJ215">
            <v>0</v>
          </cell>
          <cell r="BL215">
            <v>0</v>
          </cell>
          <cell r="BM215">
            <v>0</v>
          </cell>
          <cell r="BN215">
            <v>0</v>
          </cell>
          <cell r="BO215">
            <v>0</v>
          </cell>
          <cell r="BQ215">
            <v>0</v>
          </cell>
          <cell r="BR215">
            <v>0</v>
          </cell>
          <cell r="BS215">
            <v>0</v>
          </cell>
          <cell r="BT215">
            <v>0</v>
          </cell>
          <cell r="CB215">
            <v>0</v>
          </cell>
          <cell r="CC215">
            <v>0</v>
          </cell>
          <cell r="CD215">
            <v>0</v>
          </cell>
          <cell r="CE215">
            <v>0</v>
          </cell>
          <cell r="CF215">
            <v>0</v>
          </cell>
          <cell r="CI215">
            <v>0</v>
          </cell>
          <cell r="CJ215">
            <v>0</v>
          </cell>
          <cell r="CK215">
            <v>0</v>
          </cell>
          <cell r="CV215">
            <v>5.6376106519571636E-5</v>
          </cell>
          <cell r="DG215">
            <v>2452552</v>
          </cell>
          <cell r="DR215">
            <v>726906.58000000007</v>
          </cell>
          <cell r="EC215">
            <v>3.3739576274024095</v>
          </cell>
          <cell r="EN215">
            <v>2.4095909012463064E-2</v>
          </cell>
        </row>
        <row r="216">
          <cell r="B216">
            <v>36302</v>
          </cell>
          <cell r="C216" t="str">
            <v>Stars Charter School</v>
          </cell>
          <cell r="D216">
            <v>1.1096453713236779E-4</v>
          </cell>
          <cell r="E216">
            <v>191994.52272915488</v>
          </cell>
          <cell r="F216">
            <v>149702.53244466431</v>
          </cell>
          <cell r="G216">
            <v>24268</v>
          </cell>
          <cell r="H216">
            <v>-53573.294040074434</v>
          </cell>
          <cell r="I216">
            <v>-2216.9639893620988</v>
          </cell>
          <cell r="J216">
            <v>162016.51689502943</v>
          </cell>
          <cell r="K216">
            <v>0</v>
          </cell>
          <cell r="L216">
            <v>-8512.6167590969053</v>
          </cell>
          <cell r="M216">
            <v>1527.6500767142568</v>
          </cell>
          <cell r="N216">
            <v>57.588375480956238</v>
          </cell>
          <cell r="O216">
            <v>-25.989004241771859</v>
          </cell>
          <cell r="P216">
            <v>0</v>
          </cell>
          <cell r="Q216">
            <v>0</v>
          </cell>
          <cell r="R216">
            <v>0</v>
          </cell>
          <cell r="S216">
            <v>465237.94672826858</v>
          </cell>
          <cell r="T216">
            <v>135052</v>
          </cell>
          <cell r="U216">
            <v>810082.58447514719</v>
          </cell>
          <cell r="V216">
            <v>6110.6003068570271</v>
          </cell>
          <cell r="W216">
            <v>0</v>
          </cell>
          <cell r="X216">
            <v>951245.18478200422</v>
          </cell>
          <cell r="Y216">
            <v>13712.070000000007</v>
          </cell>
          <cell r="Z216">
            <v>0</v>
          </cell>
          <cell r="AA216">
            <v>0</v>
          </cell>
          <cell r="AB216">
            <v>11084.819946810494</v>
          </cell>
          <cell r="AC216">
            <v>24796.889946810501</v>
          </cell>
          <cell r="AD216" t="str">
            <v>N/A</v>
          </cell>
          <cell r="AE216">
            <v>185595</v>
          </cell>
          <cell r="AF216">
            <v>185595</v>
          </cell>
          <cell r="AG216">
            <v>185595</v>
          </cell>
          <cell r="AH216">
            <v>185595</v>
          </cell>
          <cell r="AI216">
            <v>184068</v>
          </cell>
          <cell r="AJ216">
            <v>0</v>
          </cell>
          <cell r="AK216">
            <v>926448</v>
          </cell>
          <cell r="AL216">
            <v>3516911</v>
          </cell>
          <cell r="AM216">
            <v>465237.94672826858</v>
          </cell>
          <cell r="AN216">
            <v>-81262.929999999993</v>
          </cell>
          <cell r="AO216">
            <v>805108.36483519385</v>
          </cell>
          <cell r="AP216">
            <v>0</v>
          </cell>
          <cell r="AQ216">
            <v>121339.93</v>
          </cell>
          <cell r="AR216">
            <v>0</v>
          </cell>
          <cell r="AS216">
            <v>0</v>
          </cell>
          <cell r="AT216">
            <v>4827334.311563462</v>
          </cell>
          <cell r="AU216">
            <v>1.0607645393740597E-4</v>
          </cell>
          <cell r="AV216">
            <v>0</v>
          </cell>
          <cell r="AW216">
            <v>0</v>
          </cell>
          <cell r="AY216">
            <v>0</v>
          </cell>
          <cell r="AZ216">
            <v>0</v>
          </cell>
          <cell r="BA216">
            <v>0</v>
          </cell>
          <cell r="BB216">
            <v>0</v>
          </cell>
          <cell r="BC216">
            <v>0</v>
          </cell>
          <cell r="BD216">
            <v>0</v>
          </cell>
          <cell r="BE216">
            <v>0</v>
          </cell>
          <cell r="BF216">
            <v>0</v>
          </cell>
          <cell r="BG216">
            <v>0</v>
          </cell>
          <cell r="BH216">
            <v>0</v>
          </cell>
          <cell r="BJ216">
            <v>0</v>
          </cell>
          <cell r="BL216">
            <v>0</v>
          </cell>
          <cell r="BM216">
            <v>0</v>
          </cell>
          <cell r="BN216">
            <v>0</v>
          </cell>
          <cell r="BO216">
            <v>0</v>
          </cell>
          <cell r="BQ216">
            <v>0</v>
          </cell>
          <cell r="BR216">
            <v>0</v>
          </cell>
          <cell r="BS216">
            <v>0</v>
          </cell>
          <cell r="BT216">
            <v>0</v>
          </cell>
          <cell r="CB216">
            <v>0</v>
          </cell>
          <cell r="CC216">
            <v>0</v>
          </cell>
          <cell r="CD216">
            <v>0</v>
          </cell>
          <cell r="CE216">
            <v>0</v>
          </cell>
          <cell r="CF216">
            <v>0</v>
          </cell>
          <cell r="CI216">
            <v>0</v>
          </cell>
          <cell r="CJ216">
            <v>0</v>
          </cell>
          <cell r="CK216">
            <v>0</v>
          </cell>
          <cell r="CV216">
            <v>1.1096453713236779E-4</v>
          </cell>
          <cell r="DG216">
            <v>4827335</v>
          </cell>
          <cell r="DR216">
            <v>1436669.5200000003</v>
          </cell>
          <cell r="EC216">
            <v>3.3600872941189697</v>
          </cell>
          <cell r="EN216">
            <v>2.4095909012463064E-2</v>
          </cell>
        </row>
        <row r="217">
          <cell r="B217">
            <v>36305</v>
          </cell>
          <cell r="C217" t="str">
            <v>Sandhills Community College</v>
          </cell>
          <cell r="D217">
            <v>8.7947635124209923E-4</v>
          </cell>
          <cell r="E217">
            <v>1521699.1542701744</v>
          </cell>
          <cell r="F217">
            <v>1186503.7282053495</v>
          </cell>
          <cell r="G217">
            <v>176391</v>
          </cell>
          <cell r="H217">
            <v>-424608.13503128773</v>
          </cell>
          <cell r="I217">
            <v>-17571.085777372828</v>
          </cell>
          <cell r="J217">
            <v>1284101.1984740745</v>
          </cell>
          <cell r="K217">
            <v>0</v>
          </cell>
          <cell r="L217">
            <v>-67468.808686888806</v>
          </cell>
          <cell r="M217">
            <v>12107.761183563449</v>
          </cell>
          <cell r="N217">
            <v>456.43063676762466</v>
          </cell>
          <cell r="O217">
            <v>-205.98215622441205</v>
          </cell>
          <cell r="P217">
            <v>0</v>
          </cell>
          <cell r="Q217">
            <v>0</v>
          </cell>
          <cell r="R217">
            <v>0</v>
          </cell>
          <cell r="S217">
            <v>3671405.2611181564</v>
          </cell>
          <cell r="T217">
            <v>881950.71000000008</v>
          </cell>
          <cell r="U217">
            <v>6420505.9923703726</v>
          </cell>
          <cell r="V217">
            <v>48431.044734253795</v>
          </cell>
          <cell r="W217">
            <v>0</v>
          </cell>
          <cell r="X217">
            <v>7350887.7471046261</v>
          </cell>
          <cell r="Y217">
            <v>0</v>
          </cell>
          <cell r="Z217">
            <v>0</v>
          </cell>
          <cell r="AA217">
            <v>0</v>
          </cell>
          <cell r="AB217">
            <v>87855.428886864131</v>
          </cell>
          <cell r="AC217">
            <v>87855.428886864131</v>
          </cell>
          <cell r="AD217" t="str">
            <v>N/A</v>
          </cell>
          <cell r="AE217">
            <v>1455028</v>
          </cell>
          <cell r="AF217">
            <v>1455029</v>
          </cell>
          <cell r="AG217">
            <v>1455029</v>
          </cell>
          <cell r="AH217">
            <v>1455029</v>
          </cell>
          <cell r="AI217">
            <v>1442921</v>
          </cell>
          <cell r="AJ217">
            <v>0</v>
          </cell>
          <cell r="AK217">
            <v>7263036</v>
          </cell>
          <cell r="AL217">
            <v>28178928</v>
          </cell>
          <cell r="AM217">
            <v>3671405.2611181564</v>
          </cell>
          <cell r="AN217">
            <v>-853154.71000000008</v>
          </cell>
          <cell r="AO217">
            <v>6381081.6082177628</v>
          </cell>
          <cell r="AP217">
            <v>0</v>
          </cell>
          <cell r="AQ217">
            <v>881950.71000000008</v>
          </cell>
          <cell r="AR217">
            <v>0</v>
          </cell>
          <cell r="AS217">
            <v>0</v>
          </cell>
          <cell r="AT217">
            <v>38260210.86933592</v>
          </cell>
          <cell r="AU217">
            <v>8.4992788967464417E-4</v>
          </cell>
          <cell r="AV217">
            <v>0</v>
          </cell>
          <cell r="AW217">
            <v>0</v>
          </cell>
          <cell r="AY217">
            <v>0</v>
          </cell>
          <cell r="AZ217">
            <v>0</v>
          </cell>
          <cell r="BA217">
            <v>0</v>
          </cell>
          <cell r="BB217">
            <v>0</v>
          </cell>
          <cell r="BC217">
            <v>0</v>
          </cell>
          <cell r="BD217">
            <v>0</v>
          </cell>
          <cell r="BE217">
            <v>0</v>
          </cell>
          <cell r="BF217">
            <v>0</v>
          </cell>
          <cell r="BG217">
            <v>0</v>
          </cell>
          <cell r="BH217">
            <v>0</v>
          </cell>
          <cell r="BJ217">
            <v>0</v>
          </cell>
          <cell r="BL217">
            <v>0</v>
          </cell>
          <cell r="BM217">
            <v>0</v>
          </cell>
          <cell r="BN217">
            <v>0</v>
          </cell>
          <cell r="BO217">
            <v>0</v>
          </cell>
          <cell r="BQ217">
            <v>0</v>
          </cell>
          <cell r="BR217">
            <v>0</v>
          </cell>
          <cell r="BS217">
            <v>0</v>
          </cell>
          <cell r="BT217">
            <v>0</v>
          </cell>
          <cell r="CB217">
            <v>0</v>
          </cell>
          <cell r="CC217">
            <v>0</v>
          </cell>
          <cell r="CD217">
            <v>0</v>
          </cell>
          <cell r="CE217">
            <v>0</v>
          </cell>
          <cell r="CF217">
            <v>0</v>
          </cell>
          <cell r="CI217">
            <v>0</v>
          </cell>
          <cell r="CJ217">
            <v>0</v>
          </cell>
          <cell r="CK217">
            <v>0</v>
          </cell>
          <cell r="CV217">
            <v>8.7947635124209923E-4</v>
          </cell>
          <cell r="DG217">
            <v>38260211</v>
          </cell>
          <cell r="DR217">
            <v>14893977.860000012</v>
          </cell>
          <cell r="EC217">
            <v>2.5688376442906815</v>
          </cell>
          <cell r="EN217">
            <v>2.4095909012463064E-2</v>
          </cell>
        </row>
        <row r="218">
          <cell r="B218">
            <v>36400</v>
          </cell>
          <cell r="C218" t="str">
            <v>Nash-Rocky Mount Schools</v>
          </cell>
          <cell r="D218">
            <v>4.6871375997386069E-3</v>
          </cell>
          <cell r="E218">
            <v>8109840.9427347835</v>
          </cell>
          <cell r="F218">
            <v>6323428.9686664166</v>
          </cell>
          <cell r="G218">
            <v>-150925</v>
          </cell>
          <cell r="H218">
            <v>-2262933.7924200553</v>
          </cell>
          <cell r="I218">
            <v>-93644.470029285862</v>
          </cell>
          <cell r="J218">
            <v>6843571.178163969</v>
          </cell>
          <cell r="K218">
            <v>0</v>
          </cell>
          <cell r="L218">
            <v>-359572.59062084206</v>
          </cell>
          <cell r="M218">
            <v>64527.877994656512</v>
          </cell>
          <cell r="N218">
            <v>2432.5306715123425</v>
          </cell>
          <cell r="O218">
            <v>-1097.7744972347791</v>
          </cell>
          <cell r="P218">
            <v>0</v>
          </cell>
          <cell r="Q218">
            <v>0</v>
          </cell>
          <cell r="R218">
            <v>0</v>
          </cell>
          <cell r="S218">
            <v>18475627.870663922</v>
          </cell>
          <cell r="T218">
            <v>163868.46999999881</v>
          </cell>
          <cell r="U218">
            <v>34217855.890819848</v>
          </cell>
          <cell r="V218">
            <v>258111.51197862605</v>
          </cell>
          <cell r="W218">
            <v>0</v>
          </cell>
          <cell r="X218">
            <v>34639835.872798473</v>
          </cell>
          <cell r="Y218">
            <v>918494</v>
          </cell>
          <cell r="Z218">
            <v>0</v>
          </cell>
          <cell r="AA218">
            <v>0</v>
          </cell>
          <cell r="AB218">
            <v>468222.35014642932</v>
          </cell>
          <cell r="AC218">
            <v>1386716.3501464294</v>
          </cell>
          <cell r="AD218" t="str">
            <v>N/A</v>
          </cell>
          <cell r="AE218">
            <v>6663530</v>
          </cell>
          <cell r="AF218">
            <v>6663530</v>
          </cell>
          <cell r="AG218">
            <v>6663530</v>
          </cell>
          <cell r="AH218">
            <v>6663530</v>
          </cell>
          <cell r="AI218">
            <v>6599002</v>
          </cell>
          <cell r="AJ218">
            <v>0</v>
          </cell>
          <cell r="AK218">
            <v>33253122</v>
          </cell>
          <cell r="AL218">
            <v>156501864</v>
          </cell>
          <cell r="AM218">
            <v>18475627.870663922</v>
          </cell>
          <cell r="AN218">
            <v>-4324194.4699999988</v>
          </cell>
          <cell r="AO218">
            <v>34007745.052652046</v>
          </cell>
          <cell r="AP218">
            <v>0</v>
          </cell>
          <cell r="AQ218">
            <v>-754625.53000000119</v>
          </cell>
          <cell r="AR218">
            <v>0</v>
          </cell>
          <cell r="AS218">
            <v>0</v>
          </cell>
          <cell r="AT218">
            <v>203906416.92331597</v>
          </cell>
          <cell r="AU218">
            <v>4.7203817312791458E-3</v>
          </cell>
          <cell r="AV218">
            <v>0</v>
          </cell>
          <cell r="AW218">
            <v>0</v>
          </cell>
          <cell r="AY218">
            <v>0</v>
          </cell>
          <cell r="AZ218">
            <v>0</v>
          </cell>
          <cell r="BA218">
            <v>0</v>
          </cell>
          <cell r="BB218">
            <v>0</v>
          </cell>
          <cell r="BC218">
            <v>0</v>
          </cell>
          <cell r="BD218">
            <v>0</v>
          </cell>
          <cell r="BE218">
            <v>0</v>
          </cell>
          <cell r="BF218">
            <v>0</v>
          </cell>
          <cell r="BG218">
            <v>0</v>
          </cell>
          <cell r="BH218">
            <v>0</v>
          </cell>
          <cell r="BJ218">
            <v>0</v>
          </cell>
          <cell r="BL218">
            <v>0</v>
          </cell>
          <cell r="BM218">
            <v>0</v>
          </cell>
          <cell r="BN218">
            <v>0</v>
          </cell>
          <cell r="BO218">
            <v>0</v>
          </cell>
          <cell r="BQ218">
            <v>0</v>
          </cell>
          <cell r="BR218">
            <v>0</v>
          </cell>
          <cell r="BS218">
            <v>0</v>
          </cell>
          <cell r="BT218">
            <v>0</v>
          </cell>
          <cell r="CB218">
            <v>0</v>
          </cell>
          <cell r="CC218">
            <v>0</v>
          </cell>
          <cell r="CD218">
            <v>0</v>
          </cell>
          <cell r="CE218">
            <v>0</v>
          </cell>
          <cell r="CF218">
            <v>0</v>
          </cell>
          <cell r="CI218">
            <v>0</v>
          </cell>
          <cell r="CJ218">
            <v>0</v>
          </cell>
          <cell r="CK218">
            <v>0</v>
          </cell>
          <cell r="CV218">
            <v>4.6871375997386069E-3</v>
          </cell>
          <cell r="DG218">
            <v>203906417</v>
          </cell>
          <cell r="DR218">
            <v>73556121.539999887</v>
          </cell>
          <cell r="EC218">
            <v>2.7721202903434148</v>
          </cell>
          <cell r="EN218">
            <v>2.4095909012463064E-2</v>
          </cell>
        </row>
        <row r="219">
          <cell r="B219">
            <v>36405</v>
          </cell>
          <cell r="C219" t="str">
            <v>Nash Technical College</v>
          </cell>
          <cell r="D219">
            <v>7.9709936527595955E-4</v>
          </cell>
          <cell r="E219">
            <v>1379167.760789312</v>
          </cell>
          <cell r="F219">
            <v>1075368.7319895858</v>
          </cell>
          <cell r="G219">
            <v>260459</v>
          </cell>
          <cell r="H219">
            <v>-384836.81163961132</v>
          </cell>
          <cell r="I219">
            <v>-15925.273374971996</v>
          </cell>
          <cell r="J219">
            <v>1163824.6427072177</v>
          </cell>
          <cell r="K219">
            <v>0</v>
          </cell>
          <cell r="L219">
            <v>-61149.278777411964</v>
          </cell>
          <cell r="M219">
            <v>10973.676257128382</v>
          </cell>
          <cell r="N219">
            <v>413.67862859091747</v>
          </cell>
          <cell r="O219">
            <v>-186.68864234128247</v>
          </cell>
          <cell r="P219">
            <v>0</v>
          </cell>
          <cell r="Q219">
            <v>0</v>
          </cell>
          <cell r="R219">
            <v>0</v>
          </cell>
          <cell r="S219">
            <v>3428109.4379374981</v>
          </cell>
          <cell r="T219">
            <v>1302291.57</v>
          </cell>
          <cell r="U219">
            <v>5819123.2135360893</v>
          </cell>
          <cell r="V219">
            <v>43894.705028513526</v>
          </cell>
          <cell r="W219">
            <v>0</v>
          </cell>
          <cell r="X219">
            <v>7165309.488564603</v>
          </cell>
          <cell r="Y219">
            <v>0</v>
          </cell>
          <cell r="Z219">
            <v>0</v>
          </cell>
          <cell r="AA219">
            <v>0</v>
          </cell>
          <cell r="AB219">
            <v>79626.366874859974</v>
          </cell>
          <cell r="AC219">
            <v>79626.366874859974</v>
          </cell>
          <cell r="AD219" t="str">
            <v>N/A</v>
          </cell>
          <cell r="AE219">
            <v>1419331</v>
          </cell>
          <cell r="AF219">
            <v>1419332</v>
          </cell>
          <cell r="AG219">
            <v>1419332</v>
          </cell>
          <cell r="AH219">
            <v>1419332</v>
          </cell>
          <cell r="AI219">
            <v>1408358</v>
          </cell>
          <cell r="AJ219">
            <v>0</v>
          </cell>
          <cell r="AK219">
            <v>7085685</v>
          </cell>
          <cell r="AL219">
            <v>24893168</v>
          </cell>
          <cell r="AM219">
            <v>3428109.4379374981</v>
          </cell>
          <cell r="AN219">
            <v>-730429.57000000007</v>
          </cell>
          <cell r="AO219">
            <v>5783391.5516897431</v>
          </cell>
          <cell r="AP219">
            <v>0</v>
          </cell>
          <cell r="AQ219">
            <v>1302291.57</v>
          </cell>
          <cell r="AR219">
            <v>0</v>
          </cell>
          <cell r="AS219">
            <v>0</v>
          </cell>
          <cell r="AT219">
            <v>34676530.989627242</v>
          </cell>
          <cell r="AU219">
            <v>7.5082335496289888E-4</v>
          </cell>
          <cell r="AV219">
            <v>0</v>
          </cell>
          <cell r="AW219">
            <v>0</v>
          </cell>
          <cell r="AY219">
            <v>0</v>
          </cell>
          <cell r="AZ219">
            <v>0</v>
          </cell>
          <cell r="BA219">
            <v>0</v>
          </cell>
          <cell r="BB219">
            <v>0</v>
          </cell>
          <cell r="BC219">
            <v>0</v>
          </cell>
          <cell r="BD219">
            <v>0</v>
          </cell>
          <cell r="BE219">
            <v>0</v>
          </cell>
          <cell r="BF219">
            <v>0</v>
          </cell>
          <cell r="BG219">
            <v>0</v>
          </cell>
          <cell r="BH219">
            <v>0</v>
          </cell>
          <cell r="BJ219">
            <v>0</v>
          </cell>
          <cell r="BL219">
            <v>0</v>
          </cell>
          <cell r="BM219">
            <v>0</v>
          </cell>
          <cell r="BN219">
            <v>0</v>
          </cell>
          <cell r="BO219">
            <v>0</v>
          </cell>
          <cell r="BQ219">
            <v>0</v>
          </cell>
          <cell r="BR219">
            <v>0</v>
          </cell>
          <cell r="BS219">
            <v>0</v>
          </cell>
          <cell r="BT219">
            <v>0</v>
          </cell>
          <cell r="CB219">
            <v>0</v>
          </cell>
          <cell r="CC219">
            <v>0</v>
          </cell>
          <cell r="CD219">
            <v>0</v>
          </cell>
          <cell r="CE219">
            <v>0</v>
          </cell>
          <cell r="CF219">
            <v>0</v>
          </cell>
          <cell r="CI219">
            <v>0</v>
          </cell>
          <cell r="CJ219">
            <v>0</v>
          </cell>
          <cell r="CK219">
            <v>0</v>
          </cell>
          <cell r="CV219">
            <v>7.9709936527595955E-4</v>
          </cell>
          <cell r="DG219">
            <v>34676532</v>
          </cell>
          <cell r="DR219">
            <v>12522920.060000004</v>
          </cell>
          <cell r="EC219">
            <v>2.7690452253833193</v>
          </cell>
          <cell r="EN219">
            <v>2.4095909012463064E-2</v>
          </cell>
        </row>
        <row r="220">
          <cell r="B220">
            <v>36500</v>
          </cell>
          <cell r="C220" t="str">
            <v>New Hanover County Schools</v>
          </cell>
          <cell r="D220">
            <v>9.2600936236601917E-3</v>
          </cell>
          <cell r="E220">
            <v>16022121.135702267</v>
          </cell>
          <cell r="F220">
            <v>12492815.290014435</v>
          </cell>
          <cell r="G220">
            <v>792952</v>
          </cell>
          <cell r="H220">
            <v>-4470741.1156699881</v>
          </cell>
          <cell r="I220">
            <v>-185007.70275180053</v>
          </cell>
          <cell r="J220">
            <v>13520428.72253526</v>
          </cell>
          <cell r="K220">
            <v>0</v>
          </cell>
          <cell r="L220">
            <v>-710385.77016316436</v>
          </cell>
          <cell r="M220">
            <v>127483.81690351163</v>
          </cell>
          <cell r="N220">
            <v>4805.8033888071659</v>
          </cell>
          <cell r="O220">
            <v>-2168.8065275974536</v>
          </cell>
          <cell r="P220">
            <v>0</v>
          </cell>
          <cell r="Q220">
            <v>0</v>
          </cell>
          <cell r="R220">
            <v>0</v>
          </cell>
          <cell r="S220">
            <v>37592303.37343172</v>
          </cell>
          <cell r="T220">
            <v>4166781</v>
          </cell>
          <cell r="U220">
            <v>67602143.612676308</v>
          </cell>
          <cell r="V220">
            <v>509935.26761404652</v>
          </cell>
          <cell r="W220">
            <v>0</v>
          </cell>
          <cell r="X220">
            <v>72278859.880290359</v>
          </cell>
          <cell r="Y220">
            <v>202021.27000000048</v>
          </cell>
          <cell r="Z220">
            <v>0</v>
          </cell>
          <cell r="AA220">
            <v>0</v>
          </cell>
          <cell r="AB220">
            <v>925038.51375900256</v>
          </cell>
          <cell r="AC220">
            <v>1127059.783759003</v>
          </cell>
          <cell r="AD220" t="str">
            <v>N/A</v>
          </cell>
          <cell r="AE220">
            <v>14255857</v>
          </cell>
          <cell r="AF220">
            <v>14255857</v>
          </cell>
          <cell r="AG220">
            <v>14255857</v>
          </cell>
          <cell r="AH220">
            <v>14255857</v>
          </cell>
          <cell r="AI220">
            <v>14128373</v>
          </cell>
          <cell r="AJ220">
            <v>0</v>
          </cell>
          <cell r="AK220">
            <v>71151801</v>
          </cell>
          <cell r="AL220">
            <v>302013573</v>
          </cell>
          <cell r="AM220">
            <v>37592303.37343172</v>
          </cell>
          <cell r="AN220">
            <v>-7912128.7299999995</v>
          </cell>
          <cell r="AO220">
            <v>67187040.366531342</v>
          </cell>
          <cell r="AP220">
            <v>0</v>
          </cell>
          <cell r="AQ220">
            <v>3964759.7299999995</v>
          </cell>
          <cell r="AR220">
            <v>0</v>
          </cell>
          <cell r="AS220">
            <v>0</v>
          </cell>
          <cell r="AT220">
            <v>402845547.73996305</v>
          </cell>
          <cell r="AU220">
            <v>9.1092803688785605E-3</v>
          </cell>
          <cell r="AV220">
            <v>0</v>
          </cell>
          <cell r="AW220">
            <v>0</v>
          </cell>
          <cell r="AY220">
            <v>0</v>
          </cell>
          <cell r="AZ220">
            <v>0</v>
          </cell>
          <cell r="BA220">
            <v>0</v>
          </cell>
          <cell r="BB220">
            <v>0</v>
          </cell>
          <cell r="BC220">
            <v>0</v>
          </cell>
          <cell r="BD220">
            <v>0</v>
          </cell>
          <cell r="BE220">
            <v>0</v>
          </cell>
          <cell r="BF220">
            <v>0</v>
          </cell>
          <cell r="BG220">
            <v>0</v>
          </cell>
          <cell r="BH220">
            <v>0</v>
          </cell>
          <cell r="BJ220">
            <v>0</v>
          </cell>
          <cell r="BL220">
            <v>0</v>
          </cell>
          <cell r="BM220">
            <v>0</v>
          </cell>
          <cell r="BN220">
            <v>0</v>
          </cell>
          <cell r="BO220">
            <v>0</v>
          </cell>
          <cell r="BQ220">
            <v>0</v>
          </cell>
          <cell r="BR220">
            <v>0</v>
          </cell>
          <cell r="BS220">
            <v>0</v>
          </cell>
          <cell r="BT220">
            <v>0</v>
          </cell>
          <cell r="CB220">
            <v>0</v>
          </cell>
          <cell r="CC220">
            <v>0</v>
          </cell>
          <cell r="CD220">
            <v>0</v>
          </cell>
          <cell r="CE220">
            <v>0</v>
          </cell>
          <cell r="CF220">
            <v>0</v>
          </cell>
          <cell r="CI220">
            <v>0</v>
          </cell>
          <cell r="CJ220">
            <v>0</v>
          </cell>
          <cell r="CK220">
            <v>0</v>
          </cell>
          <cell r="CV220">
            <v>9.2600936236601917E-3</v>
          </cell>
          <cell r="DG220">
            <v>402845548</v>
          </cell>
          <cell r="DR220">
            <v>137779977.63999993</v>
          </cell>
          <cell r="EC220">
            <v>2.9238322933436658</v>
          </cell>
          <cell r="EN220">
            <v>2.4095909012463064E-2</v>
          </cell>
        </row>
        <row r="221">
          <cell r="B221">
            <v>36501</v>
          </cell>
          <cell r="C221" t="str">
            <v>Cape Fear Center For Inquiry</v>
          </cell>
          <cell r="D221">
            <v>1.1067121475554864E-4</v>
          </cell>
          <cell r="E221">
            <v>191487.0066235725</v>
          </cell>
          <cell r="F221">
            <v>149306.81049811002</v>
          </cell>
          <cell r="G221">
            <v>-6393</v>
          </cell>
          <cell r="H221">
            <v>-53431.679012895795</v>
          </cell>
          <cell r="I221">
            <v>-2211.1036923384972</v>
          </cell>
          <cell r="J221">
            <v>161588.2443040942</v>
          </cell>
          <cell r="K221">
            <v>0</v>
          </cell>
          <cell r="L221">
            <v>-8490.1146061996224</v>
          </cell>
          <cell r="M221">
            <v>1523.6119041320087</v>
          </cell>
          <cell r="N221">
            <v>57.436147033834636</v>
          </cell>
          <cell r="O221">
            <v>-25.920305207897048</v>
          </cell>
          <cell r="P221">
            <v>0</v>
          </cell>
          <cell r="Q221">
            <v>0</v>
          </cell>
          <cell r="R221">
            <v>0</v>
          </cell>
          <cell r="S221">
            <v>433411.29186030076</v>
          </cell>
          <cell r="T221">
            <v>0</v>
          </cell>
          <cell r="U221">
            <v>807941.22152047104</v>
          </cell>
          <cell r="V221">
            <v>6094.4476165280348</v>
          </cell>
          <cell r="W221">
            <v>0</v>
          </cell>
          <cell r="X221">
            <v>814035.66913699906</v>
          </cell>
          <cell r="Y221">
            <v>31959.699999999997</v>
          </cell>
          <cell r="Z221">
            <v>0</v>
          </cell>
          <cell r="AA221">
            <v>0</v>
          </cell>
          <cell r="AB221">
            <v>11055.518461692485</v>
          </cell>
          <cell r="AC221">
            <v>43015.218461692479</v>
          </cell>
          <cell r="AD221" t="str">
            <v>N/A</v>
          </cell>
          <cell r="AE221">
            <v>154509</v>
          </cell>
          <cell r="AF221">
            <v>154509</v>
          </cell>
          <cell r="AG221">
            <v>154509</v>
          </cell>
          <cell r="AH221">
            <v>154509</v>
          </cell>
          <cell r="AI221">
            <v>152985</v>
          </cell>
          <cell r="AJ221">
            <v>0</v>
          </cell>
          <cell r="AK221">
            <v>771021</v>
          </cell>
          <cell r="AL221">
            <v>3695273</v>
          </cell>
          <cell r="AM221">
            <v>433411.29186030076</v>
          </cell>
          <cell r="AN221">
            <v>-85130.3</v>
          </cell>
          <cell r="AO221">
            <v>802980.15067530656</v>
          </cell>
          <cell r="AP221">
            <v>0</v>
          </cell>
          <cell r="AQ221">
            <v>-31959.699999999997</v>
          </cell>
          <cell r="AR221">
            <v>0</v>
          </cell>
          <cell r="AS221">
            <v>0</v>
          </cell>
          <cell r="AT221">
            <v>4814574.4425356071</v>
          </cell>
          <cell r="AU221">
            <v>1.1145617199183244E-4</v>
          </cell>
          <cell r="AV221">
            <v>0</v>
          </cell>
          <cell r="AW221">
            <v>0</v>
          </cell>
          <cell r="AY221">
            <v>0</v>
          </cell>
          <cell r="AZ221">
            <v>0</v>
          </cell>
          <cell r="BA221">
            <v>0</v>
          </cell>
          <cell r="BB221">
            <v>0</v>
          </cell>
          <cell r="BC221">
            <v>0</v>
          </cell>
          <cell r="BD221">
            <v>0</v>
          </cell>
          <cell r="BE221">
            <v>0</v>
          </cell>
          <cell r="BF221">
            <v>0</v>
          </cell>
          <cell r="BG221">
            <v>0</v>
          </cell>
          <cell r="BH221">
            <v>0</v>
          </cell>
          <cell r="BJ221">
            <v>0</v>
          </cell>
          <cell r="BL221">
            <v>0</v>
          </cell>
          <cell r="BM221">
            <v>0</v>
          </cell>
          <cell r="BN221">
            <v>0</v>
          </cell>
          <cell r="BO221">
            <v>0</v>
          </cell>
          <cell r="BQ221">
            <v>0</v>
          </cell>
          <cell r="BR221">
            <v>0</v>
          </cell>
          <cell r="BS221">
            <v>0</v>
          </cell>
          <cell r="BT221">
            <v>0</v>
          </cell>
          <cell r="CB221">
            <v>0</v>
          </cell>
          <cell r="CC221">
            <v>0</v>
          </cell>
          <cell r="CD221">
            <v>0</v>
          </cell>
          <cell r="CE221">
            <v>0</v>
          </cell>
          <cell r="CF221">
            <v>0</v>
          </cell>
          <cell r="CI221">
            <v>0</v>
          </cell>
          <cell r="CJ221">
            <v>0</v>
          </cell>
          <cell r="CK221">
            <v>0</v>
          </cell>
          <cell r="CV221">
            <v>1.1067121475554864E-4</v>
          </cell>
          <cell r="DG221">
            <v>4814574</v>
          </cell>
          <cell r="DR221">
            <v>1499516.45</v>
          </cell>
          <cell r="EC221">
            <v>3.2107510391099745</v>
          </cell>
          <cell r="EN221">
            <v>2.4095909012463064E-2</v>
          </cell>
        </row>
        <row r="222">
          <cell r="B222">
            <v>36502</v>
          </cell>
          <cell r="C222" t="str">
            <v>Wilmington Preparatory Academy</v>
          </cell>
          <cell r="D222">
            <v>4.5678848884780135E-5</v>
          </cell>
          <cell r="E222">
            <v>79035.059462185251</v>
          </cell>
          <cell r="F222">
            <v>61625.448399352055</v>
          </cell>
          <cell r="G222">
            <v>-5546</v>
          </cell>
          <cell r="H222">
            <v>-22053.589966290467</v>
          </cell>
          <cell r="I222">
            <v>-912.61916347444628</v>
          </cell>
          <cell r="J222">
            <v>66694.533076439271</v>
          </cell>
          <cell r="K222">
            <v>0</v>
          </cell>
          <cell r="L222">
            <v>-3504.2414865299324</v>
          </cell>
          <cell r="M222">
            <v>628.86124528066432</v>
          </cell>
          <cell r="N222">
            <v>23.706408994223196</v>
          </cell>
          <cell r="O222">
            <v>-10.698443197304355</v>
          </cell>
          <cell r="P222">
            <v>0</v>
          </cell>
          <cell r="Q222">
            <v>0</v>
          </cell>
          <cell r="R222">
            <v>0</v>
          </cell>
          <cell r="S222">
            <v>175980.4595327593</v>
          </cell>
          <cell r="T222">
            <v>0</v>
          </cell>
          <cell r="U222">
            <v>333472.66538219637</v>
          </cell>
          <cell r="V222">
            <v>2515.4449811226573</v>
          </cell>
          <cell r="W222">
            <v>0</v>
          </cell>
          <cell r="X222">
            <v>335988.11036331905</v>
          </cell>
          <cell r="Y222">
            <v>27727.260000000006</v>
          </cell>
          <cell r="Z222">
            <v>0</v>
          </cell>
          <cell r="AA222">
            <v>0</v>
          </cell>
          <cell r="AB222">
            <v>4563.0958173722311</v>
          </cell>
          <cell r="AC222">
            <v>32290.355817372238</v>
          </cell>
          <cell r="AD222" t="str">
            <v>N/A</v>
          </cell>
          <cell r="AE222">
            <v>60866</v>
          </cell>
          <cell r="AF222">
            <v>60865</v>
          </cell>
          <cell r="AG222">
            <v>60865</v>
          </cell>
          <cell r="AH222">
            <v>60865</v>
          </cell>
          <cell r="AI222">
            <v>60236</v>
          </cell>
          <cell r="AJ222">
            <v>0</v>
          </cell>
          <cell r="AK222">
            <v>303697</v>
          </cell>
          <cell r="AL222">
            <v>1539314</v>
          </cell>
          <cell r="AM222">
            <v>175980.4595327593</v>
          </cell>
          <cell r="AN222">
            <v>-31806.739999999994</v>
          </cell>
          <cell r="AO222">
            <v>331425.01454594685</v>
          </cell>
          <cell r="AP222">
            <v>0</v>
          </cell>
          <cell r="AQ222">
            <v>-27727.260000000006</v>
          </cell>
          <cell r="AR222">
            <v>0</v>
          </cell>
          <cell r="AS222">
            <v>0</v>
          </cell>
          <cell r="AT222">
            <v>1987185.4740787062</v>
          </cell>
          <cell r="AU222">
            <v>4.6428511604156449E-5</v>
          </cell>
          <cell r="AV222">
            <v>0</v>
          </cell>
          <cell r="AW222">
            <v>0</v>
          </cell>
          <cell r="AY222">
            <v>0</v>
          </cell>
          <cell r="AZ222">
            <v>0</v>
          </cell>
          <cell r="BA222">
            <v>0</v>
          </cell>
          <cell r="BB222">
            <v>0</v>
          </cell>
          <cell r="BC222">
            <v>0</v>
          </cell>
          <cell r="BD222">
            <v>0</v>
          </cell>
          <cell r="BE222">
            <v>0</v>
          </cell>
          <cell r="BF222">
            <v>0</v>
          </cell>
          <cell r="BG222">
            <v>0</v>
          </cell>
          <cell r="BH222">
            <v>0</v>
          </cell>
          <cell r="BJ222">
            <v>0</v>
          </cell>
          <cell r="BL222">
            <v>0</v>
          </cell>
          <cell r="BM222">
            <v>0</v>
          </cell>
          <cell r="BN222">
            <v>0</v>
          </cell>
          <cell r="BO222">
            <v>0</v>
          </cell>
          <cell r="BQ222">
            <v>0</v>
          </cell>
          <cell r="BR222">
            <v>0</v>
          </cell>
          <cell r="BS222">
            <v>0</v>
          </cell>
          <cell r="BT222">
            <v>0</v>
          </cell>
          <cell r="CB222">
            <v>0</v>
          </cell>
          <cell r="CC222">
            <v>0</v>
          </cell>
          <cell r="CD222">
            <v>0</v>
          </cell>
          <cell r="CE222">
            <v>0</v>
          </cell>
          <cell r="CF222">
            <v>0</v>
          </cell>
          <cell r="CI222">
            <v>0</v>
          </cell>
          <cell r="CJ222">
            <v>0</v>
          </cell>
          <cell r="CK222">
            <v>0</v>
          </cell>
          <cell r="CV222">
            <v>4.5678848884780135E-5</v>
          </cell>
          <cell r="DG222">
            <v>1987185</v>
          </cell>
          <cell r="DR222">
            <v>539505.5</v>
          </cell>
          <cell r="EC222">
            <v>3.6833452114946001</v>
          </cell>
          <cell r="EN222">
            <v>2.4095909012463064E-2</v>
          </cell>
        </row>
        <row r="223">
          <cell r="B223">
            <v>36505</v>
          </cell>
          <cell r="C223" t="str">
            <v>Cape Fear Community College</v>
          </cell>
          <cell r="D223">
            <v>1.8479689584723819E-3</v>
          </cell>
          <cell r="E223">
            <v>3197417.187231299</v>
          </cell>
          <cell r="F223">
            <v>2493099.5082909972</v>
          </cell>
          <cell r="G223">
            <v>-104580</v>
          </cell>
          <cell r="H223">
            <v>-892193.01001610456</v>
          </cell>
          <cell r="I223">
            <v>-36920.630142449496</v>
          </cell>
          <cell r="J223">
            <v>2698172.7831179025</v>
          </cell>
          <cell r="K223">
            <v>0</v>
          </cell>
          <cell r="L223">
            <v>-141766.4772252196</v>
          </cell>
          <cell r="M223">
            <v>25441.010201379286</v>
          </cell>
          <cell r="N223">
            <v>959.05893006799681</v>
          </cell>
          <cell r="O223">
            <v>-432.81280976381657</v>
          </cell>
          <cell r="P223">
            <v>0</v>
          </cell>
          <cell r="Q223">
            <v>0</v>
          </cell>
          <cell r="R223">
            <v>0</v>
          </cell>
          <cell r="S223">
            <v>7239196.6175781097</v>
          </cell>
          <cell r="T223">
            <v>93130.929999999935</v>
          </cell>
          <cell r="U223">
            <v>13490863.915589513</v>
          </cell>
          <cell r="V223">
            <v>101764.04080551714</v>
          </cell>
          <cell r="W223">
            <v>0</v>
          </cell>
          <cell r="X223">
            <v>13685758.88639503</v>
          </cell>
          <cell r="Y223">
            <v>616031</v>
          </cell>
          <cell r="Z223">
            <v>0</v>
          </cell>
          <cell r="AA223">
            <v>0</v>
          </cell>
          <cell r="AB223">
            <v>184603.15071224747</v>
          </cell>
          <cell r="AC223">
            <v>800634.15071224747</v>
          </cell>
          <cell r="AD223" t="str">
            <v>N/A</v>
          </cell>
          <cell r="AE223">
            <v>2582113</v>
          </cell>
          <cell r="AF223">
            <v>2582113</v>
          </cell>
          <cell r="AG223">
            <v>2582113</v>
          </cell>
          <cell r="AH223">
            <v>2582113</v>
          </cell>
          <cell r="AI223">
            <v>2556672</v>
          </cell>
          <cell r="AJ223">
            <v>0</v>
          </cell>
          <cell r="AK223">
            <v>12885124</v>
          </cell>
          <cell r="AL223">
            <v>62007711</v>
          </cell>
          <cell r="AM223">
            <v>7239196.6175781097</v>
          </cell>
          <cell r="AN223">
            <v>-1739101.93</v>
          </cell>
          <cell r="AO223">
            <v>13408024.805682784</v>
          </cell>
          <cell r="AP223">
            <v>0</v>
          </cell>
          <cell r="AQ223">
            <v>-522900.07000000007</v>
          </cell>
          <cell r="AR223">
            <v>0</v>
          </cell>
          <cell r="AS223">
            <v>0</v>
          </cell>
          <cell r="AT223">
            <v>80392930.423260882</v>
          </cell>
          <cell r="AU223">
            <v>1.8702656823009782E-3</v>
          </cell>
          <cell r="AV223">
            <v>0</v>
          </cell>
          <cell r="AW223">
            <v>0</v>
          </cell>
          <cell r="AY223">
            <v>0</v>
          </cell>
          <cell r="AZ223">
            <v>0</v>
          </cell>
          <cell r="BA223">
            <v>0</v>
          </cell>
          <cell r="BB223">
            <v>0</v>
          </cell>
          <cell r="BC223">
            <v>0</v>
          </cell>
          <cell r="BD223">
            <v>0</v>
          </cell>
          <cell r="BE223">
            <v>0</v>
          </cell>
          <cell r="BF223">
            <v>0</v>
          </cell>
          <cell r="BG223">
            <v>0</v>
          </cell>
          <cell r="BH223">
            <v>0</v>
          </cell>
          <cell r="BJ223">
            <v>0</v>
          </cell>
          <cell r="BL223">
            <v>0</v>
          </cell>
          <cell r="BM223">
            <v>0</v>
          </cell>
          <cell r="BN223">
            <v>0</v>
          </cell>
          <cell r="BO223">
            <v>0</v>
          </cell>
          <cell r="BQ223">
            <v>0</v>
          </cell>
          <cell r="BR223">
            <v>0</v>
          </cell>
          <cell r="BS223">
            <v>0</v>
          </cell>
          <cell r="BT223">
            <v>0</v>
          </cell>
          <cell r="CB223">
            <v>0</v>
          </cell>
          <cell r="CC223">
            <v>0</v>
          </cell>
          <cell r="CD223">
            <v>0</v>
          </cell>
          <cell r="CE223">
            <v>0</v>
          </cell>
          <cell r="CF223">
            <v>0</v>
          </cell>
          <cell r="CI223">
            <v>0</v>
          </cell>
          <cell r="CJ223">
            <v>0</v>
          </cell>
          <cell r="CK223">
            <v>0</v>
          </cell>
          <cell r="CV223">
            <v>1.8479689584723819E-3</v>
          </cell>
          <cell r="DG223">
            <v>80392931</v>
          </cell>
          <cell r="DR223">
            <v>29087117.839999989</v>
          </cell>
          <cell r="EC223">
            <v>2.7638672020452071</v>
          </cell>
          <cell r="EN223">
            <v>2.4095909012463064E-2</v>
          </cell>
        </row>
        <row r="224">
          <cell r="B224">
            <v>36600</v>
          </cell>
          <cell r="C224" t="str">
            <v>Northampton County Schools</v>
          </cell>
          <cell r="D224">
            <v>6.8401931828023085E-4</v>
          </cell>
          <cell r="E224">
            <v>1183512.9127252235</v>
          </cell>
          <cell r="F224">
            <v>922812.15993784403</v>
          </cell>
          <cell r="G224">
            <v>-294057</v>
          </cell>
          <cell r="H224">
            <v>-330242.15676765854</v>
          </cell>
          <cell r="I224">
            <v>-13666.043547285199</v>
          </cell>
          <cell r="J224">
            <v>998719.32331387349</v>
          </cell>
          <cell r="K224">
            <v>0</v>
          </cell>
          <cell r="L224">
            <v>-52474.371207374272</v>
          </cell>
          <cell r="M224">
            <v>9416.901931455217</v>
          </cell>
          <cell r="N224">
            <v>354.99234580107418</v>
          </cell>
          <cell r="O224">
            <v>-160.20416453441285</v>
          </cell>
          <cell r="P224">
            <v>0</v>
          </cell>
          <cell r="Q224">
            <v>0</v>
          </cell>
          <cell r="R224">
            <v>0</v>
          </cell>
          <cell r="S224">
            <v>2424216.5145673454</v>
          </cell>
          <cell r="T224">
            <v>57133.199999999953</v>
          </cell>
          <cell r="U224">
            <v>4993596.6165693672</v>
          </cell>
          <cell r="V224">
            <v>37667.607725820868</v>
          </cell>
          <cell r="W224">
            <v>0</v>
          </cell>
          <cell r="X224">
            <v>5088397.4242951879</v>
          </cell>
          <cell r="Y224">
            <v>1527418</v>
          </cell>
          <cell r="Z224">
            <v>0</v>
          </cell>
          <cell r="AA224">
            <v>0</v>
          </cell>
          <cell r="AB224">
            <v>68330.217736425999</v>
          </cell>
          <cell r="AC224">
            <v>1595748.217736426</v>
          </cell>
          <cell r="AD224" t="str">
            <v>N/A</v>
          </cell>
          <cell r="AE224">
            <v>700413</v>
          </cell>
          <cell r="AF224">
            <v>700413</v>
          </cell>
          <cell r="AG224">
            <v>700413</v>
          </cell>
          <cell r="AH224">
            <v>700413</v>
          </cell>
          <cell r="AI224">
            <v>690996</v>
          </cell>
          <cell r="AJ224">
            <v>0</v>
          </cell>
          <cell r="AK224">
            <v>3492648</v>
          </cell>
          <cell r="AL224">
            <v>24511216</v>
          </cell>
          <cell r="AM224">
            <v>2424216.5145673454</v>
          </cell>
          <cell r="AN224">
            <v>-670916.19999999995</v>
          </cell>
          <cell r="AO224">
            <v>4962934.0065587629</v>
          </cell>
          <cell r="AP224">
            <v>0</v>
          </cell>
          <cell r="AQ224">
            <v>-1470284.8</v>
          </cell>
          <cell r="AR224">
            <v>0</v>
          </cell>
          <cell r="AS224">
            <v>0</v>
          </cell>
          <cell r="AT224">
            <v>29757165.52112611</v>
          </cell>
          <cell r="AU224">
            <v>7.393029996716463E-4</v>
          </cell>
          <cell r="AV224">
            <v>0</v>
          </cell>
          <cell r="AW224">
            <v>0</v>
          </cell>
          <cell r="AY224">
            <v>0</v>
          </cell>
          <cell r="AZ224">
            <v>0</v>
          </cell>
          <cell r="BA224">
            <v>0</v>
          </cell>
          <cell r="BB224">
            <v>0</v>
          </cell>
          <cell r="BC224">
            <v>0</v>
          </cell>
          <cell r="BD224">
            <v>0</v>
          </cell>
          <cell r="BE224">
            <v>0</v>
          </cell>
          <cell r="BF224">
            <v>0</v>
          </cell>
          <cell r="BG224">
            <v>0</v>
          </cell>
          <cell r="BH224">
            <v>0</v>
          </cell>
          <cell r="BJ224">
            <v>0</v>
          </cell>
          <cell r="BL224">
            <v>0</v>
          </cell>
          <cell r="BM224">
            <v>0</v>
          </cell>
          <cell r="BN224">
            <v>0</v>
          </cell>
          <cell r="BO224">
            <v>0</v>
          </cell>
          <cell r="BQ224">
            <v>0</v>
          </cell>
          <cell r="BR224">
            <v>0</v>
          </cell>
          <cell r="BS224">
            <v>0</v>
          </cell>
          <cell r="BT224">
            <v>0</v>
          </cell>
          <cell r="CB224">
            <v>0</v>
          </cell>
          <cell r="CC224">
            <v>0</v>
          </cell>
          <cell r="CD224">
            <v>0</v>
          </cell>
          <cell r="CE224">
            <v>0</v>
          </cell>
          <cell r="CF224">
            <v>0</v>
          </cell>
          <cell r="CI224">
            <v>0</v>
          </cell>
          <cell r="CJ224">
            <v>0</v>
          </cell>
          <cell r="CK224">
            <v>0</v>
          </cell>
          <cell r="CV224">
            <v>6.8401931828023085E-4</v>
          </cell>
          <cell r="DG224">
            <v>29757165</v>
          </cell>
          <cell r="DR224">
            <v>11393591.629999992</v>
          </cell>
          <cell r="EC224">
            <v>2.6117457924020768</v>
          </cell>
          <cell r="EN224">
            <v>2.4095909012463064E-2</v>
          </cell>
        </row>
        <row r="225">
          <cell r="B225">
            <v>36601</v>
          </cell>
          <cell r="C225" t="str">
            <v>Gaston College Preparatory Charter</v>
          </cell>
          <cell r="D225">
            <v>3.6765854569084986E-4</v>
          </cell>
          <cell r="E225">
            <v>636135.01062061044</v>
          </cell>
          <cell r="F225">
            <v>496009.05647168087</v>
          </cell>
          <cell r="G225">
            <v>305635</v>
          </cell>
          <cell r="H225">
            <v>-177504.27193821565</v>
          </cell>
          <cell r="I225">
            <v>-7345.4616875078873</v>
          </cell>
          <cell r="J225">
            <v>536808.95283208648</v>
          </cell>
          <cell r="K225">
            <v>0</v>
          </cell>
          <cell r="L225">
            <v>-28204.833531092125</v>
          </cell>
          <cell r="M225">
            <v>5061.5594859760595</v>
          </cell>
          <cell r="N225">
            <v>190.80743204263726</v>
          </cell>
          <cell r="O225">
            <v>-86.109307986253938</v>
          </cell>
          <cell r="P225">
            <v>0</v>
          </cell>
          <cell r="Q225">
            <v>0</v>
          </cell>
          <cell r="R225">
            <v>0</v>
          </cell>
          <cell r="S225">
            <v>1766699.7103775947</v>
          </cell>
          <cell r="T225">
            <v>1577724</v>
          </cell>
          <cell r="U225">
            <v>2684044.7641604324</v>
          </cell>
          <cell r="V225">
            <v>20246.237943904238</v>
          </cell>
          <cell r="W225">
            <v>0</v>
          </cell>
          <cell r="X225">
            <v>4282015.0021043364</v>
          </cell>
          <cell r="Y225">
            <v>49549.429999999993</v>
          </cell>
          <cell r="Z225">
            <v>0</v>
          </cell>
          <cell r="AA225">
            <v>0</v>
          </cell>
          <cell r="AB225">
            <v>36727.308437539439</v>
          </cell>
          <cell r="AC225">
            <v>86276.738437539432</v>
          </cell>
          <cell r="AD225" t="str">
            <v>N/A</v>
          </cell>
          <cell r="AE225">
            <v>840160</v>
          </cell>
          <cell r="AF225">
            <v>840160</v>
          </cell>
          <cell r="AG225">
            <v>840160</v>
          </cell>
          <cell r="AH225">
            <v>840160</v>
          </cell>
          <cell r="AI225">
            <v>835098</v>
          </cell>
          <cell r="AJ225">
            <v>0</v>
          </cell>
          <cell r="AK225">
            <v>4195738</v>
          </cell>
          <cell r="AL225">
            <v>10296264</v>
          </cell>
          <cell r="AM225">
            <v>1766699.7103775947</v>
          </cell>
          <cell r="AN225">
            <v>-264305.57</v>
          </cell>
          <cell r="AO225">
            <v>2667563.6936667976</v>
          </cell>
          <cell r="AP225">
            <v>0</v>
          </cell>
          <cell r="AQ225">
            <v>1528174.57</v>
          </cell>
          <cell r="AR225">
            <v>0</v>
          </cell>
          <cell r="AS225">
            <v>0</v>
          </cell>
          <cell r="AT225">
            <v>15994396.404044392</v>
          </cell>
          <cell r="AU225">
            <v>3.1055410582913327E-4</v>
          </cell>
          <cell r="AV225">
            <v>0</v>
          </cell>
          <cell r="AW225">
            <v>0</v>
          </cell>
          <cell r="AY225">
            <v>0</v>
          </cell>
          <cell r="AZ225">
            <v>0</v>
          </cell>
          <cell r="BA225">
            <v>0</v>
          </cell>
          <cell r="BB225">
            <v>0</v>
          </cell>
          <cell r="BC225">
            <v>0</v>
          </cell>
          <cell r="BD225">
            <v>0</v>
          </cell>
          <cell r="BE225">
            <v>0</v>
          </cell>
          <cell r="BF225">
            <v>0</v>
          </cell>
          <cell r="BG225">
            <v>0</v>
          </cell>
          <cell r="BH225">
            <v>0</v>
          </cell>
          <cell r="BJ225">
            <v>0</v>
          </cell>
          <cell r="BL225">
            <v>0</v>
          </cell>
          <cell r="BM225">
            <v>0</v>
          </cell>
          <cell r="BN225">
            <v>0</v>
          </cell>
          <cell r="BO225">
            <v>0</v>
          </cell>
          <cell r="BQ225">
            <v>0</v>
          </cell>
          <cell r="BR225">
            <v>0</v>
          </cell>
          <cell r="BS225">
            <v>0</v>
          </cell>
          <cell r="BT225">
            <v>0</v>
          </cell>
          <cell r="CB225">
            <v>0</v>
          </cell>
          <cell r="CC225">
            <v>0</v>
          </cell>
          <cell r="CD225">
            <v>0</v>
          </cell>
          <cell r="CE225">
            <v>0</v>
          </cell>
          <cell r="CF225">
            <v>0</v>
          </cell>
          <cell r="CI225">
            <v>0</v>
          </cell>
          <cell r="CJ225">
            <v>0</v>
          </cell>
          <cell r="CK225">
            <v>0</v>
          </cell>
          <cell r="CV225">
            <v>3.6765854569084986E-4</v>
          </cell>
          <cell r="DG225">
            <v>15994396</v>
          </cell>
          <cell r="DR225">
            <v>4426537.1399999978</v>
          </cell>
          <cell r="EC225">
            <v>3.6132975945165136</v>
          </cell>
          <cell r="EN225">
            <v>2.4095909012463064E-2</v>
          </cell>
        </row>
        <row r="226">
          <cell r="B226">
            <v>36700</v>
          </cell>
          <cell r="C226" t="str">
            <v>Onslow County Schools</v>
          </cell>
          <cell r="D226">
            <v>8.0039556616394655E-3</v>
          </cell>
          <cell r="E226">
            <v>13848709.568973944</v>
          </cell>
          <cell r="F226">
            <v>10798156.447883062</v>
          </cell>
          <cell r="G226">
            <v>-1582057</v>
          </cell>
          <cell r="H226">
            <v>-3864282.0600713464</v>
          </cell>
          <cell r="I226">
            <v>-159911.28276539812</v>
          </cell>
          <cell r="J226">
            <v>11686373.423377395</v>
          </cell>
          <cell r="K226">
            <v>0</v>
          </cell>
          <cell r="L226">
            <v>-614021.46005497244</v>
          </cell>
          <cell r="M226">
            <v>110190.55093191945</v>
          </cell>
          <cell r="N226">
            <v>4153.8929092776498</v>
          </cell>
          <cell r="O226">
            <v>-1874.6064555125793</v>
          </cell>
          <cell r="P226">
            <v>0</v>
          </cell>
          <cell r="Q226">
            <v>0</v>
          </cell>
          <cell r="R226">
            <v>0</v>
          </cell>
          <cell r="S226">
            <v>30225437.474728368</v>
          </cell>
          <cell r="T226">
            <v>0</v>
          </cell>
          <cell r="U226">
            <v>58431867.116886973</v>
          </cell>
          <cell r="V226">
            <v>440762.20372767781</v>
          </cell>
          <cell r="W226">
            <v>0</v>
          </cell>
          <cell r="X226">
            <v>58872629.320614651</v>
          </cell>
          <cell r="Y226">
            <v>7910288.0799999991</v>
          </cell>
          <cell r="Z226">
            <v>0</v>
          </cell>
          <cell r="AA226">
            <v>0</v>
          </cell>
          <cell r="AB226">
            <v>799556.41382699064</v>
          </cell>
          <cell r="AC226">
            <v>8709844.4938269891</v>
          </cell>
          <cell r="AD226" t="str">
            <v>N/A</v>
          </cell>
          <cell r="AE226">
            <v>10054596</v>
          </cell>
          <cell r="AF226">
            <v>10054595</v>
          </cell>
          <cell r="AG226">
            <v>10054595</v>
          </cell>
          <cell r="AH226">
            <v>10054595</v>
          </cell>
          <cell r="AI226">
            <v>9944404</v>
          </cell>
          <cell r="AJ226">
            <v>0</v>
          </cell>
          <cell r="AK226">
            <v>50162785</v>
          </cell>
          <cell r="AL226">
            <v>274531987</v>
          </cell>
          <cell r="AM226">
            <v>30225437.474728368</v>
          </cell>
          <cell r="AN226">
            <v>-6720931.9200000009</v>
          </cell>
          <cell r="AO226">
            <v>58073072.906787664</v>
          </cell>
          <cell r="AP226">
            <v>0</v>
          </cell>
          <cell r="AQ226">
            <v>-7910288.0799999991</v>
          </cell>
          <cell r="AR226">
            <v>0</v>
          </cell>
          <cell r="AS226">
            <v>0</v>
          </cell>
          <cell r="AT226">
            <v>348199277.38151604</v>
          </cell>
          <cell r="AU226">
            <v>8.2803856072083161E-3</v>
          </cell>
          <cell r="AV226">
            <v>0</v>
          </cell>
          <cell r="AW226">
            <v>0</v>
          </cell>
          <cell r="AY226">
            <v>0</v>
          </cell>
          <cell r="AZ226">
            <v>0</v>
          </cell>
          <cell r="BA226">
            <v>0</v>
          </cell>
          <cell r="BB226">
            <v>0</v>
          </cell>
          <cell r="BC226">
            <v>0</v>
          </cell>
          <cell r="BD226">
            <v>0</v>
          </cell>
          <cell r="BE226">
            <v>0</v>
          </cell>
          <cell r="BF226">
            <v>0</v>
          </cell>
          <cell r="BG226">
            <v>0</v>
          </cell>
          <cell r="BH226">
            <v>0</v>
          </cell>
          <cell r="BJ226">
            <v>0</v>
          </cell>
          <cell r="BL226">
            <v>0</v>
          </cell>
          <cell r="BM226">
            <v>0</v>
          </cell>
          <cell r="BN226">
            <v>0</v>
          </cell>
          <cell r="BO226">
            <v>0</v>
          </cell>
          <cell r="BQ226">
            <v>0</v>
          </cell>
          <cell r="BR226">
            <v>0</v>
          </cell>
          <cell r="BS226">
            <v>0</v>
          </cell>
          <cell r="BT226">
            <v>0</v>
          </cell>
          <cell r="CB226">
            <v>0</v>
          </cell>
          <cell r="CC226">
            <v>0</v>
          </cell>
          <cell r="CD226">
            <v>0</v>
          </cell>
          <cell r="CE226">
            <v>0</v>
          </cell>
          <cell r="CF226">
            <v>0</v>
          </cell>
          <cell r="CI226">
            <v>0</v>
          </cell>
          <cell r="CJ226">
            <v>0</v>
          </cell>
          <cell r="CK226">
            <v>0</v>
          </cell>
          <cell r="CV226">
            <v>8.0039556616394655E-3</v>
          </cell>
          <cell r="DG226">
            <v>348199277</v>
          </cell>
          <cell r="DR226">
            <v>117141754.23999991</v>
          </cell>
          <cell r="EC226">
            <v>2.9724608382303179</v>
          </cell>
          <cell r="EN226">
            <v>2.4095909012463064E-2</v>
          </cell>
        </row>
        <row r="227">
          <cell r="B227">
            <v>36701</v>
          </cell>
          <cell r="C227" t="str">
            <v>Zeca School Of The Arts And Technology</v>
          </cell>
          <cell r="D227">
            <v>4.1016009576822938E-5</v>
          </cell>
          <cell r="E227">
            <v>70967.2602298407</v>
          </cell>
          <cell r="F227">
            <v>55334.800316433102</v>
          </cell>
          <cell r="G227">
            <v>83303</v>
          </cell>
          <cell r="H227">
            <v>-19802.387304949923</v>
          </cell>
          <cell r="I227">
            <v>-819.46014978350513</v>
          </cell>
          <cell r="J227">
            <v>59886.439220153617</v>
          </cell>
          <cell r="K227">
            <v>0</v>
          </cell>
          <cell r="L227">
            <v>-3146.532933296</v>
          </cell>
          <cell r="M227">
            <v>564.66788215231702</v>
          </cell>
          <cell r="N227">
            <v>21.286488650179567</v>
          </cell>
          <cell r="O227">
            <v>-9.6063596029877001</v>
          </cell>
          <cell r="P227">
            <v>0</v>
          </cell>
          <cell r="Q227">
            <v>0</v>
          </cell>
          <cell r="R227">
            <v>0</v>
          </cell>
          <cell r="S227">
            <v>246299.4673895975</v>
          </cell>
          <cell r="T227">
            <v>424246</v>
          </cell>
          <cell r="U227">
            <v>299432.19610076811</v>
          </cell>
          <cell r="V227">
            <v>2258.6715286092681</v>
          </cell>
          <cell r="W227">
            <v>0</v>
          </cell>
          <cell r="X227">
            <v>725936.8676293774</v>
          </cell>
          <cell r="Y227">
            <v>7731.5299999999952</v>
          </cell>
          <cell r="Z227">
            <v>0</v>
          </cell>
          <cell r="AA227">
            <v>0</v>
          </cell>
          <cell r="AB227">
            <v>4097.3007489175252</v>
          </cell>
          <cell r="AC227">
            <v>11828.83074891752</v>
          </cell>
          <cell r="AD227" t="str">
            <v>N/A</v>
          </cell>
          <cell r="AE227">
            <v>142935</v>
          </cell>
          <cell r="AF227">
            <v>142935</v>
          </cell>
          <cell r="AG227">
            <v>142935</v>
          </cell>
          <cell r="AH227">
            <v>142935</v>
          </cell>
          <cell r="AI227">
            <v>142370</v>
          </cell>
          <cell r="AJ227">
            <v>0</v>
          </cell>
          <cell r="AK227">
            <v>714110</v>
          </cell>
          <cell r="AL227">
            <v>850770</v>
          </cell>
          <cell r="AM227">
            <v>246299.4673895975</v>
          </cell>
          <cell r="AN227">
            <v>-26841.470000000005</v>
          </cell>
          <cell r="AO227">
            <v>297593.56688045984</v>
          </cell>
          <cell r="AP227">
            <v>0</v>
          </cell>
          <cell r="AQ227">
            <v>416514.47000000003</v>
          </cell>
          <cell r="AR227">
            <v>0</v>
          </cell>
          <cell r="AS227">
            <v>0</v>
          </cell>
          <cell r="AT227">
            <v>1784336.0342700575</v>
          </cell>
          <cell r="AU227">
            <v>2.5660768930669772E-5</v>
          </cell>
          <cell r="AV227">
            <v>0</v>
          </cell>
          <cell r="AW227">
            <v>0</v>
          </cell>
          <cell r="AY227">
            <v>0</v>
          </cell>
          <cell r="AZ227">
            <v>0</v>
          </cell>
          <cell r="BA227">
            <v>0</v>
          </cell>
          <cell r="BB227">
            <v>0</v>
          </cell>
          <cell r="BC227">
            <v>0</v>
          </cell>
          <cell r="BD227">
            <v>0</v>
          </cell>
          <cell r="BE227">
            <v>0</v>
          </cell>
          <cell r="BF227">
            <v>0</v>
          </cell>
          <cell r="BG227">
            <v>0</v>
          </cell>
          <cell r="BH227">
            <v>0</v>
          </cell>
          <cell r="BJ227">
            <v>0</v>
          </cell>
          <cell r="BL227">
            <v>0</v>
          </cell>
          <cell r="BM227">
            <v>0</v>
          </cell>
          <cell r="BN227">
            <v>0</v>
          </cell>
          <cell r="BO227">
            <v>0</v>
          </cell>
          <cell r="BQ227">
            <v>0</v>
          </cell>
          <cell r="BR227">
            <v>0</v>
          </cell>
          <cell r="BS227">
            <v>0</v>
          </cell>
          <cell r="BT227">
            <v>0</v>
          </cell>
          <cell r="CB227">
            <v>0</v>
          </cell>
          <cell r="CC227">
            <v>0</v>
          </cell>
          <cell r="CD227">
            <v>0</v>
          </cell>
          <cell r="CE227">
            <v>0</v>
          </cell>
          <cell r="CF227">
            <v>0</v>
          </cell>
          <cell r="CI227">
            <v>0</v>
          </cell>
          <cell r="CJ227">
            <v>0</v>
          </cell>
          <cell r="CK227">
            <v>0</v>
          </cell>
          <cell r="CV227">
            <v>4.1016009576822938E-5</v>
          </cell>
          <cell r="DG227">
            <v>1784336</v>
          </cell>
          <cell r="DR227">
            <v>473452.91000000003</v>
          </cell>
          <cell r="EC227">
            <v>3.7687718510379415</v>
          </cell>
          <cell r="EN227">
            <v>2.4095909012463064E-2</v>
          </cell>
        </row>
        <row r="228">
          <cell r="B228">
            <v>36705</v>
          </cell>
          <cell r="C228" t="str">
            <v>Coastal Carolina Community College</v>
          </cell>
          <cell r="D228">
            <v>9.2992830888104065E-4</v>
          </cell>
          <cell r="E228">
            <v>1608992.8048180537</v>
          </cell>
          <cell r="F228">
            <v>1254568.5894711688</v>
          </cell>
          <cell r="G228">
            <v>-43486</v>
          </cell>
          <cell r="H228">
            <v>-448966.16536546708</v>
          </cell>
          <cell r="I228">
            <v>-18579.067031283983</v>
          </cell>
          <cell r="J228">
            <v>1357764.8270389931</v>
          </cell>
          <cell r="K228">
            <v>0</v>
          </cell>
          <cell r="L228">
            <v>-71339.218019684762</v>
          </cell>
          <cell r="M228">
            <v>12802.333872724259</v>
          </cell>
          <cell r="N228">
            <v>482.61419374308247</v>
          </cell>
          <cell r="O228">
            <v>-217.79850922302853</v>
          </cell>
          <cell r="P228">
            <v>0</v>
          </cell>
          <cell r="Q228">
            <v>0</v>
          </cell>
          <cell r="R228">
            <v>0</v>
          </cell>
          <cell r="S228">
            <v>3652022.9204690247</v>
          </cell>
          <cell r="T228">
            <v>6272.6099999998696</v>
          </cell>
          <cell r="U228">
            <v>6788824.1351949656</v>
          </cell>
          <cell r="V228">
            <v>51209.335490897036</v>
          </cell>
          <cell r="W228">
            <v>0</v>
          </cell>
          <cell r="X228">
            <v>6846306.0806858633</v>
          </cell>
          <cell r="Y228">
            <v>223706</v>
          </cell>
          <cell r="Z228">
            <v>0</v>
          </cell>
          <cell r="AA228">
            <v>0</v>
          </cell>
          <cell r="AB228">
            <v>92895.335156419911</v>
          </cell>
          <cell r="AC228">
            <v>316601.3351564199</v>
          </cell>
          <cell r="AD228" t="str">
            <v>N/A</v>
          </cell>
          <cell r="AE228">
            <v>1308502</v>
          </cell>
          <cell r="AF228">
            <v>1308501</v>
          </cell>
          <cell r="AG228">
            <v>1308501</v>
          </cell>
          <cell r="AH228">
            <v>1308501</v>
          </cell>
          <cell r="AI228">
            <v>1295699</v>
          </cell>
          <cell r="AJ228">
            <v>0</v>
          </cell>
          <cell r="AK228">
            <v>6529704</v>
          </cell>
          <cell r="AL228">
            <v>31099749</v>
          </cell>
          <cell r="AM228">
            <v>3652022.9204690247</v>
          </cell>
          <cell r="AN228">
            <v>-826433.60999999987</v>
          </cell>
          <cell r="AO228">
            <v>6747138.1355294436</v>
          </cell>
          <cell r="AP228">
            <v>0</v>
          </cell>
          <cell r="AQ228">
            <v>-217433.39000000013</v>
          </cell>
          <cell r="AR228">
            <v>0</v>
          </cell>
          <cell r="AS228">
            <v>0</v>
          </cell>
          <cell r="AT228">
            <v>40455043.055998467</v>
          </cell>
          <cell r="AU228">
            <v>9.3802516072585785E-4</v>
          </cell>
          <cell r="AV228">
            <v>0</v>
          </cell>
          <cell r="AW228">
            <v>0</v>
          </cell>
          <cell r="AY228">
            <v>0</v>
          </cell>
          <cell r="AZ228">
            <v>0</v>
          </cell>
          <cell r="BA228">
            <v>0</v>
          </cell>
          <cell r="BB228">
            <v>0</v>
          </cell>
          <cell r="BC228">
            <v>0</v>
          </cell>
          <cell r="BD228">
            <v>0</v>
          </cell>
          <cell r="BE228">
            <v>0</v>
          </cell>
          <cell r="BF228">
            <v>0</v>
          </cell>
          <cell r="BG228">
            <v>0</v>
          </cell>
          <cell r="BH228">
            <v>0</v>
          </cell>
          <cell r="BJ228">
            <v>0</v>
          </cell>
          <cell r="BL228">
            <v>0</v>
          </cell>
          <cell r="BM228">
            <v>0</v>
          </cell>
          <cell r="BN228">
            <v>0</v>
          </cell>
          <cell r="BO228">
            <v>0</v>
          </cell>
          <cell r="BQ228">
            <v>0</v>
          </cell>
          <cell r="BR228">
            <v>0</v>
          </cell>
          <cell r="BS228">
            <v>0</v>
          </cell>
          <cell r="BT228">
            <v>0</v>
          </cell>
          <cell r="CB228">
            <v>0</v>
          </cell>
          <cell r="CC228">
            <v>0</v>
          </cell>
          <cell r="CD228">
            <v>0</v>
          </cell>
          <cell r="CE228">
            <v>0</v>
          </cell>
          <cell r="CF228">
            <v>0</v>
          </cell>
          <cell r="CI228">
            <v>0</v>
          </cell>
          <cell r="CJ228">
            <v>0</v>
          </cell>
          <cell r="CK228">
            <v>0</v>
          </cell>
          <cell r="CV228">
            <v>9.2992830888104065E-4</v>
          </cell>
          <cell r="DG228">
            <v>40455042</v>
          </cell>
          <cell r="DR228">
            <v>13842596.460000001</v>
          </cell>
          <cell r="EC228">
            <v>2.9225038898518898</v>
          </cell>
          <cell r="EN228">
            <v>2.4095909012463064E-2</v>
          </cell>
        </row>
        <row r="229">
          <cell r="B229">
            <v>36800</v>
          </cell>
          <cell r="C229" t="str">
            <v>Orange County Schools</v>
          </cell>
          <cell r="D229">
            <v>3.0289783852879425E-3</v>
          </cell>
          <cell r="E229">
            <v>5240838.8704092596</v>
          </cell>
          <cell r="F229">
            <v>4086402.2571179392</v>
          </cell>
          <cell r="G229">
            <v>611596</v>
          </cell>
          <cell r="H229">
            <v>-1462380.2691348928</v>
          </cell>
          <cell r="I229">
            <v>-60516.054752962642</v>
          </cell>
          <cell r="J229">
            <v>4422534.8063163804</v>
          </cell>
          <cell r="K229">
            <v>0</v>
          </cell>
          <cell r="L229">
            <v>-232367.32051417901</v>
          </cell>
          <cell r="M229">
            <v>41699.980752690535</v>
          </cell>
          <cell r="N229">
            <v>1571.9792023967364</v>
          </cell>
          <cell r="O229">
            <v>-709.41702761828901</v>
          </cell>
          <cell r="P229">
            <v>0</v>
          </cell>
          <cell r="Q229">
            <v>0</v>
          </cell>
          <cell r="R229">
            <v>0</v>
          </cell>
          <cell r="S229">
            <v>12648670.832369013</v>
          </cell>
          <cell r="T229">
            <v>3080509</v>
          </cell>
          <cell r="U229">
            <v>22112674.031581901</v>
          </cell>
          <cell r="V229">
            <v>166799.92301076214</v>
          </cell>
          <cell r="W229">
            <v>0</v>
          </cell>
          <cell r="X229">
            <v>25359982.954592664</v>
          </cell>
          <cell r="Y229">
            <v>22529.39000000013</v>
          </cell>
          <cell r="Z229">
            <v>0</v>
          </cell>
          <cell r="AA229">
            <v>0</v>
          </cell>
          <cell r="AB229">
            <v>302580.2737648132</v>
          </cell>
          <cell r="AC229">
            <v>325109.66376481333</v>
          </cell>
          <cell r="AD229" t="str">
            <v>N/A</v>
          </cell>
          <cell r="AE229">
            <v>5015315</v>
          </cell>
          <cell r="AF229">
            <v>5015315</v>
          </cell>
          <cell r="AG229">
            <v>5015315</v>
          </cell>
          <cell r="AH229">
            <v>5015315</v>
          </cell>
          <cell r="AI229">
            <v>4973615</v>
          </cell>
          <cell r="AJ229">
            <v>0</v>
          </cell>
          <cell r="AK229">
            <v>25034875</v>
          </cell>
          <cell r="AL229">
            <v>96727632</v>
          </cell>
          <cell r="AM229">
            <v>12648670.832369013</v>
          </cell>
          <cell r="AN229">
            <v>-2640320.61</v>
          </cell>
          <cell r="AO229">
            <v>21976893.680827852</v>
          </cell>
          <cell r="AP229">
            <v>0</v>
          </cell>
          <cell r="AQ229">
            <v>3057979.61</v>
          </cell>
          <cell r="AR229">
            <v>0</v>
          </cell>
          <cell r="AS229">
            <v>0</v>
          </cell>
          <cell r="AT229">
            <v>131770855.51319687</v>
          </cell>
          <cell r="AU229">
            <v>2.917481854009773E-3</v>
          </cell>
          <cell r="AV229">
            <v>0</v>
          </cell>
          <cell r="AW229">
            <v>0</v>
          </cell>
          <cell r="AY229">
            <v>0</v>
          </cell>
          <cell r="AZ229">
            <v>0</v>
          </cell>
          <cell r="BA229">
            <v>0</v>
          </cell>
          <cell r="BB229">
            <v>0</v>
          </cell>
          <cell r="BC229">
            <v>0</v>
          </cell>
          <cell r="BD229">
            <v>0</v>
          </cell>
          <cell r="BE229">
            <v>0</v>
          </cell>
          <cell r="BF229">
            <v>0</v>
          </cell>
          <cell r="BG229">
            <v>0</v>
          </cell>
          <cell r="BH229">
            <v>0</v>
          </cell>
          <cell r="BJ229">
            <v>0</v>
          </cell>
          <cell r="BL229">
            <v>0</v>
          </cell>
          <cell r="BM229">
            <v>0</v>
          </cell>
          <cell r="BN229">
            <v>0</v>
          </cell>
          <cell r="BO229">
            <v>0</v>
          </cell>
          <cell r="BQ229">
            <v>0</v>
          </cell>
          <cell r="BR229">
            <v>0</v>
          </cell>
          <cell r="BS229">
            <v>0</v>
          </cell>
          <cell r="BT229">
            <v>0</v>
          </cell>
          <cell r="CB229">
            <v>0</v>
          </cell>
          <cell r="CC229">
            <v>0</v>
          </cell>
          <cell r="CD229">
            <v>0</v>
          </cell>
          <cell r="CE229">
            <v>0</v>
          </cell>
          <cell r="CF229">
            <v>0</v>
          </cell>
          <cell r="CI229">
            <v>0</v>
          </cell>
          <cell r="CJ229">
            <v>0</v>
          </cell>
          <cell r="CK229">
            <v>0</v>
          </cell>
          <cell r="CV229">
            <v>3.0289783852879425E-3</v>
          </cell>
          <cell r="DG229">
            <v>131770855</v>
          </cell>
          <cell r="DR229">
            <v>45896753.31000001</v>
          </cell>
          <cell r="EC229">
            <v>2.8710278069122093</v>
          </cell>
          <cell r="EN229">
            <v>2.4095909012463064E-2</v>
          </cell>
        </row>
        <row r="230">
          <cell r="B230">
            <v>36802</v>
          </cell>
          <cell r="C230" t="str">
            <v>Orange Charter School</v>
          </cell>
          <cell r="D230">
            <v>8.1244009819497317E-5</v>
          </cell>
          <cell r="E230">
            <v>140571.08057225597</v>
          </cell>
          <cell r="F230">
            <v>109606.49528443086</v>
          </cell>
          <cell r="G230">
            <v>-31201</v>
          </cell>
          <cell r="H230">
            <v>-39224.326433791968</v>
          </cell>
          <cell r="I230">
            <v>-1623.1766362108103</v>
          </cell>
          <cell r="J230">
            <v>118622.32592236878</v>
          </cell>
          <cell r="K230">
            <v>0</v>
          </cell>
          <cell r="L230">
            <v>-6232.6139272828141</v>
          </cell>
          <cell r="M230">
            <v>1118.4872306120399</v>
          </cell>
          <cell r="N230">
            <v>42.164016216122718</v>
          </cell>
          <cell r="O230">
            <v>-19.028159539824468</v>
          </cell>
          <cell r="P230">
            <v>0</v>
          </cell>
          <cell r="Q230">
            <v>0</v>
          </cell>
          <cell r="R230">
            <v>0</v>
          </cell>
          <cell r="S230">
            <v>291660.40786905837</v>
          </cell>
          <cell r="T230">
            <v>0</v>
          </cell>
          <cell r="U230">
            <v>593111.62961184396</v>
          </cell>
          <cell r="V230">
            <v>4473.9489224481595</v>
          </cell>
          <cell r="W230">
            <v>0</v>
          </cell>
          <cell r="X230">
            <v>597585.57853429217</v>
          </cell>
          <cell r="Y230">
            <v>156007.63</v>
          </cell>
          <cell r="Z230">
            <v>0</v>
          </cell>
          <cell r="AA230">
            <v>0</v>
          </cell>
          <cell r="AB230">
            <v>8115.8831810540505</v>
          </cell>
          <cell r="AC230">
            <v>164123.51318105406</v>
          </cell>
          <cell r="AD230" t="str">
            <v>N/A</v>
          </cell>
          <cell r="AE230">
            <v>86916</v>
          </cell>
          <cell r="AF230">
            <v>86917</v>
          </cell>
          <cell r="AG230">
            <v>86917</v>
          </cell>
          <cell r="AH230">
            <v>86917</v>
          </cell>
          <cell r="AI230">
            <v>85798</v>
          </cell>
          <cell r="AJ230">
            <v>0</v>
          </cell>
          <cell r="AK230">
            <v>433465</v>
          </cell>
          <cell r="AL230">
            <v>2864028</v>
          </cell>
          <cell r="AM230">
            <v>291660.40786905837</v>
          </cell>
          <cell r="AN230">
            <v>-54759.369999999995</v>
          </cell>
          <cell r="AO230">
            <v>589469.69535323803</v>
          </cell>
          <cell r="AP230">
            <v>0</v>
          </cell>
          <cell r="AQ230">
            <v>-156007.63</v>
          </cell>
          <cell r="AR230">
            <v>0</v>
          </cell>
          <cell r="AS230">
            <v>0</v>
          </cell>
          <cell r="AT230">
            <v>3534391.1032222961</v>
          </cell>
          <cell r="AU230">
            <v>8.6384295463492395E-5</v>
          </cell>
          <cell r="AV230">
            <v>0</v>
          </cell>
          <cell r="AW230">
            <v>0</v>
          </cell>
          <cell r="AY230">
            <v>0</v>
          </cell>
          <cell r="AZ230">
            <v>0</v>
          </cell>
          <cell r="BA230">
            <v>0</v>
          </cell>
          <cell r="BB230">
            <v>0</v>
          </cell>
          <cell r="BC230">
            <v>0</v>
          </cell>
          <cell r="BD230">
            <v>0</v>
          </cell>
          <cell r="BE230">
            <v>0</v>
          </cell>
          <cell r="BF230">
            <v>0</v>
          </cell>
          <cell r="BG230">
            <v>0</v>
          </cell>
          <cell r="BH230">
            <v>0</v>
          </cell>
          <cell r="BJ230">
            <v>0</v>
          </cell>
          <cell r="BL230">
            <v>0</v>
          </cell>
          <cell r="BM230">
            <v>0</v>
          </cell>
          <cell r="BN230">
            <v>0</v>
          </cell>
          <cell r="BO230">
            <v>0</v>
          </cell>
          <cell r="BQ230">
            <v>0</v>
          </cell>
          <cell r="BR230">
            <v>0</v>
          </cell>
          <cell r="BS230">
            <v>0</v>
          </cell>
          <cell r="BT230">
            <v>0</v>
          </cell>
          <cell r="CB230">
            <v>0</v>
          </cell>
          <cell r="CC230">
            <v>0</v>
          </cell>
          <cell r="CD230">
            <v>0</v>
          </cell>
          <cell r="CE230">
            <v>0</v>
          </cell>
          <cell r="CF230">
            <v>0</v>
          </cell>
          <cell r="CI230">
            <v>0</v>
          </cell>
          <cell r="CJ230">
            <v>0</v>
          </cell>
          <cell r="CK230">
            <v>0</v>
          </cell>
          <cell r="CV230">
            <v>8.1244009819497317E-5</v>
          </cell>
          <cell r="DG230">
            <v>3534391</v>
          </cell>
          <cell r="DR230">
            <v>1024131.2600000001</v>
          </cell>
          <cell r="EC230">
            <v>3.4511113350841369</v>
          </cell>
          <cell r="EN230">
            <v>2.4095909012463064E-2</v>
          </cell>
        </row>
        <row r="231">
          <cell r="B231">
            <v>36810</v>
          </cell>
          <cell r="C231" t="str">
            <v>Chapel Hill - Carboro City Schools</v>
          </cell>
          <cell r="D231">
            <v>5.9267746782739779E-3</v>
          </cell>
          <cell r="E231">
            <v>10254702.133538941</v>
          </cell>
          <cell r="F231">
            <v>7995826.4279346755</v>
          </cell>
          <cell r="G231">
            <v>1004407</v>
          </cell>
          <cell r="H231">
            <v>-2861426.2786468319</v>
          </cell>
          <cell r="I231">
            <v>-118411.21834377335</v>
          </cell>
          <cell r="J231">
            <v>8653533.9542772975</v>
          </cell>
          <cell r="K231">
            <v>0</v>
          </cell>
          <cell r="L231">
            <v>-454671.03957260179</v>
          </cell>
          <cell r="M231">
            <v>81593.976110880743</v>
          </cell>
          <cell r="N231">
            <v>3075.877522530629</v>
          </cell>
          <cell r="O231">
            <v>-1388.1098973985484</v>
          </cell>
          <cell r="P231">
            <v>0</v>
          </cell>
          <cell r="Q231">
            <v>0</v>
          </cell>
          <cell r="R231">
            <v>0</v>
          </cell>
          <cell r="S231">
            <v>24557242.722923722</v>
          </cell>
          <cell r="T231">
            <v>5338032</v>
          </cell>
          <cell r="U231">
            <v>43267669.771386489</v>
          </cell>
          <cell r="V231">
            <v>326375.90444352297</v>
          </cell>
          <cell r="W231">
            <v>0</v>
          </cell>
          <cell r="X231">
            <v>48932077.675830014</v>
          </cell>
          <cell r="Y231">
            <v>315995.75999999978</v>
          </cell>
          <cell r="Z231">
            <v>0</v>
          </cell>
          <cell r="AA231">
            <v>0</v>
          </cell>
          <cell r="AB231">
            <v>592056.09171886672</v>
          </cell>
          <cell r="AC231">
            <v>908051.8517188665</v>
          </cell>
          <cell r="AD231" t="str">
            <v>N/A</v>
          </cell>
          <cell r="AE231">
            <v>9621124</v>
          </cell>
          <cell r="AF231">
            <v>9621125</v>
          </cell>
          <cell r="AG231">
            <v>9621125</v>
          </cell>
          <cell r="AH231">
            <v>9621125</v>
          </cell>
          <cell r="AI231">
            <v>9539531</v>
          </cell>
          <cell r="AJ231">
            <v>0</v>
          </cell>
          <cell r="AK231">
            <v>48024030</v>
          </cell>
          <cell r="AL231">
            <v>190093572</v>
          </cell>
          <cell r="AM231">
            <v>24557242.722923722</v>
          </cell>
          <cell r="AN231">
            <v>-4839997.24</v>
          </cell>
          <cell r="AO231">
            <v>43001989.584111147</v>
          </cell>
          <cell r="AP231">
            <v>0</v>
          </cell>
          <cell r="AQ231">
            <v>5022036.24</v>
          </cell>
          <cell r="AR231">
            <v>0</v>
          </cell>
          <cell r="AS231">
            <v>0</v>
          </cell>
          <cell r="AT231">
            <v>257834843.30703488</v>
          </cell>
          <cell r="AU231">
            <v>5.7335689430849501E-3</v>
          </cell>
          <cell r="AV231">
            <v>0</v>
          </cell>
          <cell r="AW231">
            <v>0</v>
          </cell>
          <cell r="AY231">
            <v>0</v>
          </cell>
          <cell r="AZ231">
            <v>0</v>
          </cell>
          <cell r="BA231">
            <v>0</v>
          </cell>
          <cell r="BB231">
            <v>0</v>
          </cell>
          <cell r="BC231">
            <v>0</v>
          </cell>
          <cell r="BD231">
            <v>0</v>
          </cell>
          <cell r="BE231">
            <v>0</v>
          </cell>
          <cell r="BF231">
            <v>0</v>
          </cell>
          <cell r="BG231">
            <v>0</v>
          </cell>
          <cell r="BH231">
            <v>0</v>
          </cell>
          <cell r="BJ231">
            <v>0</v>
          </cell>
          <cell r="BL231">
            <v>0</v>
          </cell>
          <cell r="BM231">
            <v>0</v>
          </cell>
          <cell r="BN231">
            <v>0</v>
          </cell>
          <cell r="BO231">
            <v>0</v>
          </cell>
          <cell r="BQ231">
            <v>0</v>
          </cell>
          <cell r="BR231">
            <v>0</v>
          </cell>
          <cell r="BS231">
            <v>0</v>
          </cell>
          <cell r="BT231">
            <v>0</v>
          </cell>
          <cell r="CB231">
            <v>0</v>
          </cell>
          <cell r="CC231">
            <v>0</v>
          </cell>
          <cell r="CD231">
            <v>0</v>
          </cell>
          <cell r="CE231">
            <v>0</v>
          </cell>
          <cell r="CF231">
            <v>0</v>
          </cell>
          <cell r="CI231">
            <v>0</v>
          </cell>
          <cell r="CJ231">
            <v>0</v>
          </cell>
          <cell r="CK231">
            <v>0</v>
          </cell>
          <cell r="CV231">
            <v>5.9267746782739779E-3</v>
          </cell>
          <cell r="DG231">
            <v>257834844</v>
          </cell>
          <cell r="DR231">
            <v>85427898.969999939</v>
          </cell>
          <cell r="EC231">
            <v>3.018157383111399</v>
          </cell>
          <cell r="EN231">
            <v>2.4095909012463064E-2</v>
          </cell>
        </row>
        <row r="232">
          <cell r="B232">
            <v>36900</v>
          </cell>
          <cell r="C232" t="str">
            <v>Pamlico County Schools</v>
          </cell>
          <cell r="D232">
            <v>5.6583106420348881E-4</v>
          </cell>
          <cell r="E232">
            <v>979019.67533544486</v>
          </cell>
          <cell r="F232">
            <v>763364.09303520899</v>
          </cell>
          <cell r="G232">
            <v>121593</v>
          </cell>
          <cell r="H232">
            <v>-273181.27721671417</v>
          </cell>
          <cell r="I232">
            <v>-11304.756689113952</v>
          </cell>
          <cell r="J232">
            <v>826155.6398320361</v>
          </cell>
          <cell r="K232">
            <v>0</v>
          </cell>
          <cell r="L232">
            <v>-43407.58880659764</v>
          </cell>
          <cell r="M232">
            <v>7789.8028593283843</v>
          </cell>
          <cell r="N232">
            <v>293.65500570032663</v>
          </cell>
          <cell r="O232">
            <v>-132.52329354709912</v>
          </cell>
          <cell r="P232">
            <v>0</v>
          </cell>
          <cell r="Q232">
            <v>0</v>
          </cell>
          <cell r="R232">
            <v>0</v>
          </cell>
          <cell r="S232">
            <v>2370189.720061746</v>
          </cell>
          <cell r="T232">
            <v>607962.10000000009</v>
          </cell>
          <cell r="U232">
            <v>4130778.1991601801</v>
          </cell>
          <cell r="V232">
            <v>31159.211437313537</v>
          </cell>
          <cell r="W232">
            <v>0</v>
          </cell>
          <cell r="X232">
            <v>4769899.5105974944</v>
          </cell>
          <cell r="Y232">
            <v>0</v>
          </cell>
          <cell r="Z232">
            <v>0</v>
          </cell>
          <cell r="AA232">
            <v>0</v>
          </cell>
          <cell r="AB232">
            <v>56523.783445569759</v>
          </cell>
          <cell r="AC232">
            <v>56523.783445569759</v>
          </cell>
          <cell r="AD232" t="str">
            <v>N/A</v>
          </cell>
          <cell r="AE232">
            <v>944234</v>
          </cell>
          <cell r="AF232">
            <v>944234</v>
          </cell>
          <cell r="AG232">
            <v>944234</v>
          </cell>
          <cell r="AH232">
            <v>944234</v>
          </cell>
          <cell r="AI232">
            <v>936444</v>
          </cell>
          <cell r="AJ232">
            <v>0</v>
          </cell>
          <cell r="AK232">
            <v>4713380</v>
          </cell>
          <cell r="AL232">
            <v>18039016</v>
          </cell>
          <cell r="AM232">
            <v>2370189.720061746</v>
          </cell>
          <cell r="AN232">
            <v>-507007.10000000003</v>
          </cell>
          <cell r="AO232">
            <v>4105413.6271519242</v>
          </cell>
          <cell r="AP232">
            <v>0</v>
          </cell>
          <cell r="AQ232">
            <v>607962.10000000009</v>
          </cell>
          <cell r="AR232">
            <v>0</v>
          </cell>
          <cell r="AS232">
            <v>0</v>
          </cell>
          <cell r="AT232">
            <v>24615574.347213671</v>
          </cell>
          <cell r="AU232">
            <v>5.4408963391395701E-4</v>
          </cell>
          <cell r="AV232">
            <v>0</v>
          </cell>
          <cell r="AW232">
            <v>0</v>
          </cell>
          <cell r="AY232">
            <v>0</v>
          </cell>
          <cell r="AZ232">
            <v>0</v>
          </cell>
          <cell r="BA232">
            <v>0</v>
          </cell>
          <cell r="BB232">
            <v>0</v>
          </cell>
          <cell r="BC232">
            <v>0</v>
          </cell>
          <cell r="BD232">
            <v>0</v>
          </cell>
          <cell r="BE232">
            <v>0</v>
          </cell>
          <cell r="BF232">
            <v>0</v>
          </cell>
          <cell r="BG232">
            <v>0</v>
          </cell>
          <cell r="BH232">
            <v>0</v>
          </cell>
          <cell r="BJ232">
            <v>0</v>
          </cell>
          <cell r="BL232">
            <v>0</v>
          </cell>
          <cell r="BM232">
            <v>0</v>
          </cell>
          <cell r="BN232">
            <v>0</v>
          </cell>
          <cell r="BO232">
            <v>0</v>
          </cell>
          <cell r="BQ232">
            <v>0</v>
          </cell>
          <cell r="BR232">
            <v>0</v>
          </cell>
          <cell r="BS232">
            <v>0</v>
          </cell>
          <cell r="BT232">
            <v>0</v>
          </cell>
          <cell r="CB232">
            <v>0</v>
          </cell>
          <cell r="CC232">
            <v>0</v>
          </cell>
          <cell r="CD232">
            <v>0</v>
          </cell>
          <cell r="CE232">
            <v>0</v>
          </cell>
          <cell r="CF232">
            <v>0</v>
          </cell>
          <cell r="CI232">
            <v>0</v>
          </cell>
          <cell r="CJ232">
            <v>0</v>
          </cell>
          <cell r="CK232">
            <v>0</v>
          </cell>
          <cell r="CV232">
            <v>5.6583106420348881E-4</v>
          </cell>
          <cell r="DG232">
            <v>24615575</v>
          </cell>
          <cell r="DR232">
            <v>8727933.4099999983</v>
          </cell>
          <cell r="EC232">
            <v>2.8203211279999905</v>
          </cell>
          <cell r="EN232">
            <v>2.4095909012463064E-2</v>
          </cell>
        </row>
        <row r="233">
          <cell r="B233">
            <v>36901</v>
          </cell>
          <cell r="C233" t="str">
            <v>Arapahoe Charter School</v>
          </cell>
          <cell r="D233">
            <v>1.8517054549559798E-4</v>
          </cell>
          <cell r="E233">
            <v>320388.21973830718</v>
          </cell>
          <cell r="F233">
            <v>249814.04249705121</v>
          </cell>
          <cell r="G233">
            <v>37389</v>
          </cell>
          <cell r="H233">
            <v>-89399.697757158312</v>
          </cell>
          <cell r="I233">
            <v>-3699.5281723617568</v>
          </cell>
          <cell r="J233">
            <v>270362.83472225041</v>
          </cell>
          <cell r="K233">
            <v>0</v>
          </cell>
          <cell r="L233">
            <v>-14205.312161998367</v>
          </cell>
          <cell r="M233">
            <v>2549.2450592042132</v>
          </cell>
          <cell r="N233">
            <v>96.099809701305446</v>
          </cell>
          <cell r="O233">
            <v>-43.368793460524003</v>
          </cell>
          <cell r="P233">
            <v>0</v>
          </cell>
          <cell r="Q233">
            <v>0</v>
          </cell>
          <cell r="R233">
            <v>0</v>
          </cell>
          <cell r="S233">
            <v>773251.53494153533</v>
          </cell>
          <cell r="T233">
            <v>186944.29</v>
          </cell>
          <cell r="U233">
            <v>1351814.1736112519</v>
          </cell>
          <cell r="V233">
            <v>10196.980236816853</v>
          </cell>
          <cell r="W233">
            <v>0</v>
          </cell>
          <cell r="X233">
            <v>1548955.4438480688</v>
          </cell>
          <cell r="Y233">
            <v>0</v>
          </cell>
          <cell r="Z233">
            <v>0</v>
          </cell>
          <cell r="AA233">
            <v>0</v>
          </cell>
          <cell r="AB233">
            <v>18497.640861808784</v>
          </cell>
          <cell r="AC233">
            <v>18497.640861808784</v>
          </cell>
          <cell r="AD233" t="str">
            <v>N/A</v>
          </cell>
          <cell r="AE233">
            <v>306602</v>
          </cell>
          <cell r="AF233">
            <v>306602</v>
          </cell>
          <cell r="AG233">
            <v>306602</v>
          </cell>
          <cell r="AH233">
            <v>306602</v>
          </cell>
          <cell r="AI233">
            <v>304052</v>
          </cell>
          <cell r="AJ233">
            <v>0</v>
          </cell>
          <cell r="AK233">
            <v>1530460</v>
          </cell>
          <cell r="AL233">
            <v>5918622</v>
          </cell>
          <cell r="AM233">
            <v>773251.53494153533</v>
          </cell>
          <cell r="AN233">
            <v>-166782.29</v>
          </cell>
          <cell r="AO233">
            <v>1343513.51298626</v>
          </cell>
          <cell r="AP233">
            <v>0</v>
          </cell>
          <cell r="AQ233">
            <v>186944.29</v>
          </cell>
          <cell r="AR233">
            <v>0</v>
          </cell>
          <cell r="AS233">
            <v>0</v>
          </cell>
          <cell r="AT233">
            <v>8055549.0479277959</v>
          </cell>
          <cell r="AU233">
            <v>1.7851645264140253E-4</v>
          </cell>
          <cell r="AV233">
            <v>0</v>
          </cell>
          <cell r="AW233">
            <v>0</v>
          </cell>
          <cell r="AY233">
            <v>0</v>
          </cell>
          <cell r="AZ233">
            <v>0</v>
          </cell>
          <cell r="BA233">
            <v>0</v>
          </cell>
          <cell r="BB233">
            <v>0</v>
          </cell>
          <cell r="BC233">
            <v>0</v>
          </cell>
          <cell r="BD233">
            <v>0</v>
          </cell>
          <cell r="BE233">
            <v>0</v>
          </cell>
          <cell r="BF233">
            <v>0</v>
          </cell>
          <cell r="BG233">
            <v>0</v>
          </cell>
          <cell r="BH233">
            <v>0</v>
          </cell>
          <cell r="BJ233">
            <v>0</v>
          </cell>
          <cell r="BL233">
            <v>0</v>
          </cell>
          <cell r="BM233">
            <v>0</v>
          </cell>
          <cell r="BN233">
            <v>0</v>
          </cell>
          <cell r="BO233">
            <v>0</v>
          </cell>
          <cell r="BQ233">
            <v>0</v>
          </cell>
          <cell r="BR233">
            <v>0</v>
          </cell>
          <cell r="BS233">
            <v>0</v>
          </cell>
          <cell r="BT233">
            <v>0</v>
          </cell>
          <cell r="CB233">
            <v>0</v>
          </cell>
          <cell r="CC233">
            <v>0</v>
          </cell>
          <cell r="CD233">
            <v>0</v>
          </cell>
          <cell r="CE233">
            <v>0</v>
          </cell>
          <cell r="CF233">
            <v>0</v>
          </cell>
          <cell r="CI233">
            <v>0</v>
          </cell>
          <cell r="CJ233">
            <v>0</v>
          </cell>
          <cell r="CK233">
            <v>0</v>
          </cell>
          <cell r="CV233">
            <v>1.8517054549559798E-4</v>
          </cell>
          <cell r="DG233">
            <v>8055548</v>
          </cell>
          <cell r="DR233">
            <v>2816867.1299999994</v>
          </cell>
          <cell r="EC233">
            <v>2.8597543399215999</v>
          </cell>
          <cell r="EN233">
            <v>2.4095909012463064E-2</v>
          </cell>
        </row>
        <row r="234">
          <cell r="B234">
            <v>36905</v>
          </cell>
          <cell r="C234" t="str">
            <v>Pamlico Community College</v>
          </cell>
          <cell r="D234">
            <v>1.694935486756108E-4</v>
          </cell>
          <cell r="E234">
            <v>293263.35985005781</v>
          </cell>
          <cell r="F234">
            <v>228664.16717896226</v>
          </cell>
          <cell r="G234">
            <v>-142563</v>
          </cell>
          <cell r="H234">
            <v>-81830.898012600112</v>
          </cell>
          <cell r="I234">
            <v>-3386.3169581357502</v>
          </cell>
          <cell r="J234">
            <v>247473.24778044273</v>
          </cell>
          <cell r="K234">
            <v>0</v>
          </cell>
          <cell r="L234">
            <v>-13002.655265381578</v>
          </cell>
          <cell r="M234">
            <v>2333.4196611661514</v>
          </cell>
          <cell r="N234">
            <v>87.963761891668497</v>
          </cell>
          <cell r="O234">
            <v>-39.697084035314809</v>
          </cell>
          <cell r="P234">
            <v>0</v>
          </cell>
          <cell r="Q234">
            <v>0</v>
          </cell>
          <cell r="R234">
            <v>0</v>
          </cell>
          <cell r="S234">
            <v>530999.59091236803</v>
          </cell>
          <cell r="T234">
            <v>28381.440000000002</v>
          </cell>
          <cell r="U234">
            <v>1237366.2389022138</v>
          </cell>
          <cell r="V234">
            <v>9333.6786446646056</v>
          </cell>
          <cell r="W234">
            <v>0</v>
          </cell>
          <cell r="X234">
            <v>1275081.3575468783</v>
          </cell>
          <cell r="Y234">
            <v>741196</v>
          </cell>
          <cell r="Z234">
            <v>0</v>
          </cell>
          <cell r="AA234">
            <v>0</v>
          </cell>
          <cell r="AB234">
            <v>16931.584790678749</v>
          </cell>
          <cell r="AC234">
            <v>758127.58479067869</v>
          </cell>
          <cell r="AD234" t="str">
            <v>N/A</v>
          </cell>
          <cell r="AE234">
            <v>103857</v>
          </cell>
          <cell r="AF234">
            <v>103857</v>
          </cell>
          <cell r="AG234">
            <v>103857</v>
          </cell>
          <cell r="AH234">
            <v>103857</v>
          </cell>
          <cell r="AI234">
            <v>101524</v>
          </cell>
          <cell r="AJ234">
            <v>0</v>
          </cell>
          <cell r="AK234">
            <v>516952</v>
          </cell>
          <cell r="AL234">
            <v>6508908</v>
          </cell>
          <cell r="AM234">
            <v>530999.59091236803</v>
          </cell>
          <cell r="AN234">
            <v>-183315.44</v>
          </cell>
          <cell r="AO234">
            <v>1229768.3327561996</v>
          </cell>
          <cell r="AP234">
            <v>0</v>
          </cell>
          <cell r="AQ234">
            <v>-712814.56</v>
          </cell>
          <cell r="AR234">
            <v>0</v>
          </cell>
          <cell r="AS234">
            <v>0</v>
          </cell>
          <cell r="AT234">
            <v>7373545.9236685671</v>
          </cell>
          <cell r="AU234">
            <v>1.9632055372632428E-4</v>
          </cell>
          <cell r="AV234">
            <v>0</v>
          </cell>
          <cell r="AW234">
            <v>0</v>
          </cell>
          <cell r="AY234">
            <v>0</v>
          </cell>
          <cell r="AZ234">
            <v>0</v>
          </cell>
          <cell r="BA234">
            <v>0</v>
          </cell>
          <cell r="BB234">
            <v>0</v>
          </cell>
          <cell r="BC234">
            <v>0</v>
          </cell>
          <cell r="BD234">
            <v>0</v>
          </cell>
          <cell r="BE234">
            <v>0</v>
          </cell>
          <cell r="BF234">
            <v>0</v>
          </cell>
          <cell r="BG234">
            <v>0</v>
          </cell>
          <cell r="BH234">
            <v>0</v>
          </cell>
          <cell r="BJ234">
            <v>0</v>
          </cell>
          <cell r="BL234">
            <v>0</v>
          </cell>
          <cell r="BM234">
            <v>0</v>
          </cell>
          <cell r="BN234">
            <v>0</v>
          </cell>
          <cell r="BO234">
            <v>0</v>
          </cell>
          <cell r="BQ234">
            <v>0</v>
          </cell>
          <cell r="BR234">
            <v>0</v>
          </cell>
          <cell r="BS234">
            <v>0</v>
          </cell>
          <cell r="BT234">
            <v>0</v>
          </cell>
          <cell r="CB234">
            <v>0</v>
          </cell>
          <cell r="CC234">
            <v>0</v>
          </cell>
          <cell r="CD234">
            <v>0</v>
          </cell>
          <cell r="CE234">
            <v>0</v>
          </cell>
          <cell r="CF234">
            <v>0</v>
          </cell>
          <cell r="CI234">
            <v>0</v>
          </cell>
          <cell r="CJ234">
            <v>0</v>
          </cell>
          <cell r="CK234">
            <v>0</v>
          </cell>
          <cell r="CV234">
            <v>1.694935486756108E-4</v>
          </cell>
          <cell r="DG234">
            <v>7373545</v>
          </cell>
          <cell r="DR234">
            <v>3036657.6600000006</v>
          </cell>
          <cell r="EC234">
            <v>2.4281778934540807</v>
          </cell>
          <cell r="EN234">
            <v>2.4095909012463064E-2</v>
          </cell>
        </row>
        <row r="235">
          <cell r="B235">
            <v>37000</v>
          </cell>
          <cell r="C235" t="str">
            <v>Elizabeth City And Pasquotank County Schools</v>
          </cell>
          <cell r="D235">
            <v>1.9540507202358863E-3</v>
          </cell>
          <cell r="E235">
            <v>3380963.37006047</v>
          </cell>
          <cell r="F235">
            <v>2636214.6763671217</v>
          </cell>
          <cell r="G235">
            <v>535482</v>
          </cell>
          <cell r="H235">
            <v>-943408.91702670197</v>
          </cell>
          <cell r="I235">
            <v>-39040.041008618718</v>
          </cell>
          <cell r="J235">
            <v>2853060.0830713031</v>
          </cell>
          <cell r="K235">
            <v>0</v>
          </cell>
          <cell r="L235">
            <v>-149904.51309108653</v>
          </cell>
          <cell r="M235">
            <v>26901.439052649916</v>
          </cell>
          <cell r="N235">
            <v>1014.1132427880202</v>
          </cell>
          <cell r="O235">
            <v>-457.6582191864469</v>
          </cell>
          <cell r="P235">
            <v>0</v>
          </cell>
          <cell r="Q235">
            <v>0</v>
          </cell>
          <cell r="R235">
            <v>0</v>
          </cell>
          <cell r="S235">
            <v>8300824.5524487384</v>
          </cell>
          <cell r="T235">
            <v>2677408.52</v>
          </cell>
          <cell r="U235">
            <v>14265300.415356515</v>
          </cell>
          <cell r="V235">
            <v>107605.75621059966</v>
          </cell>
          <cell r="W235">
            <v>0</v>
          </cell>
          <cell r="X235">
            <v>17050314.691567115</v>
          </cell>
          <cell r="Y235">
            <v>0</v>
          </cell>
          <cell r="Z235">
            <v>0</v>
          </cell>
          <cell r="AA235">
            <v>0</v>
          </cell>
          <cell r="AB235">
            <v>195200.20504309356</v>
          </cell>
          <cell r="AC235">
            <v>195200.20504309356</v>
          </cell>
          <cell r="AD235" t="str">
            <v>N/A</v>
          </cell>
          <cell r="AE235">
            <v>3376403</v>
          </cell>
          <cell r="AF235">
            <v>3376403</v>
          </cell>
          <cell r="AG235">
            <v>3376403</v>
          </cell>
          <cell r="AH235">
            <v>3376403</v>
          </cell>
          <cell r="AI235">
            <v>3349502</v>
          </cell>
          <cell r="AJ235">
            <v>0</v>
          </cell>
          <cell r="AK235">
            <v>16855114</v>
          </cell>
          <cell r="AL235">
            <v>61585438</v>
          </cell>
          <cell r="AM235">
            <v>8300824.5524487384</v>
          </cell>
          <cell r="AN235">
            <v>-1733528.52</v>
          </cell>
          <cell r="AO235">
            <v>14177705.966524022</v>
          </cell>
          <cell r="AP235">
            <v>0</v>
          </cell>
          <cell r="AQ235">
            <v>2677408.52</v>
          </cell>
          <cell r="AR235">
            <v>0</v>
          </cell>
          <cell r="AS235">
            <v>0</v>
          </cell>
          <cell r="AT235">
            <v>85007848.518972754</v>
          </cell>
          <cell r="AU235">
            <v>1.8575291550537419E-3</v>
          </cell>
          <cell r="AV235">
            <v>0</v>
          </cell>
          <cell r="AW235">
            <v>0</v>
          </cell>
          <cell r="AY235">
            <v>0</v>
          </cell>
          <cell r="AZ235">
            <v>0</v>
          </cell>
          <cell r="BA235">
            <v>0</v>
          </cell>
          <cell r="BB235">
            <v>0</v>
          </cell>
          <cell r="BC235">
            <v>0</v>
          </cell>
          <cell r="BD235">
            <v>0</v>
          </cell>
          <cell r="BE235">
            <v>0</v>
          </cell>
          <cell r="BF235">
            <v>0</v>
          </cell>
          <cell r="BG235">
            <v>0</v>
          </cell>
          <cell r="BH235">
            <v>0</v>
          </cell>
          <cell r="BJ235">
            <v>0</v>
          </cell>
          <cell r="BL235">
            <v>0</v>
          </cell>
          <cell r="BM235">
            <v>0</v>
          </cell>
          <cell r="BN235">
            <v>0</v>
          </cell>
          <cell r="BO235">
            <v>0</v>
          </cell>
          <cell r="BQ235">
            <v>0</v>
          </cell>
          <cell r="BR235">
            <v>0</v>
          </cell>
          <cell r="BS235">
            <v>0</v>
          </cell>
          <cell r="BT235">
            <v>0</v>
          </cell>
          <cell r="CB235">
            <v>0</v>
          </cell>
          <cell r="CC235">
            <v>0</v>
          </cell>
          <cell r="CD235">
            <v>0</v>
          </cell>
          <cell r="CE235">
            <v>0</v>
          </cell>
          <cell r="CF235">
            <v>0</v>
          </cell>
          <cell r="CI235">
            <v>0</v>
          </cell>
          <cell r="CJ235">
            <v>0</v>
          </cell>
          <cell r="CK235">
            <v>0</v>
          </cell>
          <cell r="CV235">
            <v>1.9540507202358863E-3</v>
          </cell>
          <cell r="DG235">
            <v>85007848</v>
          </cell>
          <cell r="DR235">
            <v>29918337.110000029</v>
          </cell>
          <cell r="EC235">
            <v>2.8413293054173998</v>
          </cell>
          <cell r="EN235">
            <v>2.4095909012463064E-2</v>
          </cell>
        </row>
        <row r="236">
          <cell r="B236">
            <v>37001</v>
          </cell>
          <cell r="C236" t="str">
            <v>N.E. ACADEMY OF AEROSPACE &amp; ADV.TECH</v>
          </cell>
          <cell r="D236">
            <v>3.1564032534837588E-5</v>
          </cell>
          <cell r="E236">
            <v>54613.136039171142</v>
          </cell>
          <cell r="F236">
            <v>42583.114630526783</v>
          </cell>
          <cell r="G236">
            <v>174684</v>
          </cell>
          <cell r="H236">
            <v>-15239.005539780484</v>
          </cell>
          <cell r="I236">
            <v>-630.61880216122563</v>
          </cell>
          <cell r="J236">
            <v>46085.846366893697</v>
          </cell>
          <cell r="K236">
            <v>0</v>
          </cell>
          <cell r="L236">
            <v>-2421.4268746078715</v>
          </cell>
          <cell r="M236">
            <v>434.54240399107442</v>
          </cell>
          <cell r="N236">
            <v>16.381101604930013</v>
          </cell>
          <cell r="O236">
            <v>-7.3926120599843115</v>
          </cell>
          <cell r="P236">
            <v>0</v>
          </cell>
          <cell r="Q236">
            <v>0</v>
          </cell>
          <cell r="R236">
            <v>0</v>
          </cell>
          <cell r="S236">
            <v>300118.57671357814</v>
          </cell>
          <cell r="T236">
            <v>873420.79</v>
          </cell>
          <cell r="U236">
            <v>230429.23183446849</v>
          </cell>
          <cell r="V236">
            <v>1738.1696159642977</v>
          </cell>
          <cell r="W236">
            <v>0</v>
          </cell>
          <cell r="X236">
            <v>1105588.1914504329</v>
          </cell>
          <cell r="Y236">
            <v>0</v>
          </cell>
          <cell r="Z236">
            <v>0</v>
          </cell>
          <cell r="AA236">
            <v>0</v>
          </cell>
          <cell r="AB236">
            <v>3153.0940108061282</v>
          </cell>
          <cell r="AC236">
            <v>3153.0940108061282</v>
          </cell>
          <cell r="AD236" t="str">
            <v>N/A</v>
          </cell>
          <cell r="AE236">
            <v>220574</v>
          </cell>
          <cell r="AF236">
            <v>220574</v>
          </cell>
          <cell r="AG236">
            <v>220574</v>
          </cell>
          <cell r="AH236">
            <v>220574</v>
          </cell>
          <cell r="AI236">
            <v>220139</v>
          </cell>
          <cell r="AJ236">
            <v>0</v>
          </cell>
          <cell r="AK236">
            <v>1102435</v>
          </cell>
          <cell r="AL236">
            <v>0</v>
          </cell>
          <cell r="AM236">
            <v>300118.57671357814</v>
          </cell>
          <cell r="AN236">
            <v>-29411.79</v>
          </cell>
          <cell r="AO236">
            <v>229014.30743962669</v>
          </cell>
          <cell r="AP236">
            <v>0</v>
          </cell>
          <cell r="AQ236">
            <v>873420.79</v>
          </cell>
          <cell r="AR236">
            <v>0</v>
          </cell>
          <cell r="AS236">
            <v>0</v>
          </cell>
          <cell r="AT236">
            <v>1373141.884153205</v>
          </cell>
          <cell r="AU236">
            <v>0</v>
          </cell>
          <cell r="AV236">
            <v>0</v>
          </cell>
          <cell r="AW236">
            <v>0</v>
          </cell>
          <cell r="AY236">
            <v>0</v>
          </cell>
          <cell r="AZ236">
            <v>0</v>
          </cell>
          <cell r="BA236">
            <v>0</v>
          </cell>
          <cell r="BB236">
            <v>0</v>
          </cell>
          <cell r="BC236">
            <v>0</v>
          </cell>
          <cell r="BD236">
            <v>0</v>
          </cell>
          <cell r="BE236">
            <v>0</v>
          </cell>
          <cell r="BF236">
            <v>0</v>
          </cell>
          <cell r="BG236">
            <v>0</v>
          </cell>
          <cell r="BH236">
            <v>0</v>
          </cell>
          <cell r="BJ236">
            <v>0</v>
          </cell>
          <cell r="BL236">
            <v>0</v>
          </cell>
          <cell r="BM236">
            <v>0</v>
          </cell>
          <cell r="BN236">
            <v>0</v>
          </cell>
          <cell r="BO236">
            <v>0</v>
          </cell>
          <cell r="BQ236">
            <v>0</v>
          </cell>
          <cell r="BR236">
            <v>0</v>
          </cell>
          <cell r="BS236">
            <v>0</v>
          </cell>
          <cell r="BT236">
            <v>0</v>
          </cell>
          <cell r="CB236">
            <v>0</v>
          </cell>
          <cell r="CC236">
            <v>0</v>
          </cell>
          <cell r="CD236">
            <v>0</v>
          </cell>
          <cell r="CE236">
            <v>0</v>
          </cell>
          <cell r="CF236">
            <v>0</v>
          </cell>
          <cell r="CI236">
            <v>0</v>
          </cell>
          <cell r="CJ236">
            <v>0</v>
          </cell>
          <cell r="CK236">
            <v>0</v>
          </cell>
          <cell r="CV236">
            <v>3.1564032534837588E-5</v>
          </cell>
          <cell r="DG236">
            <v>1373143</v>
          </cell>
          <cell r="DR236">
            <v>343321.99000000005</v>
          </cell>
          <cell r="EC236">
            <v>3.9995777724578603</v>
          </cell>
          <cell r="EN236">
            <v>2.4095909012463064E-2</v>
          </cell>
        </row>
        <row r="237">
          <cell r="B237">
            <v>37005</v>
          </cell>
          <cell r="C237" t="str">
            <v>College Of The Albemarle</v>
          </cell>
          <cell r="D237">
            <v>4.596533387831449E-4</v>
          </cell>
          <cell r="E237">
            <v>795307.4530041914</v>
          </cell>
          <cell r="F237">
            <v>620119.46015147329</v>
          </cell>
          <cell r="G237">
            <v>-141828</v>
          </cell>
          <cell r="H237">
            <v>-221919.03928510455</v>
          </cell>
          <cell r="I237">
            <v>-9183.4285620161609</v>
          </cell>
          <cell r="J237">
            <v>671128.22576802468</v>
          </cell>
          <cell r="K237">
            <v>0</v>
          </cell>
          <cell r="L237">
            <v>-35262.19111275766</v>
          </cell>
          <cell r="M237">
            <v>6328.0528752749651</v>
          </cell>
          <cell r="N237">
            <v>238.55088976167653</v>
          </cell>
          <cell r="O237">
            <v>-107.65540847640037</v>
          </cell>
          <cell r="P237">
            <v>0</v>
          </cell>
          <cell r="Q237">
            <v>0</v>
          </cell>
          <cell r="R237">
            <v>0</v>
          </cell>
          <cell r="S237">
            <v>1684821.4283203713</v>
          </cell>
          <cell r="T237">
            <v>48687.900000000023</v>
          </cell>
          <cell r="U237">
            <v>3355641.1288401233</v>
          </cell>
          <cell r="V237">
            <v>25312.21150109986</v>
          </cell>
          <cell r="W237">
            <v>0</v>
          </cell>
          <cell r="X237">
            <v>3429641.2403412228</v>
          </cell>
          <cell r="Y237">
            <v>757829</v>
          </cell>
          <cell r="Z237">
            <v>0</v>
          </cell>
          <cell r="AA237">
            <v>0</v>
          </cell>
          <cell r="AB237">
            <v>45917.142810080804</v>
          </cell>
          <cell r="AC237">
            <v>803746.14281008078</v>
          </cell>
          <cell r="AD237" t="str">
            <v>N/A</v>
          </cell>
          <cell r="AE237">
            <v>526445</v>
          </cell>
          <cell r="AF237">
            <v>526444</v>
          </cell>
          <cell r="AG237">
            <v>526444</v>
          </cell>
          <cell r="AH237">
            <v>526444</v>
          </cell>
          <cell r="AI237">
            <v>520116</v>
          </cell>
          <cell r="AJ237">
            <v>0</v>
          </cell>
          <cell r="AK237">
            <v>2625893</v>
          </cell>
          <cell r="AL237">
            <v>16148968</v>
          </cell>
          <cell r="AM237">
            <v>1684821.4283203713</v>
          </cell>
          <cell r="AN237">
            <v>-463201.9</v>
          </cell>
          <cell r="AO237">
            <v>3335036.1975311427</v>
          </cell>
          <cell r="AP237">
            <v>0</v>
          </cell>
          <cell r="AQ237">
            <v>-709141.1</v>
          </cell>
          <cell r="AR237">
            <v>0</v>
          </cell>
          <cell r="AS237">
            <v>0</v>
          </cell>
          <cell r="AT237">
            <v>19996482.625851512</v>
          </cell>
          <cell r="AU237">
            <v>4.8708232843368933E-4</v>
          </cell>
          <cell r="AV237">
            <v>0</v>
          </cell>
          <cell r="AW237">
            <v>0</v>
          </cell>
          <cell r="AY237">
            <v>0</v>
          </cell>
          <cell r="AZ237">
            <v>0</v>
          </cell>
          <cell r="BA237">
            <v>0</v>
          </cell>
          <cell r="BB237">
            <v>0</v>
          </cell>
          <cell r="BC237">
            <v>0</v>
          </cell>
          <cell r="BD237">
            <v>0</v>
          </cell>
          <cell r="BE237">
            <v>0</v>
          </cell>
          <cell r="BF237">
            <v>0</v>
          </cell>
          <cell r="BG237">
            <v>0</v>
          </cell>
          <cell r="BH237">
            <v>0</v>
          </cell>
          <cell r="BJ237">
            <v>0</v>
          </cell>
          <cell r="BL237">
            <v>0</v>
          </cell>
          <cell r="BM237">
            <v>0</v>
          </cell>
          <cell r="BN237">
            <v>0</v>
          </cell>
          <cell r="BO237">
            <v>0</v>
          </cell>
          <cell r="BQ237">
            <v>0</v>
          </cell>
          <cell r="BR237">
            <v>0</v>
          </cell>
          <cell r="BS237">
            <v>0</v>
          </cell>
          <cell r="BT237">
            <v>0</v>
          </cell>
          <cell r="CB237">
            <v>0</v>
          </cell>
          <cell r="CC237">
            <v>0</v>
          </cell>
          <cell r="CD237">
            <v>0</v>
          </cell>
          <cell r="CE237">
            <v>0</v>
          </cell>
          <cell r="CF237">
            <v>0</v>
          </cell>
          <cell r="CI237">
            <v>0</v>
          </cell>
          <cell r="CJ237">
            <v>0</v>
          </cell>
          <cell r="CK237">
            <v>0</v>
          </cell>
          <cell r="CV237">
            <v>4.596533387831449E-4</v>
          </cell>
          <cell r="DG237">
            <v>19996483</v>
          </cell>
          <cell r="DR237">
            <v>7770150.4700000007</v>
          </cell>
          <cell r="EC237">
            <v>2.5735000985122491</v>
          </cell>
          <cell r="EN237">
            <v>2.4095909012463064E-2</v>
          </cell>
        </row>
        <row r="238">
          <cell r="B238">
            <v>37100</v>
          </cell>
          <cell r="C238" t="str">
            <v>Pender County Schools</v>
          </cell>
          <cell r="D238">
            <v>2.754611115011029E-3</v>
          </cell>
          <cell r="E238">
            <v>4766119.5188881559</v>
          </cell>
          <cell r="F238">
            <v>3716252.6918438757</v>
          </cell>
          <cell r="G238">
            <v>515945</v>
          </cell>
          <cell r="H238">
            <v>-1329916.7017161979</v>
          </cell>
          <cell r="I238">
            <v>-55034.46240118354</v>
          </cell>
          <cell r="J238">
            <v>4021938.0874994793</v>
          </cell>
          <cell r="K238">
            <v>0</v>
          </cell>
          <cell r="L238">
            <v>-211319.30388233523</v>
          </cell>
          <cell r="M238">
            <v>37922.763343254344</v>
          </cell>
          <cell r="N238">
            <v>1429.5880764684239</v>
          </cell>
          <cell r="O238">
            <v>-645.15746924673306</v>
          </cell>
          <cell r="P238">
            <v>0</v>
          </cell>
          <cell r="Q238">
            <v>0</v>
          </cell>
          <cell r="R238">
            <v>0</v>
          </cell>
          <cell r="S238">
            <v>11462692.024182271</v>
          </cell>
          <cell r="T238">
            <v>2653879</v>
          </cell>
          <cell r="U238">
            <v>20109690.437497396</v>
          </cell>
          <cell r="V238">
            <v>151691.05337301738</v>
          </cell>
          <cell r="W238">
            <v>0</v>
          </cell>
          <cell r="X238">
            <v>22915260.490870412</v>
          </cell>
          <cell r="Y238">
            <v>74152.149999999907</v>
          </cell>
          <cell r="Z238">
            <v>0</v>
          </cell>
          <cell r="AA238">
            <v>0</v>
          </cell>
          <cell r="AB238">
            <v>275172.31200591772</v>
          </cell>
          <cell r="AC238">
            <v>349324.46200591762</v>
          </cell>
          <cell r="AD238" t="str">
            <v>N/A</v>
          </cell>
          <cell r="AE238">
            <v>4520772</v>
          </cell>
          <cell r="AF238">
            <v>4520771</v>
          </cell>
          <cell r="AG238">
            <v>4520771</v>
          </cell>
          <cell r="AH238">
            <v>4520771</v>
          </cell>
          <cell r="AI238">
            <v>4482849</v>
          </cell>
          <cell r="AJ238">
            <v>0</v>
          </cell>
          <cell r="AK238">
            <v>22565934</v>
          </cell>
          <cell r="AL238">
            <v>88143080</v>
          </cell>
          <cell r="AM238">
            <v>11462692.024182271</v>
          </cell>
          <cell r="AN238">
            <v>-2336761.85</v>
          </cell>
          <cell r="AO238">
            <v>19986209.178864498</v>
          </cell>
          <cell r="AP238">
            <v>0</v>
          </cell>
          <cell r="AQ238">
            <v>2579726.85</v>
          </cell>
          <cell r="AR238">
            <v>0</v>
          </cell>
          <cell r="AS238">
            <v>0</v>
          </cell>
          <cell r="AT238">
            <v>119834946.20304677</v>
          </cell>
          <cell r="AU238">
            <v>2.6585561174162693E-3</v>
          </cell>
          <cell r="AV238">
            <v>0</v>
          </cell>
          <cell r="AW238">
            <v>0</v>
          </cell>
          <cell r="AY238">
            <v>0</v>
          </cell>
          <cell r="AZ238">
            <v>0</v>
          </cell>
          <cell r="BA238">
            <v>0</v>
          </cell>
          <cell r="BB238">
            <v>0</v>
          </cell>
          <cell r="BC238">
            <v>0</v>
          </cell>
          <cell r="BD238">
            <v>0</v>
          </cell>
          <cell r="BE238">
            <v>0</v>
          </cell>
          <cell r="BF238">
            <v>0</v>
          </cell>
          <cell r="BG238">
            <v>0</v>
          </cell>
          <cell r="BH238">
            <v>0</v>
          </cell>
          <cell r="BJ238">
            <v>0</v>
          </cell>
          <cell r="BL238">
            <v>0</v>
          </cell>
          <cell r="BM238">
            <v>0</v>
          </cell>
          <cell r="BN238">
            <v>0</v>
          </cell>
          <cell r="BO238">
            <v>0</v>
          </cell>
          <cell r="BQ238">
            <v>0</v>
          </cell>
          <cell r="BR238">
            <v>0</v>
          </cell>
          <cell r="BS238">
            <v>0</v>
          </cell>
          <cell r="BT238">
            <v>0</v>
          </cell>
          <cell r="CB238">
            <v>0</v>
          </cell>
          <cell r="CC238">
            <v>0</v>
          </cell>
          <cell r="CD238">
            <v>0</v>
          </cell>
          <cell r="CE238">
            <v>0</v>
          </cell>
          <cell r="CF238">
            <v>0</v>
          </cell>
          <cell r="CI238">
            <v>0</v>
          </cell>
          <cell r="CJ238">
            <v>0</v>
          </cell>
          <cell r="CK238">
            <v>0</v>
          </cell>
          <cell r="CV238">
            <v>2.754611115011029E-3</v>
          </cell>
          <cell r="DG238">
            <v>119834946</v>
          </cell>
          <cell r="DR238">
            <v>39904202.460000046</v>
          </cell>
          <cell r="EC238">
            <v>3.0030658079214212</v>
          </cell>
          <cell r="EN238">
            <v>2.4095909012463064E-2</v>
          </cell>
        </row>
        <row r="239">
          <cell r="B239">
            <v>37200</v>
          </cell>
          <cell r="C239" t="str">
            <v>Perquimans County Schools</v>
          </cell>
          <cell r="D239">
            <v>6.2291965627409203E-4</v>
          </cell>
          <cell r="E239">
            <v>1077796.2509075131</v>
          </cell>
          <cell r="F239">
            <v>840382.454284037</v>
          </cell>
          <cell r="G239">
            <v>-13319</v>
          </cell>
          <cell r="H239">
            <v>-300743.45165884198</v>
          </cell>
          <cell r="I239">
            <v>-12445.331471784695</v>
          </cell>
          <cell r="J239">
            <v>909509.25064092898</v>
          </cell>
          <cell r="K239">
            <v>0</v>
          </cell>
          <cell r="L239">
            <v>-47787.125892700686</v>
          </cell>
          <cell r="M239">
            <v>8575.742172102995</v>
          </cell>
          <cell r="N239">
            <v>323.28284321312827</v>
          </cell>
          <cell r="O239">
            <v>-145.8940126959551</v>
          </cell>
          <cell r="P239">
            <v>0</v>
          </cell>
          <cell r="Q239">
            <v>0</v>
          </cell>
          <cell r="R239">
            <v>0</v>
          </cell>
          <cell r="S239">
            <v>2462146.1778117716</v>
          </cell>
          <cell r="T239">
            <v>15891.79999999993</v>
          </cell>
          <cell r="U239">
            <v>4547546.2532046447</v>
          </cell>
          <cell r="V239">
            <v>34302.96868841198</v>
          </cell>
          <cell r="W239">
            <v>0</v>
          </cell>
          <cell r="X239">
            <v>4597741.0218930561</v>
          </cell>
          <cell r="Y239">
            <v>82486</v>
          </cell>
          <cell r="Z239">
            <v>0</v>
          </cell>
          <cell r="AA239">
            <v>0</v>
          </cell>
          <cell r="AB239">
            <v>62226.657358923476</v>
          </cell>
          <cell r="AC239">
            <v>144712.65735892346</v>
          </cell>
          <cell r="AD239" t="str">
            <v>N/A</v>
          </cell>
          <cell r="AE239">
            <v>892321</v>
          </cell>
          <cell r="AF239">
            <v>892321</v>
          </cell>
          <cell r="AG239">
            <v>892321</v>
          </cell>
          <cell r="AH239">
            <v>892321</v>
          </cell>
          <cell r="AI239">
            <v>883745</v>
          </cell>
          <cell r="AJ239">
            <v>0</v>
          </cell>
          <cell r="AK239">
            <v>4453029</v>
          </cell>
          <cell r="AL239">
            <v>20751568</v>
          </cell>
          <cell r="AM239">
            <v>2462146.1778117716</v>
          </cell>
          <cell r="AN239">
            <v>-567620.79999999993</v>
          </cell>
          <cell r="AO239">
            <v>4519622.5645341333</v>
          </cell>
          <cell r="AP239">
            <v>0</v>
          </cell>
          <cell r="AQ239">
            <v>-66594.20000000007</v>
          </cell>
          <cell r="AR239">
            <v>0</v>
          </cell>
          <cell r="AS239">
            <v>0</v>
          </cell>
          <cell r="AT239">
            <v>27099121.742345903</v>
          </cell>
          <cell r="AU239">
            <v>6.2590514962913239E-4</v>
          </cell>
          <cell r="AV239">
            <v>0</v>
          </cell>
          <cell r="AW239">
            <v>0</v>
          </cell>
          <cell r="AY239">
            <v>0</v>
          </cell>
          <cell r="AZ239">
            <v>0</v>
          </cell>
          <cell r="BA239">
            <v>0</v>
          </cell>
          <cell r="BB239">
            <v>0</v>
          </cell>
          <cell r="BC239">
            <v>0</v>
          </cell>
          <cell r="BD239">
            <v>0</v>
          </cell>
          <cell r="BE239">
            <v>0</v>
          </cell>
          <cell r="BF239">
            <v>0</v>
          </cell>
          <cell r="BG239">
            <v>0</v>
          </cell>
          <cell r="BH239">
            <v>0</v>
          </cell>
          <cell r="BJ239">
            <v>0</v>
          </cell>
          <cell r="BL239">
            <v>0</v>
          </cell>
          <cell r="BM239">
            <v>0</v>
          </cell>
          <cell r="BN239">
            <v>0</v>
          </cell>
          <cell r="BO239">
            <v>0</v>
          </cell>
          <cell r="BQ239">
            <v>0</v>
          </cell>
          <cell r="BR239">
            <v>0</v>
          </cell>
          <cell r="BS239">
            <v>0</v>
          </cell>
          <cell r="BT239">
            <v>0</v>
          </cell>
          <cell r="CB239">
            <v>0</v>
          </cell>
          <cell r="CC239">
            <v>0</v>
          </cell>
          <cell r="CD239">
            <v>0</v>
          </cell>
          <cell r="CE239">
            <v>0</v>
          </cell>
          <cell r="CF239">
            <v>0</v>
          </cell>
          <cell r="CI239">
            <v>0</v>
          </cell>
          <cell r="CJ239">
            <v>0</v>
          </cell>
          <cell r="CK239">
            <v>0</v>
          </cell>
          <cell r="CV239">
            <v>6.2291965627409203E-4</v>
          </cell>
          <cell r="DG239">
            <v>27099122</v>
          </cell>
          <cell r="DR239">
            <v>9714594.7999999952</v>
          </cell>
          <cell r="EC239">
            <v>2.7895267438226052</v>
          </cell>
          <cell r="EN239">
            <v>2.4095909012463064E-2</v>
          </cell>
        </row>
        <row r="240">
          <cell r="B240">
            <v>37300</v>
          </cell>
          <cell r="C240" t="str">
            <v>Person County Schools</v>
          </cell>
          <cell r="D240">
            <v>1.6377178690144558E-3</v>
          </cell>
          <cell r="E240">
            <v>2833633.7784328088</v>
          </cell>
          <cell r="F240">
            <v>2209449.2416877579</v>
          </cell>
          <cell r="G240">
            <v>112004</v>
          </cell>
          <cell r="H240">
            <v>-790684.51253695926</v>
          </cell>
          <cell r="I240">
            <v>-32720.016990732875</v>
          </cell>
          <cell r="J240">
            <v>2391190.4798733634</v>
          </cell>
          <cell r="K240">
            <v>0</v>
          </cell>
          <cell r="L240">
            <v>-125637.11739557495</v>
          </cell>
          <cell r="M240">
            <v>22546.481000968939</v>
          </cell>
          <cell r="N240">
            <v>849.94281966112226</v>
          </cell>
          <cell r="O240">
            <v>-383.5699021018757</v>
          </cell>
          <cell r="P240">
            <v>0</v>
          </cell>
          <cell r="Q240">
            <v>0</v>
          </cell>
          <cell r="R240">
            <v>0</v>
          </cell>
          <cell r="S240">
            <v>6620248.7069891915</v>
          </cell>
          <cell r="T240">
            <v>578585</v>
          </cell>
          <cell r="U240">
            <v>11955952.399366817</v>
          </cell>
          <cell r="V240">
            <v>90185.924003875756</v>
          </cell>
          <cell r="W240">
            <v>0</v>
          </cell>
          <cell r="X240">
            <v>12624723.323370691</v>
          </cell>
          <cell r="Y240">
            <v>18567.469999999972</v>
          </cell>
          <cell r="Z240">
            <v>0</v>
          </cell>
          <cell r="AA240">
            <v>0</v>
          </cell>
          <cell r="AB240">
            <v>163600.08495366437</v>
          </cell>
          <cell r="AC240">
            <v>182167.55495366434</v>
          </cell>
          <cell r="AD240" t="str">
            <v>N/A</v>
          </cell>
          <cell r="AE240">
            <v>2493021</v>
          </cell>
          <cell r="AF240">
            <v>2493020</v>
          </cell>
          <cell r="AG240">
            <v>2493020</v>
          </cell>
          <cell r="AH240">
            <v>2493020</v>
          </cell>
          <cell r="AI240">
            <v>2470473</v>
          </cell>
          <cell r="AJ240">
            <v>0</v>
          </cell>
          <cell r="AK240">
            <v>12442554</v>
          </cell>
          <cell r="AL240">
            <v>53603404</v>
          </cell>
          <cell r="AM240">
            <v>6620248.7069891915</v>
          </cell>
          <cell r="AN240">
            <v>-1419914.53</v>
          </cell>
          <cell r="AO240">
            <v>11882538.238417029</v>
          </cell>
          <cell r="AP240">
            <v>0</v>
          </cell>
          <cell r="AQ240">
            <v>560017.53</v>
          </cell>
          <cell r="AR240">
            <v>0</v>
          </cell>
          <cell r="AS240">
            <v>0</v>
          </cell>
          <cell r="AT240">
            <v>71246293.945406228</v>
          </cell>
          <cell r="AU240">
            <v>1.6167764569411669E-3</v>
          </cell>
          <cell r="AV240">
            <v>0</v>
          </cell>
          <cell r="AW240">
            <v>0</v>
          </cell>
          <cell r="AY240">
            <v>0</v>
          </cell>
          <cell r="AZ240">
            <v>0</v>
          </cell>
          <cell r="BA240">
            <v>0</v>
          </cell>
          <cell r="BB240">
            <v>0</v>
          </cell>
          <cell r="BC240">
            <v>0</v>
          </cell>
          <cell r="BD240">
            <v>0</v>
          </cell>
          <cell r="BE240">
            <v>0</v>
          </cell>
          <cell r="BF240">
            <v>0</v>
          </cell>
          <cell r="BG240">
            <v>0</v>
          </cell>
          <cell r="BH240">
            <v>0</v>
          </cell>
          <cell r="BJ240">
            <v>0</v>
          </cell>
          <cell r="BL240">
            <v>0</v>
          </cell>
          <cell r="BM240">
            <v>0</v>
          </cell>
          <cell r="BN240">
            <v>0</v>
          </cell>
          <cell r="BO240">
            <v>0</v>
          </cell>
          <cell r="BQ240">
            <v>0</v>
          </cell>
          <cell r="BR240">
            <v>0</v>
          </cell>
          <cell r="BS240">
            <v>0</v>
          </cell>
          <cell r="BT240">
            <v>0</v>
          </cell>
          <cell r="CB240">
            <v>0</v>
          </cell>
          <cell r="CC240">
            <v>0</v>
          </cell>
          <cell r="CD240">
            <v>0</v>
          </cell>
          <cell r="CE240">
            <v>0</v>
          </cell>
          <cell r="CF240">
            <v>0</v>
          </cell>
          <cell r="CI240">
            <v>0</v>
          </cell>
          <cell r="CJ240">
            <v>0</v>
          </cell>
          <cell r="CK240">
            <v>0</v>
          </cell>
          <cell r="CV240">
            <v>1.6377178690144558E-3</v>
          </cell>
          <cell r="DG240">
            <v>71246294</v>
          </cell>
          <cell r="DR240">
            <v>23993814.67999997</v>
          </cell>
          <cell r="EC240">
            <v>2.969360851961039</v>
          </cell>
          <cell r="EN240">
            <v>2.4095909012463064E-2</v>
          </cell>
        </row>
        <row r="241">
          <cell r="B241">
            <v>37301</v>
          </cell>
          <cell r="C241" t="str">
            <v>Roxboro Community School</v>
          </cell>
          <cell r="D241">
            <v>1.7931735082704975E-4</v>
          </cell>
          <cell r="E241">
            <v>310260.82817817107</v>
          </cell>
          <cell r="F241">
            <v>241917.48304285345</v>
          </cell>
          <cell r="G241">
            <v>14926</v>
          </cell>
          <cell r="H241">
            <v>-86573.795652255445</v>
          </cell>
          <cell r="I241">
            <v>-3582.5870113544484</v>
          </cell>
          <cell r="J241">
            <v>261816.733081007</v>
          </cell>
          <cell r="K241">
            <v>0</v>
          </cell>
          <cell r="L241">
            <v>-13756.285794499498</v>
          </cell>
          <cell r="M241">
            <v>2468.6640599452803</v>
          </cell>
          <cell r="N241">
            <v>93.062118732222274</v>
          </cell>
          <cell r="O241">
            <v>-41.997916737203319</v>
          </cell>
          <cell r="P241">
            <v>0</v>
          </cell>
          <cell r="Q241">
            <v>0</v>
          </cell>
          <cell r="R241">
            <v>0</v>
          </cell>
          <cell r="S241">
            <v>727528.10410586244</v>
          </cell>
          <cell r="T241">
            <v>86431</v>
          </cell>
          <cell r="U241">
            <v>1309083.665405035</v>
          </cell>
          <cell r="V241">
            <v>9874.6562397811213</v>
          </cell>
          <cell r="W241">
            <v>0</v>
          </cell>
          <cell r="X241">
            <v>1405389.3216448161</v>
          </cell>
          <cell r="Y241">
            <v>11798.450000000012</v>
          </cell>
          <cell r="Z241">
            <v>0</v>
          </cell>
          <cell r="AA241">
            <v>0</v>
          </cell>
          <cell r="AB241">
            <v>17912.935056772243</v>
          </cell>
          <cell r="AC241">
            <v>29711.385056772255</v>
          </cell>
          <cell r="AD241" t="str">
            <v>N/A</v>
          </cell>
          <cell r="AE241">
            <v>275629</v>
          </cell>
          <cell r="AF241">
            <v>275629</v>
          </cell>
          <cell r="AG241">
            <v>275629</v>
          </cell>
          <cell r="AH241">
            <v>275629</v>
          </cell>
          <cell r="AI241">
            <v>273160</v>
          </cell>
          <cell r="AJ241">
            <v>0</v>
          </cell>
          <cell r="AK241">
            <v>1375676</v>
          </cell>
          <cell r="AL241">
            <v>5841459</v>
          </cell>
          <cell r="AM241">
            <v>727528.10410586244</v>
          </cell>
          <cell r="AN241">
            <v>-143750.54999999999</v>
          </cell>
          <cell r="AO241">
            <v>1301045.386588044</v>
          </cell>
          <cell r="AP241">
            <v>0</v>
          </cell>
          <cell r="AQ241">
            <v>74632.549999999988</v>
          </cell>
          <cell r="AR241">
            <v>0</v>
          </cell>
          <cell r="AS241">
            <v>0</v>
          </cell>
          <cell r="AT241">
            <v>7800914.4906939073</v>
          </cell>
          <cell r="AU241">
            <v>1.7618907416997172E-4</v>
          </cell>
          <cell r="AV241">
            <v>0</v>
          </cell>
          <cell r="AW241">
            <v>0</v>
          </cell>
          <cell r="AY241">
            <v>0</v>
          </cell>
          <cell r="AZ241">
            <v>0</v>
          </cell>
          <cell r="BA241">
            <v>0</v>
          </cell>
          <cell r="BB241">
            <v>0</v>
          </cell>
          <cell r="BC241">
            <v>0</v>
          </cell>
          <cell r="BD241">
            <v>0</v>
          </cell>
          <cell r="BE241">
            <v>0</v>
          </cell>
          <cell r="BF241">
            <v>0</v>
          </cell>
          <cell r="BG241">
            <v>0</v>
          </cell>
          <cell r="BH241">
            <v>0</v>
          </cell>
          <cell r="BJ241">
            <v>0</v>
          </cell>
          <cell r="BL241">
            <v>0</v>
          </cell>
          <cell r="BM241">
            <v>0</v>
          </cell>
          <cell r="BN241">
            <v>0</v>
          </cell>
          <cell r="BO241">
            <v>0</v>
          </cell>
          <cell r="BQ241">
            <v>0</v>
          </cell>
          <cell r="BR241">
            <v>0</v>
          </cell>
          <cell r="BS241">
            <v>0</v>
          </cell>
          <cell r="BT241">
            <v>0</v>
          </cell>
          <cell r="CB241">
            <v>0</v>
          </cell>
          <cell r="CC241">
            <v>0</v>
          </cell>
          <cell r="CD241">
            <v>0</v>
          </cell>
          <cell r="CE241">
            <v>0</v>
          </cell>
          <cell r="CF241">
            <v>0</v>
          </cell>
          <cell r="CI241">
            <v>0</v>
          </cell>
          <cell r="CJ241">
            <v>0</v>
          </cell>
          <cell r="CK241">
            <v>0</v>
          </cell>
          <cell r="CV241">
            <v>1.7931735082704975E-4</v>
          </cell>
          <cell r="DG241">
            <v>7800914</v>
          </cell>
          <cell r="DR241">
            <v>2604506.2000000002</v>
          </cell>
          <cell r="EC241">
            <v>2.995160464582499</v>
          </cell>
          <cell r="EN241">
            <v>2.4095909012463064E-2</v>
          </cell>
        </row>
        <row r="242">
          <cell r="B242">
            <v>37305</v>
          </cell>
          <cell r="C242" t="str">
            <v>Piedmont Community College</v>
          </cell>
          <cell r="D242">
            <v>4.8043594409186781E-4</v>
          </cell>
          <cell r="E242">
            <v>831266.2060475793</v>
          </cell>
          <cell r="F242">
            <v>648157.3245531643</v>
          </cell>
          <cell r="G242">
            <v>-442300</v>
          </cell>
          <cell r="H242">
            <v>-231952.80911730669</v>
          </cell>
          <cell r="I242">
            <v>-9598.6448893694942</v>
          </cell>
          <cell r="J242">
            <v>701472.38265940023</v>
          </cell>
          <cell r="K242">
            <v>0</v>
          </cell>
          <cell r="L242">
            <v>-36856.523489755666</v>
          </cell>
          <cell r="M242">
            <v>6614.1672449165053</v>
          </cell>
          <cell r="N242">
            <v>249.33664626479757</v>
          </cell>
          <cell r="O242">
            <v>-112.52290246575636</v>
          </cell>
          <cell r="P242">
            <v>0</v>
          </cell>
          <cell r="Q242">
            <v>0</v>
          </cell>
          <cell r="R242">
            <v>0</v>
          </cell>
          <cell r="S242">
            <v>1466938.9167524278</v>
          </cell>
          <cell r="T242">
            <v>69136.13</v>
          </cell>
          <cell r="U242">
            <v>3507361.9132970013</v>
          </cell>
          <cell r="V242">
            <v>26456.668979666021</v>
          </cell>
          <cell r="W242">
            <v>0</v>
          </cell>
          <cell r="X242">
            <v>3602954.7122766674</v>
          </cell>
          <cell r="Y242">
            <v>2280634</v>
          </cell>
          <cell r="Z242">
            <v>0</v>
          </cell>
          <cell r="AA242">
            <v>0</v>
          </cell>
          <cell r="AB242">
            <v>47993.224446847467</v>
          </cell>
          <cell r="AC242">
            <v>2328627.2244468476</v>
          </cell>
          <cell r="AD242" t="str">
            <v>N/A</v>
          </cell>
          <cell r="AE242">
            <v>256188</v>
          </cell>
          <cell r="AF242">
            <v>256188</v>
          </cell>
          <cell r="AG242">
            <v>256188</v>
          </cell>
          <cell r="AH242">
            <v>256188</v>
          </cell>
          <cell r="AI242">
            <v>249574</v>
          </cell>
          <cell r="AJ242">
            <v>0</v>
          </cell>
          <cell r="AK242">
            <v>1274326</v>
          </cell>
          <cell r="AL242">
            <v>18665371</v>
          </cell>
          <cell r="AM242">
            <v>1466938.9167524278</v>
          </cell>
          <cell r="AN242">
            <v>-506041.13</v>
          </cell>
          <cell r="AO242">
            <v>3485825.3578298199</v>
          </cell>
          <cell r="AP242">
            <v>0</v>
          </cell>
          <cell r="AQ242">
            <v>-2211497.87</v>
          </cell>
          <cell r="AR242">
            <v>0</v>
          </cell>
          <cell r="AS242">
            <v>0</v>
          </cell>
          <cell r="AT242">
            <v>20900596.274582248</v>
          </cell>
          <cell r="AU242">
            <v>5.6298165415007942E-4</v>
          </cell>
          <cell r="AV242">
            <v>0</v>
          </cell>
          <cell r="AW242">
            <v>0</v>
          </cell>
          <cell r="AY242">
            <v>0</v>
          </cell>
          <cell r="AZ242">
            <v>0</v>
          </cell>
          <cell r="BA242">
            <v>0</v>
          </cell>
          <cell r="BB242">
            <v>0</v>
          </cell>
          <cell r="BC242">
            <v>0</v>
          </cell>
          <cell r="BD242">
            <v>0</v>
          </cell>
          <cell r="BE242">
            <v>0</v>
          </cell>
          <cell r="BF242">
            <v>0</v>
          </cell>
          <cell r="BG242">
            <v>0</v>
          </cell>
          <cell r="BH242">
            <v>0</v>
          </cell>
          <cell r="BJ242">
            <v>0</v>
          </cell>
          <cell r="BL242">
            <v>0</v>
          </cell>
          <cell r="BM242">
            <v>0</v>
          </cell>
          <cell r="BN242">
            <v>0</v>
          </cell>
          <cell r="BO242">
            <v>0</v>
          </cell>
          <cell r="BQ242">
            <v>0</v>
          </cell>
          <cell r="BR242">
            <v>0</v>
          </cell>
          <cell r="BS242">
            <v>0</v>
          </cell>
          <cell r="BT242">
            <v>0</v>
          </cell>
          <cell r="CB242">
            <v>0</v>
          </cell>
          <cell r="CC242">
            <v>0</v>
          </cell>
          <cell r="CD242">
            <v>0</v>
          </cell>
          <cell r="CE242">
            <v>0</v>
          </cell>
          <cell r="CF242">
            <v>0</v>
          </cell>
          <cell r="CI242">
            <v>0</v>
          </cell>
          <cell r="CJ242">
            <v>0</v>
          </cell>
          <cell r="CK242">
            <v>0</v>
          </cell>
          <cell r="CV242">
            <v>4.8043594409186781E-4</v>
          </cell>
          <cell r="DG242">
            <v>20900597</v>
          </cell>
          <cell r="DR242">
            <v>8940572.0300000012</v>
          </cell>
          <cell r="EC242">
            <v>2.3377248043937517</v>
          </cell>
          <cell r="EN242">
            <v>2.4095909012463064E-2</v>
          </cell>
        </row>
        <row r="243">
          <cell r="B243">
            <v>37400</v>
          </cell>
          <cell r="C243" t="str">
            <v>Pitt County Schools</v>
          </cell>
          <cell r="D243">
            <v>8.0746685606175768E-3</v>
          </cell>
          <cell r="E243">
            <v>13971059.372262018</v>
          </cell>
          <cell r="F243">
            <v>10893555.395394547</v>
          </cell>
          <cell r="G243">
            <v>199670</v>
          </cell>
          <cell r="H243">
            <v>-3898422.0026807711</v>
          </cell>
          <cell r="I243">
            <v>-161324.05800575143</v>
          </cell>
          <cell r="J243">
            <v>11789619.540452775</v>
          </cell>
          <cell r="K243">
            <v>0</v>
          </cell>
          <cell r="L243">
            <v>-619446.1824435977</v>
          </cell>
          <cell r="M243">
            <v>111164.05623676958</v>
          </cell>
          <cell r="N243">
            <v>4190.5914895893102</v>
          </cell>
          <cell r="O243">
            <v>-1891.1681235822427</v>
          </cell>
          <cell r="P243">
            <v>0</v>
          </cell>
          <cell r="Q243">
            <v>0</v>
          </cell>
          <cell r="R243">
            <v>0</v>
          </cell>
          <cell r="S243">
            <v>32288175.544582002</v>
          </cell>
          <cell r="T243">
            <v>1466652</v>
          </cell>
          <cell r="U243">
            <v>58948097.702263869</v>
          </cell>
          <cell r="V243">
            <v>444656.22494707833</v>
          </cell>
          <cell r="W243">
            <v>0</v>
          </cell>
          <cell r="X243">
            <v>60859405.927210949</v>
          </cell>
          <cell r="Y243">
            <v>468304.48000000045</v>
          </cell>
          <cell r="Z243">
            <v>0</v>
          </cell>
          <cell r="AA243">
            <v>0</v>
          </cell>
          <cell r="AB243">
            <v>806620.29002875707</v>
          </cell>
          <cell r="AC243">
            <v>1274924.7700287574</v>
          </cell>
          <cell r="AD243" t="str">
            <v>N/A</v>
          </cell>
          <cell r="AE243">
            <v>11939129</v>
          </cell>
          <cell r="AF243">
            <v>11939130</v>
          </cell>
          <cell r="AG243">
            <v>11939130</v>
          </cell>
          <cell r="AH243">
            <v>11939130</v>
          </cell>
          <cell r="AI243">
            <v>11827965</v>
          </cell>
          <cell r="AJ243">
            <v>0</v>
          </cell>
          <cell r="AK243">
            <v>59584484</v>
          </cell>
          <cell r="AL243">
            <v>265951560</v>
          </cell>
          <cell r="AM243">
            <v>32288175.544582002</v>
          </cell>
          <cell r="AN243">
            <v>-6548688.5199999996</v>
          </cell>
          <cell r="AO243">
            <v>58586133.637182198</v>
          </cell>
          <cell r="AP243">
            <v>0</v>
          </cell>
          <cell r="AQ243">
            <v>998347.51999999955</v>
          </cell>
          <cell r="AR243">
            <v>0</v>
          </cell>
          <cell r="AS243">
            <v>0</v>
          </cell>
          <cell r="AT243">
            <v>351275528.18176419</v>
          </cell>
          <cell r="AU243">
            <v>8.0215842587854757E-3</v>
          </cell>
          <cell r="AV243">
            <v>0</v>
          </cell>
          <cell r="AW243">
            <v>0</v>
          </cell>
          <cell r="AY243">
            <v>0</v>
          </cell>
          <cell r="AZ243">
            <v>0</v>
          </cell>
          <cell r="BA243">
            <v>0</v>
          </cell>
          <cell r="BB243">
            <v>0</v>
          </cell>
          <cell r="BC243">
            <v>0</v>
          </cell>
          <cell r="BD243">
            <v>0</v>
          </cell>
          <cell r="BE243">
            <v>0</v>
          </cell>
          <cell r="BF243">
            <v>0</v>
          </cell>
          <cell r="BG243">
            <v>0</v>
          </cell>
          <cell r="BH243">
            <v>0</v>
          </cell>
          <cell r="BJ243">
            <v>0</v>
          </cell>
          <cell r="BL243">
            <v>0</v>
          </cell>
          <cell r="BM243">
            <v>0</v>
          </cell>
          <cell r="BN243">
            <v>0</v>
          </cell>
          <cell r="BO243">
            <v>0</v>
          </cell>
          <cell r="BQ243">
            <v>0</v>
          </cell>
          <cell r="BR243">
            <v>0</v>
          </cell>
          <cell r="BS243">
            <v>0</v>
          </cell>
          <cell r="BT243">
            <v>0</v>
          </cell>
          <cell r="CB243">
            <v>0</v>
          </cell>
          <cell r="CC243">
            <v>0</v>
          </cell>
          <cell r="CD243">
            <v>0</v>
          </cell>
          <cell r="CE243">
            <v>0</v>
          </cell>
          <cell r="CF243">
            <v>0</v>
          </cell>
          <cell r="CI243">
            <v>0</v>
          </cell>
          <cell r="CJ243">
            <v>0</v>
          </cell>
          <cell r="CK243">
            <v>0</v>
          </cell>
          <cell r="CV243">
            <v>8.0746685606175768E-3</v>
          </cell>
          <cell r="DG243">
            <v>351275528</v>
          </cell>
          <cell r="DR243">
            <v>113908109.3899996</v>
          </cell>
          <cell r="EC243">
            <v>3.083850042645337</v>
          </cell>
          <cell r="EN243">
            <v>2.4095909012463064E-2</v>
          </cell>
        </row>
        <row r="244">
          <cell r="B244">
            <v>37405</v>
          </cell>
          <cell r="C244" t="str">
            <v>Pitt Community College</v>
          </cell>
          <cell r="D244">
            <v>1.7930074196734541E-3</v>
          </cell>
          <cell r="E244">
            <v>3102320.9097821135</v>
          </cell>
          <cell r="F244">
            <v>2418950.759890053</v>
          </cell>
          <cell r="G244">
            <v>421243</v>
          </cell>
          <cell r="H244">
            <v>-865657.76952339185</v>
          </cell>
          <cell r="I244">
            <v>-35822.551824222472</v>
          </cell>
          <cell r="J244">
            <v>2617924.8290461339</v>
          </cell>
          <cell r="K244">
            <v>0</v>
          </cell>
          <cell r="L244">
            <v>-137550.11649974386</v>
          </cell>
          <cell r="M244">
            <v>24684.354055800464</v>
          </cell>
          <cell r="N244">
            <v>930.53499066212919</v>
          </cell>
          <cell r="O244">
            <v>-419.94026776171967</v>
          </cell>
          <cell r="P244">
            <v>0</v>
          </cell>
          <cell r="Q244">
            <v>0</v>
          </cell>
          <cell r="R244">
            <v>0</v>
          </cell>
          <cell r="S244">
            <v>7546604.0096496437</v>
          </cell>
          <cell r="T244">
            <v>2131272</v>
          </cell>
          <cell r="U244">
            <v>13089624.14523067</v>
          </cell>
          <cell r="V244">
            <v>98737.416223201857</v>
          </cell>
          <cell r="W244">
            <v>0</v>
          </cell>
          <cell r="X244">
            <v>15319633.561453871</v>
          </cell>
          <cell r="Y244">
            <v>25060.489999999991</v>
          </cell>
          <cell r="Z244">
            <v>0</v>
          </cell>
          <cell r="AA244">
            <v>0</v>
          </cell>
          <cell r="AB244">
            <v>179112.75912111232</v>
          </cell>
          <cell r="AC244">
            <v>204173.24912111231</v>
          </cell>
          <cell r="AD244" t="str">
            <v>N/A</v>
          </cell>
          <cell r="AE244">
            <v>3028029</v>
          </cell>
          <cell r="AF244">
            <v>3028030</v>
          </cell>
          <cell r="AG244">
            <v>3028030</v>
          </cell>
          <cell r="AH244">
            <v>3028030</v>
          </cell>
          <cell r="AI244">
            <v>3003345</v>
          </cell>
          <cell r="AJ244">
            <v>0</v>
          </cell>
          <cell r="AK244">
            <v>15115464</v>
          </cell>
          <cell r="AL244">
            <v>56888725</v>
          </cell>
          <cell r="AM244">
            <v>7546604.0096496437</v>
          </cell>
          <cell r="AN244">
            <v>-1548872.51</v>
          </cell>
          <cell r="AO244">
            <v>13009248.802332761</v>
          </cell>
          <cell r="AP244">
            <v>0</v>
          </cell>
          <cell r="AQ244">
            <v>2106211.5099999998</v>
          </cell>
          <cell r="AR244">
            <v>0</v>
          </cell>
          <cell r="AS244">
            <v>0</v>
          </cell>
          <cell r="AT244">
            <v>78001916.811982408</v>
          </cell>
          <cell r="AU244">
            <v>1.7158677328418088E-3</v>
          </cell>
          <cell r="AV244">
            <v>0</v>
          </cell>
          <cell r="AW244">
            <v>0</v>
          </cell>
          <cell r="AY244">
            <v>0</v>
          </cell>
          <cell r="AZ244">
            <v>0</v>
          </cell>
          <cell r="BA244">
            <v>0</v>
          </cell>
          <cell r="BB244">
            <v>0</v>
          </cell>
          <cell r="BC244">
            <v>0</v>
          </cell>
          <cell r="BD244">
            <v>0</v>
          </cell>
          <cell r="BE244">
            <v>0</v>
          </cell>
          <cell r="BF244">
            <v>0</v>
          </cell>
          <cell r="BG244">
            <v>0</v>
          </cell>
          <cell r="BH244">
            <v>0</v>
          </cell>
          <cell r="BJ244">
            <v>0</v>
          </cell>
          <cell r="BL244">
            <v>0</v>
          </cell>
          <cell r="BM244">
            <v>0</v>
          </cell>
          <cell r="BN244">
            <v>0</v>
          </cell>
          <cell r="BO244">
            <v>0</v>
          </cell>
          <cell r="BQ244">
            <v>0</v>
          </cell>
          <cell r="BR244">
            <v>0</v>
          </cell>
          <cell r="BS244">
            <v>0</v>
          </cell>
          <cell r="BT244">
            <v>0</v>
          </cell>
          <cell r="CB244">
            <v>0</v>
          </cell>
          <cell r="CC244">
            <v>0</v>
          </cell>
          <cell r="CD244">
            <v>0</v>
          </cell>
          <cell r="CE244">
            <v>0</v>
          </cell>
          <cell r="CF244">
            <v>0</v>
          </cell>
          <cell r="CI244">
            <v>0</v>
          </cell>
          <cell r="CJ244">
            <v>0</v>
          </cell>
          <cell r="CK244">
            <v>0</v>
          </cell>
          <cell r="CV244">
            <v>1.7930074196734541E-3</v>
          </cell>
          <cell r="DG244">
            <v>78001917</v>
          </cell>
          <cell r="DR244">
            <v>26844527.370000001</v>
          </cell>
          <cell r="EC244">
            <v>2.9056915744834733</v>
          </cell>
          <cell r="EN244">
            <v>2.4095909012463064E-2</v>
          </cell>
        </row>
        <row r="245">
          <cell r="B245">
            <v>37500</v>
          </cell>
          <cell r="C245" t="str">
            <v>Polk County Schools</v>
          </cell>
          <cell r="D245">
            <v>9.118318190722808E-4</v>
          </cell>
          <cell r="E245">
            <v>1577681.6579084671</v>
          </cell>
          <cell r="F245">
            <v>1230154.5701570632</v>
          </cell>
          <cell r="G245">
            <v>-137069</v>
          </cell>
          <cell r="H245">
            <v>-440229.24278937042</v>
          </cell>
          <cell r="I245">
            <v>-18217.516690277098</v>
          </cell>
          <cell r="J245">
            <v>1331342.5995182833</v>
          </cell>
          <cell r="K245">
            <v>0</v>
          </cell>
          <cell r="L245">
            <v>-69950.950322563527</v>
          </cell>
          <cell r="M245">
            <v>12553.199286494846</v>
          </cell>
          <cell r="N245">
            <v>473.2224774621323</v>
          </cell>
          <cell r="O245">
            <v>-213.56013034491889</v>
          </cell>
          <cell r="P245">
            <v>0</v>
          </cell>
          <cell r="Q245">
            <v>0</v>
          </cell>
          <cell r="R245">
            <v>0</v>
          </cell>
          <cell r="S245">
            <v>3486524.9794152151</v>
          </cell>
          <cell r="T245">
            <v>32310.280000000028</v>
          </cell>
          <cell r="U245">
            <v>6656712.9975914164</v>
          </cell>
          <cell r="V245">
            <v>50212.797145979384</v>
          </cell>
          <cell r="W245">
            <v>0</v>
          </cell>
          <cell r="X245">
            <v>6739236.0747373961</v>
          </cell>
          <cell r="Y245">
            <v>717656</v>
          </cell>
          <cell r="Z245">
            <v>0</v>
          </cell>
          <cell r="AA245">
            <v>0</v>
          </cell>
          <cell r="AB245">
            <v>91087.583451385493</v>
          </cell>
          <cell r="AC245">
            <v>808743.58345138549</v>
          </cell>
          <cell r="AD245" t="str">
            <v>N/A</v>
          </cell>
          <cell r="AE245">
            <v>1188609</v>
          </cell>
          <cell r="AF245">
            <v>1188609</v>
          </cell>
          <cell r="AG245">
            <v>1188609</v>
          </cell>
          <cell r="AH245">
            <v>1188609</v>
          </cell>
          <cell r="AI245">
            <v>1176056</v>
          </cell>
          <cell r="AJ245">
            <v>0</v>
          </cell>
          <cell r="AK245">
            <v>5930492</v>
          </cell>
          <cell r="AL245">
            <v>31092509</v>
          </cell>
          <cell r="AM245">
            <v>3486524.9794152151</v>
          </cell>
          <cell r="AN245">
            <v>-841742.28</v>
          </cell>
          <cell r="AO245">
            <v>6615838.2112860112</v>
          </cell>
          <cell r="AP245">
            <v>0</v>
          </cell>
          <cell r="AQ245">
            <v>-685345.72</v>
          </cell>
          <cell r="AR245">
            <v>0</v>
          </cell>
          <cell r="AS245">
            <v>0</v>
          </cell>
          <cell r="AT245">
            <v>39667784.190701224</v>
          </cell>
          <cell r="AU245">
            <v>9.3780679031075706E-4</v>
          </cell>
          <cell r="AV245">
            <v>0</v>
          </cell>
          <cell r="AW245">
            <v>0</v>
          </cell>
          <cell r="AY245">
            <v>0</v>
          </cell>
          <cell r="AZ245">
            <v>0</v>
          </cell>
          <cell r="BA245">
            <v>0</v>
          </cell>
          <cell r="BB245">
            <v>0</v>
          </cell>
          <cell r="BC245">
            <v>0</v>
          </cell>
          <cell r="BD245">
            <v>0</v>
          </cell>
          <cell r="BE245">
            <v>0</v>
          </cell>
          <cell r="BF245">
            <v>0</v>
          </cell>
          <cell r="BG245">
            <v>0</v>
          </cell>
          <cell r="BH245">
            <v>0</v>
          </cell>
          <cell r="BJ245">
            <v>0</v>
          </cell>
          <cell r="BL245">
            <v>0</v>
          </cell>
          <cell r="BM245">
            <v>0</v>
          </cell>
          <cell r="BN245">
            <v>0</v>
          </cell>
          <cell r="BO245">
            <v>0</v>
          </cell>
          <cell r="BQ245">
            <v>0</v>
          </cell>
          <cell r="BR245">
            <v>0</v>
          </cell>
          <cell r="BS245">
            <v>0</v>
          </cell>
          <cell r="BT245">
            <v>0</v>
          </cell>
          <cell r="CB245">
            <v>0</v>
          </cell>
          <cell r="CC245">
            <v>0</v>
          </cell>
          <cell r="CD245">
            <v>0</v>
          </cell>
          <cell r="CE245">
            <v>0</v>
          </cell>
          <cell r="CF245">
            <v>0</v>
          </cell>
          <cell r="CI245">
            <v>0</v>
          </cell>
          <cell r="CJ245">
            <v>0</v>
          </cell>
          <cell r="CK245">
            <v>0</v>
          </cell>
          <cell r="CV245">
            <v>9.118318190722808E-4</v>
          </cell>
          <cell r="DG245">
            <v>39667783</v>
          </cell>
          <cell r="DR245">
            <v>14478684.469999995</v>
          </cell>
          <cell r="EC245">
            <v>2.7397366854835545</v>
          </cell>
          <cell r="EN245">
            <v>2.4095909012463064E-2</v>
          </cell>
        </row>
        <row r="246">
          <cell r="B246">
            <v>37600</v>
          </cell>
          <cell r="C246" t="str">
            <v>Randolph County Schools</v>
          </cell>
          <cell r="D246">
            <v>5.5740698920838461E-3</v>
          </cell>
          <cell r="E246">
            <v>9644440.6136077214</v>
          </cell>
          <cell r="F246">
            <v>7519991.5255186781</v>
          </cell>
          <cell r="G246">
            <v>-384987</v>
          </cell>
          <cell r="H246">
            <v>-2691141.6299814181</v>
          </cell>
          <cell r="I246">
            <v>-111364.51828926471</v>
          </cell>
          <cell r="J246">
            <v>8138558.6078513926</v>
          </cell>
          <cell r="K246">
            <v>0</v>
          </cell>
          <cell r="L246">
            <v>-427613.37996776565</v>
          </cell>
          <cell r="M246">
            <v>76738.285206334345</v>
          </cell>
          <cell r="N246">
            <v>2892.8307925936742</v>
          </cell>
          <cell r="O246">
            <v>-1305.5029094249576</v>
          </cell>
          <cell r="P246">
            <v>0</v>
          </cell>
          <cell r="Q246">
            <v>0</v>
          </cell>
          <cell r="R246">
            <v>0</v>
          </cell>
          <cell r="S246">
            <v>21766209.831828848</v>
          </cell>
          <cell r="T246">
            <v>0</v>
          </cell>
          <cell r="U246">
            <v>40692793.039256968</v>
          </cell>
          <cell r="V246">
            <v>306953.14082533738</v>
          </cell>
          <cell r="W246">
            <v>0</v>
          </cell>
          <cell r="X246">
            <v>40999746.180082306</v>
          </cell>
          <cell r="Y246">
            <v>1924935.5700000003</v>
          </cell>
          <cell r="Z246">
            <v>0</v>
          </cell>
          <cell r="AA246">
            <v>0</v>
          </cell>
          <cell r="AB246">
            <v>556822.59144632355</v>
          </cell>
          <cell r="AC246">
            <v>2481758.1614463236</v>
          </cell>
          <cell r="AD246" t="str">
            <v>N/A</v>
          </cell>
          <cell r="AE246">
            <v>7718945</v>
          </cell>
          <cell r="AF246">
            <v>7718945</v>
          </cell>
          <cell r="AG246">
            <v>7718945</v>
          </cell>
          <cell r="AH246">
            <v>7718945</v>
          </cell>
          <cell r="AI246">
            <v>7642207</v>
          </cell>
          <cell r="AJ246">
            <v>0</v>
          </cell>
          <cell r="AK246">
            <v>38517987</v>
          </cell>
          <cell r="AL246">
            <v>186878911</v>
          </cell>
          <cell r="AM246">
            <v>21766209.831828848</v>
          </cell>
          <cell r="AN246">
            <v>-4672122.43</v>
          </cell>
          <cell r="AO246">
            <v>40442923.588635981</v>
          </cell>
          <cell r="AP246">
            <v>0</v>
          </cell>
          <cell r="AQ246">
            <v>-1924935.5700000003</v>
          </cell>
          <cell r="AR246">
            <v>0</v>
          </cell>
          <cell r="AS246">
            <v>0</v>
          </cell>
          <cell r="AT246">
            <v>242490986.42046481</v>
          </cell>
          <cell r="AU246">
            <v>5.6366089039696851E-3</v>
          </cell>
          <cell r="AV246">
            <v>0</v>
          </cell>
          <cell r="AW246">
            <v>0</v>
          </cell>
          <cell r="AY246">
            <v>0</v>
          </cell>
          <cell r="AZ246">
            <v>0</v>
          </cell>
          <cell r="BA246">
            <v>0</v>
          </cell>
          <cell r="BB246">
            <v>0</v>
          </cell>
          <cell r="BC246">
            <v>0</v>
          </cell>
          <cell r="BD246">
            <v>0</v>
          </cell>
          <cell r="BE246">
            <v>0</v>
          </cell>
          <cell r="BF246">
            <v>0</v>
          </cell>
          <cell r="BG246">
            <v>0</v>
          </cell>
          <cell r="BH246">
            <v>0</v>
          </cell>
          <cell r="BJ246">
            <v>0</v>
          </cell>
          <cell r="BL246">
            <v>0</v>
          </cell>
          <cell r="BM246">
            <v>0</v>
          </cell>
          <cell r="BN246">
            <v>0</v>
          </cell>
          <cell r="BO246">
            <v>0</v>
          </cell>
          <cell r="BQ246">
            <v>0</v>
          </cell>
          <cell r="BR246">
            <v>0</v>
          </cell>
          <cell r="BS246">
            <v>0</v>
          </cell>
          <cell r="BT246">
            <v>0</v>
          </cell>
          <cell r="CB246">
            <v>0</v>
          </cell>
          <cell r="CC246">
            <v>0</v>
          </cell>
          <cell r="CD246">
            <v>0</v>
          </cell>
          <cell r="CE246">
            <v>0</v>
          </cell>
          <cell r="CF246">
            <v>0</v>
          </cell>
          <cell r="CI246">
            <v>0</v>
          </cell>
          <cell r="CJ246">
            <v>0</v>
          </cell>
          <cell r="CK246">
            <v>0</v>
          </cell>
          <cell r="CV246">
            <v>5.5740698920838461E-3</v>
          </cell>
          <cell r="DG246">
            <v>242490987</v>
          </cell>
          <cell r="DR246">
            <v>81665226.429999739</v>
          </cell>
          <cell r="EC246">
            <v>2.9693297576031807</v>
          </cell>
          <cell r="EN246">
            <v>2.4095909012463064E-2</v>
          </cell>
        </row>
        <row r="247">
          <cell r="B247">
            <v>37601</v>
          </cell>
          <cell r="C247" t="str">
            <v>Uwharrie Charter Academy</v>
          </cell>
          <cell r="D247">
            <v>1.7666679564248822E-4</v>
          </cell>
          <cell r="E247">
            <v>305674.74968157778</v>
          </cell>
          <cell r="F247">
            <v>238341.61246503211</v>
          </cell>
          <cell r="G247">
            <v>597034</v>
          </cell>
          <cell r="H247">
            <v>-85294.116793210866</v>
          </cell>
          <cell r="I247">
            <v>-3529.6314856716772</v>
          </cell>
          <cell r="J247">
            <v>257946.72442834658</v>
          </cell>
          <cell r="K247">
            <v>0</v>
          </cell>
          <cell r="L247">
            <v>-13552.94911533961</v>
          </cell>
          <cell r="M247">
            <v>2432.1738358099724</v>
          </cell>
          <cell r="N247">
            <v>91.686533602538532</v>
          </cell>
          <cell r="O247">
            <v>-41.377130207427165</v>
          </cell>
          <cell r="P247">
            <v>0</v>
          </cell>
          <cell r="Q247">
            <v>0</v>
          </cell>
          <cell r="R247">
            <v>0</v>
          </cell>
          <cell r="S247">
            <v>1299102.8724199396</v>
          </cell>
          <cell r="T247">
            <v>3010156</v>
          </cell>
          <cell r="U247">
            <v>1289733.6221417328</v>
          </cell>
          <cell r="V247">
            <v>9728.6953432398896</v>
          </cell>
          <cell r="W247">
            <v>0</v>
          </cell>
          <cell r="X247">
            <v>4309618.317484973</v>
          </cell>
          <cell r="Y247">
            <v>24983.589999999997</v>
          </cell>
          <cell r="Z247">
            <v>0</v>
          </cell>
          <cell r="AA247">
            <v>0</v>
          </cell>
          <cell r="AB247">
            <v>17648.157428358387</v>
          </cell>
          <cell r="AC247">
            <v>42631.747428358387</v>
          </cell>
          <cell r="AD247" t="str">
            <v>N/A</v>
          </cell>
          <cell r="AE247">
            <v>853883</v>
          </cell>
          <cell r="AF247">
            <v>853883</v>
          </cell>
          <cell r="AG247">
            <v>853883</v>
          </cell>
          <cell r="AH247">
            <v>853883</v>
          </cell>
          <cell r="AI247">
            <v>851451</v>
          </cell>
          <cell r="AJ247">
            <v>0</v>
          </cell>
          <cell r="AK247">
            <v>4266983</v>
          </cell>
          <cell r="AL247">
            <v>2245111</v>
          </cell>
          <cell r="AM247">
            <v>1299102.8724199396</v>
          </cell>
          <cell r="AN247">
            <v>-125594.41</v>
          </cell>
          <cell r="AO247">
            <v>1281814.1600566145</v>
          </cell>
          <cell r="AP247">
            <v>0</v>
          </cell>
          <cell r="AQ247">
            <v>2985172.41</v>
          </cell>
          <cell r="AR247">
            <v>0</v>
          </cell>
          <cell r="AS247">
            <v>0</v>
          </cell>
          <cell r="AT247">
            <v>7685606.0324765537</v>
          </cell>
          <cell r="AU247">
            <v>6.7716651203526758E-5</v>
          </cell>
          <cell r="AV247">
            <v>0</v>
          </cell>
          <cell r="AW247">
            <v>0</v>
          </cell>
          <cell r="AY247">
            <v>0</v>
          </cell>
          <cell r="AZ247">
            <v>0</v>
          </cell>
          <cell r="BA247">
            <v>0</v>
          </cell>
          <cell r="BB247">
            <v>0</v>
          </cell>
          <cell r="BC247">
            <v>0</v>
          </cell>
          <cell r="BD247">
            <v>0</v>
          </cell>
          <cell r="BE247">
            <v>0</v>
          </cell>
          <cell r="BF247">
            <v>0</v>
          </cell>
          <cell r="BG247">
            <v>0</v>
          </cell>
          <cell r="BH247">
            <v>0</v>
          </cell>
          <cell r="BJ247">
            <v>0</v>
          </cell>
          <cell r="BL247">
            <v>0</v>
          </cell>
          <cell r="BM247">
            <v>0</v>
          </cell>
          <cell r="BN247">
            <v>0</v>
          </cell>
          <cell r="BO247">
            <v>0</v>
          </cell>
          <cell r="BQ247">
            <v>0</v>
          </cell>
          <cell r="BR247">
            <v>0</v>
          </cell>
          <cell r="BS247">
            <v>0</v>
          </cell>
          <cell r="BT247">
            <v>0</v>
          </cell>
          <cell r="CB247">
            <v>0</v>
          </cell>
          <cell r="CC247">
            <v>0</v>
          </cell>
          <cell r="CD247">
            <v>0</v>
          </cell>
          <cell r="CE247">
            <v>0</v>
          </cell>
          <cell r="CF247">
            <v>0</v>
          </cell>
          <cell r="CI247">
            <v>0</v>
          </cell>
          <cell r="CJ247">
            <v>0</v>
          </cell>
          <cell r="CK247">
            <v>0</v>
          </cell>
          <cell r="CV247">
            <v>1.7666679564248822E-4</v>
          </cell>
          <cell r="DG247">
            <v>7685606</v>
          </cell>
          <cell r="DR247">
            <v>2114213.23</v>
          </cell>
          <cell r="EC247">
            <v>3.6352085451664684</v>
          </cell>
          <cell r="EN247">
            <v>2.4095909012463064E-2</v>
          </cell>
        </row>
        <row r="248">
          <cell r="B248">
            <v>37605</v>
          </cell>
          <cell r="C248" t="str">
            <v>Randolph Community College</v>
          </cell>
          <cell r="D248">
            <v>6.714855743055173E-4</v>
          </cell>
          <cell r="E248">
            <v>1161826.6131684203</v>
          </cell>
          <cell r="F248">
            <v>905902.8548344539</v>
          </cell>
          <cell r="G248">
            <v>135756</v>
          </cell>
          <cell r="H248">
            <v>-324190.90860556014</v>
          </cell>
          <cell r="I248">
            <v>-13415.631480854663</v>
          </cell>
          <cell r="J248">
            <v>980419.12043000257</v>
          </cell>
          <cell r="K248">
            <v>0</v>
          </cell>
          <cell r="L248">
            <v>-51512.84816793599</v>
          </cell>
          <cell r="M248">
            <v>9244.3497319930793</v>
          </cell>
          <cell r="N248">
            <v>348.48758335307735</v>
          </cell>
          <cell r="O248">
            <v>-157.26863635809519</v>
          </cell>
          <cell r="P248">
            <v>0</v>
          </cell>
          <cell r="Q248">
            <v>0</v>
          </cell>
          <cell r="R248">
            <v>0</v>
          </cell>
          <cell r="S248">
            <v>2804220.7688575145</v>
          </cell>
          <cell r="T248">
            <v>687047</v>
          </cell>
          <cell r="U248">
            <v>4902095.6021500127</v>
          </cell>
          <cell r="V248">
            <v>36977.398927972317</v>
          </cell>
          <cell r="W248">
            <v>0</v>
          </cell>
          <cell r="X248">
            <v>5626120.0010779854</v>
          </cell>
          <cell r="Y248">
            <v>8266.0600000000559</v>
          </cell>
          <cell r="Z248">
            <v>0</v>
          </cell>
          <cell r="AA248">
            <v>0</v>
          </cell>
          <cell r="AB248">
            <v>67078.157404273312</v>
          </cell>
          <cell r="AC248">
            <v>75344.217404273368</v>
          </cell>
          <cell r="AD248" t="str">
            <v>N/A</v>
          </cell>
          <cell r="AE248">
            <v>1112004</v>
          </cell>
          <cell r="AF248">
            <v>1112005</v>
          </cell>
          <cell r="AG248">
            <v>1112005</v>
          </cell>
          <cell r="AH248">
            <v>1112005</v>
          </cell>
          <cell r="AI248">
            <v>1102760</v>
          </cell>
          <cell r="AJ248">
            <v>0</v>
          </cell>
          <cell r="AK248">
            <v>5550779</v>
          </cell>
          <cell r="AL248">
            <v>21438308</v>
          </cell>
          <cell r="AM248">
            <v>2804220.7688575145</v>
          </cell>
          <cell r="AN248">
            <v>-581399.93999999994</v>
          </cell>
          <cell r="AO248">
            <v>4871994.8436737126</v>
          </cell>
          <cell r="AP248">
            <v>0</v>
          </cell>
          <cell r="AQ248">
            <v>678780.94</v>
          </cell>
          <cell r="AR248">
            <v>0</v>
          </cell>
          <cell r="AS248">
            <v>0</v>
          </cell>
          <cell r="AT248">
            <v>29211904.61253123</v>
          </cell>
          <cell r="AU248">
            <v>6.4661847757700589E-4</v>
          </cell>
          <cell r="AV248">
            <v>0</v>
          </cell>
          <cell r="AW248">
            <v>0</v>
          </cell>
          <cell r="AY248">
            <v>0</v>
          </cell>
          <cell r="AZ248">
            <v>0</v>
          </cell>
          <cell r="BA248">
            <v>0</v>
          </cell>
          <cell r="BB248">
            <v>0</v>
          </cell>
          <cell r="BC248">
            <v>0</v>
          </cell>
          <cell r="BD248">
            <v>0</v>
          </cell>
          <cell r="BE248">
            <v>0</v>
          </cell>
          <cell r="BF248">
            <v>0</v>
          </cell>
          <cell r="BG248">
            <v>0</v>
          </cell>
          <cell r="BH248">
            <v>0</v>
          </cell>
          <cell r="BJ248">
            <v>0</v>
          </cell>
          <cell r="BL248">
            <v>0</v>
          </cell>
          <cell r="BM248">
            <v>0</v>
          </cell>
          <cell r="BN248">
            <v>0</v>
          </cell>
          <cell r="BO248">
            <v>0</v>
          </cell>
          <cell r="BQ248">
            <v>0</v>
          </cell>
          <cell r="BR248">
            <v>0</v>
          </cell>
          <cell r="BS248">
            <v>0</v>
          </cell>
          <cell r="BT248">
            <v>0</v>
          </cell>
          <cell r="CB248">
            <v>0</v>
          </cell>
          <cell r="CC248">
            <v>0</v>
          </cell>
          <cell r="CD248">
            <v>0</v>
          </cell>
          <cell r="CE248">
            <v>0</v>
          </cell>
          <cell r="CF248">
            <v>0</v>
          </cell>
          <cell r="CI248">
            <v>0</v>
          </cell>
          <cell r="CJ248">
            <v>0</v>
          </cell>
          <cell r="CK248">
            <v>0</v>
          </cell>
          <cell r="CV248">
            <v>6.714855743055173E-4</v>
          </cell>
          <cell r="DG248">
            <v>29211905</v>
          </cell>
          <cell r="DR248">
            <v>9863149.0599999987</v>
          </cell>
          <cell r="EC248">
            <v>2.9617219431944797</v>
          </cell>
          <cell r="EN248">
            <v>2.4095909012463064E-2</v>
          </cell>
        </row>
        <row r="249">
          <cell r="B249">
            <v>37610</v>
          </cell>
          <cell r="C249" t="str">
            <v>Asheboro City Schools</v>
          </cell>
          <cell r="D249">
            <v>1.707319596015172E-3</v>
          </cell>
          <cell r="E249">
            <v>2954060.9951091306</v>
          </cell>
          <cell r="F249">
            <v>2303349.1043267562</v>
          </cell>
          <cell r="G249">
            <v>-578780</v>
          </cell>
          <cell r="H249">
            <v>-824287.98516586178</v>
          </cell>
          <cell r="I249">
            <v>-34110.592091081664</v>
          </cell>
          <cell r="J249">
            <v>2492814.2028208403</v>
          </cell>
          <cell r="K249">
            <v>0</v>
          </cell>
          <cell r="L249">
            <v>-130976.59650340567</v>
          </cell>
          <cell r="M249">
            <v>23504.688788248339</v>
          </cell>
          <cell r="N249">
            <v>886.06472393995398</v>
          </cell>
          <cell r="O249">
            <v>-399.87132258271345</v>
          </cell>
          <cell r="P249">
            <v>0</v>
          </cell>
          <cell r="Q249">
            <v>0</v>
          </cell>
          <cell r="R249">
            <v>0</v>
          </cell>
          <cell r="S249">
            <v>6206060.0106859831</v>
          </cell>
          <cell r="T249">
            <v>0</v>
          </cell>
          <cell r="U249">
            <v>12464071.014104202</v>
          </cell>
          <cell r="V249">
            <v>94018.755152993355</v>
          </cell>
          <cell r="W249">
            <v>0</v>
          </cell>
          <cell r="X249">
            <v>12558089.769257195</v>
          </cell>
          <cell r="Y249">
            <v>2893896.16</v>
          </cell>
          <cell r="Z249">
            <v>0</v>
          </cell>
          <cell r="AA249">
            <v>0</v>
          </cell>
          <cell r="AB249">
            <v>170552.96045540832</v>
          </cell>
          <cell r="AC249">
            <v>3064449.1204554085</v>
          </cell>
          <cell r="AD249" t="str">
            <v>N/A</v>
          </cell>
          <cell r="AE249">
            <v>1903429</v>
          </cell>
          <cell r="AF249">
            <v>1903428</v>
          </cell>
          <cell r="AG249">
            <v>1903428</v>
          </cell>
          <cell r="AH249">
            <v>1903428</v>
          </cell>
          <cell r="AI249">
            <v>1879924</v>
          </cell>
          <cell r="AJ249">
            <v>0</v>
          </cell>
          <cell r="AK249">
            <v>9493637</v>
          </cell>
          <cell r="AL249">
            <v>59914805</v>
          </cell>
          <cell r="AM249">
            <v>6206060.0106859831</v>
          </cell>
          <cell r="AN249">
            <v>-1340299.8400000001</v>
          </cell>
          <cell r="AO249">
            <v>12387536.808801789</v>
          </cell>
          <cell r="AP249">
            <v>0</v>
          </cell>
          <cell r="AQ249">
            <v>-2893896.16</v>
          </cell>
          <cell r="AR249">
            <v>0</v>
          </cell>
          <cell r="AS249">
            <v>0</v>
          </cell>
          <cell r="AT249">
            <v>74274205.819487765</v>
          </cell>
          <cell r="AU249">
            <v>1.8071398300985161E-3</v>
          </cell>
          <cell r="AV249">
            <v>0</v>
          </cell>
          <cell r="AW249">
            <v>0</v>
          </cell>
          <cell r="AY249">
            <v>0</v>
          </cell>
          <cell r="AZ249">
            <v>0</v>
          </cell>
          <cell r="BA249">
            <v>0</v>
          </cell>
          <cell r="BB249">
            <v>0</v>
          </cell>
          <cell r="BC249">
            <v>0</v>
          </cell>
          <cell r="BD249">
            <v>0</v>
          </cell>
          <cell r="BE249">
            <v>0</v>
          </cell>
          <cell r="BF249">
            <v>0</v>
          </cell>
          <cell r="BG249">
            <v>0</v>
          </cell>
          <cell r="BH249">
            <v>0</v>
          </cell>
          <cell r="BJ249">
            <v>0</v>
          </cell>
          <cell r="BL249">
            <v>0</v>
          </cell>
          <cell r="BM249">
            <v>0</v>
          </cell>
          <cell r="BN249">
            <v>0</v>
          </cell>
          <cell r="BO249">
            <v>0</v>
          </cell>
          <cell r="BQ249">
            <v>0</v>
          </cell>
          <cell r="BR249">
            <v>0</v>
          </cell>
          <cell r="BS249">
            <v>0</v>
          </cell>
          <cell r="BT249">
            <v>0</v>
          </cell>
          <cell r="CB249">
            <v>0</v>
          </cell>
          <cell r="CC249">
            <v>0</v>
          </cell>
          <cell r="CD249">
            <v>0</v>
          </cell>
          <cell r="CE249">
            <v>0</v>
          </cell>
          <cell r="CF249">
            <v>0</v>
          </cell>
          <cell r="CI249">
            <v>0</v>
          </cell>
          <cell r="CJ249">
            <v>0</v>
          </cell>
          <cell r="CK249">
            <v>0</v>
          </cell>
          <cell r="CV249">
            <v>1.707319596015172E-3</v>
          </cell>
          <cell r="DG249">
            <v>74274206</v>
          </cell>
          <cell r="DR249">
            <v>23483385.259999994</v>
          </cell>
          <cell r="EC249">
            <v>3.1628406712942554</v>
          </cell>
          <cell r="EN249">
            <v>2.4095909012463064E-2</v>
          </cell>
        </row>
        <row r="250">
          <cell r="B250">
            <v>37700</v>
          </cell>
          <cell r="C250" t="str">
            <v>Richmond County Schools</v>
          </cell>
          <cell r="D250">
            <v>2.3816434519789462E-3</v>
          </cell>
          <cell r="E250">
            <v>4120798.4973456315</v>
          </cell>
          <cell r="F250">
            <v>3213081.0919906064</v>
          </cell>
          <cell r="G250">
            <v>220049</v>
          </cell>
          <cell r="H250">
            <v>-1149849.2063215023</v>
          </cell>
          <cell r="I250">
            <v>-47582.92969076163</v>
          </cell>
          <cell r="J250">
            <v>3477377.4265844086</v>
          </cell>
          <cell r="K250">
            <v>0</v>
          </cell>
          <cell r="L250">
            <v>-182707.18274005721</v>
          </cell>
          <cell r="M250">
            <v>32788.113176929262</v>
          </cell>
          <cell r="N250">
            <v>1236.0253187080334</v>
          </cell>
          <cell r="O250">
            <v>-557.80471288798901</v>
          </cell>
          <cell r="P250">
            <v>0</v>
          </cell>
          <cell r="Q250">
            <v>0</v>
          </cell>
          <cell r="R250">
            <v>0</v>
          </cell>
          <cell r="S250">
            <v>9684633.0309510753</v>
          </cell>
          <cell r="T250">
            <v>1125107</v>
          </cell>
          <cell r="U250">
            <v>17386887.132922042</v>
          </cell>
          <cell r="V250">
            <v>131152.45270771705</v>
          </cell>
          <cell r="W250">
            <v>0</v>
          </cell>
          <cell r="X250">
            <v>18643146.585629757</v>
          </cell>
          <cell r="Y250">
            <v>24862.29000000027</v>
          </cell>
          <cell r="Z250">
            <v>0</v>
          </cell>
          <cell r="AA250">
            <v>0</v>
          </cell>
          <cell r="AB250">
            <v>237914.64845380813</v>
          </cell>
          <cell r="AC250">
            <v>262776.93845380843</v>
          </cell>
          <cell r="AD250" t="str">
            <v>N/A</v>
          </cell>
          <cell r="AE250">
            <v>3682632</v>
          </cell>
          <cell r="AF250">
            <v>3682632</v>
          </cell>
          <cell r="AG250">
            <v>3682632</v>
          </cell>
          <cell r="AH250">
            <v>3682632</v>
          </cell>
          <cell r="AI250">
            <v>3649843</v>
          </cell>
          <cell r="AJ250">
            <v>0</v>
          </cell>
          <cell r="AK250">
            <v>18380371</v>
          </cell>
          <cell r="AL250">
            <v>77612052</v>
          </cell>
          <cell r="AM250">
            <v>9684633.0309510753</v>
          </cell>
          <cell r="AN250">
            <v>-2067469.7099999997</v>
          </cell>
          <cell r="AO250">
            <v>17280124.937175956</v>
          </cell>
          <cell r="AP250">
            <v>0</v>
          </cell>
          <cell r="AQ250">
            <v>1100244.7099999997</v>
          </cell>
          <cell r="AR250">
            <v>0</v>
          </cell>
          <cell r="AS250">
            <v>0</v>
          </cell>
          <cell r="AT250">
            <v>103609584.96812704</v>
          </cell>
          <cell r="AU250">
            <v>2.3409210972182718E-3</v>
          </cell>
          <cell r="AV250">
            <v>0</v>
          </cell>
          <cell r="AW250">
            <v>0</v>
          </cell>
          <cell r="AY250">
            <v>0</v>
          </cell>
          <cell r="AZ250">
            <v>0</v>
          </cell>
          <cell r="BA250">
            <v>0</v>
          </cell>
          <cell r="BB250">
            <v>0</v>
          </cell>
          <cell r="BC250">
            <v>0</v>
          </cell>
          <cell r="BD250">
            <v>0</v>
          </cell>
          <cell r="BE250">
            <v>0</v>
          </cell>
          <cell r="BF250">
            <v>0</v>
          </cell>
          <cell r="BG250">
            <v>0</v>
          </cell>
          <cell r="BH250">
            <v>0</v>
          </cell>
          <cell r="BJ250">
            <v>0</v>
          </cell>
          <cell r="BL250">
            <v>0</v>
          </cell>
          <cell r="BM250">
            <v>0</v>
          </cell>
          <cell r="BN250">
            <v>0</v>
          </cell>
          <cell r="BO250">
            <v>0</v>
          </cell>
          <cell r="BQ250">
            <v>0</v>
          </cell>
          <cell r="BR250">
            <v>0</v>
          </cell>
          <cell r="BS250">
            <v>0</v>
          </cell>
          <cell r="BT250">
            <v>0</v>
          </cell>
          <cell r="CB250">
            <v>0</v>
          </cell>
          <cell r="CC250">
            <v>0</v>
          </cell>
          <cell r="CD250">
            <v>0</v>
          </cell>
          <cell r="CE250">
            <v>0</v>
          </cell>
          <cell r="CF250">
            <v>0</v>
          </cell>
          <cell r="CI250">
            <v>0</v>
          </cell>
          <cell r="CJ250">
            <v>0</v>
          </cell>
          <cell r="CK250">
            <v>0</v>
          </cell>
          <cell r="CV250">
            <v>2.3816434519789462E-3</v>
          </cell>
          <cell r="DG250">
            <v>103609585</v>
          </cell>
          <cell r="DR250">
            <v>35867836.239999972</v>
          </cell>
          <cell r="EC250">
            <v>2.8886488804823451</v>
          </cell>
          <cell r="EN250">
            <v>2.4095909012463064E-2</v>
          </cell>
        </row>
        <row r="251">
          <cell r="B251">
            <v>37705</v>
          </cell>
          <cell r="C251" t="str">
            <v>Richmond Technical College</v>
          </cell>
          <cell r="D251">
            <v>6.9131020644434534E-4</v>
          </cell>
          <cell r="E251">
            <v>1196127.8492582438</v>
          </cell>
          <cell r="F251">
            <v>932648.31525507639</v>
          </cell>
          <cell r="G251">
            <v>84828</v>
          </cell>
          <cell r="H251">
            <v>-333762.17231067357</v>
          </cell>
          <cell r="I251">
            <v>-13811.708432013433</v>
          </cell>
          <cell r="J251">
            <v>1009364.5649013902</v>
          </cell>
          <cell r="K251">
            <v>0</v>
          </cell>
          <cell r="L251">
            <v>-53033.689872404226</v>
          </cell>
          <cell r="M251">
            <v>9517.2756738332737</v>
          </cell>
          <cell r="N251">
            <v>358.77617094048634</v>
          </cell>
          <cell r="O251">
            <v>-161.91176345133013</v>
          </cell>
          <cell r="P251">
            <v>0</v>
          </cell>
          <cell r="Q251">
            <v>0</v>
          </cell>
          <cell r="R251">
            <v>0</v>
          </cell>
          <cell r="S251">
            <v>2832075.2988809417</v>
          </cell>
          <cell r="T251">
            <v>424136.19000000006</v>
          </cell>
          <cell r="U251">
            <v>5046822.8245069506</v>
          </cell>
          <cell r="V251">
            <v>38069.102695333095</v>
          </cell>
          <cell r="W251">
            <v>0</v>
          </cell>
          <cell r="X251">
            <v>5509028.1172022838</v>
          </cell>
          <cell r="Y251">
            <v>0</v>
          </cell>
          <cell r="Z251">
            <v>0</v>
          </cell>
          <cell r="AA251">
            <v>0</v>
          </cell>
          <cell r="AB251">
            <v>69058.542160067169</v>
          </cell>
          <cell r="AC251">
            <v>69058.542160067169</v>
          </cell>
          <cell r="AD251" t="str">
            <v>N/A</v>
          </cell>
          <cell r="AE251">
            <v>1089897</v>
          </cell>
          <cell r="AF251">
            <v>1089898</v>
          </cell>
          <cell r="AG251">
            <v>1089898</v>
          </cell>
          <cell r="AH251">
            <v>1089898</v>
          </cell>
          <cell r="AI251">
            <v>1080381</v>
          </cell>
          <cell r="AJ251">
            <v>0</v>
          </cell>
          <cell r="AK251">
            <v>5439972</v>
          </cell>
          <cell r="AL251">
            <v>22415476</v>
          </cell>
          <cell r="AM251">
            <v>2832075.2988809417</v>
          </cell>
          <cell r="AN251">
            <v>-613177.19000000006</v>
          </cell>
          <cell r="AO251">
            <v>5015833.3850422176</v>
          </cell>
          <cell r="AP251">
            <v>0</v>
          </cell>
          <cell r="AQ251">
            <v>424136.19000000006</v>
          </cell>
          <cell r="AR251">
            <v>0</v>
          </cell>
          <cell r="AS251">
            <v>0</v>
          </cell>
          <cell r="AT251">
            <v>30074343.683923159</v>
          </cell>
          <cell r="AU251">
            <v>6.7609164069393809E-4</v>
          </cell>
          <cell r="AV251">
            <v>0</v>
          </cell>
          <cell r="AW251">
            <v>0</v>
          </cell>
          <cell r="AY251">
            <v>0</v>
          </cell>
          <cell r="AZ251">
            <v>0</v>
          </cell>
          <cell r="BA251">
            <v>0</v>
          </cell>
          <cell r="BB251">
            <v>0</v>
          </cell>
          <cell r="BC251">
            <v>0</v>
          </cell>
          <cell r="BD251">
            <v>0</v>
          </cell>
          <cell r="BE251">
            <v>0</v>
          </cell>
          <cell r="BF251">
            <v>0</v>
          </cell>
          <cell r="BG251">
            <v>0</v>
          </cell>
          <cell r="BH251">
            <v>0</v>
          </cell>
          <cell r="BJ251">
            <v>0</v>
          </cell>
          <cell r="BL251">
            <v>0</v>
          </cell>
          <cell r="BM251">
            <v>0</v>
          </cell>
          <cell r="BN251">
            <v>0</v>
          </cell>
          <cell r="BO251">
            <v>0</v>
          </cell>
          <cell r="BQ251">
            <v>0</v>
          </cell>
          <cell r="BR251">
            <v>0</v>
          </cell>
          <cell r="BS251">
            <v>0</v>
          </cell>
          <cell r="BT251">
            <v>0</v>
          </cell>
          <cell r="CB251">
            <v>0</v>
          </cell>
          <cell r="CC251">
            <v>0</v>
          </cell>
          <cell r="CD251">
            <v>0</v>
          </cell>
          <cell r="CE251">
            <v>0</v>
          </cell>
          <cell r="CF251">
            <v>0</v>
          </cell>
          <cell r="CI251">
            <v>0</v>
          </cell>
          <cell r="CJ251">
            <v>0</v>
          </cell>
          <cell r="CK251">
            <v>0</v>
          </cell>
          <cell r="CV251">
            <v>6.9131020644434534E-4</v>
          </cell>
          <cell r="DG251">
            <v>30074344</v>
          </cell>
          <cell r="DR251">
            <v>10587343.410000011</v>
          </cell>
          <cell r="EC251">
            <v>2.8405939842844834</v>
          </cell>
          <cell r="EN251">
            <v>2.4095909012463064E-2</v>
          </cell>
        </row>
        <row r="252">
          <cell r="B252">
            <v>37800</v>
          </cell>
          <cell r="C252" t="str">
            <v>Robeson County Schools</v>
          </cell>
          <cell r="D252">
            <v>7.1731948989898703E-3</v>
          </cell>
          <cell r="E252">
            <v>12411299.741933879</v>
          </cell>
          <cell r="F252">
            <v>9677375.0411535427</v>
          </cell>
          <cell r="G252">
            <v>242943</v>
          </cell>
          <cell r="H252">
            <v>-3463193.6424150635</v>
          </cell>
          <cell r="I252">
            <v>-143313.4872699586</v>
          </cell>
          <cell r="J252">
            <v>10473400.624896858</v>
          </cell>
          <cell r="K252">
            <v>0</v>
          </cell>
          <cell r="L252">
            <v>-550289.85558304051</v>
          </cell>
          <cell r="M252">
            <v>98753.457824605837</v>
          </cell>
          <cell r="N252">
            <v>3722.744688677763</v>
          </cell>
          <cell r="O252">
            <v>-1680.0339772924176</v>
          </cell>
          <cell r="P252">
            <v>0</v>
          </cell>
          <cell r="Q252">
            <v>0</v>
          </cell>
          <cell r="R252">
            <v>0</v>
          </cell>
          <cell r="S252">
            <v>28749017.591252204</v>
          </cell>
          <cell r="T252">
            <v>1214714.4499999993</v>
          </cell>
          <cell r="U252">
            <v>52367003.124484286</v>
          </cell>
          <cell r="V252">
            <v>395013.83129842335</v>
          </cell>
          <cell r="W252">
            <v>0</v>
          </cell>
          <cell r="X252">
            <v>53976731.405782714</v>
          </cell>
          <cell r="Y252">
            <v>0</v>
          </cell>
          <cell r="Z252">
            <v>0</v>
          </cell>
          <cell r="AA252">
            <v>0</v>
          </cell>
          <cell r="AB252">
            <v>716567.43634979299</v>
          </cell>
          <cell r="AC252">
            <v>716567.43634979299</v>
          </cell>
          <cell r="AD252" t="str">
            <v>N/A</v>
          </cell>
          <cell r="AE252">
            <v>10671783</v>
          </cell>
          <cell r="AF252">
            <v>10671785</v>
          </cell>
          <cell r="AG252">
            <v>10671785</v>
          </cell>
          <cell r="AH252">
            <v>10671785</v>
          </cell>
          <cell r="AI252">
            <v>10573031</v>
          </cell>
          <cell r="AJ252">
            <v>0</v>
          </cell>
          <cell r="AK252">
            <v>53260169</v>
          </cell>
          <cell r="AL252">
            <v>236376156</v>
          </cell>
          <cell r="AM252">
            <v>28749017.591252204</v>
          </cell>
          <cell r="AN252">
            <v>-6326977.4499999993</v>
          </cell>
          <cell r="AO252">
            <v>52045449.519432925</v>
          </cell>
          <cell r="AP252">
            <v>0</v>
          </cell>
          <cell r="AQ252">
            <v>1214714.4499999993</v>
          </cell>
          <cell r="AR252">
            <v>0</v>
          </cell>
          <cell r="AS252">
            <v>0</v>
          </cell>
          <cell r="AT252">
            <v>312058360.11068511</v>
          </cell>
          <cell r="AU252">
            <v>7.1295361318919059E-3</v>
          </cell>
          <cell r="AV252">
            <v>0</v>
          </cell>
          <cell r="AW252">
            <v>0</v>
          </cell>
          <cell r="AY252">
            <v>0</v>
          </cell>
          <cell r="AZ252">
            <v>0</v>
          </cell>
          <cell r="BA252">
            <v>0</v>
          </cell>
          <cell r="BB252">
            <v>0</v>
          </cell>
          <cell r="BC252">
            <v>0</v>
          </cell>
          <cell r="BD252">
            <v>0</v>
          </cell>
          <cell r="BE252">
            <v>0</v>
          </cell>
          <cell r="BF252">
            <v>0</v>
          </cell>
          <cell r="BG252">
            <v>0</v>
          </cell>
          <cell r="BH252">
            <v>0</v>
          </cell>
          <cell r="BJ252">
            <v>0</v>
          </cell>
          <cell r="BL252">
            <v>0</v>
          </cell>
          <cell r="BM252">
            <v>0</v>
          </cell>
          <cell r="BN252">
            <v>0</v>
          </cell>
          <cell r="BO252">
            <v>0</v>
          </cell>
          <cell r="BQ252">
            <v>0</v>
          </cell>
          <cell r="BR252">
            <v>0</v>
          </cell>
          <cell r="BS252">
            <v>0</v>
          </cell>
          <cell r="BT252">
            <v>0</v>
          </cell>
          <cell r="CB252">
            <v>0</v>
          </cell>
          <cell r="CC252">
            <v>0</v>
          </cell>
          <cell r="CD252">
            <v>0</v>
          </cell>
          <cell r="CE252">
            <v>0</v>
          </cell>
          <cell r="CF252">
            <v>0</v>
          </cell>
          <cell r="CI252">
            <v>0</v>
          </cell>
          <cell r="CJ252">
            <v>0</v>
          </cell>
          <cell r="CK252">
            <v>0</v>
          </cell>
          <cell r="CV252">
            <v>7.1731948989898703E-3</v>
          </cell>
          <cell r="DG252">
            <v>312058360</v>
          </cell>
          <cell r="DR252">
            <v>110477153.28999995</v>
          </cell>
          <cell r="EC252">
            <v>2.8246415725507887</v>
          </cell>
          <cell r="EN252">
            <v>2.4095909012463064E-2</v>
          </cell>
        </row>
        <row r="253">
          <cell r="B253">
            <v>37801</v>
          </cell>
          <cell r="C253" t="str">
            <v>Southeastern Academy Charter School</v>
          </cell>
          <cell r="D253">
            <v>4.4965534032614388E-5</v>
          </cell>
          <cell r="E253">
            <v>77800.858445027741</v>
          </cell>
          <cell r="F253">
            <v>60663.113561941595</v>
          </cell>
          <cell r="G253">
            <v>-21752</v>
          </cell>
          <cell r="H253">
            <v>-21709.204027270669</v>
          </cell>
          <cell r="I253">
            <v>-898.36782353110755</v>
          </cell>
          <cell r="J253">
            <v>65653.040084317588</v>
          </cell>
          <cell r="K253">
            <v>0</v>
          </cell>
          <cell r="L253">
            <v>-3449.5197157554057</v>
          </cell>
          <cell r="M253">
            <v>619.04103139257734</v>
          </cell>
          <cell r="N253">
            <v>23.336212852246216</v>
          </cell>
          <cell r="O253">
            <v>-10.531377725778617</v>
          </cell>
          <cell r="P253">
            <v>0</v>
          </cell>
          <cell r="Q253">
            <v>0</v>
          </cell>
          <cell r="R253">
            <v>0</v>
          </cell>
          <cell r="S253">
            <v>156939.76639124879</v>
          </cell>
          <cell r="T253">
            <v>0</v>
          </cell>
          <cell r="U253">
            <v>328265.20042158797</v>
          </cell>
          <cell r="V253">
            <v>2476.1641255703094</v>
          </cell>
          <cell r="W253">
            <v>0</v>
          </cell>
          <cell r="X253">
            <v>330741.3645471583</v>
          </cell>
          <cell r="Y253">
            <v>108760.39</v>
          </cell>
          <cell r="Z253">
            <v>0</v>
          </cell>
          <cell r="AA253">
            <v>0</v>
          </cell>
          <cell r="AB253">
            <v>4491.8391176555378</v>
          </cell>
          <cell r="AC253">
            <v>113252.22911765554</v>
          </cell>
          <cell r="AD253" t="str">
            <v>N/A</v>
          </cell>
          <cell r="AE253">
            <v>43622</v>
          </cell>
          <cell r="AF253">
            <v>43621</v>
          </cell>
          <cell r="AG253">
            <v>43621</v>
          </cell>
          <cell r="AH253">
            <v>43621</v>
          </cell>
          <cell r="AI253">
            <v>43002</v>
          </cell>
          <cell r="AJ253">
            <v>0</v>
          </cell>
          <cell r="AK253">
            <v>217487</v>
          </cell>
          <cell r="AL253">
            <v>1620531</v>
          </cell>
          <cell r="AM253">
            <v>156939.76639124879</v>
          </cell>
          <cell r="AN253">
            <v>-38806.61</v>
          </cell>
          <cell r="AO253">
            <v>326249.52542950277</v>
          </cell>
          <cell r="AP253">
            <v>0</v>
          </cell>
          <cell r="AQ253">
            <v>-108760.39</v>
          </cell>
          <cell r="AR253">
            <v>0</v>
          </cell>
          <cell r="AS253">
            <v>0</v>
          </cell>
          <cell r="AT253">
            <v>1956153.2918207517</v>
          </cell>
          <cell r="AU253">
            <v>4.8878182060460927E-5</v>
          </cell>
          <cell r="AV253">
            <v>0</v>
          </cell>
          <cell r="AW253">
            <v>0</v>
          </cell>
          <cell r="AY253">
            <v>0</v>
          </cell>
          <cell r="AZ253">
            <v>0</v>
          </cell>
          <cell r="BA253">
            <v>0</v>
          </cell>
          <cell r="BB253">
            <v>0</v>
          </cell>
          <cell r="BC253">
            <v>0</v>
          </cell>
          <cell r="BD253">
            <v>0</v>
          </cell>
          <cell r="BE253">
            <v>0</v>
          </cell>
          <cell r="BF253">
            <v>0</v>
          </cell>
          <cell r="BG253">
            <v>0</v>
          </cell>
          <cell r="BH253">
            <v>0</v>
          </cell>
          <cell r="BJ253">
            <v>0</v>
          </cell>
          <cell r="BL253">
            <v>0</v>
          </cell>
          <cell r="BM253">
            <v>0</v>
          </cell>
          <cell r="BN253">
            <v>0</v>
          </cell>
          <cell r="BO253">
            <v>0</v>
          </cell>
          <cell r="BQ253">
            <v>0</v>
          </cell>
          <cell r="BR253">
            <v>0</v>
          </cell>
          <cell r="BS253">
            <v>0</v>
          </cell>
          <cell r="BT253">
            <v>0</v>
          </cell>
          <cell r="CB253">
            <v>0</v>
          </cell>
          <cell r="CC253">
            <v>0</v>
          </cell>
          <cell r="CD253">
            <v>0</v>
          </cell>
          <cell r="CE253">
            <v>0</v>
          </cell>
          <cell r="CF253">
            <v>0</v>
          </cell>
          <cell r="CI253">
            <v>0</v>
          </cell>
          <cell r="CJ253">
            <v>0</v>
          </cell>
          <cell r="CK253">
            <v>0</v>
          </cell>
          <cell r="CV253">
            <v>4.4965534032614388E-5</v>
          </cell>
          <cell r="DG253">
            <v>1956154</v>
          </cell>
          <cell r="DR253">
            <v>600184.69000000006</v>
          </cell>
          <cell r="EC253">
            <v>3.2592534141449021</v>
          </cell>
          <cell r="EN253">
            <v>2.4095909012463064E-2</v>
          </cell>
        </row>
        <row r="254">
          <cell r="B254">
            <v>37805</v>
          </cell>
          <cell r="C254" t="str">
            <v>Robeson Community College</v>
          </cell>
          <cell r="D254">
            <v>5.8781813010430888E-4</v>
          </cell>
          <cell r="E254">
            <v>1017062.4260460327</v>
          </cell>
          <cell r="F254">
            <v>793026.8982110112</v>
          </cell>
          <cell r="G254">
            <v>-422245</v>
          </cell>
          <cell r="H254">
            <v>-283796.55644937576</v>
          </cell>
          <cell r="I254">
            <v>-11744.036972649068</v>
          </cell>
          <cell r="J254">
            <v>858258.39920049056</v>
          </cell>
          <cell r="K254">
            <v>0</v>
          </cell>
          <cell r="L254">
            <v>-45094.321077173598</v>
          </cell>
          <cell r="M254">
            <v>8092.4990519871435</v>
          </cell>
          <cell r="N254">
            <v>305.06585316153422</v>
          </cell>
          <cell r="O254">
            <v>-137.67288425173018</v>
          </cell>
          <cell r="P254">
            <v>0</v>
          </cell>
          <cell r="Q254">
            <v>0</v>
          </cell>
          <cell r="R254">
            <v>0</v>
          </cell>
          <cell r="S254">
            <v>1913727.7009792328</v>
          </cell>
          <cell r="T254">
            <v>20089.729999999981</v>
          </cell>
          <cell r="U254">
            <v>4291291.9960024534</v>
          </cell>
          <cell r="V254">
            <v>32369.996207948574</v>
          </cell>
          <cell r="W254">
            <v>0</v>
          </cell>
          <cell r="X254">
            <v>4343751.7222104017</v>
          </cell>
          <cell r="Y254">
            <v>2131317</v>
          </cell>
          <cell r="Z254">
            <v>0</v>
          </cell>
          <cell r="AA254">
            <v>0</v>
          </cell>
          <cell r="AB254">
            <v>58720.18486324534</v>
          </cell>
          <cell r="AC254">
            <v>2190037.1848632451</v>
          </cell>
          <cell r="AD254" t="str">
            <v>N/A</v>
          </cell>
          <cell r="AE254">
            <v>432362</v>
          </cell>
          <cell r="AF254">
            <v>432361</v>
          </cell>
          <cell r="AG254">
            <v>432361</v>
          </cell>
          <cell r="AH254">
            <v>432361</v>
          </cell>
          <cell r="AI254">
            <v>424268</v>
          </cell>
          <cell r="AJ254">
            <v>0</v>
          </cell>
          <cell r="AK254">
            <v>2153713</v>
          </cell>
          <cell r="AL254">
            <v>22046392</v>
          </cell>
          <cell r="AM254">
            <v>1913727.7009792328</v>
          </cell>
          <cell r="AN254">
            <v>-541747.73</v>
          </cell>
          <cell r="AO254">
            <v>4264941.8073471561</v>
          </cell>
          <cell r="AP254">
            <v>0</v>
          </cell>
          <cell r="AQ254">
            <v>-2111227.27</v>
          </cell>
          <cell r="AR254">
            <v>0</v>
          </cell>
          <cell r="AS254">
            <v>0</v>
          </cell>
          <cell r="AT254">
            <v>25572086.508326389</v>
          </cell>
          <cell r="AU254">
            <v>6.6495941749002152E-4</v>
          </cell>
          <cell r="AV254">
            <v>0</v>
          </cell>
          <cell r="AW254">
            <v>0</v>
          </cell>
          <cell r="AY254">
            <v>0</v>
          </cell>
          <cell r="AZ254">
            <v>0</v>
          </cell>
          <cell r="BA254">
            <v>0</v>
          </cell>
          <cell r="BB254">
            <v>0</v>
          </cell>
          <cell r="BC254">
            <v>0</v>
          </cell>
          <cell r="BD254">
            <v>0</v>
          </cell>
          <cell r="BE254">
            <v>0</v>
          </cell>
          <cell r="BF254">
            <v>0</v>
          </cell>
          <cell r="BG254">
            <v>0</v>
          </cell>
          <cell r="BH254">
            <v>0</v>
          </cell>
          <cell r="BJ254">
            <v>0</v>
          </cell>
          <cell r="BL254">
            <v>0</v>
          </cell>
          <cell r="BM254">
            <v>0</v>
          </cell>
          <cell r="BN254">
            <v>0</v>
          </cell>
          <cell r="BO254">
            <v>0</v>
          </cell>
          <cell r="BQ254">
            <v>0</v>
          </cell>
          <cell r="BR254">
            <v>0</v>
          </cell>
          <cell r="BS254">
            <v>0</v>
          </cell>
          <cell r="BT254">
            <v>0</v>
          </cell>
          <cell r="CB254">
            <v>0</v>
          </cell>
          <cell r="CC254">
            <v>0</v>
          </cell>
          <cell r="CD254">
            <v>0</v>
          </cell>
          <cell r="CE254">
            <v>0</v>
          </cell>
          <cell r="CF254">
            <v>0</v>
          </cell>
          <cell r="CI254">
            <v>0</v>
          </cell>
          <cell r="CJ254">
            <v>0</v>
          </cell>
          <cell r="CK254">
            <v>0</v>
          </cell>
          <cell r="CV254">
            <v>5.8781813010430888E-4</v>
          </cell>
          <cell r="DG254">
            <v>25572087</v>
          </cell>
          <cell r="DR254">
            <v>9578945.2599999998</v>
          </cell>
          <cell r="EC254">
            <v>2.6696140656304368</v>
          </cell>
          <cell r="EN254">
            <v>2.4095909012463064E-2</v>
          </cell>
        </row>
        <row r="255">
          <cell r="B255">
            <v>37900</v>
          </cell>
          <cell r="C255" t="str">
            <v>Rockingham County Schools</v>
          </cell>
          <cell r="D255">
            <v>3.9041682104257506E-3</v>
          </cell>
          <cell r="E255">
            <v>6755121.3350340053</v>
          </cell>
          <cell r="F255">
            <v>5267123.0223173955</v>
          </cell>
          <cell r="G255">
            <v>-1316550</v>
          </cell>
          <cell r="H255">
            <v>-1884918.8842156606</v>
          </cell>
          <cell r="I255">
            <v>-78001.499890016858</v>
          </cell>
          <cell r="J255">
            <v>5700377.3563344311</v>
          </cell>
          <cell r="K255">
            <v>0</v>
          </cell>
          <cell r="L255">
            <v>-299507.28942129051</v>
          </cell>
          <cell r="M255">
            <v>53748.729281388885</v>
          </cell>
          <cell r="N255">
            <v>2026.1852178467561</v>
          </cell>
          <cell r="O255">
            <v>-914.39523656381505</v>
          </cell>
          <cell r="P255">
            <v>0</v>
          </cell>
          <cell r="Q255">
            <v>0</v>
          </cell>
          <cell r="R255">
            <v>0</v>
          </cell>
          <cell r="S255">
            <v>14198504.559421536</v>
          </cell>
          <cell r="T255">
            <v>106590.18999999994</v>
          </cell>
          <cell r="U255">
            <v>28501886.781672154</v>
          </cell>
          <cell r="V255">
            <v>214994.91712555554</v>
          </cell>
          <cell r="W255">
            <v>0</v>
          </cell>
          <cell r="X255">
            <v>28823471.888797712</v>
          </cell>
          <cell r="Y255">
            <v>6689339</v>
          </cell>
          <cell r="Z255">
            <v>0</v>
          </cell>
          <cell r="AA255">
            <v>0</v>
          </cell>
          <cell r="AB255">
            <v>390007.49945008429</v>
          </cell>
          <cell r="AC255">
            <v>7079346.4994500838</v>
          </cell>
          <cell r="AD255" t="str">
            <v>N/A</v>
          </cell>
          <cell r="AE255">
            <v>4359575</v>
          </cell>
          <cell r="AF255">
            <v>4359575</v>
          </cell>
          <cell r="AG255">
            <v>4359575</v>
          </cell>
          <cell r="AH255">
            <v>4359575</v>
          </cell>
          <cell r="AI255">
            <v>4305826</v>
          </cell>
          <cell r="AJ255">
            <v>0</v>
          </cell>
          <cell r="AK255">
            <v>21744126</v>
          </cell>
          <cell r="AL255">
            <v>137467925</v>
          </cell>
          <cell r="AM255">
            <v>14198504.559421536</v>
          </cell>
          <cell r="AN255">
            <v>-3565967.19</v>
          </cell>
          <cell r="AO255">
            <v>28326874.199347626</v>
          </cell>
          <cell r="AP255">
            <v>0</v>
          </cell>
          <cell r="AQ255">
            <v>-6582748.8100000005</v>
          </cell>
          <cell r="AR255">
            <v>0</v>
          </cell>
          <cell r="AS255">
            <v>0</v>
          </cell>
          <cell r="AT255">
            <v>169844587.75876915</v>
          </cell>
          <cell r="AU255">
            <v>4.1462834077513203E-3</v>
          </cell>
          <cell r="AV255">
            <v>0</v>
          </cell>
          <cell r="AW255">
            <v>0</v>
          </cell>
          <cell r="AY255">
            <v>0</v>
          </cell>
          <cell r="AZ255">
            <v>0</v>
          </cell>
          <cell r="BA255">
            <v>0</v>
          </cell>
          <cell r="BB255">
            <v>0</v>
          </cell>
          <cell r="BC255">
            <v>0</v>
          </cell>
          <cell r="BD255">
            <v>0</v>
          </cell>
          <cell r="BE255">
            <v>0</v>
          </cell>
          <cell r="BF255">
            <v>0</v>
          </cell>
          <cell r="BG255">
            <v>0</v>
          </cell>
          <cell r="BH255">
            <v>0</v>
          </cell>
          <cell r="BJ255">
            <v>0</v>
          </cell>
          <cell r="BL255">
            <v>0</v>
          </cell>
          <cell r="BM255">
            <v>0</v>
          </cell>
          <cell r="BN255">
            <v>0</v>
          </cell>
          <cell r="BO255">
            <v>0</v>
          </cell>
          <cell r="BQ255">
            <v>0</v>
          </cell>
          <cell r="BR255">
            <v>0</v>
          </cell>
          <cell r="BS255">
            <v>0</v>
          </cell>
          <cell r="BT255">
            <v>0</v>
          </cell>
          <cell r="CB255">
            <v>0</v>
          </cell>
          <cell r="CC255">
            <v>0</v>
          </cell>
          <cell r="CD255">
            <v>0</v>
          </cell>
          <cell r="CE255">
            <v>0</v>
          </cell>
          <cell r="CF255">
            <v>0</v>
          </cell>
          <cell r="CI255">
            <v>0</v>
          </cell>
          <cell r="CJ255">
            <v>0</v>
          </cell>
          <cell r="CK255">
            <v>0</v>
          </cell>
          <cell r="CV255">
            <v>3.9041682104257506E-3</v>
          </cell>
          <cell r="DG255">
            <v>169844587</v>
          </cell>
          <cell r="DR255">
            <v>62086132.349999972</v>
          </cell>
          <cell r="EC255">
            <v>2.7356284015652665</v>
          </cell>
          <cell r="EN255">
            <v>2.4095909012463064E-2</v>
          </cell>
        </row>
        <row r="256">
          <cell r="B256">
            <v>37901</v>
          </cell>
          <cell r="C256" t="str">
            <v>Bethany Community Middle School</v>
          </cell>
          <cell r="D256">
            <v>5.7632588406695614E-5</v>
          </cell>
          <cell r="E256">
            <v>99717.816076589617</v>
          </cell>
          <cell r="F256">
            <v>77752.268055977547</v>
          </cell>
          <cell r="G256">
            <v>10728</v>
          </cell>
          <cell r="H256">
            <v>-27824.813988268881</v>
          </cell>
          <cell r="I256">
            <v>-1151.4433026378306</v>
          </cell>
          <cell r="J256">
            <v>84147.886113914108</v>
          </cell>
          <cell r="K256">
            <v>0</v>
          </cell>
          <cell r="L256">
            <v>-4421.2696291945731</v>
          </cell>
          <cell r="M256">
            <v>793.42851667740808</v>
          </cell>
          <cell r="N256">
            <v>29.910160731306888</v>
          </cell>
          <cell r="O256">
            <v>-13.498128530732179</v>
          </cell>
          <cell r="P256">
            <v>0</v>
          </cell>
          <cell r="Q256">
            <v>0</v>
          </cell>
          <cell r="R256">
            <v>0</v>
          </cell>
          <cell r="S256">
            <v>239758.28387525797</v>
          </cell>
          <cell r="T256">
            <v>60221</v>
          </cell>
          <cell r="U256">
            <v>420739.43056957051</v>
          </cell>
          <cell r="V256">
            <v>3173.7140667096323</v>
          </cell>
          <cell r="W256">
            <v>0</v>
          </cell>
          <cell r="X256">
            <v>484134.14463628014</v>
          </cell>
          <cell r="Y256">
            <v>6581.1100000000006</v>
          </cell>
          <cell r="Z256">
            <v>0</v>
          </cell>
          <cell r="AA256">
            <v>0</v>
          </cell>
          <cell r="AB256">
            <v>5757.2165131891525</v>
          </cell>
          <cell r="AC256">
            <v>12338.326513189153</v>
          </cell>
          <cell r="AD256" t="str">
            <v>N/A</v>
          </cell>
          <cell r="AE256">
            <v>94518</v>
          </cell>
          <cell r="AF256">
            <v>94518</v>
          </cell>
          <cell r="AG256">
            <v>94518</v>
          </cell>
          <cell r="AH256">
            <v>94518</v>
          </cell>
          <cell r="AI256">
            <v>93724</v>
          </cell>
          <cell r="AJ256">
            <v>0</v>
          </cell>
          <cell r="AK256">
            <v>471796</v>
          </cell>
          <cell r="AL256">
            <v>1838514</v>
          </cell>
          <cell r="AM256">
            <v>239758.28387525797</v>
          </cell>
          <cell r="AN256">
            <v>-42854.89</v>
          </cell>
          <cell r="AO256">
            <v>418155.92812309106</v>
          </cell>
          <cell r="AP256">
            <v>0</v>
          </cell>
          <cell r="AQ256">
            <v>53639.89</v>
          </cell>
          <cell r="AR256">
            <v>0</v>
          </cell>
          <cell r="AS256">
            <v>0</v>
          </cell>
          <cell r="AT256">
            <v>2507213.2119983491</v>
          </cell>
          <cell r="AU256">
            <v>5.5452930782065379E-5</v>
          </cell>
          <cell r="AV256">
            <v>0</v>
          </cell>
          <cell r="AW256">
            <v>0</v>
          </cell>
          <cell r="AY256">
            <v>0</v>
          </cell>
          <cell r="AZ256">
            <v>0</v>
          </cell>
          <cell r="BA256">
            <v>0</v>
          </cell>
          <cell r="BB256">
            <v>0</v>
          </cell>
          <cell r="BC256">
            <v>0</v>
          </cell>
          <cell r="BD256">
            <v>0</v>
          </cell>
          <cell r="BE256">
            <v>0</v>
          </cell>
          <cell r="BF256">
            <v>0</v>
          </cell>
          <cell r="BG256">
            <v>0</v>
          </cell>
          <cell r="BH256">
            <v>0</v>
          </cell>
          <cell r="BJ256">
            <v>0</v>
          </cell>
          <cell r="BL256">
            <v>0</v>
          </cell>
          <cell r="BM256">
            <v>0</v>
          </cell>
          <cell r="BN256">
            <v>0</v>
          </cell>
          <cell r="BO256">
            <v>0</v>
          </cell>
          <cell r="BQ256">
            <v>0</v>
          </cell>
          <cell r="BR256">
            <v>0</v>
          </cell>
          <cell r="BS256">
            <v>0</v>
          </cell>
          <cell r="BT256">
            <v>0</v>
          </cell>
          <cell r="CB256">
            <v>0</v>
          </cell>
          <cell r="CC256">
            <v>0</v>
          </cell>
          <cell r="CD256">
            <v>0</v>
          </cell>
          <cell r="CE256">
            <v>0</v>
          </cell>
          <cell r="CF256">
            <v>0</v>
          </cell>
          <cell r="CI256">
            <v>0</v>
          </cell>
          <cell r="CJ256">
            <v>0</v>
          </cell>
          <cell r="CK256">
            <v>0</v>
          </cell>
          <cell r="CV256">
            <v>5.7632588406695614E-5</v>
          </cell>
          <cell r="DG256">
            <v>2507213</v>
          </cell>
          <cell r="DR256">
            <v>832947.65000000026</v>
          </cell>
          <cell r="EC256">
            <v>3.0100487107443059</v>
          </cell>
          <cell r="EN256">
            <v>2.4095909012463064E-2</v>
          </cell>
        </row>
        <row r="257">
          <cell r="B257">
            <v>37905</v>
          </cell>
          <cell r="C257" t="str">
            <v>Rockingham Community College</v>
          </cell>
          <cell r="D257">
            <v>4.4464693495217513E-4</v>
          </cell>
          <cell r="E257">
            <v>769342.87534843886</v>
          </cell>
          <cell r="F257">
            <v>599874.28349919128</v>
          </cell>
          <cell r="G257">
            <v>-39697</v>
          </cell>
          <cell r="H257">
            <v>-214673.99951206759</v>
          </cell>
          <cell r="I257">
            <v>-8883.6151462813687</v>
          </cell>
          <cell r="J257">
            <v>649217.75470542104</v>
          </cell>
          <cell r="K257">
            <v>0</v>
          </cell>
          <cell r="L257">
            <v>-34110.978589851307</v>
          </cell>
          <cell r="M257">
            <v>6121.4595387368263</v>
          </cell>
          <cell r="N257">
            <v>230.76286630147985</v>
          </cell>
          <cell r="O257">
            <v>-104.14075863514894</v>
          </cell>
          <cell r="P257">
            <v>0</v>
          </cell>
          <cell r="Q257">
            <v>0</v>
          </cell>
          <cell r="R257">
            <v>0</v>
          </cell>
          <cell r="S257">
            <v>1727317.4019512536</v>
          </cell>
          <cell r="T257">
            <v>48472.659999999974</v>
          </cell>
          <cell r="U257">
            <v>3246088.7735271053</v>
          </cell>
          <cell r="V257">
            <v>24485.838154947305</v>
          </cell>
          <cell r="W257">
            <v>0</v>
          </cell>
          <cell r="X257">
            <v>3319047.2716820529</v>
          </cell>
          <cell r="Y257">
            <v>246956</v>
          </cell>
          <cell r="Z257">
            <v>0</v>
          </cell>
          <cell r="AA257">
            <v>0</v>
          </cell>
          <cell r="AB257">
            <v>44418.07573140684</v>
          </cell>
          <cell r="AC257">
            <v>291374.07573140686</v>
          </cell>
          <cell r="AD257" t="str">
            <v>N/A</v>
          </cell>
          <cell r="AE257">
            <v>606760</v>
          </cell>
          <cell r="AF257">
            <v>606759</v>
          </cell>
          <cell r="AG257">
            <v>606759</v>
          </cell>
          <cell r="AH257">
            <v>606759</v>
          </cell>
          <cell r="AI257">
            <v>600637</v>
          </cell>
          <cell r="AJ257">
            <v>0</v>
          </cell>
          <cell r="AK257">
            <v>3027674</v>
          </cell>
          <cell r="AL257">
            <v>15038391</v>
          </cell>
          <cell r="AM257">
            <v>1727317.4019512536</v>
          </cell>
          <cell r="AN257">
            <v>-449728.66</v>
          </cell>
          <cell r="AO257">
            <v>3226156.5359506463</v>
          </cell>
          <cell r="AP257">
            <v>0</v>
          </cell>
          <cell r="AQ257">
            <v>-198483.34000000003</v>
          </cell>
          <cell r="AR257">
            <v>0</v>
          </cell>
          <cell r="AS257">
            <v>0</v>
          </cell>
          <cell r="AT257">
            <v>19343652.937901899</v>
          </cell>
          <cell r="AU257">
            <v>4.5358529498222018E-4</v>
          </cell>
          <cell r="AV257">
            <v>0</v>
          </cell>
          <cell r="AW257">
            <v>0</v>
          </cell>
          <cell r="AY257">
            <v>0</v>
          </cell>
          <cell r="AZ257">
            <v>0</v>
          </cell>
          <cell r="BA257">
            <v>0</v>
          </cell>
          <cell r="BB257">
            <v>0</v>
          </cell>
          <cell r="BC257">
            <v>0</v>
          </cell>
          <cell r="BD257">
            <v>0</v>
          </cell>
          <cell r="BE257">
            <v>0</v>
          </cell>
          <cell r="BF257">
            <v>0</v>
          </cell>
          <cell r="BG257">
            <v>0</v>
          </cell>
          <cell r="BH257">
            <v>0</v>
          </cell>
          <cell r="BJ257">
            <v>0</v>
          </cell>
          <cell r="BL257">
            <v>0</v>
          </cell>
          <cell r="BM257">
            <v>0</v>
          </cell>
          <cell r="BN257">
            <v>0</v>
          </cell>
          <cell r="BO257">
            <v>0</v>
          </cell>
          <cell r="BQ257">
            <v>0</v>
          </cell>
          <cell r="BR257">
            <v>0</v>
          </cell>
          <cell r="BS257">
            <v>0</v>
          </cell>
          <cell r="BT257">
            <v>0</v>
          </cell>
          <cell r="CB257">
            <v>0</v>
          </cell>
          <cell r="CC257">
            <v>0</v>
          </cell>
          <cell r="CD257">
            <v>0</v>
          </cell>
          <cell r="CE257">
            <v>0</v>
          </cell>
          <cell r="CF257">
            <v>0</v>
          </cell>
          <cell r="CI257">
            <v>0</v>
          </cell>
          <cell r="CJ257">
            <v>0</v>
          </cell>
          <cell r="CK257">
            <v>0</v>
          </cell>
          <cell r="CV257">
            <v>4.4464693495217513E-4</v>
          </cell>
          <cell r="DG257">
            <v>19343653</v>
          </cell>
          <cell r="DR257">
            <v>7801983.4299999978</v>
          </cell>
          <cell r="EC257">
            <v>2.4793250554237596</v>
          </cell>
          <cell r="EN257">
            <v>2.4095909012463064E-2</v>
          </cell>
        </row>
        <row r="258">
          <cell r="B258">
            <v>38000</v>
          </cell>
          <cell r="C258" t="str">
            <v>Rowan-Salisbury School System</v>
          </cell>
          <cell r="D258">
            <v>6.2471042055790658E-3</v>
          </cell>
          <cell r="E258">
            <v>10808946.906692294</v>
          </cell>
          <cell r="F258">
            <v>8427983.7882377263</v>
          </cell>
          <cell r="G258">
            <v>-148011</v>
          </cell>
          <cell r="H258">
            <v>-3016080.2645014506</v>
          </cell>
          <cell r="I258">
            <v>-124811.09207926801</v>
          </cell>
          <cell r="J258">
            <v>9121239.0032398552</v>
          </cell>
          <cell r="K258">
            <v>0</v>
          </cell>
          <cell r="L258">
            <v>-479245.03927593114</v>
          </cell>
          <cell r="M258">
            <v>86003.956448812678</v>
          </cell>
          <cell r="N258">
            <v>3242.1221406114237</v>
          </cell>
          <cell r="O258">
            <v>-1463.1342759886729</v>
          </cell>
          <cell r="P258">
            <v>0</v>
          </cell>
          <cell r="Q258">
            <v>0</v>
          </cell>
          <cell r="R258">
            <v>0</v>
          </cell>
          <cell r="S258">
            <v>24677805.246626664</v>
          </cell>
          <cell r="T258">
            <v>0</v>
          </cell>
          <cell r="U258">
            <v>45606195.016199276</v>
          </cell>
          <cell r="V258">
            <v>344015.82579525071</v>
          </cell>
          <cell r="W258">
            <v>0</v>
          </cell>
          <cell r="X258">
            <v>45950210.841994524</v>
          </cell>
          <cell r="Y258">
            <v>740054.71</v>
          </cell>
          <cell r="Z258">
            <v>0</v>
          </cell>
          <cell r="AA258">
            <v>0</v>
          </cell>
          <cell r="AB258">
            <v>624055.46039634</v>
          </cell>
          <cell r="AC258">
            <v>1364110.1703963401</v>
          </cell>
          <cell r="AD258" t="str">
            <v>N/A</v>
          </cell>
          <cell r="AE258">
            <v>8934421</v>
          </cell>
          <cell r="AF258">
            <v>8934421</v>
          </cell>
          <cell r="AG258">
            <v>8934421</v>
          </cell>
          <cell r="AH258">
            <v>8934421</v>
          </cell>
          <cell r="AI258">
            <v>8848417</v>
          </cell>
          <cell r="AJ258">
            <v>0</v>
          </cell>
          <cell r="AK258">
            <v>44586101</v>
          </cell>
          <cell r="AL258">
            <v>207920199</v>
          </cell>
          <cell r="AM258">
            <v>24677805.246626664</v>
          </cell>
          <cell r="AN258">
            <v>-5413838.29</v>
          </cell>
          <cell r="AO258">
            <v>45326155.381598189</v>
          </cell>
          <cell r="AP258">
            <v>0</v>
          </cell>
          <cell r="AQ258">
            <v>-740054.71</v>
          </cell>
          <cell r="AR258">
            <v>0</v>
          </cell>
          <cell r="AS258">
            <v>0</v>
          </cell>
          <cell r="AT258">
            <v>271770266.62822491</v>
          </cell>
          <cell r="AU258">
            <v>6.2712525424480437E-3</v>
          </cell>
          <cell r="AV258">
            <v>0</v>
          </cell>
          <cell r="AW258">
            <v>0</v>
          </cell>
          <cell r="AY258">
            <v>0</v>
          </cell>
          <cell r="AZ258">
            <v>0</v>
          </cell>
          <cell r="BA258">
            <v>0</v>
          </cell>
          <cell r="BB258">
            <v>0</v>
          </cell>
          <cell r="BC258">
            <v>0</v>
          </cell>
          <cell r="BD258">
            <v>0</v>
          </cell>
          <cell r="BE258">
            <v>0</v>
          </cell>
          <cell r="BF258">
            <v>0</v>
          </cell>
          <cell r="BG258">
            <v>0</v>
          </cell>
          <cell r="BH258">
            <v>0</v>
          </cell>
          <cell r="BJ258">
            <v>0</v>
          </cell>
          <cell r="BL258">
            <v>0</v>
          </cell>
          <cell r="BM258">
            <v>0</v>
          </cell>
          <cell r="BN258">
            <v>0</v>
          </cell>
          <cell r="BO258">
            <v>0</v>
          </cell>
          <cell r="BQ258">
            <v>0</v>
          </cell>
          <cell r="BR258">
            <v>0</v>
          </cell>
          <cell r="BS258">
            <v>0</v>
          </cell>
          <cell r="BT258">
            <v>0</v>
          </cell>
          <cell r="CB258">
            <v>0</v>
          </cell>
          <cell r="CC258">
            <v>0</v>
          </cell>
          <cell r="CD258">
            <v>0</v>
          </cell>
          <cell r="CE258">
            <v>0</v>
          </cell>
          <cell r="CF258">
            <v>0</v>
          </cell>
          <cell r="CI258">
            <v>0</v>
          </cell>
          <cell r="CJ258">
            <v>0</v>
          </cell>
          <cell r="CK258">
            <v>0</v>
          </cell>
          <cell r="CV258">
            <v>6.2471042055790658E-3</v>
          </cell>
          <cell r="DG258">
            <v>271770267</v>
          </cell>
          <cell r="DR258">
            <v>93746939.509999946</v>
          </cell>
          <cell r="EC258">
            <v>2.8989774857771264</v>
          </cell>
          <cell r="EN258">
            <v>2.4095909012463064E-2</v>
          </cell>
        </row>
        <row r="259">
          <cell r="B259">
            <v>38005</v>
          </cell>
          <cell r="C259" t="str">
            <v>Rowan-Cabarrus Community College</v>
          </cell>
          <cell r="D259">
            <v>1.3299451332424062E-3</v>
          </cell>
          <cell r="E259">
            <v>2301115.1824861355</v>
          </cell>
          <cell r="F259">
            <v>1794232.2800062343</v>
          </cell>
          <cell r="G259">
            <v>292798</v>
          </cell>
          <cell r="H259">
            <v>-642092.90212573926</v>
          </cell>
          <cell r="I259">
            <v>-26571.015789563888</v>
          </cell>
          <cell r="J259">
            <v>1941819.284952238</v>
          </cell>
          <cell r="K259">
            <v>0</v>
          </cell>
          <cell r="L259">
            <v>-102026.408819366</v>
          </cell>
          <cell r="M259">
            <v>18309.370158503374</v>
          </cell>
          <cell r="N259">
            <v>690.21492525014401</v>
          </cell>
          <cell r="O259">
            <v>-311.48644965670394</v>
          </cell>
          <cell r="P259">
            <v>0</v>
          </cell>
          <cell r="Q259">
            <v>0</v>
          </cell>
          <cell r="R259">
            <v>0</v>
          </cell>
          <cell r="S259">
            <v>5577962.5193440355</v>
          </cell>
          <cell r="T259">
            <v>1467223</v>
          </cell>
          <cell r="U259">
            <v>9709096.4247611891</v>
          </cell>
          <cell r="V259">
            <v>73237.480634013496</v>
          </cell>
          <cell r="W259">
            <v>0</v>
          </cell>
          <cell r="X259">
            <v>11249556.905395202</v>
          </cell>
          <cell r="Y259">
            <v>3233.3300000000745</v>
          </cell>
          <cell r="Z259">
            <v>0</v>
          </cell>
          <cell r="AA259">
            <v>0</v>
          </cell>
          <cell r="AB259">
            <v>132855.07894781942</v>
          </cell>
          <cell r="AC259">
            <v>136088.40894781949</v>
          </cell>
          <cell r="AD259" t="str">
            <v>N/A</v>
          </cell>
          <cell r="AE259">
            <v>2226356</v>
          </cell>
          <cell r="AF259">
            <v>2226356</v>
          </cell>
          <cell r="AG259">
            <v>2226356</v>
          </cell>
          <cell r="AH259">
            <v>2226356</v>
          </cell>
          <cell r="AI259">
            <v>2208046</v>
          </cell>
          <cell r="AJ259">
            <v>0</v>
          </cell>
          <cell r="AK259">
            <v>11113470</v>
          </cell>
          <cell r="AL259">
            <v>42332989</v>
          </cell>
          <cell r="AM259">
            <v>5577962.5193440355</v>
          </cell>
          <cell r="AN259">
            <v>-1167285.67</v>
          </cell>
          <cell r="AO259">
            <v>9649478.8264473844</v>
          </cell>
          <cell r="AP259">
            <v>0</v>
          </cell>
          <cell r="AQ259">
            <v>1463989.67</v>
          </cell>
          <cell r="AR259">
            <v>0</v>
          </cell>
          <cell r="AS259">
            <v>0</v>
          </cell>
          <cell r="AT259">
            <v>57857134.345791414</v>
          </cell>
          <cell r="AU259">
            <v>1.2768401914825278E-3</v>
          </cell>
          <cell r="AV259">
            <v>0</v>
          </cell>
          <cell r="AW259">
            <v>0</v>
          </cell>
          <cell r="AY259">
            <v>0</v>
          </cell>
          <cell r="AZ259">
            <v>0</v>
          </cell>
          <cell r="BA259">
            <v>0</v>
          </cell>
          <cell r="BB259">
            <v>0</v>
          </cell>
          <cell r="BC259">
            <v>0</v>
          </cell>
          <cell r="BD259">
            <v>0</v>
          </cell>
          <cell r="BE259">
            <v>0</v>
          </cell>
          <cell r="BF259">
            <v>0</v>
          </cell>
          <cell r="BG259">
            <v>0</v>
          </cell>
          <cell r="BH259">
            <v>0</v>
          </cell>
          <cell r="BJ259">
            <v>0</v>
          </cell>
          <cell r="BL259">
            <v>0</v>
          </cell>
          <cell r="BM259">
            <v>0</v>
          </cell>
          <cell r="BN259">
            <v>0</v>
          </cell>
          <cell r="BO259">
            <v>0</v>
          </cell>
          <cell r="BQ259">
            <v>0</v>
          </cell>
          <cell r="BR259">
            <v>0</v>
          </cell>
          <cell r="BS259">
            <v>0</v>
          </cell>
          <cell r="BT259">
            <v>0</v>
          </cell>
          <cell r="CB259">
            <v>0</v>
          </cell>
          <cell r="CC259">
            <v>0</v>
          </cell>
          <cell r="CD259">
            <v>0</v>
          </cell>
          <cell r="CE259">
            <v>0</v>
          </cell>
          <cell r="CF259">
            <v>0</v>
          </cell>
          <cell r="CI259">
            <v>0</v>
          </cell>
          <cell r="CJ259">
            <v>0</v>
          </cell>
          <cell r="CK259">
            <v>0</v>
          </cell>
          <cell r="CV259">
            <v>1.3299451332424062E-3</v>
          </cell>
          <cell r="DG259">
            <v>57857134</v>
          </cell>
          <cell r="DR259">
            <v>20810332.490000002</v>
          </cell>
          <cell r="EC259">
            <v>2.7802118984788979</v>
          </cell>
          <cell r="EN259">
            <v>2.4095909012463064E-2</v>
          </cell>
        </row>
        <row r="260">
          <cell r="B260">
            <v>38100</v>
          </cell>
          <cell r="C260" t="str">
            <v>Rutherford County Schools</v>
          </cell>
          <cell r="D260">
            <v>2.8409398017833084E-3</v>
          </cell>
          <cell r="E260">
            <v>4915488.2761777658</v>
          </cell>
          <cell r="F260">
            <v>3832718.9374248041</v>
          </cell>
          <cell r="G260">
            <v>-40278</v>
          </cell>
          <cell r="H260">
            <v>-1371595.8925646024</v>
          </cell>
          <cell r="I260">
            <v>-56759.225958704264</v>
          </cell>
          <cell r="J260">
            <v>4147984.4217646532</v>
          </cell>
          <cell r="K260">
            <v>0</v>
          </cell>
          <cell r="L260">
            <v>-217941.98753244503</v>
          </cell>
          <cell r="M260">
            <v>39111.2513807703</v>
          </cell>
          <cell r="N260">
            <v>1474.3909383295013</v>
          </cell>
          <cell r="O260">
            <v>-665.37651097566868</v>
          </cell>
          <cell r="P260">
            <v>0</v>
          </cell>
          <cell r="Q260">
            <v>0</v>
          </cell>
          <cell r="R260">
            <v>0</v>
          </cell>
          <cell r="S260">
            <v>11249536.795119593</v>
          </cell>
          <cell r="T260">
            <v>48557.000000000466</v>
          </cell>
          <cell r="U260">
            <v>20739922.108823266</v>
          </cell>
          <cell r="V260">
            <v>156445.0055230812</v>
          </cell>
          <cell r="W260">
            <v>0</v>
          </cell>
          <cell r="X260">
            <v>20944924.114346348</v>
          </cell>
          <cell r="Y260">
            <v>249946</v>
          </cell>
          <cell r="Z260">
            <v>0</v>
          </cell>
          <cell r="AA260">
            <v>0</v>
          </cell>
          <cell r="AB260">
            <v>283796.12979352131</v>
          </cell>
          <cell r="AC260">
            <v>533742.12979352125</v>
          </cell>
          <cell r="AD260" t="str">
            <v>N/A</v>
          </cell>
          <cell r="AE260">
            <v>4090058</v>
          </cell>
          <cell r="AF260">
            <v>4090059</v>
          </cell>
          <cell r="AG260">
            <v>4090059</v>
          </cell>
          <cell r="AH260">
            <v>4090059</v>
          </cell>
          <cell r="AI260">
            <v>4050948</v>
          </cell>
          <cell r="AJ260">
            <v>0</v>
          </cell>
          <cell r="AK260">
            <v>20411183</v>
          </cell>
          <cell r="AL260">
            <v>94489854</v>
          </cell>
          <cell r="AM260">
            <v>11249536.795119593</v>
          </cell>
          <cell r="AN260">
            <v>-2560035.0000000005</v>
          </cell>
          <cell r="AO260">
            <v>20612570.984552827</v>
          </cell>
          <cell r="AP260">
            <v>0</v>
          </cell>
          <cell r="AQ260">
            <v>-201388.99999999953</v>
          </cell>
          <cell r="AR260">
            <v>0</v>
          </cell>
          <cell r="AS260">
            <v>0</v>
          </cell>
          <cell r="AT260">
            <v>123590537.77967243</v>
          </cell>
          <cell r="AU260">
            <v>2.8499863722386384E-3</v>
          </cell>
          <cell r="AV260">
            <v>0</v>
          </cell>
          <cell r="AW260">
            <v>0</v>
          </cell>
          <cell r="AY260">
            <v>0</v>
          </cell>
          <cell r="AZ260">
            <v>0</v>
          </cell>
          <cell r="BA260">
            <v>0</v>
          </cell>
          <cell r="BB260">
            <v>0</v>
          </cell>
          <cell r="BC260">
            <v>0</v>
          </cell>
          <cell r="BD260">
            <v>0</v>
          </cell>
          <cell r="BE260">
            <v>0</v>
          </cell>
          <cell r="BF260">
            <v>0</v>
          </cell>
          <cell r="BG260">
            <v>0</v>
          </cell>
          <cell r="BH260">
            <v>0</v>
          </cell>
          <cell r="BJ260">
            <v>0</v>
          </cell>
          <cell r="BL260">
            <v>0</v>
          </cell>
          <cell r="BM260">
            <v>0</v>
          </cell>
          <cell r="BN260">
            <v>0</v>
          </cell>
          <cell r="BO260">
            <v>0</v>
          </cell>
          <cell r="BQ260">
            <v>0</v>
          </cell>
          <cell r="BR260">
            <v>0</v>
          </cell>
          <cell r="BS260">
            <v>0</v>
          </cell>
          <cell r="BT260">
            <v>0</v>
          </cell>
          <cell r="CB260">
            <v>0</v>
          </cell>
          <cell r="CC260">
            <v>0</v>
          </cell>
          <cell r="CD260">
            <v>0</v>
          </cell>
          <cell r="CE260">
            <v>0</v>
          </cell>
          <cell r="CF260">
            <v>0</v>
          </cell>
          <cell r="CI260">
            <v>0</v>
          </cell>
          <cell r="CJ260">
            <v>0</v>
          </cell>
          <cell r="CK260">
            <v>0</v>
          </cell>
          <cell r="CV260">
            <v>2.8409398017833084E-3</v>
          </cell>
          <cell r="DG260">
            <v>123590538</v>
          </cell>
          <cell r="DR260">
            <v>44237044.530000061</v>
          </cell>
          <cell r="EC260">
            <v>2.7938244815651077</v>
          </cell>
          <cell r="EN260">
            <v>2.4095909012463064E-2</v>
          </cell>
        </row>
        <row r="261">
          <cell r="B261">
            <v>38105</v>
          </cell>
          <cell r="C261" t="str">
            <v>Isothermal Community College</v>
          </cell>
          <cell r="D261">
            <v>5.9904529846460555E-4</v>
          </cell>
          <cell r="E261">
            <v>1036488.0451369653</v>
          </cell>
          <cell r="F261">
            <v>808173.49891024269</v>
          </cell>
          <cell r="G261">
            <v>17810</v>
          </cell>
          <cell r="H261">
            <v>-289216.99443206302</v>
          </cell>
          <cell r="I261">
            <v>-11968.344923644188</v>
          </cell>
          <cell r="J261">
            <v>874650.90404336224</v>
          </cell>
          <cell r="K261">
            <v>0</v>
          </cell>
          <cell r="L261">
            <v>-45955.610494594024</v>
          </cell>
          <cell r="M261">
            <v>8247.0636097289716</v>
          </cell>
          <cell r="N261">
            <v>310.89252899716098</v>
          </cell>
          <cell r="O261">
            <v>-140.30239935339526</v>
          </cell>
          <cell r="P261">
            <v>0</v>
          </cell>
          <cell r="Q261">
            <v>0</v>
          </cell>
          <cell r="R261">
            <v>0</v>
          </cell>
          <cell r="S261">
            <v>2398399.1519796415</v>
          </cell>
          <cell r="T261">
            <v>90615</v>
          </cell>
          <cell r="U261">
            <v>4373254.5202168105</v>
          </cell>
          <cell r="V261">
            <v>32988.254438915887</v>
          </cell>
          <cell r="W261">
            <v>0</v>
          </cell>
          <cell r="X261">
            <v>4496857.7746557267</v>
          </cell>
          <cell r="Y261">
            <v>1565.1199999998789</v>
          </cell>
          <cell r="Z261">
            <v>0</v>
          </cell>
          <cell r="AA261">
            <v>0</v>
          </cell>
          <cell r="AB261">
            <v>59841.724618220935</v>
          </cell>
          <cell r="AC261">
            <v>61406.844618220814</v>
          </cell>
          <cell r="AD261" t="str">
            <v>N/A</v>
          </cell>
          <cell r="AE261">
            <v>888740</v>
          </cell>
          <cell r="AF261">
            <v>888740</v>
          </cell>
          <cell r="AG261">
            <v>888740</v>
          </cell>
          <cell r="AH261">
            <v>888740</v>
          </cell>
          <cell r="AI261">
            <v>880493</v>
          </cell>
          <cell r="AJ261">
            <v>0</v>
          </cell>
          <cell r="AK261">
            <v>4435453</v>
          </cell>
          <cell r="AL261">
            <v>19752305</v>
          </cell>
          <cell r="AM261">
            <v>2398399.1519796415</v>
          </cell>
          <cell r="AN261">
            <v>-525648.88000000012</v>
          </cell>
          <cell r="AO261">
            <v>4346401.050037506</v>
          </cell>
          <cell r="AP261">
            <v>0</v>
          </cell>
          <cell r="AQ261">
            <v>89049.880000000121</v>
          </cell>
          <cell r="AR261">
            <v>0</v>
          </cell>
          <cell r="AS261">
            <v>0</v>
          </cell>
          <cell r="AT261">
            <v>26060506.202017147</v>
          </cell>
          <cell r="AU261">
            <v>5.9576555276577038E-4</v>
          </cell>
          <cell r="AV261">
            <v>0</v>
          </cell>
          <cell r="AW261">
            <v>0</v>
          </cell>
          <cell r="AY261">
            <v>0</v>
          </cell>
          <cell r="AZ261">
            <v>0</v>
          </cell>
          <cell r="BA261">
            <v>0</v>
          </cell>
          <cell r="BB261">
            <v>0</v>
          </cell>
          <cell r="BC261">
            <v>0</v>
          </cell>
          <cell r="BD261">
            <v>0</v>
          </cell>
          <cell r="BE261">
            <v>0</v>
          </cell>
          <cell r="BF261">
            <v>0</v>
          </cell>
          <cell r="BG261">
            <v>0</v>
          </cell>
          <cell r="BH261">
            <v>0</v>
          </cell>
          <cell r="BJ261">
            <v>0</v>
          </cell>
          <cell r="BL261">
            <v>0</v>
          </cell>
          <cell r="BM261">
            <v>0</v>
          </cell>
          <cell r="BN261">
            <v>0</v>
          </cell>
          <cell r="BO261">
            <v>0</v>
          </cell>
          <cell r="BQ261">
            <v>0</v>
          </cell>
          <cell r="BR261">
            <v>0</v>
          </cell>
          <cell r="BS261">
            <v>0</v>
          </cell>
          <cell r="BT261">
            <v>0</v>
          </cell>
          <cell r="CB261">
            <v>0</v>
          </cell>
          <cell r="CC261">
            <v>0</v>
          </cell>
          <cell r="CD261">
            <v>0</v>
          </cell>
          <cell r="CE261">
            <v>0</v>
          </cell>
          <cell r="CF261">
            <v>0</v>
          </cell>
          <cell r="CI261">
            <v>0</v>
          </cell>
          <cell r="CJ261">
            <v>0</v>
          </cell>
          <cell r="CK261">
            <v>0</v>
          </cell>
          <cell r="CV261">
            <v>5.9904529846460555E-4</v>
          </cell>
          <cell r="DG261">
            <v>26060507</v>
          </cell>
          <cell r="DR261">
            <v>9339358.4699999988</v>
          </cell>
          <cell r="EC261">
            <v>2.7903958375419338</v>
          </cell>
          <cell r="EN261">
            <v>2.4095909012463064E-2</v>
          </cell>
        </row>
        <row r="262">
          <cell r="B262">
            <v>38200</v>
          </cell>
          <cell r="C262" t="str">
            <v>Sampson County Schools</v>
          </cell>
          <cell r="D262">
            <v>2.7972368238497903E-3</v>
          </cell>
          <cell r="E262">
            <v>4839871.9341731174</v>
          </cell>
          <cell r="F262">
            <v>3773759.1414296515</v>
          </cell>
          <cell r="G262">
            <v>-174241</v>
          </cell>
          <cell r="H262">
            <v>-1350496.2462472718</v>
          </cell>
          <cell r="I262">
            <v>-55886.082783322745</v>
          </cell>
          <cell r="J262">
            <v>4084174.8079392686</v>
          </cell>
          <cell r="K262">
            <v>0</v>
          </cell>
          <cell r="L262">
            <v>-214589.32449258098</v>
          </cell>
          <cell r="M262">
            <v>38509.591973917275</v>
          </cell>
          <cell r="N262">
            <v>1451.7099668415642</v>
          </cell>
          <cell r="O262">
            <v>-655.14083651385943</v>
          </cell>
          <cell r="P262">
            <v>0</v>
          </cell>
          <cell r="Q262">
            <v>0</v>
          </cell>
          <cell r="R262">
            <v>0</v>
          </cell>
          <cell r="S262">
            <v>10941899.391123107</v>
          </cell>
          <cell r="T262">
            <v>0</v>
          </cell>
          <cell r="U262">
            <v>20420874.039696343</v>
          </cell>
          <cell r="V262">
            <v>154038.3678956691</v>
          </cell>
          <cell r="W262">
            <v>0</v>
          </cell>
          <cell r="X262">
            <v>20574912.407592013</v>
          </cell>
          <cell r="Y262">
            <v>871208.10000000009</v>
          </cell>
          <cell r="Z262">
            <v>0</v>
          </cell>
          <cell r="AA262">
            <v>0</v>
          </cell>
          <cell r="AB262">
            <v>279430.41391661373</v>
          </cell>
          <cell r="AC262">
            <v>1150638.5139166138</v>
          </cell>
          <cell r="AD262" t="str">
            <v>N/A</v>
          </cell>
          <cell r="AE262">
            <v>3892557</v>
          </cell>
          <cell r="AF262">
            <v>3892556</v>
          </cell>
          <cell r="AG262">
            <v>3892556</v>
          </cell>
          <cell r="AH262">
            <v>3892556</v>
          </cell>
          <cell r="AI262">
            <v>3854047</v>
          </cell>
          <cell r="AJ262">
            <v>0</v>
          </cell>
          <cell r="AK262">
            <v>19424272</v>
          </cell>
          <cell r="AL262">
            <v>93717867</v>
          </cell>
          <cell r="AM262">
            <v>10941899.391123107</v>
          </cell>
          <cell r="AN262">
            <v>-2394730.9</v>
          </cell>
          <cell r="AO262">
            <v>20295481.9936754</v>
          </cell>
          <cell r="AP262">
            <v>0</v>
          </cell>
          <cell r="AQ262">
            <v>-871208.10000000009</v>
          </cell>
          <cell r="AR262">
            <v>0</v>
          </cell>
          <cell r="AS262">
            <v>0</v>
          </cell>
          <cell r="AT262">
            <v>121689309.3847985</v>
          </cell>
          <cell r="AU262">
            <v>2.8267018549442331E-3</v>
          </cell>
          <cell r="AV262">
            <v>0</v>
          </cell>
          <cell r="AW262">
            <v>0</v>
          </cell>
          <cell r="AY262">
            <v>0</v>
          </cell>
          <cell r="AZ262">
            <v>0</v>
          </cell>
          <cell r="BA262">
            <v>0</v>
          </cell>
          <cell r="BB262">
            <v>0</v>
          </cell>
          <cell r="BC262">
            <v>0</v>
          </cell>
          <cell r="BD262">
            <v>0</v>
          </cell>
          <cell r="BE262">
            <v>0</v>
          </cell>
          <cell r="BF262">
            <v>0</v>
          </cell>
          <cell r="BG262">
            <v>0</v>
          </cell>
          <cell r="BH262">
            <v>0</v>
          </cell>
          <cell r="BJ262">
            <v>0</v>
          </cell>
          <cell r="BL262">
            <v>0</v>
          </cell>
          <cell r="BM262">
            <v>0</v>
          </cell>
          <cell r="BN262">
            <v>0</v>
          </cell>
          <cell r="BO262">
            <v>0</v>
          </cell>
          <cell r="BQ262">
            <v>0</v>
          </cell>
          <cell r="BR262">
            <v>0</v>
          </cell>
          <cell r="BS262">
            <v>0</v>
          </cell>
          <cell r="BT262">
            <v>0</v>
          </cell>
          <cell r="CB262">
            <v>0</v>
          </cell>
          <cell r="CC262">
            <v>0</v>
          </cell>
          <cell r="CD262">
            <v>0</v>
          </cell>
          <cell r="CE262">
            <v>0</v>
          </cell>
          <cell r="CF262">
            <v>0</v>
          </cell>
          <cell r="CI262">
            <v>0</v>
          </cell>
          <cell r="CJ262">
            <v>0</v>
          </cell>
          <cell r="CK262">
            <v>0</v>
          </cell>
          <cell r="CV262">
            <v>2.7972368238497903E-3</v>
          </cell>
          <cell r="DG262">
            <v>121689310</v>
          </cell>
          <cell r="DR262">
            <v>41825389.139999889</v>
          </cell>
          <cell r="EC262">
            <v>2.9094603182931755</v>
          </cell>
          <cell r="EN262">
            <v>2.4095909012463064E-2</v>
          </cell>
        </row>
        <row r="263">
          <cell r="B263">
            <v>38205</v>
          </cell>
          <cell r="C263" t="str">
            <v>Sampson Community College</v>
          </cell>
          <cell r="D263">
            <v>3.8287703535390649E-4</v>
          </cell>
          <cell r="E263">
            <v>662466.54621771467</v>
          </cell>
          <cell r="F263">
            <v>516540.35864640033</v>
          </cell>
          <cell r="G263">
            <v>-92956</v>
          </cell>
          <cell r="H263">
            <v>-184851.70601611573</v>
          </cell>
          <cell r="I263">
            <v>-7649.5123727752843</v>
          </cell>
          <cell r="J263">
            <v>559029.08505928819</v>
          </cell>
          <cell r="K263">
            <v>0</v>
          </cell>
          <cell r="L263">
            <v>-29372.316165650784</v>
          </cell>
          <cell r="M263">
            <v>5271.0726106377779</v>
          </cell>
          <cell r="N263">
            <v>198.70552380797039</v>
          </cell>
          <cell r="O263">
            <v>-89.673630450238434</v>
          </cell>
          <cell r="P263">
            <v>0</v>
          </cell>
          <cell r="Q263">
            <v>0</v>
          </cell>
          <cell r="R263">
            <v>0</v>
          </cell>
          <cell r="S263">
            <v>1428586.5598728573</v>
          </cell>
          <cell r="T263">
            <v>38065.229999999981</v>
          </cell>
          <cell r="U263">
            <v>2795145.4252964412</v>
          </cell>
          <cell r="V263">
            <v>21084.290442551111</v>
          </cell>
          <cell r="W263">
            <v>0</v>
          </cell>
          <cell r="X263">
            <v>2854294.9457389922</v>
          </cell>
          <cell r="Y263">
            <v>502844</v>
          </cell>
          <cell r="Z263">
            <v>0</v>
          </cell>
          <cell r="AA263">
            <v>0</v>
          </cell>
          <cell r="AB263">
            <v>38247.561863876421</v>
          </cell>
          <cell r="AC263">
            <v>541091.56186387641</v>
          </cell>
          <cell r="AD263" t="str">
            <v>N/A</v>
          </cell>
          <cell r="AE263">
            <v>463695</v>
          </cell>
          <cell r="AF263">
            <v>463695</v>
          </cell>
          <cell r="AG263">
            <v>463695</v>
          </cell>
          <cell r="AH263">
            <v>463695</v>
          </cell>
          <cell r="AI263">
            <v>458424</v>
          </cell>
          <cell r="AJ263">
            <v>0</v>
          </cell>
          <cell r="AK263">
            <v>2313204</v>
          </cell>
          <cell r="AL263">
            <v>13297507</v>
          </cell>
          <cell r="AM263">
            <v>1428586.5598728573</v>
          </cell>
          <cell r="AN263">
            <v>-382844.23</v>
          </cell>
          <cell r="AO263">
            <v>2777982.1538751158</v>
          </cell>
          <cell r="AP263">
            <v>0</v>
          </cell>
          <cell r="AQ263">
            <v>-464778.77</v>
          </cell>
          <cell r="AR263">
            <v>0</v>
          </cell>
          <cell r="AS263">
            <v>0</v>
          </cell>
          <cell r="AT263">
            <v>16656452.713747974</v>
          </cell>
          <cell r="AU263">
            <v>4.0107707127556559E-4</v>
          </cell>
          <cell r="AV263">
            <v>0</v>
          </cell>
          <cell r="AW263">
            <v>0</v>
          </cell>
          <cell r="AY263">
            <v>0</v>
          </cell>
          <cell r="AZ263">
            <v>0</v>
          </cell>
          <cell r="BA263">
            <v>0</v>
          </cell>
          <cell r="BB263">
            <v>0</v>
          </cell>
          <cell r="BC263">
            <v>0</v>
          </cell>
          <cell r="BD263">
            <v>0</v>
          </cell>
          <cell r="BE263">
            <v>0</v>
          </cell>
          <cell r="BF263">
            <v>0</v>
          </cell>
          <cell r="BG263">
            <v>0</v>
          </cell>
          <cell r="BH263">
            <v>0</v>
          </cell>
          <cell r="BJ263">
            <v>0</v>
          </cell>
          <cell r="BL263">
            <v>0</v>
          </cell>
          <cell r="BM263">
            <v>0</v>
          </cell>
          <cell r="BN263">
            <v>0</v>
          </cell>
          <cell r="BO263">
            <v>0</v>
          </cell>
          <cell r="BQ263">
            <v>0</v>
          </cell>
          <cell r="BR263">
            <v>0</v>
          </cell>
          <cell r="BS263">
            <v>0</v>
          </cell>
          <cell r="BT263">
            <v>0</v>
          </cell>
          <cell r="CB263">
            <v>0</v>
          </cell>
          <cell r="CC263">
            <v>0</v>
          </cell>
          <cell r="CD263">
            <v>0</v>
          </cell>
          <cell r="CE263">
            <v>0</v>
          </cell>
          <cell r="CF263">
            <v>0</v>
          </cell>
          <cell r="CI263">
            <v>0</v>
          </cell>
          <cell r="CJ263">
            <v>0</v>
          </cell>
          <cell r="CK263">
            <v>0</v>
          </cell>
          <cell r="CV263">
            <v>3.8287703535390649E-4</v>
          </cell>
          <cell r="DG263">
            <v>16656452</v>
          </cell>
          <cell r="DR263">
            <v>6738604.7900000019</v>
          </cell>
          <cell r="EC263">
            <v>2.4717953521651763</v>
          </cell>
          <cell r="EN263">
            <v>2.4095909012463064E-2</v>
          </cell>
        </row>
        <row r="264">
          <cell r="B264">
            <v>38210</v>
          </cell>
          <cell r="C264" t="str">
            <v>Clinton City Schools</v>
          </cell>
          <cell r="D264">
            <v>1.0224584275585027E-3</v>
          </cell>
          <cell r="E264">
            <v>1769091.485285305</v>
          </cell>
          <cell r="F264">
            <v>1379401.2022265177</v>
          </cell>
          <cell r="G264">
            <v>187969</v>
          </cell>
          <cell r="H264">
            <v>-493639.38604999409</v>
          </cell>
          <cell r="I264">
            <v>-20427.729192552961</v>
          </cell>
          <cell r="J264">
            <v>1492865.7153356127</v>
          </cell>
          <cell r="K264">
            <v>0</v>
          </cell>
          <cell r="L264">
            <v>-78437.642969949593</v>
          </cell>
          <cell r="M264">
            <v>14076.197095596857</v>
          </cell>
          <cell r="N264">
            <v>530.63547473431174</v>
          </cell>
          <cell r="O264">
            <v>-239.46998831847691</v>
          </cell>
          <cell r="P264">
            <v>0</v>
          </cell>
          <cell r="Q264">
            <v>0</v>
          </cell>
          <cell r="R264">
            <v>0</v>
          </cell>
          <cell r="S264">
            <v>4251190.0072169518</v>
          </cell>
          <cell r="T264">
            <v>968497</v>
          </cell>
          <cell r="U264">
            <v>7464328.5766780628</v>
          </cell>
          <cell r="V264">
            <v>56304.788382387429</v>
          </cell>
          <cell r="W264">
            <v>0</v>
          </cell>
          <cell r="X264">
            <v>8489130.3650604505</v>
          </cell>
          <cell r="Y264">
            <v>28657.920000000275</v>
          </cell>
          <cell r="Z264">
            <v>0</v>
          </cell>
          <cell r="AA264">
            <v>0</v>
          </cell>
          <cell r="AB264">
            <v>102138.6459627648</v>
          </cell>
          <cell r="AC264">
            <v>130796.56596276507</v>
          </cell>
          <cell r="AD264" t="str">
            <v>N/A</v>
          </cell>
          <cell r="AE264">
            <v>1674481</v>
          </cell>
          <cell r="AF264">
            <v>1674483</v>
          </cell>
          <cell r="AG264">
            <v>1674483</v>
          </cell>
          <cell r="AH264">
            <v>1674483</v>
          </cell>
          <cell r="AI264">
            <v>1660407</v>
          </cell>
          <cell r="AJ264">
            <v>0</v>
          </cell>
          <cell r="AK264">
            <v>8358337</v>
          </cell>
          <cell r="AL264">
            <v>32736894</v>
          </cell>
          <cell r="AM264">
            <v>4251190.0072169518</v>
          </cell>
          <cell r="AN264">
            <v>-866001.07999999973</v>
          </cell>
          <cell r="AO264">
            <v>7418494.719097686</v>
          </cell>
          <cell r="AP264">
            <v>0</v>
          </cell>
          <cell r="AQ264">
            <v>939839.07999999973</v>
          </cell>
          <cell r="AR264">
            <v>0</v>
          </cell>
          <cell r="AS264">
            <v>0</v>
          </cell>
          <cell r="AT264">
            <v>44480416.726314642</v>
          </cell>
          <cell r="AU264">
            <v>9.8740444543833931E-4</v>
          </cell>
          <cell r="AV264">
            <v>0</v>
          </cell>
          <cell r="AW264">
            <v>0</v>
          </cell>
          <cell r="AY264">
            <v>0</v>
          </cell>
          <cell r="AZ264">
            <v>0</v>
          </cell>
          <cell r="BA264">
            <v>0</v>
          </cell>
          <cell r="BB264">
            <v>0</v>
          </cell>
          <cell r="BC264">
            <v>0</v>
          </cell>
          <cell r="BD264">
            <v>0</v>
          </cell>
          <cell r="BE264">
            <v>0</v>
          </cell>
          <cell r="BF264">
            <v>0</v>
          </cell>
          <cell r="BG264">
            <v>0</v>
          </cell>
          <cell r="BH264">
            <v>0</v>
          </cell>
          <cell r="BJ264">
            <v>0</v>
          </cell>
          <cell r="BL264">
            <v>0</v>
          </cell>
          <cell r="BM264">
            <v>0</v>
          </cell>
          <cell r="BN264">
            <v>0</v>
          </cell>
          <cell r="BO264">
            <v>0</v>
          </cell>
          <cell r="BQ264">
            <v>0</v>
          </cell>
          <cell r="BR264">
            <v>0</v>
          </cell>
          <cell r="BS264">
            <v>0</v>
          </cell>
          <cell r="BT264">
            <v>0</v>
          </cell>
          <cell r="CB264">
            <v>0</v>
          </cell>
          <cell r="CC264">
            <v>0</v>
          </cell>
          <cell r="CD264">
            <v>0</v>
          </cell>
          <cell r="CE264">
            <v>0</v>
          </cell>
          <cell r="CF264">
            <v>0</v>
          </cell>
          <cell r="CI264">
            <v>0</v>
          </cell>
          <cell r="CJ264">
            <v>0</v>
          </cell>
          <cell r="CK264">
            <v>0</v>
          </cell>
          <cell r="CV264">
            <v>1.0224584275585027E-3</v>
          </cell>
          <cell r="DG264">
            <v>44480417</v>
          </cell>
          <cell r="DR264">
            <v>15077834.040000003</v>
          </cell>
          <cell r="EC264">
            <v>2.9500534945535182</v>
          </cell>
          <cell r="EN264">
            <v>2.4095909012463064E-2</v>
          </cell>
        </row>
        <row r="265">
          <cell r="B265">
            <v>38300</v>
          </cell>
          <cell r="C265" t="str">
            <v>Scotland County Schools</v>
          </cell>
          <cell r="D265">
            <v>2.1694012522345762E-3</v>
          </cell>
          <cell r="E265">
            <v>3753570.0034863991</v>
          </cell>
          <cell r="F265">
            <v>2926744.6135582514</v>
          </cell>
          <cell r="G265">
            <v>-143954</v>
          </cell>
          <cell r="H265">
            <v>-1047379.407695175</v>
          </cell>
          <cell r="I265">
            <v>-43342.536083793537</v>
          </cell>
          <cell r="J265">
            <v>3167487.9535205727</v>
          </cell>
          <cell r="K265">
            <v>0</v>
          </cell>
          <cell r="L265">
            <v>-166425.07538195333</v>
          </cell>
          <cell r="M265">
            <v>29866.172337986107</v>
          </cell>
          <cell r="N265">
            <v>1125.8758618847003</v>
          </cell>
          <cell r="O265">
            <v>-508.09546728586008</v>
          </cell>
          <cell r="P265">
            <v>0</v>
          </cell>
          <cell r="Q265">
            <v>0</v>
          </cell>
          <cell r="R265">
            <v>0</v>
          </cell>
          <cell r="S265">
            <v>8477185.5041368864</v>
          </cell>
          <cell r="T265">
            <v>0</v>
          </cell>
          <cell r="U265">
            <v>15837439.767602863</v>
          </cell>
          <cell r="V265">
            <v>119464.68935194443</v>
          </cell>
          <cell r="W265">
            <v>0</v>
          </cell>
          <cell r="X265">
            <v>15956904.456954807</v>
          </cell>
          <cell r="Y265">
            <v>719770.33000000007</v>
          </cell>
          <cell r="Z265">
            <v>0</v>
          </cell>
          <cell r="AA265">
            <v>0</v>
          </cell>
          <cell r="AB265">
            <v>216712.68041896768</v>
          </cell>
          <cell r="AC265">
            <v>936483.01041896781</v>
          </cell>
          <cell r="AD265" t="str">
            <v>N/A</v>
          </cell>
          <cell r="AE265">
            <v>3010058</v>
          </cell>
          <cell r="AF265">
            <v>3010057</v>
          </cell>
          <cell r="AG265">
            <v>3010057</v>
          </cell>
          <cell r="AH265">
            <v>3010057</v>
          </cell>
          <cell r="AI265">
            <v>2980190</v>
          </cell>
          <cell r="AJ265">
            <v>0</v>
          </cell>
          <cell r="AK265">
            <v>15020419</v>
          </cell>
          <cell r="AL265">
            <v>72778345</v>
          </cell>
          <cell r="AM265">
            <v>8477185.5041368864</v>
          </cell>
          <cell r="AN265">
            <v>-1899623.67</v>
          </cell>
          <cell r="AO265">
            <v>15740191.776535841</v>
          </cell>
          <cell r="AP265">
            <v>0</v>
          </cell>
          <cell r="AQ265">
            <v>-719770.33000000007</v>
          </cell>
          <cell r="AR265">
            <v>0</v>
          </cell>
          <cell r="AS265">
            <v>0</v>
          </cell>
          <cell r="AT265">
            <v>94376328.280672729</v>
          </cell>
          <cell r="AU265">
            <v>2.1951276669120081E-3</v>
          </cell>
          <cell r="AV265">
            <v>0</v>
          </cell>
          <cell r="AW265">
            <v>0</v>
          </cell>
          <cell r="AY265">
            <v>0</v>
          </cell>
          <cell r="AZ265">
            <v>0</v>
          </cell>
          <cell r="BA265">
            <v>0</v>
          </cell>
          <cell r="BB265">
            <v>0</v>
          </cell>
          <cell r="BC265">
            <v>0</v>
          </cell>
          <cell r="BD265">
            <v>0</v>
          </cell>
          <cell r="BE265">
            <v>0</v>
          </cell>
          <cell r="BF265">
            <v>0</v>
          </cell>
          <cell r="BG265">
            <v>0</v>
          </cell>
          <cell r="BH265">
            <v>0</v>
          </cell>
          <cell r="BJ265">
            <v>0</v>
          </cell>
          <cell r="BL265">
            <v>0</v>
          </cell>
          <cell r="BM265">
            <v>0</v>
          </cell>
          <cell r="BN265">
            <v>0</v>
          </cell>
          <cell r="BO265">
            <v>0</v>
          </cell>
          <cell r="BQ265">
            <v>0</v>
          </cell>
          <cell r="BR265">
            <v>0</v>
          </cell>
          <cell r="BS265">
            <v>0</v>
          </cell>
          <cell r="BT265">
            <v>0</v>
          </cell>
          <cell r="CB265">
            <v>0</v>
          </cell>
          <cell r="CC265">
            <v>0</v>
          </cell>
          <cell r="CD265">
            <v>0</v>
          </cell>
          <cell r="CE265">
            <v>0</v>
          </cell>
          <cell r="CF265">
            <v>0</v>
          </cell>
          <cell r="CI265">
            <v>0</v>
          </cell>
          <cell r="CJ265">
            <v>0</v>
          </cell>
          <cell r="CK265">
            <v>0</v>
          </cell>
          <cell r="CV265">
            <v>2.1694012522345762E-3</v>
          </cell>
          <cell r="DG265">
            <v>94376328</v>
          </cell>
          <cell r="DR265">
            <v>32869761.020000018</v>
          </cell>
          <cell r="EC265">
            <v>2.8712203883251703</v>
          </cell>
          <cell r="EN265">
            <v>2.4095909012463064E-2</v>
          </cell>
        </row>
        <row r="266">
          <cell r="B266">
            <v>38400</v>
          </cell>
          <cell r="C266" t="str">
            <v>Stanly County Schools</v>
          </cell>
          <cell r="D266">
            <v>2.6936973243421778E-3</v>
          </cell>
          <cell r="E266">
            <v>4660724.4578233873</v>
          </cell>
          <cell r="F266">
            <v>3634073.7456725114</v>
          </cell>
          <cell r="G266">
            <v>-562641</v>
          </cell>
          <cell r="H266">
            <v>-1300507.7346449876</v>
          </cell>
          <cell r="I266">
            <v>-53817.463854996728</v>
          </cell>
          <cell r="J266">
            <v>3932999.4008696456</v>
          </cell>
          <cell r="K266">
            <v>0</v>
          </cell>
          <cell r="L266">
            <v>-206646.31764089098</v>
          </cell>
          <cell r="M266">
            <v>37084.1624767701</v>
          </cell>
          <cell r="N266">
            <v>1397.9750373871034</v>
          </cell>
          <cell r="O266">
            <v>-630.89085033418144</v>
          </cell>
          <cell r="P266">
            <v>0</v>
          </cell>
          <cell r="Q266">
            <v>0</v>
          </cell>
          <cell r="R266">
            <v>0</v>
          </cell>
          <cell r="S266">
            <v>10142036.334888494</v>
          </cell>
          <cell r="T266">
            <v>0</v>
          </cell>
          <cell r="U266">
            <v>19664997.00434823</v>
          </cell>
          <cell r="V266">
            <v>148336.6499070804</v>
          </cell>
          <cell r="W266">
            <v>0</v>
          </cell>
          <cell r="X266">
            <v>19813333.654255308</v>
          </cell>
          <cell r="Y266">
            <v>2813203.05</v>
          </cell>
          <cell r="Z266">
            <v>0</v>
          </cell>
          <cell r="AA266">
            <v>0</v>
          </cell>
          <cell r="AB266">
            <v>269087.3192749836</v>
          </cell>
          <cell r="AC266">
            <v>3082290.3692749832</v>
          </cell>
          <cell r="AD266" t="str">
            <v>N/A</v>
          </cell>
          <cell r="AE266">
            <v>3353625</v>
          </cell>
          <cell r="AF266">
            <v>3353625</v>
          </cell>
          <cell r="AG266">
            <v>3353625</v>
          </cell>
          <cell r="AH266">
            <v>3353625</v>
          </cell>
          <cell r="AI266">
            <v>3316541</v>
          </cell>
          <cell r="AJ266">
            <v>0</v>
          </cell>
          <cell r="AK266">
            <v>16731041</v>
          </cell>
          <cell r="AL266">
            <v>92650101</v>
          </cell>
          <cell r="AM266">
            <v>10142036.334888494</v>
          </cell>
          <cell r="AN266">
            <v>-2338191.9500000002</v>
          </cell>
          <cell r="AO266">
            <v>19544246.334980328</v>
          </cell>
          <cell r="AP266">
            <v>0</v>
          </cell>
          <cell r="AQ266">
            <v>-2813203.05</v>
          </cell>
          <cell r="AR266">
            <v>0</v>
          </cell>
          <cell r="AS266">
            <v>0</v>
          </cell>
          <cell r="AT266">
            <v>117184988.66986881</v>
          </cell>
          <cell r="AU266">
            <v>2.7944960664973819E-3</v>
          </cell>
          <cell r="AV266">
            <v>0</v>
          </cell>
          <cell r="AW266">
            <v>0</v>
          </cell>
          <cell r="AY266">
            <v>0</v>
          </cell>
          <cell r="AZ266">
            <v>0</v>
          </cell>
          <cell r="BA266">
            <v>0</v>
          </cell>
          <cell r="BB266">
            <v>0</v>
          </cell>
          <cell r="BC266">
            <v>0</v>
          </cell>
          <cell r="BD266">
            <v>0</v>
          </cell>
          <cell r="BE266">
            <v>0</v>
          </cell>
          <cell r="BF266">
            <v>0</v>
          </cell>
          <cell r="BG266">
            <v>0</v>
          </cell>
          <cell r="BH266">
            <v>0</v>
          </cell>
          <cell r="BJ266">
            <v>0</v>
          </cell>
          <cell r="BL266">
            <v>0</v>
          </cell>
          <cell r="BM266">
            <v>0</v>
          </cell>
          <cell r="BN266">
            <v>0</v>
          </cell>
          <cell r="BO266">
            <v>0</v>
          </cell>
          <cell r="BQ266">
            <v>0</v>
          </cell>
          <cell r="BR266">
            <v>0</v>
          </cell>
          <cell r="BS266">
            <v>0</v>
          </cell>
          <cell r="BT266">
            <v>0</v>
          </cell>
          <cell r="CB266">
            <v>0</v>
          </cell>
          <cell r="CC266">
            <v>0</v>
          </cell>
          <cell r="CD266">
            <v>0</v>
          </cell>
          <cell r="CE266">
            <v>0</v>
          </cell>
          <cell r="CF266">
            <v>0</v>
          </cell>
          <cell r="CI266">
            <v>0</v>
          </cell>
          <cell r="CJ266">
            <v>0</v>
          </cell>
          <cell r="CK266">
            <v>0</v>
          </cell>
          <cell r="CV266">
            <v>2.6936973243421778E-3</v>
          </cell>
          <cell r="DG266">
            <v>117184989</v>
          </cell>
          <cell r="DR266">
            <v>40948904.550000034</v>
          </cell>
          <cell r="EC266">
            <v>2.8617368471215894</v>
          </cell>
          <cell r="EN266">
            <v>2.4095909012463064E-2</v>
          </cell>
        </row>
        <row r="267">
          <cell r="B267">
            <v>38402</v>
          </cell>
          <cell r="C267" t="str">
            <v>Gray Stone Day School</v>
          </cell>
          <cell r="D267">
            <v>9.6334000593835368E-5</v>
          </cell>
          <cell r="E267">
            <v>166680.28312991964</v>
          </cell>
          <cell r="F267">
            <v>129964.43928946275</v>
          </cell>
          <cell r="G267">
            <v>22379</v>
          </cell>
          <cell r="H267">
            <v>-46509.721693461921</v>
          </cell>
          <cell r="I267">
            <v>-1924.6600381251269</v>
          </cell>
          <cell r="J267">
            <v>140654.84016896979</v>
          </cell>
          <cell r="K267">
            <v>0</v>
          </cell>
          <cell r="L267">
            <v>-7390.2388016786363</v>
          </cell>
          <cell r="M267">
            <v>1326.2313095742793</v>
          </cell>
          <cell r="N267">
            <v>49.995419628188678</v>
          </cell>
          <cell r="O267">
            <v>-22.562386279082183</v>
          </cell>
          <cell r="P267">
            <v>0</v>
          </cell>
          <cell r="Q267">
            <v>0</v>
          </cell>
          <cell r="R267">
            <v>0</v>
          </cell>
          <cell r="S267">
            <v>405207.60639800981</v>
          </cell>
          <cell r="T267">
            <v>117947</v>
          </cell>
          <cell r="U267">
            <v>703274.20084484888</v>
          </cell>
          <cell r="V267">
            <v>5304.9252382971172</v>
          </cell>
          <cell r="W267">
            <v>0</v>
          </cell>
          <cell r="X267">
            <v>826526.12608314597</v>
          </cell>
          <cell r="Y267">
            <v>6047.3400000000111</v>
          </cell>
          <cell r="Z267">
            <v>0</v>
          </cell>
          <cell r="AA267">
            <v>0</v>
          </cell>
          <cell r="AB267">
            <v>9623.3001906256341</v>
          </cell>
          <cell r="AC267">
            <v>15670.640190625645</v>
          </cell>
          <cell r="AD267" t="str">
            <v>N/A</v>
          </cell>
          <cell r="AE267">
            <v>162436</v>
          </cell>
          <cell r="AF267">
            <v>162436</v>
          </cell>
          <cell r="AG267">
            <v>162436</v>
          </cell>
          <cell r="AH267">
            <v>162436</v>
          </cell>
          <cell r="AI267">
            <v>161110</v>
          </cell>
          <cell r="AJ267">
            <v>0</v>
          </cell>
          <cell r="AK267">
            <v>810854</v>
          </cell>
          <cell r="AL267">
            <v>3052369</v>
          </cell>
          <cell r="AM267">
            <v>405207.60639800981</v>
          </cell>
          <cell r="AN267">
            <v>-77575.659999999989</v>
          </cell>
          <cell r="AO267">
            <v>698955.82589252049</v>
          </cell>
          <cell r="AP267">
            <v>0</v>
          </cell>
          <cell r="AQ267">
            <v>111899.65999999999</v>
          </cell>
          <cell r="AR267">
            <v>0</v>
          </cell>
          <cell r="AS267">
            <v>0</v>
          </cell>
          <cell r="AT267">
            <v>4190856.4322905303</v>
          </cell>
          <cell r="AU267">
            <v>9.2065003565337255E-5</v>
          </cell>
          <cell r="AV267">
            <v>0</v>
          </cell>
          <cell r="AW267">
            <v>0</v>
          </cell>
          <cell r="AY267">
            <v>0</v>
          </cell>
          <cell r="AZ267">
            <v>0</v>
          </cell>
          <cell r="BA267">
            <v>0</v>
          </cell>
          <cell r="BB267">
            <v>0</v>
          </cell>
          <cell r="BC267">
            <v>0</v>
          </cell>
          <cell r="BD267">
            <v>0</v>
          </cell>
          <cell r="BE267">
            <v>0</v>
          </cell>
          <cell r="BF267">
            <v>0</v>
          </cell>
          <cell r="BG267">
            <v>0</v>
          </cell>
          <cell r="BH267">
            <v>0</v>
          </cell>
          <cell r="BJ267">
            <v>0</v>
          </cell>
          <cell r="BL267">
            <v>0</v>
          </cell>
          <cell r="BM267">
            <v>0</v>
          </cell>
          <cell r="BN267">
            <v>0</v>
          </cell>
          <cell r="BO267">
            <v>0</v>
          </cell>
          <cell r="BQ267">
            <v>0</v>
          </cell>
          <cell r="BR267">
            <v>0</v>
          </cell>
          <cell r="BS267">
            <v>0</v>
          </cell>
          <cell r="BT267">
            <v>0</v>
          </cell>
          <cell r="CB267">
            <v>0</v>
          </cell>
          <cell r="CC267">
            <v>0</v>
          </cell>
          <cell r="CD267">
            <v>0</v>
          </cell>
          <cell r="CE267">
            <v>0</v>
          </cell>
          <cell r="CF267">
            <v>0</v>
          </cell>
          <cell r="CI267">
            <v>0</v>
          </cell>
          <cell r="CJ267">
            <v>0</v>
          </cell>
          <cell r="CK267">
            <v>0</v>
          </cell>
          <cell r="CV267">
            <v>9.6334000593835368E-5</v>
          </cell>
          <cell r="DG267">
            <v>4190856</v>
          </cell>
          <cell r="DR267">
            <v>1315384.7700000005</v>
          </cell>
          <cell r="EC267">
            <v>3.1860305026946589</v>
          </cell>
          <cell r="EN267">
            <v>2.4095909012463064E-2</v>
          </cell>
        </row>
        <row r="268">
          <cell r="B268">
            <v>38405</v>
          </cell>
          <cell r="C268" t="str">
            <v>Stanly Community College</v>
          </cell>
          <cell r="D268">
            <v>6.8747164768666325E-4</v>
          </cell>
          <cell r="E268">
            <v>1189486.2475745468</v>
          </cell>
          <cell r="F268">
            <v>927469.70610828954</v>
          </cell>
          <cell r="G268">
            <v>78725</v>
          </cell>
          <cell r="H268">
            <v>-331908.92944290856</v>
          </cell>
          <cell r="I268">
            <v>-13735.017745450388</v>
          </cell>
          <cell r="J268">
            <v>1003759.9822492345</v>
          </cell>
          <cell r="K268">
            <v>0</v>
          </cell>
          <cell r="L268">
            <v>-52739.215795767974</v>
          </cell>
          <cell r="M268">
            <v>9464.4301906529108</v>
          </cell>
          <cell r="N268">
            <v>356.78403571642451</v>
          </cell>
          <cell r="O268">
            <v>-161.01273460469341</v>
          </cell>
          <cell r="P268">
            <v>0</v>
          </cell>
          <cell r="Q268">
            <v>0</v>
          </cell>
          <cell r="R268">
            <v>0</v>
          </cell>
          <cell r="S268">
            <v>2810717.9744397085</v>
          </cell>
          <cell r="T268">
            <v>424570</v>
          </cell>
          <cell r="U268">
            <v>5018799.9112461722</v>
          </cell>
          <cell r="V268">
            <v>37857.720762611643</v>
          </cell>
          <cell r="W268">
            <v>0</v>
          </cell>
          <cell r="X268">
            <v>5481227.6320087835</v>
          </cell>
          <cell r="Y268">
            <v>30946.070000000065</v>
          </cell>
          <cell r="Z268">
            <v>0</v>
          </cell>
          <cell r="AA268">
            <v>0</v>
          </cell>
          <cell r="AB268">
            <v>68675.088727251947</v>
          </cell>
          <cell r="AC268">
            <v>99621.158727252012</v>
          </cell>
          <cell r="AD268" t="str">
            <v>N/A</v>
          </cell>
          <cell r="AE268">
            <v>1078214</v>
          </cell>
          <cell r="AF268">
            <v>1078214</v>
          </cell>
          <cell r="AG268">
            <v>1078214</v>
          </cell>
          <cell r="AH268">
            <v>1078214</v>
          </cell>
          <cell r="AI268">
            <v>1068750</v>
          </cell>
          <cell r="AJ268">
            <v>0</v>
          </cell>
          <cell r="AK268">
            <v>5381606</v>
          </cell>
          <cell r="AL268">
            <v>22283290</v>
          </cell>
          <cell r="AM268">
            <v>2810717.9744397085</v>
          </cell>
          <cell r="AN268">
            <v>-568260.92999999993</v>
          </cell>
          <cell r="AO268">
            <v>4987982.5432815319</v>
          </cell>
          <cell r="AP268">
            <v>0</v>
          </cell>
          <cell r="AQ268">
            <v>393623.92999999993</v>
          </cell>
          <cell r="AR268">
            <v>0</v>
          </cell>
          <cell r="AS268">
            <v>0</v>
          </cell>
          <cell r="AT268">
            <v>29907353.517721243</v>
          </cell>
          <cell r="AU268">
            <v>6.7210467655146164E-4</v>
          </cell>
          <cell r="AV268">
            <v>0</v>
          </cell>
          <cell r="AW268">
            <v>0</v>
          </cell>
          <cell r="AY268">
            <v>0</v>
          </cell>
          <cell r="AZ268">
            <v>0</v>
          </cell>
          <cell r="BA268">
            <v>0</v>
          </cell>
          <cell r="BB268">
            <v>0</v>
          </cell>
          <cell r="BC268">
            <v>0</v>
          </cell>
          <cell r="BD268">
            <v>0</v>
          </cell>
          <cell r="BE268">
            <v>0</v>
          </cell>
          <cell r="BF268">
            <v>0</v>
          </cell>
          <cell r="BG268">
            <v>0</v>
          </cell>
          <cell r="BH268">
            <v>0</v>
          </cell>
          <cell r="BJ268">
            <v>0</v>
          </cell>
          <cell r="BL268">
            <v>0</v>
          </cell>
          <cell r="BM268">
            <v>0</v>
          </cell>
          <cell r="BN268">
            <v>0</v>
          </cell>
          <cell r="BO268">
            <v>0</v>
          </cell>
          <cell r="BQ268">
            <v>0</v>
          </cell>
          <cell r="BR268">
            <v>0</v>
          </cell>
          <cell r="BS268">
            <v>0</v>
          </cell>
          <cell r="BT268">
            <v>0</v>
          </cell>
          <cell r="CB268">
            <v>0</v>
          </cell>
          <cell r="CC268">
            <v>0</v>
          </cell>
          <cell r="CD268">
            <v>0</v>
          </cell>
          <cell r="CE268">
            <v>0</v>
          </cell>
          <cell r="CF268">
            <v>0</v>
          </cell>
          <cell r="CI268">
            <v>0</v>
          </cell>
          <cell r="CJ268">
            <v>0</v>
          </cell>
          <cell r="CK268">
            <v>0</v>
          </cell>
          <cell r="CV268">
            <v>6.8747164768666325E-4</v>
          </cell>
          <cell r="DG268">
            <v>29907353</v>
          </cell>
          <cell r="DR268">
            <v>10006684.970000004</v>
          </cell>
          <cell r="EC268">
            <v>2.9887373380557203</v>
          </cell>
          <cell r="EN268">
            <v>2.4095909012463064E-2</v>
          </cell>
        </row>
        <row r="269">
          <cell r="B269">
            <v>38500</v>
          </cell>
          <cell r="C269" t="str">
            <v>Stokes County Schools</v>
          </cell>
          <cell r="D269">
            <v>2.1597062547939207E-3</v>
          </cell>
          <cell r="E269">
            <v>3736795.3973412067</v>
          </cell>
          <cell r="F269">
            <v>2913665.0684493547</v>
          </cell>
          <cell r="G269">
            <v>-456385</v>
          </cell>
          <cell r="H269">
            <v>-1042698.696523583</v>
          </cell>
          <cell r="I269">
            <v>-43148.839423956604</v>
          </cell>
          <cell r="J269">
            <v>3153332.5327236787</v>
          </cell>
          <cell r="K269">
            <v>0</v>
          </cell>
          <cell r="L269">
            <v>-165681.3260740616</v>
          </cell>
          <cell r="M269">
            <v>29732.70119516239</v>
          </cell>
          <cell r="N269">
            <v>1120.8443521129491</v>
          </cell>
          <cell r="O269">
            <v>-505.8248019352842</v>
          </cell>
          <cell r="P269">
            <v>0</v>
          </cell>
          <cell r="Q269">
            <v>0</v>
          </cell>
          <cell r="R269">
            <v>0</v>
          </cell>
          <cell r="S269">
            <v>8126226.8572379788</v>
          </cell>
          <cell r="T269">
            <v>0</v>
          </cell>
          <cell r="U269">
            <v>15766662.663618393</v>
          </cell>
          <cell r="V269">
            <v>118930.80478064956</v>
          </cell>
          <cell r="W269">
            <v>0</v>
          </cell>
          <cell r="X269">
            <v>15885593.468399042</v>
          </cell>
          <cell r="Y269">
            <v>2281925.2800000003</v>
          </cell>
          <cell r="Z269">
            <v>0</v>
          </cell>
          <cell r="AA269">
            <v>0</v>
          </cell>
          <cell r="AB269">
            <v>215744.197119783</v>
          </cell>
          <cell r="AC269">
            <v>2497669.4771197834</v>
          </cell>
          <cell r="AD269" t="str">
            <v>N/A</v>
          </cell>
          <cell r="AE269">
            <v>2683531</v>
          </cell>
          <cell r="AF269">
            <v>2683530</v>
          </cell>
          <cell r="AG269">
            <v>2683530</v>
          </cell>
          <cell r="AH269">
            <v>2683530</v>
          </cell>
          <cell r="AI269">
            <v>2653798</v>
          </cell>
          <cell r="AJ269">
            <v>0</v>
          </cell>
          <cell r="AK269">
            <v>13387919</v>
          </cell>
          <cell r="AL269">
            <v>74321596</v>
          </cell>
          <cell r="AM269">
            <v>8126226.8572379788</v>
          </cell>
          <cell r="AN269">
            <v>-1881183.72</v>
          </cell>
          <cell r="AO269">
            <v>15669849.271279262</v>
          </cell>
          <cell r="AP269">
            <v>0</v>
          </cell>
          <cell r="AQ269">
            <v>-2281925.2800000003</v>
          </cell>
          <cell r="AR269">
            <v>0</v>
          </cell>
          <cell r="AS269">
            <v>0</v>
          </cell>
          <cell r="AT269">
            <v>93954563.12851724</v>
          </cell>
          <cell r="AU269">
            <v>2.2416749322209215E-3</v>
          </cell>
          <cell r="AV269">
            <v>0</v>
          </cell>
          <cell r="AW269">
            <v>0</v>
          </cell>
          <cell r="AY269">
            <v>0</v>
          </cell>
          <cell r="AZ269">
            <v>0</v>
          </cell>
          <cell r="BA269">
            <v>0</v>
          </cell>
          <cell r="BB269">
            <v>0</v>
          </cell>
          <cell r="BC269">
            <v>0</v>
          </cell>
          <cell r="BD269">
            <v>0</v>
          </cell>
          <cell r="BE269">
            <v>0</v>
          </cell>
          <cell r="BF269">
            <v>0</v>
          </cell>
          <cell r="BG269">
            <v>0</v>
          </cell>
          <cell r="BH269">
            <v>0</v>
          </cell>
          <cell r="BJ269">
            <v>0</v>
          </cell>
          <cell r="BL269">
            <v>0</v>
          </cell>
          <cell r="BM269">
            <v>0</v>
          </cell>
          <cell r="BN269">
            <v>0</v>
          </cell>
          <cell r="BO269">
            <v>0</v>
          </cell>
          <cell r="BQ269">
            <v>0</v>
          </cell>
          <cell r="BR269">
            <v>0</v>
          </cell>
          <cell r="BS269">
            <v>0</v>
          </cell>
          <cell r="BT269">
            <v>0</v>
          </cell>
          <cell r="CB269">
            <v>0</v>
          </cell>
          <cell r="CC269">
            <v>0</v>
          </cell>
          <cell r="CD269">
            <v>0</v>
          </cell>
          <cell r="CE269">
            <v>0</v>
          </cell>
          <cell r="CF269">
            <v>0</v>
          </cell>
          <cell r="CI269">
            <v>0</v>
          </cell>
          <cell r="CJ269">
            <v>0</v>
          </cell>
          <cell r="CK269">
            <v>0</v>
          </cell>
          <cell r="CV269">
            <v>2.1597062547939207E-3</v>
          </cell>
          <cell r="DG269">
            <v>93954563</v>
          </cell>
          <cell r="DR269">
            <v>33024718.000000022</v>
          </cell>
          <cell r="EC269">
            <v>2.8449769957157525</v>
          </cell>
          <cell r="EN269">
            <v>2.4095909012463064E-2</v>
          </cell>
        </row>
        <row r="270">
          <cell r="B270">
            <v>38600</v>
          </cell>
          <cell r="C270" t="str">
            <v>Surry County Schools</v>
          </cell>
          <cell r="D270">
            <v>2.6427570235023103E-3</v>
          </cell>
          <cell r="E270">
            <v>4572585.8596714102</v>
          </cell>
          <cell r="F270">
            <v>3565350.059382319</v>
          </cell>
          <cell r="G270">
            <v>-554197</v>
          </cell>
          <cell r="H270">
            <v>-1275913.9339054897</v>
          </cell>
          <cell r="I270">
            <v>-52799.725976862363</v>
          </cell>
          <cell r="J270">
            <v>3858622.7547361585</v>
          </cell>
          <cell r="K270">
            <v>0</v>
          </cell>
          <cell r="L270">
            <v>-202738.44518137162</v>
          </cell>
          <cell r="M270">
            <v>36382.866761067329</v>
          </cell>
          <cell r="N270">
            <v>1371.538040057229</v>
          </cell>
          <cell r="O270">
            <v>-618.96012247447607</v>
          </cell>
          <cell r="P270">
            <v>0</v>
          </cell>
          <cell r="Q270">
            <v>0</v>
          </cell>
          <cell r="R270">
            <v>0</v>
          </cell>
          <cell r="S270">
            <v>9948045.0134048145</v>
          </cell>
          <cell r="T270">
            <v>0</v>
          </cell>
          <cell r="U270">
            <v>19293113.773680795</v>
          </cell>
          <cell r="V270">
            <v>145531.46704426932</v>
          </cell>
          <cell r="W270">
            <v>0</v>
          </cell>
          <cell r="X270">
            <v>19438645.240725063</v>
          </cell>
          <cell r="Y270">
            <v>2770984.62</v>
          </cell>
          <cell r="Z270">
            <v>0</v>
          </cell>
          <cell r="AA270">
            <v>0</v>
          </cell>
          <cell r="AB270">
            <v>263998.62988431181</v>
          </cell>
          <cell r="AC270">
            <v>3034983.249884312</v>
          </cell>
          <cell r="AD270" t="str">
            <v>N/A</v>
          </cell>
          <cell r="AE270">
            <v>3288009</v>
          </cell>
          <cell r="AF270">
            <v>3288009</v>
          </cell>
          <cell r="AG270">
            <v>3288009</v>
          </cell>
          <cell r="AH270">
            <v>3288009</v>
          </cell>
          <cell r="AI270">
            <v>3251626</v>
          </cell>
          <cell r="AJ270">
            <v>0</v>
          </cell>
          <cell r="AK270">
            <v>16403662</v>
          </cell>
          <cell r="AL270">
            <v>90936327</v>
          </cell>
          <cell r="AM270">
            <v>9948045.0134048145</v>
          </cell>
          <cell r="AN270">
            <v>-2319120.38</v>
          </cell>
          <cell r="AO270">
            <v>19174646.610840753</v>
          </cell>
          <cell r="AP270">
            <v>0</v>
          </cell>
          <cell r="AQ270">
            <v>-2770984.62</v>
          </cell>
          <cell r="AR270">
            <v>0</v>
          </cell>
          <cell r="AS270">
            <v>0</v>
          </cell>
          <cell r="AT270">
            <v>114968913.62424557</v>
          </cell>
          <cell r="AU270">
            <v>2.7428055248050602E-3</v>
          </cell>
          <cell r="AV270">
            <v>0</v>
          </cell>
          <cell r="AW270">
            <v>0</v>
          </cell>
          <cell r="AY270">
            <v>0</v>
          </cell>
          <cell r="AZ270">
            <v>0</v>
          </cell>
          <cell r="BA270">
            <v>0</v>
          </cell>
          <cell r="BB270">
            <v>0</v>
          </cell>
          <cell r="BC270">
            <v>0</v>
          </cell>
          <cell r="BD270">
            <v>0</v>
          </cell>
          <cell r="BE270">
            <v>0</v>
          </cell>
          <cell r="BF270">
            <v>0</v>
          </cell>
          <cell r="BG270">
            <v>0</v>
          </cell>
          <cell r="BH270">
            <v>0</v>
          </cell>
          <cell r="BJ270">
            <v>0</v>
          </cell>
          <cell r="BL270">
            <v>0</v>
          </cell>
          <cell r="BM270">
            <v>0</v>
          </cell>
          <cell r="BN270">
            <v>0</v>
          </cell>
          <cell r="BO270">
            <v>0</v>
          </cell>
          <cell r="BQ270">
            <v>0</v>
          </cell>
          <cell r="BR270">
            <v>0</v>
          </cell>
          <cell r="BS270">
            <v>0</v>
          </cell>
          <cell r="BT270">
            <v>0</v>
          </cell>
          <cell r="CB270">
            <v>0</v>
          </cell>
          <cell r="CC270">
            <v>0</v>
          </cell>
          <cell r="CD270">
            <v>0</v>
          </cell>
          <cell r="CE270">
            <v>0</v>
          </cell>
          <cell r="CF270">
            <v>0</v>
          </cell>
          <cell r="CI270">
            <v>0</v>
          </cell>
          <cell r="CJ270">
            <v>0</v>
          </cell>
          <cell r="CK270">
            <v>0</v>
          </cell>
          <cell r="CV270">
            <v>2.6427570235023103E-3</v>
          </cell>
          <cell r="DG270">
            <v>114968913</v>
          </cell>
          <cell r="DR270">
            <v>40492841.820000008</v>
          </cell>
          <cell r="EC270">
            <v>2.8392404146654675</v>
          </cell>
          <cell r="EN270">
            <v>2.4095909012463064E-2</v>
          </cell>
        </row>
        <row r="271">
          <cell r="B271">
            <v>38601</v>
          </cell>
          <cell r="C271" t="str">
            <v>Bridges Charter Schools</v>
          </cell>
          <cell r="D271">
            <v>3.7248194923832202E-5</v>
          </cell>
          <cell r="E271">
            <v>64448.062342591904</v>
          </cell>
          <cell r="F271">
            <v>50251.632216862876</v>
          </cell>
          <cell r="G271">
            <v>-12690</v>
          </cell>
          <cell r="H271">
            <v>-17983.299445804572</v>
          </cell>
          <cell r="I271">
            <v>-744.1828619207439</v>
          </cell>
          <cell r="J271">
            <v>54385.148247746649</v>
          </cell>
          <cell r="K271">
            <v>0</v>
          </cell>
          <cell r="L271">
            <v>-2857.4859729868758</v>
          </cell>
          <cell r="M271">
            <v>512.7963338862229</v>
          </cell>
          <cell r="N271">
            <v>19.331068201570435</v>
          </cell>
          <cell r="O271">
            <v>-8.7238997331107395</v>
          </cell>
          <cell r="P271">
            <v>0</v>
          </cell>
          <cell r="Q271">
            <v>0</v>
          </cell>
          <cell r="R271">
            <v>0</v>
          </cell>
          <cell r="S271">
            <v>135333.27802884392</v>
          </cell>
          <cell r="T271">
            <v>0</v>
          </cell>
          <cell r="U271">
            <v>271925.74123873323</v>
          </cell>
          <cell r="V271">
            <v>2051.1853355448916</v>
          </cell>
          <cell r="W271">
            <v>0</v>
          </cell>
          <cell r="X271">
            <v>273976.9265742781</v>
          </cell>
          <cell r="Y271">
            <v>63448.209999999992</v>
          </cell>
          <cell r="Z271">
            <v>0</v>
          </cell>
          <cell r="AA271">
            <v>0</v>
          </cell>
          <cell r="AB271">
            <v>3720.9143096037192</v>
          </cell>
          <cell r="AC271">
            <v>67169.124309603707</v>
          </cell>
          <cell r="AD271" t="str">
            <v>N/A</v>
          </cell>
          <cell r="AE271">
            <v>41465</v>
          </cell>
          <cell r="AF271">
            <v>41464</v>
          </cell>
          <cell r="AG271">
            <v>41464</v>
          </cell>
          <cell r="AH271">
            <v>41464</v>
          </cell>
          <cell r="AI271">
            <v>40951</v>
          </cell>
          <cell r="AJ271">
            <v>0</v>
          </cell>
          <cell r="AK271">
            <v>206808</v>
          </cell>
          <cell r="AL271">
            <v>1306174</v>
          </cell>
          <cell r="AM271">
            <v>135333.27802884392</v>
          </cell>
          <cell r="AN271">
            <v>-27891.790000000005</v>
          </cell>
          <cell r="AO271">
            <v>270256.01226467441</v>
          </cell>
          <cell r="AP271">
            <v>0</v>
          </cell>
          <cell r="AQ271">
            <v>-63448.209999999992</v>
          </cell>
          <cell r="AR271">
            <v>0</v>
          </cell>
          <cell r="AS271">
            <v>0</v>
          </cell>
          <cell r="AT271">
            <v>1620423.2902935185</v>
          </cell>
          <cell r="AU271">
            <v>3.9396594532019387E-5</v>
          </cell>
          <cell r="AV271">
            <v>0</v>
          </cell>
          <cell r="AW271">
            <v>0</v>
          </cell>
          <cell r="AY271">
            <v>0</v>
          </cell>
          <cell r="AZ271">
            <v>0</v>
          </cell>
          <cell r="BA271">
            <v>0</v>
          </cell>
          <cell r="BB271">
            <v>0</v>
          </cell>
          <cell r="BC271">
            <v>0</v>
          </cell>
          <cell r="BD271">
            <v>0</v>
          </cell>
          <cell r="BE271">
            <v>0</v>
          </cell>
          <cell r="BF271">
            <v>0</v>
          </cell>
          <cell r="BG271">
            <v>0</v>
          </cell>
          <cell r="BH271">
            <v>0</v>
          </cell>
          <cell r="BJ271">
            <v>0</v>
          </cell>
          <cell r="BL271">
            <v>0</v>
          </cell>
          <cell r="BM271">
            <v>0</v>
          </cell>
          <cell r="BN271">
            <v>0</v>
          </cell>
          <cell r="BO271">
            <v>0</v>
          </cell>
          <cell r="BQ271">
            <v>0</v>
          </cell>
          <cell r="BR271">
            <v>0</v>
          </cell>
          <cell r="BS271">
            <v>0</v>
          </cell>
          <cell r="BT271">
            <v>0</v>
          </cell>
          <cell r="CB271">
            <v>0</v>
          </cell>
          <cell r="CC271">
            <v>0</v>
          </cell>
          <cell r="CD271">
            <v>0</v>
          </cell>
          <cell r="CE271">
            <v>0</v>
          </cell>
          <cell r="CF271">
            <v>0</v>
          </cell>
          <cell r="CI271">
            <v>0</v>
          </cell>
          <cell r="CJ271">
            <v>0</v>
          </cell>
          <cell r="CK271">
            <v>0</v>
          </cell>
          <cell r="CV271">
            <v>3.7248194923832202E-5</v>
          </cell>
          <cell r="DG271">
            <v>1620423</v>
          </cell>
          <cell r="DR271">
            <v>503972.35</v>
          </cell>
          <cell r="EC271">
            <v>3.2153013950070872</v>
          </cell>
          <cell r="EN271">
            <v>2.4095909012463064E-2</v>
          </cell>
        </row>
        <row r="272">
          <cell r="B272">
            <v>38602</v>
          </cell>
          <cell r="C272" t="str">
            <v>Millennium Charter Academy</v>
          </cell>
          <cell r="D272">
            <v>1.6666563666537258E-4</v>
          </cell>
          <cell r="E272">
            <v>288370.41269093018</v>
          </cell>
          <cell r="F272">
            <v>224849.0240674442</v>
          </cell>
          <cell r="G272">
            <v>127309</v>
          </cell>
          <cell r="H272">
            <v>-80465.591892652723</v>
          </cell>
          <cell r="I272">
            <v>-3329.8180148354768</v>
          </cell>
          <cell r="J272">
            <v>243344.28490793621</v>
          </cell>
          <cell r="K272">
            <v>0</v>
          </cell>
          <cell r="L272">
            <v>-12785.712701624572</v>
          </cell>
          <cell r="M272">
            <v>2294.4877635435059</v>
          </cell>
          <cell r="N272">
            <v>86.496132116595064</v>
          </cell>
          <cell r="O272">
            <v>-39.034758763396916</v>
          </cell>
          <cell r="P272">
            <v>0</v>
          </cell>
          <cell r="Q272">
            <v>0</v>
          </cell>
          <cell r="R272">
            <v>0</v>
          </cell>
          <cell r="S272">
            <v>789633.54819409456</v>
          </cell>
          <cell r="T272">
            <v>642711</v>
          </cell>
          <cell r="U272">
            <v>1216721.4245396811</v>
          </cell>
          <cell r="V272">
            <v>9177.9510541740237</v>
          </cell>
          <cell r="W272">
            <v>0</v>
          </cell>
          <cell r="X272">
            <v>1868610.375593855</v>
          </cell>
          <cell r="Y272">
            <v>6167.2099999999627</v>
          </cell>
          <cell r="Z272">
            <v>0</v>
          </cell>
          <cell r="AA272">
            <v>0</v>
          </cell>
          <cell r="AB272">
            <v>16649.090074177384</v>
          </cell>
          <cell r="AC272">
            <v>22816.300074177347</v>
          </cell>
          <cell r="AD272" t="str">
            <v>N/A</v>
          </cell>
          <cell r="AE272">
            <v>369618</v>
          </cell>
          <cell r="AF272">
            <v>369617</v>
          </cell>
          <cell r="AG272">
            <v>369617</v>
          </cell>
          <cell r="AH272">
            <v>369617</v>
          </cell>
          <cell r="AI272">
            <v>367322</v>
          </cell>
          <cell r="AJ272">
            <v>0</v>
          </cell>
          <cell r="AK272">
            <v>1845791</v>
          </cell>
          <cell r="AL272">
            <v>4754462</v>
          </cell>
          <cell r="AM272">
            <v>789633.54819409456</v>
          </cell>
          <cell r="AN272">
            <v>-139367.79000000004</v>
          </cell>
          <cell r="AO272">
            <v>1209250.2855196779</v>
          </cell>
          <cell r="AP272">
            <v>0</v>
          </cell>
          <cell r="AQ272">
            <v>636543.79</v>
          </cell>
          <cell r="AR272">
            <v>0</v>
          </cell>
          <cell r="AS272">
            <v>0</v>
          </cell>
          <cell r="AT272">
            <v>7250521.8337137727</v>
          </cell>
          <cell r="AU272">
            <v>1.4340323318558199E-4</v>
          </cell>
          <cell r="AV272">
            <v>0</v>
          </cell>
          <cell r="AW272">
            <v>0</v>
          </cell>
          <cell r="AY272">
            <v>0</v>
          </cell>
          <cell r="AZ272">
            <v>0</v>
          </cell>
          <cell r="BA272">
            <v>0</v>
          </cell>
          <cell r="BB272">
            <v>0</v>
          </cell>
          <cell r="BC272">
            <v>0</v>
          </cell>
          <cell r="BD272">
            <v>0</v>
          </cell>
          <cell r="BE272">
            <v>0</v>
          </cell>
          <cell r="BF272">
            <v>0</v>
          </cell>
          <cell r="BG272">
            <v>0</v>
          </cell>
          <cell r="BH272">
            <v>0</v>
          </cell>
          <cell r="BJ272">
            <v>0</v>
          </cell>
          <cell r="BL272">
            <v>0</v>
          </cell>
          <cell r="BM272">
            <v>0</v>
          </cell>
          <cell r="BN272">
            <v>0</v>
          </cell>
          <cell r="BO272">
            <v>0</v>
          </cell>
          <cell r="BQ272">
            <v>0</v>
          </cell>
          <cell r="BR272">
            <v>0</v>
          </cell>
          <cell r="BS272">
            <v>0</v>
          </cell>
          <cell r="BT272">
            <v>0</v>
          </cell>
          <cell r="CB272">
            <v>0</v>
          </cell>
          <cell r="CC272">
            <v>0</v>
          </cell>
          <cell r="CD272">
            <v>0</v>
          </cell>
          <cell r="CE272">
            <v>0</v>
          </cell>
          <cell r="CF272">
            <v>0</v>
          </cell>
          <cell r="CI272">
            <v>0</v>
          </cell>
          <cell r="CJ272">
            <v>0</v>
          </cell>
          <cell r="CK272">
            <v>0</v>
          </cell>
          <cell r="CV272">
            <v>1.6666563666537258E-4</v>
          </cell>
          <cell r="DG272">
            <v>7250522</v>
          </cell>
          <cell r="DR272">
            <v>2406930.850000001</v>
          </cell>
          <cell r="EC272">
            <v>3.012351601210312</v>
          </cell>
          <cell r="EN272">
            <v>2.4095909012463064E-2</v>
          </cell>
        </row>
        <row r="273">
          <cell r="B273">
            <v>38605</v>
          </cell>
          <cell r="C273" t="str">
            <v>Surry Community College</v>
          </cell>
          <cell r="D273">
            <v>7.4540113900093731E-4</v>
          </cell>
          <cell r="E273">
            <v>1289717.7749098013</v>
          </cell>
          <cell r="F273">
            <v>1005622.5266137552</v>
          </cell>
          <cell r="G273">
            <v>-21038</v>
          </cell>
          <cell r="H273">
            <v>-359877.08712620026</v>
          </cell>
          <cell r="I273">
            <v>-14892.39288064886</v>
          </cell>
          <cell r="J273">
            <v>1088341.3687965751</v>
          </cell>
          <cell r="K273">
            <v>0</v>
          </cell>
          <cell r="L273">
            <v>-57183.262257383001</v>
          </cell>
          <cell r="M273">
            <v>10261.946173121285</v>
          </cell>
          <cell r="N273">
            <v>386.84828311870643</v>
          </cell>
          <cell r="O273">
            <v>-174.58040076540954</v>
          </cell>
          <cell r="P273">
            <v>0</v>
          </cell>
          <cell r="Q273">
            <v>0</v>
          </cell>
          <cell r="R273">
            <v>0</v>
          </cell>
          <cell r="S273">
            <v>2941165.1421113736</v>
          </cell>
          <cell r="T273">
            <v>1639.1299999998882</v>
          </cell>
          <cell r="U273">
            <v>5441706.8439828753</v>
          </cell>
          <cell r="V273">
            <v>41047.78469248514</v>
          </cell>
          <cell r="W273">
            <v>0</v>
          </cell>
          <cell r="X273">
            <v>5484393.7586753601</v>
          </cell>
          <cell r="Y273">
            <v>106829</v>
          </cell>
          <cell r="Z273">
            <v>0</v>
          </cell>
          <cell r="AA273">
            <v>0</v>
          </cell>
          <cell r="AB273">
            <v>74461.964403244303</v>
          </cell>
          <cell r="AC273">
            <v>181290.96440324432</v>
          </cell>
          <cell r="AD273" t="str">
            <v>N/A</v>
          </cell>
          <cell r="AE273">
            <v>1062673</v>
          </cell>
          <cell r="AF273">
            <v>1062673</v>
          </cell>
          <cell r="AG273">
            <v>1062673</v>
          </cell>
          <cell r="AH273">
            <v>1062673</v>
          </cell>
          <cell r="AI273">
            <v>1052411</v>
          </cell>
          <cell r="AJ273">
            <v>0</v>
          </cell>
          <cell r="AK273">
            <v>5303103</v>
          </cell>
          <cell r="AL273">
            <v>24841592</v>
          </cell>
          <cell r="AM273">
            <v>2941165.1421113736</v>
          </cell>
          <cell r="AN273">
            <v>-658377.12999999989</v>
          </cell>
          <cell r="AO273">
            <v>5408292.6642721174</v>
          </cell>
          <cell r="AP273">
            <v>0</v>
          </cell>
          <cell r="AQ273">
            <v>-105189.87000000011</v>
          </cell>
          <cell r="AR273">
            <v>0</v>
          </cell>
          <cell r="AS273">
            <v>0</v>
          </cell>
          <cell r="AT273">
            <v>32427482.806383491</v>
          </cell>
          <cell r="AU273">
            <v>7.4926773769812261E-4</v>
          </cell>
          <cell r="AV273">
            <v>0</v>
          </cell>
          <cell r="AW273">
            <v>0</v>
          </cell>
          <cell r="AY273">
            <v>0</v>
          </cell>
          <cell r="AZ273">
            <v>0</v>
          </cell>
          <cell r="BA273">
            <v>0</v>
          </cell>
          <cell r="BB273">
            <v>0</v>
          </cell>
          <cell r="BC273">
            <v>0</v>
          </cell>
          <cell r="BD273">
            <v>0</v>
          </cell>
          <cell r="BE273">
            <v>0</v>
          </cell>
          <cell r="BF273">
            <v>0</v>
          </cell>
          <cell r="BG273">
            <v>0</v>
          </cell>
          <cell r="BH273">
            <v>0</v>
          </cell>
          <cell r="BJ273">
            <v>0</v>
          </cell>
          <cell r="BL273">
            <v>0</v>
          </cell>
          <cell r="BM273">
            <v>0</v>
          </cell>
          <cell r="BN273">
            <v>0</v>
          </cell>
          <cell r="BO273">
            <v>0</v>
          </cell>
          <cell r="BQ273">
            <v>0</v>
          </cell>
          <cell r="BR273">
            <v>0</v>
          </cell>
          <cell r="BS273">
            <v>0</v>
          </cell>
          <cell r="BT273">
            <v>0</v>
          </cell>
          <cell r="CB273">
            <v>0</v>
          </cell>
          <cell r="CC273">
            <v>0</v>
          </cell>
          <cell r="CD273">
            <v>0</v>
          </cell>
          <cell r="CE273">
            <v>0</v>
          </cell>
          <cell r="CF273">
            <v>0</v>
          </cell>
          <cell r="CI273">
            <v>0</v>
          </cell>
          <cell r="CJ273">
            <v>0</v>
          </cell>
          <cell r="CK273">
            <v>0</v>
          </cell>
          <cell r="CV273">
            <v>7.4540113900093731E-4</v>
          </cell>
          <cell r="DG273">
            <v>32427483</v>
          </cell>
          <cell r="DR273">
            <v>11448381.560000028</v>
          </cell>
          <cell r="EC273">
            <v>2.8324949539854365</v>
          </cell>
          <cell r="EN273">
            <v>2.4095909012463064E-2</v>
          </cell>
        </row>
        <row r="274">
          <cell r="B274">
            <v>38610</v>
          </cell>
          <cell r="C274" t="str">
            <v>Mount Airy City Schools</v>
          </cell>
          <cell r="D274">
            <v>5.5285532827617642E-4</v>
          </cell>
          <cell r="E274">
            <v>956568.62664182403</v>
          </cell>
          <cell r="F274">
            <v>745858.49549160188</v>
          </cell>
          <cell r="G274">
            <v>-41607</v>
          </cell>
          <cell r="H274">
            <v>-266916.63687138451</v>
          </cell>
          <cell r="I274">
            <v>-11045.514051513363</v>
          </cell>
          <cell r="J274">
            <v>807210.0956661097</v>
          </cell>
          <cell r="K274">
            <v>0</v>
          </cell>
          <cell r="L274">
            <v>-42412.158464877815</v>
          </cell>
          <cell r="M274">
            <v>7611.16575150053</v>
          </cell>
          <cell r="N274">
            <v>286.92085826877002</v>
          </cell>
          <cell r="O274">
            <v>-129.48424643556328</v>
          </cell>
          <cell r="P274">
            <v>0</v>
          </cell>
          <cell r="Q274">
            <v>0</v>
          </cell>
          <cell r="R274">
            <v>0</v>
          </cell>
          <cell r="S274">
            <v>2155424.5107750935</v>
          </cell>
          <cell r="T274">
            <v>16544.940000000061</v>
          </cell>
          <cell r="U274">
            <v>4036050.4783305484</v>
          </cell>
          <cell r="V274">
            <v>30444.66300600212</v>
          </cell>
          <cell r="W274">
            <v>0</v>
          </cell>
          <cell r="X274">
            <v>4083040.0813365504</v>
          </cell>
          <cell r="Y274">
            <v>224578</v>
          </cell>
          <cell r="Z274">
            <v>0</v>
          </cell>
          <cell r="AA274">
            <v>0</v>
          </cell>
          <cell r="AB274">
            <v>55227.570257566811</v>
          </cell>
          <cell r="AC274">
            <v>279805.57025756681</v>
          </cell>
          <cell r="AD274" t="str">
            <v>N/A</v>
          </cell>
          <cell r="AE274">
            <v>762169</v>
          </cell>
          <cell r="AF274">
            <v>762169</v>
          </cell>
          <cell r="AG274">
            <v>762169</v>
          </cell>
          <cell r="AH274">
            <v>762169</v>
          </cell>
          <cell r="AI274">
            <v>754558</v>
          </cell>
          <cell r="AJ274">
            <v>0</v>
          </cell>
          <cell r="AK274">
            <v>3803234</v>
          </cell>
          <cell r="AL274">
            <v>18599132</v>
          </cell>
          <cell r="AM274">
            <v>2155424.5107750935</v>
          </cell>
          <cell r="AN274">
            <v>-506704.94000000006</v>
          </cell>
          <cell r="AO274">
            <v>4011267.5710789841</v>
          </cell>
          <cell r="AP274">
            <v>0</v>
          </cell>
          <cell r="AQ274">
            <v>-208033.05999999994</v>
          </cell>
          <cell r="AR274">
            <v>0</v>
          </cell>
          <cell r="AS274">
            <v>0</v>
          </cell>
          <cell r="AT274">
            <v>24051086.081854079</v>
          </cell>
          <cell r="AU274">
            <v>5.609837447125022E-4</v>
          </cell>
          <cell r="AV274">
            <v>0</v>
          </cell>
          <cell r="AW274">
            <v>0</v>
          </cell>
          <cell r="AY274">
            <v>0</v>
          </cell>
          <cell r="AZ274">
            <v>0</v>
          </cell>
          <cell r="BA274">
            <v>0</v>
          </cell>
          <cell r="BB274">
            <v>0</v>
          </cell>
          <cell r="BC274">
            <v>0</v>
          </cell>
          <cell r="BD274">
            <v>0</v>
          </cell>
          <cell r="BE274">
            <v>0</v>
          </cell>
          <cell r="BF274">
            <v>0</v>
          </cell>
          <cell r="BG274">
            <v>0</v>
          </cell>
          <cell r="BH274">
            <v>0</v>
          </cell>
          <cell r="BJ274">
            <v>0</v>
          </cell>
          <cell r="BL274">
            <v>0</v>
          </cell>
          <cell r="BM274">
            <v>0</v>
          </cell>
          <cell r="BN274">
            <v>0</v>
          </cell>
          <cell r="BO274">
            <v>0</v>
          </cell>
          <cell r="BQ274">
            <v>0</v>
          </cell>
          <cell r="BR274">
            <v>0</v>
          </cell>
          <cell r="BS274">
            <v>0</v>
          </cell>
          <cell r="BT274">
            <v>0</v>
          </cell>
          <cell r="CB274">
            <v>0</v>
          </cell>
          <cell r="CC274">
            <v>0</v>
          </cell>
          <cell r="CD274">
            <v>0</v>
          </cell>
          <cell r="CE274">
            <v>0</v>
          </cell>
          <cell r="CF274">
            <v>0</v>
          </cell>
          <cell r="CI274">
            <v>0</v>
          </cell>
          <cell r="CJ274">
            <v>0</v>
          </cell>
          <cell r="CK274">
            <v>0</v>
          </cell>
          <cell r="CV274">
            <v>5.5285532827617642E-4</v>
          </cell>
          <cell r="DG274">
            <v>24051086</v>
          </cell>
          <cell r="DR274">
            <v>8723212.9699999988</v>
          </cell>
          <cell r="EC274">
            <v>2.7571361702063322</v>
          </cell>
          <cell r="EN274">
            <v>2.4095909012463064E-2</v>
          </cell>
        </row>
        <row r="275">
          <cell r="B275">
            <v>38620</v>
          </cell>
          <cell r="C275" t="str">
            <v>Elkin City Schools</v>
          </cell>
          <cell r="D275">
            <v>4.586899091346144E-4</v>
          </cell>
          <cell r="E275">
            <v>793640.49507030589</v>
          </cell>
          <cell r="F275">
            <v>618819.69482153514</v>
          </cell>
          <cell r="G275">
            <v>-738</v>
          </cell>
          <cell r="H275">
            <v>-221453.89878903705</v>
          </cell>
          <cell r="I275">
            <v>-9164.1801706627321</v>
          </cell>
          <cell r="J275">
            <v>669721.54648145125</v>
          </cell>
          <cell r="K275">
            <v>0</v>
          </cell>
          <cell r="L275">
            <v>-35188.2818478318</v>
          </cell>
          <cell r="M275">
            <v>6314.7893280686112</v>
          </cell>
          <cell r="N275">
            <v>238.05088904268217</v>
          </cell>
          <cell r="O275">
            <v>-107.42976361841804</v>
          </cell>
          <cell r="P275">
            <v>0</v>
          </cell>
          <cell r="Q275">
            <v>0</v>
          </cell>
          <cell r="R275">
            <v>0</v>
          </cell>
          <cell r="S275">
            <v>1822082.7860192535</v>
          </cell>
          <cell r="T275">
            <v>3575.960000000021</v>
          </cell>
          <cell r="U275">
            <v>3348607.732407256</v>
          </cell>
          <cell r="V275">
            <v>25259.157312274445</v>
          </cell>
          <cell r="W275">
            <v>0</v>
          </cell>
          <cell r="X275">
            <v>3377442.8497195304</v>
          </cell>
          <cell r="Y275">
            <v>7263</v>
          </cell>
          <cell r="Z275">
            <v>0</v>
          </cell>
          <cell r="AA275">
            <v>0</v>
          </cell>
          <cell r="AB275">
            <v>45820.900853313658</v>
          </cell>
          <cell r="AC275">
            <v>53083.900853313658</v>
          </cell>
          <cell r="AD275" t="str">
            <v>N/A</v>
          </cell>
          <cell r="AE275">
            <v>666134</v>
          </cell>
          <cell r="AF275">
            <v>666134</v>
          </cell>
          <cell r="AG275">
            <v>666134</v>
          </cell>
          <cell r="AH275">
            <v>666134</v>
          </cell>
          <cell r="AI275">
            <v>659819</v>
          </cell>
          <cell r="AJ275">
            <v>0</v>
          </cell>
          <cell r="AK275">
            <v>3324355</v>
          </cell>
          <cell r="AL275">
            <v>15216347</v>
          </cell>
          <cell r="AM275">
            <v>1822082.7860192535</v>
          </cell>
          <cell r="AN275">
            <v>-408218.96</v>
          </cell>
          <cell r="AO275">
            <v>3328045.988866217</v>
          </cell>
          <cell r="AP275">
            <v>0</v>
          </cell>
          <cell r="AQ275">
            <v>-3687.039999999979</v>
          </cell>
          <cell r="AR275">
            <v>0</v>
          </cell>
          <cell r="AS275">
            <v>0</v>
          </cell>
          <cell r="AT275">
            <v>19954569.774885472</v>
          </cell>
          <cell r="AU275">
            <v>4.5895278001503308E-4</v>
          </cell>
          <cell r="AV275">
            <v>0</v>
          </cell>
          <cell r="AW275">
            <v>0</v>
          </cell>
          <cell r="AY275">
            <v>0</v>
          </cell>
          <cell r="AZ275">
            <v>0</v>
          </cell>
          <cell r="BA275">
            <v>0</v>
          </cell>
          <cell r="BB275">
            <v>0</v>
          </cell>
          <cell r="BC275">
            <v>0</v>
          </cell>
          <cell r="BD275">
            <v>0</v>
          </cell>
          <cell r="BE275">
            <v>0</v>
          </cell>
          <cell r="BF275">
            <v>0</v>
          </cell>
          <cell r="BG275">
            <v>0</v>
          </cell>
          <cell r="BH275">
            <v>0</v>
          </cell>
          <cell r="BJ275">
            <v>0</v>
          </cell>
          <cell r="BL275">
            <v>0</v>
          </cell>
          <cell r="BM275">
            <v>0</v>
          </cell>
          <cell r="BN275">
            <v>0</v>
          </cell>
          <cell r="BO275">
            <v>0</v>
          </cell>
          <cell r="BQ275">
            <v>0</v>
          </cell>
          <cell r="BR275">
            <v>0</v>
          </cell>
          <cell r="BS275">
            <v>0</v>
          </cell>
          <cell r="BT275">
            <v>0</v>
          </cell>
          <cell r="CB275">
            <v>0</v>
          </cell>
          <cell r="CC275">
            <v>0</v>
          </cell>
          <cell r="CD275">
            <v>0</v>
          </cell>
          <cell r="CE275">
            <v>0</v>
          </cell>
          <cell r="CF275">
            <v>0</v>
          </cell>
          <cell r="CI275">
            <v>0</v>
          </cell>
          <cell r="CJ275">
            <v>0</v>
          </cell>
          <cell r="CK275">
            <v>0</v>
          </cell>
          <cell r="CV275">
            <v>4.586899091346144E-4</v>
          </cell>
          <cell r="DG275">
            <v>19954570</v>
          </cell>
          <cell r="DR275">
            <v>7242311.8899999987</v>
          </cell>
          <cell r="EC275">
            <v>2.7552762575100869</v>
          </cell>
          <cell r="EN275">
            <v>2.4095909012463064E-2</v>
          </cell>
        </row>
        <row r="276">
          <cell r="B276">
            <v>38700</v>
          </cell>
          <cell r="C276" t="str">
            <v>Swain County Schools</v>
          </cell>
          <cell r="D276">
            <v>7.9049572641102942E-4</v>
          </cell>
          <cell r="E276">
            <v>1367741.9257891125</v>
          </cell>
          <cell r="F276">
            <v>1066459.7464075454</v>
          </cell>
          <cell r="G276">
            <v>134558</v>
          </cell>
          <cell r="H276">
            <v>-381648.59767695266</v>
          </cell>
          <cell r="I276">
            <v>-15793.339065681466</v>
          </cell>
          <cell r="J276">
            <v>1154182.8364565203</v>
          </cell>
          <cell r="K276">
            <v>0</v>
          </cell>
          <cell r="L276">
            <v>-60642.682270767946</v>
          </cell>
          <cell r="M276">
            <v>10882.763883866553</v>
          </cell>
          <cell r="N276">
            <v>410.25147209279606</v>
          </cell>
          <cell r="O276">
            <v>-185.1420040827272</v>
          </cell>
          <cell r="P276">
            <v>0</v>
          </cell>
          <cell r="Q276">
            <v>0</v>
          </cell>
          <cell r="R276">
            <v>0</v>
          </cell>
          <cell r="S276">
            <v>3275965.7629916514</v>
          </cell>
          <cell r="T276">
            <v>673506</v>
          </cell>
          <cell r="U276">
            <v>5770914.1822826015</v>
          </cell>
          <cell r="V276">
            <v>43531.055535466214</v>
          </cell>
          <cell r="W276">
            <v>0</v>
          </cell>
          <cell r="X276">
            <v>6487951.2378180679</v>
          </cell>
          <cell r="Y276">
            <v>714.42000000004191</v>
          </cell>
          <cell r="Z276">
            <v>0</v>
          </cell>
          <cell r="AA276">
            <v>0</v>
          </cell>
          <cell r="AB276">
            <v>78966.695328407324</v>
          </cell>
          <cell r="AC276">
            <v>79681.115328407366</v>
          </cell>
          <cell r="AD276" t="str">
            <v>N/A</v>
          </cell>
          <cell r="AE276">
            <v>1283830</v>
          </cell>
          <cell r="AF276">
            <v>1283830</v>
          </cell>
          <cell r="AG276">
            <v>1283830</v>
          </cell>
          <cell r="AH276">
            <v>1283830</v>
          </cell>
          <cell r="AI276">
            <v>1272947</v>
          </cell>
          <cell r="AJ276">
            <v>0</v>
          </cell>
          <cell r="AK276">
            <v>6408267</v>
          </cell>
          <cell r="AL276">
            <v>25400278</v>
          </cell>
          <cell r="AM276">
            <v>3275965.7629916514</v>
          </cell>
          <cell r="AN276">
            <v>-695262.58</v>
          </cell>
          <cell r="AO276">
            <v>5735478.5424896609</v>
          </cell>
          <cell r="AP276">
            <v>0</v>
          </cell>
          <cell r="AQ276">
            <v>672791.58</v>
          </cell>
          <cell r="AR276">
            <v>0</v>
          </cell>
          <cell r="AS276">
            <v>0</v>
          </cell>
          <cell r="AT276">
            <v>34389251.305481315</v>
          </cell>
          <cell r="AU276">
            <v>7.6611873442585746E-4</v>
          </cell>
          <cell r="AV276">
            <v>0</v>
          </cell>
          <cell r="AW276">
            <v>0</v>
          </cell>
          <cell r="AY276">
            <v>0</v>
          </cell>
          <cell r="AZ276">
            <v>0</v>
          </cell>
          <cell r="BA276">
            <v>0</v>
          </cell>
          <cell r="BB276">
            <v>0</v>
          </cell>
          <cell r="BC276">
            <v>0</v>
          </cell>
          <cell r="BD276">
            <v>0</v>
          </cell>
          <cell r="BE276">
            <v>0</v>
          </cell>
          <cell r="BF276">
            <v>0</v>
          </cell>
          <cell r="BG276">
            <v>0</v>
          </cell>
          <cell r="BH276">
            <v>0</v>
          </cell>
          <cell r="BJ276">
            <v>0</v>
          </cell>
          <cell r="BL276">
            <v>0</v>
          </cell>
          <cell r="BM276">
            <v>0</v>
          </cell>
          <cell r="BN276">
            <v>0</v>
          </cell>
          <cell r="BO276">
            <v>0</v>
          </cell>
          <cell r="BQ276">
            <v>0</v>
          </cell>
          <cell r="BR276">
            <v>0</v>
          </cell>
          <cell r="BS276">
            <v>0</v>
          </cell>
          <cell r="BT276">
            <v>0</v>
          </cell>
          <cell r="CB276">
            <v>0</v>
          </cell>
          <cell r="CC276">
            <v>0</v>
          </cell>
          <cell r="CD276">
            <v>0</v>
          </cell>
          <cell r="CE276">
            <v>0</v>
          </cell>
          <cell r="CF276">
            <v>0</v>
          </cell>
          <cell r="CI276">
            <v>0</v>
          </cell>
          <cell r="CJ276">
            <v>0</v>
          </cell>
          <cell r="CK276">
            <v>0</v>
          </cell>
          <cell r="CV276">
            <v>7.9049572641102942E-4</v>
          </cell>
          <cell r="DG276">
            <v>34389251</v>
          </cell>
          <cell r="DR276">
            <v>11830318.769999996</v>
          </cell>
          <cell r="EC276">
            <v>2.9068744189046067</v>
          </cell>
          <cell r="EN276">
            <v>2.4095909012463064E-2</v>
          </cell>
        </row>
        <row r="277">
          <cell r="B277">
            <v>38701</v>
          </cell>
          <cell r="C277" t="str">
            <v>Mountain Discovery Charter</v>
          </cell>
          <cell r="D277">
            <v>5.057752486594943E-5</v>
          </cell>
          <cell r="E277">
            <v>87510.91112898798</v>
          </cell>
          <cell r="F277">
            <v>68234.264323417054</v>
          </cell>
          <cell r="G277">
            <v>-25154</v>
          </cell>
          <cell r="H277">
            <v>-24418.653756293705</v>
          </cell>
          <cell r="I277">
            <v>-1010.4899655023989</v>
          </cell>
          <cell r="J277">
            <v>73846.966100330843</v>
          </cell>
          <cell r="K277">
            <v>0</v>
          </cell>
          <cell r="L277">
            <v>-3880.0421912626825</v>
          </cell>
          <cell r="M277">
            <v>696.30137463933193</v>
          </cell>
          <cell r="N277">
            <v>26.248723854930436</v>
          </cell>
          <cell r="O277">
            <v>-11.845762098854015</v>
          </cell>
          <cell r="P277">
            <v>0</v>
          </cell>
          <cell r="Q277">
            <v>0</v>
          </cell>
          <cell r="R277">
            <v>0</v>
          </cell>
          <cell r="S277">
            <v>175839.65997607249</v>
          </cell>
          <cell r="T277">
            <v>1557.7400000000052</v>
          </cell>
          <cell r="U277">
            <v>369234.83050165424</v>
          </cell>
          <cell r="V277">
            <v>2785.2054985573277</v>
          </cell>
          <cell r="W277">
            <v>0</v>
          </cell>
          <cell r="X277">
            <v>373577.77600021154</v>
          </cell>
          <cell r="Y277">
            <v>127326</v>
          </cell>
          <cell r="Z277">
            <v>0</v>
          </cell>
          <cell r="AA277">
            <v>0</v>
          </cell>
          <cell r="AB277">
            <v>5052.449827511995</v>
          </cell>
          <cell r="AC277">
            <v>132378.449827512</v>
          </cell>
          <cell r="AD277" t="str">
            <v>N/A</v>
          </cell>
          <cell r="AE277">
            <v>48380</v>
          </cell>
          <cell r="AF277">
            <v>48379</v>
          </cell>
          <cell r="AG277">
            <v>48379</v>
          </cell>
          <cell r="AH277">
            <v>48379</v>
          </cell>
          <cell r="AI277">
            <v>47682</v>
          </cell>
          <cell r="AJ277">
            <v>0</v>
          </cell>
          <cell r="AK277">
            <v>241199</v>
          </cell>
          <cell r="AL277">
            <v>1829663</v>
          </cell>
          <cell r="AM277">
            <v>175839.65997607249</v>
          </cell>
          <cell r="AN277">
            <v>-46407.740000000005</v>
          </cell>
          <cell r="AO277">
            <v>366967.58617269958</v>
          </cell>
          <cell r="AP277">
            <v>0</v>
          </cell>
          <cell r="AQ277">
            <v>-125768.26</v>
          </cell>
          <cell r="AR277">
            <v>0</v>
          </cell>
          <cell r="AS277">
            <v>0</v>
          </cell>
          <cell r="AT277">
            <v>2200294.2461487725</v>
          </cell>
          <cell r="AU277">
            <v>5.5185961254208455E-5</v>
          </cell>
          <cell r="AV277">
            <v>0</v>
          </cell>
          <cell r="AW277">
            <v>0</v>
          </cell>
          <cell r="AY277">
            <v>0</v>
          </cell>
          <cell r="AZ277">
            <v>0</v>
          </cell>
          <cell r="BA277">
            <v>0</v>
          </cell>
          <cell r="BB277">
            <v>0</v>
          </cell>
          <cell r="BC277">
            <v>0</v>
          </cell>
          <cell r="BD277">
            <v>0</v>
          </cell>
          <cell r="BE277">
            <v>0</v>
          </cell>
          <cell r="BF277">
            <v>0</v>
          </cell>
          <cell r="BG277">
            <v>0</v>
          </cell>
          <cell r="BH277">
            <v>0</v>
          </cell>
          <cell r="BJ277">
            <v>0</v>
          </cell>
          <cell r="BL277">
            <v>0</v>
          </cell>
          <cell r="BM277">
            <v>0</v>
          </cell>
          <cell r="BN277">
            <v>0</v>
          </cell>
          <cell r="BO277">
            <v>0</v>
          </cell>
          <cell r="BQ277">
            <v>0</v>
          </cell>
          <cell r="BR277">
            <v>0</v>
          </cell>
          <cell r="BS277">
            <v>0</v>
          </cell>
          <cell r="BT277">
            <v>0</v>
          </cell>
          <cell r="CB277">
            <v>0</v>
          </cell>
          <cell r="CC277">
            <v>0</v>
          </cell>
          <cell r="CD277">
            <v>0</v>
          </cell>
          <cell r="CE277">
            <v>0</v>
          </cell>
          <cell r="CF277">
            <v>0</v>
          </cell>
          <cell r="CI277">
            <v>0</v>
          </cell>
          <cell r="CJ277">
            <v>0</v>
          </cell>
          <cell r="CK277">
            <v>0</v>
          </cell>
          <cell r="CV277">
            <v>5.057752486594943E-5</v>
          </cell>
          <cell r="DG277">
            <v>2200294</v>
          </cell>
          <cell r="DR277">
            <v>838007.07999999984</v>
          </cell>
          <cell r="EC277">
            <v>2.6256269815763376</v>
          </cell>
          <cell r="EN277">
            <v>2.4095909012463064E-2</v>
          </cell>
        </row>
        <row r="278">
          <cell r="B278">
            <v>38800</v>
          </cell>
          <cell r="C278" t="str">
            <v>Transylvania County Schools</v>
          </cell>
          <cell r="D278">
            <v>1.375706345486662E-3</v>
          </cell>
          <cell r="E278">
            <v>2380292.7497647963</v>
          </cell>
          <cell r="F278">
            <v>1855968.84501827</v>
          </cell>
          <cell r="G278">
            <v>80894</v>
          </cell>
          <cell r="H278">
            <v>-664186.25683659909</v>
          </cell>
          <cell r="I278">
            <v>-27485.280493196653</v>
          </cell>
          <cell r="J278">
            <v>2008634.0746887499</v>
          </cell>
          <cell r="K278">
            <v>0</v>
          </cell>
          <cell r="L278">
            <v>-105536.96879045259</v>
          </cell>
          <cell r="M278">
            <v>18939.36530111442</v>
          </cell>
          <cell r="N278">
            <v>713.96407918066791</v>
          </cell>
          <cell r="O278">
            <v>-322.20418317643112</v>
          </cell>
          <cell r="P278">
            <v>0</v>
          </cell>
          <cell r="Q278">
            <v>0</v>
          </cell>
          <cell r="R278">
            <v>0</v>
          </cell>
          <cell r="S278">
            <v>5547912.2885486865</v>
          </cell>
          <cell r="T278">
            <v>427723</v>
          </cell>
          <cell r="U278">
            <v>10043170.373443749</v>
          </cell>
          <cell r="V278">
            <v>75757.461204457679</v>
          </cell>
          <cell r="W278">
            <v>0</v>
          </cell>
          <cell r="X278">
            <v>10546650.834648207</v>
          </cell>
          <cell r="Y278">
            <v>23253.649999999907</v>
          </cell>
          <cell r="Z278">
            <v>0</v>
          </cell>
          <cell r="AA278">
            <v>0</v>
          </cell>
          <cell r="AB278">
            <v>137426.40246598326</v>
          </cell>
          <cell r="AC278">
            <v>160680.05246598317</v>
          </cell>
          <cell r="AD278" t="str">
            <v>N/A</v>
          </cell>
          <cell r="AE278">
            <v>2080982</v>
          </cell>
          <cell r="AF278">
            <v>2080982</v>
          </cell>
          <cell r="AG278">
            <v>2080982</v>
          </cell>
          <cell r="AH278">
            <v>2080982</v>
          </cell>
          <cell r="AI278">
            <v>2062043</v>
          </cell>
          <cell r="AJ278">
            <v>0</v>
          </cell>
          <cell r="AK278">
            <v>10385971</v>
          </cell>
          <cell r="AL278">
            <v>45097579</v>
          </cell>
          <cell r="AM278">
            <v>5547912.2885486865</v>
          </cell>
          <cell r="AN278">
            <v>-1183559.3500000001</v>
          </cell>
          <cell r="AO278">
            <v>9981501.4321822245</v>
          </cell>
          <cell r="AP278">
            <v>0</v>
          </cell>
          <cell r="AQ278">
            <v>404469.35000000009</v>
          </cell>
          <cell r="AR278">
            <v>0</v>
          </cell>
          <cell r="AS278">
            <v>0</v>
          </cell>
          <cell r="AT278">
            <v>59847902.720730908</v>
          </cell>
          <cell r="AU278">
            <v>1.3602252629795213E-3</v>
          </cell>
          <cell r="AV278">
            <v>0</v>
          </cell>
          <cell r="AW278">
            <v>0</v>
          </cell>
          <cell r="AY278">
            <v>0</v>
          </cell>
          <cell r="AZ278">
            <v>0</v>
          </cell>
          <cell r="BA278">
            <v>0</v>
          </cell>
          <cell r="BB278">
            <v>0</v>
          </cell>
          <cell r="BC278">
            <v>0</v>
          </cell>
          <cell r="BD278">
            <v>0</v>
          </cell>
          <cell r="BE278">
            <v>0</v>
          </cell>
          <cell r="BF278">
            <v>0</v>
          </cell>
          <cell r="BG278">
            <v>0</v>
          </cell>
          <cell r="BH278">
            <v>0</v>
          </cell>
          <cell r="BJ278">
            <v>0</v>
          </cell>
          <cell r="BL278">
            <v>0</v>
          </cell>
          <cell r="BM278">
            <v>0</v>
          </cell>
          <cell r="BN278">
            <v>0</v>
          </cell>
          <cell r="BO278">
            <v>0</v>
          </cell>
          <cell r="BQ278">
            <v>0</v>
          </cell>
          <cell r="BR278">
            <v>0</v>
          </cell>
          <cell r="BS278">
            <v>0</v>
          </cell>
          <cell r="BT278">
            <v>0</v>
          </cell>
          <cell r="CB278">
            <v>0</v>
          </cell>
          <cell r="CC278">
            <v>0</v>
          </cell>
          <cell r="CD278">
            <v>0</v>
          </cell>
          <cell r="CE278">
            <v>0</v>
          </cell>
          <cell r="CF278">
            <v>0</v>
          </cell>
          <cell r="CI278">
            <v>0</v>
          </cell>
          <cell r="CJ278">
            <v>0</v>
          </cell>
          <cell r="CK278">
            <v>0</v>
          </cell>
          <cell r="CV278">
            <v>1.375706345486662E-3</v>
          </cell>
          <cell r="DG278">
            <v>59847902</v>
          </cell>
          <cell r="DR278">
            <v>20528974.84999999</v>
          </cell>
          <cell r="EC278">
            <v>2.9152893623424174</v>
          </cell>
          <cell r="EN278">
            <v>2.4095909012463064E-2</v>
          </cell>
        </row>
        <row r="279">
          <cell r="B279">
            <v>38801</v>
          </cell>
          <cell r="C279" t="str">
            <v>Brevard Academy Charter School</v>
          </cell>
          <cell r="D279">
            <v>9.3767503745672195E-5</v>
          </cell>
          <cell r="E279">
            <v>162239.64515509378</v>
          </cell>
          <cell r="F279">
            <v>126501.9720218982</v>
          </cell>
          <cell r="G279">
            <v>101701</v>
          </cell>
          <cell r="H279">
            <v>-45270.62590797188</v>
          </cell>
          <cell r="I279">
            <v>-1873.3839165981044</v>
          </cell>
          <cell r="J279">
            <v>136907.56296935916</v>
          </cell>
          <cell r="K279">
            <v>0</v>
          </cell>
          <cell r="L279">
            <v>-7193.3506368068129</v>
          </cell>
          <cell r="M279">
            <v>1290.8983175364137</v>
          </cell>
          <cell r="N279">
            <v>48.663459093928957</v>
          </cell>
          <cell r="O279">
            <v>-21.961287052273885</v>
          </cell>
          <cell r="P279">
            <v>0</v>
          </cell>
          <cell r="Q279">
            <v>0</v>
          </cell>
          <cell r="R279">
            <v>0</v>
          </cell>
          <cell r="S279">
            <v>474330.42017455248</v>
          </cell>
          <cell r="T279">
            <v>520923</v>
          </cell>
          <cell r="U279">
            <v>684537.81484679575</v>
          </cell>
          <cell r="V279">
            <v>5163.593270145655</v>
          </cell>
          <cell r="W279">
            <v>0</v>
          </cell>
          <cell r="X279">
            <v>1210624.4081169413</v>
          </cell>
          <cell r="Y279">
            <v>12420.680000000008</v>
          </cell>
          <cell r="Z279">
            <v>0</v>
          </cell>
          <cell r="AA279">
            <v>0</v>
          </cell>
          <cell r="AB279">
            <v>9366.919582990522</v>
          </cell>
          <cell r="AC279">
            <v>21787.59958299053</v>
          </cell>
          <cell r="AD279" t="str">
            <v>N/A</v>
          </cell>
          <cell r="AE279">
            <v>238026</v>
          </cell>
          <cell r="AF279">
            <v>238026</v>
          </cell>
          <cell r="AG279">
            <v>238026</v>
          </cell>
          <cell r="AH279">
            <v>238026</v>
          </cell>
          <cell r="AI279">
            <v>236735</v>
          </cell>
          <cell r="AJ279">
            <v>0</v>
          </cell>
          <cell r="AK279">
            <v>1188839</v>
          </cell>
          <cell r="AL279">
            <v>2483706</v>
          </cell>
          <cell r="AM279">
            <v>474330.42017455248</v>
          </cell>
          <cell r="AN279">
            <v>-67668.319999999992</v>
          </cell>
          <cell r="AO279">
            <v>680334.48853395099</v>
          </cell>
          <cell r="AP279">
            <v>0</v>
          </cell>
          <cell r="AQ279">
            <v>508502.32</v>
          </cell>
          <cell r="AR279">
            <v>0</v>
          </cell>
          <cell r="AS279">
            <v>0</v>
          </cell>
          <cell r="AT279">
            <v>4079204.9087085035</v>
          </cell>
          <cell r="AU279">
            <v>7.4913116459634409E-5</v>
          </cell>
          <cell r="AV279">
            <v>0</v>
          </cell>
          <cell r="AW279">
            <v>0</v>
          </cell>
          <cell r="AY279">
            <v>0</v>
          </cell>
          <cell r="AZ279">
            <v>0</v>
          </cell>
          <cell r="BA279">
            <v>0</v>
          </cell>
          <cell r="BB279">
            <v>0</v>
          </cell>
          <cell r="BC279">
            <v>0</v>
          </cell>
          <cell r="BD279">
            <v>0</v>
          </cell>
          <cell r="BE279">
            <v>0</v>
          </cell>
          <cell r="BF279">
            <v>0</v>
          </cell>
          <cell r="BG279">
            <v>0</v>
          </cell>
          <cell r="BH279">
            <v>0</v>
          </cell>
          <cell r="BJ279">
            <v>0</v>
          </cell>
          <cell r="BL279">
            <v>0</v>
          </cell>
          <cell r="BM279">
            <v>0</v>
          </cell>
          <cell r="BN279">
            <v>0</v>
          </cell>
          <cell r="BO279">
            <v>0</v>
          </cell>
          <cell r="BQ279">
            <v>0</v>
          </cell>
          <cell r="BR279">
            <v>0</v>
          </cell>
          <cell r="BS279">
            <v>0</v>
          </cell>
          <cell r="BT279">
            <v>0</v>
          </cell>
          <cell r="CB279">
            <v>0</v>
          </cell>
          <cell r="CC279">
            <v>0</v>
          </cell>
          <cell r="CD279">
            <v>0</v>
          </cell>
          <cell r="CE279">
            <v>0</v>
          </cell>
          <cell r="CF279">
            <v>0</v>
          </cell>
          <cell r="CI279">
            <v>0</v>
          </cell>
          <cell r="CJ279">
            <v>0</v>
          </cell>
          <cell r="CK279">
            <v>0</v>
          </cell>
          <cell r="CV279">
            <v>9.3767503745672195E-5</v>
          </cell>
          <cell r="DG279">
            <v>4079205</v>
          </cell>
          <cell r="DR279">
            <v>1091578.8099999996</v>
          </cell>
          <cell r="EC279">
            <v>3.7369770855115827</v>
          </cell>
          <cell r="EN279">
            <v>2.4095909012463064E-2</v>
          </cell>
        </row>
        <row r="280">
          <cell r="B280">
            <v>38900</v>
          </cell>
          <cell r="C280" t="str">
            <v>Tyrrell County Schools</v>
          </cell>
          <cell r="D280">
            <v>3.0670444720009053E-4</v>
          </cell>
          <cell r="E280">
            <v>530670.20762540586</v>
          </cell>
          <cell r="F280">
            <v>413775.73091774178</v>
          </cell>
          <cell r="G280">
            <v>166344</v>
          </cell>
          <cell r="H280">
            <v>-148075.8443902529</v>
          </cell>
          <cell r="I280">
            <v>-6127.6578300750743</v>
          </cell>
          <cell r="J280">
            <v>447811.41376995359</v>
          </cell>
          <cell r="K280">
            <v>0</v>
          </cell>
          <cell r="L280">
            <v>-23528.75508515476</v>
          </cell>
          <cell r="M280">
            <v>4222.4037012375566</v>
          </cell>
          <cell r="N280">
            <v>159.17347400790297</v>
          </cell>
          <cell r="O280">
            <v>-71.833248578733205</v>
          </cell>
          <cell r="P280">
            <v>0</v>
          </cell>
          <cell r="Q280">
            <v>0</v>
          </cell>
          <cell r="R280">
            <v>0</v>
          </cell>
          <cell r="S280">
            <v>1385178.8389342856</v>
          </cell>
          <cell r="T280">
            <v>849882</v>
          </cell>
          <cell r="U280">
            <v>2239057.068849768</v>
          </cell>
          <cell r="V280">
            <v>16889.614804950226</v>
          </cell>
          <cell r="W280">
            <v>0</v>
          </cell>
          <cell r="X280">
            <v>3105828.6836547181</v>
          </cell>
          <cell r="Y280">
            <v>18162.280000000028</v>
          </cell>
          <cell r="Z280">
            <v>0</v>
          </cell>
          <cell r="AA280">
            <v>0</v>
          </cell>
          <cell r="AB280">
            <v>30638.289150375374</v>
          </cell>
          <cell r="AC280">
            <v>48800.569150375406</v>
          </cell>
          <cell r="AD280" t="str">
            <v>N/A</v>
          </cell>
          <cell r="AE280">
            <v>612250</v>
          </cell>
          <cell r="AF280">
            <v>612250</v>
          </cell>
          <cell r="AG280">
            <v>612250</v>
          </cell>
          <cell r="AH280">
            <v>612250</v>
          </cell>
          <cell r="AI280">
            <v>608028</v>
          </cell>
          <cell r="AJ280">
            <v>0</v>
          </cell>
          <cell r="AK280">
            <v>3057028</v>
          </cell>
          <cell r="AL280">
            <v>9148771</v>
          </cell>
          <cell r="AM280">
            <v>1385178.8389342856</v>
          </cell>
          <cell r="AN280">
            <v>-248292.71999999997</v>
          </cell>
          <cell r="AO280">
            <v>2225308.3945043432</v>
          </cell>
          <cell r="AP280">
            <v>0</v>
          </cell>
          <cell r="AQ280">
            <v>831719.72</v>
          </cell>
          <cell r="AR280">
            <v>0</v>
          </cell>
          <cell r="AS280">
            <v>0</v>
          </cell>
          <cell r="AT280">
            <v>13342685.233438628</v>
          </cell>
          <cell r="AU280">
            <v>2.7594363778227297E-4</v>
          </cell>
          <cell r="AV280">
            <v>0</v>
          </cell>
          <cell r="AW280">
            <v>0</v>
          </cell>
          <cell r="AY280">
            <v>0</v>
          </cell>
          <cell r="AZ280">
            <v>0</v>
          </cell>
          <cell r="BA280">
            <v>0</v>
          </cell>
          <cell r="BB280">
            <v>0</v>
          </cell>
          <cell r="BC280">
            <v>0</v>
          </cell>
          <cell r="BD280">
            <v>0</v>
          </cell>
          <cell r="BE280">
            <v>0</v>
          </cell>
          <cell r="BF280">
            <v>0</v>
          </cell>
          <cell r="BG280">
            <v>0</v>
          </cell>
          <cell r="BH280">
            <v>0</v>
          </cell>
          <cell r="BJ280">
            <v>0</v>
          </cell>
          <cell r="BL280">
            <v>0</v>
          </cell>
          <cell r="BM280">
            <v>0</v>
          </cell>
          <cell r="BN280">
            <v>0</v>
          </cell>
          <cell r="BO280">
            <v>0</v>
          </cell>
          <cell r="BQ280">
            <v>0</v>
          </cell>
          <cell r="BR280">
            <v>0</v>
          </cell>
          <cell r="BS280">
            <v>0</v>
          </cell>
          <cell r="BT280">
            <v>0</v>
          </cell>
          <cell r="CB280">
            <v>0</v>
          </cell>
          <cell r="CC280">
            <v>0</v>
          </cell>
          <cell r="CD280">
            <v>0</v>
          </cell>
          <cell r="CE280">
            <v>0</v>
          </cell>
          <cell r="CF280">
            <v>0</v>
          </cell>
          <cell r="CI280">
            <v>0</v>
          </cell>
          <cell r="CJ280">
            <v>0</v>
          </cell>
          <cell r="CK280">
            <v>0</v>
          </cell>
          <cell r="CV280">
            <v>3.0670444720009053E-4</v>
          </cell>
          <cell r="DG280">
            <v>13342686</v>
          </cell>
          <cell r="DR280">
            <v>4694135.16</v>
          </cell>
          <cell r="EC280">
            <v>2.8424162375418263</v>
          </cell>
          <cell r="EN280">
            <v>2.4095909012463064E-2</v>
          </cell>
        </row>
        <row r="281">
          <cell r="B281">
            <v>39000</v>
          </cell>
          <cell r="C281" t="str">
            <v>Union County Schools</v>
          </cell>
          <cell r="D281">
            <v>1.3912259251114766E-2</v>
          </cell>
          <cell r="E281">
            <v>24071452.412005868</v>
          </cell>
          <cell r="F281">
            <v>18769063.484076627</v>
          </cell>
          <cell r="G281">
            <v>309528</v>
          </cell>
          <cell r="H281">
            <v>-6716790.5610477189</v>
          </cell>
          <cell r="I281">
            <v>-277953.46664312284</v>
          </cell>
          <cell r="J281">
            <v>20312938.2076139</v>
          </cell>
          <cell r="K281">
            <v>0</v>
          </cell>
          <cell r="L281">
            <v>-1067275.494662476</v>
          </cell>
          <cell r="M281">
            <v>191530.23534790819</v>
          </cell>
          <cell r="N281">
            <v>7220.1843061435411</v>
          </cell>
          <cell r="O281">
            <v>-3258.3902392035893</v>
          </cell>
          <cell r="P281">
            <v>0</v>
          </cell>
          <cell r="Q281">
            <v>0</v>
          </cell>
          <cell r="R281">
            <v>0</v>
          </cell>
          <cell r="S281">
            <v>55596454.610757925</v>
          </cell>
          <cell r="T281">
            <v>2212122</v>
          </cell>
          <cell r="U281">
            <v>101564691.0380695</v>
          </cell>
          <cell r="V281">
            <v>766120.94139163278</v>
          </cell>
          <cell r="W281">
            <v>0</v>
          </cell>
          <cell r="X281">
            <v>104542933.97946113</v>
          </cell>
          <cell r="Y281">
            <v>664486.50000000186</v>
          </cell>
          <cell r="Z281">
            <v>0</v>
          </cell>
          <cell r="AA281">
            <v>0</v>
          </cell>
          <cell r="AB281">
            <v>1389767.3332156141</v>
          </cell>
          <cell r="AC281">
            <v>2054253.8332156159</v>
          </cell>
          <cell r="AD281" t="str">
            <v>N/A</v>
          </cell>
          <cell r="AE281">
            <v>20536042</v>
          </cell>
          <cell r="AF281">
            <v>20536043</v>
          </cell>
          <cell r="AG281">
            <v>20536043</v>
          </cell>
          <cell r="AH281">
            <v>20536043</v>
          </cell>
          <cell r="AI281">
            <v>20344513</v>
          </cell>
          <cell r="AJ281">
            <v>0</v>
          </cell>
          <cell r="AK281">
            <v>102488684</v>
          </cell>
          <cell r="AL281">
            <v>458599356</v>
          </cell>
          <cell r="AM281">
            <v>55596454.610757925</v>
          </cell>
          <cell r="AN281">
            <v>-11453925.499999998</v>
          </cell>
          <cell r="AO281">
            <v>100941044.64624552</v>
          </cell>
          <cell r="AP281">
            <v>0</v>
          </cell>
          <cell r="AQ281">
            <v>1547635.4999999981</v>
          </cell>
          <cell r="AR281">
            <v>0</v>
          </cell>
          <cell r="AS281">
            <v>0</v>
          </cell>
          <cell r="AT281">
            <v>605230565.25700343</v>
          </cell>
          <cell r="AU281">
            <v>1.3832193252420312E-2</v>
          </cell>
          <cell r="AV281">
            <v>0</v>
          </cell>
          <cell r="AW281">
            <v>0</v>
          </cell>
          <cell r="AY281">
            <v>0</v>
          </cell>
          <cell r="AZ281">
            <v>0</v>
          </cell>
          <cell r="BA281">
            <v>0</v>
          </cell>
          <cell r="BB281">
            <v>0</v>
          </cell>
          <cell r="BC281">
            <v>0</v>
          </cell>
          <cell r="BD281">
            <v>0</v>
          </cell>
          <cell r="BE281">
            <v>0</v>
          </cell>
          <cell r="BF281">
            <v>0</v>
          </cell>
          <cell r="BG281">
            <v>0</v>
          </cell>
          <cell r="BH281">
            <v>0</v>
          </cell>
          <cell r="BJ281">
            <v>0</v>
          </cell>
          <cell r="BL281">
            <v>0</v>
          </cell>
          <cell r="BM281">
            <v>0</v>
          </cell>
          <cell r="BN281">
            <v>0</v>
          </cell>
          <cell r="BO281">
            <v>0</v>
          </cell>
          <cell r="BQ281">
            <v>0</v>
          </cell>
          <cell r="BR281">
            <v>0</v>
          </cell>
          <cell r="BS281">
            <v>0</v>
          </cell>
          <cell r="BT281">
            <v>0</v>
          </cell>
          <cell r="CB281">
            <v>0</v>
          </cell>
          <cell r="CC281">
            <v>0</v>
          </cell>
          <cell r="CD281">
            <v>0</v>
          </cell>
          <cell r="CE281">
            <v>0</v>
          </cell>
          <cell r="CF281">
            <v>0</v>
          </cell>
          <cell r="CI281">
            <v>0</v>
          </cell>
          <cell r="CJ281">
            <v>0</v>
          </cell>
          <cell r="CK281">
            <v>0</v>
          </cell>
          <cell r="CV281">
            <v>1.3912259251114766E-2</v>
          </cell>
          <cell r="DG281">
            <v>605230565</v>
          </cell>
          <cell r="DR281">
            <v>197758811.1799998</v>
          </cell>
          <cell r="EC281">
            <v>3.0604480345966478</v>
          </cell>
          <cell r="EN281">
            <v>2.4095909012463064E-2</v>
          </cell>
        </row>
        <row r="282">
          <cell r="B282">
            <v>39100</v>
          </cell>
          <cell r="C282" t="str">
            <v>Vance County Schools</v>
          </cell>
          <cell r="D282">
            <v>2.1343134136276353E-3</v>
          </cell>
          <cell r="E282">
            <v>3692859.8613001513</v>
          </cell>
          <cell r="F282">
            <v>2879407.5234102267</v>
          </cell>
          <cell r="G282">
            <v>-37320</v>
          </cell>
          <cell r="H282">
            <v>-1030439.1207936222</v>
          </cell>
          <cell r="I282">
            <v>-42641.51504890791</v>
          </cell>
          <cell r="J282">
            <v>3116257.0869447929</v>
          </cell>
          <cell r="K282">
            <v>0</v>
          </cell>
          <cell r="L282">
            <v>-163733.32060439198</v>
          </cell>
          <cell r="M282">
            <v>29383.117654707523</v>
          </cell>
          <cell r="N282">
            <v>1107.6659754044701</v>
          </cell>
          <cell r="O282">
            <v>-499.87754460572847</v>
          </cell>
          <cell r="P282">
            <v>0</v>
          </cell>
          <cell r="Q282">
            <v>0</v>
          </cell>
          <cell r="R282">
            <v>0</v>
          </cell>
          <cell r="S282">
            <v>8444381.421293756</v>
          </cell>
          <cell r="T282">
            <v>121488.72999999975</v>
          </cell>
          <cell r="U282">
            <v>15581285.434723964</v>
          </cell>
          <cell r="V282">
            <v>117532.47061883009</v>
          </cell>
          <cell r="W282">
            <v>0</v>
          </cell>
          <cell r="X282">
            <v>15820306.635342795</v>
          </cell>
          <cell r="Y282">
            <v>308092</v>
          </cell>
          <cell r="Z282">
            <v>0</v>
          </cell>
          <cell r="AA282">
            <v>0</v>
          </cell>
          <cell r="AB282">
            <v>213207.57524453953</v>
          </cell>
          <cell r="AC282">
            <v>521299.57524453953</v>
          </cell>
          <cell r="AD282" t="str">
            <v>N/A</v>
          </cell>
          <cell r="AE282">
            <v>3065679</v>
          </cell>
          <cell r="AF282">
            <v>3065678</v>
          </cell>
          <cell r="AG282">
            <v>3065678</v>
          </cell>
          <cell r="AH282">
            <v>3065678</v>
          </cell>
          <cell r="AI282">
            <v>3036295</v>
          </cell>
          <cell r="AJ282">
            <v>0</v>
          </cell>
          <cell r="AK282">
            <v>15299008</v>
          </cell>
          <cell r="AL282">
            <v>71131789</v>
          </cell>
          <cell r="AM282">
            <v>8444381.421293756</v>
          </cell>
          <cell r="AN282">
            <v>-2025289.7299999997</v>
          </cell>
          <cell r="AO282">
            <v>15485610.330098255</v>
          </cell>
          <cell r="AP282">
            <v>0</v>
          </cell>
          <cell r="AQ282">
            <v>-186603.27000000025</v>
          </cell>
          <cell r="AR282">
            <v>0</v>
          </cell>
          <cell r="AS282">
            <v>0</v>
          </cell>
          <cell r="AT282">
            <v>92849887.751392007</v>
          </cell>
          <cell r="AU282">
            <v>2.1454645216955467E-3</v>
          </cell>
          <cell r="AV282">
            <v>0</v>
          </cell>
          <cell r="AW282">
            <v>0</v>
          </cell>
          <cell r="AY282">
            <v>0</v>
          </cell>
          <cell r="AZ282">
            <v>0</v>
          </cell>
          <cell r="BA282">
            <v>0</v>
          </cell>
          <cell r="BB282">
            <v>0</v>
          </cell>
          <cell r="BC282">
            <v>0</v>
          </cell>
          <cell r="BD282">
            <v>0</v>
          </cell>
          <cell r="BE282">
            <v>0</v>
          </cell>
          <cell r="BF282">
            <v>0</v>
          </cell>
          <cell r="BG282">
            <v>0</v>
          </cell>
          <cell r="BH282">
            <v>0</v>
          </cell>
          <cell r="BJ282">
            <v>0</v>
          </cell>
          <cell r="BL282">
            <v>0</v>
          </cell>
          <cell r="BM282">
            <v>0</v>
          </cell>
          <cell r="BN282">
            <v>0</v>
          </cell>
          <cell r="BO282">
            <v>0</v>
          </cell>
          <cell r="BQ282">
            <v>0</v>
          </cell>
          <cell r="BR282">
            <v>0</v>
          </cell>
          <cell r="BS282">
            <v>0</v>
          </cell>
          <cell r="BT282">
            <v>0</v>
          </cell>
          <cell r="CB282">
            <v>0</v>
          </cell>
          <cell r="CC282">
            <v>0</v>
          </cell>
          <cell r="CD282">
            <v>0</v>
          </cell>
          <cell r="CE282">
            <v>0</v>
          </cell>
          <cell r="CF282">
            <v>0</v>
          </cell>
          <cell r="CI282">
            <v>0</v>
          </cell>
          <cell r="CJ282">
            <v>0</v>
          </cell>
          <cell r="CK282">
            <v>0</v>
          </cell>
          <cell r="CV282">
            <v>2.1343134136276353E-3</v>
          </cell>
          <cell r="DG282">
            <v>92849888</v>
          </cell>
          <cell r="DR282">
            <v>34567866.200000018</v>
          </cell>
          <cell r="EC282">
            <v>2.6860173394214293</v>
          </cell>
          <cell r="EN282">
            <v>2.4095909012463064E-2</v>
          </cell>
        </row>
        <row r="283">
          <cell r="B283">
            <v>39101</v>
          </cell>
          <cell r="C283" t="str">
            <v>Vance Charter School</v>
          </cell>
          <cell r="D283">
            <v>1.5215746481731001E-4</v>
          </cell>
          <cell r="E283">
            <v>263267.89253786032</v>
          </cell>
          <cell r="F283">
            <v>205276.0134198486</v>
          </cell>
          <cell r="G283">
            <v>36828</v>
          </cell>
          <cell r="H283">
            <v>-73461.096794610581</v>
          </cell>
          <cell r="I283">
            <v>-3039.9587916111809</v>
          </cell>
          <cell r="J283">
            <v>222161.26977460878</v>
          </cell>
          <cell r="K283">
            <v>0</v>
          </cell>
          <cell r="L283">
            <v>-11672.721920882152</v>
          </cell>
          <cell r="M283">
            <v>2094.7535925241823</v>
          </cell>
          <cell r="N283">
            <v>78.966681090887548</v>
          </cell>
          <cell r="O283">
            <v>-35.636799834862174</v>
          </cell>
          <cell r="P283">
            <v>0</v>
          </cell>
          <cell r="Q283">
            <v>0</v>
          </cell>
          <cell r="R283">
            <v>0</v>
          </cell>
          <cell r="S283">
            <v>641497.48169899406</v>
          </cell>
          <cell r="T283">
            <v>186264</v>
          </cell>
          <cell r="U283">
            <v>1110806.3488730439</v>
          </cell>
          <cell r="V283">
            <v>8379.0143700967292</v>
          </cell>
          <cell r="W283">
            <v>0</v>
          </cell>
          <cell r="X283">
            <v>1305449.3632431405</v>
          </cell>
          <cell r="Y283">
            <v>2125.3099999999977</v>
          </cell>
          <cell r="Z283">
            <v>0</v>
          </cell>
          <cell r="AA283">
            <v>0</v>
          </cell>
          <cell r="AB283">
            <v>15199.793958055903</v>
          </cell>
          <cell r="AC283">
            <v>17325.103958055901</v>
          </cell>
          <cell r="AD283" t="str">
            <v>N/A</v>
          </cell>
          <cell r="AE283">
            <v>258044</v>
          </cell>
          <cell r="AF283">
            <v>258044</v>
          </cell>
          <cell r="AG283">
            <v>258044</v>
          </cell>
          <cell r="AH283">
            <v>258044</v>
          </cell>
          <cell r="AI283">
            <v>255949</v>
          </cell>
          <cell r="AJ283">
            <v>0</v>
          </cell>
          <cell r="AK283">
            <v>1288125</v>
          </cell>
          <cell r="AL283">
            <v>4821187</v>
          </cell>
          <cell r="AM283">
            <v>641497.48169899406</v>
          </cell>
          <cell r="AN283">
            <v>-131441.69</v>
          </cell>
          <cell r="AO283">
            <v>1103985.569285085</v>
          </cell>
          <cell r="AP283">
            <v>0</v>
          </cell>
          <cell r="AQ283">
            <v>184138.69</v>
          </cell>
          <cell r="AR283">
            <v>0</v>
          </cell>
          <cell r="AS283">
            <v>0</v>
          </cell>
          <cell r="AT283">
            <v>6619367.0509840781</v>
          </cell>
          <cell r="AU283">
            <v>1.4541579333947972E-4</v>
          </cell>
          <cell r="AV283">
            <v>0</v>
          </cell>
          <cell r="AW283">
            <v>0</v>
          </cell>
          <cell r="AY283">
            <v>0</v>
          </cell>
          <cell r="AZ283">
            <v>0</v>
          </cell>
          <cell r="BA283">
            <v>0</v>
          </cell>
          <cell r="BB283">
            <v>0</v>
          </cell>
          <cell r="BC283">
            <v>0</v>
          </cell>
          <cell r="BD283">
            <v>0</v>
          </cell>
          <cell r="BE283">
            <v>0</v>
          </cell>
          <cell r="BF283">
            <v>0</v>
          </cell>
          <cell r="BG283">
            <v>0</v>
          </cell>
          <cell r="BH283">
            <v>0</v>
          </cell>
          <cell r="BJ283">
            <v>0</v>
          </cell>
          <cell r="BL283">
            <v>0</v>
          </cell>
          <cell r="BM283">
            <v>0</v>
          </cell>
          <cell r="BN283">
            <v>0</v>
          </cell>
          <cell r="BO283">
            <v>0</v>
          </cell>
          <cell r="BQ283">
            <v>0</v>
          </cell>
          <cell r="BR283">
            <v>0</v>
          </cell>
          <cell r="BS283">
            <v>0</v>
          </cell>
          <cell r="BT283">
            <v>0</v>
          </cell>
          <cell r="CB283">
            <v>0</v>
          </cell>
          <cell r="CC283">
            <v>0</v>
          </cell>
          <cell r="CD283">
            <v>0</v>
          </cell>
          <cell r="CE283">
            <v>0</v>
          </cell>
          <cell r="CF283">
            <v>0</v>
          </cell>
          <cell r="CI283">
            <v>0</v>
          </cell>
          <cell r="CJ283">
            <v>0</v>
          </cell>
          <cell r="CK283">
            <v>0</v>
          </cell>
          <cell r="CV283">
            <v>1.5215746481731001E-4</v>
          </cell>
          <cell r="DG283">
            <v>6619367</v>
          </cell>
          <cell r="DR283">
            <v>2334424.14</v>
          </cell>
          <cell r="EC283">
            <v>2.8355459860863159</v>
          </cell>
          <cell r="EN283">
            <v>2.4095909012463064E-2</v>
          </cell>
        </row>
        <row r="284">
          <cell r="B284">
            <v>39105</v>
          </cell>
          <cell r="C284" t="str">
            <v>Vance-Granville Community College</v>
          </cell>
          <cell r="D284">
            <v>8.8130321561062132E-4</v>
          </cell>
          <cell r="E284">
            <v>1524860.0555958557</v>
          </cell>
          <cell r="F284">
            <v>1188968.3554589599</v>
          </cell>
          <cell r="G284">
            <v>-15710</v>
          </cell>
          <cell r="H284">
            <v>-425490.13881840237</v>
          </cell>
          <cell r="I284">
            <v>-17607.584758246609</v>
          </cell>
          <cell r="J284">
            <v>1286768.5569786616</v>
          </cell>
          <cell r="K284">
            <v>0</v>
          </cell>
          <cell r="L284">
            <v>-67608.95613076564</v>
          </cell>
          <cell r="M284">
            <v>12132.911646628871</v>
          </cell>
          <cell r="N284">
            <v>457.37874283760027</v>
          </cell>
          <cell r="O284">
            <v>-206.41002612816362</v>
          </cell>
          <cell r="P284">
            <v>0</v>
          </cell>
          <cell r="Q284">
            <v>0</v>
          </cell>
          <cell r="R284">
            <v>0</v>
          </cell>
          <cell r="S284">
            <v>3486564.1686894009</v>
          </cell>
          <cell r="T284">
            <v>24041.95000000007</v>
          </cell>
          <cell r="U284">
            <v>6433842.7848933078</v>
          </cell>
          <cell r="V284">
            <v>48531.646586515482</v>
          </cell>
          <cell r="W284">
            <v>0</v>
          </cell>
          <cell r="X284">
            <v>6506416.381479824</v>
          </cell>
          <cell r="Y284">
            <v>102591</v>
          </cell>
          <cell r="Z284">
            <v>0</v>
          </cell>
          <cell r="AA284">
            <v>0</v>
          </cell>
          <cell r="AB284">
            <v>88037.923791233043</v>
          </cell>
          <cell r="AC284">
            <v>190628.92379123304</v>
          </cell>
          <cell r="AD284" t="str">
            <v>N/A</v>
          </cell>
          <cell r="AE284">
            <v>1265584</v>
          </cell>
          <cell r="AF284">
            <v>1265584</v>
          </cell>
          <cell r="AG284">
            <v>1265584</v>
          </cell>
          <cell r="AH284">
            <v>1265584</v>
          </cell>
          <cell r="AI284">
            <v>1253451</v>
          </cell>
          <cell r="AJ284">
            <v>0</v>
          </cell>
          <cell r="AK284">
            <v>6315787</v>
          </cell>
          <cell r="AL284">
            <v>29342270</v>
          </cell>
          <cell r="AM284">
            <v>3486564.1686894009</v>
          </cell>
          <cell r="AN284">
            <v>-804936.95000000007</v>
          </cell>
          <cell r="AO284">
            <v>6394336.5076885903</v>
          </cell>
          <cell r="AP284">
            <v>0</v>
          </cell>
          <cell r="AQ284">
            <v>-78549.04999999993</v>
          </cell>
          <cell r="AR284">
            <v>0</v>
          </cell>
          <cell r="AS284">
            <v>0</v>
          </cell>
          <cell r="AT284">
            <v>38339684.676377997</v>
          </cell>
          <cell r="AU284">
            <v>8.8501638459836463E-4</v>
          </cell>
          <cell r="AV284">
            <v>0</v>
          </cell>
          <cell r="AW284">
            <v>0</v>
          </cell>
          <cell r="AY284">
            <v>0</v>
          </cell>
          <cell r="AZ284">
            <v>0</v>
          </cell>
          <cell r="BA284">
            <v>0</v>
          </cell>
          <cell r="BB284">
            <v>0</v>
          </cell>
          <cell r="BC284">
            <v>0</v>
          </cell>
          <cell r="BD284">
            <v>0</v>
          </cell>
          <cell r="BE284">
            <v>0</v>
          </cell>
          <cell r="BF284">
            <v>0</v>
          </cell>
          <cell r="BG284">
            <v>0</v>
          </cell>
          <cell r="BH284">
            <v>0</v>
          </cell>
          <cell r="BJ284">
            <v>0</v>
          </cell>
          <cell r="BL284">
            <v>0</v>
          </cell>
          <cell r="BM284">
            <v>0</v>
          </cell>
          <cell r="BN284">
            <v>0</v>
          </cell>
          <cell r="BO284">
            <v>0</v>
          </cell>
          <cell r="BQ284">
            <v>0</v>
          </cell>
          <cell r="BR284">
            <v>0</v>
          </cell>
          <cell r="BS284">
            <v>0</v>
          </cell>
          <cell r="BT284">
            <v>0</v>
          </cell>
          <cell r="CB284">
            <v>0</v>
          </cell>
          <cell r="CC284">
            <v>0</v>
          </cell>
          <cell r="CD284">
            <v>0</v>
          </cell>
          <cell r="CE284">
            <v>0</v>
          </cell>
          <cell r="CF284">
            <v>0</v>
          </cell>
          <cell r="CI284">
            <v>0</v>
          </cell>
          <cell r="CJ284">
            <v>0</v>
          </cell>
          <cell r="CK284">
            <v>0</v>
          </cell>
          <cell r="CV284">
            <v>8.8130321561062132E-4</v>
          </cell>
          <cell r="DG284">
            <v>38339685</v>
          </cell>
          <cell r="DR284">
            <v>13797491.369999997</v>
          </cell>
          <cell r="EC284">
            <v>2.7787431767025637</v>
          </cell>
          <cell r="EN284">
            <v>2.4095909012463064E-2</v>
          </cell>
        </row>
        <row r="285">
          <cell r="B285">
            <v>39200</v>
          </cell>
          <cell r="C285" t="str">
            <v>Wake County Schools</v>
          </cell>
          <cell r="D285">
            <v>5.6205005681760727E-2</v>
          </cell>
          <cell r="E285">
            <v>97247765.094415873</v>
          </cell>
          <cell r="F285">
            <v>75826312.658695325</v>
          </cell>
          <cell r="G285">
            <v>12440559</v>
          </cell>
          <cell r="H285">
            <v>-27135581.995184142</v>
          </cell>
          <cell r="I285">
            <v>-1122921.5823224408</v>
          </cell>
          <cell r="J285">
            <v>82063508.648367971</v>
          </cell>
          <cell r="K285">
            <v>0</v>
          </cell>
          <cell r="L285">
            <v>-4311752.9769078922</v>
          </cell>
          <cell r="M285">
            <v>773774.96865547355</v>
          </cell>
          <cell r="N285">
            <v>29169.273848720182</v>
          </cell>
          <cell r="O285">
            <v>-13163.774380725179</v>
          </cell>
          <cell r="P285">
            <v>0</v>
          </cell>
          <cell r="Q285">
            <v>0</v>
          </cell>
          <cell r="R285">
            <v>0</v>
          </cell>
          <cell r="S285">
            <v>235797669.31518814</v>
          </cell>
          <cell r="T285">
            <v>64262666</v>
          </cell>
          <cell r="U285">
            <v>410317543.24183983</v>
          </cell>
          <cell r="V285">
            <v>3095099.8746218942</v>
          </cell>
          <cell r="W285">
            <v>0</v>
          </cell>
          <cell r="X285">
            <v>477675309.11646169</v>
          </cell>
          <cell r="Y285">
            <v>2059870.0199999958</v>
          </cell>
          <cell r="Z285">
            <v>0</v>
          </cell>
          <cell r="AA285">
            <v>0</v>
          </cell>
          <cell r="AB285">
            <v>5614607.9116122043</v>
          </cell>
          <cell r="AC285">
            <v>7674477.9316122001</v>
          </cell>
          <cell r="AD285" t="str">
            <v>N/A</v>
          </cell>
          <cell r="AE285">
            <v>94154921</v>
          </cell>
          <cell r="AF285">
            <v>94154921</v>
          </cell>
          <cell r="AG285">
            <v>94154921</v>
          </cell>
          <cell r="AH285">
            <v>94154921</v>
          </cell>
          <cell r="AI285">
            <v>93381146</v>
          </cell>
          <cell r="AJ285">
            <v>0</v>
          </cell>
          <cell r="AK285">
            <v>470000830</v>
          </cell>
          <cell r="AL285">
            <v>1786333274</v>
          </cell>
          <cell r="AM285">
            <v>235797669.31518814</v>
          </cell>
          <cell r="AN285">
            <v>-47022986.980000004</v>
          </cell>
          <cell r="AO285">
            <v>407798035.20484954</v>
          </cell>
          <cell r="AP285">
            <v>0</v>
          </cell>
          <cell r="AQ285">
            <v>62202795.980000004</v>
          </cell>
          <cell r="AR285">
            <v>0</v>
          </cell>
          <cell r="AS285">
            <v>0</v>
          </cell>
          <cell r="AT285">
            <v>2445108787.5200377</v>
          </cell>
          <cell r="AU285">
            <v>5.3879070587080385E-2</v>
          </cell>
          <cell r="AV285">
            <v>0</v>
          </cell>
          <cell r="AW285">
            <v>0</v>
          </cell>
          <cell r="AY285">
            <v>0</v>
          </cell>
          <cell r="AZ285">
            <v>0</v>
          </cell>
          <cell r="BA285">
            <v>0</v>
          </cell>
          <cell r="BB285">
            <v>0</v>
          </cell>
          <cell r="BC285">
            <v>0</v>
          </cell>
          <cell r="BD285">
            <v>0</v>
          </cell>
          <cell r="BE285">
            <v>0</v>
          </cell>
          <cell r="BF285">
            <v>0</v>
          </cell>
          <cell r="BG285">
            <v>0</v>
          </cell>
          <cell r="BH285">
            <v>0</v>
          </cell>
          <cell r="BJ285">
            <v>0</v>
          </cell>
          <cell r="BL285">
            <v>0</v>
          </cell>
          <cell r="BM285">
            <v>0</v>
          </cell>
          <cell r="BN285">
            <v>0</v>
          </cell>
          <cell r="BO285">
            <v>0</v>
          </cell>
          <cell r="BQ285">
            <v>0</v>
          </cell>
          <cell r="BR285">
            <v>0</v>
          </cell>
          <cell r="BS285">
            <v>0</v>
          </cell>
          <cell r="BT285">
            <v>0</v>
          </cell>
          <cell r="CB285">
            <v>0</v>
          </cell>
          <cell r="CC285">
            <v>0</v>
          </cell>
          <cell r="CD285">
            <v>0</v>
          </cell>
          <cell r="CE285">
            <v>0</v>
          </cell>
          <cell r="CF285">
            <v>0</v>
          </cell>
          <cell r="CI285">
            <v>0</v>
          </cell>
          <cell r="CJ285">
            <v>0</v>
          </cell>
          <cell r="CK285">
            <v>0</v>
          </cell>
          <cell r="CV285">
            <v>5.6205005681760727E-2</v>
          </cell>
          <cell r="DG285">
            <v>2445108788</v>
          </cell>
          <cell r="DR285">
            <v>801554623.66998684</v>
          </cell>
          <cell r="EC285">
            <v>3.0504580920572311</v>
          </cell>
          <cell r="EN285">
            <v>2.4095909012463064E-2</v>
          </cell>
        </row>
        <row r="286">
          <cell r="B286">
            <v>39201</v>
          </cell>
          <cell r="C286" t="str">
            <v>Endeavor Charter School</v>
          </cell>
          <cell r="D286">
            <v>1.7905342645631924E-4</v>
          </cell>
          <cell r="E286">
            <v>309804.17747782567</v>
          </cell>
          <cell r="F286">
            <v>241561.42201927534</v>
          </cell>
          <cell r="G286">
            <v>58806</v>
          </cell>
          <cell r="H286">
            <v>-86446.373880553554</v>
          </cell>
          <cell r="I286">
            <v>-3577.3140580222807</v>
          </cell>
          <cell r="J286">
            <v>261431.38377595413</v>
          </cell>
          <cell r="K286">
            <v>0</v>
          </cell>
          <cell r="L286">
            <v>-13736.038902298844</v>
          </cell>
          <cell r="M286">
            <v>2465.0306100556791</v>
          </cell>
          <cell r="N286">
            <v>92.925147262300555</v>
          </cell>
          <cell r="O286">
            <v>-41.936103010334527</v>
          </cell>
          <cell r="P286">
            <v>0</v>
          </cell>
          <cell r="Q286">
            <v>0</v>
          </cell>
          <cell r="R286">
            <v>0</v>
          </cell>
          <cell r="S286">
            <v>770359.27608648804</v>
          </cell>
          <cell r="T286">
            <v>326181</v>
          </cell>
          <cell r="U286">
            <v>1307156.9188797707</v>
          </cell>
          <cell r="V286">
            <v>9860.1224402227162</v>
          </cell>
          <cell r="W286">
            <v>0</v>
          </cell>
          <cell r="X286">
            <v>1643198.0413199933</v>
          </cell>
          <cell r="Y286">
            <v>32152.429999999993</v>
          </cell>
          <cell r="Z286">
            <v>0</v>
          </cell>
          <cell r="AA286">
            <v>0</v>
          </cell>
          <cell r="AB286">
            <v>17886.570290111402</v>
          </cell>
          <cell r="AC286">
            <v>50039.000290111391</v>
          </cell>
          <cell r="AD286" t="str">
            <v>N/A</v>
          </cell>
          <cell r="AE286">
            <v>319125</v>
          </cell>
          <cell r="AF286">
            <v>319124</v>
          </cell>
          <cell r="AG286">
            <v>319124</v>
          </cell>
          <cell r="AH286">
            <v>319124</v>
          </cell>
          <cell r="AI286">
            <v>316659</v>
          </cell>
          <cell r="AJ286">
            <v>0</v>
          </cell>
          <cell r="AK286">
            <v>1593156</v>
          </cell>
          <cell r="AL286">
            <v>5545009</v>
          </cell>
          <cell r="AM286">
            <v>770359.27608648804</v>
          </cell>
          <cell r="AN286">
            <v>-119094.57</v>
          </cell>
          <cell r="AO286">
            <v>1299130.4710298821</v>
          </cell>
          <cell r="AP286">
            <v>0</v>
          </cell>
          <cell r="AQ286">
            <v>294028.57</v>
          </cell>
          <cell r="AR286">
            <v>0</v>
          </cell>
          <cell r="AS286">
            <v>0</v>
          </cell>
          <cell r="AT286">
            <v>7789432.7471163701</v>
          </cell>
          <cell r="AU286">
            <v>1.6724759613249247E-4</v>
          </cell>
          <cell r="AV286">
            <v>0</v>
          </cell>
          <cell r="AW286">
            <v>0</v>
          </cell>
          <cell r="AY286">
            <v>0</v>
          </cell>
          <cell r="AZ286">
            <v>0</v>
          </cell>
          <cell r="BA286">
            <v>0</v>
          </cell>
          <cell r="BB286">
            <v>0</v>
          </cell>
          <cell r="BC286">
            <v>0</v>
          </cell>
          <cell r="BD286">
            <v>0</v>
          </cell>
          <cell r="BE286">
            <v>0</v>
          </cell>
          <cell r="BF286">
            <v>0</v>
          </cell>
          <cell r="BG286">
            <v>0</v>
          </cell>
          <cell r="BH286">
            <v>0</v>
          </cell>
          <cell r="BJ286">
            <v>0</v>
          </cell>
          <cell r="BL286">
            <v>0</v>
          </cell>
          <cell r="BM286">
            <v>0</v>
          </cell>
          <cell r="BN286">
            <v>0</v>
          </cell>
          <cell r="BO286">
            <v>0</v>
          </cell>
          <cell r="BQ286">
            <v>0</v>
          </cell>
          <cell r="BR286">
            <v>0</v>
          </cell>
          <cell r="BS286">
            <v>0</v>
          </cell>
          <cell r="BT286">
            <v>0</v>
          </cell>
          <cell r="CB286">
            <v>0</v>
          </cell>
          <cell r="CC286">
            <v>0</v>
          </cell>
          <cell r="CD286">
            <v>0</v>
          </cell>
          <cell r="CE286">
            <v>0</v>
          </cell>
          <cell r="CF286">
            <v>0</v>
          </cell>
          <cell r="CI286">
            <v>0</v>
          </cell>
          <cell r="CJ286">
            <v>0</v>
          </cell>
          <cell r="CK286">
            <v>0</v>
          </cell>
          <cell r="CV286">
            <v>1.7905342645631924E-4</v>
          </cell>
          <cell r="DG286">
            <v>7789433</v>
          </cell>
          <cell r="DR286">
            <v>2039344.5000000002</v>
          </cell>
          <cell r="EC286">
            <v>3.8195768297117034</v>
          </cell>
          <cell r="EN286">
            <v>2.4095909012463064E-2</v>
          </cell>
        </row>
        <row r="287">
          <cell r="B287">
            <v>39204</v>
          </cell>
          <cell r="C287" t="str">
            <v>Southern Wake Academy</v>
          </cell>
          <cell r="D287">
            <v>1.1647535282977027E-4</v>
          </cell>
          <cell r="E287">
            <v>201529.51883704652</v>
          </cell>
          <cell r="F287">
            <v>157137.18757914976</v>
          </cell>
          <cell r="G287">
            <v>72091</v>
          </cell>
          <cell r="H287">
            <v>-56233.896764036799</v>
          </cell>
          <cell r="I287">
            <v>-2327.0647500995483</v>
          </cell>
          <cell r="J287">
            <v>170062.71965148798</v>
          </cell>
          <cell r="K287">
            <v>0</v>
          </cell>
          <cell r="L287">
            <v>-8935.3776093137876</v>
          </cell>
          <cell r="M287">
            <v>1603.5175406847741</v>
          </cell>
          <cell r="N287">
            <v>60.448378611594173</v>
          </cell>
          <cell r="O287">
            <v>-27.279692386260496</v>
          </cell>
          <cell r="P287">
            <v>0</v>
          </cell>
          <cell r="Q287">
            <v>0</v>
          </cell>
          <cell r="R287">
            <v>0</v>
          </cell>
          <cell r="S287">
            <v>534960.77317114419</v>
          </cell>
          <cell r="T287">
            <v>370823</v>
          </cell>
          <cell r="U287">
            <v>850313.59825743979</v>
          </cell>
          <cell r="V287">
            <v>6414.0701627390963</v>
          </cell>
          <cell r="W287">
            <v>0</v>
          </cell>
          <cell r="X287">
            <v>1227550.6684201788</v>
          </cell>
          <cell r="Y287">
            <v>10371.540000000008</v>
          </cell>
          <cell r="Z287">
            <v>0</v>
          </cell>
          <cell r="AA287">
            <v>0</v>
          </cell>
          <cell r="AB287">
            <v>11635.323750497742</v>
          </cell>
          <cell r="AC287">
            <v>22006.863750497752</v>
          </cell>
          <cell r="AD287" t="str">
            <v>N/A</v>
          </cell>
          <cell r="AE287">
            <v>241430</v>
          </cell>
          <cell r="AF287">
            <v>241430</v>
          </cell>
          <cell r="AG287">
            <v>241430</v>
          </cell>
          <cell r="AH287">
            <v>241430</v>
          </cell>
          <cell r="AI287">
            <v>239827</v>
          </cell>
          <cell r="AJ287">
            <v>0</v>
          </cell>
          <cell r="AK287">
            <v>1205547</v>
          </cell>
          <cell r="AL287">
            <v>3416693</v>
          </cell>
          <cell r="AM287">
            <v>534960.77317114419</v>
          </cell>
          <cell r="AN287">
            <v>-90124.459999999992</v>
          </cell>
          <cell r="AO287">
            <v>845092.34466968128</v>
          </cell>
          <cell r="AP287">
            <v>0</v>
          </cell>
          <cell r="AQ287">
            <v>360451.45999999996</v>
          </cell>
          <cell r="AR287">
            <v>0</v>
          </cell>
          <cell r="AS287">
            <v>0</v>
          </cell>
          <cell r="AT287">
            <v>5067073.1178408256</v>
          </cell>
          <cell r="AU287">
            <v>1.0305369739751568E-4</v>
          </cell>
          <cell r="AV287">
            <v>0</v>
          </cell>
          <cell r="AW287">
            <v>0</v>
          </cell>
          <cell r="AY287">
            <v>0</v>
          </cell>
          <cell r="AZ287">
            <v>0</v>
          </cell>
          <cell r="BA287">
            <v>0</v>
          </cell>
          <cell r="BB287">
            <v>0</v>
          </cell>
          <cell r="BC287">
            <v>0</v>
          </cell>
          <cell r="BD287">
            <v>0</v>
          </cell>
          <cell r="BE287">
            <v>0</v>
          </cell>
          <cell r="BF287">
            <v>0</v>
          </cell>
          <cell r="BG287">
            <v>0</v>
          </cell>
          <cell r="BH287">
            <v>0</v>
          </cell>
          <cell r="BJ287">
            <v>0</v>
          </cell>
          <cell r="BL287">
            <v>0</v>
          </cell>
          <cell r="BM287">
            <v>0</v>
          </cell>
          <cell r="BN287">
            <v>0</v>
          </cell>
          <cell r="BO287">
            <v>0</v>
          </cell>
          <cell r="BQ287">
            <v>0</v>
          </cell>
          <cell r="BR287">
            <v>0</v>
          </cell>
          <cell r="BS287">
            <v>0</v>
          </cell>
          <cell r="BT287">
            <v>0</v>
          </cell>
          <cell r="CB287">
            <v>0</v>
          </cell>
          <cell r="CC287">
            <v>0</v>
          </cell>
          <cell r="CD287">
            <v>0</v>
          </cell>
          <cell r="CE287">
            <v>0</v>
          </cell>
          <cell r="CF287">
            <v>0</v>
          </cell>
          <cell r="CI287">
            <v>0</v>
          </cell>
          <cell r="CJ287">
            <v>0</v>
          </cell>
          <cell r="CK287">
            <v>0</v>
          </cell>
          <cell r="CV287">
            <v>1.1647535282977027E-4</v>
          </cell>
          <cell r="DG287">
            <v>5067074</v>
          </cell>
          <cell r="DR287">
            <v>1435585.1600000004</v>
          </cell>
          <cell r="EC287">
            <v>3.529622721928944</v>
          </cell>
          <cell r="EN287">
            <v>2.4095909012463064E-2</v>
          </cell>
        </row>
        <row r="288">
          <cell r="B288">
            <v>39205</v>
          </cell>
          <cell r="C288" t="str">
            <v>Wake Technical College</v>
          </cell>
          <cell r="D288">
            <v>4.3781538993554296E-3</v>
          </cell>
          <cell r="E288">
            <v>7575227.0956514524</v>
          </cell>
          <cell r="F288">
            <v>5906578.2916225661</v>
          </cell>
          <cell r="G288">
            <v>1450691</v>
          </cell>
          <cell r="H288">
            <v>-2113757.532490524</v>
          </cell>
          <cell r="I288">
            <v>-87471.274927933613</v>
          </cell>
          <cell r="J288">
            <v>6392431.8844119171</v>
          </cell>
          <cell r="K288">
            <v>0</v>
          </cell>
          <cell r="L288">
            <v>-335868.98319685925</v>
          </cell>
          <cell r="M288">
            <v>60274.095788267885</v>
          </cell>
          <cell r="N288">
            <v>2272.174310687481</v>
          </cell>
          <cell r="O288">
            <v>-1025.4074247680351</v>
          </cell>
          <cell r="P288">
            <v>0</v>
          </cell>
          <cell r="Q288">
            <v>0</v>
          </cell>
          <cell r="R288">
            <v>0</v>
          </cell>
          <cell r="S288">
            <v>18849351.343744811</v>
          </cell>
          <cell r="T288">
            <v>7253455.8300000001</v>
          </cell>
          <cell r="U288">
            <v>31962159.422059588</v>
          </cell>
          <cell r="V288">
            <v>241096.38315307154</v>
          </cell>
          <cell r="W288">
            <v>0</v>
          </cell>
          <cell r="X288">
            <v>39456711.63521266</v>
          </cell>
          <cell r="Y288">
            <v>0</v>
          </cell>
          <cell r="Z288">
            <v>0</v>
          </cell>
          <cell r="AA288">
            <v>0</v>
          </cell>
          <cell r="AB288">
            <v>437356.37463966809</v>
          </cell>
          <cell r="AC288">
            <v>437356.37463966809</v>
          </cell>
          <cell r="AD288" t="str">
            <v>N/A</v>
          </cell>
          <cell r="AE288">
            <v>7815926</v>
          </cell>
          <cell r="AF288">
            <v>7815926</v>
          </cell>
          <cell r="AG288">
            <v>7815926</v>
          </cell>
          <cell r="AH288">
            <v>7815926</v>
          </cell>
          <cell r="AI288">
            <v>7755652</v>
          </cell>
          <cell r="AJ288">
            <v>0</v>
          </cell>
          <cell r="AK288">
            <v>39019356</v>
          </cell>
          <cell r="AL288">
            <v>136626690</v>
          </cell>
          <cell r="AM288">
            <v>18849351.343744811</v>
          </cell>
          <cell r="AN288">
            <v>-4030820.8299999996</v>
          </cell>
          <cell r="AO288">
            <v>31765899.430572994</v>
          </cell>
          <cell r="AP288">
            <v>0</v>
          </cell>
          <cell r="AQ288">
            <v>7253455.8300000001</v>
          </cell>
          <cell r="AR288">
            <v>0</v>
          </cell>
          <cell r="AS288">
            <v>0</v>
          </cell>
          <cell r="AT288">
            <v>190464575.7743178</v>
          </cell>
          <cell r="AU288">
            <v>4.1209102446008112E-3</v>
          </cell>
          <cell r="AV288">
            <v>0</v>
          </cell>
          <cell r="AW288">
            <v>0</v>
          </cell>
          <cell r="AY288">
            <v>0</v>
          </cell>
          <cell r="AZ288">
            <v>0</v>
          </cell>
          <cell r="BA288">
            <v>0</v>
          </cell>
          <cell r="BB288">
            <v>0</v>
          </cell>
          <cell r="BC288">
            <v>0</v>
          </cell>
          <cell r="BD288">
            <v>0</v>
          </cell>
          <cell r="BE288">
            <v>0</v>
          </cell>
          <cell r="BF288">
            <v>0</v>
          </cell>
          <cell r="BG288">
            <v>0</v>
          </cell>
          <cell r="BH288">
            <v>0</v>
          </cell>
          <cell r="BJ288">
            <v>0</v>
          </cell>
          <cell r="BL288">
            <v>0</v>
          </cell>
          <cell r="BM288">
            <v>0</v>
          </cell>
          <cell r="BN288">
            <v>0</v>
          </cell>
          <cell r="BO288">
            <v>0</v>
          </cell>
          <cell r="BQ288">
            <v>0</v>
          </cell>
          <cell r="BR288">
            <v>0</v>
          </cell>
          <cell r="BS288">
            <v>0</v>
          </cell>
          <cell r="BT288">
            <v>0</v>
          </cell>
          <cell r="CB288">
            <v>0</v>
          </cell>
          <cell r="CC288">
            <v>0</v>
          </cell>
          <cell r="CD288">
            <v>0</v>
          </cell>
          <cell r="CE288">
            <v>0</v>
          </cell>
          <cell r="CF288">
            <v>0</v>
          </cell>
          <cell r="CI288">
            <v>0</v>
          </cell>
          <cell r="CJ288">
            <v>0</v>
          </cell>
          <cell r="CK288">
            <v>0</v>
          </cell>
          <cell r="CV288">
            <v>4.3781538993554296E-3</v>
          </cell>
          <cell r="DG288">
            <v>190464576</v>
          </cell>
          <cell r="DR288">
            <v>68393645.809999987</v>
          </cell>
          <cell r="EC288">
            <v>2.7848285282103173</v>
          </cell>
          <cell r="EN288">
            <v>2.4095909012463064E-2</v>
          </cell>
        </row>
        <row r="289">
          <cell r="B289">
            <v>39208</v>
          </cell>
          <cell r="C289" t="str">
            <v>East Wake Academy</v>
          </cell>
          <cell r="D289">
            <v>3.6078335581388513E-4</v>
          </cell>
          <cell r="E289">
            <v>624239.329052313</v>
          </cell>
          <cell r="F289">
            <v>486733.7207453507</v>
          </cell>
          <cell r="G289">
            <v>89574</v>
          </cell>
          <cell r="H289">
            <v>-174184.95408785951</v>
          </cell>
          <cell r="I289">
            <v>-7208.1020519778831</v>
          </cell>
          <cell r="J289">
            <v>526770.66181007249</v>
          </cell>
          <cell r="K289">
            <v>0</v>
          </cell>
          <cell r="L289">
            <v>-27677.405056364121</v>
          </cell>
          <cell r="M289">
            <v>4966.9086667648598</v>
          </cell>
          <cell r="N289">
            <v>187.23934600029011</v>
          </cell>
          <cell r="O289">
            <v>-84.499069765170034</v>
          </cell>
          <cell r="P289">
            <v>0</v>
          </cell>
          <cell r="Q289">
            <v>0</v>
          </cell>
          <cell r="R289">
            <v>0</v>
          </cell>
          <cell r="S289">
            <v>1523316.8993545347</v>
          </cell>
          <cell r="T289">
            <v>499557</v>
          </cell>
          <cell r="U289">
            <v>2633853.3090503621</v>
          </cell>
          <cell r="V289">
            <v>19867.634667059439</v>
          </cell>
          <cell r="W289">
            <v>0</v>
          </cell>
          <cell r="X289">
            <v>3153277.9437174215</v>
          </cell>
          <cell r="Y289">
            <v>51686.150000000023</v>
          </cell>
          <cell r="Z289">
            <v>0</v>
          </cell>
          <cell r="AA289">
            <v>0</v>
          </cell>
          <cell r="AB289">
            <v>36040.510259889415</v>
          </cell>
          <cell r="AC289">
            <v>87726.660259889439</v>
          </cell>
          <cell r="AD289" t="str">
            <v>N/A</v>
          </cell>
          <cell r="AE289">
            <v>614103</v>
          </cell>
          <cell r="AF289">
            <v>614104</v>
          </cell>
          <cell r="AG289">
            <v>614104</v>
          </cell>
          <cell r="AH289">
            <v>614104</v>
          </cell>
          <cell r="AI289">
            <v>609138</v>
          </cell>
          <cell r="AJ289">
            <v>0</v>
          </cell>
          <cell r="AK289">
            <v>3065553</v>
          </cell>
          <cell r="AL289">
            <v>11362121</v>
          </cell>
          <cell r="AM289">
            <v>1523316.8993545347</v>
          </cell>
          <cell r="AN289">
            <v>-255686.84999999998</v>
          </cell>
          <cell r="AO289">
            <v>2617680.4334575324</v>
          </cell>
          <cell r="AP289">
            <v>0</v>
          </cell>
          <cell r="AQ289">
            <v>447870.85</v>
          </cell>
          <cell r="AR289">
            <v>0</v>
          </cell>
          <cell r="AS289">
            <v>0</v>
          </cell>
          <cell r="AT289">
            <v>15695302.332812067</v>
          </cell>
          <cell r="AU289">
            <v>3.427022837792467E-4</v>
          </cell>
          <cell r="AV289">
            <v>0</v>
          </cell>
          <cell r="AW289">
            <v>0</v>
          </cell>
          <cell r="AY289">
            <v>0</v>
          </cell>
          <cell r="AZ289">
            <v>0</v>
          </cell>
          <cell r="BA289">
            <v>0</v>
          </cell>
          <cell r="BB289">
            <v>0</v>
          </cell>
          <cell r="BC289">
            <v>0</v>
          </cell>
          <cell r="BD289">
            <v>0</v>
          </cell>
          <cell r="BE289">
            <v>0</v>
          </cell>
          <cell r="BF289">
            <v>0</v>
          </cell>
          <cell r="BG289">
            <v>0</v>
          </cell>
          <cell r="BH289">
            <v>0</v>
          </cell>
          <cell r="BJ289">
            <v>0</v>
          </cell>
          <cell r="BL289">
            <v>0</v>
          </cell>
          <cell r="BM289">
            <v>0</v>
          </cell>
          <cell r="BN289">
            <v>0</v>
          </cell>
          <cell r="BO289">
            <v>0</v>
          </cell>
          <cell r="BQ289">
            <v>0</v>
          </cell>
          <cell r="BR289">
            <v>0</v>
          </cell>
          <cell r="BS289">
            <v>0</v>
          </cell>
          <cell r="BT289">
            <v>0</v>
          </cell>
          <cell r="CB289">
            <v>0</v>
          </cell>
          <cell r="CC289">
            <v>0</v>
          </cell>
          <cell r="CD289">
            <v>0</v>
          </cell>
          <cell r="CE289">
            <v>0</v>
          </cell>
          <cell r="CF289">
            <v>0</v>
          </cell>
          <cell r="CI289">
            <v>0</v>
          </cell>
          <cell r="CJ289">
            <v>0</v>
          </cell>
          <cell r="CK289">
            <v>0</v>
          </cell>
          <cell r="CV289">
            <v>3.6078335581388513E-4</v>
          </cell>
          <cell r="DG289">
            <v>15695302</v>
          </cell>
          <cell r="DR289">
            <v>4537560.049999998</v>
          </cell>
          <cell r="EC289">
            <v>3.458973947904008</v>
          </cell>
          <cell r="EN289">
            <v>2.4095909012463064E-2</v>
          </cell>
        </row>
        <row r="290">
          <cell r="B290">
            <v>39209</v>
          </cell>
          <cell r="C290" t="str">
            <v>Casa Esperanza Montessori</v>
          </cell>
          <cell r="D290">
            <v>1.7782890442666379E-4</v>
          </cell>
          <cell r="E290">
            <v>307685.46884594462</v>
          </cell>
          <cell r="F290">
            <v>239909.41630996455</v>
          </cell>
          <cell r="G290">
            <v>111430</v>
          </cell>
          <cell r="H290">
            <v>-85855.178887552989</v>
          </cell>
          <cell r="I290">
            <v>-3552.8492937463898</v>
          </cell>
          <cell r="J290">
            <v>259643.49010079424</v>
          </cell>
          <cell r="K290">
            <v>0</v>
          </cell>
          <cell r="L290">
            <v>-13642.100000547793</v>
          </cell>
          <cell r="M290">
            <v>2448.1726009936488</v>
          </cell>
          <cell r="N290">
            <v>92.289644819349974</v>
          </cell>
          <cell r="O290">
            <v>-41.649307705768926</v>
          </cell>
          <cell r="P290">
            <v>0</v>
          </cell>
          <cell r="Q290">
            <v>0</v>
          </cell>
          <cell r="R290">
            <v>0</v>
          </cell>
          <cell r="S290">
            <v>818117.06001296337</v>
          </cell>
          <cell r="T290">
            <v>583101</v>
          </cell>
          <cell r="U290">
            <v>1298217.4505039712</v>
          </cell>
          <cell r="V290">
            <v>9792.690403974595</v>
          </cell>
          <cell r="W290">
            <v>0</v>
          </cell>
          <cell r="X290">
            <v>1891111.1409079458</v>
          </cell>
          <cell r="Y290">
            <v>25949.479999999996</v>
          </cell>
          <cell r="Z290">
            <v>0</v>
          </cell>
          <cell r="AA290">
            <v>0</v>
          </cell>
          <cell r="AB290">
            <v>17764.246468731948</v>
          </cell>
          <cell r="AC290">
            <v>43713.72646873194</v>
          </cell>
          <cell r="AD290" t="str">
            <v>N/A</v>
          </cell>
          <cell r="AE290">
            <v>369969</v>
          </cell>
          <cell r="AF290">
            <v>369969</v>
          </cell>
          <cell r="AG290">
            <v>369969</v>
          </cell>
          <cell r="AH290">
            <v>369969</v>
          </cell>
          <cell r="AI290">
            <v>367521</v>
          </cell>
          <cell r="AJ290">
            <v>0</v>
          </cell>
          <cell r="AK290">
            <v>1847397</v>
          </cell>
          <cell r="AL290">
            <v>5196106</v>
          </cell>
          <cell r="AM290">
            <v>818117.06001296337</v>
          </cell>
          <cell r="AN290">
            <v>-125458.52</v>
          </cell>
          <cell r="AO290">
            <v>1290245.8944392139</v>
          </cell>
          <cell r="AP290">
            <v>0</v>
          </cell>
          <cell r="AQ290">
            <v>557151.52</v>
          </cell>
          <cell r="AR290">
            <v>0</v>
          </cell>
          <cell r="AS290">
            <v>0</v>
          </cell>
          <cell r="AT290">
            <v>7736161.9544521775</v>
          </cell>
          <cell r="AU290">
            <v>1.5672403443852371E-4</v>
          </cell>
          <cell r="AV290">
            <v>0</v>
          </cell>
          <cell r="AW290">
            <v>0</v>
          </cell>
          <cell r="AY290">
            <v>0</v>
          </cell>
          <cell r="AZ290">
            <v>0</v>
          </cell>
          <cell r="BA290">
            <v>0</v>
          </cell>
          <cell r="BB290">
            <v>0</v>
          </cell>
          <cell r="BC290">
            <v>0</v>
          </cell>
          <cell r="BD290">
            <v>0</v>
          </cell>
          <cell r="BE290">
            <v>0</v>
          </cell>
          <cell r="BF290">
            <v>0</v>
          </cell>
          <cell r="BG290">
            <v>0</v>
          </cell>
          <cell r="BH290">
            <v>0</v>
          </cell>
          <cell r="BJ290">
            <v>0</v>
          </cell>
          <cell r="BL290">
            <v>0</v>
          </cell>
          <cell r="BM290">
            <v>0</v>
          </cell>
          <cell r="BN290">
            <v>0</v>
          </cell>
          <cell r="BO290">
            <v>0</v>
          </cell>
          <cell r="BQ290">
            <v>0</v>
          </cell>
          <cell r="BR290">
            <v>0</v>
          </cell>
          <cell r="BS290">
            <v>0</v>
          </cell>
          <cell r="BT290">
            <v>0</v>
          </cell>
          <cell r="CB290">
            <v>0</v>
          </cell>
          <cell r="CC290">
            <v>0</v>
          </cell>
          <cell r="CD290">
            <v>0</v>
          </cell>
          <cell r="CE290">
            <v>0</v>
          </cell>
          <cell r="CF290">
            <v>0</v>
          </cell>
          <cell r="CI290">
            <v>0</v>
          </cell>
          <cell r="CJ290">
            <v>0</v>
          </cell>
          <cell r="CK290">
            <v>0</v>
          </cell>
          <cell r="CV290">
            <v>1.7782890442666379E-4</v>
          </cell>
          <cell r="DG290">
            <v>7736162</v>
          </cell>
          <cell r="DR290">
            <v>2186947.2299999995</v>
          </cell>
          <cell r="EC290">
            <v>3.5374250891275514</v>
          </cell>
          <cell r="EN290">
            <v>2.4095909012463064E-2</v>
          </cell>
        </row>
        <row r="291">
          <cell r="B291">
            <v>39300</v>
          </cell>
          <cell r="C291" t="str">
            <v>Warren County Schools</v>
          </cell>
          <cell r="D291">
            <v>8.4495419907795039E-4</v>
          </cell>
          <cell r="E291">
            <v>1461967.781530499</v>
          </cell>
          <cell r="F291">
            <v>1139929.8070412551</v>
          </cell>
          <cell r="G291">
            <v>69747</v>
          </cell>
          <cell r="H291">
            <v>-407940.95958423527</v>
          </cell>
          <cell r="I291">
            <v>-16881.366609780569</v>
          </cell>
          <cell r="J291">
            <v>1233696.2763800579</v>
          </cell>
          <cell r="K291">
            <v>0</v>
          </cell>
          <cell r="L291">
            <v>-64820.450403538605</v>
          </cell>
          <cell r="M291">
            <v>11632.494312139534</v>
          </cell>
          <cell r="N291">
            <v>438.51433023747467</v>
          </cell>
          <cell r="O291">
            <v>-197.89672296604675</v>
          </cell>
          <cell r="P291">
            <v>0</v>
          </cell>
          <cell r="Q291">
            <v>0</v>
          </cell>
          <cell r="R291">
            <v>0</v>
          </cell>
          <cell r="S291">
            <v>3427571.2002736693</v>
          </cell>
          <cell r="T291">
            <v>348735.02</v>
          </cell>
          <cell r="U291">
            <v>6168481.38190029</v>
          </cell>
          <cell r="V291">
            <v>46529.977248558134</v>
          </cell>
          <cell r="W291">
            <v>0</v>
          </cell>
          <cell r="X291">
            <v>6563746.3791488474</v>
          </cell>
          <cell r="Y291">
            <v>0</v>
          </cell>
          <cell r="Z291">
            <v>0</v>
          </cell>
          <cell r="AA291">
            <v>0</v>
          </cell>
          <cell r="AB291">
            <v>84406.833048902845</v>
          </cell>
          <cell r="AC291">
            <v>84406.833048902845</v>
          </cell>
          <cell r="AD291" t="str">
            <v>N/A</v>
          </cell>
          <cell r="AE291">
            <v>1298194</v>
          </cell>
          <cell r="AF291">
            <v>1298194</v>
          </cell>
          <cell r="AG291">
            <v>1298194</v>
          </cell>
          <cell r="AH291">
            <v>1298194</v>
          </cell>
          <cell r="AI291">
            <v>1286562</v>
          </cell>
          <cell r="AJ291">
            <v>0</v>
          </cell>
          <cell r="AK291">
            <v>6479338</v>
          </cell>
          <cell r="AL291">
            <v>27604301</v>
          </cell>
          <cell r="AM291">
            <v>3427571.2002736693</v>
          </cell>
          <cell r="AN291">
            <v>-752832.02</v>
          </cell>
          <cell r="AO291">
            <v>6130604.5260999454</v>
          </cell>
          <cell r="AP291">
            <v>0</v>
          </cell>
          <cell r="AQ291">
            <v>348735.02</v>
          </cell>
          <cell r="AR291">
            <v>0</v>
          </cell>
          <cell r="AS291">
            <v>0</v>
          </cell>
          <cell r="AT291">
            <v>36758379.72637362</v>
          </cell>
          <cell r="AU291">
            <v>8.3259607708030536E-4</v>
          </cell>
          <cell r="AV291">
            <v>0</v>
          </cell>
          <cell r="AW291">
            <v>0</v>
          </cell>
          <cell r="AY291">
            <v>0</v>
          </cell>
          <cell r="AZ291">
            <v>0</v>
          </cell>
          <cell r="BA291">
            <v>0</v>
          </cell>
          <cell r="BB291">
            <v>0</v>
          </cell>
          <cell r="BC291">
            <v>0</v>
          </cell>
          <cell r="BD291">
            <v>0</v>
          </cell>
          <cell r="BE291">
            <v>0</v>
          </cell>
          <cell r="BF291">
            <v>0</v>
          </cell>
          <cell r="BG291">
            <v>0</v>
          </cell>
          <cell r="BH291">
            <v>0</v>
          </cell>
          <cell r="BJ291">
            <v>0</v>
          </cell>
          <cell r="BL291">
            <v>0</v>
          </cell>
          <cell r="BM291">
            <v>0</v>
          </cell>
          <cell r="BN291">
            <v>0</v>
          </cell>
          <cell r="BO291">
            <v>0</v>
          </cell>
          <cell r="BQ291">
            <v>0</v>
          </cell>
          <cell r="BR291">
            <v>0</v>
          </cell>
          <cell r="BS291">
            <v>0</v>
          </cell>
          <cell r="BT291">
            <v>0</v>
          </cell>
          <cell r="CB291">
            <v>0</v>
          </cell>
          <cell r="CC291">
            <v>0</v>
          </cell>
          <cell r="CD291">
            <v>0</v>
          </cell>
          <cell r="CE291">
            <v>0</v>
          </cell>
          <cell r="CF291">
            <v>0</v>
          </cell>
          <cell r="CI291">
            <v>0</v>
          </cell>
          <cell r="CJ291">
            <v>0</v>
          </cell>
          <cell r="CK291">
            <v>0</v>
          </cell>
          <cell r="CV291">
            <v>8.4495419907795039E-4</v>
          </cell>
          <cell r="DG291">
            <v>36758380</v>
          </cell>
          <cell r="DR291">
            <v>13365534.219999993</v>
          </cell>
          <cell r="EC291">
            <v>2.7502364959715031</v>
          </cell>
          <cell r="EN291">
            <v>2.4095909012463064E-2</v>
          </cell>
        </row>
        <row r="292">
          <cell r="B292">
            <v>39301</v>
          </cell>
          <cell r="C292" t="str">
            <v>Haliwa-Saponi Tribal Charter</v>
          </cell>
          <cell r="D292">
            <v>4.8431575802644976E-5</v>
          </cell>
          <cell r="E292">
            <v>83797.918880674129</v>
          </cell>
          <cell r="F292">
            <v>65339.159116149676</v>
          </cell>
          <cell r="G292">
            <v>-24057</v>
          </cell>
          <cell r="H292">
            <v>-23382.596984153148</v>
          </cell>
          <cell r="I292">
            <v>-967.61598144138168</v>
          </cell>
          <cell r="J292">
            <v>70713.720095294135</v>
          </cell>
          <cell r="K292">
            <v>0</v>
          </cell>
          <cell r="L292">
            <v>-3715.4162446986679</v>
          </cell>
          <cell r="M292">
            <v>666.75806885983445</v>
          </cell>
          <cell r="N292">
            <v>25.13501921005669</v>
          </cell>
          <cell r="O292">
            <v>-11.34315936873748</v>
          </cell>
          <cell r="P292">
            <v>0</v>
          </cell>
          <cell r="Q292">
            <v>0</v>
          </cell>
          <cell r="R292">
            <v>0</v>
          </cell>
          <cell r="S292">
            <v>168408.71881052593</v>
          </cell>
          <cell r="T292">
            <v>742.86000000000058</v>
          </cell>
          <cell r="U292">
            <v>353568.60047647072</v>
          </cell>
          <cell r="V292">
            <v>2667.0322754393378</v>
          </cell>
          <cell r="W292">
            <v>0</v>
          </cell>
          <cell r="X292">
            <v>356978.49275191006</v>
          </cell>
          <cell r="Y292">
            <v>121027</v>
          </cell>
          <cell r="Z292">
            <v>0</v>
          </cell>
          <cell r="AA292">
            <v>0</v>
          </cell>
          <cell r="AB292">
            <v>4838.0799072069076</v>
          </cell>
          <cell r="AC292">
            <v>125865.07990720691</v>
          </cell>
          <cell r="AD292" t="str">
            <v>N/A</v>
          </cell>
          <cell r="AE292">
            <v>46357</v>
          </cell>
          <cell r="AF292">
            <v>46355</v>
          </cell>
          <cell r="AG292">
            <v>46355</v>
          </cell>
          <cell r="AH292">
            <v>46355</v>
          </cell>
          <cell r="AI292">
            <v>45688</v>
          </cell>
          <cell r="AJ292">
            <v>0</v>
          </cell>
          <cell r="AK292">
            <v>231110</v>
          </cell>
          <cell r="AL292">
            <v>1750956</v>
          </cell>
          <cell r="AM292">
            <v>168408.71881052593</v>
          </cell>
          <cell r="AN292">
            <v>-43539.86</v>
          </cell>
          <cell r="AO292">
            <v>351397.55284470314</v>
          </cell>
          <cell r="AP292">
            <v>0</v>
          </cell>
          <cell r="AQ292">
            <v>-120284.14</v>
          </cell>
          <cell r="AR292">
            <v>0</v>
          </cell>
          <cell r="AS292">
            <v>0</v>
          </cell>
          <cell r="AT292">
            <v>2106938.2716552289</v>
          </cell>
          <cell r="AU292">
            <v>5.2812032318405054E-5</v>
          </cell>
          <cell r="AV292">
            <v>0</v>
          </cell>
          <cell r="AW292">
            <v>0</v>
          </cell>
          <cell r="AY292">
            <v>0</v>
          </cell>
          <cell r="AZ292">
            <v>0</v>
          </cell>
          <cell r="BA292">
            <v>0</v>
          </cell>
          <cell r="BB292">
            <v>0</v>
          </cell>
          <cell r="BC292">
            <v>0</v>
          </cell>
          <cell r="BD292">
            <v>0</v>
          </cell>
          <cell r="BE292">
            <v>0</v>
          </cell>
          <cell r="BF292">
            <v>0</v>
          </cell>
          <cell r="BG292">
            <v>0</v>
          </cell>
          <cell r="BH292">
            <v>0</v>
          </cell>
          <cell r="BJ292">
            <v>0</v>
          </cell>
          <cell r="BL292">
            <v>0</v>
          </cell>
          <cell r="BM292">
            <v>0</v>
          </cell>
          <cell r="BN292">
            <v>0</v>
          </cell>
          <cell r="BO292">
            <v>0</v>
          </cell>
          <cell r="BQ292">
            <v>0</v>
          </cell>
          <cell r="BR292">
            <v>0</v>
          </cell>
          <cell r="BS292">
            <v>0</v>
          </cell>
          <cell r="BT292">
            <v>0</v>
          </cell>
          <cell r="CB292">
            <v>0</v>
          </cell>
          <cell r="CC292">
            <v>0</v>
          </cell>
          <cell r="CD292">
            <v>0</v>
          </cell>
          <cell r="CE292">
            <v>0</v>
          </cell>
          <cell r="CF292">
            <v>0</v>
          </cell>
          <cell r="CI292">
            <v>0</v>
          </cell>
          <cell r="CJ292">
            <v>0</v>
          </cell>
          <cell r="CK292">
            <v>0</v>
          </cell>
          <cell r="CV292">
            <v>4.8431575802644976E-5</v>
          </cell>
          <cell r="DG292">
            <v>2106938</v>
          </cell>
          <cell r="DR292">
            <v>722763.86</v>
          </cell>
          <cell r="EC292">
            <v>2.9151125514217049</v>
          </cell>
          <cell r="EN292">
            <v>2.4095909012463064E-2</v>
          </cell>
        </row>
        <row r="293">
          <cell r="B293">
            <v>39400</v>
          </cell>
          <cell r="C293" t="str">
            <v>Washington County Schools</v>
          </cell>
          <cell r="D293">
            <v>5.6869916031392E-4</v>
          </cell>
          <cell r="E293">
            <v>983982.15035759285</v>
          </cell>
          <cell r="F293">
            <v>767233.44861602911</v>
          </cell>
          <cell r="G293">
            <v>-63367</v>
          </cell>
          <cell r="H293">
            <v>-274565.98408099852</v>
          </cell>
          <cell r="I293">
            <v>-11362.058471820175</v>
          </cell>
          <cell r="J293">
            <v>830343.2744938914</v>
          </cell>
          <cell r="K293">
            <v>0</v>
          </cell>
          <cell r="L293">
            <v>-43627.614083567278</v>
          </cell>
          <cell r="M293">
            <v>7829.2879719269931</v>
          </cell>
          <cell r="N293">
            <v>295.14349021971822</v>
          </cell>
          <cell r="O293">
            <v>-133.1950303371232</v>
          </cell>
          <cell r="P293">
            <v>0</v>
          </cell>
          <cell r="Q293">
            <v>0</v>
          </cell>
          <cell r="R293">
            <v>0</v>
          </cell>
          <cell r="S293">
            <v>2196627.4532629368</v>
          </cell>
          <cell r="T293">
            <v>41530.339999999967</v>
          </cell>
          <cell r="U293">
            <v>4151716.3724694573</v>
          </cell>
          <cell r="V293">
            <v>31317.151887707972</v>
          </cell>
          <cell r="W293">
            <v>0</v>
          </cell>
          <cell r="X293">
            <v>4224563.8643571651</v>
          </cell>
          <cell r="Y293">
            <v>358362</v>
          </cell>
          <cell r="Z293">
            <v>0</v>
          </cell>
          <cell r="AA293">
            <v>0</v>
          </cell>
          <cell r="AB293">
            <v>56810.292359100873</v>
          </cell>
          <cell r="AC293">
            <v>415172.29235910089</v>
          </cell>
          <cell r="AD293" t="str">
            <v>N/A</v>
          </cell>
          <cell r="AE293">
            <v>763445</v>
          </cell>
          <cell r="AF293">
            <v>763444</v>
          </cell>
          <cell r="AG293">
            <v>763444</v>
          </cell>
          <cell r="AH293">
            <v>763444</v>
          </cell>
          <cell r="AI293">
            <v>755614</v>
          </cell>
          <cell r="AJ293">
            <v>0</v>
          </cell>
          <cell r="AK293">
            <v>3809391</v>
          </cell>
          <cell r="AL293">
            <v>19284967</v>
          </cell>
          <cell r="AM293">
            <v>2196627.4532629368</v>
          </cell>
          <cell r="AN293">
            <v>-550640.34</v>
          </cell>
          <cell r="AO293">
            <v>4126223.2319980646</v>
          </cell>
          <cell r="AP293">
            <v>0</v>
          </cell>
          <cell r="AQ293">
            <v>-316831.66000000003</v>
          </cell>
          <cell r="AR293">
            <v>0</v>
          </cell>
          <cell r="AS293">
            <v>0</v>
          </cell>
          <cell r="AT293">
            <v>24740345.685261</v>
          </cell>
          <cell r="AU293">
            <v>5.8166978741913244E-4</v>
          </cell>
          <cell r="AV293">
            <v>0</v>
          </cell>
          <cell r="AW293">
            <v>0</v>
          </cell>
          <cell r="AY293">
            <v>0</v>
          </cell>
          <cell r="AZ293">
            <v>0</v>
          </cell>
          <cell r="BA293">
            <v>0</v>
          </cell>
          <cell r="BB293">
            <v>0</v>
          </cell>
          <cell r="BC293">
            <v>0</v>
          </cell>
          <cell r="BD293">
            <v>0</v>
          </cell>
          <cell r="BE293">
            <v>0</v>
          </cell>
          <cell r="BF293">
            <v>0</v>
          </cell>
          <cell r="BG293">
            <v>0</v>
          </cell>
          <cell r="BH293">
            <v>0</v>
          </cell>
          <cell r="BJ293">
            <v>0</v>
          </cell>
          <cell r="BL293">
            <v>0</v>
          </cell>
          <cell r="BM293">
            <v>0</v>
          </cell>
          <cell r="BN293">
            <v>0</v>
          </cell>
          <cell r="BO293">
            <v>0</v>
          </cell>
          <cell r="BQ293">
            <v>0</v>
          </cell>
          <cell r="BR293">
            <v>0</v>
          </cell>
          <cell r="BS293">
            <v>0</v>
          </cell>
          <cell r="BT293">
            <v>0</v>
          </cell>
          <cell r="CB293">
            <v>0</v>
          </cell>
          <cell r="CC293">
            <v>0</v>
          </cell>
          <cell r="CD293">
            <v>0</v>
          </cell>
          <cell r="CE293">
            <v>0</v>
          </cell>
          <cell r="CF293">
            <v>0</v>
          </cell>
          <cell r="CI293">
            <v>0</v>
          </cell>
          <cell r="CJ293">
            <v>0</v>
          </cell>
          <cell r="CK293">
            <v>0</v>
          </cell>
          <cell r="CV293">
            <v>5.6869916031392E-4</v>
          </cell>
          <cell r="DG293">
            <v>24740346</v>
          </cell>
          <cell r="DR293">
            <v>9595562.179999996</v>
          </cell>
          <cell r="EC293">
            <v>2.5783112584655266</v>
          </cell>
          <cell r="EN293">
            <v>2.4095909012463064E-2</v>
          </cell>
        </row>
        <row r="294">
          <cell r="B294">
            <v>39401</v>
          </cell>
          <cell r="C294" t="str">
            <v>Henderson Collegiate Charter School</v>
          </cell>
          <cell r="D294">
            <v>1.9702544604855199E-4</v>
          </cell>
          <cell r="E294">
            <v>340899.96189022466</v>
          </cell>
          <cell r="F294">
            <v>265807.51825534547</v>
          </cell>
          <cell r="G294">
            <v>350176</v>
          </cell>
          <cell r="H294">
            <v>-95123.202667394988</v>
          </cell>
          <cell r="I294">
            <v>-3936.3776046449434</v>
          </cell>
          <cell r="J294">
            <v>287671.87547853641</v>
          </cell>
          <cell r="K294">
            <v>0</v>
          </cell>
          <cell r="L294">
            <v>-15114.757897838477</v>
          </cell>
          <cell r="M294">
            <v>2712.4516133626539</v>
          </cell>
          <cell r="N294">
            <v>102.25226599027751</v>
          </cell>
          <cell r="O294">
            <v>-46.145329719031359</v>
          </cell>
          <cell r="P294">
            <v>0</v>
          </cell>
          <cell r="Q294">
            <v>0</v>
          </cell>
          <cell r="R294">
            <v>0</v>
          </cell>
          <cell r="S294">
            <v>1133149.5760038621</v>
          </cell>
          <cell r="T294">
            <v>1778939</v>
          </cell>
          <cell r="U294">
            <v>1438359.377392682</v>
          </cell>
          <cell r="V294">
            <v>10849.806453450616</v>
          </cell>
          <cell r="W294">
            <v>0</v>
          </cell>
          <cell r="X294">
            <v>3228148.1838461328</v>
          </cell>
          <cell r="Y294">
            <v>28058.580000000016</v>
          </cell>
          <cell r="Z294">
            <v>0</v>
          </cell>
          <cell r="AA294">
            <v>0</v>
          </cell>
          <cell r="AB294">
            <v>19681.888023224717</v>
          </cell>
          <cell r="AC294">
            <v>47740.468023224734</v>
          </cell>
          <cell r="AD294" t="str">
            <v>N/A</v>
          </cell>
          <cell r="AE294">
            <v>636624</v>
          </cell>
          <cell r="AF294">
            <v>636624</v>
          </cell>
          <cell r="AG294">
            <v>636624</v>
          </cell>
          <cell r="AH294">
            <v>636624</v>
          </cell>
          <cell r="AI294">
            <v>633911</v>
          </cell>
          <cell r="AJ294">
            <v>0</v>
          </cell>
          <cell r="AK294">
            <v>3180407</v>
          </cell>
          <cell r="AL294">
            <v>4397552</v>
          </cell>
          <cell r="AM294">
            <v>1133149.5760038621</v>
          </cell>
          <cell r="AN294">
            <v>-139832.41999999998</v>
          </cell>
          <cell r="AO294">
            <v>1429527.2958229079</v>
          </cell>
          <cell r="AP294">
            <v>0</v>
          </cell>
          <cell r="AQ294">
            <v>1750880.42</v>
          </cell>
          <cell r="AR294">
            <v>0</v>
          </cell>
          <cell r="AS294">
            <v>0</v>
          </cell>
          <cell r="AT294">
            <v>8571276.8718267716</v>
          </cell>
          <cell r="AU294">
            <v>1.3263820463390417E-4</v>
          </cell>
          <cell r="AV294">
            <v>0</v>
          </cell>
          <cell r="AW294">
            <v>0</v>
          </cell>
          <cell r="AY294">
            <v>0</v>
          </cell>
          <cell r="AZ294">
            <v>0</v>
          </cell>
          <cell r="BA294">
            <v>0</v>
          </cell>
          <cell r="BB294">
            <v>0</v>
          </cell>
          <cell r="BC294">
            <v>0</v>
          </cell>
          <cell r="BD294">
            <v>0</v>
          </cell>
          <cell r="BE294">
            <v>0</v>
          </cell>
          <cell r="BF294">
            <v>0</v>
          </cell>
          <cell r="BG294">
            <v>0</v>
          </cell>
          <cell r="BH294">
            <v>0</v>
          </cell>
          <cell r="BJ294">
            <v>0</v>
          </cell>
          <cell r="BL294">
            <v>0</v>
          </cell>
          <cell r="BM294">
            <v>0</v>
          </cell>
          <cell r="BN294">
            <v>0</v>
          </cell>
          <cell r="BO294">
            <v>0</v>
          </cell>
          <cell r="BQ294">
            <v>0</v>
          </cell>
          <cell r="BR294">
            <v>0</v>
          </cell>
          <cell r="BS294">
            <v>0</v>
          </cell>
          <cell r="BT294">
            <v>0</v>
          </cell>
          <cell r="CB294">
            <v>0</v>
          </cell>
          <cell r="CC294">
            <v>0</v>
          </cell>
          <cell r="CD294">
            <v>0</v>
          </cell>
          <cell r="CE294">
            <v>0</v>
          </cell>
          <cell r="CF294">
            <v>0</v>
          </cell>
          <cell r="CI294">
            <v>0</v>
          </cell>
          <cell r="CJ294">
            <v>0</v>
          </cell>
          <cell r="CK294">
            <v>0</v>
          </cell>
          <cell r="CV294">
            <v>1.9702544604855199E-4</v>
          </cell>
          <cell r="DG294">
            <v>8571277</v>
          </cell>
          <cell r="DR294">
            <v>2125000.5299999989</v>
          </cell>
          <cell r="EC294">
            <v>4.0335411116344542</v>
          </cell>
          <cell r="EN294">
            <v>2.4095909012463064E-2</v>
          </cell>
        </row>
        <row r="295">
          <cell r="B295">
            <v>39500</v>
          </cell>
          <cell r="C295" t="str">
            <v>Watauga County Schools</v>
          </cell>
          <cell r="D295">
            <v>1.7248036797073152E-3</v>
          </cell>
          <cell r="E295">
            <v>2984312.536642849</v>
          </cell>
          <cell r="F295">
            <v>2326936.9250290226</v>
          </cell>
          <cell r="G295">
            <v>77506</v>
          </cell>
          <cell r="H295">
            <v>-832729.24019081728</v>
          </cell>
          <cell r="I295">
            <v>-34459.907150957384</v>
          </cell>
          <cell r="J295">
            <v>2518342.2716445145</v>
          </cell>
          <cell r="K295">
            <v>0</v>
          </cell>
          <cell r="L295">
            <v>-132317.88361820386</v>
          </cell>
          <cell r="M295">
            <v>23745.392372328715</v>
          </cell>
          <cell r="N295">
            <v>895.1386136945024</v>
          </cell>
          <cell r="O295">
            <v>-403.96626982425028</v>
          </cell>
          <cell r="P295">
            <v>0</v>
          </cell>
          <cell r="Q295">
            <v>0</v>
          </cell>
          <cell r="R295">
            <v>0</v>
          </cell>
          <cell r="S295">
            <v>6931827.2670726059</v>
          </cell>
          <cell r="T295">
            <v>412412</v>
          </cell>
          <cell r="U295">
            <v>12591711.358222572</v>
          </cell>
          <cell r="V295">
            <v>94981.569489314861</v>
          </cell>
          <cell r="W295">
            <v>0</v>
          </cell>
          <cell r="X295">
            <v>13099104.927711887</v>
          </cell>
          <cell r="Y295">
            <v>24886.360000000102</v>
          </cell>
          <cell r="Z295">
            <v>0</v>
          </cell>
          <cell r="AA295">
            <v>0</v>
          </cell>
          <cell r="AB295">
            <v>172299.53575478692</v>
          </cell>
          <cell r="AC295">
            <v>197185.89575478702</v>
          </cell>
          <cell r="AD295" t="str">
            <v>N/A</v>
          </cell>
          <cell r="AE295">
            <v>2585133</v>
          </cell>
          <cell r="AF295">
            <v>2585134</v>
          </cell>
          <cell r="AG295">
            <v>2585134</v>
          </cell>
          <cell r="AH295">
            <v>2585134</v>
          </cell>
          <cell r="AI295">
            <v>2561388</v>
          </cell>
          <cell r="AJ295">
            <v>0</v>
          </cell>
          <cell r="AK295">
            <v>12901923</v>
          </cell>
          <cell r="AL295">
            <v>56690097</v>
          </cell>
          <cell r="AM295">
            <v>6931827.2670726059</v>
          </cell>
          <cell r="AN295">
            <v>-1489020.64</v>
          </cell>
          <cell r="AO295">
            <v>12514393.391957102</v>
          </cell>
          <cell r="AP295">
            <v>0</v>
          </cell>
          <cell r="AQ295">
            <v>387525.6399999999</v>
          </cell>
          <cell r="AR295">
            <v>0</v>
          </cell>
          <cell r="AS295">
            <v>0</v>
          </cell>
          <cell r="AT295">
            <v>75034822.659029707</v>
          </cell>
          <cell r="AU295">
            <v>1.7098767393972417E-3</v>
          </cell>
          <cell r="AV295">
            <v>0</v>
          </cell>
          <cell r="AW295">
            <v>0</v>
          </cell>
          <cell r="AY295">
            <v>0</v>
          </cell>
          <cell r="AZ295">
            <v>0</v>
          </cell>
          <cell r="BA295">
            <v>0</v>
          </cell>
          <cell r="BB295">
            <v>0</v>
          </cell>
          <cell r="BC295">
            <v>0</v>
          </cell>
          <cell r="BD295">
            <v>0</v>
          </cell>
          <cell r="BE295">
            <v>0</v>
          </cell>
          <cell r="BF295">
            <v>0</v>
          </cell>
          <cell r="BG295">
            <v>0</v>
          </cell>
          <cell r="BH295">
            <v>0</v>
          </cell>
          <cell r="BJ295">
            <v>0</v>
          </cell>
          <cell r="BL295">
            <v>0</v>
          </cell>
          <cell r="BM295">
            <v>0</v>
          </cell>
          <cell r="BN295">
            <v>0</v>
          </cell>
          <cell r="BO295">
            <v>0</v>
          </cell>
          <cell r="BQ295">
            <v>0</v>
          </cell>
          <cell r="BR295">
            <v>0</v>
          </cell>
          <cell r="BS295">
            <v>0</v>
          </cell>
          <cell r="BT295">
            <v>0</v>
          </cell>
          <cell r="CB295">
            <v>0</v>
          </cell>
          <cell r="CC295">
            <v>0</v>
          </cell>
          <cell r="CD295">
            <v>0</v>
          </cell>
          <cell r="CE295">
            <v>0</v>
          </cell>
          <cell r="CF295">
            <v>0</v>
          </cell>
          <cell r="CI295">
            <v>0</v>
          </cell>
          <cell r="CJ295">
            <v>0</v>
          </cell>
          <cell r="CK295">
            <v>0</v>
          </cell>
          <cell r="CV295">
            <v>1.7248036797073152E-3</v>
          </cell>
          <cell r="DG295">
            <v>75034823</v>
          </cell>
          <cell r="DR295">
            <v>25922978.730000019</v>
          </cell>
          <cell r="EC295">
            <v>2.8945293587408636</v>
          </cell>
          <cell r="EN295">
            <v>2.4095909012463064E-2</v>
          </cell>
        </row>
        <row r="296">
          <cell r="B296">
            <v>39501</v>
          </cell>
          <cell r="C296" t="str">
            <v>Two Rivers Community School</v>
          </cell>
          <cell r="D296">
            <v>5.6765281817118127E-5</v>
          </cell>
          <cell r="E296">
            <v>98217.173447610374</v>
          </cell>
          <cell r="F296">
            <v>76582.182583437665</v>
          </cell>
          <cell r="G296">
            <v>-64214</v>
          </cell>
          <cell r="H296">
            <v>-27406.081372001558</v>
          </cell>
          <cell r="I296">
            <v>-1134.1153569128276</v>
          </cell>
          <cell r="J296">
            <v>82881.55367694977</v>
          </cell>
          <cell r="K296">
            <v>0</v>
          </cell>
          <cell r="L296">
            <v>-4354.7344207350861</v>
          </cell>
          <cell r="M296">
            <v>781.48829674459898</v>
          </cell>
          <cell r="N296">
            <v>29.460045957447967</v>
          </cell>
          <cell r="O296">
            <v>-13.294996654387237</v>
          </cell>
          <cell r="P296">
            <v>0</v>
          </cell>
          <cell r="Q296">
            <v>0</v>
          </cell>
          <cell r="R296">
            <v>0</v>
          </cell>
          <cell r="S296">
            <v>161369.631904396</v>
          </cell>
          <cell r="T296">
            <v>0</v>
          </cell>
          <cell r="U296">
            <v>414407.76838474884</v>
          </cell>
          <cell r="V296">
            <v>3125.9531869783959</v>
          </cell>
          <cell r="W296">
            <v>0</v>
          </cell>
          <cell r="X296">
            <v>417533.72157172725</v>
          </cell>
          <cell r="Y296">
            <v>321071.34000000003</v>
          </cell>
          <cell r="Z296">
            <v>0</v>
          </cell>
          <cell r="AA296">
            <v>0</v>
          </cell>
          <cell r="AB296">
            <v>5670.5767845641376</v>
          </cell>
          <cell r="AC296">
            <v>326741.91678456415</v>
          </cell>
          <cell r="AD296" t="str">
            <v>N/A</v>
          </cell>
          <cell r="AE296">
            <v>18315</v>
          </cell>
          <cell r="AF296">
            <v>18315</v>
          </cell>
          <cell r="AG296">
            <v>18315</v>
          </cell>
          <cell r="AH296">
            <v>18315</v>
          </cell>
          <cell r="AI296">
            <v>17533</v>
          </cell>
          <cell r="AJ296">
            <v>0</v>
          </cell>
          <cell r="AK296">
            <v>90793</v>
          </cell>
          <cell r="AL296">
            <v>2264603</v>
          </cell>
          <cell r="AM296">
            <v>161369.631904396</v>
          </cell>
          <cell r="AN296">
            <v>-47281.659999999996</v>
          </cell>
          <cell r="AO296">
            <v>411863.14478716312</v>
          </cell>
          <cell r="AP296">
            <v>0</v>
          </cell>
          <cell r="AQ296">
            <v>-321071.34000000003</v>
          </cell>
          <cell r="AR296">
            <v>0</v>
          </cell>
          <cell r="AS296">
            <v>0</v>
          </cell>
          <cell r="AT296">
            <v>2469482.7766915592</v>
          </cell>
          <cell r="AU296">
            <v>6.8304563929972694E-5</v>
          </cell>
          <cell r="AV296">
            <v>0</v>
          </cell>
          <cell r="AW296">
            <v>0</v>
          </cell>
          <cell r="AY296">
            <v>0</v>
          </cell>
          <cell r="AZ296">
            <v>0</v>
          </cell>
          <cell r="BA296">
            <v>0</v>
          </cell>
          <cell r="BB296">
            <v>0</v>
          </cell>
          <cell r="BC296">
            <v>0</v>
          </cell>
          <cell r="BD296">
            <v>0</v>
          </cell>
          <cell r="BE296">
            <v>0</v>
          </cell>
          <cell r="BF296">
            <v>0</v>
          </cell>
          <cell r="BG296">
            <v>0</v>
          </cell>
          <cell r="BH296">
            <v>0</v>
          </cell>
          <cell r="BJ296">
            <v>0</v>
          </cell>
          <cell r="BL296">
            <v>0</v>
          </cell>
          <cell r="BM296">
            <v>0</v>
          </cell>
          <cell r="BN296">
            <v>0</v>
          </cell>
          <cell r="BO296">
            <v>0</v>
          </cell>
          <cell r="BQ296">
            <v>0</v>
          </cell>
          <cell r="BR296">
            <v>0</v>
          </cell>
          <cell r="BS296">
            <v>0</v>
          </cell>
          <cell r="BT296">
            <v>0</v>
          </cell>
          <cell r="CB296">
            <v>0</v>
          </cell>
          <cell r="CC296">
            <v>0</v>
          </cell>
          <cell r="CD296">
            <v>0</v>
          </cell>
          <cell r="CE296">
            <v>0</v>
          </cell>
          <cell r="CF296">
            <v>0</v>
          </cell>
          <cell r="CI296">
            <v>0</v>
          </cell>
          <cell r="CJ296">
            <v>0</v>
          </cell>
          <cell r="CK296">
            <v>0</v>
          </cell>
          <cell r="CV296">
            <v>5.6765281817118127E-5</v>
          </cell>
          <cell r="DG296">
            <v>2469483</v>
          </cell>
          <cell r="DR296">
            <v>832761.98999999976</v>
          </cell>
          <cell r="EC296">
            <v>2.9654127225475322</v>
          </cell>
          <cell r="EN296">
            <v>2.4095909012463064E-2</v>
          </cell>
        </row>
        <row r="297">
          <cell r="B297">
            <v>39600</v>
          </cell>
          <cell r="C297" t="str">
            <v>Wayne County Schools</v>
          </cell>
          <cell r="D297">
            <v>5.5737648517659062E-3</v>
          </cell>
          <cell r="E297">
            <v>9643912.8227317389</v>
          </cell>
          <cell r="F297">
            <v>7519579.9948686752</v>
          </cell>
          <cell r="G297">
            <v>-200228</v>
          </cell>
          <cell r="H297">
            <v>-2690994.3575728685</v>
          </cell>
          <cell r="I297">
            <v>-111358.42387912565</v>
          </cell>
          <cell r="J297">
            <v>8138113.2261907076</v>
          </cell>
          <cell r="K297">
            <v>0</v>
          </cell>
          <cell r="L297">
            <v>-427589.97887594119</v>
          </cell>
          <cell r="M297">
            <v>76734.085712720043</v>
          </cell>
          <cell r="N297">
            <v>2892.6724827694702</v>
          </cell>
          <cell r="O297">
            <v>-1305.4314659320928</v>
          </cell>
          <cell r="P297">
            <v>0</v>
          </cell>
          <cell r="Q297">
            <v>0</v>
          </cell>
          <cell r="R297">
            <v>0</v>
          </cell>
          <cell r="S297">
            <v>21949756.610192742</v>
          </cell>
          <cell r="T297">
            <v>109015.99999999907</v>
          </cell>
          <cell r="U297">
            <v>40690566.130953535</v>
          </cell>
          <cell r="V297">
            <v>306936.34285088017</v>
          </cell>
          <cell r="W297">
            <v>0</v>
          </cell>
          <cell r="X297">
            <v>41106518.473804414</v>
          </cell>
          <cell r="Y297">
            <v>1110154</v>
          </cell>
          <cell r="Z297">
            <v>0</v>
          </cell>
          <cell r="AA297">
            <v>0</v>
          </cell>
          <cell r="AB297">
            <v>556792.11939562822</v>
          </cell>
          <cell r="AC297">
            <v>1666946.1193956281</v>
          </cell>
          <cell r="AD297" t="str">
            <v>N/A</v>
          </cell>
          <cell r="AE297">
            <v>7903261</v>
          </cell>
          <cell r="AF297">
            <v>7903261</v>
          </cell>
          <cell r="AG297">
            <v>7903261</v>
          </cell>
          <cell r="AH297">
            <v>7903261</v>
          </cell>
          <cell r="AI297">
            <v>7826527</v>
          </cell>
          <cell r="AJ297">
            <v>0</v>
          </cell>
          <cell r="AK297">
            <v>39439571</v>
          </cell>
          <cell r="AL297">
            <v>186127533</v>
          </cell>
          <cell r="AM297">
            <v>21949756.610192742</v>
          </cell>
          <cell r="AN297">
            <v>-5039145.9999999991</v>
          </cell>
          <cell r="AO297">
            <v>40440710.354408793</v>
          </cell>
          <cell r="AP297">
            <v>0</v>
          </cell>
          <cell r="AQ297">
            <v>-1001138.0000000009</v>
          </cell>
          <cell r="AR297">
            <v>0</v>
          </cell>
          <cell r="AS297">
            <v>0</v>
          </cell>
          <cell r="AT297">
            <v>242477715.96460155</v>
          </cell>
          <cell r="AU297">
            <v>5.6139459631843868E-3</v>
          </cell>
          <cell r="AV297">
            <v>0</v>
          </cell>
          <cell r="AW297">
            <v>0</v>
          </cell>
          <cell r="AY297">
            <v>0</v>
          </cell>
          <cell r="AZ297">
            <v>0</v>
          </cell>
          <cell r="BA297">
            <v>0</v>
          </cell>
          <cell r="BB297">
            <v>0</v>
          </cell>
          <cell r="BC297">
            <v>0</v>
          </cell>
          <cell r="BD297">
            <v>0</v>
          </cell>
          <cell r="BE297">
            <v>0</v>
          </cell>
          <cell r="BF297">
            <v>0</v>
          </cell>
          <cell r="BG297">
            <v>0</v>
          </cell>
          <cell r="BH297">
            <v>0</v>
          </cell>
          <cell r="BJ297">
            <v>0</v>
          </cell>
          <cell r="BL297">
            <v>0</v>
          </cell>
          <cell r="BM297">
            <v>0</v>
          </cell>
          <cell r="BN297">
            <v>0</v>
          </cell>
          <cell r="BO297">
            <v>0</v>
          </cell>
          <cell r="BQ297">
            <v>0</v>
          </cell>
          <cell r="BR297">
            <v>0</v>
          </cell>
          <cell r="BS297">
            <v>0</v>
          </cell>
          <cell r="BT297">
            <v>0</v>
          </cell>
          <cell r="CB297">
            <v>0</v>
          </cell>
          <cell r="CC297">
            <v>0</v>
          </cell>
          <cell r="CD297">
            <v>0</v>
          </cell>
          <cell r="CE297">
            <v>0</v>
          </cell>
          <cell r="CF297">
            <v>0</v>
          </cell>
          <cell r="CI297">
            <v>0</v>
          </cell>
          <cell r="CJ297">
            <v>0</v>
          </cell>
          <cell r="CK297">
            <v>0</v>
          </cell>
          <cell r="CV297">
            <v>5.5737648517659062E-3</v>
          </cell>
          <cell r="DG297">
            <v>242477716</v>
          </cell>
          <cell r="DR297">
            <v>87409006.83999984</v>
          </cell>
          <cell r="EC297">
            <v>2.7740587013401243</v>
          </cell>
          <cell r="EN297">
            <v>2.4095909012463064E-2</v>
          </cell>
        </row>
        <row r="298">
          <cell r="B298">
            <v>39605</v>
          </cell>
          <cell r="C298" t="str">
            <v>Wayne Community College</v>
          </cell>
          <cell r="D298">
            <v>8.0206600992329302E-4</v>
          </cell>
          <cell r="E298">
            <v>1387761.2140967648</v>
          </cell>
          <cell r="F298">
            <v>1082069.2446098621</v>
          </cell>
          <cell r="G298">
            <v>-137595</v>
          </cell>
          <cell r="H298">
            <v>-387234.69046613004</v>
          </cell>
          <cell r="I298">
            <v>-16024.502125126304</v>
          </cell>
          <cell r="J298">
            <v>1171076.3150631925</v>
          </cell>
          <cell r="K298">
            <v>0</v>
          </cell>
          <cell r="L298">
            <v>-61530.293681398231</v>
          </cell>
          <cell r="M298">
            <v>11042.052111906747</v>
          </cell>
          <cell r="N298">
            <v>416.25621782999059</v>
          </cell>
          <cell r="O298">
            <v>-187.85188018413447</v>
          </cell>
          <cell r="P298">
            <v>0</v>
          </cell>
          <cell r="Q298">
            <v>0</v>
          </cell>
          <cell r="R298">
            <v>0</v>
          </cell>
          <cell r="S298">
            <v>3049792.7439467176</v>
          </cell>
          <cell r="T298">
            <v>48022.260000000126</v>
          </cell>
          <cell r="U298">
            <v>5855381.5753159625</v>
          </cell>
          <cell r="V298">
            <v>44168.208447626988</v>
          </cell>
          <cell r="W298">
            <v>0</v>
          </cell>
          <cell r="X298">
            <v>5947572.0437635891</v>
          </cell>
          <cell r="Y298">
            <v>735996</v>
          </cell>
          <cell r="Z298">
            <v>0</v>
          </cell>
          <cell r="AA298">
            <v>0</v>
          </cell>
          <cell r="AB298">
            <v>80122.510625631519</v>
          </cell>
          <cell r="AC298">
            <v>816118.51062563155</v>
          </cell>
          <cell r="AD298" t="str">
            <v>N/A</v>
          </cell>
          <cell r="AE298">
            <v>1028499</v>
          </cell>
          <cell r="AF298">
            <v>1028500</v>
          </cell>
          <cell r="AG298">
            <v>1028500</v>
          </cell>
          <cell r="AH298">
            <v>1028500</v>
          </cell>
          <cell r="AI298">
            <v>1017458</v>
          </cell>
          <cell r="AJ298">
            <v>0</v>
          </cell>
          <cell r="AK298">
            <v>5131457</v>
          </cell>
          <cell r="AL298">
            <v>27475287</v>
          </cell>
          <cell r="AM298">
            <v>3049792.7439467176</v>
          </cell>
          <cell r="AN298">
            <v>-763935.26000000013</v>
          </cell>
          <cell r="AO298">
            <v>5819427.2731379578</v>
          </cell>
          <cell r="AP298">
            <v>0</v>
          </cell>
          <cell r="AQ298">
            <v>-687973.73999999987</v>
          </cell>
          <cell r="AR298">
            <v>0</v>
          </cell>
          <cell r="AS298">
            <v>0</v>
          </cell>
          <cell r="AT298">
            <v>34892598.017084673</v>
          </cell>
          <cell r="AU298">
            <v>8.2870476980727954E-4</v>
          </cell>
          <cell r="AV298">
            <v>0</v>
          </cell>
          <cell r="AW298">
            <v>0</v>
          </cell>
          <cell r="AY298">
            <v>0</v>
          </cell>
          <cell r="AZ298">
            <v>0</v>
          </cell>
          <cell r="BA298">
            <v>0</v>
          </cell>
          <cell r="BB298">
            <v>0</v>
          </cell>
          <cell r="BC298">
            <v>0</v>
          </cell>
          <cell r="BD298">
            <v>0</v>
          </cell>
          <cell r="BE298">
            <v>0</v>
          </cell>
          <cell r="BF298">
            <v>0</v>
          </cell>
          <cell r="BG298">
            <v>0</v>
          </cell>
          <cell r="BH298">
            <v>0</v>
          </cell>
          <cell r="BJ298">
            <v>0</v>
          </cell>
          <cell r="BL298">
            <v>0</v>
          </cell>
          <cell r="BM298">
            <v>0</v>
          </cell>
          <cell r="BN298">
            <v>0</v>
          </cell>
          <cell r="BO298">
            <v>0</v>
          </cell>
          <cell r="BQ298">
            <v>0</v>
          </cell>
          <cell r="BR298">
            <v>0</v>
          </cell>
          <cell r="BS298">
            <v>0</v>
          </cell>
          <cell r="BT298">
            <v>0</v>
          </cell>
          <cell r="CB298">
            <v>0</v>
          </cell>
          <cell r="CC298">
            <v>0</v>
          </cell>
          <cell r="CD298">
            <v>0</v>
          </cell>
          <cell r="CE298">
            <v>0</v>
          </cell>
          <cell r="CF298">
            <v>0</v>
          </cell>
          <cell r="CI298">
            <v>0</v>
          </cell>
          <cell r="CJ298">
            <v>0</v>
          </cell>
          <cell r="CK298">
            <v>0</v>
          </cell>
          <cell r="CV298">
            <v>8.0206600992329302E-4</v>
          </cell>
          <cell r="DG298">
            <v>34892598</v>
          </cell>
          <cell r="DR298">
            <v>13057119.070000004</v>
          </cell>
          <cell r="EC298">
            <v>2.6723044963394051</v>
          </cell>
          <cell r="EN298">
            <v>2.4095909012463064E-2</v>
          </cell>
        </row>
        <row r="299">
          <cell r="B299">
            <v>39700</v>
          </cell>
          <cell r="C299" t="str">
            <v>Wilkes County Schools</v>
          </cell>
          <cell r="D299">
            <v>3.3775978740848297E-3</v>
          </cell>
          <cell r="E299">
            <v>5844031.8732854575</v>
          </cell>
          <cell r="F299">
            <v>4556725.6746815396</v>
          </cell>
          <cell r="G299">
            <v>-236735</v>
          </cell>
          <cell r="H299">
            <v>-1630692.5503742308</v>
          </cell>
          <cell r="I299">
            <v>-67481.134521921354</v>
          </cell>
          <cell r="J299">
            <v>4931545.3132427577</v>
          </cell>
          <cell r="K299">
            <v>0</v>
          </cell>
          <cell r="L299">
            <v>-259111.57754956049</v>
          </cell>
          <cell r="M299">
            <v>46499.429320383453</v>
          </cell>
          <cell r="N299">
            <v>1752.9057446925449</v>
          </cell>
          <cell r="O299">
            <v>-791.06719808940795</v>
          </cell>
          <cell r="P299">
            <v>0</v>
          </cell>
          <cell r="Q299">
            <v>0</v>
          </cell>
          <cell r="R299">
            <v>0</v>
          </cell>
          <cell r="S299">
            <v>13185743.866631029</v>
          </cell>
          <cell r="T299">
            <v>0</v>
          </cell>
          <cell r="U299">
            <v>24657726.56621379</v>
          </cell>
          <cell r="V299">
            <v>185997.71728153381</v>
          </cell>
          <cell r="W299">
            <v>0</v>
          </cell>
          <cell r="X299">
            <v>24843724.283495326</v>
          </cell>
          <cell r="Y299">
            <v>1183675.69</v>
          </cell>
          <cell r="Z299">
            <v>0</v>
          </cell>
          <cell r="AA299">
            <v>0</v>
          </cell>
          <cell r="AB299">
            <v>337405.67260960676</v>
          </cell>
          <cell r="AC299">
            <v>1521081.3626096067</v>
          </cell>
          <cell r="AD299" t="str">
            <v>N/A</v>
          </cell>
          <cell r="AE299">
            <v>4673829</v>
          </cell>
          <cell r="AF299">
            <v>4673829</v>
          </cell>
          <cell r="AG299">
            <v>4673829</v>
          </cell>
          <cell r="AH299">
            <v>4673829</v>
          </cell>
          <cell r="AI299">
            <v>4627329</v>
          </cell>
          <cell r="AJ299">
            <v>0</v>
          </cell>
          <cell r="AK299">
            <v>23322645</v>
          </cell>
          <cell r="AL299">
            <v>113304758</v>
          </cell>
          <cell r="AM299">
            <v>13185743.866631029</v>
          </cell>
          <cell r="AN299">
            <v>-2876157.31</v>
          </cell>
          <cell r="AO299">
            <v>24506318.610885717</v>
          </cell>
          <cell r="AP299">
            <v>0</v>
          </cell>
          <cell r="AQ299">
            <v>-1183675.69</v>
          </cell>
          <cell r="AR299">
            <v>0</v>
          </cell>
          <cell r="AS299">
            <v>0</v>
          </cell>
          <cell r="AT299">
            <v>146936987.47751674</v>
          </cell>
          <cell r="AU299">
            <v>3.4174782282730752E-3</v>
          </cell>
          <cell r="AV299">
            <v>0</v>
          </cell>
          <cell r="AW299">
            <v>0</v>
          </cell>
          <cell r="AY299">
            <v>0</v>
          </cell>
          <cell r="AZ299">
            <v>0</v>
          </cell>
          <cell r="BA299">
            <v>0</v>
          </cell>
          <cell r="BB299">
            <v>0</v>
          </cell>
          <cell r="BC299">
            <v>0</v>
          </cell>
          <cell r="BD299">
            <v>0</v>
          </cell>
          <cell r="BE299">
            <v>0</v>
          </cell>
          <cell r="BF299">
            <v>0</v>
          </cell>
          <cell r="BG299">
            <v>0</v>
          </cell>
          <cell r="BH299">
            <v>0</v>
          </cell>
          <cell r="BJ299">
            <v>0</v>
          </cell>
          <cell r="BL299">
            <v>0</v>
          </cell>
          <cell r="BM299">
            <v>0</v>
          </cell>
          <cell r="BN299">
            <v>0</v>
          </cell>
          <cell r="BO299">
            <v>0</v>
          </cell>
          <cell r="BQ299">
            <v>0</v>
          </cell>
          <cell r="BR299">
            <v>0</v>
          </cell>
          <cell r="BS299">
            <v>0</v>
          </cell>
          <cell r="BT299">
            <v>0</v>
          </cell>
          <cell r="CB299">
            <v>0</v>
          </cell>
          <cell r="CC299">
            <v>0</v>
          </cell>
          <cell r="CD299">
            <v>0</v>
          </cell>
          <cell r="CE299">
            <v>0</v>
          </cell>
          <cell r="CF299">
            <v>0</v>
          </cell>
          <cell r="CI299">
            <v>0</v>
          </cell>
          <cell r="CJ299">
            <v>0</v>
          </cell>
          <cell r="CK299">
            <v>0</v>
          </cell>
          <cell r="CV299">
            <v>3.3775978740848297E-3</v>
          </cell>
          <cell r="DG299">
            <v>146936988</v>
          </cell>
          <cell r="DR299">
            <v>50024277.060000062</v>
          </cell>
          <cell r="EC299">
            <v>2.9373135732428679</v>
          </cell>
          <cell r="EN299">
            <v>2.4095909012463064E-2</v>
          </cell>
        </row>
        <row r="300">
          <cell r="B300">
            <v>39703</v>
          </cell>
          <cell r="C300" t="str">
            <v>Pinnacle Classical Academy</v>
          </cell>
          <cell r="D300">
            <v>1.0526279690453541E-4</v>
          </cell>
          <cell r="E300">
            <v>182129.1826659377</v>
          </cell>
          <cell r="F300">
            <v>142010.30055232631</v>
          </cell>
          <cell r="G300">
            <v>160430</v>
          </cell>
          <cell r="H300">
            <v>-50820.51361436594</v>
          </cell>
          <cell r="I300">
            <v>-2103.0487414056915</v>
          </cell>
          <cell r="J300">
            <v>153691.55005583365</v>
          </cell>
          <cell r="K300">
            <v>0</v>
          </cell>
          <cell r="L300">
            <v>-8075.2091812005174</v>
          </cell>
          <cell r="M300">
            <v>1449.1541525068449</v>
          </cell>
          <cell r="N300">
            <v>54.629286337515786</v>
          </cell>
          <cell r="O300">
            <v>-24.653599663011239</v>
          </cell>
          <cell r="P300">
            <v>0</v>
          </cell>
          <cell r="Q300">
            <v>0</v>
          </cell>
          <cell r="R300">
            <v>0</v>
          </cell>
          <cell r="S300">
            <v>578741.39157630678</v>
          </cell>
          <cell r="T300">
            <v>818365</v>
          </cell>
          <cell r="U300">
            <v>768457.75027916825</v>
          </cell>
          <cell r="V300">
            <v>5796.6166100273795</v>
          </cell>
          <cell r="W300">
            <v>0</v>
          </cell>
          <cell r="X300">
            <v>1592619.3668891955</v>
          </cell>
          <cell r="Y300">
            <v>16213.239999999991</v>
          </cell>
          <cell r="Z300">
            <v>0</v>
          </cell>
          <cell r="AA300">
            <v>0</v>
          </cell>
          <cell r="AB300">
            <v>10515.243707028458</v>
          </cell>
          <cell r="AC300">
            <v>26728.483707028448</v>
          </cell>
          <cell r="AD300" t="str">
            <v>N/A</v>
          </cell>
          <cell r="AE300">
            <v>313468</v>
          </cell>
          <cell r="AF300">
            <v>313468</v>
          </cell>
          <cell r="AG300">
            <v>313468</v>
          </cell>
          <cell r="AH300">
            <v>313468</v>
          </cell>
          <cell r="AI300">
            <v>312019</v>
          </cell>
          <cell r="AJ300">
            <v>0</v>
          </cell>
          <cell r="AK300">
            <v>1565891</v>
          </cell>
          <cell r="AL300">
            <v>2507897</v>
          </cell>
          <cell r="AM300">
            <v>578741.39157630678</v>
          </cell>
          <cell r="AN300">
            <v>-73239.760000000009</v>
          </cell>
          <cell r="AO300">
            <v>763739.12318216718</v>
          </cell>
          <cell r="AP300">
            <v>0</v>
          </cell>
          <cell r="AQ300">
            <v>802151.76</v>
          </cell>
          <cell r="AR300">
            <v>0</v>
          </cell>
          <cell r="AS300">
            <v>0</v>
          </cell>
          <cell r="AT300">
            <v>4579289.5147584742</v>
          </cell>
          <cell r="AU300">
            <v>7.564273928515392E-5</v>
          </cell>
          <cell r="AV300">
            <v>0</v>
          </cell>
          <cell r="AW300">
            <v>0</v>
          </cell>
          <cell r="AY300">
            <v>0</v>
          </cell>
          <cell r="AZ300">
            <v>0</v>
          </cell>
          <cell r="BA300">
            <v>0</v>
          </cell>
          <cell r="BB300">
            <v>0</v>
          </cell>
          <cell r="BC300">
            <v>0</v>
          </cell>
          <cell r="BD300">
            <v>0</v>
          </cell>
          <cell r="BE300">
            <v>0</v>
          </cell>
          <cell r="BF300">
            <v>0</v>
          </cell>
          <cell r="BG300">
            <v>0</v>
          </cell>
          <cell r="BH300">
            <v>0</v>
          </cell>
          <cell r="BJ300">
            <v>0</v>
          </cell>
          <cell r="BL300">
            <v>0</v>
          </cell>
          <cell r="BM300">
            <v>0</v>
          </cell>
          <cell r="BN300">
            <v>0</v>
          </cell>
          <cell r="BO300">
            <v>0</v>
          </cell>
          <cell r="BQ300">
            <v>0</v>
          </cell>
          <cell r="BR300">
            <v>0</v>
          </cell>
          <cell r="BS300">
            <v>0</v>
          </cell>
          <cell r="BT300">
            <v>0</v>
          </cell>
          <cell r="CB300">
            <v>0</v>
          </cell>
          <cell r="CC300">
            <v>0</v>
          </cell>
          <cell r="CD300">
            <v>0</v>
          </cell>
          <cell r="CE300">
            <v>0</v>
          </cell>
          <cell r="CF300">
            <v>0</v>
          </cell>
          <cell r="CI300">
            <v>0</v>
          </cell>
          <cell r="CJ300">
            <v>0</v>
          </cell>
          <cell r="CK300">
            <v>0</v>
          </cell>
          <cell r="CV300">
            <v>1.0526279690453541E-4</v>
          </cell>
          <cell r="DG300">
            <v>4579289</v>
          </cell>
          <cell r="DR300">
            <v>1235890.25</v>
          </cell>
          <cell r="EC300">
            <v>3.7052553816975253</v>
          </cell>
          <cell r="EN300">
            <v>2.4095909012463064E-2</v>
          </cell>
        </row>
        <row r="301">
          <cell r="B301">
            <v>39705</v>
          </cell>
          <cell r="C301" t="str">
            <v>Wilkes Community College</v>
          </cell>
          <cell r="D301">
            <v>7.9264599698215235E-4</v>
          </cell>
          <cell r="E301">
            <v>1371462.3952535938</v>
          </cell>
          <cell r="F301">
            <v>1069360.6817717361</v>
          </cell>
          <cell r="G301">
            <v>88452</v>
          </cell>
          <cell r="H301">
            <v>-382686.74085809418</v>
          </cell>
          <cell r="I301">
            <v>-15836.299389283575</v>
          </cell>
          <cell r="J301">
            <v>1157322.3921859299</v>
          </cell>
          <cell r="K301">
            <v>0</v>
          </cell>
          <cell r="L301">
            <v>-60807.639740725208</v>
          </cell>
          <cell r="M301">
            <v>10912.366683894583</v>
          </cell>
          <cell r="N301">
            <v>411.36741951379742</v>
          </cell>
          <cell r="O301">
            <v>-185.64561895318991</v>
          </cell>
          <cell r="P301">
            <v>0</v>
          </cell>
          <cell r="Q301">
            <v>0</v>
          </cell>
          <cell r="R301">
            <v>0</v>
          </cell>
          <cell r="S301">
            <v>3238404.8777076122</v>
          </cell>
          <cell r="T301">
            <v>442255.12</v>
          </cell>
          <cell r="U301">
            <v>5786611.9609296499</v>
          </cell>
          <cell r="V301">
            <v>43649.466735578331</v>
          </cell>
          <cell r="W301">
            <v>0</v>
          </cell>
          <cell r="X301">
            <v>6272516.5476652281</v>
          </cell>
          <cell r="Y301">
            <v>0</v>
          </cell>
          <cell r="Z301">
            <v>0</v>
          </cell>
          <cell r="AA301">
            <v>0</v>
          </cell>
          <cell r="AB301">
            <v>79181.496946417872</v>
          </cell>
          <cell r="AC301">
            <v>79181.496946417872</v>
          </cell>
          <cell r="AD301" t="str">
            <v>N/A</v>
          </cell>
          <cell r="AE301">
            <v>1240849</v>
          </cell>
          <cell r="AF301">
            <v>1240850</v>
          </cell>
          <cell r="AG301">
            <v>1240850</v>
          </cell>
          <cell r="AH301">
            <v>1240850</v>
          </cell>
          <cell r="AI301">
            <v>1229938</v>
          </cell>
          <cell r="AJ301">
            <v>0</v>
          </cell>
          <cell r="AK301">
            <v>6193337</v>
          </cell>
          <cell r="AL301">
            <v>25783213</v>
          </cell>
          <cell r="AM301">
            <v>3238404.8777076122</v>
          </cell>
          <cell r="AN301">
            <v>-732158.12</v>
          </cell>
          <cell r="AO301">
            <v>5751079.9307188103</v>
          </cell>
          <cell r="AP301">
            <v>0</v>
          </cell>
          <cell r="AQ301">
            <v>442255.12</v>
          </cell>
          <cell r="AR301">
            <v>0</v>
          </cell>
          <cell r="AS301">
            <v>0</v>
          </cell>
          <cell r="AT301">
            <v>34482794.808426417</v>
          </cell>
          <cell r="AU301">
            <v>7.7766875144774574E-4</v>
          </cell>
          <cell r="AV301">
            <v>0</v>
          </cell>
          <cell r="AW301">
            <v>0</v>
          </cell>
          <cell r="AY301">
            <v>0</v>
          </cell>
          <cell r="AZ301">
            <v>0</v>
          </cell>
          <cell r="BA301">
            <v>0</v>
          </cell>
          <cell r="BB301">
            <v>0</v>
          </cell>
          <cell r="BC301">
            <v>0</v>
          </cell>
          <cell r="BD301">
            <v>0</v>
          </cell>
          <cell r="BE301">
            <v>0</v>
          </cell>
          <cell r="BF301">
            <v>0</v>
          </cell>
          <cell r="BG301">
            <v>0</v>
          </cell>
          <cell r="BH301">
            <v>0</v>
          </cell>
          <cell r="BJ301">
            <v>0</v>
          </cell>
          <cell r="BL301">
            <v>0</v>
          </cell>
          <cell r="BM301">
            <v>0</v>
          </cell>
          <cell r="BN301">
            <v>0</v>
          </cell>
          <cell r="BO301">
            <v>0</v>
          </cell>
          <cell r="BQ301">
            <v>0</v>
          </cell>
          <cell r="BR301">
            <v>0</v>
          </cell>
          <cell r="BS301">
            <v>0</v>
          </cell>
          <cell r="BT301">
            <v>0</v>
          </cell>
          <cell r="CB301">
            <v>0</v>
          </cell>
          <cell r="CC301">
            <v>0</v>
          </cell>
          <cell r="CD301">
            <v>0</v>
          </cell>
          <cell r="CE301">
            <v>0</v>
          </cell>
          <cell r="CF301">
            <v>0</v>
          </cell>
          <cell r="CI301">
            <v>0</v>
          </cell>
          <cell r="CJ301">
            <v>0</v>
          </cell>
          <cell r="CK301">
            <v>0</v>
          </cell>
          <cell r="CV301">
            <v>7.9264599698215235E-4</v>
          </cell>
          <cell r="DG301">
            <v>34482795</v>
          </cell>
          <cell r="DR301">
            <v>12760252.279999996</v>
          </cell>
          <cell r="EC301">
            <v>2.7023599724628653</v>
          </cell>
          <cell r="EN301">
            <v>2.4095909012463064E-2</v>
          </cell>
        </row>
        <row r="302">
          <cell r="B302">
            <v>39800</v>
          </cell>
          <cell r="C302" t="str">
            <v>Wilson County Schools</v>
          </cell>
          <cell r="D302">
            <v>3.7380233468300756E-3</v>
          </cell>
          <cell r="E302">
            <v>6467651.9811817873</v>
          </cell>
          <cell r="F302">
            <v>5042976.5744907707</v>
          </cell>
          <cell r="G302">
            <v>-562933</v>
          </cell>
          <cell r="H302">
            <v>-1804704.7197566011</v>
          </cell>
          <cell r="I302">
            <v>-74682.086416776248</v>
          </cell>
          <cell r="J302">
            <v>5457793.4390270412</v>
          </cell>
          <cell r="K302">
            <v>0</v>
          </cell>
          <cell r="L302">
            <v>-286761.52769567468</v>
          </cell>
          <cell r="M302">
            <v>51461.411006768903</v>
          </cell>
          <cell r="N302">
            <v>1939.9593565378725</v>
          </cell>
          <cell r="O302">
            <v>-875.48244806107198</v>
          </cell>
          <cell r="P302">
            <v>0</v>
          </cell>
          <cell r="Q302">
            <v>0</v>
          </cell>
          <cell r="R302">
            <v>0</v>
          </cell>
          <cell r="S302">
            <v>14291866.548745792</v>
          </cell>
          <cell r="T302">
            <v>0</v>
          </cell>
          <cell r="U302">
            <v>27288967.195135206</v>
          </cell>
          <cell r="V302">
            <v>205845.64402707561</v>
          </cell>
          <cell r="W302">
            <v>0</v>
          </cell>
          <cell r="X302">
            <v>27494812.839162283</v>
          </cell>
          <cell r="Y302">
            <v>2814661.5700000008</v>
          </cell>
          <cell r="Z302">
            <v>0</v>
          </cell>
          <cell r="AA302">
            <v>0</v>
          </cell>
          <cell r="AB302">
            <v>373410.43208388123</v>
          </cell>
          <cell r="AC302">
            <v>3188072.0020838818</v>
          </cell>
          <cell r="AD302" t="str">
            <v>N/A</v>
          </cell>
          <cell r="AE302">
            <v>4871640</v>
          </cell>
          <cell r="AF302">
            <v>4871640</v>
          </cell>
          <cell r="AG302">
            <v>4871640</v>
          </cell>
          <cell r="AH302">
            <v>4871640</v>
          </cell>
          <cell r="AI302">
            <v>4820178</v>
          </cell>
          <cell r="AJ302">
            <v>0</v>
          </cell>
          <cell r="AK302">
            <v>24306738</v>
          </cell>
          <cell r="AL302">
            <v>127292513</v>
          </cell>
          <cell r="AM302">
            <v>14291866.548745792</v>
          </cell>
          <cell r="AN302">
            <v>-3274399.4299999992</v>
          </cell>
          <cell r="AO302">
            <v>27121402.407078404</v>
          </cell>
          <cell r="AP302">
            <v>0</v>
          </cell>
          <cell r="AQ302">
            <v>-2814661.5700000008</v>
          </cell>
          <cell r="AR302">
            <v>0</v>
          </cell>
          <cell r="AS302">
            <v>0</v>
          </cell>
          <cell r="AT302">
            <v>162616720.9558242</v>
          </cell>
          <cell r="AU302">
            <v>3.8393744410324645E-3</v>
          </cell>
          <cell r="AV302">
            <v>0</v>
          </cell>
          <cell r="AW302">
            <v>0</v>
          </cell>
          <cell r="AY302">
            <v>0</v>
          </cell>
          <cell r="AZ302">
            <v>0</v>
          </cell>
          <cell r="BA302">
            <v>0</v>
          </cell>
          <cell r="BB302">
            <v>0</v>
          </cell>
          <cell r="BC302">
            <v>0</v>
          </cell>
          <cell r="BD302">
            <v>0</v>
          </cell>
          <cell r="BE302">
            <v>0</v>
          </cell>
          <cell r="BF302">
            <v>0</v>
          </cell>
          <cell r="BG302">
            <v>0</v>
          </cell>
          <cell r="BH302">
            <v>0</v>
          </cell>
          <cell r="BJ302">
            <v>0</v>
          </cell>
          <cell r="BL302">
            <v>0</v>
          </cell>
          <cell r="BM302">
            <v>0</v>
          </cell>
          <cell r="BN302">
            <v>0</v>
          </cell>
          <cell r="BO302">
            <v>0</v>
          </cell>
          <cell r="BQ302">
            <v>0</v>
          </cell>
          <cell r="BR302">
            <v>0</v>
          </cell>
          <cell r="BS302">
            <v>0</v>
          </cell>
          <cell r="BT302">
            <v>0</v>
          </cell>
          <cell r="CB302">
            <v>0</v>
          </cell>
          <cell r="CC302">
            <v>0</v>
          </cell>
          <cell r="CD302">
            <v>0</v>
          </cell>
          <cell r="CE302">
            <v>0</v>
          </cell>
          <cell r="CF302">
            <v>0</v>
          </cell>
          <cell r="CI302">
            <v>0</v>
          </cell>
          <cell r="CJ302">
            <v>0</v>
          </cell>
          <cell r="CK302">
            <v>0</v>
          </cell>
          <cell r="CV302">
            <v>3.7380233468300756E-3</v>
          </cell>
          <cell r="DG302">
            <v>162616721</v>
          </cell>
          <cell r="DR302">
            <v>56969445.149999999</v>
          </cell>
          <cell r="EC302">
            <v>2.854455060459721</v>
          </cell>
          <cell r="EN302">
            <v>2.4095909012463064E-2</v>
          </cell>
        </row>
        <row r="303">
          <cell r="B303">
            <v>39805</v>
          </cell>
          <cell r="C303" t="str">
            <v>Wilson Community College</v>
          </cell>
          <cell r="D303">
            <v>4.2042356770365802E-4</v>
          </cell>
          <cell r="E303">
            <v>727430.80187018623</v>
          </cell>
          <cell r="F303">
            <v>567194.47862500523</v>
          </cell>
          <cell r="G303">
            <v>-37148</v>
          </cell>
          <cell r="H303">
            <v>-202979.04173742756</v>
          </cell>
          <cell r="I303">
            <v>-8399.6557275438754</v>
          </cell>
          <cell r="J303">
            <v>613849.82824444456</v>
          </cell>
          <cell r="K303">
            <v>0</v>
          </cell>
          <cell r="L303">
            <v>-32252.689019774443</v>
          </cell>
          <cell r="M303">
            <v>5787.9761593456933</v>
          </cell>
          <cell r="N303">
            <v>218.19142316684443</v>
          </cell>
          <cell r="O303">
            <v>-98.46740379187375</v>
          </cell>
          <cell r="P303">
            <v>0</v>
          </cell>
          <cell r="Q303">
            <v>0</v>
          </cell>
          <cell r="R303">
            <v>0</v>
          </cell>
          <cell r="S303">
            <v>1633603.4224336105</v>
          </cell>
          <cell r="T303">
            <v>37708.669999999984</v>
          </cell>
          <cell r="U303">
            <v>3069249.1412222232</v>
          </cell>
          <cell r="V303">
            <v>23151.904637382773</v>
          </cell>
          <cell r="W303">
            <v>0</v>
          </cell>
          <cell r="X303">
            <v>3130109.7158596059</v>
          </cell>
          <cell r="Y303">
            <v>223449</v>
          </cell>
          <cell r="Z303">
            <v>0</v>
          </cell>
          <cell r="AA303">
            <v>0</v>
          </cell>
          <cell r="AB303">
            <v>41998.27863771937</v>
          </cell>
          <cell r="AC303">
            <v>265447.27863771934</v>
          </cell>
          <cell r="AD303" t="str">
            <v>N/A</v>
          </cell>
          <cell r="AE303">
            <v>574090</v>
          </cell>
          <cell r="AF303">
            <v>574090</v>
          </cell>
          <cell r="AG303">
            <v>574090</v>
          </cell>
          <cell r="AH303">
            <v>574090</v>
          </cell>
          <cell r="AI303">
            <v>568302</v>
          </cell>
          <cell r="AJ303">
            <v>0</v>
          </cell>
          <cell r="AK303">
            <v>2864662</v>
          </cell>
          <cell r="AL303">
            <v>14207069</v>
          </cell>
          <cell r="AM303">
            <v>1633603.4224336105</v>
          </cell>
          <cell r="AN303">
            <v>-415480.67</v>
          </cell>
          <cell r="AO303">
            <v>3050402.7672218867</v>
          </cell>
          <cell r="AP303">
            <v>0</v>
          </cell>
          <cell r="AQ303">
            <v>-185740.33000000002</v>
          </cell>
          <cell r="AR303">
            <v>0</v>
          </cell>
          <cell r="AS303">
            <v>0</v>
          </cell>
          <cell r="AT303">
            <v>18289854.189655498</v>
          </cell>
          <cell r="AU303">
            <v>4.2851110673070681E-4</v>
          </cell>
          <cell r="AV303">
            <v>0</v>
          </cell>
          <cell r="AW303">
            <v>0</v>
          </cell>
          <cell r="AY303">
            <v>0</v>
          </cell>
          <cell r="AZ303">
            <v>0</v>
          </cell>
          <cell r="BA303">
            <v>0</v>
          </cell>
          <cell r="BB303">
            <v>0</v>
          </cell>
          <cell r="BC303">
            <v>0</v>
          </cell>
          <cell r="BD303">
            <v>0</v>
          </cell>
          <cell r="BE303">
            <v>0</v>
          </cell>
          <cell r="BF303">
            <v>0</v>
          </cell>
          <cell r="BG303">
            <v>0</v>
          </cell>
          <cell r="BH303">
            <v>0</v>
          </cell>
          <cell r="BJ303">
            <v>0</v>
          </cell>
          <cell r="BL303">
            <v>0</v>
          </cell>
          <cell r="BM303">
            <v>0</v>
          </cell>
          <cell r="BN303">
            <v>0</v>
          </cell>
          <cell r="BO303">
            <v>0</v>
          </cell>
          <cell r="BQ303">
            <v>0</v>
          </cell>
          <cell r="BR303">
            <v>0</v>
          </cell>
          <cell r="BS303">
            <v>0</v>
          </cell>
          <cell r="BT303">
            <v>0</v>
          </cell>
          <cell r="CB303">
            <v>0</v>
          </cell>
          <cell r="CC303">
            <v>0</v>
          </cell>
          <cell r="CD303">
            <v>0</v>
          </cell>
          <cell r="CE303">
            <v>0</v>
          </cell>
          <cell r="CF303">
            <v>0</v>
          </cell>
          <cell r="CI303">
            <v>0</v>
          </cell>
          <cell r="CJ303">
            <v>0</v>
          </cell>
          <cell r="CK303">
            <v>0</v>
          </cell>
          <cell r="CV303">
            <v>4.2042356770365802E-4</v>
          </cell>
          <cell r="DG303">
            <v>18289854</v>
          </cell>
          <cell r="DR303">
            <v>6996756.6699999981</v>
          </cell>
          <cell r="EC303">
            <v>2.6140474597925389</v>
          </cell>
          <cell r="EN303">
            <v>2.4095909012463064E-2</v>
          </cell>
        </row>
        <row r="304">
          <cell r="B304">
            <v>39900</v>
          </cell>
          <cell r="C304" t="str">
            <v>Yadkin County Schools</v>
          </cell>
          <cell r="D304">
            <v>1.846225728420556E-3</v>
          </cell>
          <cell r="E304">
            <v>3194400.9927744321</v>
          </cell>
          <cell r="F304">
            <v>2490747.7123016114</v>
          </cell>
          <cell r="G304">
            <v>-121943</v>
          </cell>
          <cell r="H304">
            <v>-891351.38458730141</v>
          </cell>
          <cell r="I304">
            <v>-36885.802094228449</v>
          </cell>
          <cell r="J304">
            <v>2695627.5369659117</v>
          </cell>
          <cell r="K304">
            <v>0</v>
          </cell>
          <cell r="L304">
            <v>-141632.74576706524</v>
          </cell>
          <cell r="M304">
            <v>25417.011132927124</v>
          </cell>
          <cell r="N304">
            <v>958.15422853570021</v>
          </cell>
          <cell r="O304">
            <v>-432.40452785337845</v>
          </cell>
          <cell r="P304">
            <v>0</v>
          </cell>
          <cell r="Q304">
            <v>0</v>
          </cell>
          <cell r="R304">
            <v>0</v>
          </cell>
          <cell r="S304">
            <v>7214906.0704269689</v>
          </cell>
          <cell r="T304">
            <v>33032.189999999944</v>
          </cell>
          <cell r="U304">
            <v>13478137.684829559</v>
          </cell>
          <cell r="V304">
            <v>101668.0445317085</v>
          </cell>
          <cell r="W304">
            <v>0</v>
          </cell>
          <cell r="X304">
            <v>13612837.919361267</v>
          </cell>
          <cell r="Y304">
            <v>642743</v>
          </cell>
          <cell r="Z304">
            <v>0</v>
          </cell>
          <cell r="AA304">
            <v>0</v>
          </cell>
          <cell r="AB304">
            <v>184429.01047114225</v>
          </cell>
          <cell r="AC304">
            <v>827172.01047114225</v>
          </cell>
          <cell r="AD304" t="str">
            <v>N/A</v>
          </cell>
          <cell r="AE304">
            <v>2562216</v>
          </cell>
          <cell r="AF304">
            <v>2562217</v>
          </cell>
          <cell r="AG304">
            <v>2562217</v>
          </cell>
          <cell r="AH304">
            <v>2562217</v>
          </cell>
          <cell r="AI304">
            <v>2536800</v>
          </cell>
          <cell r="AJ304">
            <v>0</v>
          </cell>
          <cell r="AK304">
            <v>12785667</v>
          </cell>
          <cell r="AL304">
            <v>61981970</v>
          </cell>
          <cell r="AM304">
            <v>7214906.0704269689</v>
          </cell>
          <cell r="AN304">
            <v>-1665447.19</v>
          </cell>
          <cell r="AO304">
            <v>13395376.718890127</v>
          </cell>
          <cell r="AP304">
            <v>0</v>
          </cell>
          <cell r="AQ304">
            <v>-609710.81000000006</v>
          </cell>
          <cell r="AR304">
            <v>0</v>
          </cell>
          <cell r="AS304">
            <v>0</v>
          </cell>
          <cell r="AT304">
            <v>80317094.789317101</v>
          </cell>
          <cell r="AU304">
            <v>1.8694892888119446E-3</v>
          </cell>
          <cell r="AV304">
            <v>0</v>
          </cell>
          <cell r="AW304">
            <v>0</v>
          </cell>
          <cell r="AY304">
            <v>0</v>
          </cell>
          <cell r="AZ304">
            <v>0</v>
          </cell>
          <cell r="BA304">
            <v>0</v>
          </cell>
          <cell r="BB304">
            <v>0</v>
          </cell>
          <cell r="BC304">
            <v>0</v>
          </cell>
          <cell r="BD304">
            <v>0</v>
          </cell>
          <cell r="BE304">
            <v>0</v>
          </cell>
          <cell r="BF304">
            <v>0</v>
          </cell>
          <cell r="BG304">
            <v>0</v>
          </cell>
          <cell r="BH304">
            <v>0</v>
          </cell>
          <cell r="BJ304">
            <v>0</v>
          </cell>
          <cell r="BL304">
            <v>0</v>
          </cell>
          <cell r="BM304">
            <v>0</v>
          </cell>
          <cell r="BN304">
            <v>0</v>
          </cell>
          <cell r="BO304">
            <v>0</v>
          </cell>
          <cell r="BQ304">
            <v>0</v>
          </cell>
          <cell r="BR304">
            <v>0</v>
          </cell>
          <cell r="BS304">
            <v>0</v>
          </cell>
          <cell r="BT304">
            <v>0</v>
          </cell>
          <cell r="CB304">
            <v>0</v>
          </cell>
          <cell r="CC304">
            <v>0</v>
          </cell>
          <cell r="CD304">
            <v>0</v>
          </cell>
          <cell r="CE304">
            <v>0</v>
          </cell>
          <cell r="CF304">
            <v>0</v>
          </cell>
          <cell r="CI304">
            <v>0</v>
          </cell>
          <cell r="CJ304">
            <v>0</v>
          </cell>
          <cell r="CK304">
            <v>0</v>
          </cell>
          <cell r="CV304">
            <v>1.846225728420556E-3</v>
          </cell>
          <cell r="DG304">
            <v>80317095</v>
          </cell>
          <cell r="DR304">
            <v>28981653.340000022</v>
          </cell>
          <cell r="EC304">
            <v>2.7713082500075181</v>
          </cell>
          <cell r="EN304">
            <v>2.4095909012463064E-2</v>
          </cell>
        </row>
        <row r="305">
          <cell r="B305">
            <v>40000</v>
          </cell>
          <cell r="C305" t="str">
            <v>Consolidated Judicial Retirement System</v>
          </cell>
          <cell r="D305">
            <v>2.9913793283444551E-3</v>
          </cell>
          <cell r="E305">
            <v>5175783.7349625183</v>
          </cell>
          <cell r="F305">
            <v>4035677.2760795662</v>
          </cell>
          <cell r="G305">
            <v>2662046</v>
          </cell>
          <cell r="H305">
            <v>-1444227.5747217208</v>
          </cell>
          <cell r="I305">
            <v>-59764.862007678144</v>
          </cell>
          <cell r="J305">
            <v>4367637.3732990632</v>
          </cell>
          <cell r="K305">
            <v>0</v>
          </cell>
          <cell r="L305">
            <v>-229482.91824896191</v>
          </cell>
          <cell r="M305">
            <v>41182.354097288146</v>
          </cell>
          <cell r="N305">
            <v>1552.4660438242054</v>
          </cell>
          <cell r="O305">
            <v>-700.61095249155483</v>
          </cell>
          <cell r="P305">
            <v>0</v>
          </cell>
          <cell r="Q305">
            <v>0</v>
          </cell>
          <cell r="R305">
            <v>0</v>
          </cell>
          <cell r="S305">
            <v>14549703.238551408</v>
          </cell>
          <cell r="T305">
            <v>13310230.6</v>
          </cell>
          <cell r="U305">
            <v>21838186.866495319</v>
          </cell>
          <cell r="V305">
            <v>164729.41638915258</v>
          </cell>
          <cell r="W305">
            <v>0</v>
          </cell>
          <cell r="X305">
            <v>35313146.882884473</v>
          </cell>
          <cell r="Y305">
            <v>0</v>
          </cell>
          <cell r="Z305">
            <v>0</v>
          </cell>
          <cell r="AA305">
            <v>0</v>
          </cell>
          <cell r="AB305">
            <v>298824.31003839074</v>
          </cell>
          <cell r="AC305">
            <v>298824.31003839074</v>
          </cell>
          <cell r="AD305" t="str">
            <v>N/A</v>
          </cell>
          <cell r="AE305">
            <v>7011102</v>
          </cell>
          <cell r="AF305">
            <v>7011101</v>
          </cell>
          <cell r="AG305">
            <v>7011101</v>
          </cell>
          <cell r="AH305">
            <v>7011101</v>
          </cell>
          <cell r="AI305">
            <v>6969919</v>
          </cell>
          <cell r="AJ305">
            <v>0</v>
          </cell>
          <cell r="AK305">
            <v>35014324</v>
          </cell>
          <cell r="AL305">
            <v>84441199</v>
          </cell>
          <cell r="AM305">
            <v>14549703.238551408</v>
          </cell>
          <cell r="AN305">
            <v>-3870056.6</v>
          </cell>
          <cell r="AO305">
            <v>21704091.97284608</v>
          </cell>
          <cell r="AP305">
            <v>0</v>
          </cell>
          <cell r="AQ305">
            <v>13310230.6</v>
          </cell>
          <cell r="AR305">
            <v>0</v>
          </cell>
          <cell r="AS305">
            <v>0</v>
          </cell>
          <cell r="AT305">
            <v>130135168.21139748</v>
          </cell>
          <cell r="AU305">
            <v>2.5469006112273148E-3</v>
          </cell>
          <cell r="AV305">
            <v>0</v>
          </cell>
          <cell r="AW305">
            <v>0</v>
          </cell>
          <cell r="AY305">
            <v>0</v>
          </cell>
          <cell r="AZ305">
            <v>0</v>
          </cell>
          <cell r="BA305">
            <v>0</v>
          </cell>
          <cell r="BB305">
            <v>0</v>
          </cell>
          <cell r="BC305">
            <v>0</v>
          </cell>
          <cell r="BD305">
            <v>0</v>
          </cell>
          <cell r="BE305">
            <v>0</v>
          </cell>
          <cell r="BF305">
            <v>0</v>
          </cell>
          <cell r="BG305">
            <v>0</v>
          </cell>
          <cell r="BH305">
            <v>0</v>
          </cell>
          <cell r="BJ305">
            <v>0</v>
          </cell>
          <cell r="BL305">
            <v>0</v>
          </cell>
          <cell r="BM305">
            <v>0</v>
          </cell>
          <cell r="BN305">
            <v>0</v>
          </cell>
          <cell r="BO305">
            <v>0</v>
          </cell>
          <cell r="BQ305">
            <v>0</v>
          </cell>
          <cell r="BR305">
            <v>0</v>
          </cell>
          <cell r="BS305">
            <v>0</v>
          </cell>
          <cell r="BT305">
            <v>0</v>
          </cell>
          <cell r="CB305">
            <v>0</v>
          </cell>
          <cell r="CC305">
            <v>0</v>
          </cell>
          <cell r="CD305">
            <v>0</v>
          </cell>
          <cell r="CE305">
            <v>0</v>
          </cell>
          <cell r="CF305">
            <v>0</v>
          </cell>
          <cell r="CI305">
            <v>0</v>
          </cell>
          <cell r="CJ305">
            <v>0</v>
          </cell>
          <cell r="CK305">
            <v>0</v>
          </cell>
          <cell r="CV305">
            <v>2.9913793283444551E-3</v>
          </cell>
          <cell r="DG305">
            <v>130135168</v>
          </cell>
          <cell r="DR305">
            <v>68245416.099999994</v>
          </cell>
          <cell r="EC305">
            <v>1.9068704601245741</v>
          </cell>
          <cell r="EN305">
            <v>2.4095909012463064E-2</v>
          </cell>
        </row>
        <row r="306">
          <cell r="B306">
            <v>51000</v>
          </cell>
          <cell r="C306" t="str">
            <v>Highway - Administrative</v>
          </cell>
          <cell r="D306">
            <v>2.8162352744387824E-2</v>
          </cell>
          <cell r="E306">
            <v>48727436.835417993</v>
          </cell>
          <cell r="F306">
            <v>37993899.982709162</v>
          </cell>
          <cell r="G306">
            <v>-12216545</v>
          </cell>
          <cell r="H306">
            <v>-13596686.323628087</v>
          </cell>
          <cell r="I306">
            <v>-562656.53427223396</v>
          </cell>
          <cell r="J306">
            <v>41119139.656051002</v>
          </cell>
          <cell r="K306">
            <v>0</v>
          </cell>
          <cell r="L306">
            <v>-2160467.8588574491</v>
          </cell>
          <cell r="M306">
            <v>387711.43864726363</v>
          </cell>
          <cell r="N306">
            <v>14615.697827282393</v>
          </cell>
          <cell r="O306">
            <v>-6595.9046362630725</v>
          </cell>
          <cell r="P306">
            <v>0</v>
          </cell>
          <cell r="Q306">
            <v>0</v>
          </cell>
          <cell r="R306">
            <v>0</v>
          </cell>
          <cell r="S306">
            <v>99699851.989258677</v>
          </cell>
          <cell r="T306">
            <v>2821902.9046994597</v>
          </cell>
          <cell r="U306">
            <v>205595698.28025502</v>
          </cell>
          <cell r="V306">
            <v>1550845.7545890545</v>
          </cell>
          <cell r="W306">
            <v>0</v>
          </cell>
          <cell r="X306">
            <v>209968446.93954352</v>
          </cell>
          <cell r="Y306">
            <v>63904622</v>
          </cell>
          <cell r="Z306">
            <v>0</v>
          </cell>
          <cell r="AA306">
            <v>0</v>
          </cell>
          <cell r="AB306">
            <v>2813282.6713611698</v>
          </cell>
          <cell r="AC306">
            <v>66717904.671361171</v>
          </cell>
          <cell r="AD306" t="str">
            <v>N/A</v>
          </cell>
          <cell r="AE306">
            <v>28727652</v>
          </cell>
          <cell r="AF306">
            <v>28727650</v>
          </cell>
          <cell r="AG306">
            <v>28727650</v>
          </cell>
          <cell r="AH306">
            <v>28727650</v>
          </cell>
          <cell r="AI306">
            <v>28339938</v>
          </cell>
          <cell r="AJ306">
            <v>0</v>
          </cell>
          <cell r="AK306">
            <v>143250540</v>
          </cell>
          <cell r="AL306">
            <v>1010394077</v>
          </cell>
          <cell r="AM306">
            <v>99699851.989258677</v>
          </cell>
          <cell r="AN306">
            <v>-28186402.90469946</v>
          </cell>
          <cell r="AO306">
            <v>204333261.36348292</v>
          </cell>
          <cell r="AP306">
            <v>0</v>
          </cell>
          <cell r="AQ306">
            <v>-61082719.09530054</v>
          </cell>
          <cell r="AR306">
            <v>0</v>
          </cell>
          <cell r="AS306">
            <v>0</v>
          </cell>
          <cell r="AT306">
            <v>1225158068.3527417</v>
          </cell>
          <cell r="AU306">
            <v>3.0475328768949837E-2</v>
          </cell>
          <cell r="AV306">
            <v>0</v>
          </cell>
          <cell r="AW306">
            <v>0</v>
          </cell>
          <cell r="AY306">
            <v>0</v>
          </cell>
          <cell r="AZ306">
            <v>0</v>
          </cell>
          <cell r="BA306">
            <v>0</v>
          </cell>
          <cell r="BB306">
            <v>0</v>
          </cell>
          <cell r="BC306">
            <v>0</v>
          </cell>
          <cell r="BD306">
            <v>0</v>
          </cell>
          <cell r="BE306">
            <v>0</v>
          </cell>
          <cell r="BF306">
            <v>0</v>
          </cell>
          <cell r="BG306">
            <v>0</v>
          </cell>
          <cell r="BH306">
            <v>0</v>
          </cell>
          <cell r="BJ306">
            <v>0</v>
          </cell>
          <cell r="BL306">
            <v>0</v>
          </cell>
          <cell r="BM306">
            <v>0</v>
          </cell>
          <cell r="BN306">
            <v>0</v>
          </cell>
          <cell r="BO306">
            <v>0</v>
          </cell>
          <cell r="BQ306">
            <v>0</v>
          </cell>
          <cell r="BR306">
            <v>0</v>
          </cell>
          <cell r="BS306">
            <v>0</v>
          </cell>
          <cell r="BT306">
            <v>0</v>
          </cell>
          <cell r="CB306">
            <v>0</v>
          </cell>
          <cell r="CC306">
            <v>0</v>
          </cell>
          <cell r="CD306">
            <v>0</v>
          </cell>
          <cell r="CE306">
            <v>0</v>
          </cell>
          <cell r="CF306">
            <v>0</v>
          </cell>
          <cell r="CI306">
            <v>0</v>
          </cell>
          <cell r="CJ306">
            <v>0</v>
          </cell>
          <cell r="CK306">
            <v>0</v>
          </cell>
          <cell r="CV306">
            <v>2.8162352744387824E-2</v>
          </cell>
          <cell r="DG306">
            <v>1225158068</v>
          </cell>
          <cell r="DR306">
            <v>517068074.63000035</v>
          </cell>
          <cell r="EC306">
            <v>2.3694328234762692</v>
          </cell>
          <cell r="EN306">
            <v>2.4095909012463064E-2</v>
          </cell>
        </row>
        <row r="307">
          <cell r="B307">
            <v>60000</v>
          </cell>
          <cell r="C307" t="str">
            <v>Legislative Retirement System</v>
          </cell>
          <cell r="D307">
            <v>1.4349776773514539E-4</v>
          </cell>
          <cell r="E307">
            <v>248284.59741280656</v>
          </cell>
          <cell r="F307">
            <v>193593.1945940711</v>
          </cell>
          <cell r="G307">
            <v>12377</v>
          </cell>
          <cell r="H307">
            <v>-69280.225048826003</v>
          </cell>
          <cell r="I307">
            <v>-2866.946430310185</v>
          </cell>
          <cell r="J307">
            <v>209517.46487192417</v>
          </cell>
          <cell r="K307">
            <v>0</v>
          </cell>
          <cell r="L307">
            <v>-11008.395421485307</v>
          </cell>
          <cell r="M307">
            <v>1975.5354418089648</v>
          </cell>
          <cell r="N307">
            <v>74.472471499185758</v>
          </cell>
          <cell r="O307">
            <v>-33.608612181248404</v>
          </cell>
          <cell r="P307">
            <v>0</v>
          </cell>
          <cell r="Q307">
            <v>0</v>
          </cell>
          <cell r="R307">
            <v>0</v>
          </cell>
          <cell r="S307">
            <v>582633.08927930729</v>
          </cell>
          <cell r="T307">
            <v>63430.98000000001</v>
          </cell>
          <cell r="U307">
            <v>1047587.3243596209</v>
          </cell>
          <cell r="V307">
            <v>7902.1417672358593</v>
          </cell>
          <cell r="W307">
            <v>0</v>
          </cell>
          <cell r="X307">
            <v>1118920.4461268568</v>
          </cell>
          <cell r="Y307">
            <v>1544</v>
          </cell>
          <cell r="Z307">
            <v>0</v>
          </cell>
          <cell r="AA307">
            <v>0</v>
          </cell>
          <cell r="AB307">
            <v>14334.732151550923</v>
          </cell>
          <cell r="AC307">
            <v>15878.732151550923</v>
          </cell>
          <cell r="AD307" t="str">
            <v>N/A</v>
          </cell>
          <cell r="AE307">
            <v>221003</v>
          </cell>
          <cell r="AF307">
            <v>221003</v>
          </cell>
          <cell r="AG307">
            <v>221003</v>
          </cell>
          <cell r="AH307">
            <v>221003</v>
          </cell>
          <cell r="AI307">
            <v>219028</v>
          </cell>
          <cell r="AJ307">
            <v>0</v>
          </cell>
          <cell r="AK307">
            <v>1103040</v>
          </cell>
          <cell r="AL307">
            <v>4759449</v>
          </cell>
          <cell r="AM307">
            <v>582633.08927930729</v>
          </cell>
          <cell r="AN307">
            <v>-202482.98</v>
          </cell>
          <cell r="AO307">
            <v>1041154.7339753059</v>
          </cell>
          <cell r="AP307">
            <v>0</v>
          </cell>
          <cell r="AQ307">
            <v>61886.98000000001</v>
          </cell>
          <cell r="AR307">
            <v>0</v>
          </cell>
          <cell r="AS307">
            <v>0</v>
          </cell>
          <cell r="AT307">
            <v>6242640.8232546132</v>
          </cell>
          <cell r="AU307">
            <v>1.4355367967159498E-4</v>
          </cell>
          <cell r="AV307">
            <v>0</v>
          </cell>
          <cell r="AW307">
            <v>0</v>
          </cell>
          <cell r="AY307">
            <v>0</v>
          </cell>
          <cell r="AZ307">
            <v>0</v>
          </cell>
          <cell r="BA307">
            <v>0</v>
          </cell>
          <cell r="BB307">
            <v>0</v>
          </cell>
          <cell r="BC307">
            <v>0</v>
          </cell>
          <cell r="BD307">
            <v>0</v>
          </cell>
          <cell r="BE307">
            <v>0</v>
          </cell>
          <cell r="BF307">
            <v>0</v>
          </cell>
          <cell r="BG307">
            <v>0</v>
          </cell>
          <cell r="BH307">
            <v>0</v>
          </cell>
          <cell r="BJ307">
            <v>0</v>
          </cell>
          <cell r="BL307">
            <v>0</v>
          </cell>
          <cell r="BM307">
            <v>0</v>
          </cell>
          <cell r="BN307">
            <v>0</v>
          </cell>
          <cell r="BO307">
            <v>0</v>
          </cell>
          <cell r="BQ307">
            <v>0</v>
          </cell>
          <cell r="BR307">
            <v>0</v>
          </cell>
          <cell r="BS307">
            <v>0</v>
          </cell>
          <cell r="BT307">
            <v>0</v>
          </cell>
          <cell r="CB307">
            <v>0</v>
          </cell>
          <cell r="CC307">
            <v>0</v>
          </cell>
          <cell r="CD307">
            <v>0</v>
          </cell>
          <cell r="CE307">
            <v>0</v>
          </cell>
          <cell r="CF307">
            <v>0</v>
          </cell>
          <cell r="CI307">
            <v>0</v>
          </cell>
          <cell r="CJ307">
            <v>0</v>
          </cell>
          <cell r="CK307">
            <v>0</v>
          </cell>
          <cell r="CV307">
            <v>1.4349776773514539E-4</v>
          </cell>
          <cell r="DG307">
            <v>6242641</v>
          </cell>
          <cell r="DR307">
            <v>3577761.2099999958</v>
          </cell>
          <cell r="EC307">
            <v>1.7448456265196097</v>
          </cell>
          <cell r="EN307">
            <v>2.4095909012463064E-2</v>
          </cell>
        </row>
        <row r="308">
          <cell r="B308">
            <v>90901</v>
          </cell>
          <cell r="C308" t="str">
            <v>BLADEN COUNTY</v>
          </cell>
          <cell r="D308">
            <v>7.1481501490372695E-4</v>
          </cell>
          <cell r="E308">
            <v>1236796.6484856578</v>
          </cell>
          <cell r="F308">
            <v>964358.71068347129</v>
          </cell>
          <cell r="G308">
            <v>-467132</v>
          </cell>
          <cell r="H308">
            <v>-345110.21239169477</v>
          </cell>
          <cell r="I308">
            <v>-14281.311742025373</v>
          </cell>
          <cell r="J308">
            <v>1043683.3418303755</v>
          </cell>
          <cell r="K308">
            <v>0</v>
          </cell>
          <cell r="L308">
            <v>-54836.855384391296</v>
          </cell>
          <cell r="M308">
            <v>9840.8666459949036</v>
          </cell>
          <cell r="N308">
            <v>370.97469643473619</v>
          </cell>
          <cell r="O308">
            <v>-167.4168246406019</v>
          </cell>
          <cell r="P308">
            <v>0</v>
          </cell>
          <cell r="Q308">
            <v>0</v>
          </cell>
          <cell r="R308">
            <v>0</v>
          </cell>
          <cell r="S308">
            <v>2373522.7459991821</v>
          </cell>
          <cell r="T308">
            <v>91297.75</v>
          </cell>
          <cell r="U308">
            <v>5218416.7091518771</v>
          </cell>
          <cell r="V308">
            <v>39363.466583979614</v>
          </cell>
          <cell r="W308">
            <v>0</v>
          </cell>
          <cell r="X308">
            <v>5349077.9257358564</v>
          </cell>
          <cell r="Y308">
            <v>2426962</v>
          </cell>
          <cell r="Z308">
            <v>0</v>
          </cell>
          <cell r="AA308">
            <v>0</v>
          </cell>
          <cell r="AB308">
            <v>71406.558710126861</v>
          </cell>
          <cell r="AC308">
            <v>2498368.5587101267</v>
          </cell>
          <cell r="AD308" t="str">
            <v>N/A</v>
          </cell>
          <cell r="AE308">
            <v>572111</v>
          </cell>
          <cell r="AF308">
            <v>572109</v>
          </cell>
          <cell r="AG308">
            <v>572109</v>
          </cell>
          <cell r="AH308">
            <v>572109</v>
          </cell>
          <cell r="AI308">
            <v>562268</v>
          </cell>
          <cell r="AJ308">
            <v>0</v>
          </cell>
          <cell r="AK308">
            <v>2850706</v>
          </cell>
          <cell r="AL308">
            <v>26611683</v>
          </cell>
          <cell r="AM308">
            <v>2373522.7459991821</v>
          </cell>
          <cell r="AN308">
            <v>-739032.75</v>
          </cell>
          <cell r="AO308">
            <v>5186373.6170257302</v>
          </cell>
          <cell r="AP308">
            <v>0</v>
          </cell>
          <cell r="AQ308">
            <v>-2335664.25</v>
          </cell>
          <cell r="AR308">
            <v>0</v>
          </cell>
          <cell r="AS308">
            <v>0</v>
          </cell>
          <cell r="AT308">
            <v>31096882.363024913</v>
          </cell>
          <cell r="AU308">
            <v>8.026569065903307E-4</v>
          </cell>
          <cell r="AV308">
            <v>0</v>
          </cell>
          <cell r="AW308">
            <v>0</v>
          </cell>
          <cell r="AY308">
            <v>0</v>
          </cell>
          <cell r="AZ308">
            <v>0</v>
          </cell>
          <cell r="BA308">
            <v>0</v>
          </cell>
          <cell r="BB308">
            <v>0</v>
          </cell>
          <cell r="BC308">
            <v>0</v>
          </cell>
          <cell r="BD308">
            <v>0</v>
          </cell>
          <cell r="BE308">
            <v>0</v>
          </cell>
          <cell r="BF308">
            <v>0</v>
          </cell>
          <cell r="BG308">
            <v>0</v>
          </cell>
          <cell r="BH308">
            <v>0</v>
          </cell>
          <cell r="BJ308">
            <v>0</v>
          </cell>
          <cell r="BL308">
            <v>0</v>
          </cell>
          <cell r="BM308">
            <v>0</v>
          </cell>
          <cell r="BN308">
            <v>0</v>
          </cell>
          <cell r="BO308">
            <v>0</v>
          </cell>
          <cell r="BQ308">
            <v>0</v>
          </cell>
          <cell r="BR308">
            <v>0</v>
          </cell>
          <cell r="BS308">
            <v>0</v>
          </cell>
          <cell r="BT308">
            <v>0</v>
          </cell>
          <cell r="CB308">
            <v>0</v>
          </cell>
          <cell r="CC308">
            <v>0</v>
          </cell>
          <cell r="CD308">
            <v>0</v>
          </cell>
          <cell r="CE308">
            <v>0</v>
          </cell>
          <cell r="CF308">
            <v>0</v>
          </cell>
          <cell r="CI308">
            <v>0</v>
          </cell>
          <cell r="CJ308">
            <v>0</v>
          </cell>
          <cell r="CK308">
            <v>0</v>
          </cell>
          <cell r="CV308">
            <v>7.1481501490372695E-4</v>
          </cell>
          <cell r="DG308">
            <v>31096883</v>
          </cell>
          <cell r="DR308">
            <v>11590746.199999994</v>
          </cell>
          <cell r="EC308">
            <v>2.6829060410277998</v>
          </cell>
          <cell r="EN308">
            <v>2.4095909012463064E-2</v>
          </cell>
        </row>
        <row r="309">
          <cell r="B309">
            <v>91041</v>
          </cell>
          <cell r="C309" t="str">
            <v>TOWN OF SUNSET BEACH</v>
          </cell>
          <cell r="D309">
            <v>1.2964012648099919E-4</v>
          </cell>
          <cell r="E309">
            <v>224307.64687078004</v>
          </cell>
          <cell r="F309">
            <v>174897.81638525944</v>
          </cell>
          <cell r="G309">
            <v>-87207</v>
          </cell>
          <cell r="H309">
            <v>-62589.803867465656</v>
          </cell>
          <cell r="I309">
            <v>-2590.0841783522183</v>
          </cell>
          <cell r="J309">
            <v>189284.27302163589</v>
          </cell>
          <cell r="K309">
            <v>0</v>
          </cell>
          <cell r="L309">
            <v>-9945.3099328225708</v>
          </cell>
          <cell r="M309">
            <v>1784.7571330622504</v>
          </cell>
          <cell r="N309">
            <v>67.280632841108954</v>
          </cell>
          <cell r="O309">
            <v>-30.363014023114822</v>
          </cell>
          <cell r="P309">
            <v>0</v>
          </cell>
          <cell r="Q309">
            <v>0</v>
          </cell>
          <cell r="R309">
            <v>0</v>
          </cell>
          <cell r="S309">
            <v>427979.21305091516</v>
          </cell>
          <cell r="T309">
            <v>3981.75</v>
          </cell>
          <cell r="U309">
            <v>946421.36510817951</v>
          </cell>
          <cell r="V309">
            <v>7139.0285322490017</v>
          </cell>
          <cell r="W309">
            <v>0</v>
          </cell>
          <cell r="X309">
            <v>957542.14364042855</v>
          </cell>
          <cell r="Y309">
            <v>440012</v>
          </cell>
          <cell r="Z309">
            <v>0</v>
          </cell>
          <cell r="AA309">
            <v>0</v>
          </cell>
          <cell r="AB309">
            <v>12950.42089176109</v>
          </cell>
          <cell r="AC309">
            <v>452962.42089176108</v>
          </cell>
          <cell r="AD309" t="str">
            <v>N/A</v>
          </cell>
          <cell r="AE309">
            <v>101273</v>
          </cell>
          <cell r="AF309">
            <v>101272</v>
          </cell>
          <cell r="AG309">
            <v>101272</v>
          </cell>
          <cell r="AH309">
            <v>101272</v>
          </cell>
          <cell r="AI309">
            <v>99487</v>
          </cell>
          <cell r="AJ309">
            <v>0</v>
          </cell>
          <cell r="AK309">
            <v>504576</v>
          </cell>
          <cell r="AL309">
            <v>4826168</v>
          </cell>
          <cell r="AM309">
            <v>427979.21305091516</v>
          </cell>
          <cell r="AN309">
            <v>-118940.75</v>
          </cell>
          <cell r="AO309">
            <v>940609.97274866747</v>
          </cell>
          <cell r="AP309">
            <v>0</v>
          </cell>
          <cell r="AQ309">
            <v>-436030.25</v>
          </cell>
          <cell r="AR309">
            <v>0</v>
          </cell>
          <cell r="AS309">
            <v>0</v>
          </cell>
          <cell r="AT309">
            <v>5639786.1857995819</v>
          </cell>
          <cell r="AU309">
            <v>1.4556603085170817E-4</v>
          </cell>
          <cell r="AV309">
            <v>0</v>
          </cell>
          <cell r="AW309">
            <v>0</v>
          </cell>
          <cell r="AY309">
            <v>0</v>
          </cell>
          <cell r="AZ309">
            <v>0</v>
          </cell>
          <cell r="BA309">
            <v>0</v>
          </cell>
          <cell r="BB309">
            <v>0</v>
          </cell>
          <cell r="BC309">
            <v>0</v>
          </cell>
          <cell r="BD309">
            <v>0</v>
          </cell>
          <cell r="BE309">
            <v>0</v>
          </cell>
          <cell r="BF309">
            <v>0</v>
          </cell>
          <cell r="BG309">
            <v>0</v>
          </cell>
          <cell r="BH309">
            <v>0</v>
          </cell>
          <cell r="BJ309">
            <v>0</v>
          </cell>
          <cell r="BL309">
            <v>0</v>
          </cell>
          <cell r="BM309">
            <v>0</v>
          </cell>
          <cell r="BN309">
            <v>0</v>
          </cell>
          <cell r="BO309">
            <v>0</v>
          </cell>
          <cell r="BQ309">
            <v>0</v>
          </cell>
          <cell r="BR309">
            <v>0</v>
          </cell>
          <cell r="BS309">
            <v>0</v>
          </cell>
          <cell r="BT309">
            <v>0</v>
          </cell>
          <cell r="CB309">
            <v>0</v>
          </cell>
          <cell r="CC309">
            <v>0</v>
          </cell>
          <cell r="CD309">
            <v>0</v>
          </cell>
          <cell r="CE309">
            <v>0</v>
          </cell>
          <cell r="CF309">
            <v>0</v>
          </cell>
          <cell r="CI309">
            <v>0</v>
          </cell>
          <cell r="CJ309">
            <v>0</v>
          </cell>
          <cell r="CK309">
            <v>0</v>
          </cell>
          <cell r="CV309">
            <v>1.2964012648099919E-4</v>
          </cell>
          <cell r="DG309">
            <v>5639786</v>
          </cell>
          <cell r="DR309">
            <v>1903519.8499999999</v>
          </cell>
          <cell r="EC309">
            <v>2.962819641728454</v>
          </cell>
          <cell r="EN309">
            <v>2.4095909012463064E-2</v>
          </cell>
        </row>
        <row r="310">
          <cell r="B310">
            <v>91111</v>
          </cell>
          <cell r="C310" t="str">
            <v>TOWN OF BILTMORE FOREST</v>
          </cell>
          <cell r="D310">
            <v>7.0042831531665577E-5</v>
          </cell>
          <cell r="E310">
            <v>121190.43036676686</v>
          </cell>
          <cell r="F310">
            <v>94494.957856465742</v>
          </cell>
          <cell r="G310">
            <v>-57811</v>
          </cell>
          <cell r="H310">
            <v>-33816.436368036302</v>
          </cell>
          <cell r="I310">
            <v>-1399.3879416937036</v>
          </cell>
          <cell r="J310">
            <v>102267.7685276048</v>
          </cell>
          <cell r="K310">
            <v>0</v>
          </cell>
          <cell r="L310">
            <v>-5373.3183317820121</v>
          </cell>
          <cell r="M310">
            <v>964.28047850091968</v>
          </cell>
          <cell r="N310">
            <v>36.350828708303801</v>
          </cell>
          <cell r="O310">
            <v>-16.404731573031395</v>
          </cell>
          <cell r="P310">
            <v>0</v>
          </cell>
          <cell r="Q310">
            <v>0</v>
          </cell>
          <cell r="R310">
            <v>0</v>
          </cell>
          <cell r="S310">
            <v>220537.24068496152</v>
          </cell>
          <cell r="T310">
            <v>13658.010000000009</v>
          </cell>
          <cell r="U310">
            <v>511338.84263802401</v>
          </cell>
          <cell r="V310">
            <v>3857.1219140036787</v>
          </cell>
          <cell r="W310">
            <v>0</v>
          </cell>
          <cell r="X310">
            <v>528853.97455202765</v>
          </cell>
          <cell r="Y310">
            <v>302714</v>
          </cell>
          <cell r="Z310">
            <v>0</v>
          </cell>
          <cell r="AA310">
            <v>0</v>
          </cell>
          <cell r="AB310">
            <v>6996.9397084685188</v>
          </cell>
          <cell r="AC310">
            <v>309710.9397084685</v>
          </cell>
          <cell r="AD310" t="str">
            <v>N/A</v>
          </cell>
          <cell r="AE310">
            <v>44022</v>
          </cell>
          <cell r="AF310">
            <v>44022</v>
          </cell>
          <cell r="AG310">
            <v>44022</v>
          </cell>
          <cell r="AH310">
            <v>44022</v>
          </cell>
          <cell r="AI310">
            <v>43057</v>
          </cell>
          <cell r="AJ310">
            <v>0</v>
          </cell>
          <cell r="AK310">
            <v>219145</v>
          </cell>
          <cell r="AL310">
            <v>2685492</v>
          </cell>
          <cell r="AM310">
            <v>220537.24068496152</v>
          </cell>
          <cell r="AN310">
            <v>-78071.010000000009</v>
          </cell>
          <cell r="AO310">
            <v>508199.02484355919</v>
          </cell>
          <cell r="AP310">
            <v>0</v>
          </cell>
          <cell r="AQ310">
            <v>-289055.99</v>
          </cell>
          <cell r="AR310">
            <v>0</v>
          </cell>
          <cell r="AS310">
            <v>0</v>
          </cell>
          <cell r="AT310">
            <v>3047101.2655285206</v>
          </cell>
          <cell r="AU310">
            <v>8.0999341284349754E-5</v>
          </cell>
          <cell r="AV310">
            <v>0</v>
          </cell>
          <cell r="AW310">
            <v>0</v>
          </cell>
          <cell r="AY310">
            <v>0</v>
          </cell>
          <cell r="AZ310">
            <v>0</v>
          </cell>
          <cell r="BA310">
            <v>0</v>
          </cell>
          <cell r="BB310">
            <v>0</v>
          </cell>
          <cell r="BC310">
            <v>0</v>
          </cell>
          <cell r="BD310">
            <v>0</v>
          </cell>
          <cell r="BE310">
            <v>0</v>
          </cell>
          <cell r="BF310">
            <v>0</v>
          </cell>
          <cell r="BG310">
            <v>0</v>
          </cell>
          <cell r="BH310">
            <v>0</v>
          </cell>
          <cell r="BJ310">
            <v>0</v>
          </cell>
          <cell r="BL310">
            <v>0</v>
          </cell>
          <cell r="BM310">
            <v>0</v>
          </cell>
          <cell r="BN310">
            <v>0</v>
          </cell>
          <cell r="BO310">
            <v>0</v>
          </cell>
          <cell r="BQ310">
            <v>0</v>
          </cell>
          <cell r="BR310">
            <v>0</v>
          </cell>
          <cell r="BS310">
            <v>0</v>
          </cell>
          <cell r="BT310">
            <v>0</v>
          </cell>
          <cell r="CB310">
            <v>0</v>
          </cell>
          <cell r="CC310">
            <v>0</v>
          </cell>
          <cell r="CD310">
            <v>0</v>
          </cell>
          <cell r="CE310">
            <v>0</v>
          </cell>
          <cell r="CF310">
            <v>0</v>
          </cell>
          <cell r="CI310">
            <v>0</v>
          </cell>
          <cell r="CJ310">
            <v>0</v>
          </cell>
          <cell r="CK310">
            <v>0</v>
          </cell>
          <cell r="CV310">
            <v>7.0042831531665577E-5</v>
          </cell>
          <cell r="DG310">
            <v>3047101</v>
          </cell>
          <cell r="DR310">
            <v>1313182.8800000004</v>
          </cell>
          <cell r="EC310">
            <v>2.3203934854831485</v>
          </cell>
          <cell r="EN310">
            <v>2.4095909012463064E-2</v>
          </cell>
        </row>
        <row r="311">
          <cell r="B311">
            <v>91151</v>
          </cell>
          <cell r="C311" t="str">
            <v>TOWN OF BLACK MOUNTAIN</v>
          </cell>
          <cell r="D311">
            <v>2.0385357774971462E-4</v>
          </cell>
          <cell r="E311">
            <v>352714.22184187663</v>
          </cell>
          <cell r="F311">
            <v>275019.36767990881</v>
          </cell>
          <cell r="G311">
            <v>-29720</v>
          </cell>
          <cell r="H311">
            <v>-98419.80099352845</v>
          </cell>
          <cell r="I311">
            <v>-4072.7970633954606</v>
          </cell>
          <cell r="J311">
            <v>297641.45804709388</v>
          </cell>
          <cell r="K311">
            <v>0</v>
          </cell>
          <cell r="L311">
            <v>-15638.576316359893</v>
          </cell>
          <cell r="M311">
            <v>2806.4545821188176</v>
          </cell>
          <cell r="N311">
            <v>105.7959297805469</v>
          </cell>
          <cell r="O311">
            <v>-47.744546444760658</v>
          </cell>
          <cell r="P311">
            <v>0</v>
          </cell>
          <cell r="Q311">
            <v>0</v>
          </cell>
          <cell r="R311">
            <v>0</v>
          </cell>
          <cell r="S311">
            <v>780388.37916105019</v>
          </cell>
          <cell r="T311">
            <v>847</v>
          </cell>
          <cell r="U311">
            <v>1488207.2902354694</v>
          </cell>
          <cell r="V311">
            <v>11225.81832847527</v>
          </cell>
          <cell r="W311">
            <v>0</v>
          </cell>
          <cell r="X311">
            <v>1500280.1085639447</v>
          </cell>
          <cell r="Y311">
            <v>149444</v>
          </cell>
          <cell r="Z311">
            <v>0</v>
          </cell>
          <cell r="AA311">
            <v>0</v>
          </cell>
          <cell r="AB311">
            <v>20363.985316977301</v>
          </cell>
          <cell r="AC311">
            <v>169807.98531697731</v>
          </cell>
          <cell r="AD311" t="str">
            <v>N/A</v>
          </cell>
          <cell r="AE311">
            <v>266655</v>
          </cell>
          <cell r="AF311">
            <v>266656</v>
          </cell>
          <cell r="AG311">
            <v>266656</v>
          </cell>
          <cell r="AH311">
            <v>266656</v>
          </cell>
          <cell r="AI311">
            <v>263850</v>
          </cell>
          <cell r="AJ311">
            <v>0</v>
          </cell>
          <cell r="AK311">
            <v>1330473</v>
          </cell>
          <cell r="AL311">
            <v>6937995</v>
          </cell>
          <cell r="AM311">
            <v>780388.37916105019</v>
          </cell>
          <cell r="AN311">
            <v>-180532</v>
          </cell>
          <cell r="AO311">
            <v>1479069.1232469673</v>
          </cell>
          <cell r="AP311">
            <v>0</v>
          </cell>
          <cell r="AQ311">
            <v>-148597</v>
          </cell>
          <cell r="AR311">
            <v>0</v>
          </cell>
          <cell r="AS311">
            <v>0</v>
          </cell>
          <cell r="AT311">
            <v>8868323.5024080183</v>
          </cell>
          <cell r="AU311">
            <v>2.0926258018404994E-4</v>
          </cell>
          <cell r="AV311">
            <v>0</v>
          </cell>
          <cell r="AW311">
            <v>0</v>
          </cell>
          <cell r="AY311">
            <v>0</v>
          </cell>
          <cell r="AZ311">
            <v>0</v>
          </cell>
          <cell r="BA311">
            <v>0</v>
          </cell>
          <cell r="BB311">
            <v>0</v>
          </cell>
          <cell r="BC311">
            <v>0</v>
          </cell>
          <cell r="BD311">
            <v>0</v>
          </cell>
          <cell r="BE311">
            <v>0</v>
          </cell>
          <cell r="BF311">
            <v>0</v>
          </cell>
          <cell r="BG311">
            <v>0</v>
          </cell>
          <cell r="BH311">
            <v>0</v>
          </cell>
          <cell r="BJ311">
            <v>0</v>
          </cell>
          <cell r="BL311">
            <v>0</v>
          </cell>
          <cell r="BM311">
            <v>0</v>
          </cell>
          <cell r="BN311">
            <v>0</v>
          </cell>
          <cell r="BO311">
            <v>0</v>
          </cell>
          <cell r="BQ311">
            <v>0</v>
          </cell>
          <cell r="BR311">
            <v>0</v>
          </cell>
          <cell r="BS311">
            <v>0</v>
          </cell>
          <cell r="BT311">
            <v>0</v>
          </cell>
          <cell r="CB311">
            <v>0</v>
          </cell>
          <cell r="CC311">
            <v>0</v>
          </cell>
          <cell r="CD311">
            <v>0</v>
          </cell>
          <cell r="CE311">
            <v>0</v>
          </cell>
          <cell r="CF311">
            <v>0</v>
          </cell>
          <cell r="CI311">
            <v>0</v>
          </cell>
          <cell r="CJ311">
            <v>0</v>
          </cell>
          <cell r="CK311">
            <v>0</v>
          </cell>
          <cell r="CV311">
            <v>2.0385357774971462E-4</v>
          </cell>
          <cell r="DG311">
            <v>8868324</v>
          </cell>
          <cell r="DR311">
            <v>3061219.0699999989</v>
          </cell>
          <cell r="EC311">
            <v>2.8969909690259454</v>
          </cell>
          <cell r="EN311">
            <v>2.4095909012463064E-2</v>
          </cell>
        </row>
        <row r="312">
          <cell r="B312">
            <v>98101</v>
          </cell>
          <cell r="C312" t="str">
            <v>RUTHERFORD COUNTY</v>
          </cell>
          <cell r="D312">
            <v>9.258285831309454E-4</v>
          </cell>
          <cell r="E312">
            <v>1601899.3233414355</v>
          </cell>
          <cell r="F312">
            <v>1249037.6392867353</v>
          </cell>
          <cell r="G312">
            <v>-25372</v>
          </cell>
          <cell r="H312">
            <v>-446986.83197869762</v>
          </cell>
          <cell r="I312">
            <v>-18497.158481137198</v>
          </cell>
          <cell r="J312">
            <v>1351778.9210601943</v>
          </cell>
          <cell r="K312">
            <v>0</v>
          </cell>
          <cell r="L312">
            <v>-71024.708582436971</v>
          </cell>
          <cell r="M312">
            <v>12745.892900513745</v>
          </cell>
          <cell r="N312">
            <v>480.48651807329804</v>
          </cell>
          <cell r="O312">
            <v>-216.83831245509873</v>
          </cell>
          <cell r="P312">
            <v>0</v>
          </cell>
          <cell r="Q312">
            <v>0</v>
          </cell>
          <cell r="R312">
            <v>0</v>
          </cell>
          <cell r="S312">
            <v>3653844.7257522251</v>
          </cell>
          <cell r="T312">
            <v>79010.629999999888</v>
          </cell>
          <cell r="U312">
            <v>6758894.6053009713</v>
          </cell>
          <cell r="V312">
            <v>50983.571602054981</v>
          </cell>
          <cell r="W312">
            <v>0</v>
          </cell>
          <cell r="X312">
            <v>6888888.8069030261</v>
          </cell>
          <cell r="Y312">
            <v>205870</v>
          </cell>
          <cell r="Z312">
            <v>0</v>
          </cell>
          <cell r="AA312">
            <v>0</v>
          </cell>
          <cell r="AB312">
            <v>92485.792405685977</v>
          </cell>
          <cell r="AC312">
            <v>298355.79240568599</v>
          </cell>
          <cell r="AD312" t="str">
            <v>N/A</v>
          </cell>
          <cell r="AE312">
            <v>1320656</v>
          </cell>
          <cell r="AF312">
            <v>1320656</v>
          </cell>
          <cell r="AG312">
            <v>1320656</v>
          </cell>
          <cell r="AH312">
            <v>1320656</v>
          </cell>
          <cell r="AI312">
            <v>1307910</v>
          </cell>
          <cell r="AJ312">
            <v>0</v>
          </cell>
          <cell r="AK312">
            <v>6590534</v>
          </cell>
          <cell r="AL312">
            <v>30942421</v>
          </cell>
          <cell r="AM312">
            <v>3653844.7257522251</v>
          </cell>
          <cell r="AN312">
            <v>-910108.62999999989</v>
          </cell>
          <cell r="AO312">
            <v>6717392.3844973408</v>
          </cell>
          <cell r="AP312">
            <v>0</v>
          </cell>
          <cell r="AQ312">
            <v>-126859.37000000011</v>
          </cell>
          <cell r="AR312">
            <v>0</v>
          </cell>
          <cell r="AS312">
            <v>0</v>
          </cell>
          <cell r="AT312">
            <v>40276690.110249572</v>
          </cell>
          <cell r="AU312">
            <v>9.3327986549368385E-4</v>
          </cell>
          <cell r="AV312">
            <v>0</v>
          </cell>
          <cell r="AW312">
            <v>0</v>
          </cell>
          <cell r="AY312">
            <v>0</v>
          </cell>
          <cell r="AZ312">
            <v>0</v>
          </cell>
          <cell r="BA312">
            <v>0</v>
          </cell>
          <cell r="BB312">
            <v>0</v>
          </cell>
          <cell r="BC312">
            <v>0</v>
          </cell>
          <cell r="BD312">
            <v>0</v>
          </cell>
          <cell r="BE312">
            <v>0</v>
          </cell>
          <cell r="BF312">
            <v>0</v>
          </cell>
          <cell r="BG312">
            <v>0</v>
          </cell>
          <cell r="BH312">
            <v>0</v>
          </cell>
          <cell r="BJ312">
            <v>0</v>
          </cell>
          <cell r="BL312">
            <v>0</v>
          </cell>
          <cell r="BM312">
            <v>0</v>
          </cell>
          <cell r="BN312">
            <v>0</v>
          </cell>
          <cell r="BO312">
            <v>0</v>
          </cell>
          <cell r="BQ312">
            <v>0</v>
          </cell>
          <cell r="BR312">
            <v>0</v>
          </cell>
          <cell r="BS312">
            <v>0</v>
          </cell>
          <cell r="BT312">
            <v>0</v>
          </cell>
          <cell r="CB312">
            <v>0</v>
          </cell>
          <cell r="CC312">
            <v>0</v>
          </cell>
          <cell r="CD312">
            <v>0</v>
          </cell>
          <cell r="CE312">
            <v>0</v>
          </cell>
          <cell r="CF312">
            <v>0</v>
          </cell>
          <cell r="CI312">
            <v>0</v>
          </cell>
          <cell r="CJ312">
            <v>0</v>
          </cell>
          <cell r="CK312">
            <v>0</v>
          </cell>
          <cell r="CV312">
            <v>9.258285831309454E-4</v>
          </cell>
          <cell r="DG312">
            <v>40276690</v>
          </cell>
          <cell r="DR312">
            <v>14678204.360000007</v>
          </cell>
          <cell r="EC312">
            <v>2.7439793732371758</v>
          </cell>
          <cell r="EN312">
            <v>2.4095909012463064E-2</v>
          </cell>
        </row>
        <row r="313">
          <cell r="B313">
            <v>98103</v>
          </cell>
          <cell r="C313" t="str">
            <v>RUTHERFORD POLK MCDOWELL DIST BRD OF HEALTH</v>
          </cell>
          <cell r="D313">
            <v>1.8631247831975222E-4</v>
          </cell>
          <cell r="E313">
            <v>322364.02978742868</v>
          </cell>
          <cell r="F313">
            <v>251354.62690424477</v>
          </cell>
          <cell r="G313">
            <v>-64418</v>
          </cell>
          <cell r="H313">
            <v>-89951.01896791099</v>
          </cell>
          <cell r="I313">
            <v>-3722.3428842944581</v>
          </cell>
          <cell r="J313">
            <v>272030.14198526251</v>
          </cell>
          <cell r="K313">
            <v>0</v>
          </cell>
          <cell r="L313">
            <v>-14292.915253471296</v>
          </cell>
          <cell r="M313">
            <v>2564.9660617109944</v>
          </cell>
          <cell r="N313">
            <v>96.692449998385001</v>
          </cell>
          <cell r="O313">
            <v>-43.636245547269169</v>
          </cell>
          <cell r="P313">
            <v>0</v>
          </cell>
          <cell r="Q313">
            <v>0</v>
          </cell>
          <cell r="R313">
            <v>0</v>
          </cell>
          <cell r="S313">
            <v>675982.54383742122</v>
          </cell>
          <cell r="T313">
            <v>26595.550000000017</v>
          </cell>
          <cell r="U313">
            <v>1360150.7099263126</v>
          </cell>
          <cell r="V313">
            <v>10259.864246843978</v>
          </cell>
          <cell r="W313">
            <v>0</v>
          </cell>
          <cell r="X313">
            <v>1397006.1241731567</v>
          </cell>
          <cell r="Y313">
            <v>348687</v>
          </cell>
          <cell r="Z313">
            <v>0</v>
          </cell>
          <cell r="AA313">
            <v>0</v>
          </cell>
          <cell r="AB313">
            <v>18611.71442147229</v>
          </cell>
          <cell r="AC313">
            <v>367298.71442147228</v>
          </cell>
          <cell r="AD313" t="str">
            <v>N/A</v>
          </cell>
          <cell r="AE313">
            <v>206455</v>
          </cell>
          <cell r="AF313">
            <v>206454</v>
          </cell>
          <cell r="AG313">
            <v>206454</v>
          </cell>
          <cell r="AH313">
            <v>206454</v>
          </cell>
          <cell r="AI313">
            <v>203889</v>
          </cell>
          <cell r="AJ313">
            <v>0</v>
          </cell>
          <cell r="AK313">
            <v>1029706</v>
          </cell>
          <cell r="AL313">
            <v>6595520</v>
          </cell>
          <cell r="AM313">
            <v>675982.54383742122</v>
          </cell>
          <cell r="AN313">
            <v>-195983.55000000002</v>
          </cell>
          <cell r="AO313">
            <v>1351798.8597516841</v>
          </cell>
          <cell r="AP313">
            <v>0</v>
          </cell>
          <cell r="AQ313">
            <v>-322091.44999999995</v>
          </cell>
          <cell r="AR313">
            <v>0</v>
          </cell>
          <cell r="AS313">
            <v>0</v>
          </cell>
          <cell r="AT313">
            <v>8105226.4035891062</v>
          </cell>
          <cell r="AU313">
            <v>1.9893290443215818E-4</v>
          </cell>
          <cell r="AV313">
            <v>0</v>
          </cell>
          <cell r="AW313">
            <v>0</v>
          </cell>
          <cell r="AY313">
            <v>0</v>
          </cell>
          <cell r="AZ313">
            <v>0</v>
          </cell>
          <cell r="BA313">
            <v>0</v>
          </cell>
          <cell r="BB313">
            <v>0</v>
          </cell>
          <cell r="BC313">
            <v>0</v>
          </cell>
          <cell r="BD313">
            <v>0</v>
          </cell>
          <cell r="BE313">
            <v>0</v>
          </cell>
          <cell r="BF313">
            <v>0</v>
          </cell>
          <cell r="BG313">
            <v>0</v>
          </cell>
          <cell r="BH313">
            <v>0</v>
          </cell>
          <cell r="BJ313">
            <v>0</v>
          </cell>
          <cell r="BL313">
            <v>0</v>
          </cell>
          <cell r="BM313">
            <v>0</v>
          </cell>
          <cell r="BN313">
            <v>0</v>
          </cell>
          <cell r="BO313">
            <v>0</v>
          </cell>
          <cell r="BQ313">
            <v>0</v>
          </cell>
          <cell r="BR313">
            <v>0</v>
          </cell>
          <cell r="BS313">
            <v>0</v>
          </cell>
          <cell r="BT313">
            <v>0</v>
          </cell>
          <cell r="CB313">
            <v>0</v>
          </cell>
          <cell r="CC313">
            <v>0</v>
          </cell>
          <cell r="CD313">
            <v>0</v>
          </cell>
          <cell r="CE313">
            <v>0</v>
          </cell>
          <cell r="CF313">
            <v>0</v>
          </cell>
          <cell r="CI313">
            <v>0</v>
          </cell>
          <cell r="CJ313">
            <v>0</v>
          </cell>
          <cell r="CK313">
            <v>0</v>
          </cell>
          <cell r="CV313">
            <v>1.8631247831975222E-4</v>
          </cell>
          <cell r="DG313">
            <v>8105226</v>
          </cell>
          <cell r="DR313">
            <v>3153137.0500000007</v>
          </cell>
          <cell r="EC313">
            <v>2.5705276591133259</v>
          </cell>
          <cell r="EN313">
            <v>2.4095909012463064E-2</v>
          </cell>
        </row>
        <row r="314">
          <cell r="B314">
            <v>98111</v>
          </cell>
          <cell r="C314" t="str">
            <v>TOWN OF FOREST CITY</v>
          </cell>
          <cell r="D314">
            <v>3.5234750822913259E-4</v>
          </cell>
          <cell r="E314">
            <v>609643.34575254563</v>
          </cell>
          <cell r="F314">
            <v>475352.89783209685</v>
          </cell>
          <cell r="G314">
            <v>-36095</v>
          </cell>
          <cell r="H314">
            <v>-170112.15610379644</v>
          </cell>
          <cell r="I314">
            <v>-7039.5619868502799</v>
          </cell>
          <cell r="J314">
            <v>514453.69390249148</v>
          </cell>
          <cell r="K314">
            <v>0</v>
          </cell>
          <cell r="L314">
            <v>-27030.251115267703</v>
          </cell>
          <cell r="M314">
            <v>4850.7722546909345</v>
          </cell>
          <cell r="N314">
            <v>182.86130982075522</v>
          </cell>
          <cell r="O314">
            <v>-82.523309902345147</v>
          </cell>
          <cell r="P314">
            <v>0</v>
          </cell>
          <cell r="Q314">
            <v>0</v>
          </cell>
          <cell r="R314">
            <v>0</v>
          </cell>
          <cell r="S314">
            <v>1364124.0785358292</v>
          </cell>
          <cell r="T314">
            <v>4384.5199999999604</v>
          </cell>
          <cell r="U314">
            <v>2572268.469512457</v>
          </cell>
          <cell r="V314">
            <v>19403.089018763738</v>
          </cell>
          <cell r="W314">
            <v>0</v>
          </cell>
          <cell r="X314">
            <v>2596056.0785312206</v>
          </cell>
          <cell r="Y314">
            <v>184859</v>
          </cell>
          <cell r="Z314">
            <v>0</v>
          </cell>
          <cell r="AA314">
            <v>0</v>
          </cell>
          <cell r="AB314">
            <v>35197.809934251403</v>
          </cell>
          <cell r="AC314">
            <v>220056.80993425142</v>
          </cell>
          <cell r="AD314" t="str">
            <v>N/A</v>
          </cell>
          <cell r="AE314">
            <v>476170</v>
          </cell>
          <cell r="AF314">
            <v>476170</v>
          </cell>
          <cell r="AG314">
            <v>476170</v>
          </cell>
          <cell r="AH314">
            <v>476170</v>
          </cell>
          <cell r="AI314">
            <v>471319</v>
          </cell>
          <cell r="AJ314">
            <v>0</v>
          </cell>
          <cell r="AK314">
            <v>2375999</v>
          </cell>
          <cell r="AL314">
            <v>11903734</v>
          </cell>
          <cell r="AM314">
            <v>1364124.0785358292</v>
          </cell>
          <cell r="AN314">
            <v>-315543.51999999996</v>
          </cell>
          <cell r="AO314">
            <v>2556473.74859697</v>
          </cell>
          <cell r="AP314">
            <v>0</v>
          </cell>
          <cell r="AQ314">
            <v>-180474.48000000004</v>
          </cell>
          <cell r="AR314">
            <v>0</v>
          </cell>
          <cell r="AS314">
            <v>0</v>
          </cell>
          <cell r="AT314">
            <v>15328313.827132799</v>
          </cell>
          <cell r="AU314">
            <v>3.5903834371338485E-4</v>
          </cell>
          <cell r="AV314">
            <v>0</v>
          </cell>
          <cell r="AW314">
            <v>0</v>
          </cell>
          <cell r="AY314">
            <v>0</v>
          </cell>
          <cell r="AZ314">
            <v>0</v>
          </cell>
          <cell r="BA314">
            <v>0</v>
          </cell>
          <cell r="BB314">
            <v>0</v>
          </cell>
          <cell r="BC314">
            <v>0</v>
          </cell>
          <cell r="BD314">
            <v>0</v>
          </cell>
          <cell r="BE314">
            <v>0</v>
          </cell>
          <cell r="BF314">
            <v>0</v>
          </cell>
          <cell r="BG314">
            <v>0</v>
          </cell>
          <cell r="BH314">
            <v>0</v>
          </cell>
          <cell r="BJ314">
            <v>0</v>
          </cell>
          <cell r="BL314">
            <v>0</v>
          </cell>
          <cell r="BM314">
            <v>0</v>
          </cell>
          <cell r="BN314">
            <v>0</v>
          </cell>
          <cell r="BO314">
            <v>0</v>
          </cell>
          <cell r="BQ314">
            <v>0</v>
          </cell>
          <cell r="BR314">
            <v>0</v>
          </cell>
          <cell r="BS314">
            <v>0</v>
          </cell>
          <cell r="BT314">
            <v>0</v>
          </cell>
          <cell r="CB314">
            <v>0</v>
          </cell>
          <cell r="CC314">
            <v>0</v>
          </cell>
          <cell r="CD314">
            <v>0</v>
          </cell>
          <cell r="CE314">
            <v>0</v>
          </cell>
          <cell r="CF314">
            <v>0</v>
          </cell>
          <cell r="CI314">
            <v>0</v>
          </cell>
          <cell r="CJ314">
            <v>0</v>
          </cell>
          <cell r="CK314">
            <v>0</v>
          </cell>
          <cell r="CV314">
            <v>3.5234750822913259E-4</v>
          </cell>
          <cell r="DG314">
            <v>15328314</v>
          </cell>
          <cell r="DR314">
            <v>5413019.1199999982</v>
          </cell>
          <cell r="EC314">
            <v>2.8317494655367121</v>
          </cell>
          <cell r="EN314">
            <v>2.4095909012463064E-2</v>
          </cell>
        </row>
        <row r="315">
          <cell r="B315">
            <v>98131</v>
          </cell>
          <cell r="C315" t="str">
            <v>TOWN OF LAKE LURE</v>
          </cell>
          <cell r="D315">
            <v>9.9225079978338215E-5</v>
          </cell>
          <cell r="E315">
            <v>171682.52457519859</v>
          </cell>
          <cell r="F315">
            <v>133864.80166237435</v>
          </cell>
          <cell r="G315">
            <v>15977</v>
          </cell>
          <cell r="H315">
            <v>-47905.524802831984</v>
          </cell>
          <cell r="I315">
            <v>-1982.421004389369</v>
          </cell>
          <cell r="J315">
            <v>144876.03212857241</v>
          </cell>
          <cell r="K315">
            <v>0</v>
          </cell>
          <cell r="L315">
            <v>-7612.0272347799328</v>
          </cell>
          <cell r="M315">
            <v>1366.0328331750522</v>
          </cell>
          <cell r="N315">
            <v>51.495832007157965</v>
          </cell>
          <cell r="O315">
            <v>-23.239505981726595</v>
          </cell>
          <cell r="P315">
            <v>0</v>
          </cell>
          <cell r="Q315">
            <v>0</v>
          </cell>
          <cell r="R315">
            <v>0</v>
          </cell>
          <cell r="S315">
            <v>410294.67448334448</v>
          </cell>
          <cell r="T315">
            <v>79884.100000000006</v>
          </cell>
          <cell r="U315">
            <v>724380.16064286197</v>
          </cell>
          <cell r="V315">
            <v>5464.131332700209</v>
          </cell>
          <cell r="W315">
            <v>0</v>
          </cell>
          <cell r="X315">
            <v>809728.3919755622</v>
          </cell>
          <cell r="Y315">
            <v>0</v>
          </cell>
          <cell r="Z315">
            <v>0</v>
          </cell>
          <cell r="AA315">
            <v>0</v>
          </cell>
          <cell r="AB315">
            <v>9912.1050219468452</v>
          </cell>
          <cell r="AC315">
            <v>9912.1050219468452</v>
          </cell>
          <cell r="AD315" t="str">
            <v>N/A</v>
          </cell>
          <cell r="AE315">
            <v>160237</v>
          </cell>
          <cell r="AF315">
            <v>160237</v>
          </cell>
          <cell r="AG315">
            <v>160237</v>
          </cell>
          <cell r="AH315">
            <v>160237</v>
          </cell>
          <cell r="AI315">
            <v>158871</v>
          </cell>
          <cell r="AJ315">
            <v>0</v>
          </cell>
          <cell r="AK315">
            <v>799819</v>
          </cell>
          <cell r="AL315">
            <v>3199476</v>
          </cell>
          <cell r="AM315">
            <v>410294.67448334448</v>
          </cell>
          <cell r="AN315">
            <v>-92959.1</v>
          </cell>
          <cell r="AO315">
            <v>719932.1869536154</v>
          </cell>
          <cell r="AP315">
            <v>0</v>
          </cell>
          <cell r="AQ315">
            <v>79884.100000000006</v>
          </cell>
          <cell r="AR315">
            <v>0</v>
          </cell>
          <cell r="AS315">
            <v>0</v>
          </cell>
          <cell r="AT315">
            <v>4316627.8614369594</v>
          </cell>
          <cell r="AU315">
            <v>9.6502026993711769E-5</v>
          </cell>
          <cell r="AV315">
            <v>0</v>
          </cell>
          <cell r="AW315">
            <v>0</v>
          </cell>
          <cell r="AY315">
            <v>0</v>
          </cell>
          <cell r="AZ315">
            <v>0</v>
          </cell>
          <cell r="BA315">
            <v>0</v>
          </cell>
          <cell r="BB315">
            <v>0</v>
          </cell>
          <cell r="BC315">
            <v>0</v>
          </cell>
          <cell r="BD315">
            <v>0</v>
          </cell>
          <cell r="BE315">
            <v>0</v>
          </cell>
          <cell r="BF315">
            <v>0</v>
          </cell>
          <cell r="BG315">
            <v>0</v>
          </cell>
          <cell r="BH315">
            <v>0</v>
          </cell>
          <cell r="BJ315">
            <v>0</v>
          </cell>
          <cell r="BL315">
            <v>0</v>
          </cell>
          <cell r="BM315">
            <v>0</v>
          </cell>
          <cell r="BN315">
            <v>0</v>
          </cell>
          <cell r="BO315">
            <v>0</v>
          </cell>
          <cell r="BQ315">
            <v>0</v>
          </cell>
          <cell r="BR315">
            <v>0</v>
          </cell>
          <cell r="BS315">
            <v>0</v>
          </cell>
          <cell r="BT315">
            <v>0</v>
          </cell>
          <cell r="CB315">
            <v>0</v>
          </cell>
          <cell r="CC315">
            <v>0</v>
          </cell>
          <cell r="CD315">
            <v>0</v>
          </cell>
          <cell r="CE315">
            <v>0</v>
          </cell>
          <cell r="CF315">
            <v>0</v>
          </cell>
          <cell r="CI315">
            <v>0</v>
          </cell>
          <cell r="CJ315">
            <v>0</v>
          </cell>
          <cell r="CK315">
            <v>0</v>
          </cell>
          <cell r="CV315">
            <v>9.9225079978338215E-5</v>
          </cell>
          <cell r="DG315">
            <v>4316628</v>
          </cell>
          <cell r="DR315">
            <v>1643984.0100000002</v>
          </cell>
          <cell r="EC315">
            <v>2.625711669786861</v>
          </cell>
          <cell r="EN315">
            <v>2.4095909012463064E-2</v>
          </cell>
        </row>
        <row r="316">
          <cell r="B316">
            <v>99401</v>
          </cell>
          <cell r="C316" t="str">
            <v>WASHINGTON COUNTY</v>
          </cell>
          <cell r="D316">
            <v>3.0393401755955164E-4</v>
          </cell>
          <cell r="E316">
            <v>525876.71836896474</v>
          </cell>
          <cell r="F316">
            <v>410038.13741384877</v>
          </cell>
          <cell r="G316">
            <v>-33120</v>
          </cell>
          <cell r="H316">
            <v>-146738.29055922237</v>
          </cell>
          <cell r="I316">
            <v>-6072.3073288531441</v>
          </cell>
          <cell r="J316">
            <v>443766.37945302197</v>
          </cell>
          <cell r="K316">
            <v>0</v>
          </cell>
          <cell r="L316">
            <v>-23316.222267036323</v>
          </cell>
          <cell r="M316">
            <v>4184.2631640688924</v>
          </cell>
          <cell r="N316">
            <v>157.73567643305611</v>
          </cell>
          <cell r="O316">
            <v>-71.184386252622588</v>
          </cell>
          <cell r="P316">
            <v>0</v>
          </cell>
          <cell r="Q316">
            <v>0</v>
          </cell>
          <cell r="R316">
            <v>0</v>
          </cell>
          <cell r="S316">
            <v>1174705.2295349727</v>
          </cell>
          <cell r="T316">
            <v>41421.440000000002</v>
          </cell>
          <cell r="U316">
            <v>2218831.8972651102</v>
          </cell>
          <cell r="V316">
            <v>16737.052656275569</v>
          </cell>
          <cell r="W316">
            <v>0</v>
          </cell>
          <cell r="X316">
            <v>2276990.3899213858</v>
          </cell>
          <cell r="Y316">
            <v>207021</v>
          </cell>
          <cell r="Z316">
            <v>0</v>
          </cell>
          <cell r="AA316">
            <v>0</v>
          </cell>
          <cell r="AB316">
            <v>30361.536644265718</v>
          </cell>
          <cell r="AC316">
            <v>237382.53664426573</v>
          </cell>
          <cell r="AD316" t="str">
            <v>N/A</v>
          </cell>
          <cell r="AE316">
            <v>408758</v>
          </cell>
          <cell r="AF316">
            <v>408758</v>
          </cell>
          <cell r="AG316">
            <v>408758</v>
          </cell>
          <cell r="AH316">
            <v>408758</v>
          </cell>
          <cell r="AI316">
            <v>404574</v>
          </cell>
          <cell r="AJ316">
            <v>0</v>
          </cell>
          <cell r="AK316">
            <v>2039606</v>
          </cell>
          <cell r="AL316">
            <v>10325203</v>
          </cell>
          <cell r="AM316">
            <v>1174705.2295349727</v>
          </cell>
          <cell r="AN316">
            <v>-317353.44</v>
          </cell>
          <cell r="AO316">
            <v>2205207.4132771199</v>
          </cell>
          <cell r="AP316">
            <v>0</v>
          </cell>
          <cell r="AQ316">
            <v>-165599.56</v>
          </cell>
          <cell r="AR316">
            <v>0</v>
          </cell>
          <cell r="AS316">
            <v>0</v>
          </cell>
          <cell r="AT316">
            <v>13222162.642812092</v>
          </cell>
          <cell r="AU316">
            <v>3.1142695851709573E-4</v>
          </cell>
          <cell r="AV316">
            <v>0</v>
          </cell>
          <cell r="AW316">
            <v>0</v>
          </cell>
          <cell r="AY316">
            <v>0</v>
          </cell>
          <cell r="AZ316">
            <v>0</v>
          </cell>
          <cell r="BA316">
            <v>0</v>
          </cell>
          <cell r="BB316">
            <v>0</v>
          </cell>
          <cell r="BC316">
            <v>0</v>
          </cell>
          <cell r="BD316">
            <v>0</v>
          </cell>
          <cell r="BE316">
            <v>0</v>
          </cell>
          <cell r="BF316">
            <v>0</v>
          </cell>
          <cell r="BG316">
            <v>0</v>
          </cell>
          <cell r="BH316">
            <v>0</v>
          </cell>
          <cell r="BJ316">
            <v>0</v>
          </cell>
          <cell r="BL316">
            <v>0</v>
          </cell>
          <cell r="BM316">
            <v>0</v>
          </cell>
          <cell r="BN316">
            <v>0</v>
          </cell>
          <cell r="BO316">
            <v>0</v>
          </cell>
          <cell r="BQ316">
            <v>0</v>
          </cell>
          <cell r="BR316">
            <v>0</v>
          </cell>
          <cell r="BS316">
            <v>0</v>
          </cell>
          <cell r="BT316">
            <v>0</v>
          </cell>
          <cell r="CB316">
            <v>0</v>
          </cell>
          <cell r="CC316">
            <v>0</v>
          </cell>
          <cell r="CD316">
            <v>0</v>
          </cell>
          <cell r="CE316">
            <v>0</v>
          </cell>
          <cell r="CF316">
            <v>0</v>
          </cell>
          <cell r="CI316">
            <v>0</v>
          </cell>
          <cell r="CJ316">
            <v>0</v>
          </cell>
          <cell r="CK316">
            <v>0</v>
          </cell>
          <cell r="CV316">
            <v>3.0393401755955164E-4</v>
          </cell>
          <cell r="DG316">
            <v>13222163</v>
          </cell>
          <cell r="DR316">
            <v>5152816.6399999987</v>
          </cell>
          <cell r="EC316">
            <v>2.5660068897774719</v>
          </cell>
          <cell r="EN316">
            <v>2.4095909012463064E-2</v>
          </cell>
        </row>
        <row r="317">
          <cell r="B317">
            <v>99521</v>
          </cell>
          <cell r="C317" t="str">
            <v>TOWN OF BLOWING ROCK</v>
          </cell>
          <cell r="D317">
            <v>1.3525538694290887E-4</v>
          </cell>
          <cell r="E317">
            <v>234023.35677455043</v>
          </cell>
          <cell r="F317">
            <v>182473.37821075972</v>
          </cell>
          <cell r="G317">
            <v>-56873</v>
          </cell>
          <cell r="H317">
            <v>-65300.832161835402</v>
          </cell>
          <cell r="I317">
            <v>-2702.2716443359905</v>
          </cell>
          <cell r="J317">
            <v>197482.97293971636</v>
          </cell>
          <cell r="K317">
            <v>0</v>
          </cell>
          <cell r="L317">
            <v>-10376.083237069548</v>
          </cell>
          <cell r="M317">
            <v>1862.0624893237209</v>
          </cell>
          <cell r="N317">
            <v>70.194840715630846</v>
          </cell>
          <cell r="O317">
            <v>-31.678164175898686</v>
          </cell>
          <cell r="P317">
            <v>0</v>
          </cell>
          <cell r="Q317">
            <v>0</v>
          </cell>
          <cell r="R317">
            <v>0</v>
          </cell>
          <cell r="S317">
            <v>480628.100047649</v>
          </cell>
          <cell r="T317">
            <v>4920.0599999999977</v>
          </cell>
          <cell r="U317">
            <v>987414.86469858186</v>
          </cell>
          <cell r="V317">
            <v>7448.2499572948836</v>
          </cell>
          <cell r="W317">
            <v>0</v>
          </cell>
          <cell r="X317">
            <v>999783.17465587682</v>
          </cell>
          <cell r="Y317">
            <v>289284</v>
          </cell>
          <cell r="Z317">
            <v>0</v>
          </cell>
          <cell r="AA317">
            <v>0</v>
          </cell>
          <cell r="AB317">
            <v>13511.358221679951</v>
          </cell>
          <cell r="AC317">
            <v>302795.35822167993</v>
          </cell>
          <cell r="AD317" t="str">
            <v>N/A</v>
          </cell>
          <cell r="AE317">
            <v>139770</v>
          </cell>
          <cell r="AF317">
            <v>139770</v>
          </cell>
          <cell r="AG317">
            <v>139770</v>
          </cell>
          <cell r="AH317">
            <v>139770</v>
          </cell>
          <cell r="AI317">
            <v>137908</v>
          </cell>
          <cell r="AJ317">
            <v>0</v>
          </cell>
          <cell r="AK317">
            <v>696988</v>
          </cell>
          <cell r="AL317">
            <v>4831465</v>
          </cell>
          <cell r="AM317">
            <v>480628.100047649</v>
          </cell>
          <cell r="AN317">
            <v>-125012.06</v>
          </cell>
          <cell r="AO317">
            <v>981351.75643419684</v>
          </cell>
          <cell r="AP317">
            <v>0</v>
          </cell>
          <cell r="AQ317">
            <v>-284363.94</v>
          </cell>
          <cell r="AR317">
            <v>0</v>
          </cell>
          <cell r="AS317">
            <v>0</v>
          </cell>
          <cell r="AT317">
            <v>5884068.8564818455</v>
          </cell>
          <cell r="AU317">
            <v>1.4572579770305455E-4</v>
          </cell>
          <cell r="AV317">
            <v>0</v>
          </cell>
          <cell r="AW317">
            <v>0</v>
          </cell>
          <cell r="AY317">
            <v>0</v>
          </cell>
          <cell r="AZ317">
            <v>0</v>
          </cell>
          <cell r="BA317">
            <v>0</v>
          </cell>
          <cell r="BB317">
            <v>0</v>
          </cell>
          <cell r="BC317">
            <v>0</v>
          </cell>
          <cell r="BD317">
            <v>0</v>
          </cell>
          <cell r="BE317">
            <v>0</v>
          </cell>
          <cell r="BF317">
            <v>0</v>
          </cell>
          <cell r="BG317">
            <v>0</v>
          </cell>
          <cell r="BH317">
            <v>0</v>
          </cell>
          <cell r="BJ317">
            <v>0</v>
          </cell>
          <cell r="BL317">
            <v>0</v>
          </cell>
          <cell r="BM317">
            <v>0</v>
          </cell>
          <cell r="BN317">
            <v>0</v>
          </cell>
          <cell r="BO317">
            <v>0</v>
          </cell>
          <cell r="BQ317">
            <v>0</v>
          </cell>
          <cell r="BR317">
            <v>0</v>
          </cell>
          <cell r="BS317">
            <v>0</v>
          </cell>
          <cell r="BT317">
            <v>0</v>
          </cell>
          <cell r="CB317">
            <v>0</v>
          </cell>
          <cell r="CC317">
            <v>0</v>
          </cell>
          <cell r="CD317">
            <v>0</v>
          </cell>
          <cell r="CE317">
            <v>0</v>
          </cell>
          <cell r="CF317">
            <v>0</v>
          </cell>
          <cell r="CI317">
            <v>0</v>
          </cell>
          <cell r="CJ317">
            <v>0</v>
          </cell>
          <cell r="CK317">
            <v>0</v>
          </cell>
          <cell r="CV317">
            <v>1.3525538694290887E-4</v>
          </cell>
          <cell r="DG317">
            <v>5884069</v>
          </cell>
          <cell r="DR317">
            <v>1946333.6400000004</v>
          </cell>
          <cell r="EC317">
            <v>3.0231553722721447</v>
          </cell>
          <cell r="EN317">
            <v>2.4095909012463064E-2</v>
          </cell>
        </row>
        <row r="318">
          <cell r="B318">
            <v>99831</v>
          </cell>
          <cell r="C318" t="str">
            <v>TOWN OF BLACK CREEK</v>
          </cell>
          <cell r="D318">
            <v>1.7238230840836887E-5</v>
          </cell>
          <cell r="E318">
            <v>29826.158775694741</v>
          </cell>
          <cell r="F318">
            <v>23256.140010394789</v>
          </cell>
          <cell r="G318">
            <v>3924</v>
          </cell>
          <cell r="H318">
            <v>-8322.5581202145277</v>
          </cell>
          <cell r="I318">
            <v>-344.40315800045761</v>
          </cell>
          <cell r="J318">
            <v>25169.105287514409</v>
          </cell>
          <cell r="K318">
            <v>0</v>
          </cell>
          <cell r="L318">
            <v>-1322.4265746978474</v>
          </cell>
          <cell r="M318">
            <v>237.31892500943033</v>
          </cell>
          <cell r="N318">
            <v>8.9462970417775267</v>
          </cell>
          <cell r="O318">
            <v>-4.0373660452324076</v>
          </cell>
          <cell r="P318">
            <v>0</v>
          </cell>
          <cell r="Q318">
            <v>0</v>
          </cell>
          <cell r="R318">
            <v>0</v>
          </cell>
          <cell r="S318">
            <v>72428.244076697083</v>
          </cell>
          <cell r="T318">
            <v>19617.890000000003</v>
          </cell>
          <cell r="U318">
            <v>125845.52643757204</v>
          </cell>
          <cell r="V318">
            <v>949.27570003772132</v>
          </cell>
          <cell r="W318">
            <v>0</v>
          </cell>
          <cell r="X318">
            <v>146412.69213760976</v>
          </cell>
          <cell r="Y318">
            <v>0</v>
          </cell>
          <cell r="Z318">
            <v>0</v>
          </cell>
          <cell r="AA318">
            <v>0</v>
          </cell>
          <cell r="AB318">
            <v>1722.015790002288</v>
          </cell>
          <cell r="AC318">
            <v>1722.015790002288</v>
          </cell>
          <cell r="AD318" t="str">
            <v>N/A</v>
          </cell>
          <cell r="AE318">
            <v>28986</v>
          </cell>
          <cell r="AF318">
            <v>28986</v>
          </cell>
          <cell r="AG318">
            <v>28986</v>
          </cell>
          <cell r="AH318">
            <v>28986</v>
          </cell>
          <cell r="AI318">
            <v>28749</v>
          </cell>
          <cell r="AJ318">
            <v>0</v>
          </cell>
          <cell r="AK318">
            <v>144693</v>
          </cell>
          <cell r="AL318">
            <v>552369</v>
          </cell>
          <cell r="AM318">
            <v>72428.244076697083</v>
          </cell>
          <cell r="AN318">
            <v>-19565.890000000003</v>
          </cell>
          <cell r="AO318">
            <v>125072.78634760749</v>
          </cell>
          <cell r="AP318">
            <v>0</v>
          </cell>
          <cell r="AQ318">
            <v>19617.890000000003</v>
          </cell>
          <cell r="AR318">
            <v>0</v>
          </cell>
          <cell r="AS318">
            <v>0</v>
          </cell>
          <cell r="AT318">
            <v>749922.03042430454</v>
          </cell>
          <cell r="AU318">
            <v>1.6660467659682047E-5</v>
          </cell>
          <cell r="AV318">
            <v>0</v>
          </cell>
          <cell r="AW318">
            <v>0</v>
          </cell>
          <cell r="AY318">
            <v>0</v>
          </cell>
          <cell r="AZ318">
            <v>0</v>
          </cell>
          <cell r="BA318">
            <v>0</v>
          </cell>
          <cell r="BB318">
            <v>0</v>
          </cell>
          <cell r="BC318">
            <v>0</v>
          </cell>
          <cell r="BD318">
            <v>0</v>
          </cell>
          <cell r="BE318">
            <v>0</v>
          </cell>
          <cell r="BF318">
            <v>0</v>
          </cell>
          <cell r="BG318">
            <v>0</v>
          </cell>
          <cell r="BH318">
            <v>0</v>
          </cell>
          <cell r="BJ318">
            <v>0</v>
          </cell>
          <cell r="BL318">
            <v>0</v>
          </cell>
          <cell r="BM318">
            <v>0</v>
          </cell>
          <cell r="BN318">
            <v>0</v>
          </cell>
          <cell r="BO318">
            <v>0</v>
          </cell>
          <cell r="BQ318">
            <v>0</v>
          </cell>
          <cell r="BR318">
            <v>0</v>
          </cell>
          <cell r="BS318">
            <v>0</v>
          </cell>
          <cell r="BT318">
            <v>0</v>
          </cell>
          <cell r="CB318">
            <v>0</v>
          </cell>
          <cell r="CC318">
            <v>0</v>
          </cell>
          <cell r="CD318">
            <v>0</v>
          </cell>
          <cell r="CE318">
            <v>0</v>
          </cell>
          <cell r="CF318">
            <v>0</v>
          </cell>
          <cell r="CI318">
            <v>0</v>
          </cell>
          <cell r="CJ318">
            <v>0</v>
          </cell>
          <cell r="CK318">
            <v>0</v>
          </cell>
          <cell r="CV318">
            <v>1.7238230840836887E-5</v>
          </cell>
          <cell r="DG318">
            <v>749922</v>
          </cell>
          <cell r="DR318">
            <v>277867.58999999997</v>
          </cell>
          <cell r="EC318">
            <v>2.6988465981225089</v>
          </cell>
          <cell r="EN318">
            <v>2.4095909012463064E-2</v>
          </cell>
        </row>
      </sheetData>
      <sheetData sheetId="24"/>
      <sheetData sheetId="25"/>
      <sheetData sheetId="26"/>
      <sheetData sheetId="27">
        <row r="4">
          <cell r="D4">
            <v>2</v>
          </cell>
        </row>
        <row r="7">
          <cell r="D7" t="str">
            <v>North Carolina State Health Plan</v>
          </cell>
        </row>
        <row r="8">
          <cell r="D8" t="str">
            <v>SHPNC</v>
          </cell>
        </row>
        <row r="9">
          <cell r="D9" t="str">
            <v>Client_GASB</v>
          </cell>
        </row>
        <row r="10">
          <cell r="D10" t="str">
            <v>Committee on Actuarial Valuation of Retired Employees' Health Benefits (OPEB)\nState of North Carolina</v>
          </cell>
        </row>
        <row r="11">
          <cell r="D11" t="str">
            <v>4901 Glenwood Avenue, Suite 300</v>
          </cell>
        </row>
        <row r="12">
          <cell r="D12" t="str">
            <v>Raleigh, North Carolina 27612</v>
          </cell>
        </row>
        <row r="17">
          <cell r="D17" t="str">
            <v>Kenneth C. Vieira</v>
          </cell>
        </row>
        <row r="18">
          <cell r="D18" t="str">
            <v>Senior Vice President and Actuary</v>
          </cell>
        </row>
        <row r="19">
          <cell r="D19" t="str">
            <v>FCA, FSA, MAAA</v>
          </cell>
        </row>
        <row r="20">
          <cell r="D20" t="str">
            <v>MAP</v>
          </cell>
        </row>
        <row r="21">
          <cell r="D21" t="str">
            <v>DAB</v>
          </cell>
        </row>
        <row r="22">
          <cell r="D22" t="str">
            <v>David A. Berger, FCA, ASA, MAAA, EA</v>
          </cell>
        </row>
        <row r="23">
          <cell r="D23" t="str">
            <v>Vice President and Associate Actuary</v>
          </cell>
        </row>
        <row r="24">
          <cell r="D24" t="str">
            <v>Atlanta</v>
          </cell>
        </row>
        <row r="30">
          <cell r="D30">
            <v>42551</v>
          </cell>
          <cell r="E30">
            <v>42185</v>
          </cell>
        </row>
        <row r="31">
          <cell r="D31">
            <v>42551</v>
          </cell>
          <cell r="E31">
            <v>42185</v>
          </cell>
          <cell r="F31">
            <v>41820</v>
          </cell>
        </row>
        <row r="32">
          <cell r="D32">
            <v>42369</v>
          </cell>
          <cell r="E32">
            <v>42004</v>
          </cell>
        </row>
        <row r="33">
          <cell r="D33">
            <v>42369</v>
          </cell>
          <cell r="E33">
            <v>42004</v>
          </cell>
        </row>
        <row r="34">
          <cell r="F34" t="b">
            <v>0</v>
          </cell>
        </row>
        <row r="36">
          <cell r="D36">
            <v>0.5</v>
          </cell>
        </row>
        <row r="37">
          <cell r="D37">
            <v>0.5</v>
          </cell>
          <cell r="F37">
            <v>0.5</v>
          </cell>
        </row>
        <row r="38">
          <cell r="D38">
            <v>3.5000000000000003E-2</v>
          </cell>
          <cell r="E38">
            <v>3.5000000000000003E-2</v>
          </cell>
        </row>
        <row r="39">
          <cell r="D39">
            <v>4.4999999999999998E-2</v>
          </cell>
          <cell r="E39">
            <v>4.4999999999999998E-2</v>
          </cell>
        </row>
        <row r="40">
          <cell r="D40">
            <v>0</v>
          </cell>
        </row>
        <row r="41">
          <cell r="D41">
            <v>0</v>
          </cell>
        </row>
        <row r="47">
          <cell r="D47">
            <v>3.7999999999999999E-2</v>
          </cell>
          <cell r="E47">
            <v>2.8500000000000001E-2</v>
          </cell>
          <cell r="F47">
            <v>2.8500000000000001E-2</v>
          </cell>
          <cell r="G47">
            <v>3.85E-2</v>
          </cell>
          <cell r="H47">
            <v>1.8499999999999999E-2</v>
          </cell>
          <cell r="I47">
            <v>3.7999999999999999E-2</v>
          </cell>
        </row>
        <row r="52">
          <cell r="D52">
            <v>42916</v>
          </cell>
          <cell r="E52">
            <v>42551</v>
          </cell>
        </row>
        <row r="53">
          <cell r="E53">
            <v>7.2499999999999995E-2</v>
          </cell>
        </row>
        <row r="54">
          <cell r="D54">
            <v>6</v>
          </cell>
        </row>
        <row r="65">
          <cell r="D65">
            <v>1</v>
          </cell>
        </row>
        <row r="75">
          <cell r="K75" t="str">
            <v>Atlanta</v>
          </cell>
          <cell r="L75" t="str">
            <v>2018 Powers Ferry Road, Suite 850</v>
          </cell>
          <cell r="M75" t="str">
            <v>Atlanta, GA  30339</v>
          </cell>
          <cell r="N75" t="str">
            <v>678.306.3100</v>
          </cell>
          <cell r="O75" t="str">
            <v>678-669-1887</v>
          </cell>
        </row>
        <row r="76">
          <cell r="K76" t="str">
            <v>Boston</v>
          </cell>
          <cell r="L76" t="str">
            <v>116 Huntington Ave., 8th Floor</v>
          </cell>
          <cell r="M76" t="str">
            <v>Boston, MA  02116</v>
          </cell>
          <cell r="N76" t="str">
            <v>617.424.7300</v>
          </cell>
          <cell r="O76" t="str">
            <v>617.904.1833</v>
          </cell>
        </row>
        <row r="77">
          <cell r="K77" t="str">
            <v>Chicago</v>
          </cell>
          <cell r="L77" t="str">
            <v>101 North Wacker Drive, Suite 500</v>
          </cell>
          <cell r="M77" t="str">
            <v>Chicago, IL  60606</v>
          </cell>
          <cell r="N77" t="str">
            <v>312.984.8500</v>
          </cell>
          <cell r="O77" t="str">
            <v>312.896.9364</v>
          </cell>
        </row>
        <row r="78">
          <cell r="K78" t="str">
            <v>Cleveland</v>
          </cell>
          <cell r="L78" t="str">
            <v>1300 East Ninth Street, Suite 1900</v>
          </cell>
          <cell r="M78" t="str">
            <v>Cleveland, OH  44114</v>
          </cell>
          <cell r="N78" t="str">
            <v>216.687.4400</v>
          </cell>
          <cell r="O78" t="str">
            <v>216.916.4320</v>
          </cell>
        </row>
        <row r="79">
          <cell r="K79" t="str">
            <v>Denver</v>
          </cell>
          <cell r="L79" t="str">
            <v>5990 Greenwood Plaza Blvd., Suite 118</v>
          </cell>
          <cell r="M79" t="str">
            <v>Greenwood Village, CO  80111</v>
          </cell>
          <cell r="N79" t="str">
            <v>303.714.9900</v>
          </cell>
          <cell r="O79" t="str">
            <v>303.223.9234</v>
          </cell>
        </row>
        <row r="80">
          <cell r="K80" t="str">
            <v>Detroit</v>
          </cell>
          <cell r="L80" t="str">
            <v>40701 Woodward Avenue, Suite 100</v>
          </cell>
          <cell r="M80" t="str">
            <v>Bloomfield Hills, MI 48304-5078</v>
          </cell>
          <cell r="N80" t="str">
            <v>248.530.6370</v>
          </cell>
          <cell r="O80" t="str">
            <v>248.562.3223</v>
          </cell>
        </row>
        <row r="81">
          <cell r="K81" t="str">
            <v>Hartford</v>
          </cell>
          <cell r="L81" t="str">
            <v>30 Waterside Drive, Suite 300</v>
          </cell>
          <cell r="M81" t="str">
            <v>Farmington, CT  06032</v>
          </cell>
          <cell r="N81" t="str">
            <v>860.678.3000</v>
          </cell>
          <cell r="O81" t="str">
            <v>860.371.3429</v>
          </cell>
        </row>
        <row r="82">
          <cell r="K82" t="str">
            <v>Houston</v>
          </cell>
          <cell r="L82" t="str">
            <v>10740 North Gessner Drive, Suite 320</v>
          </cell>
          <cell r="M82" t="str">
            <v>Houston, TX  77064-1187</v>
          </cell>
          <cell r="N82" t="str">
            <v xml:space="preserve">281.671.5600 </v>
          </cell>
          <cell r="O82" t="str">
            <v>281.754.4722</v>
          </cell>
        </row>
        <row r="83">
          <cell r="K83" t="str">
            <v>Los Angeles</v>
          </cell>
          <cell r="L83" t="str">
            <v>330 North Brand Boulevard, Suite 1100</v>
          </cell>
          <cell r="M83" t="str">
            <v>Glendale, CA  91203</v>
          </cell>
          <cell r="N83" t="str">
            <v>818.956.6700</v>
          </cell>
          <cell r="O83" t="str">
            <v>818.484.2697</v>
          </cell>
        </row>
        <row r="84">
          <cell r="K84" t="str">
            <v>Minneapolis</v>
          </cell>
          <cell r="L84" t="str">
            <v>3800 American Boulevard West, Suite 870</v>
          </cell>
          <cell r="M84" t="str">
            <v>Bloomington, MN  55431</v>
          </cell>
          <cell r="N84" t="str">
            <v>952.259.2600</v>
          </cell>
          <cell r="O84" t="str">
            <v>952.487.0476</v>
          </cell>
        </row>
        <row r="85">
          <cell r="K85" t="str">
            <v>New Orleans</v>
          </cell>
          <cell r="L85" t="str">
            <v>P.O. Box 56268</v>
          </cell>
          <cell r="M85" t="str">
            <v>Metairie, LA  70055</v>
          </cell>
          <cell r="N85" t="str">
            <v>504.483.0744</v>
          </cell>
          <cell r="O85" t="str">
            <v>504.483.0771</v>
          </cell>
        </row>
        <row r="86">
          <cell r="K86" t="str">
            <v>New York</v>
          </cell>
          <cell r="L86" t="str">
            <v>333 West 34th Street</v>
          </cell>
          <cell r="M86" t="str">
            <v>New York, NY  10001</v>
          </cell>
          <cell r="N86" t="str">
            <v>212.251.5000</v>
          </cell>
          <cell r="O86" t="str">
            <v>646.365.3243</v>
          </cell>
        </row>
        <row r="87">
          <cell r="K87" t="str">
            <v>Philadelphia</v>
          </cell>
          <cell r="L87" t="str">
            <v>Two Penn Center, 1500 JFK Boulevard, Suite 200</v>
          </cell>
          <cell r="M87" t="str">
            <v>Philadelphia, PA 19102-1706</v>
          </cell>
          <cell r="N87" t="str">
            <v>215.854.4017</v>
          </cell>
          <cell r="O87" t="str">
            <v>215.854.4018</v>
          </cell>
        </row>
        <row r="88">
          <cell r="K88" t="str">
            <v>Phoenix</v>
          </cell>
          <cell r="L88" t="str">
            <v>1230 W Washington Street, Suite 501</v>
          </cell>
          <cell r="M88" t="str">
            <v>Tempe, AZ  85281</v>
          </cell>
          <cell r="N88" t="str">
            <v>602.381.4000</v>
          </cell>
          <cell r="O88" t="str">
            <v>602.532.7654</v>
          </cell>
        </row>
        <row r="89">
          <cell r="K89" t="str">
            <v>San Francisco</v>
          </cell>
          <cell r="L89" t="str">
            <v>100 Montgomery Street, Suite 500</v>
          </cell>
          <cell r="M89" t="str">
            <v>San Francisco, CA  94104</v>
          </cell>
          <cell r="N89" t="str">
            <v>415.263.8200</v>
          </cell>
          <cell r="O89" t="str">
            <v>415.376.1167</v>
          </cell>
        </row>
        <row r="90">
          <cell r="K90" t="str">
            <v>Toronto</v>
          </cell>
          <cell r="L90" t="str">
            <v>45 St. Clair Avenue West, Suite 802</v>
          </cell>
          <cell r="M90" t="str">
            <v>Toronto, ONT  M4V 1K9</v>
          </cell>
          <cell r="N90" t="str">
            <v>416.961.3264</v>
          </cell>
          <cell r="O90" t="str">
            <v>416.961.2101</v>
          </cell>
        </row>
        <row r="91">
          <cell r="K91" t="str">
            <v>Washington</v>
          </cell>
          <cell r="L91" t="str">
            <v>1800 M Street NW, Suite 900 S</v>
          </cell>
          <cell r="M91" t="str">
            <v>Washington, DC  20036</v>
          </cell>
          <cell r="N91" t="str">
            <v>202.833.6400</v>
          </cell>
          <cell r="O91" t="str">
            <v>202.330.5694</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low"/>
      <sheetName val="Membership"/>
      <sheetName val="Assets"/>
      <sheetName val="Assets Input"/>
      <sheetName val="Liabilities"/>
      <sheetName val="Liabilities Input"/>
      <sheetName val="Results"/>
      <sheetName val="GainLoss"/>
      <sheetName val="Reconciliation"/>
      <sheetName val="ProVal GainLoss"/>
      <sheetName val="NPL"/>
      <sheetName val="68 - SFL"/>
      <sheetName val="68 - SFL TPL Reconciliation"/>
      <sheetName val="68 - ER Contributions"/>
      <sheetName val="68 - Allocation Exhibit"/>
      <sheetName val="68 - Allocation Prior"/>
      <sheetName val="68 - Agency Reconciliation"/>
      <sheetName val="68 - Collect Pens Expense"/>
      <sheetName val="68 - Collect Amort Experience"/>
      <sheetName val="68 - Collect Amort Assump"/>
      <sheetName val="68 - Collect Amort AssetRtn"/>
      <sheetName val="68 - Estab New Paragraph 54"/>
      <sheetName val="68 - Estab New Paragraph 55"/>
      <sheetName val="68 - Maintain Outstanding Bases"/>
      <sheetName val="68 - Summary Exhibit"/>
      <sheetName val="68 - Deferred Amortization"/>
      <sheetName val="GASB 68 (JS Check)"/>
      <sheetName val="Report --&gt;"/>
      <sheetName val="Executive Summary"/>
      <sheetName val="Exec Summary Table"/>
      <sheetName val="Table 1"/>
      <sheetName val="Table 2"/>
      <sheetName val="Table 3"/>
      <sheetName val="Table 4"/>
      <sheetName val="Table 5-6"/>
      <sheetName val="Table 7"/>
      <sheetName val="Table 8"/>
      <sheetName val="Table 9"/>
      <sheetName val="Table 10"/>
      <sheetName val="Table 11"/>
      <sheetName val="Table 12"/>
      <sheetName val="Table 13"/>
      <sheetName val="Table 14"/>
      <sheetName val="Table 15"/>
      <sheetName val="Table 16"/>
      <sheetName val="Table 17"/>
      <sheetName val="Table 18"/>
      <sheetName val="Table 19"/>
      <sheetName val="Table 20"/>
      <sheetName val="Table 21"/>
      <sheetName val="Table 22"/>
      <sheetName val="Table 23"/>
      <sheetName val="GASB 25 26 --&gt;"/>
      <sheetName val="GASB 25 27 (1)"/>
      <sheetName val="GASB 25 27 (2)"/>
      <sheetName val="GASB 25 27 (3)"/>
      <sheetName val="GASB 25 27 (4)"/>
      <sheetName val="GASB 67 --&gt;"/>
      <sheetName val="GASB 67 (1.1)"/>
      <sheetName val="GASB 67 (1.2)"/>
      <sheetName val="GASB 67 (3)"/>
    </sheetNames>
    <sheetDataSet>
      <sheetData sheetId="0"/>
      <sheetData sheetId="1"/>
      <sheetData sheetId="2"/>
      <sheetData sheetId="3">
        <row r="39">
          <cell r="L39">
            <v>4249859016</v>
          </cell>
        </row>
        <row r="42">
          <cell r="K42" t="str">
            <v>C</v>
          </cell>
          <cell r="L42">
            <v>329196929</v>
          </cell>
        </row>
        <row r="43">
          <cell r="L43">
            <v>162733483</v>
          </cell>
        </row>
        <row r="44">
          <cell r="L44">
            <v>29528</v>
          </cell>
        </row>
        <row r="45">
          <cell r="K45" t="str">
            <v>C</v>
          </cell>
          <cell r="L45">
            <v>1234415</v>
          </cell>
        </row>
        <row r="46">
          <cell r="K46" t="str">
            <v>C</v>
          </cell>
          <cell r="L46">
            <v>12649523</v>
          </cell>
        </row>
        <row r="47">
          <cell r="L47">
            <v>505843878</v>
          </cell>
        </row>
        <row r="50">
          <cell r="L50">
            <v>272886687</v>
          </cell>
        </row>
        <row r="51">
          <cell r="K51" t="str">
            <v>P</v>
          </cell>
          <cell r="L51">
            <v>48038073</v>
          </cell>
        </row>
        <row r="52">
          <cell r="K52" t="str">
            <v>P</v>
          </cell>
          <cell r="L52">
            <v>3242156</v>
          </cell>
        </row>
        <row r="53">
          <cell r="K53" t="str">
            <v>P</v>
          </cell>
          <cell r="L53">
            <v>21864</v>
          </cell>
        </row>
        <row r="54">
          <cell r="L54">
            <v>324188780</v>
          </cell>
        </row>
        <row r="56">
          <cell r="L56">
            <v>4431514114</v>
          </cell>
        </row>
        <row r="60">
          <cell r="L60">
            <v>15473778789</v>
          </cell>
        </row>
        <row r="65">
          <cell r="L65">
            <v>315973832</v>
          </cell>
        </row>
        <row r="66">
          <cell r="L66">
            <v>70637813</v>
          </cell>
        </row>
        <row r="67">
          <cell r="L67">
            <v>278178</v>
          </cell>
        </row>
        <row r="68">
          <cell r="L68">
            <v>475429</v>
          </cell>
        </row>
        <row r="70">
          <cell r="L70">
            <v>11012485</v>
          </cell>
        </row>
        <row r="71">
          <cell r="L71">
            <v>11130</v>
          </cell>
        </row>
        <row r="72">
          <cell r="K72" t="str">
            <v>C</v>
          </cell>
          <cell r="L72">
            <v>398388867</v>
          </cell>
        </row>
        <row r="74">
          <cell r="L74">
            <v>2388746266</v>
          </cell>
        </row>
        <row r="75">
          <cell r="L75">
            <v>272886687</v>
          </cell>
        </row>
        <row r="76">
          <cell r="K76" t="str">
            <v>C</v>
          </cell>
          <cell r="L76">
            <v>3257736</v>
          </cell>
        </row>
        <row r="77">
          <cell r="K77" t="str">
            <v>C</v>
          </cell>
          <cell r="L77">
            <v>613547</v>
          </cell>
        </row>
        <row r="78">
          <cell r="K78" t="str">
            <v>E</v>
          </cell>
          <cell r="L78">
            <v>815300</v>
          </cell>
        </row>
        <row r="79">
          <cell r="K79" t="str">
            <v>C</v>
          </cell>
          <cell r="L79">
            <v>56441</v>
          </cell>
        </row>
        <row r="80">
          <cell r="K80" t="str">
            <v>E</v>
          </cell>
          <cell r="L80">
            <v>10400</v>
          </cell>
        </row>
        <row r="81">
          <cell r="K81" t="str">
            <v>C</v>
          </cell>
          <cell r="L81">
            <v>139147</v>
          </cell>
        </row>
        <row r="83">
          <cell r="L83">
            <v>3064914391</v>
          </cell>
        </row>
        <row r="86">
          <cell r="K86" t="str">
            <v>P</v>
          </cell>
          <cell r="L86">
            <v>1013743417</v>
          </cell>
        </row>
        <row r="87">
          <cell r="L87">
            <v>29528</v>
          </cell>
        </row>
        <row r="88">
          <cell r="L88">
            <v>162733483</v>
          </cell>
        </row>
        <row r="90">
          <cell r="K90" t="str">
            <v>P</v>
          </cell>
          <cell r="L90">
            <v>3887107</v>
          </cell>
        </row>
        <row r="91">
          <cell r="K91" t="str">
            <v>P</v>
          </cell>
          <cell r="L91">
            <v>19235</v>
          </cell>
        </row>
        <row r="92">
          <cell r="K92" t="str">
            <v>P</v>
          </cell>
          <cell r="L92">
            <v>4322147</v>
          </cell>
        </row>
        <row r="93">
          <cell r="K93" t="str">
            <v>P</v>
          </cell>
          <cell r="L93">
            <v>5989</v>
          </cell>
        </row>
        <row r="94">
          <cell r="K94" t="str">
            <v>P</v>
          </cell>
          <cell r="L94">
            <v>1211288</v>
          </cell>
        </row>
        <row r="95">
          <cell r="L95">
            <v>1185952194</v>
          </cell>
        </row>
      </sheetData>
      <sheetData sheetId="4"/>
      <sheetData sheetId="5"/>
      <sheetData sheetId="6"/>
      <sheetData sheetId="7"/>
      <sheetData sheetId="8"/>
      <sheetData sheetId="9"/>
      <sheetData sheetId="10"/>
      <sheetData sheetId="11"/>
      <sheetData sheetId="12"/>
      <sheetData sheetId="13"/>
      <sheetData sheetId="14">
        <row r="7">
          <cell r="B7">
            <v>70505</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10.bin"/><Relationship Id="rId4" Type="http://schemas.openxmlformats.org/officeDocument/2006/relationships/comments" Target="../comments4.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14.bin"/><Relationship Id="rId4" Type="http://schemas.openxmlformats.org/officeDocument/2006/relationships/comments" Target="../comments7.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15.bin"/><Relationship Id="rId4" Type="http://schemas.openxmlformats.org/officeDocument/2006/relationships/comments" Target="../comments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16.bin"/><Relationship Id="rId4" Type="http://schemas.openxmlformats.org/officeDocument/2006/relationships/comments" Target="../comments9.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8.bin"/><Relationship Id="rId4" Type="http://schemas.openxmlformats.org/officeDocument/2006/relationships/comments" Target="../comments3.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L120"/>
  <sheetViews>
    <sheetView tabSelected="1" zoomScaleNormal="100" workbookViewId="0">
      <selection activeCell="A5" sqref="A5:K7"/>
    </sheetView>
  </sheetViews>
  <sheetFormatPr defaultRowHeight="12.75" x14ac:dyDescent="0.2"/>
  <cols>
    <col min="1" max="1" width="3.28515625" customWidth="1"/>
    <col min="11" max="11" width="17.42578125" customWidth="1"/>
    <col min="12" max="12" width="3.42578125" customWidth="1"/>
  </cols>
  <sheetData>
    <row r="1" spans="1:11" ht="7.5" customHeight="1" x14ac:dyDescent="0.2"/>
    <row r="2" spans="1:11" x14ac:dyDescent="0.2">
      <c r="A2" s="1128" t="s">
        <v>858</v>
      </c>
      <c r="B2" s="1129"/>
      <c r="C2" s="1129"/>
      <c r="D2" s="1129"/>
      <c r="E2" s="1129"/>
      <c r="F2" s="1129"/>
      <c r="G2" s="1129"/>
      <c r="H2" s="1129"/>
      <c r="I2" s="1129"/>
      <c r="J2" s="1129"/>
      <c r="K2" s="1130"/>
    </row>
    <row r="3" spans="1:11" ht="21" customHeight="1" x14ac:dyDescent="0.2">
      <c r="A3" s="1131"/>
      <c r="B3" s="1132"/>
      <c r="C3" s="1132"/>
      <c r="D3" s="1132"/>
      <c r="E3" s="1132"/>
      <c r="F3" s="1132"/>
      <c r="G3" s="1132"/>
      <c r="H3" s="1132"/>
      <c r="I3" s="1132"/>
      <c r="J3" s="1132"/>
      <c r="K3" s="1133"/>
    </row>
    <row r="4" spans="1:11" ht="8.25" customHeight="1" x14ac:dyDescent="0.2"/>
    <row r="5" spans="1:11" x14ac:dyDescent="0.2">
      <c r="A5" s="1126" t="s">
        <v>136</v>
      </c>
      <c r="B5" s="1126"/>
      <c r="C5" s="1126"/>
      <c r="D5" s="1126"/>
      <c r="E5" s="1126"/>
      <c r="F5" s="1126"/>
      <c r="G5" s="1126"/>
      <c r="H5" s="1126"/>
      <c r="I5" s="1126"/>
      <c r="J5" s="1126"/>
      <c r="K5" s="1126"/>
    </row>
    <row r="6" spans="1:11" x14ac:dyDescent="0.2">
      <c r="A6" s="1126"/>
      <c r="B6" s="1126"/>
      <c r="C6" s="1126"/>
      <c r="D6" s="1126"/>
      <c r="E6" s="1126"/>
      <c r="F6" s="1126"/>
      <c r="G6" s="1126"/>
      <c r="H6" s="1126"/>
      <c r="I6" s="1126"/>
      <c r="J6" s="1126"/>
      <c r="K6" s="1126"/>
    </row>
    <row r="7" spans="1:11" ht="24.75" customHeight="1" x14ac:dyDescent="0.2">
      <c r="A7" s="1126"/>
      <c r="B7" s="1126"/>
      <c r="C7" s="1126"/>
      <c r="D7" s="1126"/>
      <c r="E7" s="1126"/>
      <c r="F7" s="1126"/>
      <c r="G7" s="1126"/>
      <c r="H7" s="1126"/>
      <c r="I7" s="1126"/>
      <c r="J7" s="1126"/>
      <c r="K7" s="1126"/>
    </row>
    <row r="8" spans="1:11" ht="9.75" customHeight="1" x14ac:dyDescent="0.2"/>
    <row r="9" spans="1:11" ht="12.75" customHeight="1" x14ac:dyDescent="0.2">
      <c r="A9" s="1126" t="s">
        <v>301</v>
      </c>
      <c r="B9" s="1126"/>
      <c r="C9" s="1126"/>
      <c r="D9" s="1126"/>
      <c r="E9" s="1126"/>
      <c r="F9" s="1126"/>
      <c r="G9" s="1126"/>
      <c r="H9" s="1126"/>
      <c r="I9" s="1126"/>
      <c r="J9" s="1126"/>
      <c r="K9" s="1126"/>
    </row>
    <row r="10" spans="1:11" ht="36.75" customHeight="1" x14ac:dyDescent="0.2">
      <c r="A10" s="1126"/>
      <c r="B10" s="1126"/>
      <c r="C10" s="1126"/>
      <c r="D10" s="1126"/>
      <c r="E10" s="1126"/>
      <c r="F10" s="1126"/>
      <c r="G10" s="1126"/>
      <c r="H10" s="1126"/>
      <c r="I10" s="1126"/>
      <c r="J10" s="1126"/>
      <c r="K10" s="1126"/>
    </row>
    <row r="11" spans="1:11" ht="9.75" customHeight="1" x14ac:dyDescent="0.2"/>
    <row r="12" spans="1:11" x14ac:dyDescent="0.2">
      <c r="A12" s="1126" t="s">
        <v>688</v>
      </c>
      <c r="B12" s="1126"/>
      <c r="C12" s="1126"/>
      <c r="D12" s="1126"/>
      <c r="E12" s="1126"/>
      <c r="F12" s="1126"/>
      <c r="G12" s="1126"/>
      <c r="H12" s="1126"/>
      <c r="I12" s="1126"/>
      <c r="J12" s="1126"/>
      <c r="K12" s="1126"/>
    </row>
    <row r="13" spans="1:11" x14ac:dyDescent="0.2">
      <c r="A13" s="1126"/>
      <c r="B13" s="1126"/>
      <c r="C13" s="1126"/>
      <c r="D13" s="1126"/>
      <c r="E13" s="1126"/>
      <c r="F13" s="1126"/>
      <c r="G13" s="1126"/>
      <c r="H13" s="1126"/>
      <c r="I13" s="1126"/>
      <c r="J13" s="1126"/>
      <c r="K13" s="1126"/>
    </row>
    <row r="14" spans="1:11" x14ac:dyDescent="0.2">
      <c r="A14" s="1126"/>
      <c r="B14" s="1126"/>
      <c r="C14" s="1126"/>
      <c r="D14" s="1126"/>
      <c r="E14" s="1126"/>
      <c r="F14" s="1126"/>
      <c r="G14" s="1126"/>
      <c r="H14" s="1126"/>
      <c r="I14" s="1126"/>
      <c r="J14" s="1126"/>
      <c r="K14" s="1126"/>
    </row>
    <row r="15" spans="1:11" ht="9.75" customHeight="1" x14ac:dyDescent="0.2"/>
    <row r="16" spans="1:11" s="802" customFormat="1" ht="9.75" customHeight="1" x14ac:dyDescent="0.2">
      <c r="A16" s="1137" t="s">
        <v>2571</v>
      </c>
      <c r="B16" s="1137"/>
      <c r="C16" s="1137"/>
      <c r="D16" s="1137"/>
      <c r="E16" s="1137"/>
      <c r="F16" s="1137"/>
      <c r="G16" s="1137"/>
      <c r="H16" s="1137"/>
      <c r="I16" s="1137"/>
      <c r="J16" s="1137"/>
      <c r="K16" s="1137"/>
    </row>
    <row r="17" spans="1:11" s="802" customFormat="1" ht="9.75" customHeight="1" x14ac:dyDescent="0.2">
      <c r="A17" s="1137"/>
      <c r="B17" s="1137"/>
      <c r="C17" s="1137"/>
      <c r="D17" s="1137"/>
      <c r="E17" s="1137"/>
      <c r="F17" s="1137"/>
      <c r="G17" s="1137"/>
      <c r="H17" s="1137"/>
      <c r="I17" s="1137"/>
      <c r="J17" s="1137"/>
      <c r="K17" s="1137"/>
    </row>
    <row r="18" spans="1:11" s="802" customFormat="1" ht="60" customHeight="1" x14ac:dyDescent="0.2">
      <c r="A18" s="1137"/>
      <c r="B18" s="1137"/>
      <c r="C18" s="1137"/>
      <c r="D18" s="1137"/>
      <c r="E18" s="1137"/>
      <c r="F18" s="1137"/>
      <c r="G18" s="1137"/>
      <c r="H18" s="1137"/>
      <c r="I18" s="1137"/>
      <c r="J18" s="1137"/>
      <c r="K18" s="1137"/>
    </row>
    <row r="19" spans="1:11" s="802" customFormat="1" ht="9.75" customHeight="1" x14ac:dyDescent="0.2"/>
    <row r="20" spans="1:11" x14ac:dyDescent="0.2">
      <c r="A20" s="1126" t="s">
        <v>565</v>
      </c>
      <c r="B20" s="1126"/>
      <c r="C20" s="1126"/>
      <c r="D20" s="1126"/>
      <c r="E20" s="1126"/>
      <c r="F20" s="1126"/>
      <c r="G20" s="1126"/>
      <c r="H20" s="1126"/>
      <c r="I20" s="1126"/>
      <c r="J20" s="1126"/>
      <c r="K20" s="1126"/>
    </row>
    <row r="21" spans="1:11" x14ac:dyDescent="0.2">
      <c r="A21" s="1126"/>
      <c r="B21" s="1126"/>
      <c r="C21" s="1126"/>
      <c r="D21" s="1126"/>
      <c r="E21" s="1126"/>
      <c r="F21" s="1126"/>
      <c r="G21" s="1126"/>
      <c r="H21" s="1126"/>
      <c r="I21" s="1126"/>
      <c r="J21" s="1126"/>
      <c r="K21" s="1126"/>
    </row>
    <row r="22" spans="1:11" ht="26.25" customHeight="1" x14ac:dyDescent="0.2">
      <c r="A22" s="1126"/>
      <c r="B22" s="1126"/>
      <c r="C22" s="1126"/>
      <c r="D22" s="1126"/>
      <c r="E22" s="1126"/>
      <c r="F22" s="1126"/>
      <c r="G22" s="1126"/>
      <c r="H22" s="1126"/>
      <c r="I22" s="1126"/>
      <c r="J22" s="1126"/>
      <c r="K22" s="1126"/>
    </row>
    <row r="23" spans="1:11" ht="9.75" customHeight="1" x14ac:dyDescent="0.2">
      <c r="A23" s="1126"/>
      <c r="B23" s="1126"/>
      <c r="C23" s="1126"/>
      <c r="D23" s="1126"/>
      <c r="E23" s="1126"/>
      <c r="F23" s="1126"/>
      <c r="G23" s="1126"/>
      <c r="H23" s="1126"/>
      <c r="I23" s="1126"/>
      <c r="J23" s="1126"/>
      <c r="K23" s="1126"/>
    </row>
    <row r="24" spans="1:11" x14ac:dyDescent="0.2">
      <c r="A24" s="1126" t="s">
        <v>797</v>
      </c>
      <c r="B24" s="1126"/>
      <c r="C24" s="1126"/>
      <c r="D24" s="1126"/>
      <c r="E24" s="1126"/>
      <c r="F24" s="1126"/>
      <c r="G24" s="1126"/>
      <c r="H24" s="1126"/>
      <c r="I24" s="1126"/>
      <c r="J24" s="1126"/>
      <c r="K24" s="1126"/>
    </row>
    <row r="25" spans="1:11" x14ac:dyDescent="0.2">
      <c r="A25" s="1126"/>
      <c r="B25" s="1126"/>
      <c r="C25" s="1126"/>
      <c r="D25" s="1126"/>
      <c r="E25" s="1126"/>
      <c r="F25" s="1126"/>
      <c r="G25" s="1126"/>
      <c r="H25" s="1126"/>
      <c r="I25" s="1126"/>
      <c r="J25" s="1126"/>
      <c r="K25" s="1126"/>
    </row>
    <row r="26" spans="1:11" ht="24.75" customHeight="1" x14ac:dyDescent="0.2">
      <c r="A26" s="1126"/>
      <c r="B26" s="1126"/>
      <c r="C26" s="1126"/>
      <c r="D26" s="1126"/>
      <c r="E26" s="1126"/>
      <c r="F26" s="1126"/>
      <c r="G26" s="1126"/>
      <c r="H26" s="1126"/>
      <c r="I26" s="1126"/>
      <c r="J26" s="1126"/>
      <c r="K26" s="1126"/>
    </row>
    <row r="27" spans="1:11" ht="9.75" customHeight="1" x14ac:dyDescent="0.2"/>
    <row r="28" spans="1:11" x14ac:dyDescent="0.2">
      <c r="A28" s="1126" t="s">
        <v>17</v>
      </c>
      <c r="B28" s="1126"/>
      <c r="C28" s="1126"/>
      <c r="D28" s="1126"/>
      <c r="E28" s="1126"/>
      <c r="F28" s="1126"/>
      <c r="G28" s="1126"/>
      <c r="H28" s="1126"/>
      <c r="I28" s="1126"/>
      <c r="J28" s="1126"/>
      <c r="K28" s="1126"/>
    </row>
    <row r="29" spans="1:11" x14ac:dyDescent="0.2">
      <c r="A29" s="1126"/>
      <c r="B29" s="1126"/>
      <c r="C29" s="1126"/>
      <c r="D29" s="1126"/>
      <c r="E29" s="1126"/>
      <c r="F29" s="1126"/>
      <c r="G29" s="1126"/>
      <c r="H29" s="1126"/>
      <c r="I29" s="1126"/>
      <c r="J29" s="1126"/>
      <c r="K29" s="1126"/>
    </row>
    <row r="30" spans="1:11" x14ac:dyDescent="0.2">
      <c r="A30" s="1126"/>
      <c r="B30" s="1126"/>
      <c r="C30" s="1126"/>
      <c r="D30" s="1126"/>
      <c r="E30" s="1126"/>
      <c r="F30" s="1126"/>
      <c r="G30" s="1126"/>
      <c r="H30" s="1126"/>
      <c r="I30" s="1126"/>
      <c r="J30" s="1126"/>
      <c r="K30" s="1126"/>
    </row>
    <row r="31" spans="1:11" x14ac:dyDescent="0.2">
      <c r="A31" s="1126"/>
      <c r="B31" s="1126"/>
      <c r="C31" s="1126"/>
      <c r="D31" s="1126"/>
      <c r="E31" s="1126"/>
      <c r="F31" s="1126"/>
      <c r="G31" s="1126"/>
      <c r="H31" s="1126"/>
      <c r="I31" s="1126"/>
      <c r="J31" s="1126"/>
      <c r="K31" s="1126"/>
    </row>
    <row r="32" spans="1:11" x14ac:dyDescent="0.2">
      <c r="A32" s="1126"/>
      <c r="B32" s="1126"/>
      <c r="C32" s="1126"/>
      <c r="D32" s="1126"/>
      <c r="E32" s="1126"/>
      <c r="F32" s="1126"/>
      <c r="G32" s="1126"/>
      <c r="H32" s="1126"/>
      <c r="I32" s="1126"/>
      <c r="J32" s="1126"/>
      <c r="K32" s="1126"/>
    </row>
    <row r="33" spans="1:11" x14ac:dyDescent="0.2">
      <c r="A33" s="1126"/>
      <c r="B33" s="1126"/>
      <c r="C33" s="1126"/>
      <c r="D33" s="1126"/>
      <c r="E33" s="1126"/>
      <c r="F33" s="1126"/>
      <c r="G33" s="1126"/>
      <c r="H33" s="1126"/>
      <c r="I33" s="1126"/>
      <c r="J33" s="1126"/>
      <c r="K33" s="1126"/>
    </row>
    <row r="34" spans="1:11" ht="9.75" customHeight="1" x14ac:dyDescent="0.2"/>
    <row r="35" spans="1:11" x14ac:dyDescent="0.2">
      <c r="A35" s="1126" t="s">
        <v>397</v>
      </c>
      <c r="B35" s="1126"/>
      <c r="C35" s="1126"/>
      <c r="D35" s="1126"/>
      <c r="E35" s="1126"/>
      <c r="F35" s="1126"/>
      <c r="G35" s="1126"/>
      <c r="H35" s="1126"/>
      <c r="I35" s="1126"/>
      <c r="J35" s="1126"/>
      <c r="K35" s="1126"/>
    </row>
    <row r="36" spans="1:11" x14ac:dyDescent="0.2">
      <c r="A36" s="1126"/>
      <c r="B36" s="1126"/>
      <c r="C36" s="1126"/>
      <c r="D36" s="1126"/>
      <c r="E36" s="1126"/>
      <c r="F36" s="1126"/>
      <c r="G36" s="1126"/>
      <c r="H36" s="1126"/>
      <c r="I36" s="1126"/>
      <c r="J36" s="1126"/>
      <c r="K36" s="1126"/>
    </row>
    <row r="37" spans="1:11" x14ac:dyDescent="0.2">
      <c r="A37" s="1126"/>
      <c r="B37" s="1126"/>
      <c r="C37" s="1126"/>
      <c r="D37" s="1126"/>
      <c r="E37" s="1126"/>
      <c r="F37" s="1126"/>
      <c r="G37" s="1126"/>
      <c r="H37" s="1126"/>
      <c r="I37" s="1126"/>
      <c r="J37" s="1126"/>
      <c r="K37" s="1126"/>
    </row>
    <row r="38" spans="1:11" ht="9.75" customHeight="1" x14ac:dyDescent="0.2"/>
    <row r="39" spans="1:11" x14ac:dyDescent="0.2">
      <c r="A39" s="1126" t="s">
        <v>633</v>
      </c>
      <c r="B39" s="1126"/>
      <c r="C39" s="1126"/>
      <c r="D39" s="1126"/>
      <c r="E39" s="1126"/>
      <c r="F39" s="1126"/>
      <c r="G39" s="1126"/>
      <c r="H39" s="1126"/>
      <c r="I39" s="1126"/>
      <c r="J39" s="1126"/>
      <c r="K39" s="1126"/>
    </row>
    <row r="40" spans="1:11" ht="36.75" customHeight="1" x14ac:dyDescent="0.2">
      <c r="A40" s="1126"/>
      <c r="B40" s="1126"/>
      <c r="C40" s="1126"/>
      <c r="D40" s="1126"/>
      <c r="E40" s="1126"/>
      <c r="F40" s="1126"/>
      <c r="G40" s="1126"/>
      <c r="H40" s="1126"/>
      <c r="I40" s="1126"/>
      <c r="J40" s="1126"/>
      <c r="K40" s="1126"/>
    </row>
    <row r="41" spans="1:11" ht="18.75" customHeight="1" x14ac:dyDescent="0.2"/>
    <row r="42" spans="1:11" x14ac:dyDescent="0.2">
      <c r="A42" s="4" t="s">
        <v>398</v>
      </c>
    </row>
    <row r="43" spans="1:11" ht="8.25" customHeight="1" x14ac:dyDescent="0.2">
      <c r="A43" s="4"/>
    </row>
    <row r="44" spans="1:11" ht="12.75" customHeight="1" x14ac:dyDescent="0.2">
      <c r="A44" s="1136" t="s">
        <v>1057</v>
      </c>
      <c r="B44" s="1126"/>
      <c r="C44" s="1126"/>
      <c r="D44" s="1126"/>
      <c r="E44" s="1126"/>
      <c r="F44" s="1126"/>
      <c r="G44" s="1126"/>
      <c r="H44" s="1126"/>
      <c r="I44" s="1126"/>
      <c r="J44" s="1126"/>
      <c r="K44" s="1126"/>
    </row>
    <row r="45" spans="1:11" x14ac:dyDescent="0.2">
      <c r="A45" s="1126"/>
      <c r="B45" s="1126"/>
      <c r="C45" s="1126"/>
      <c r="D45" s="1126"/>
      <c r="E45" s="1126"/>
      <c r="F45" s="1126"/>
      <c r="G45" s="1126"/>
      <c r="H45" s="1126"/>
      <c r="I45" s="1126"/>
      <c r="J45" s="1126"/>
      <c r="K45" s="1126"/>
    </row>
    <row r="46" spans="1:11" x14ac:dyDescent="0.2">
      <c r="A46" s="1126"/>
      <c r="B46" s="1126"/>
      <c r="C46" s="1126"/>
      <c r="D46" s="1126"/>
      <c r="E46" s="1126"/>
      <c r="F46" s="1126"/>
      <c r="G46" s="1126"/>
      <c r="H46" s="1126"/>
      <c r="I46" s="1126"/>
      <c r="J46" s="1126"/>
      <c r="K46" s="1126"/>
    </row>
    <row r="47" spans="1:11" x14ac:dyDescent="0.2">
      <c r="A47" s="1126"/>
      <c r="B47" s="1126"/>
      <c r="C47" s="1126"/>
      <c r="D47" s="1126"/>
      <c r="E47" s="1126"/>
      <c r="F47" s="1126"/>
      <c r="G47" s="1126"/>
      <c r="H47" s="1126"/>
      <c r="I47" s="1126"/>
      <c r="J47" s="1126"/>
      <c r="K47" s="1126"/>
    </row>
    <row r="48" spans="1:11" ht="26.25" customHeight="1" x14ac:dyDescent="0.2">
      <c r="A48" s="1126"/>
      <c r="B48" s="1126"/>
      <c r="C48" s="1126"/>
      <c r="D48" s="1126"/>
      <c r="E48" s="1126"/>
      <c r="F48" s="1126"/>
      <c r="G48" s="1126"/>
      <c r="H48" s="1126"/>
      <c r="I48" s="1126"/>
      <c r="J48" s="1126"/>
      <c r="K48" s="1126"/>
    </row>
    <row r="49" spans="1:11" ht="36.75" customHeight="1" x14ac:dyDescent="0.2">
      <c r="A49" s="1126"/>
      <c r="B49" s="1126"/>
      <c r="C49" s="1126"/>
      <c r="D49" s="1126"/>
      <c r="E49" s="1126"/>
      <c r="F49" s="1126"/>
      <c r="G49" s="1126"/>
      <c r="H49" s="1126"/>
      <c r="I49" s="1126"/>
      <c r="J49" s="1126"/>
      <c r="K49" s="1126"/>
    </row>
    <row r="50" spans="1:11" ht="9.75" customHeight="1" x14ac:dyDescent="0.2">
      <c r="A50" s="59"/>
      <c r="B50" s="59"/>
      <c r="C50" s="59"/>
      <c r="D50" s="59"/>
      <c r="E50" s="59"/>
      <c r="F50" s="59"/>
      <c r="G50" s="59"/>
      <c r="H50" s="59"/>
      <c r="I50" s="59"/>
      <c r="J50" s="59"/>
      <c r="K50" s="59"/>
    </row>
    <row r="51" spans="1:11" x14ac:dyDescent="0.2">
      <c r="A51" s="1136" t="s">
        <v>1058</v>
      </c>
      <c r="B51" s="1126"/>
      <c r="C51" s="1126"/>
      <c r="D51" s="1126"/>
      <c r="E51" s="1126"/>
      <c r="F51" s="1126"/>
      <c r="G51" s="1126"/>
      <c r="H51" s="1126"/>
      <c r="I51" s="1126"/>
      <c r="J51" s="1126"/>
      <c r="K51" s="1126"/>
    </row>
    <row r="52" spans="1:11" x14ac:dyDescent="0.2">
      <c r="A52" s="1126"/>
      <c r="B52" s="1126"/>
      <c r="C52" s="1126"/>
      <c r="D52" s="1126"/>
      <c r="E52" s="1126"/>
      <c r="F52" s="1126"/>
      <c r="G52" s="1126"/>
      <c r="H52" s="1126"/>
      <c r="I52" s="1126"/>
      <c r="J52" s="1126"/>
      <c r="K52" s="1126"/>
    </row>
    <row r="53" spans="1:11" x14ac:dyDescent="0.2">
      <c r="A53" s="1126"/>
      <c r="B53" s="1126"/>
      <c r="C53" s="1126"/>
      <c r="D53" s="1126"/>
      <c r="E53" s="1126"/>
      <c r="F53" s="1126"/>
      <c r="G53" s="1126"/>
      <c r="H53" s="1126"/>
      <c r="I53" s="1126"/>
      <c r="J53" s="1126"/>
      <c r="K53" s="1126"/>
    </row>
    <row r="54" spans="1:11" ht="23.25" customHeight="1" x14ac:dyDescent="0.2">
      <c r="A54" s="1126"/>
      <c r="B54" s="1126"/>
      <c r="C54" s="1126"/>
      <c r="D54" s="1126"/>
      <c r="E54" s="1126"/>
      <c r="F54" s="1126"/>
      <c r="G54" s="1126"/>
      <c r="H54" s="1126"/>
      <c r="I54" s="1126"/>
      <c r="J54" s="1126"/>
      <c r="K54" s="1126"/>
    </row>
    <row r="55" spans="1:11" ht="15.75" customHeight="1" x14ac:dyDescent="0.2">
      <c r="A55" s="1126"/>
      <c r="B55" s="1126"/>
      <c r="C55" s="1126"/>
      <c r="D55" s="1126"/>
      <c r="E55" s="1126"/>
      <c r="F55" s="1126"/>
      <c r="G55" s="1126"/>
      <c r="H55" s="1126"/>
      <c r="I55" s="1126"/>
      <c r="J55" s="1126"/>
      <c r="K55" s="1126"/>
    </row>
    <row r="56" spans="1:11" x14ac:dyDescent="0.2">
      <c r="A56" s="59"/>
      <c r="B56" s="59"/>
      <c r="C56" s="59"/>
      <c r="D56" s="59"/>
      <c r="E56" s="59"/>
      <c r="F56" s="59"/>
      <c r="G56" s="59"/>
      <c r="H56" s="59"/>
      <c r="I56" s="59"/>
      <c r="J56" s="59"/>
      <c r="K56" s="59"/>
    </row>
    <row r="57" spans="1:11" x14ac:dyDescent="0.2">
      <c r="A57" s="564" t="s">
        <v>862</v>
      </c>
      <c r="B57" s="59"/>
      <c r="C57" s="59"/>
      <c r="D57" s="59"/>
      <c r="E57" s="59"/>
      <c r="F57" s="59"/>
      <c r="G57" s="59"/>
      <c r="H57" s="59"/>
      <c r="I57" s="59"/>
      <c r="J57" s="59"/>
      <c r="K57" s="59"/>
    </row>
    <row r="58" spans="1:11" ht="8.25" customHeight="1" x14ac:dyDescent="0.2">
      <c r="A58" s="59"/>
      <c r="B58" s="59"/>
      <c r="C58" s="59"/>
      <c r="D58" s="59"/>
      <c r="E58" s="59"/>
      <c r="F58" s="59"/>
      <c r="G58" s="59"/>
      <c r="H58" s="59"/>
      <c r="I58" s="59"/>
      <c r="J58" s="59"/>
      <c r="K58" s="59"/>
    </row>
    <row r="59" spans="1:11" ht="12.75" customHeight="1" x14ac:dyDescent="0.2">
      <c r="A59" s="1134" t="s">
        <v>1059</v>
      </c>
      <c r="B59" s="1135"/>
      <c r="C59" s="1135"/>
      <c r="D59" s="1135"/>
      <c r="E59" s="1135"/>
      <c r="F59" s="1135"/>
      <c r="G59" s="1135"/>
      <c r="H59" s="1135"/>
      <c r="I59" s="1135"/>
      <c r="J59" s="1135"/>
      <c r="K59" s="1135"/>
    </row>
    <row r="60" spans="1:11" x14ac:dyDescent="0.2">
      <c r="A60" s="1135"/>
      <c r="B60" s="1135"/>
      <c r="C60" s="1135"/>
      <c r="D60" s="1135"/>
      <c r="E60" s="1135"/>
      <c r="F60" s="1135"/>
      <c r="G60" s="1135"/>
      <c r="H60" s="1135"/>
      <c r="I60" s="1135"/>
      <c r="J60" s="1135"/>
      <c r="K60" s="1135"/>
    </row>
    <row r="61" spans="1:11" x14ac:dyDescent="0.2">
      <c r="A61" s="1135"/>
      <c r="B61" s="1135"/>
      <c r="C61" s="1135"/>
      <c r="D61" s="1135"/>
      <c r="E61" s="1135"/>
      <c r="F61" s="1135"/>
      <c r="G61" s="1135"/>
      <c r="H61" s="1135"/>
      <c r="I61" s="1135"/>
      <c r="J61" s="1135"/>
      <c r="K61" s="1135"/>
    </row>
    <row r="62" spans="1:11" x14ac:dyDescent="0.2">
      <c r="A62" s="1135"/>
      <c r="B62" s="1135"/>
      <c r="C62" s="1135"/>
      <c r="D62" s="1135"/>
      <c r="E62" s="1135"/>
      <c r="F62" s="1135"/>
      <c r="G62" s="1135"/>
      <c r="H62" s="1135"/>
      <c r="I62" s="1135"/>
      <c r="J62" s="1135"/>
      <c r="K62" s="1135"/>
    </row>
    <row r="63" spans="1:11" ht="9" customHeight="1" x14ac:dyDescent="0.2">
      <c r="A63" s="1135"/>
      <c r="B63" s="1135"/>
      <c r="C63" s="1135"/>
      <c r="D63" s="1135"/>
      <c r="E63" s="1135"/>
      <c r="F63" s="1135"/>
      <c r="G63" s="1135"/>
      <c r="H63" s="1135"/>
      <c r="I63" s="1135"/>
      <c r="J63" s="1135"/>
      <c r="K63" s="1135"/>
    </row>
    <row r="64" spans="1:11" x14ac:dyDescent="0.2">
      <c r="A64" s="1135"/>
      <c r="B64" s="1135"/>
      <c r="C64" s="1135"/>
      <c r="D64" s="1135"/>
      <c r="E64" s="1135"/>
      <c r="F64" s="1135"/>
      <c r="G64" s="1135"/>
      <c r="H64" s="1135"/>
      <c r="I64" s="1135"/>
      <c r="J64" s="1135"/>
      <c r="K64" s="1135"/>
    </row>
    <row r="65" spans="1:11" ht="12.75" customHeight="1" x14ac:dyDescent="0.2">
      <c r="A65" s="59"/>
      <c r="B65" s="59"/>
      <c r="C65" s="59"/>
      <c r="D65" s="59"/>
      <c r="E65" s="59"/>
      <c r="F65" s="59"/>
      <c r="G65" s="59"/>
      <c r="H65" s="59"/>
      <c r="I65" s="59"/>
      <c r="J65" s="59"/>
      <c r="K65" s="59"/>
    </row>
    <row r="66" spans="1:11" x14ac:dyDescent="0.2">
      <c r="A66" s="4" t="s">
        <v>1018</v>
      </c>
    </row>
    <row r="67" spans="1:11" ht="4.5" customHeight="1" x14ac:dyDescent="0.2"/>
    <row r="68" spans="1:11" ht="12.75" customHeight="1" x14ac:dyDescent="0.2">
      <c r="A68" s="1126" t="s">
        <v>564</v>
      </c>
      <c r="B68" s="1126"/>
      <c r="C68" s="1126"/>
      <c r="D68" s="1126"/>
      <c r="E68" s="1126"/>
      <c r="F68" s="1126"/>
      <c r="G68" s="1126"/>
      <c r="H68" s="1126"/>
      <c r="I68" s="1126"/>
      <c r="J68" s="1126"/>
      <c r="K68" s="1126"/>
    </row>
    <row r="69" spans="1:11" ht="12.75" customHeight="1" x14ac:dyDescent="0.2">
      <c r="A69" s="1126"/>
      <c r="B69" s="1126"/>
      <c r="C69" s="1126"/>
      <c r="D69" s="1126"/>
      <c r="E69" s="1126"/>
      <c r="F69" s="1126"/>
      <c r="G69" s="1126"/>
      <c r="H69" s="1126"/>
      <c r="I69" s="1126"/>
      <c r="J69" s="1126"/>
      <c r="K69" s="1126"/>
    </row>
    <row r="70" spans="1:11" ht="2.25" customHeight="1" x14ac:dyDescent="0.2"/>
    <row r="71" spans="1:11" ht="12.75" customHeight="1" x14ac:dyDescent="0.2">
      <c r="B71" s="4" t="s">
        <v>891</v>
      </c>
    </row>
    <row r="72" spans="1:11" ht="12.75" customHeight="1" x14ac:dyDescent="0.2">
      <c r="A72" s="1123"/>
      <c r="B72" s="1122" t="s">
        <v>167</v>
      </c>
      <c r="C72" s="1122"/>
      <c r="D72" s="1122"/>
      <c r="E72" s="1122"/>
      <c r="F72" s="1122"/>
      <c r="G72" s="1122"/>
      <c r="H72" s="1122"/>
      <c r="I72" s="1122"/>
      <c r="J72" s="1122"/>
      <c r="K72" s="1122"/>
    </row>
    <row r="73" spans="1:11" ht="26.25" customHeight="1" x14ac:dyDescent="0.2">
      <c r="A73" s="1123"/>
      <c r="B73" s="1122"/>
      <c r="C73" s="1122"/>
      <c r="D73" s="1122"/>
      <c r="E73" s="1122"/>
      <c r="F73" s="1122"/>
      <c r="G73" s="1122"/>
      <c r="H73" s="1122"/>
      <c r="I73" s="1122"/>
      <c r="J73" s="1122"/>
      <c r="K73" s="1122"/>
    </row>
    <row r="74" spans="1:11" x14ac:dyDescent="0.2">
      <c r="A74" s="63" t="s">
        <v>876</v>
      </c>
      <c r="B74" s="1124" t="s">
        <v>1060</v>
      </c>
      <c r="C74" s="1124"/>
      <c r="D74" s="1124"/>
      <c r="E74" s="1124"/>
      <c r="F74" s="1124"/>
      <c r="G74" s="1124"/>
      <c r="H74" s="1124"/>
      <c r="I74" s="1124"/>
      <c r="J74" s="1124"/>
      <c r="K74" s="1124"/>
    </row>
    <row r="75" spans="1:11" ht="37.5" customHeight="1" x14ac:dyDescent="0.2">
      <c r="A75" s="63"/>
      <c r="B75" s="1124"/>
      <c r="C75" s="1124"/>
      <c r="D75" s="1124"/>
      <c r="E75" s="1124"/>
      <c r="F75" s="1124"/>
      <c r="G75" s="1124"/>
      <c r="H75" s="1124"/>
      <c r="I75" s="1124"/>
      <c r="J75" s="1124"/>
      <c r="K75" s="1124"/>
    </row>
    <row r="76" spans="1:11" x14ac:dyDescent="0.2">
      <c r="A76" s="63" t="s">
        <v>877</v>
      </c>
      <c r="B76" s="4" t="s">
        <v>708</v>
      </c>
    </row>
    <row r="77" spans="1:11" x14ac:dyDescent="0.2">
      <c r="A77" s="63" t="s">
        <v>466</v>
      </c>
      <c r="B77" s="4" t="s">
        <v>709</v>
      </c>
    </row>
    <row r="78" spans="1:11" x14ac:dyDescent="0.2">
      <c r="A78" s="63" t="s">
        <v>472</v>
      </c>
      <c r="B78" s="1125" t="s">
        <v>710</v>
      </c>
      <c r="C78" s="1125"/>
      <c r="D78" s="1125"/>
      <c r="E78" s="1125"/>
      <c r="F78" s="1125"/>
      <c r="G78" s="1125"/>
      <c r="H78" s="1125"/>
      <c r="I78" s="1125"/>
      <c r="J78" s="1125"/>
      <c r="K78" s="1125"/>
    </row>
    <row r="79" spans="1:11" x14ac:dyDescent="0.2">
      <c r="A79" s="63" t="s">
        <v>488</v>
      </c>
      <c r="B79" s="1122" t="s">
        <v>711</v>
      </c>
      <c r="C79" s="1122"/>
      <c r="D79" s="1122"/>
      <c r="E79" s="1122"/>
      <c r="F79" s="1122"/>
      <c r="G79" s="1122"/>
      <c r="H79" s="1122"/>
      <c r="I79" s="1122"/>
      <c r="J79" s="1122"/>
      <c r="K79" s="1122"/>
    </row>
    <row r="80" spans="1:11" x14ac:dyDescent="0.2">
      <c r="A80" s="63"/>
      <c r="B80" s="1122"/>
      <c r="C80" s="1122"/>
      <c r="D80" s="1122"/>
      <c r="E80" s="1122"/>
      <c r="F80" s="1122"/>
      <c r="G80" s="1122"/>
      <c r="H80" s="1122"/>
      <c r="I80" s="1122"/>
      <c r="J80" s="1122"/>
      <c r="K80" s="1122"/>
    </row>
    <row r="81" spans="1:11" x14ac:dyDescent="0.2">
      <c r="A81" s="63" t="s">
        <v>828</v>
      </c>
      <c r="B81" s="1122" t="s">
        <v>1061</v>
      </c>
      <c r="C81" s="1122"/>
      <c r="D81" s="1122"/>
      <c r="E81" s="1122"/>
      <c r="F81" s="1122"/>
      <c r="G81" s="1122"/>
      <c r="H81" s="1122"/>
      <c r="I81" s="1122"/>
      <c r="J81" s="1122"/>
      <c r="K81" s="1122"/>
    </row>
    <row r="82" spans="1:11" ht="38.25" customHeight="1" x14ac:dyDescent="0.2">
      <c r="A82" s="63"/>
      <c r="B82" s="1122"/>
      <c r="C82" s="1122"/>
      <c r="D82" s="1122"/>
      <c r="E82" s="1122"/>
      <c r="F82" s="1122"/>
      <c r="G82" s="1122"/>
      <c r="H82" s="1122"/>
      <c r="I82" s="1122"/>
      <c r="J82" s="1122"/>
      <c r="K82" s="1122"/>
    </row>
    <row r="83" spans="1:11" x14ac:dyDescent="0.2">
      <c r="A83" s="63" t="s">
        <v>829</v>
      </c>
      <c r="B83" s="4" t="s">
        <v>712</v>
      </c>
    </row>
    <row r="84" spans="1:11" x14ac:dyDescent="0.2">
      <c r="A84" s="63" t="s">
        <v>147</v>
      </c>
      <c r="B84" s="4" t="s">
        <v>686</v>
      </c>
    </row>
    <row r="85" spans="1:11" x14ac:dyDescent="0.2">
      <c r="A85" s="63" t="s">
        <v>274</v>
      </c>
      <c r="B85" s="1122" t="s">
        <v>687</v>
      </c>
      <c r="C85" s="1122"/>
      <c r="D85" s="1122"/>
      <c r="E85" s="1122"/>
      <c r="F85" s="1122"/>
      <c r="G85" s="1122"/>
      <c r="H85" s="1122"/>
      <c r="I85" s="1122"/>
      <c r="J85" s="1122"/>
      <c r="K85" s="1122"/>
    </row>
    <row r="86" spans="1:11" x14ac:dyDescent="0.2">
      <c r="A86" s="63"/>
      <c r="B86" s="1122"/>
      <c r="C86" s="1122"/>
      <c r="D86" s="1122"/>
      <c r="E86" s="1122"/>
      <c r="F86" s="1122"/>
      <c r="G86" s="1122"/>
      <c r="H86" s="1122"/>
      <c r="I86" s="1122"/>
      <c r="J86" s="1122"/>
      <c r="K86" s="1122"/>
    </row>
    <row r="87" spans="1:11" x14ac:dyDescent="0.2">
      <c r="A87" s="63" t="s">
        <v>148</v>
      </c>
      <c r="B87" s="1122" t="s">
        <v>856</v>
      </c>
      <c r="C87" s="1122"/>
      <c r="D87" s="1122"/>
      <c r="E87" s="1122"/>
      <c r="F87" s="1122"/>
      <c r="G87" s="1122"/>
      <c r="H87" s="1122"/>
      <c r="I87" s="1122"/>
      <c r="J87" s="1122"/>
      <c r="K87" s="1122"/>
    </row>
    <row r="88" spans="1:11" x14ac:dyDescent="0.2">
      <c r="A88" s="63"/>
      <c r="B88" s="1122"/>
      <c r="C88" s="1122"/>
      <c r="D88" s="1122"/>
      <c r="E88" s="1122"/>
      <c r="F88" s="1122"/>
      <c r="G88" s="1122"/>
      <c r="H88" s="1122"/>
      <c r="I88" s="1122"/>
      <c r="J88" s="1122"/>
      <c r="K88" s="1122"/>
    </row>
    <row r="89" spans="1:11" x14ac:dyDescent="0.2">
      <c r="A89" s="63" t="s">
        <v>859</v>
      </c>
      <c r="B89" s="1122" t="s">
        <v>1062</v>
      </c>
      <c r="C89" s="1122"/>
      <c r="D89" s="1122"/>
      <c r="E89" s="1122"/>
      <c r="F89" s="1122"/>
      <c r="G89" s="1122"/>
      <c r="H89" s="1122"/>
      <c r="I89" s="1122"/>
      <c r="J89" s="1122"/>
      <c r="K89" s="1122"/>
    </row>
    <row r="90" spans="1:11" ht="25.5" customHeight="1" x14ac:dyDescent="0.2">
      <c r="A90" s="63"/>
      <c r="B90" s="1122"/>
      <c r="C90" s="1122"/>
      <c r="D90" s="1122"/>
      <c r="E90" s="1122"/>
      <c r="F90" s="1122"/>
      <c r="G90" s="1122"/>
      <c r="H90" s="1122"/>
      <c r="I90" s="1122"/>
      <c r="J90" s="1122"/>
      <c r="K90" s="1122"/>
    </row>
    <row r="91" spans="1:11" x14ac:dyDescent="0.2">
      <c r="A91" s="63" t="s">
        <v>860</v>
      </c>
      <c r="B91" s="1122" t="s">
        <v>1063</v>
      </c>
      <c r="C91" s="1122"/>
      <c r="D91" s="1122"/>
      <c r="E91" s="1122"/>
      <c r="F91" s="1122"/>
      <c r="G91" s="1122"/>
      <c r="H91" s="1122"/>
      <c r="I91" s="1122"/>
      <c r="J91" s="1122"/>
      <c r="K91" s="1122"/>
    </row>
    <row r="92" spans="1:11" ht="24.75" customHeight="1" x14ac:dyDescent="0.2">
      <c r="A92" s="63"/>
      <c r="B92" s="1122"/>
      <c r="C92" s="1122"/>
      <c r="D92" s="1122"/>
      <c r="E92" s="1122"/>
      <c r="F92" s="1122"/>
      <c r="G92" s="1122"/>
      <c r="H92" s="1122"/>
      <c r="I92" s="1122"/>
      <c r="J92" s="1122"/>
      <c r="K92" s="1122"/>
    </row>
    <row r="93" spans="1:11" x14ac:dyDescent="0.2">
      <c r="A93" s="63" t="s">
        <v>861</v>
      </c>
      <c r="B93" s="1122" t="s">
        <v>1064</v>
      </c>
      <c r="C93" s="1122"/>
      <c r="D93" s="1122"/>
      <c r="E93" s="1122"/>
      <c r="F93" s="1122"/>
      <c r="G93" s="1122"/>
      <c r="H93" s="1122"/>
      <c r="I93" s="1122"/>
      <c r="J93" s="1122"/>
      <c r="K93" s="1122"/>
    </row>
    <row r="94" spans="1:11" x14ac:dyDescent="0.2">
      <c r="A94" s="70"/>
      <c r="B94" s="1122"/>
      <c r="C94" s="1122"/>
      <c r="D94" s="1122"/>
      <c r="E94" s="1122"/>
      <c r="F94" s="1122"/>
      <c r="G94" s="1122"/>
      <c r="H94" s="1122"/>
      <c r="I94" s="1122"/>
      <c r="J94" s="1122"/>
      <c r="K94" s="1122"/>
    </row>
    <row r="95" spans="1:11" s="1044" customFormat="1" x14ac:dyDescent="0.2">
      <c r="A95" s="63" t="s">
        <v>2074</v>
      </c>
      <c r="B95" s="564" t="s">
        <v>3974</v>
      </c>
      <c r="C95" s="564"/>
      <c r="D95" s="564"/>
      <c r="E95" s="564"/>
      <c r="F95" s="564"/>
      <c r="G95" s="564"/>
      <c r="H95" s="564"/>
      <c r="I95" s="564"/>
      <c r="J95" s="564"/>
      <c r="K95" s="564"/>
    </row>
    <row r="96" spans="1:11" s="1044" customFormat="1" x14ac:dyDescent="0.2">
      <c r="A96" s="63" t="s">
        <v>2075</v>
      </c>
      <c r="B96" s="564" t="s">
        <v>3975</v>
      </c>
      <c r="C96" s="1043"/>
      <c r="D96" s="1043"/>
      <c r="E96" s="1043"/>
      <c r="F96" s="1043"/>
      <c r="G96" s="1043"/>
      <c r="H96" s="1043"/>
      <c r="I96" s="1043"/>
      <c r="J96" s="1043"/>
      <c r="K96" s="1043"/>
    </row>
    <row r="97" spans="1:11" s="1044" customFormat="1" x14ac:dyDescent="0.2">
      <c r="A97" s="63" t="s">
        <v>3972</v>
      </c>
      <c r="B97" s="564" t="s">
        <v>3976</v>
      </c>
      <c r="C97" s="1043"/>
      <c r="D97" s="1043"/>
      <c r="E97" s="1043"/>
      <c r="F97" s="1043"/>
      <c r="G97" s="1043"/>
      <c r="H97" s="1043"/>
      <c r="I97" s="1043"/>
      <c r="J97" s="1043"/>
      <c r="K97" s="1043"/>
    </row>
    <row r="98" spans="1:11" s="1044" customFormat="1" x14ac:dyDescent="0.2">
      <c r="A98" s="63" t="s">
        <v>3973</v>
      </c>
      <c r="B98" s="564" t="s">
        <v>3977</v>
      </c>
      <c r="C98" s="1043"/>
      <c r="D98" s="1043"/>
      <c r="E98" s="1043"/>
      <c r="F98" s="1043"/>
      <c r="G98" s="1043"/>
      <c r="H98" s="1043"/>
      <c r="I98" s="1043"/>
      <c r="J98" s="1043"/>
      <c r="K98" s="1043"/>
    </row>
    <row r="99" spans="1:11" ht="6.75" customHeight="1" x14ac:dyDescent="0.2">
      <c r="A99" s="4"/>
    </row>
    <row r="100" spans="1:11" x14ac:dyDescent="0.2">
      <c r="A100" s="4"/>
      <c r="B100" s="1127" t="s">
        <v>685</v>
      </c>
      <c r="C100" s="1127"/>
      <c r="D100" s="1127"/>
      <c r="E100" s="1127"/>
      <c r="F100" s="1127"/>
      <c r="G100" s="1127"/>
      <c r="H100" s="1127"/>
      <c r="I100" s="1127"/>
      <c r="J100" s="1127"/>
      <c r="K100" s="1127"/>
    </row>
    <row r="101" spans="1:11" x14ac:dyDescent="0.2">
      <c r="A101" s="4"/>
      <c r="B101" s="1127"/>
      <c r="C101" s="1127"/>
      <c r="D101" s="1127"/>
      <c r="E101" s="1127"/>
      <c r="F101" s="1127"/>
      <c r="G101" s="1127"/>
      <c r="H101" s="1127"/>
      <c r="I101" s="1127"/>
      <c r="J101" s="1127"/>
      <c r="K101" s="1127"/>
    </row>
    <row r="102" spans="1:11" x14ac:dyDescent="0.2">
      <c r="A102" s="4"/>
    </row>
    <row r="103" spans="1:11" x14ac:dyDescent="0.2">
      <c r="A103" s="4" t="s">
        <v>566</v>
      </c>
    </row>
    <row r="116" spans="1:12" x14ac:dyDescent="0.2">
      <c r="A116" s="4" t="s">
        <v>920</v>
      </c>
    </row>
    <row r="117" spans="1:12" x14ac:dyDescent="0.2">
      <c r="A117" s="1126" t="s">
        <v>654</v>
      </c>
      <c r="B117" s="1126"/>
      <c r="C117" s="1126"/>
      <c r="D117" s="1126"/>
      <c r="E117" s="1126"/>
      <c r="F117" s="1126"/>
      <c r="G117" s="1126"/>
      <c r="H117" s="1126"/>
      <c r="I117" s="1126"/>
      <c r="J117" s="1126"/>
      <c r="K117" s="1126"/>
      <c r="L117" s="1126"/>
    </row>
    <row r="118" spans="1:12" x14ac:dyDescent="0.2">
      <c r="A118" s="1126"/>
      <c r="B118" s="1126"/>
      <c r="C118" s="1126"/>
      <c r="D118" s="1126"/>
      <c r="E118" s="1126"/>
      <c r="F118" s="1126"/>
      <c r="G118" s="1126"/>
      <c r="H118" s="1126"/>
      <c r="I118" s="1126"/>
      <c r="J118" s="1126"/>
      <c r="K118" s="1126"/>
      <c r="L118" s="1126"/>
    </row>
    <row r="119" spans="1:12" x14ac:dyDescent="0.2">
      <c r="A119" s="1126"/>
      <c r="B119" s="1126"/>
      <c r="C119" s="1126"/>
      <c r="D119" s="1126"/>
      <c r="E119" s="1126"/>
      <c r="F119" s="1126"/>
      <c r="G119" s="1126"/>
      <c r="H119" s="1126"/>
      <c r="I119" s="1126"/>
      <c r="J119" s="1126"/>
      <c r="K119" s="1126"/>
      <c r="L119" s="1126"/>
    </row>
    <row r="120" spans="1:12" x14ac:dyDescent="0.2">
      <c r="A120" s="1126"/>
      <c r="B120" s="1126"/>
      <c r="C120" s="1126"/>
      <c r="D120" s="1126"/>
      <c r="E120" s="1126"/>
      <c r="F120" s="1126"/>
      <c r="G120" s="1126"/>
      <c r="H120" s="1126"/>
      <c r="I120" s="1126"/>
      <c r="J120" s="1126"/>
      <c r="K120" s="1126"/>
      <c r="L120" s="1126"/>
    </row>
  </sheetData>
  <mergeCells count="28">
    <mergeCell ref="A2:K3"/>
    <mergeCell ref="B79:K80"/>
    <mergeCell ref="A24:K26"/>
    <mergeCell ref="A28:K33"/>
    <mergeCell ref="A59:K64"/>
    <mergeCell ref="A35:K37"/>
    <mergeCell ref="A5:K7"/>
    <mergeCell ref="A12:K14"/>
    <mergeCell ref="A68:K69"/>
    <mergeCell ref="A51:K55"/>
    <mergeCell ref="A9:K10"/>
    <mergeCell ref="A20:K22"/>
    <mergeCell ref="A23:K23"/>
    <mergeCell ref="A39:K40"/>
    <mergeCell ref="A44:K49"/>
    <mergeCell ref="A16:K18"/>
    <mergeCell ref="A117:L120"/>
    <mergeCell ref="B100:K101"/>
    <mergeCell ref="B89:K90"/>
    <mergeCell ref="B91:K92"/>
    <mergeCell ref="B93:K94"/>
    <mergeCell ref="B85:K86"/>
    <mergeCell ref="B87:K88"/>
    <mergeCell ref="A72:A73"/>
    <mergeCell ref="B72:K73"/>
    <mergeCell ref="B74:K75"/>
    <mergeCell ref="B81:K82"/>
    <mergeCell ref="B78:K78"/>
  </mergeCells>
  <phoneticPr fontId="13" type="noConversion"/>
  <pageMargins left="0.61" right="0.39" top="0.65" bottom="0.65" header="0.5" footer="0.5"/>
  <pageSetup scale="89" orientation="portrait" r:id="rId1"/>
  <headerFooter alignWithMargins="0">
    <oddHeader>&amp;RInstructions</oddHeader>
    <oddFooter>&amp;L&amp;8&amp;F&amp;R&amp;P</oddFooter>
  </headerFooter>
  <rowBreaks count="2" manualBreakCount="2">
    <brk id="56" max="11" man="1"/>
    <brk id="120" max="11" man="1"/>
  </rowBreaks>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S133"/>
  <sheetViews>
    <sheetView workbookViewId="0">
      <selection activeCell="J24" sqref="J24"/>
    </sheetView>
  </sheetViews>
  <sheetFormatPr defaultRowHeight="12.75" x14ac:dyDescent="0.2"/>
  <cols>
    <col min="1" max="1" width="4" style="4" customWidth="1"/>
    <col min="2" max="2" width="4" customWidth="1"/>
    <col min="4" max="4" width="9.28515625" customWidth="1"/>
    <col min="5" max="5" width="4.42578125" customWidth="1"/>
    <col min="6" max="6" width="10.42578125" bestFit="1" customWidth="1"/>
    <col min="7" max="7" width="11.28515625" bestFit="1" customWidth="1"/>
    <col min="8" max="8" width="1.42578125" style="1" customWidth="1"/>
    <col min="9" max="9" width="11.28515625" customWidth="1"/>
    <col min="10" max="10" width="11.85546875" bestFit="1" customWidth="1"/>
    <col min="11" max="11" width="11.140625" customWidth="1"/>
    <col min="12" max="12" width="11.42578125" bestFit="1" customWidth="1"/>
    <col min="13" max="13" width="1.7109375" customWidth="1"/>
    <col min="14" max="14" width="12.5703125" customWidth="1"/>
    <col min="15" max="15" width="10" bestFit="1" customWidth="1"/>
    <col min="16" max="16" width="1.7109375" customWidth="1"/>
    <col min="17" max="17" width="11.28515625" customWidth="1"/>
    <col min="18" max="19" width="11.42578125" customWidth="1"/>
  </cols>
  <sheetData>
    <row r="1" spans="1:16" ht="7.5" customHeight="1" x14ac:dyDescent="0.2"/>
    <row r="2" spans="1:16" ht="33.75" customHeight="1" x14ac:dyDescent="0.25">
      <c r="A2" s="1200" t="s">
        <v>338</v>
      </c>
      <c r="B2" s="1201"/>
      <c r="C2" s="1201"/>
      <c r="D2" s="1201"/>
      <c r="E2" s="1201"/>
      <c r="F2" s="1201"/>
      <c r="G2" s="1201"/>
      <c r="H2" s="1201"/>
      <c r="I2" s="1201"/>
      <c r="J2" s="1201"/>
      <c r="K2" s="1201"/>
      <c r="L2" s="1201"/>
      <c r="M2" s="1201"/>
      <c r="N2" s="1201"/>
      <c r="O2" s="1201"/>
      <c r="P2" s="1202"/>
    </row>
    <row r="3" spans="1:16" ht="11.25" customHeight="1" x14ac:dyDescent="0.2"/>
    <row r="4" spans="1:16" ht="91.5" customHeight="1" x14ac:dyDescent="0.2">
      <c r="B4" s="1136" t="s">
        <v>1097</v>
      </c>
      <c r="C4" s="1126"/>
      <c r="D4" s="1126"/>
      <c r="E4" s="1126"/>
      <c r="F4" s="1126"/>
      <c r="G4" s="1126"/>
      <c r="H4" s="1126"/>
      <c r="I4" s="1126"/>
      <c r="J4" s="1126"/>
      <c r="K4" s="1126"/>
      <c r="L4" s="1126"/>
      <c r="M4" s="1126"/>
      <c r="N4" s="1126"/>
      <c r="O4" s="1126"/>
      <c r="P4" s="1126"/>
    </row>
    <row r="5" spans="1:16" ht="5.25" customHeight="1" x14ac:dyDescent="0.2"/>
    <row r="6" spans="1:16" ht="9" customHeight="1" x14ac:dyDescent="0.2"/>
    <row r="7" spans="1:16" ht="12.75" customHeight="1" x14ac:dyDescent="0.2">
      <c r="B7" s="64" t="s">
        <v>947</v>
      </c>
      <c r="C7" s="1126" t="s">
        <v>337</v>
      </c>
      <c r="D7" s="1126"/>
      <c r="E7" s="1126"/>
      <c r="F7" s="1126"/>
      <c r="G7" s="1126"/>
      <c r="H7" s="1126"/>
      <c r="I7" s="1126"/>
      <c r="J7" s="1126"/>
      <c r="K7" s="1126"/>
      <c r="L7" s="1126"/>
      <c r="M7" s="1126"/>
      <c r="N7" s="1126"/>
      <c r="O7" s="1126"/>
      <c r="P7" s="1126"/>
    </row>
    <row r="8" spans="1:16" ht="12.75" customHeight="1" x14ac:dyDescent="0.2">
      <c r="B8" s="64"/>
      <c r="C8" s="1126"/>
      <c r="D8" s="1126"/>
      <c r="E8" s="1126"/>
      <c r="F8" s="1126"/>
      <c r="G8" s="1126"/>
      <c r="H8" s="1126"/>
      <c r="I8" s="1126"/>
      <c r="J8" s="1126"/>
      <c r="K8" s="1126"/>
      <c r="L8" s="1126"/>
      <c r="M8" s="1126"/>
      <c r="N8" s="1126"/>
      <c r="O8" s="1126"/>
      <c r="P8" s="1126"/>
    </row>
    <row r="9" spans="1:16" ht="5.25" customHeight="1" x14ac:dyDescent="0.2">
      <c r="B9" s="64"/>
      <c r="C9" s="59"/>
      <c r="D9" s="59"/>
      <c r="E9" s="59"/>
      <c r="F9" s="59"/>
      <c r="G9" s="59"/>
      <c r="H9" s="59"/>
      <c r="I9" s="59"/>
      <c r="J9" s="59"/>
      <c r="K9" s="59"/>
      <c r="L9" s="59"/>
      <c r="M9" s="59"/>
      <c r="N9" s="59"/>
      <c r="O9" s="59"/>
      <c r="P9" s="59"/>
    </row>
    <row r="10" spans="1:16" ht="12.75" customHeight="1" x14ac:dyDescent="0.2">
      <c r="B10" s="64" t="s">
        <v>948</v>
      </c>
      <c r="C10" s="1126" t="s">
        <v>628</v>
      </c>
      <c r="D10" s="1126"/>
      <c r="E10" s="1126"/>
      <c r="F10" s="1126"/>
      <c r="G10" s="1126"/>
      <c r="H10" s="1126"/>
      <c r="I10" s="1126"/>
      <c r="J10" s="1126"/>
      <c r="K10" s="1126"/>
      <c r="L10" s="1126"/>
      <c r="M10" s="1126"/>
      <c r="N10" s="1126"/>
      <c r="O10" s="1126"/>
    </row>
    <row r="11" spans="1:16" ht="12.75" customHeight="1" x14ac:dyDescent="0.2">
      <c r="B11" s="64"/>
      <c r="C11" s="1126"/>
      <c r="D11" s="1126"/>
      <c r="E11" s="1126"/>
      <c r="F11" s="1126"/>
      <c r="G11" s="1126"/>
      <c r="H11" s="1126"/>
      <c r="I11" s="1126"/>
      <c r="J11" s="1126"/>
      <c r="K11" s="1126"/>
      <c r="L11" s="1126"/>
      <c r="M11" s="1126"/>
      <c r="N11" s="1126"/>
      <c r="O11" s="1126"/>
    </row>
    <row r="12" spans="1:16" ht="5.25" customHeight="1" x14ac:dyDescent="0.2">
      <c r="B12" s="64"/>
    </row>
    <row r="13" spans="1:16" ht="12.75" customHeight="1" x14ac:dyDescent="0.2">
      <c r="B13" s="64" t="s">
        <v>471</v>
      </c>
      <c r="C13" s="1126" t="s">
        <v>89</v>
      </c>
      <c r="D13" s="1126"/>
      <c r="E13" s="1126"/>
      <c r="F13" s="1126"/>
      <c r="G13" s="1126"/>
      <c r="H13" s="1126"/>
      <c r="I13" s="1126"/>
      <c r="J13" s="1126"/>
      <c r="K13" s="1126"/>
      <c r="L13" s="1126"/>
      <c r="M13" s="1126"/>
      <c r="N13" s="1126"/>
      <c r="O13" s="1126"/>
    </row>
    <row r="14" spans="1:16" ht="12.75" customHeight="1" x14ac:dyDescent="0.2">
      <c r="B14" s="64"/>
      <c r="C14" s="1126"/>
      <c r="D14" s="1126"/>
      <c r="E14" s="1126"/>
      <c r="F14" s="1126"/>
      <c r="G14" s="1126"/>
      <c r="H14" s="1126"/>
      <c r="I14" s="1126"/>
      <c r="J14" s="1126"/>
      <c r="K14" s="1126"/>
      <c r="L14" s="1126"/>
      <c r="M14" s="1126"/>
      <c r="N14" s="1126"/>
      <c r="O14" s="1126"/>
    </row>
    <row r="15" spans="1:16" ht="6" customHeight="1" x14ac:dyDescent="0.2"/>
    <row r="16" spans="1:16" x14ac:dyDescent="0.2">
      <c r="C16" s="1126"/>
      <c r="D16" s="1126"/>
      <c r="E16" s="1126"/>
      <c r="F16" s="1126"/>
      <c r="G16" s="1126"/>
      <c r="H16" s="1126"/>
      <c r="I16" s="1126"/>
      <c r="J16" s="1126"/>
      <c r="K16" s="1126"/>
      <c r="L16" s="1126"/>
      <c r="M16" s="1126"/>
      <c r="N16" s="1126"/>
      <c r="O16" s="1126"/>
    </row>
    <row r="17" spans="1:16" ht="25.5" customHeight="1" x14ac:dyDescent="0.2">
      <c r="A17" s="4" t="s">
        <v>876</v>
      </c>
      <c r="B17" s="1207" t="s">
        <v>714</v>
      </c>
      <c r="C17" s="1208"/>
      <c r="D17" s="1208"/>
      <c r="E17" s="1208"/>
      <c r="F17" s="1208"/>
      <c r="G17" s="1208"/>
      <c r="H17" s="1208"/>
      <c r="I17" s="1208"/>
      <c r="J17" s="1208"/>
      <c r="K17" s="1208"/>
      <c r="L17" s="1208"/>
      <c r="M17" s="1208"/>
      <c r="N17" s="1208"/>
      <c r="O17" s="1209"/>
      <c r="P17" s="69"/>
    </row>
    <row r="18" spans="1:16" ht="12.75" customHeight="1" x14ac:dyDescent="0.2">
      <c r="B18" s="69"/>
      <c r="C18" s="54"/>
      <c r="D18" s="54"/>
      <c r="E18" s="54"/>
      <c r="F18" s="54"/>
      <c r="G18" s="54"/>
      <c r="H18" s="52"/>
      <c r="I18" s="54"/>
      <c r="J18" s="54"/>
      <c r="K18" s="54"/>
      <c r="L18" s="54"/>
      <c r="M18" s="54"/>
      <c r="N18" s="54"/>
    </row>
    <row r="19" spans="1:16" x14ac:dyDescent="0.2">
      <c r="B19" s="69"/>
      <c r="C19" s="54"/>
      <c r="D19" s="54"/>
      <c r="E19" s="54"/>
      <c r="F19" s="54"/>
      <c r="G19" s="54"/>
      <c r="H19" s="52"/>
      <c r="I19" s="54"/>
      <c r="J19" s="125" t="s">
        <v>348</v>
      </c>
      <c r="K19" s="125"/>
      <c r="L19" s="125"/>
      <c r="M19" s="125"/>
      <c r="N19" s="640" t="s">
        <v>1098</v>
      </c>
    </row>
    <row r="20" spans="1:16" x14ac:dyDescent="0.2">
      <c r="H20" s="11"/>
      <c r="I20" s="11"/>
      <c r="J20" s="3" t="s">
        <v>62</v>
      </c>
      <c r="K20" s="3" t="s">
        <v>349</v>
      </c>
      <c r="L20" s="3" t="s">
        <v>350</v>
      </c>
      <c r="M20" s="3"/>
      <c r="N20" s="641" t="s">
        <v>1099</v>
      </c>
    </row>
    <row r="21" spans="1:16" ht="6" customHeight="1" x14ac:dyDescent="0.2">
      <c r="H21" s="11"/>
      <c r="I21" s="11"/>
    </row>
    <row r="22" spans="1:16" ht="13.5" customHeight="1" x14ac:dyDescent="0.2">
      <c r="B22" s="64" t="s">
        <v>947</v>
      </c>
      <c r="C22" s="1126" t="s">
        <v>339</v>
      </c>
      <c r="D22" s="1126"/>
      <c r="E22" s="1126"/>
      <c r="F22" s="1126"/>
      <c r="G22" s="1126"/>
      <c r="H22" s="1126"/>
      <c r="I22" s="11"/>
      <c r="J22" s="52"/>
    </row>
    <row r="23" spans="1:16" ht="24.75" customHeight="1" x14ac:dyDescent="0.2">
      <c r="B23" s="64"/>
      <c r="C23" s="1126"/>
      <c r="D23" s="1126"/>
      <c r="E23" s="1126"/>
      <c r="F23" s="1126"/>
      <c r="G23" s="1126"/>
      <c r="H23" s="1126"/>
      <c r="I23" s="11"/>
      <c r="J23" s="52"/>
    </row>
    <row r="24" spans="1:16" x14ac:dyDescent="0.2">
      <c r="D24" t="s">
        <v>756</v>
      </c>
      <c r="H24"/>
      <c r="I24" s="11"/>
      <c r="J24" s="523"/>
      <c r="K24" s="524"/>
      <c r="L24" s="524"/>
      <c r="M24" s="525"/>
      <c r="N24" s="524"/>
    </row>
    <row r="25" spans="1:16" x14ac:dyDescent="0.2">
      <c r="D25" t="s">
        <v>493</v>
      </c>
      <c r="H25"/>
      <c r="I25" s="11"/>
      <c r="J25" s="523"/>
      <c r="K25" s="5"/>
      <c r="L25" s="5"/>
      <c r="M25" s="5"/>
      <c r="N25" s="524"/>
    </row>
    <row r="26" spans="1:16" x14ac:dyDescent="0.2">
      <c r="D26" t="s">
        <v>735</v>
      </c>
      <c r="H26"/>
      <c r="I26" s="11"/>
      <c r="J26" s="523"/>
      <c r="K26" s="5"/>
      <c r="L26" s="5"/>
      <c r="M26" s="5"/>
      <c r="N26" s="524"/>
    </row>
    <row r="27" spans="1:16" x14ac:dyDescent="0.2">
      <c r="D27" t="s">
        <v>300</v>
      </c>
      <c r="H27"/>
      <c r="I27" s="11"/>
      <c r="J27" s="523"/>
      <c r="K27" s="5"/>
      <c r="L27" s="5"/>
      <c r="M27" s="5"/>
      <c r="N27" s="524"/>
    </row>
    <row r="28" spans="1:16" x14ac:dyDescent="0.2">
      <c r="H28" s="11"/>
      <c r="I28" s="11"/>
      <c r="J28" s="143"/>
      <c r="N28" s="13"/>
    </row>
    <row r="29" spans="1:16" ht="7.5" customHeight="1" x14ac:dyDescent="0.2">
      <c r="H29" s="11"/>
      <c r="I29" s="11"/>
      <c r="J29" s="52"/>
    </row>
    <row r="30" spans="1:16" ht="17.25" thickBot="1" x14ac:dyDescent="0.4">
      <c r="D30" t="s">
        <v>732</v>
      </c>
      <c r="H30" s="11"/>
      <c r="I30" s="87"/>
      <c r="J30" s="113">
        <f>SUM(J24:J28)</f>
        <v>0</v>
      </c>
    </row>
    <row r="31" spans="1:16" ht="17.25" thickTop="1" x14ac:dyDescent="0.35">
      <c r="H31" s="11"/>
      <c r="I31" s="87"/>
      <c r="J31" s="10"/>
    </row>
    <row r="32" spans="1:16" x14ac:dyDescent="0.2">
      <c r="H32" s="11"/>
    </row>
    <row r="33" spans="1:16" ht="25.5" customHeight="1" x14ac:dyDescent="0.2">
      <c r="A33" s="4" t="s">
        <v>877</v>
      </c>
      <c r="B33" s="1207" t="s">
        <v>341</v>
      </c>
      <c r="C33" s="1208"/>
      <c r="D33" s="1208"/>
      <c r="E33" s="1208"/>
      <c r="F33" s="1208"/>
      <c r="G33" s="1208"/>
      <c r="H33" s="1208"/>
      <c r="I33" s="1208"/>
      <c r="J33" s="1208"/>
      <c r="K33" s="1208"/>
      <c r="L33" s="1208"/>
      <c r="M33" s="1208"/>
      <c r="N33" s="1208"/>
      <c r="O33" s="1209"/>
      <c r="P33" s="69"/>
    </row>
    <row r="34" spans="1:16" ht="19.5" customHeight="1" x14ac:dyDescent="0.2">
      <c r="H34" s="11"/>
      <c r="I34" s="11"/>
      <c r="J34" s="11"/>
      <c r="K34" s="11"/>
      <c r="L34" s="11"/>
      <c r="N34" s="11"/>
    </row>
    <row r="35" spans="1:16" ht="13.5" customHeight="1" x14ac:dyDescent="0.2">
      <c r="B35" s="4" t="s">
        <v>342</v>
      </c>
      <c r="H35" s="11"/>
      <c r="I35" s="11"/>
      <c r="J35" s="11"/>
      <c r="K35" s="11"/>
      <c r="L35" s="11"/>
      <c r="N35" s="11"/>
    </row>
    <row r="36" spans="1:16" ht="12.75" customHeight="1" x14ac:dyDescent="0.2">
      <c r="B36" s="64" t="s">
        <v>947</v>
      </c>
      <c r="C36" s="1126" t="s">
        <v>253</v>
      </c>
      <c r="D36" s="1126"/>
      <c r="E36" s="1126"/>
      <c r="F36" s="1126"/>
      <c r="G36" s="1126"/>
      <c r="H36"/>
      <c r="K36" s="1264"/>
      <c r="L36" s="11"/>
      <c r="N36" s="11"/>
    </row>
    <row r="37" spans="1:16" ht="15.75" customHeight="1" x14ac:dyDescent="0.2">
      <c r="B37" s="64"/>
      <c r="C37" s="1126"/>
      <c r="D37" s="1126"/>
      <c r="E37" s="1126"/>
      <c r="F37" s="1126"/>
      <c r="G37" s="1126"/>
      <c r="H37"/>
      <c r="K37" s="1264"/>
      <c r="L37" s="11"/>
    </row>
    <row r="38" spans="1:16" ht="4.5" customHeight="1" x14ac:dyDescent="0.2">
      <c r="H38"/>
      <c r="K38" s="11"/>
      <c r="L38" s="11"/>
      <c r="M38" s="1267" t="s">
        <v>1100</v>
      </c>
      <c r="N38" s="1267"/>
    </row>
    <row r="39" spans="1:16" ht="24.75" customHeight="1" x14ac:dyDescent="0.2">
      <c r="B39" s="64" t="s">
        <v>948</v>
      </c>
      <c r="C39" s="1134" t="s">
        <v>254</v>
      </c>
      <c r="D39" s="1134"/>
      <c r="E39" s="1134"/>
      <c r="F39" s="1134"/>
      <c r="G39" s="1134"/>
      <c r="H39"/>
      <c r="I39" s="1267" t="s">
        <v>156</v>
      </c>
      <c r="J39" s="1266"/>
      <c r="K39" s="1267" t="s">
        <v>157</v>
      </c>
      <c r="L39" s="1238">
        <v>0</v>
      </c>
      <c r="M39" s="1267"/>
      <c r="N39" s="1267"/>
      <c r="O39" s="1238"/>
    </row>
    <row r="40" spans="1:16" ht="11.25" customHeight="1" x14ac:dyDescent="0.2">
      <c r="B40" s="64"/>
      <c r="C40" s="1134"/>
      <c r="D40" s="1134"/>
      <c r="E40" s="1134"/>
      <c r="F40" s="1134"/>
      <c r="G40" s="1134"/>
      <c r="H40"/>
      <c r="I40" s="1267"/>
      <c r="J40" s="1266"/>
      <c r="K40" s="1267"/>
      <c r="L40" s="1238"/>
      <c r="M40" s="1267"/>
      <c r="N40" s="1267"/>
      <c r="O40" s="1238"/>
    </row>
    <row r="41" spans="1:16" ht="12.75" customHeight="1" x14ac:dyDescent="0.2">
      <c r="H41"/>
      <c r="K41" s="11"/>
      <c r="L41" s="11"/>
      <c r="N41" s="11"/>
    </row>
    <row r="42" spans="1:16" ht="12.75" customHeight="1" x14ac:dyDescent="0.2">
      <c r="B42" s="4" t="s">
        <v>573</v>
      </c>
      <c r="H42"/>
      <c r="K42" s="11"/>
      <c r="L42" s="11"/>
      <c r="N42" s="11"/>
    </row>
    <row r="43" spans="1:16" ht="14.25" customHeight="1" x14ac:dyDescent="0.2">
      <c r="B43" s="64" t="s">
        <v>949</v>
      </c>
      <c r="C43" s="1123" t="s">
        <v>649</v>
      </c>
      <c r="D43" s="1123"/>
      <c r="E43" s="1123"/>
      <c r="F43" s="1123"/>
      <c r="G43" s="1123"/>
      <c r="H43"/>
      <c r="K43" s="523"/>
      <c r="L43" s="11"/>
    </row>
    <row r="44" spans="1:16" ht="4.5" customHeight="1" x14ac:dyDescent="0.2">
      <c r="H44"/>
      <c r="K44" s="490"/>
      <c r="L44" s="11"/>
    </row>
    <row r="45" spans="1:16" ht="14.25" customHeight="1" x14ac:dyDescent="0.2">
      <c r="B45" s="64" t="s">
        <v>878</v>
      </c>
      <c r="C45" s="1265" t="s">
        <v>646</v>
      </c>
      <c r="D45" s="1265"/>
      <c r="E45" s="1265"/>
      <c r="F45" s="1265"/>
      <c r="G45" s="1265"/>
      <c r="H45"/>
      <c r="J45" s="36"/>
      <c r="K45" s="523"/>
    </row>
    <row r="46" spans="1:16" ht="4.5" customHeight="1" x14ac:dyDescent="0.2">
      <c r="H46"/>
      <c r="K46" s="490"/>
      <c r="L46" s="11"/>
    </row>
    <row r="47" spans="1:16" ht="12.75" customHeight="1" x14ac:dyDescent="0.2">
      <c r="B47" s="64" t="s">
        <v>879</v>
      </c>
      <c r="C47" t="s">
        <v>647</v>
      </c>
      <c r="H47"/>
      <c r="K47" s="523"/>
      <c r="L47" s="11"/>
    </row>
    <row r="48" spans="1:16" ht="4.5" customHeight="1" x14ac:dyDescent="0.2">
      <c r="H48"/>
      <c r="K48" s="490"/>
      <c r="L48" s="11"/>
    </row>
    <row r="49" spans="1:16" ht="14.25" customHeight="1" x14ac:dyDescent="0.2">
      <c r="B49" s="64" t="s">
        <v>328</v>
      </c>
      <c r="C49" s="1123" t="s">
        <v>340</v>
      </c>
      <c r="D49" s="1123"/>
      <c r="E49" s="1123"/>
      <c r="F49" s="1123"/>
      <c r="G49" s="1123"/>
      <c r="H49"/>
      <c r="K49" s="526"/>
      <c r="L49" s="11"/>
    </row>
    <row r="50" spans="1:16" ht="12.75" customHeight="1" x14ac:dyDescent="0.2">
      <c r="D50" t="s">
        <v>1030</v>
      </c>
      <c r="H50"/>
      <c r="K50" s="175">
        <f>K43-K45+K47-K49</f>
        <v>0</v>
      </c>
      <c r="L50" s="11"/>
      <c r="N50" s="11"/>
      <c r="O50" s="75"/>
    </row>
    <row r="51" spans="1:16" ht="12.75" customHeight="1" x14ac:dyDescent="0.2">
      <c r="H51"/>
      <c r="K51" s="11"/>
      <c r="L51" s="11"/>
      <c r="N51" s="11"/>
      <c r="O51" s="75"/>
    </row>
    <row r="52" spans="1:16" ht="12.75" customHeight="1" x14ac:dyDescent="0.2">
      <c r="B52" s="4" t="s">
        <v>648</v>
      </c>
      <c r="H52"/>
      <c r="K52" s="11"/>
      <c r="L52" s="11"/>
      <c r="N52" s="11"/>
      <c r="O52" s="75"/>
    </row>
    <row r="53" spans="1:16" ht="13.5" customHeight="1" x14ac:dyDescent="0.2">
      <c r="B53" s="64" t="s">
        <v>155</v>
      </c>
      <c r="C53" s="1126" t="s">
        <v>855</v>
      </c>
      <c r="D53" s="1126"/>
      <c r="E53" s="1126"/>
      <c r="F53" s="1126"/>
      <c r="G53" s="1126"/>
      <c r="H53"/>
      <c r="K53" s="1264"/>
      <c r="L53" s="11"/>
      <c r="N53" s="11"/>
    </row>
    <row r="54" spans="1:16" ht="12" customHeight="1" x14ac:dyDescent="0.2">
      <c r="B54" s="64"/>
      <c r="C54" s="1126"/>
      <c r="D54" s="1126"/>
      <c r="E54" s="1126"/>
      <c r="F54" s="1126"/>
      <c r="G54" s="1126"/>
      <c r="H54"/>
      <c r="K54" s="1264"/>
      <c r="L54" s="11"/>
      <c r="N54" s="11"/>
    </row>
    <row r="55" spans="1:16" ht="4.5" customHeight="1" x14ac:dyDescent="0.2">
      <c r="B55" s="64"/>
      <c r="H55"/>
      <c r="K55" s="11"/>
      <c r="L55" s="11"/>
      <c r="N55" s="11"/>
    </row>
    <row r="56" spans="1:16" ht="13.5" customHeight="1" x14ac:dyDescent="0.2">
      <c r="B56" s="64" t="s">
        <v>757</v>
      </c>
      <c r="C56" s="1135" t="s">
        <v>391</v>
      </c>
      <c r="D56" s="1135"/>
      <c r="E56" s="1135"/>
      <c r="F56" s="1135"/>
      <c r="G56" s="1135"/>
      <c r="H56"/>
      <c r="K56" s="1264"/>
      <c r="L56" s="11"/>
      <c r="N56" s="11"/>
    </row>
    <row r="57" spans="1:16" ht="12.75" customHeight="1" x14ac:dyDescent="0.2">
      <c r="B57" s="64"/>
      <c r="C57" s="1135"/>
      <c r="D57" s="1135"/>
      <c r="E57" s="1135"/>
      <c r="F57" s="1135"/>
      <c r="G57" s="1135"/>
      <c r="H57"/>
      <c r="K57" s="1264"/>
      <c r="L57" s="11"/>
      <c r="N57" s="11"/>
    </row>
    <row r="58" spans="1:16" ht="12.75" customHeight="1" x14ac:dyDescent="0.2">
      <c r="B58" s="64"/>
      <c r="C58" s="92"/>
      <c r="D58" s="1135" t="s">
        <v>525</v>
      </c>
      <c r="E58" s="1135"/>
      <c r="F58" s="1135"/>
      <c r="G58" s="1135"/>
      <c r="H58"/>
      <c r="K58" s="175">
        <f>K53+K56</f>
        <v>0</v>
      </c>
      <c r="L58" s="11"/>
      <c r="N58" s="11"/>
    </row>
    <row r="59" spans="1:16" ht="19.5" customHeight="1" x14ac:dyDescent="0.2">
      <c r="G59" s="12"/>
      <c r="H59" s="11"/>
      <c r="I59" s="11"/>
      <c r="J59" s="11"/>
      <c r="K59" s="11"/>
      <c r="L59" s="11"/>
      <c r="N59" s="11"/>
    </row>
    <row r="60" spans="1:16" ht="25.5" customHeight="1" x14ac:dyDescent="0.2">
      <c r="A60" s="4" t="s">
        <v>466</v>
      </c>
      <c r="B60" s="1228" t="s">
        <v>1101</v>
      </c>
      <c r="C60" s="1229"/>
      <c r="D60" s="1229"/>
      <c r="E60" s="1229"/>
      <c r="F60" s="1229"/>
      <c r="G60" s="1229"/>
      <c r="H60" s="1229"/>
      <c r="I60" s="1229"/>
      <c r="J60" s="1229"/>
      <c r="K60" s="1229"/>
      <c r="L60" s="1229"/>
      <c r="M60" s="1229"/>
      <c r="N60" s="1229"/>
      <c r="O60" s="1230"/>
      <c r="P60" s="77"/>
    </row>
    <row r="61" spans="1:16" ht="10.5" customHeight="1" x14ac:dyDescent="0.2"/>
    <row r="62" spans="1:16" ht="27" customHeight="1" x14ac:dyDescent="0.2">
      <c r="B62" s="1126" t="s">
        <v>256</v>
      </c>
      <c r="C62" s="1126"/>
      <c r="D62" s="1126"/>
      <c r="E62" s="1126"/>
      <c r="F62" s="1126"/>
      <c r="G62" s="1126"/>
      <c r="H62" s="1126"/>
      <c r="I62" s="1126"/>
      <c r="J62" s="1126"/>
      <c r="K62" s="1126"/>
      <c r="L62" s="1126"/>
      <c r="M62" s="1126"/>
      <c r="N62" s="1126"/>
      <c r="O62" s="1126"/>
    </row>
    <row r="63" spans="1:16" ht="6" customHeight="1" x14ac:dyDescent="0.2"/>
    <row r="64" spans="1:16" ht="12.75" customHeight="1" x14ac:dyDescent="0.2">
      <c r="B64" s="64" t="s">
        <v>947</v>
      </c>
      <c r="C64" s="229" t="s">
        <v>1102</v>
      </c>
      <c r="K64" s="523"/>
    </row>
    <row r="65" spans="1:15" ht="9" customHeight="1" x14ac:dyDescent="0.2">
      <c r="K65" s="14"/>
    </row>
    <row r="66" spans="1:15" ht="12.75" customHeight="1" x14ac:dyDescent="0.2">
      <c r="B66" s="64" t="s">
        <v>948</v>
      </c>
      <c r="C66" t="s">
        <v>650</v>
      </c>
      <c r="K66" s="523"/>
    </row>
    <row r="67" spans="1:15" ht="7.5" customHeight="1" x14ac:dyDescent="0.2">
      <c r="K67" s="14"/>
    </row>
    <row r="68" spans="1:15" ht="12.75" customHeight="1" x14ac:dyDescent="0.2">
      <c r="B68" s="64" t="s">
        <v>949</v>
      </c>
      <c r="C68" s="1126" t="s">
        <v>197</v>
      </c>
      <c r="D68" s="1126"/>
      <c r="E68" s="1126"/>
      <c r="F68" s="1126"/>
      <c r="G68" s="1126"/>
      <c r="K68" s="1264"/>
    </row>
    <row r="69" spans="1:15" ht="12.75" customHeight="1" x14ac:dyDescent="0.2">
      <c r="B69" s="64"/>
      <c r="C69" s="1126"/>
      <c r="D69" s="1126"/>
      <c r="E69" s="1126"/>
      <c r="F69" s="1126"/>
      <c r="G69" s="1126"/>
      <c r="K69" s="1264"/>
    </row>
    <row r="70" spans="1:15" ht="7.5" customHeight="1" x14ac:dyDescent="0.2">
      <c r="K70" s="14"/>
    </row>
    <row r="71" spans="1:15" ht="12.75" customHeight="1" x14ac:dyDescent="0.2">
      <c r="B71" s="64" t="s">
        <v>878</v>
      </c>
      <c r="C71" t="s">
        <v>651</v>
      </c>
      <c r="K71" s="523"/>
    </row>
    <row r="72" spans="1:15" ht="12.75" customHeight="1" x14ac:dyDescent="0.2"/>
    <row r="73" spans="1:15" ht="12.75" customHeight="1" x14ac:dyDescent="0.2"/>
    <row r="74" spans="1:15" ht="25.5" customHeight="1" x14ac:dyDescent="0.2">
      <c r="A74" s="4" t="s">
        <v>472</v>
      </c>
      <c r="B74" s="1228" t="s">
        <v>451</v>
      </c>
      <c r="C74" s="1229"/>
      <c r="D74" s="1229"/>
      <c r="E74" s="1229"/>
      <c r="F74" s="1229"/>
      <c r="G74" s="1229"/>
      <c r="H74" s="1229"/>
      <c r="I74" s="1229"/>
      <c r="J74" s="1229"/>
      <c r="K74" s="1229"/>
      <c r="L74" s="1229"/>
      <c r="M74" s="1229"/>
      <c r="N74" s="1229"/>
      <c r="O74" s="1230"/>
    </row>
    <row r="75" spans="1:15" ht="19.5" customHeight="1" x14ac:dyDescent="0.2"/>
    <row r="76" spans="1:15" ht="12.75" customHeight="1" x14ac:dyDescent="0.2">
      <c r="L76" s="74" t="s">
        <v>65</v>
      </c>
      <c r="N76" s="74" t="s">
        <v>66</v>
      </c>
    </row>
    <row r="77" spans="1:15" ht="12.75" customHeight="1" x14ac:dyDescent="0.2">
      <c r="D77" t="s">
        <v>840</v>
      </c>
      <c r="E77" t="s">
        <v>623</v>
      </c>
      <c r="L77" s="103">
        <f>R104-S104</f>
        <v>0</v>
      </c>
      <c r="N77" s="103">
        <v>0</v>
      </c>
    </row>
    <row r="78" spans="1:15" ht="12.75" customHeight="1" x14ac:dyDescent="0.2">
      <c r="E78" t="s">
        <v>624</v>
      </c>
      <c r="L78" s="103">
        <f>R105-S105</f>
        <v>0</v>
      </c>
      <c r="N78" s="103">
        <v>0</v>
      </c>
    </row>
    <row r="79" spans="1:15" ht="12.75" customHeight="1" x14ac:dyDescent="0.2">
      <c r="E79" t="s">
        <v>793</v>
      </c>
      <c r="L79" s="103">
        <f>R106-S106</f>
        <v>0</v>
      </c>
      <c r="N79" s="103">
        <v>0</v>
      </c>
    </row>
    <row r="80" spans="1:15" ht="12.75" customHeight="1" x14ac:dyDescent="0.2">
      <c r="E80" t="s">
        <v>625</v>
      </c>
      <c r="L80" s="103">
        <f>R107-S107</f>
        <v>0</v>
      </c>
      <c r="N80" s="103">
        <v>0</v>
      </c>
    </row>
    <row r="81" spans="5:14" ht="12.75" customHeight="1" x14ac:dyDescent="0.2">
      <c r="E81" t="s">
        <v>626</v>
      </c>
      <c r="L81" s="103">
        <f>R108</f>
        <v>0</v>
      </c>
      <c r="N81" s="103">
        <f>S108</f>
        <v>0</v>
      </c>
    </row>
    <row r="82" spans="5:14" ht="12.75" customHeight="1" x14ac:dyDescent="0.2">
      <c r="E82" s="229" t="s">
        <v>1103</v>
      </c>
      <c r="L82" s="103">
        <f>R109</f>
        <v>0</v>
      </c>
      <c r="N82" s="103">
        <f>S109</f>
        <v>0</v>
      </c>
    </row>
    <row r="83" spans="5:14" ht="12.75" customHeight="1" x14ac:dyDescent="0.2">
      <c r="E83" t="s">
        <v>863</v>
      </c>
      <c r="L83" s="103">
        <f>R110</f>
        <v>0</v>
      </c>
      <c r="N83" s="103">
        <f>S110</f>
        <v>0</v>
      </c>
    </row>
    <row r="84" spans="5:14" ht="12.75" customHeight="1" x14ac:dyDescent="0.2">
      <c r="E84" t="s">
        <v>758</v>
      </c>
      <c r="L84" s="103">
        <f>R111-S111</f>
        <v>0</v>
      </c>
      <c r="N84" s="103">
        <v>0</v>
      </c>
    </row>
    <row r="85" spans="5:14" ht="12.75" customHeight="1" x14ac:dyDescent="0.2">
      <c r="F85" t="s">
        <v>68</v>
      </c>
      <c r="L85" s="103">
        <v>0</v>
      </c>
      <c r="N85" s="103">
        <f>S112-R112</f>
        <v>0</v>
      </c>
    </row>
    <row r="86" spans="5:14" ht="12.75" customHeight="1" x14ac:dyDescent="0.2">
      <c r="F86" s="229" t="s">
        <v>1104</v>
      </c>
      <c r="L86" s="103">
        <v>0</v>
      </c>
      <c r="N86" s="103">
        <f>S113-R113</f>
        <v>0</v>
      </c>
    </row>
    <row r="87" spans="5:14" ht="12.75" customHeight="1" x14ac:dyDescent="0.2">
      <c r="F87" s="13" t="s">
        <v>72</v>
      </c>
      <c r="G87" s="13"/>
      <c r="L87" s="103">
        <v>0</v>
      </c>
      <c r="N87" s="103">
        <f>S114-R114</f>
        <v>0</v>
      </c>
    </row>
    <row r="88" spans="5:14" ht="12.75" customHeight="1" x14ac:dyDescent="0.2">
      <c r="F88" s="13" t="s">
        <v>759</v>
      </c>
      <c r="G88" s="13"/>
      <c r="L88" s="103">
        <f>R115-S115</f>
        <v>0</v>
      </c>
      <c r="N88" s="103">
        <v>0</v>
      </c>
    </row>
    <row r="89" spans="5:14" ht="12.75" customHeight="1" x14ac:dyDescent="0.2">
      <c r="F89" t="s">
        <v>627</v>
      </c>
      <c r="L89" s="103">
        <v>0</v>
      </c>
      <c r="N89" s="103">
        <f>S116-R116</f>
        <v>0</v>
      </c>
    </row>
    <row r="90" spans="5:14" ht="12.75" customHeight="1" x14ac:dyDescent="0.2">
      <c r="F90" t="s">
        <v>393</v>
      </c>
      <c r="L90" s="103">
        <v>0</v>
      </c>
      <c r="N90" s="103">
        <f>S117-R117</f>
        <v>0</v>
      </c>
    </row>
    <row r="91" spans="5:14" ht="12.75" customHeight="1" x14ac:dyDescent="0.2">
      <c r="F91" t="s">
        <v>142</v>
      </c>
      <c r="L91" s="103">
        <f>R118</f>
        <v>0</v>
      </c>
      <c r="N91" s="103">
        <f>S118</f>
        <v>0</v>
      </c>
    </row>
    <row r="92" spans="5:14" ht="12.75" customHeight="1" x14ac:dyDescent="0.2">
      <c r="F92" t="s">
        <v>756</v>
      </c>
      <c r="L92" s="103">
        <f>R119</f>
        <v>0</v>
      </c>
      <c r="N92" s="103">
        <f>S119</f>
        <v>0</v>
      </c>
    </row>
    <row r="93" spans="5:14" ht="12.75" customHeight="1" x14ac:dyDescent="0.2">
      <c r="F93" t="s">
        <v>493</v>
      </c>
      <c r="L93" s="103">
        <v>0</v>
      </c>
      <c r="N93" s="103">
        <f>S120-R120</f>
        <v>0</v>
      </c>
    </row>
    <row r="94" spans="5:14" ht="12.75" customHeight="1" x14ac:dyDescent="0.2">
      <c r="F94" t="s">
        <v>735</v>
      </c>
      <c r="L94" s="103">
        <v>0</v>
      </c>
      <c r="N94" s="103">
        <f>S121-R121</f>
        <v>0</v>
      </c>
    </row>
    <row r="95" spans="5:14" ht="12.75" customHeight="1" x14ac:dyDescent="0.2">
      <c r="F95" t="s">
        <v>143</v>
      </c>
      <c r="L95" s="103">
        <v>0</v>
      </c>
      <c r="N95" s="103">
        <f>S122-R122</f>
        <v>0</v>
      </c>
    </row>
    <row r="96" spans="5:14" ht="12.75" customHeight="1" thickBot="1" x14ac:dyDescent="0.25">
      <c r="L96" s="105">
        <f>SUM(L77:L95)</f>
        <v>0</v>
      </c>
      <c r="N96" s="105">
        <f>SUM(N77:N95)</f>
        <v>0</v>
      </c>
    </row>
    <row r="97" spans="1:19" ht="12.75" customHeight="1" thickTop="1" x14ac:dyDescent="0.2">
      <c r="L97" s="5"/>
    </row>
    <row r="98" spans="1:19" ht="12.75" customHeight="1" x14ac:dyDescent="0.2"/>
    <row r="99" spans="1:19" ht="26.25" customHeight="1" x14ac:dyDescent="0.25">
      <c r="A99" s="1262" t="s">
        <v>352</v>
      </c>
      <c r="B99" s="1263"/>
      <c r="C99" s="1263"/>
      <c r="D99" s="1263"/>
      <c r="E99" s="1263"/>
      <c r="F99" s="1263"/>
      <c r="G99" s="1263"/>
      <c r="H99" s="1263"/>
      <c r="I99" s="1263"/>
      <c r="J99" s="1263"/>
      <c r="K99" s="1263"/>
      <c r="L99" s="1263"/>
      <c r="M99" s="1263"/>
      <c r="N99" s="1263"/>
      <c r="O99" s="1263"/>
      <c r="P99" s="1270"/>
    </row>
    <row r="100" spans="1:19" ht="12.75" customHeight="1" x14ac:dyDescent="0.2"/>
    <row r="101" spans="1:19" ht="12.75" customHeight="1" x14ac:dyDescent="0.2">
      <c r="J101" s="1268" t="s">
        <v>417</v>
      </c>
      <c r="K101" s="1269"/>
      <c r="L101" s="1268" t="s">
        <v>248</v>
      </c>
      <c r="M101" s="1271"/>
      <c r="N101" s="1269"/>
      <c r="O101" s="1268" t="s">
        <v>249</v>
      </c>
      <c r="P101" s="1271"/>
      <c r="Q101" s="1269"/>
      <c r="R101" s="1268" t="s">
        <v>103</v>
      </c>
      <c r="S101" s="1269"/>
    </row>
    <row r="102" spans="1:19" x14ac:dyDescent="0.2">
      <c r="J102" s="150" t="s">
        <v>65</v>
      </c>
      <c r="K102" s="151" t="s">
        <v>66</v>
      </c>
      <c r="L102" s="95" t="s">
        <v>65</v>
      </c>
      <c r="M102" s="3"/>
      <c r="N102" s="96" t="s">
        <v>66</v>
      </c>
      <c r="O102" s="138" t="s">
        <v>65</v>
      </c>
      <c r="P102" s="8"/>
      <c r="Q102" s="139" t="s">
        <v>66</v>
      </c>
      <c r="R102" s="138" t="s">
        <v>332</v>
      </c>
      <c r="S102" s="139" t="s">
        <v>66</v>
      </c>
    </row>
    <row r="103" spans="1:19" ht="6.75" customHeight="1" x14ac:dyDescent="0.2">
      <c r="J103" s="152"/>
      <c r="R103" s="152"/>
      <c r="S103" s="154"/>
    </row>
    <row r="104" spans="1:19" ht="12.75" customHeight="1" x14ac:dyDescent="0.2">
      <c r="C104" t="s">
        <v>144</v>
      </c>
      <c r="F104" s="1"/>
      <c r="H104"/>
      <c r="J104" s="157">
        <f>J27</f>
        <v>0</v>
      </c>
      <c r="K104" s="120"/>
      <c r="R104" s="9">
        <f>J104+L104+O104</f>
        <v>0</v>
      </c>
      <c r="S104" s="155">
        <f>K104+N104+Q104</f>
        <v>0</v>
      </c>
    </row>
    <row r="105" spans="1:19" x14ac:dyDescent="0.2">
      <c r="C105" t="s">
        <v>145</v>
      </c>
      <c r="F105" s="1"/>
      <c r="H105"/>
      <c r="J105" s="157">
        <f>J26</f>
        <v>0</v>
      </c>
      <c r="K105" s="120"/>
      <c r="R105" s="9">
        <f t="shared" ref="R105:R122" si="0">J105+L105+O105</f>
        <v>0</v>
      </c>
      <c r="S105" s="155">
        <f t="shared" ref="S105:S122" si="1">K105+N105+Q105</f>
        <v>0</v>
      </c>
    </row>
    <row r="106" spans="1:19" x14ac:dyDescent="0.2">
      <c r="C106" t="s">
        <v>146</v>
      </c>
      <c r="F106" s="1"/>
      <c r="H106"/>
      <c r="J106" s="157">
        <f>J24+J25</f>
        <v>0</v>
      </c>
      <c r="K106" s="120"/>
      <c r="L106" s="56">
        <f>K43</f>
        <v>0</v>
      </c>
      <c r="R106" s="9">
        <f>J106+L106+O106</f>
        <v>0</v>
      </c>
      <c r="S106" s="155">
        <f t="shared" si="1"/>
        <v>0</v>
      </c>
    </row>
    <row r="107" spans="1:19" x14ac:dyDescent="0.2">
      <c r="C107" t="s">
        <v>67</v>
      </c>
      <c r="F107" s="1"/>
      <c r="H107"/>
      <c r="J107" s="157">
        <f>L24</f>
        <v>0</v>
      </c>
      <c r="K107" s="120"/>
      <c r="L107" s="5">
        <f>K47</f>
        <v>0</v>
      </c>
      <c r="R107" s="9">
        <f t="shared" si="0"/>
        <v>0</v>
      </c>
      <c r="S107" s="155">
        <f t="shared" si="1"/>
        <v>0</v>
      </c>
    </row>
    <row r="108" spans="1:19" x14ac:dyDescent="0.2">
      <c r="C108" t="s">
        <v>626</v>
      </c>
      <c r="F108" s="1"/>
      <c r="H108"/>
      <c r="J108" s="157">
        <f>K24</f>
        <v>0</v>
      </c>
      <c r="K108" s="120"/>
      <c r="L108" s="5">
        <f>K45</f>
        <v>0</v>
      </c>
      <c r="N108" s="5">
        <f>J39</f>
        <v>0</v>
      </c>
      <c r="Q108" s="5">
        <f>K66</f>
        <v>0</v>
      </c>
      <c r="R108" s="9">
        <f t="shared" si="0"/>
        <v>0</v>
      </c>
      <c r="S108" s="155">
        <f t="shared" si="1"/>
        <v>0</v>
      </c>
    </row>
    <row r="109" spans="1:19" s="13" customFormat="1" x14ac:dyDescent="0.2">
      <c r="A109" s="174"/>
      <c r="C109" s="638" t="s">
        <v>1105</v>
      </c>
      <c r="F109" s="120"/>
      <c r="J109" s="157">
        <f>N24+N25+N26+N27</f>
        <v>0</v>
      </c>
      <c r="K109" s="120"/>
      <c r="L109" s="56">
        <f>K49</f>
        <v>0</v>
      </c>
      <c r="N109" s="56">
        <f>O39</f>
        <v>0</v>
      </c>
      <c r="Q109" s="56">
        <f>K64</f>
        <v>0</v>
      </c>
      <c r="R109" s="34">
        <f t="shared" si="0"/>
        <v>0</v>
      </c>
      <c r="S109" s="224">
        <f t="shared" si="1"/>
        <v>0</v>
      </c>
    </row>
    <row r="110" spans="1:19" s="13" customFormat="1" x14ac:dyDescent="0.2">
      <c r="A110" s="174"/>
      <c r="C110" s="13" t="s">
        <v>392</v>
      </c>
      <c r="F110" s="120"/>
      <c r="J110" s="157"/>
      <c r="K110" s="120"/>
      <c r="L110" s="56">
        <f>(K53+K56)-(K36+L39-J39-O39)</f>
        <v>0</v>
      </c>
      <c r="Q110" s="56">
        <f>K68</f>
        <v>0</v>
      </c>
      <c r="R110" s="34">
        <f t="shared" si="0"/>
        <v>0</v>
      </c>
      <c r="S110" s="224">
        <f t="shared" si="1"/>
        <v>0</v>
      </c>
    </row>
    <row r="111" spans="1:19" x14ac:dyDescent="0.2">
      <c r="C111" t="s">
        <v>758</v>
      </c>
      <c r="F111" s="1"/>
      <c r="H111"/>
      <c r="J111" s="157"/>
      <c r="K111" s="120"/>
      <c r="L111" s="5"/>
      <c r="O111" s="5">
        <f>K64</f>
        <v>0</v>
      </c>
      <c r="R111" s="9">
        <f t="shared" si="0"/>
        <v>0</v>
      </c>
      <c r="S111" s="155">
        <f t="shared" si="1"/>
        <v>0</v>
      </c>
    </row>
    <row r="112" spans="1:19" x14ac:dyDescent="0.2">
      <c r="D112" t="s">
        <v>68</v>
      </c>
      <c r="F112" s="1"/>
      <c r="H112"/>
      <c r="J112" s="157"/>
      <c r="K112" s="120">
        <f>N24+N25+N26+N27</f>
        <v>0</v>
      </c>
      <c r="N112" s="5">
        <f>K49</f>
        <v>0</v>
      </c>
      <c r="R112" s="9">
        <f t="shared" si="0"/>
        <v>0</v>
      </c>
      <c r="S112" s="155">
        <f t="shared" si="1"/>
        <v>0</v>
      </c>
    </row>
    <row r="113" spans="1:19" s="13" customFormat="1" x14ac:dyDescent="0.2">
      <c r="A113" s="174"/>
      <c r="D113" s="638" t="s">
        <v>1104</v>
      </c>
      <c r="F113" s="120"/>
      <c r="J113" s="157"/>
      <c r="K113" s="120">
        <f>SUM(N24:N27)</f>
        <v>0</v>
      </c>
      <c r="N113" s="56"/>
      <c r="R113" s="34">
        <f>J113+L113+O113</f>
        <v>0</v>
      </c>
      <c r="S113" s="224">
        <f>K113+N113+Q113</f>
        <v>0</v>
      </c>
    </row>
    <row r="114" spans="1:19" x14ac:dyDescent="0.2">
      <c r="D114" s="13" t="s">
        <v>69</v>
      </c>
      <c r="E114" s="13"/>
      <c r="F114" s="120"/>
      <c r="G114" s="13"/>
      <c r="H114" s="13"/>
      <c r="I114" s="13"/>
      <c r="J114" s="157"/>
      <c r="K114" s="120"/>
      <c r="L114" s="13"/>
      <c r="M114" s="13"/>
      <c r="N114" s="56">
        <f>K56</f>
        <v>0</v>
      </c>
      <c r="R114" s="9">
        <f t="shared" si="0"/>
        <v>0</v>
      </c>
      <c r="S114" s="155">
        <f t="shared" si="1"/>
        <v>0</v>
      </c>
    </row>
    <row r="115" spans="1:19" x14ac:dyDescent="0.2">
      <c r="D115" s="13" t="s">
        <v>759</v>
      </c>
      <c r="E115" s="13"/>
      <c r="F115" s="120"/>
      <c r="G115" s="13"/>
      <c r="H115" s="13"/>
      <c r="I115" s="13"/>
      <c r="J115" s="157"/>
      <c r="K115" s="120"/>
      <c r="L115" s="13"/>
      <c r="M115" s="13"/>
      <c r="N115" s="56"/>
      <c r="O115" s="5">
        <f>K66+K68-K71</f>
        <v>0</v>
      </c>
      <c r="R115" s="9">
        <f t="shared" si="0"/>
        <v>0</v>
      </c>
      <c r="S115" s="155">
        <f t="shared" si="1"/>
        <v>0</v>
      </c>
    </row>
    <row r="116" spans="1:19" x14ac:dyDescent="0.2">
      <c r="D116" t="s">
        <v>627</v>
      </c>
      <c r="F116" s="1"/>
      <c r="H116"/>
      <c r="J116" s="157"/>
      <c r="K116" s="120">
        <f>K24</f>
        <v>0</v>
      </c>
      <c r="N116" s="5">
        <f>K45</f>
        <v>0</v>
      </c>
      <c r="R116" s="9">
        <f t="shared" si="0"/>
        <v>0</v>
      </c>
      <c r="S116" s="155">
        <f t="shared" si="1"/>
        <v>0</v>
      </c>
    </row>
    <row r="117" spans="1:19" x14ac:dyDescent="0.2">
      <c r="D117" t="s">
        <v>393</v>
      </c>
      <c r="F117" s="1"/>
      <c r="H117"/>
      <c r="J117" s="157"/>
      <c r="K117" s="120"/>
      <c r="N117" s="5">
        <f>K53</f>
        <v>0</v>
      </c>
      <c r="R117" s="9">
        <f t="shared" si="0"/>
        <v>0</v>
      </c>
      <c r="S117" s="155">
        <f t="shared" si="1"/>
        <v>0</v>
      </c>
    </row>
    <row r="118" spans="1:19" x14ac:dyDescent="0.2">
      <c r="D118" t="s">
        <v>70</v>
      </c>
      <c r="F118" s="1"/>
      <c r="H118"/>
      <c r="J118" s="157"/>
      <c r="K118" s="120">
        <f>L24</f>
        <v>0</v>
      </c>
      <c r="L118">
        <f>L39</f>
        <v>0</v>
      </c>
      <c r="N118" s="5">
        <f>K47</f>
        <v>0</v>
      </c>
      <c r="O118" s="5">
        <f>K71</f>
        <v>0</v>
      </c>
      <c r="R118" s="9">
        <f t="shared" si="0"/>
        <v>0</v>
      </c>
      <c r="S118" s="155">
        <f t="shared" si="1"/>
        <v>0</v>
      </c>
    </row>
    <row r="119" spans="1:19" x14ac:dyDescent="0.2">
      <c r="D119" t="s">
        <v>756</v>
      </c>
      <c r="F119" s="1"/>
      <c r="H119"/>
      <c r="J119" s="157"/>
      <c r="K119" s="120">
        <f>J24</f>
        <v>0</v>
      </c>
      <c r="L119" s="5">
        <f>K36</f>
        <v>0</v>
      </c>
      <c r="N119" s="5">
        <f>K43</f>
        <v>0</v>
      </c>
      <c r="R119" s="9">
        <f t="shared" si="0"/>
        <v>0</v>
      </c>
      <c r="S119" s="155">
        <f t="shared" si="1"/>
        <v>0</v>
      </c>
    </row>
    <row r="120" spans="1:19" x14ac:dyDescent="0.2">
      <c r="D120" t="s">
        <v>493</v>
      </c>
      <c r="F120" s="1"/>
      <c r="G120" s="574" t="s">
        <v>71</v>
      </c>
      <c r="H120"/>
      <c r="J120" s="157"/>
      <c r="K120" s="120">
        <f>J25</f>
        <v>0</v>
      </c>
      <c r="R120" s="9">
        <f t="shared" si="0"/>
        <v>0</v>
      </c>
      <c r="S120" s="155">
        <f t="shared" si="1"/>
        <v>0</v>
      </c>
    </row>
    <row r="121" spans="1:19" x14ac:dyDescent="0.2">
      <c r="D121" t="s">
        <v>735</v>
      </c>
      <c r="F121" s="1"/>
      <c r="H121"/>
      <c r="J121" s="157"/>
      <c r="K121" s="120">
        <f>J26</f>
        <v>0</v>
      </c>
      <c r="R121" s="9">
        <f t="shared" si="0"/>
        <v>0</v>
      </c>
      <c r="S121" s="155">
        <f t="shared" si="1"/>
        <v>0</v>
      </c>
    </row>
    <row r="122" spans="1:19" x14ac:dyDescent="0.2">
      <c r="D122" t="s">
        <v>300</v>
      </c>
      <c r="F122" s="1"/>
      <c r="H122"/>
      <c r="J122" s="157"/>
      <c r="K122" s="120">
        <f>J27</f>
        <v>0</v>
      </c>
      <c r="R122" s="9">
        <f t="shared" si="0"/>
        <v>0</v>
      </c>
      <c r="S122" s="155">
        <f t="shared" si="1"/>
        <v>0</v>
      </c>
    </row>
    <row r="123" spans="1:19" ht="5.25" customHeight="1" x14ac:dyDescent="0.2">
      <c r="F123" s="1"/>
      <c r="H123"/>
      <c r="J123" s="158"/>
      <c r="K123" s="120"/>
      <c r="R123" s="153"/>
      <c r="S123" s="156"/>
    </row>
    <row r="124" spans="1:19" ht="13.5" thickBot="1" x14ac:dyDescent="0.25">
      <c r="F124" s="1"/>
      <c r="H124"/>
      <c r="J124" s="142">
        <f t="shared" ref="J124:S124" si="2">SUM(J104:J123)</f>
        <v>0</v>
      </c>
      <c r="K124" s="37">
        <f t="shared" si="2"/>
        <v>0</v>
      </c>
      <c r="L124" s="37">
        <f t="shared" si="2"/>
        <v>0</v>
      </c>
      <c r="M124" s="12">
        <f t="shared" si="2"/>
        <v>0</v>
      </c>
      <c r="N124" s="37">
        <f t="shared" si="2"/>
        <v>0</v>
      </c>
      <c r="O124" s="37">
        <f t="shared" si="2"/>
        <v>0</v>
      </c>
      <c r="P124" s="12">
        <f t="shared" si="2"/>
        <v>0</v>
      </c>
      <c r="Q124" s="37">
        <f t="shared" si="2"/>
        <v>0</v>
      </c>
      <c r="R124" s="37">
        <f t="shared" si="2"/>
        <v>0</v>
      </c>
      <c r="S124" s="159">
        <f t="shared" si="2"/>
        <v>0</v>
      </c>
    </row>
    <row r="125" spans="1:19" ht="13.5" thickTop="1" x14ac:dyDescent="0.2">
      <c r="F125" s="1"/>
      <c r="H125"/>
    </row>
    <row r="133" spans="12:12" x14ac:dyDescent="0.2">
      <c r="L133" s="13"/>
    </row>
  </sheetData>
  <sheetProtection password="C1DF" sheet="1"/>
  <mergeCells count="36">
    <mergeCell ref="C68:G69"/>
    <mergeCell ref="K68:K69"/>
    <mergeCell ref="B62:O62"/>
    <mergeCell ref="B74:O74"/>
    <mergeCell ref="R101:S101"/>
    <mergeCell ref="A99:P99"/>
    <mergeCell ref="J101:K101"/>
    <mergeCell ref="L101:N101"/>
    <mergeCell ref="O101:Q101"/>
    <mergeCell ref="B33:O33"/>
    <mergeCell ref="L39:L40"/>
    <mergeCell ref="O39:O40"/>
    <mergeCell ref="I39:I40"/>
    <mergeCell ref="K39:K40"/>
    <mergeCell ref="M38:N40"/>
    <mergeCell ref="C43:G43"/>
    <mergeCell ref="K53:K54"/>
    <mergeCell ref="C45:G45"/>
    <mergeCell ref="C49:G49"/>
    <mergeCell ref="A2:P2"/>
    <mergeCell ref="B4:P4"/>
    <mergeCell ref="B17:O17"/>
    <mergeCell ref="C16:O16"/>
    <mergeCell ref="C7:P8"/>
    <mergeCell ref="C10:O11"/>
    <mergeCell ref="C13:O14"/>
    <mergeCell ref="K36:K37"/>
    <mergeCell ref="C36:G37"/>
    <mergeCell ref="C22:H23"/>
    <mergeCell ref="C39:G40"/>
    <mergeCell ref="J39:J40"/>
    <mergeCell ref="B60:O60"/>
    <mergeCell ref="K56:K57"/>
    <mergeCell ref="C56:G57"/>
    <mergeCell ref="C53:G54"/>
    <mergeCell ref="D58:G58"/>
  </mergeCells>
  <phoneticPr fontId="13" type="noConversion"/>
  <printOptions horizontalCentered="1"/>
  <pageMargins left="0.36" right="0.37" top="0.71" bottom="0.5" header="0.5" footer="0.5"/>
  <pageSetup scale="69" orientation="portrait" r:id="rId1"/>
  <headerFooter alignWithMargins="0">
    <oddHeader>&amp;R&amp;"Arial,Bold"&amp;12Entry H</oddHeader>
    <oddFooter>&amp;L&amp;8&amp;D - City model&amp;R &amp;P</oddFooter>
  </headerFooter>
  <rowBreaks count="2" manualBreakCount="2">
    <brk id="71" max="16" man="1"/>
    <brk id="97" max="18" man="1"/>
  </rowBreaks>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S143"/>
  <sheetViews>
    <sheetView workbookViewId="0">
      <selection activeCell="N84" sqref="N84:N85"/>
    </sheetView>
  </sheetViews>
  <sheetFormatPr defaultRowHeight="12.75" x14ac:dyDescent="0.2"/>
  <cols>
    <col min="1" max="1" width="4" style="4" customWidth="1"/>
    <col min="2" max="2" width="4" customWidth="1"/>
    <col min="4" max="4" width="9.28515625" customWidth="1"/>
    <col min="5" max="5" width="4.42578125" customWidth="1"/>
    <col min="6" max="6" width="10.42578125" bestFit="1" customWidth="1"/>
    <col min="7" max="7" width="11.28515625" bestFit="1" customWidth="1"/>
    <col min="8" max="8" width="10.42578125" style="1" customWidth="1"/>
    <col min="10" max="10" width="4" customWidth="1"/>
    <col min="11" max="11" width="11.28515625" customWidth="1"/>
    <col min="12" max="12" width="12.5703125" customWidth="1"/>
    <col min="13" max="13" width="0.7109375" customWidth="1"/>
    <col min="14" max="14" width="12.7109375" customWidth="1"/>
    <col min="15" max="15" width="10.42578125" bestFit="1" customWidth="1"/>
    <col min="16" max="16" width="1.28515625" customWidth="1"/>
    <col min="17" max="17" width="1.5703125" customWidth="1"/>
  </cols>
  <sheetData>
    <row r="1" spans="1:16" ht="7.5" customHeight="1" x14ac:dyDescent="0.2"/>
    <row r="2" spans="1:16" ht="33.75" customHeight="1" x14ac:dyDescent="0.25">
      <c r="A2" s="1200" t="s">
        <v>736</v>
      </c>
      <c r="B2" s="1201"/>
      <c r="C2" s="1201"/>
      <c r="D2" s="1201"/>
      <c r="E2" s="1201"/>
      <c r="F2" s="1201"/>
      <c r="G2" s="1201"/>
      <c r="H2" s="1201"/>
      <c r="I2" s="1201"/>
      <c r="J2" s="1201"/>
      <c r="K2" s="1201"/>
      <c r="L2" s="1201"/>
      <c r="M2" s="1201"/>
      <c r="N2" s="1201"/>
      <c r="O2" s="1201"/>
      <c r="P2" s="1202"/>
    </row>
    <row r="3" spans="1:16" ht="11.25" customHeight="1" x14ac:dyDescent="0.2"/>
    <row r="4" spans="1:16" ht="77.25" customHeight="1" x14ac:dyDescent="0.2">
      <c r="B4" s="1136" t="s">
        <v>834</v>
      </c>
      <c r="C4" s="1136"/>
      <c r="D4" s="1136"/>
      <c r="E4" s="1136"/>
      <c r="F4" s="1136"/>
      <c r="G4" s="1136"/>
      <c r="H4" s="1136"/>
      <c r="I4" s="1136"/>
      <c r="J4" s="1136"/>
      <c r="K4" s="1136"/>
      <c r="L4" s="1136"/>
      <c r="M4" s="1136"/>
      <c r="N4" s="1136"/>
      <c r="O4" s="1136"/>
      <c r="P4" s="1136"/>
    </row>
    <row r="5" spans="1:16" ht="5.25" customHeight="1" x14ac:dyDescent="0.2"/>
    <row r="6" spans="1:16" ht="12.75" customHeight="1" x14ac:dyDescent="0.2">
      <c r="B6" s="64" t="s">
        <v>947</v>
      </c>
      <c r="C6" s="1126" t="s">
        <v>930</v>
      </c>
      <c r="D6" s="1126"/>
      <c r="E6" s="1126"/>
      <c r="F6" s="1126"/>
      <c r="G6" s="1126"/>
      <c r="H6" s="1126"/>
      <c r="I6" s="1126"/>
      <c r="J6" s="1126"/>
      <c r="K6" s="1126"/>
      <c r="L6" s="1126"/>
      <c r="M6" s="1126"/>
      <c r="N6" s="1126"/>
      <c r="O6" s="1126"/>
      <c r="P6" s="59"/>
    </row>
    <row r="7" spans="1:16" ht="12" customHeight="1" x14ac:dyDescent="0.2">
      <c r="B7" s="64"/>
      <c r="C7" s="1126"/>
      <c r="D7" s="1126"/>
      <c r="E7" s="1126"/>
      <c r="F7" s="1126"/>
      <c r="G7" s="1126"/>
      <c r="H7" s="1126"/>
      <c r="I7" s="1126"/>
      <c r="J7" s="1126"/>
      <c r="K7" s="1126"/>
      <c r="L7" s="1126"/>
      <c r="M7" s="1126"/>
      <c r="N7" s="1126"/>
      <c r="O7" s="1126"/>
      <c r="P7" s="59"/>
    </row>
    <row r="8" spans="1:16" ht="5.25" customHeight="1" x14ac:dyDescent="0.2">
      <c r="B8" s="64"/>
      <c r="C8" s="59"/>
      <c r="D8" s="59"/>
      <c r="E8" s="59"/>
      <c r="F8" s="59"/>
      <c r="G8" s="59"/>
      <c r="H8" s="59"/>
      <c r="I8" s="59"/>
      <c r="J8" s="59"/>
      <c r="K8" s="59"/>
      <c r="L8" s="59"/>
      <c r="M8" s="59"/>
      <c r="N8" s="59"/>
      <c r="O8" s="59"/>
      <c r="P8" s="59"/>
    </row>
    <row r="9" spans="1:16" ht="12.75" customHeight="1" x14ac:dyDescent="0.2">
      <c r="B9" s="64" t="s">
        <v>948</v>
      </c>
      <c r="C9" s="1126" t="s">
        <v>975</v>
      </c>
      <c r="D9" s="1126"/>
      <c r="E9" s="1126"/>
      <c r="F9" s="1126"/>
      <c r="G9" s="1126"/>
      <c r="H9" s="1126"/>
      <c r="I9" s="1126"/>
      <c r="J9" s="1126"/>
      <c r="K9" s="1126"/>
      <c r="L9" s="1126"/>
      <c r="M9" s="1126"/>
      <c r="N9" s="1126"/>
      <c r="O9" s="1126"/>
    </row>
    <row r="10" spans="1:16" ht="51.75" customHeight="1" x14ac:dyDescent="0.2">
      <c r="B10" s="64"/>
      <c r="C10" s="1126"/>
      <c r="D10" s="1126"/>
      <c r="E10" s="1126"/>
      <c r="F10" s="1126"/>
      <c r="G10" s="1126"/>
      <c r="H10" s="1126"/>
      <c r="I10" s="1126"/>
      <c r="J10" s="1126"/>
      <c r="K10" s="1126"/>
      <c r="L10" s="1126"/>
      <c r="M10" s="1126"/>
      <c r="N10" s="1126"/>
      <c r="O10" s="1126"/>
    </row>
    <row r="11" spans="1:16" ht="5.25" customHeight="1" x14ac:dyDescent="0.2">
      <c r="B11" s="64"/>
    </row>
    <row r="12" spans="1:16" ht="12.75" customHeight="1" x14ac:dyDescent="0.2">
      <c r="B12" s="64" t="s">
        <v>471</v>
      </c>
      <c r="C12" s="1126" t="s">
        <v>457</v>
      </c>
      <c r="D12" s="1126"/>
      <c r="E12" s="1126"/>
      <c r="F12" s="1126"/>
      <c r="G12" s="1126"/>
      <c r="H12" s="1126"/>
      <c r="I12" s="1126"/>
      <c r="J12" s="1126"/>
      <c r="K12" s="1126"/>
      <c r="L12" s="1126"/>
      <c r="M12" s="1126"/>
      <c r="N12" s="1126"/>
      <c r="O12" s="1126"/>
    </row>
    <row r="13" spans="1:16" ht="12.75" customHeight="1" x14ac:dyDescent="0.2">
      <c r="C13" s="1126"/>
      <c r="D13" s="1126"/>
      <c r="E13" s="1126"/>
      <c r="F13" s="1126"/>
      <c r="G13" s="1126"/>
      <c r="H13" s="1126"/>
      <c r="I13" s="1126"/>
      <c r="J13" s="1126"/>
      <c r="K13" s="1126"/>
      <c r="L13" s="1126"/>
      <c r="M13" s="1126"/>
      <c r="N13" s="1126"/>
      <c r="O13" s="1126"/>
    </row>
    <row r="14" spans="1:16" ht="6" customHeight="1" x14ac:dyDescent="0.2"/>
    <row r="16" spans="1:16" ht="25.5" customHeight="1" x14ac:dyDescent="0.2">
      <c r="A16" s="4" t="s">
        <v>876</v>
      </c>
      <c r="B16" s="1207" t="s">
        <v>24</v>
      </c>
      <c r="C16" s="1208"/>
      <c r="D16" s="1208"/>
      <c r="E16" s="1208"/>
      <c r="F16" s="1208"/>
      <c r="G16" s="1208"/>
      <c r="H16" s="1208"/>
      <c r="I16" s="1208"/>
      <c r="J16" s="1208"/>
      <c r="K16" s="1208"/>
      <c r="L16" s="1208"/>
      <c r="M16" s="1208"/>
      <c r="N16" s="1208"/>
      <c r="O16" s="1209"/>
      <c r="P16" s="69"/>
    </row>
    <row r="17" spans="1:16" ht="3.75" customHeight="1" x14ac:dyDescent="0.2">
      <c r="B17" s="69"/>
      <c r="C17" s="54"/>
      <c r="D17" s="54"/>
      <c r="E17" s="54"/>
      <c r="F17" s="54"/>
      <c r="G17" s="54"/>
      <c r="H17" s="52"/>
      <c r="I17" s="54"/>
      <c r="J17" s="54"/>
      <c r="K17" s="54"/>
      <c r="L17" s="54"/>
      <c r="M17" s="54"/>
      <c r="N17" s="54"/>
      <c r="O17" s="54"/>
    </row>
    <row r="18" spans="1:16" x14ac:dyDescent="0.2">
      <c r="H18"/>
      <c r="K18" s="71" t="s">
        <v>62</v>
      </c>
    </row>
    <row r="19" spans="1:16" ht="14.25" customHeight="1" x14ac:dyDescent="0.2">
      <c r="B19" s="64" t="s">
        <v>947</v>
      </c>
      <c r="C19" s="1126" t="s">
        <v>153</v>
      </c>
      <c r="D19" s="1126"/>
      <c r="E19" s="1126"/>
      <c r="F19" s="1126"/>
      <c r="G19" s="1126"/>
      <c r="H19" s="1126"/>
      <c r="I19" s="1126"/>
      <c r="K19" s="1264"/>
    </row>
    <row r="20" spans="1:16" ht="13.5" customHeight="1" x14ac:dyDescent="0.2">
      <c r="C20" s="1126"/>
      <c r="D20" s="1126"/>
      <c r="E20" s="1126"/>
      <c r="F20" s="1126"/>
      <c r="G20" s="1126"/>
      <c r="H20" s="1126"/>
      <c r="I20" s="1126"/>
      <c r="K20" s="1264"/>
    </row>
    <row r="21" spans="1:16" ht="13.5" customHeight="1" x14ac:dyDescent="0.2">
      <c r="H21"/>
      <c r="K21" s="52"/>
    </row>
    <row r="22" spans="1:16" ht="12.75" customHeight="1" x14ac:dyDescent="0.2">
      <c r="B22" s="64" t="s">
        <v>948</v>
      </c>
      <c r="C22" s="1126" t="s">
        <v>198</v>
      </c>
      <c r="D22" s="1126"/>
      <c r="E22" s="1126"/>
      <c r="F22" s="1126"/>
      <c r="G22" s="1126"/>
      <c r="H22" s="1126"/>
      <c r="I22" s="1126"/>
      <c r="K22" s="1264"/>
    </row>
    <row r="23" spans="1:16" x14ac:dyDescent="0.2">
      <c r="C23" s="1126"/>
      <c r="D23" s="1126"/>
      <c r="E23" s="1126"/>
      <c r="F23" s="1126"/>
      <c r="G23" s="1126"/>
      <c r="H23" s="1126"/>
      <c r="I23" s="1126"/>
      <c r="K23" s="1264"/>
    </row>
    <row r="24" spans="1:16" x14ac:dyDescent="0.2">
      <c r="H24"/>
      <c r="K24" s="120"/>
    </row>
    <row r="25" spans="1:16" ht="12.75" customHeight="1" x14ac:dyDescent="0.2">
      <c r="B25" s="64" t="s">
        <v>949</v>
      </c>
      <c r="C25" s="1126" t="s">
        <v>23</v>
      </c>
      <c r="D25" s="1126"/>
      <c r="E25" s="1126"/>
      <c r="F25" s="1126"/>
      <c r="G25" s="1126"/>
      <c r="H25" s="1126"/>
      <c r="I25" s="1126"/>
      <c r="K25" s="1264"/>
    </row>
    <row r="26" spans="1:16" x14ac:dyDescent="0.2">
      <c r="C26" s="1126"/>
      <c r="D26" s="1126"/>
      <c r="E26" s="1126"/>
      <c r="F26" s="1126"/>
      <c r="G26" s="1126"/>
      <c r="H26" s="1126"/>
      <c r="I26" s="1126"/>
      <c r="K26" s="1264"/>
    </row>
    <row r="27" spans="1:16" x14ac:dyDescent="0.2">
      <c r="H27"/>
      <c r="K27" s="143"/>
    </row>
    <row r="28" spans="1:16" x14ac:dyDescent="0.2">
      <c r="G28" t="s">
        <v>812</v>
      </c>
      <c r="H28"/>
      <c r="K28" s="236">
        <f>K25-K19</f>
        <v>0</v>
      </c>
    </row>
    <row r="29" spans="1:16" x14ac:dyDescent="0.2">
      <c r="H29"/>
      <c r="K29" s="143"/>
    </row>
    <row r="30" spans="1:16" ht="25.5" customHeight="1" x14ac:dyDescent="0.2">
      <c r="A30" s="4" t="s">
        <v>877</v>
      </c>
      <c r="B30" s="1210" t="s">
        <v>1106</v>
      </c>
      <c r="C30" s="1212"/>
      <c r="D30" s="1212"/>
      <c r="E30" s="1212"/>
      <c r="F30" s="1212"/>
      <c r="G30" s="1212"/>
      <c r="H30" s="1212"/>
      <c r="I30" s="1212"/>
      <c r="J30" s="1212"/>
      <c r="K30" s="1212"/>
      <c r="L30" s="1212"/>
      <c r="M30" s="1212"/>
      <c r="N30" s="1212"/>
      <c r="O30" s="1213"/>
      <c r="P30" s="69"/>
    </row>
    <row r="31" spans="1:16" ht="6.75" customHeight="1" x14ac:dyDescent="0.2">
      <c r="H31" s="11"/>
      <c r="I31" s="11"/>
      <c r="J31" s="11"/>
      <c r="K31" s="11"/>
      <c r="L31" s="11"/>
      <c r="M31" s="11"/>
      <c r="O31" s="11"/>
    </row>
    <row r="32" spans="1:16" x14ac:dyDescent="0.2">
      <c r="B32" s="1277"/>
      <c r="C32" s="1277"/>
      <c r="D32" s="1277"/>
      <c r="E32" s="1277"/>
      <c r="F32" s="1277"/>
      <c r="G32" s="1277"/>
      <c r="H32" s="1277"/>
      <c r="I32" s="1277"/>
      <c r="J32" s="11"/>
      <c r="K32" s="180" t="s">
        <v>62</v>
      </c>
      <c r="L32" s="11"/>
      <c r="M32" s="11"/>
      <c r="O32" s="11"/>
    </row>
    <row r="33" spans="1:15" ht="6" customHeight="1" x14ac:dyDescent="0.2">
      <c r="H33" s="11"/>
      <c r="I33" s="11"/>
      <c r="J33" s="11"/>
      <c r="K33" s="177"/>
      <c r="L33" s="11"/>
      <c r="M33" s="11"/>
      <c r="O33" s="11"/>
    </row>
    <row r="34" spans="1:15" ht="12.75" customHeight="1" x14ac:dyDescent="0.2">
      <c r="B34" s="64" t="s">
        <v>947</v>
      </c>
      <c r="C34" s="1126" t="s">
        <v>761</v>
      </c>
      <c r="D34" s="1126"/>
      <c r="E34" s="1126"/>
      <c r="F34" s="1126"/>
      <c r="G34" s="1126"/>
      <c r="H34" s="1126"/>
      <c r="I34" s="1126"/>
      <c r="K34" s="1237"/>
      <c r="L34" s="11"/>
      <c r="M34" s="11"/>
      <c r="O34" s="11"/>
    </row>
    <row r="35" spans="1:15" ht="12.75" customHeight="1" x14ac:dyDescent="0.2">
      <c r="B35" s="64"/>
      <c r="C35" s="1126"/>
      <c r="D35" s="1126"/>
      <c r="E35" s="1126"/>
      <c r="F35" s="1126"/>
      <c r="G35" s="1126"/>
      <c r="H35" s="1126"/>
      <c r="I35" s="1126"/>
      <c r="K35" s="1237"/>
      <c r="M35" s="11"/>
      <c r="O35" s="11"/>
    </row>
    <row r="36" spans="1:15" ht="7.5" customHeight="1" x14ac:dyDescent="0.2">
      <c r="H36"/>
      <c r="L36" s="11"/>
      <c r="M36" s="11"/>
      <c r="O36" s="11"/>
    </row>
    <row r="37" spans="1:15" ht="12.75" customHeight="1" x14ac:dyDescent="0.2">
      <c r="B37" s="64" t="s">
        <v>948</v>
      </c>
      <c r="C37" s="1126" t="s">
        <v>762</v>
      </c>
      <c r="D37" s="1126"/>
      <c r="E37" s="1126"/>
      <c r="F37" s="1126"/>
      <c r="G37" s="1126"/>
      <c r="H37" s="1126"/>
      <c r="I37" s="1126"/>
      <c r="K37" s="1233"/>
      <c r="L37" s="11"/>
      <c r="M37" s="11"/>
      <c r="O37" s="11"/>
    </row>
    <row r="38" spans="1:15" ht="12.75" customHeight="1" x14ac:dyDescent="0.2">
      <c r="A38"/>
      <c r="C38" s="1126"/>
      <c r="D38" s="1126"/>
      <c r="E38" s="1126"/>
      <c r="F38" s="1126"/>
      <c r="G38" s="1126"/>
      <c r="H38" s="1126"/>
      <c r="I38" s="1126"/>
      <c r="K38" s="1233"/>
      <c r="L38" s="234"/>
    </row>
    <row r="39" spans="1:15" ht="12.75" customHeight="1" thickBot="1" x14ac:dyDescent="0.25">
      <c r="G39" t="s">
        <v>343</v>
      </c>
      <c r="H39"/>
      <c r="K39" s="105">
        <f>K37-K34</f>
        <v>0</v>
      </c>
      <c r="L39" s="234" t="s">
        <v>773</v>
      </c>
      <c r="M39" s="11"/>
      <c r="O39" s="11"/>
    </row>
    <row r="40" spans="1:15" ht="5.25" customHeight="1" thickTop="1" x14ac:dyDescent="0.2">
      <c r="H40"/>
      <c r="K40" s="10"/>
      <c r="L40" s="234"/>
      <c r="M40" s="11"/>
      <c r="O40" s="11"/>
    </row>
    <row r="41" spans="1:15" ht="12.75" customHeight="1" x14ac:dyDescent="0.2">
      <c r="B41" s="64" t="s">
        <v>949</v>
      </c>
      <c r="C41" s="1126" t="s">
        <v>268</v>
      </c>
      <c r="D41" s="1126"/>
      <c r="E41" s="1126"/>
      <c r="F41" s="1126"/>
      <c r="G41" s="1126"/>
      <c r="H41" s="1126"/>
      <c r="I41" s="1126"/>
      <c r="J41" s="59"/>
      <c r="L41" s="11"/>
      <c r="M41" s="11"/>
    </row>
    <row r="42" spans="1:15" ht="27" customHeight="1" x14ac:dyDescent="0.2">
      <c r="B42" s="64"/>
      <c r="C42" s="1126"/>
      <c r="D42" s="1126"/>
      <c r="E42" s="1126"/>
      <c r="F42" s="1126"/>
      <c r="G42" s="1126"/>
      <c r="H42" s="1126"/>
      <c r="I42" s="1126"/>
      <c r="J42" s="59"/>
      <c r="L42" s="11"/>
      <c r="M42" s="11"/>
    </row>
    <row r="43" spans="1:15" ht="36" customHeight="1" x14ac:dyDescent="0.2">
      <c r="B43" s="64"/>
      <c r="C43" s="59"/>
      <c r="D43" s="59"/>
      <c r="E43" s="59"/>
      <c r="F43" s="59"/>
      <c r="G43" s="59"/>
      <c r="H43"/>
      <c r="I43" s="59"/>
      <c r="J43" s="59"/>
      <c r="K43" s="116" t="s">
        <v>367</v>
      </c>
      <c r="L43" s="11"/>
      <c r="M43" s="11"/>
    </row>
    <row r="44" spans="1:15" x14ac:dyDescent="0.2">
      <c r="G44" t="s">
        <v>718</v>
      </c>
      <c r="H44"/>
      <c r="K44" s="512"/>
      <c r="L44" s="11"/>
      <c r="M44" s="11"/>
    </row>
    <row r="45" spans="1:15" x14ac:dyDescent="0.2">
      <c r="G45" t="s">
        <v>895</v>
      </c>
      <c r="H45"/>
      <c r="K45" s="512"/>
      <c r="L45" s="11"/>
      <c r="M45" s="11"/>
    </row>
    <row r="46" spans="1:15" x14ac:dyDescent="0.2">
      <c r="G46" t="s">
        <v>743</v>
      </c>
      <c r="H46"/>
      <c r="K46" s="512"/>
      <c r="L46" s="11"/>
      <c r="M46" s="11"/>
    </row>
    <row r="47" spans="1:15" x14ac:dyDescent="0.2">
      <c r="G47" t="s">
        <v>481</v>
      </c>
      <c r="H47"/>
      <c r="K47" s="512"/>
      <c r="L47" s="11"/>
      <c r="M47" s="11"/>
    </row>
    <row r="48" spans="1:15" x14ac:dyDescent="0.2">
      <c r="G48" t="s">
        <v>470</v>
      </c>
      <c r="H48"/>
      <c r="K48" s="512"/>
      <c r="L48" s="11"/>
      <c r="M48" s="11"/>
    </row>
    <row r="49" spans="1:15" x14ac:dyDescent="0.2">
      <c r="G49" t="s">
        <v>79</v>
      </c>
      <c r="H49"/>
      <c r="K49" s="512"/>
      <c r="L49" s="11"/>
      <c r="M49" s="11"/>
    </row>
    <row r="50" spans="1:15" x14ac:dyDescent="0.2">
      <c r="G50" t="s">
        <v>926</v>
      </c>
      <c r="H50"/>
      <c r="I50" s="1127"/>
      <c r="K50" s="512"/>
      <c r="L50" s="232"/>
      <c r="M50" s="232"/>
    </row>
    <row r="51" spans="1:15" x14ac:dyDescent="0.2">
      <c r="G51" s="521" t="s">
        <v>203</v>
      </c>
      <c r="H51"/>
      <c r="I51" s="1127"/>
      <c r="K51" s="512"/>
      <c r="L51" s="1272" t="str">
        <f>IF(K52=K39," ","Recheck numbers. Entry is out of balance.")</f>
        <v xml:space="preserve"> </v>
      </c>
      <c r="M51" s="232"/>
    </row>
    <row r="52" spans="1:15" ht="20.25" customHeight="1" thickBot="1" x14ac:dyDescent="0.25">
      <c r="H52"/>
      <c r="I52" s="1127"/>
      <c r="J52" s="257" t="s">
        <v>773</v>
      </c>
      <c r="K52" s="100">
        <f>SUM(K44:K51)</f>
        <v>0</v>
      </c>
      <c r="L52" s="1272"/>
      <c r="M52" s="256"/>
    </row>
    <row r="53" spans="1:15" ht="13.5" thickTop="1" x14ac:dyDescent="0.2">
      <c r="H53"/>
      <c r="L53" s="11"/>
      <c r="M53" s="11"/>
    </row>
    <row r="54" spans="1:15" ht="25.5" customHeight="1" x14ac:dyDescent="0.2">
      <c r="A54" s="4" t="s">
        <v>466</v>
      </c>
      <c r="B54" s="1207" t="s">
        <v>356</v>
      </c>
      <c r="C54" s="1208"/>
      <c r="D54" s="1208"/>
      <c r="E54" s="1208"/>
      <c r="F54" s="1208"/>
      <c r="G54" s="1208"/>
      <c r="H54" s="1208"/>
      <c r="I54" s="1208"/>
      <c r="J54" s="1208"/>
      <c r="K54" s="1208"/>
      <c r="L54" s="1208"/>
      <c r="M54" s="1208"/>
      <c r="N54" s="1208"/>
      <c r="O54" s="1209"/>
    </row>
    <row r="55" spans="1:15" ht="5.25" customHeight="1" x14ac:dyDescent="0.2">
      <c r="H55"/>
      <c r="L55" s="11"/>
      <c r="M55" s="11"/>
    </row>
    <row r="56" spans="1:15" x14ac:dyDescent="0.2">
      <c r="B56" s="1275" t="s">
        <v>852</v>
      </c>
      <c r="C56" s="1275"/>
      <c r="D56" s="1275"/>
      <c r="E56" s="1275"/>
      <c r="H56"/>
      <c r="L56" s="11"/>
      <c r="M56" s="11"/>
    </row>
    <row r="57" spans="1:15" x14ac:dyDescent="0.2">
      <c r="H57"/>
      <c r="L57" s="11"/>
      <c r="M57" s="11"/>
    </row>
    <row r="58" spans="1:15" ht="12.75" customHeight="1" x14ac:dyDescent="0.2">
      <c r="B58" s="64" t="s">
        <v>947</v>
      </c>
      <c r="C58" s="1126" t="s">
        <v>401</v>
      </c>
      <c r="D58" s="1126"/>
      <c r="E58" s="1126"/>
      <c r="F58" s="1126"/>
      <c r="G58" s="1126"/>
      <c r="H58" s="1126"/>
      <c r="I58" s="1126"/>
      <c r="K58" s="512"/>
      <c r="L58" s="11"/>
      <c r="M58" s="11"/>
    </row>
    <row r="59" spans="1:15" ht="5.25" customHeight="1" x14ac:dyDescent="0.2">
      <c r="H59"/>
      <c r="K59" s="522"/>
      <c r="L59" s="11"/>
      <c r="M59" s="11"/>
    </row>
    <row r="60" spans="1:15" x14ac:dyDescent="0.2">
      <c r="B60" s="64" t="s">
        <v>948</v>
      </c>
      <c r="C60" s="1126" t="s">
        <v>263</v>
      </c>
      <c r="D60" s="1126"/>
      <c r="E60" s="1126"/>
      <c r="F60" s="1126"/>
      <c r="G60" s="1126"/>
      <c r="H60" s="1126"/>
      <c r="I60" s="1126"/>
      <c r="K60" s="512"/>
      <c r="L60" s="11"/>
      <c r="M60" s="11"/>
    </row>
    <row r="61" spans="1:15" ht="18" customHeight="1" thickBot="1" x14ac:dyDescent="0.25">
      <c r="G61" t="s">
        <v>343</v>
      </c>
      <c r="H61"/>
      <c r="K61" s="100">
        <f>K60-K58</f>
        <v>0</v>
      </c>
      <c r="L61" s="234" t="s">
        <v>774</v>
      </c>
      <c r="M61" s="11"/>
    </row>
    <row r="62" spans="1:15" ht="4.5" customHeight="1" thickTop="1" x14ac:dyDescent="0.2">
      <c r="H62"/>
      <c r="L62" s="11"/>
      <c r="M62" s="11"/>
    </row>
    <row r="63" spans="1:15" ht="4.5" customHeight="1" x14ac:dyDescent="0.2">
      <c r="H63"/>
      <c r="L63" s="11"/>
      <c r="M63" s="11"/>
    </row>
    <row r="64" spans="1:15" x14ac:dyDescent="0.2">
      <c r="B64" s="64" t="s">
        <v>949</v>
      </c>
      <c r="C64" s="1276" t="s">
        <v>851</v>
      </c>
      <c r="D64" s="1276"/>
      <c r="E64" s="1276"/>
      <c r="F64" s="1276"/>
      <c r="G64" s="1276"/>
      <c r="H64" s="1276"/>
      <c r="I64" s="1276"/>
      <c r="L64" s="11"/>
      <c r="M64" s="11"/>
    </row>
    <row r="65" spans="1:15" ht="15.6" customHeight="1" x14ac:dyDescent="0.2">
      <c r="C65" s="1276"/>
      <c r="D65" s="1276"/>
      <c r="E65" s="1276"/>
      <c r="F65" s="1276"/>
      <c r="G65" s="1276"/>
      <c r="H65" s="1276"/>
      <c r="I65" s="1276"/>
      <c r="L65" s="11"/>
      <c r="M65" s="11"/>
    </row>
    <row r="66" spans="1:15" ht="36" customHeight="1" x14ac:dyDescent="0.2">
      <c r="H66"/>
      <c r="K66" s="116" t="s">
        <v>344</v>
      </c>
      <c r="L66" s="11"/>
      <c r="M66" s="11"/>
    </row>
    <row r="67" spans="1:15" x14ac:dyDescent="0.2">
      <c r="G67" t="s">
        <v>718</v>
      </c>
      <c r="H67"/>
      <c r="K67" s="512"/>
      <c r="L67" s="11"/>
      <c r="M67" s="11"/>
    </row>
    <row r="68" spans="1:15" x14ac:dyDescent="0.2">
      <c r="G68" t="s">
        <v>895</v>
      </c>
      <c r="H68"/>
      <c r="K68" s="512"/>
    </row>
    <row r="69" spans="1:15" x14ac:dyDescent="0.2">
      <c r="G69" t="s">
        <v>743</v>
      </c>
      <c r="H69"/>
      <c r="K69" s="512"/>
    </row>
    <row r="70" spans="1:15" x14ac:dyDescent="0.2">
      <c r="G70" t="s">
        <v>481</v>
      </c>
      <c r="H70"/>
      <c r="K70" s="512"/>
    </row>
    <row r="71" spans="1:15" x14ac:dyDescent="0.2">
      <c r="G71" t="s">
        <v>470</v>
      </c>
      <c r="H71"/>
      <c r="K71" s="512"/>
    </row>
    <row r="72" spans="1:15" x14ac:dyDescent="0.2">
      <c r="G72" t="s">
        <v>79</v>
      </c>
      <c r="H72"/>
      <c r="K72" s="512"/>
    </row>
    <row r="73" spans="1:15" x14ac:dyDescent="0.2">
      <c r="G73" t="s">
        <v>926</v>
      </c>
      <c r="H73"/>
      <c r="K73" s="512"/>
    </row>
    <row r="74" spans="1:15" ht="12.75" customHeight="1" x14ac:dyDescent="0.2">
      <c r="G74" s="521" t="s">
        <v>203</v>
      </c>
      <c r="H74"/>
      <c r="K74" s="512"/>
      <c r="L74" s="1127" t="str">
        <f>IF(K75=K61," ","Recheck numbers. Entry is out of balance.")</f>
        <v xml:space="preserve"> </v>
      </c>
    </row>
    <row r="75" spans="1:15" ht="20.25" customHeight="1" thickBot="1" x14ac:dyDescent="0.25">
      <c r="G75" s="235"/>
      <c r="H75"/>
      <c r="J75" s="234" t="s">
        <v>774</v>
      </c>
      <c r="K75" s="100">
        <f>SUM(K67:K74)</f>
        <v>0</v>
      </c>
      <c r="L75" s="1127"/>
    </row>
    <row r="76" spans="1:15" ht="13.5" thickTop="1" x14ac:dyDescent="0.2">
      <c r="H76"/>
      <c r="L76" s="11"/>
      <c r="M76" s="11"/>
    </row>
    <row r="77" spans="1:15" x14ac:dyDescent="0.2">
      <c r="H77"/>
      <c r="L77" s="11"/>
      <c r="M77" s="11"/>
    </row>
    <row r="78" spans="1:15" ht="25.5" customHeight="1" x14ac:dyDescent="0.2">
      <c r="A78" s="4" t="s">
        <v>472</v>
      </c>
      <c r="B78" s="1207" t="s">
        <v>695</v>
      </c>
      <c r="C78" s="1273"/>
      <c r="D78" s="1273"/>
      <c r="E78" s="1273"/>
      <c r="F78" s="1273"/>
      <c r="G78" s="1273"/>
      <c r="H78" s="1273"/>
      <c r="I78" s="1273"/>
      <c r="J78" s="1273"/>
      <c r="K78" s="1273"/>
      <c r="L78" s="1273"/>
      <c r="M78" s="1273"/>
      <c r="N78" s="1273"/>
      <c r="O78" s="1274"/>
    </row>
    <row r="79" spans="1:15" x14ac:dyDescent="0.2">
      <c r="H79"/>
      <c r="L79" s="11"/>
      <c r="M79" s="11"/>
    </row>
    <row r="80" spans="1:15" x14ac:dyDescent="0.2">
      <c r="H80"/>
      <c r="L80" s="11"/>
      <c r="M80" s="11"/>
      <c r="N80" s="71" t="s">
        <v>62</v>
      </c>
    </row>
    <row r="81" spans="2:17" ht="15" customHeight="1" x14ac:dyDescent="0.2">
      <c r="B81" s="64" t="s">
        <v>947</v>
      </c>
      <c r="C81" s="1126" t="s">
        <v>125</v>
      </c>
      <c r="D81" s="1126"/>
      <c r="E81" s="1126"/>
      <c r="F81" s="1126"/>
      <c r="G81" s="1126"/>
      <c r="H81" s="1126"/>
      <c r="I81" s="1126"/>
      <c r="J81" s="1126"/>
      <c r="K81" s="1126"/>
      <c r="L81" s="1126"/>
      <c r="M81" s="11"/>
      <c r="N81" s="1237"/>
      <c r="Q81" s="11"/>
    </row>
    <row r="82" spans="2:17" ht="12.75" customHeight="1" x14ac:dyDescent="0.2">
      <c r="B82" s="64"/>
      <c r="C82" s="1126"/>
      <c r="D82" s="1126"/>
      <c r="E82" s="1126"/>
      <c r="F82" s="1126"/>
      <c r="G82" s="1126"/>
      <c r="H82" s="1126"/>
      <c r="I82" s="1126"/>
      <c r="J82" s="1126"/>
      <c r="K82" s="1126"/>
      <c r="L82" s="1126"/>
      <c r="M82" s="11"/>
      <c r="N82" s="1237"/>
      <c r="Q82" s="11"/>
    </row>
    <row r="83" spans="2:17" ht="12.75" customHeight="1" x14ac:dyDescent="0.2">
      <c r="B83" s="64"/>
      <c r="C83" s="59"/>
      <c r="D83" s="59"/>
      <c r="E83" s="59"/>
      <c r="F83" s="59"/>
      <c r="G83" s="59"/>
      <c r="H83" s="59"/>
      <c r="I83" s="59"/>
      <c r="J83" s="59"/>
      <c r="K83" s="59"/>
      <c r="M83" s="11"/>
      <c r="Q83" s="11"/>
    </row>
    <row r="84" spans="2:17" ht="12.75" customHeight="1" x14ac:dyDescent="0.2">
      <c r="B84" s="64" t="s">
        <v>948</v>
      </c>
      <c r="C84" s="1126" t="s">
        <v>810</v>
      </c>
      <c r="D84" s="1126"/>
      <c r="E84" s="1126"/>
      <c r="F84" s="1126"/>
      <c r="G84" s="1126"/>
      <c r="H84" s="1126"/>
      <c r="I84" s="1126"/>
      <c r="J84" s="1126"/>
      <c r="K84" s="1126"/>
      <c r="L84" s="1126"/>
      <c r="M84" s="11"/>
      <c r="N84" s="1237"/>
      <c r="Q84" s="11"/>
    </row>
    <row r="85" spans="2:17" ht="12.75" customHeight="1" x14ac:dyDescent="0.2">
      <c r="B85" s="64"/>
      <c r="C85" s="1126"/>
      <c r="D85" s="1126"/>
      <c r="E85" s="1126"/>
      <c r="F85" s="1126"/>
      <c r="G85" s="1126"/>
      <c r="H85" s="1126"/>
      <c r="I85" s="1126"/>
      <c r="J85" s="1126"/>
      <c r="K85" s="1126"/>
      <c r="L85" s="1126"/>
      <c r="M85" s="11"/>
      <c r="N85" s="1238"/>
      <c r="Q85" s="11"/>
    </row>
    <row r="86" spans="2:17" ht="16.5" customHeight="1" thickBot="1" x14ac:dyDescent="0.25">
      <c r="B86" s="64"/>
      <c r="C86" s="59"/>
      <c r="E86" s="59"/>
      <c r="F86" s="59"/>
      <c r="G86" s="1126" t="s">
        <v>811</v>
      </c>
      <c r="H86" s="1126"/>
      <c r="I86" s="1126"/>
      <c r="J86" s="1126"/>
      <c r="K86" s="1126"/>
      <c r="L86" s="1126"/>
      <c r="M86" s="11"/>
      <c r="N86" s="112">
        <f>N84-N81</f>
        <v>0</v>
      </c>
      <c r="O86" s="234" t="s">
        <v>673</v>
      </c>
      <c r="Q86" s="11"/>
    </row>
    <row r="87" spans="2:17" ht="12.75" customHeight="1" thickTop="1" x14ac:dyDescent="0.2">
      <c r="B87" s="64"/>
      <c r="C87" s="59"/>
      <c r="D87" s="59"/>
      <c r="E87" s="59"/>
      <c r="F87" s="59"/>
      <c r="G87" s="59"/>
      <c r="H87" s="59"/>
      <c r="I87" s="59"/>
      <c r="J87" s="59"/>
      <c r="K87" s="59"/>
      <c r="M87" s="11"/>
      <c r="Q87" s="11"/>
    </row>
    <row r="88" spans="2:17" ht="12.75" customHeight="1" x14ac:dyDescent="0.2">
      <c r="B88" s="64" t="s">
        <v>949</v>
      </c>
      <c r="C88" s="1126" t="s">
        <v>887</v>
      </c>
      <c r="D88" s="1126"/>
      <c r="E88" s="1126"/>
      <c r="F88" s="1126"/>
      <c r="G88" s="1126"/>
      <c r="H88" s="1126"/>
      <c r="I88" s="1126"/>
      <c r="J88" s="1126"/>
      <c r="K88" s="1126"/>
      <c r="L88" s="1126"/>
      <c r="M88" s="59"/>
      <c r="Q88" s="11"/>
    </row>
    <row r="89" spans="2:17" ht="38.25" customHeight="1" x14ac:dyDescent="0.2">
      <c r="B89" s="64"/>
      <c r="C89" s="1126"/>
      <c r="D89" s="1126"/>
      <c r="E89" s="1126"/>
      <c r="F89" s="1126"/>
      <c r="G89" s="1126"/>
      <c r="H89" s="1126"/>
      <c r="I89" s="1126"/>
      <c r="J89" s="1126"/>
      <c r="K89" s="1126"/>
      <c r="L89" s="1126"/>
      <c r="M89" s="59"/>
      <c r="Q89" s="11"/>
    </row>
    <row r="90" spans="2:17" ht="13.5" customHeight="1" x14ac:dyDescent="0.2">
      <c r="B90" s="64"/>
      <c r="F90" t="s">
        <v>718</v>
      </c>
      <c r="H90"/>
      <c r="I90" s="54"/>
      <c r="J90" s="54"/>
      <c r="K90" s="512"/>
      <c r="M90" s="52"/>
      <c r="Q90" s="11"/>
    </row>
    <row r="91" spans="2:17" x14ac:dyDescent="0.2">
      <c r="B91" s="64"/>
      <c r="F91" t="s">
        <v>895</v>
      </c>
      <c r="H91"/>
      <c r="I91" s="54"/>
      <c r="J91" s="54"/>
      <c r="K91" s="512"/>
      <c r="M91" s="52"/>
      <c r="Q91" s="11"/>
    </row>
    <row r="92" spans="2:17" x14ac:dyDescent="0.2">
      <c r="B92" s="64"/>
      <c r="F92" t="s">
        <v>743</v>
      </c>
      <c r="H92"/>
      <c r="I92" s="54"/>
      <c r="J92" s="54"/>
      <c r="K92" s="512"/>
      <c r="M92" s="52"/>
      <c r="Q92" s="11"/>
    </row>
    <row r="93" spans="2:17" x14ac:dyDescent="0.2">
      <c r="B93" s="64"/>
      <c r="F93" t="s">
        <v>481</v>
      </c>
      <c r="H93"/>
      <c r="I93" s="54"/>
      <c r="J93" s="54"/>
      <c r="K93" s="512"/>
      <c r="M93" s="52"/>
      <c r="Q93" s="11"/>
    </row>
    <row r="94" spans="2:17" ht="12.75" customHeight="1" x14ac:dyDescent="0.2">
      <c r="B94" s="64"/>
      <c r="F94" t="s">
        <v>470</v>
      </c>
      <c r="H94"/>
      <c r="I94" s="54"/>
      <c r="J94" s="54"/>
      <c r="K94" s="512"/>
      <c r="M94" s="52"/>
      <c r="Q94" s="11"/>
    </row>
    <row r="95" spans="2:17" x14ac:dyDescent="0.2">
      <c r="B95" s="64"/>
      <c r="F95" t="s">
        <v>79</v>
      </c>
      <c r="H95"/>
      <c r="I95" s="54"/>
      <c r="J95" s="54"/>
      <c r="K95" s="512"/>
      <c r="L95" s="11"/>
      <c r="M95" s="52"/>
      <c r="Q95" s="11"/>
    </row>
    <row r="96" spans="2:17" ht="12.75" customHeight="1" x14ac:dyDescent="0.2">
      <c r="B96" s="64"/>
      <c r="F96" t="s">
        <v>926</v>
      </c>
      <c r="H96"/>
      <c r="I96" s="54"/>
      <c r="J96" s="54"/>
      <c r="K96" s="512"/>
      <c r="L96" s="11"/>
      <c r="M96" s="52"/>
    </row>
    <row r="97" spans="1:17" ht="12.75" customHeight="1" x14ac:dyDescent="0.2">
      <c r="B97" s="64"/>
      <c r="F97" s="521" t="s">
        <v>203</v>
      </c>
      <c r="H97"/>
      <c r="I97" s="54"/>
      <c r="J97" s="54"/>
      <c r="K97" s="512"/>
      <c r="L97" s="1272" t="str">
        <f>IF(K98=N86," ","Recheck numbers. Entry is out of balance.")</f>
        <v xml:space="preserve"> </v>
      </c>
      <c r="M97" s="52"/>
    </row>
    <row r="98" spans="1:17" ht="27.75" customHeight="1" thickBot="1" x14ac:dyDescent="0.25">
      <c r="G98" t="s">
        <v>25</v>
      </c>
      <c r="H98"/>
      <c r="I98" s="54"/>
      <c r="J98" s="234" t="s">
        <v>673</v>
      </c>
      <c r="K98" s="105">
        <f>SUM(K90:K97)</f>
        <v>0</v>
      </c>
      <c r="L98" s="1272"/>
      <c r="M98" s="52"/>
    </row>
    <row r="99" spans="1:17" ht="14.25" thickTop="1" x14ac:dyDescent="0.25">
      <c r="H99"/>
      <c r="I99" s="54"/>
      <c r="J99" s="54"/>
      <c r="K99" s="11"/>
      <c r="L99" s="11"/>
      <c r="M99" s="52"/>
      <c r="P99" s="173"/>
      <c r="Q99" s="173"/>
    </row>
    <row r="100" spans="1:17" ht="13.5" x14ac:dyDescent="0.25">
      <c r="H100"/>
      <c r="I100" s="54"/>
      <c r="J100" s="54"/>
      <c r="K100" s="11"/>
      <c r="L100" s="11"/>
      <c r="M100" s="52"/>
      <c r="N100" s="52"/>
      <c r="O100" s="176"/>
      <c r="P100" s="173"/>
      <c r="Q100" s="173"/>
    </row>
    <row r="101" spans="1:17" ht="25.5" customHeight="1" x14ac:dyDescent="0.25">
      <c r="B101" s="1207" t="s">
        <v>848</v>
      </c>
      <c r="C101" s="1273"/>
      <c r="D101" s="1273"/>
      <c r="E101" s="1273"/>
      <c r="F101" s="1273"/>
      <c r="G101" s="1273"/>
      <c r="H101" s="1273"/>
      <c r="I101" s="1273"/>
      <c r="J101" s="1273"/>
      <c r="K101" s="1273"/>
      <c r="L101" s="1273"/>
      <c r="M101" s="1273"/>
      <c r="N101" s="1273"/>
      <c r="O101" s="1274"/>
      <c r="P101" s="173"/>
      <c r="Q101" s="173"/>
    </row>
    <row r="102" spans="1:17" ht="13.5" x14ac:dyDescent="0.25">
      <c r="A102" s="4" t="s">
        <v>488</v>
      </c>
      <c r="H102"/>
      <c r="I102" s="54"/>
      <c r="J102" s="54"/>
      <c r="K102" s="11"/>
      <c r="L102" s="11"/>
      <c r="M102" s="52"/>
      <c r="N102" s="52"/>
      <c r="O102" s="176"/>
      <c r="P102" s="173"/>
      <c r="Q102" s="173"/>
    </row>
    <row r="103" spans="1:17" ht="13.5" x14ac:dyDescent="0.25">
      <c r="H103"/>
      <c r="I103" s="54"/>
      <c r="J103" s="54"/>
      <c r="K103" s="11"/>
      <c r="L103" s="180" t="s">
        <v>65</v>
      </c>
      <c r="M103" s="178"/>
      <c r="N103" s="181" t="s">
        <v>66</v>
      </c>
      <c r="O103" s="176"/>
      <c r="P103" s="173"/>
      <c r="Q103" s="173"/>
    </row>
    <row r="104" spans="1:17" ht="6.75" customHeight="1" x14ac:dyDescent="0.25">
      <c r="H104"/>
      <c r="I104" s="54"/>
      <c r="J104" s="54"/>
      <c r="K104" s="11"/>
      <c r="L104" s="177"/>
      <c r="M104" s="178"/>
      <c r="N104" s="179"/>
      <c r="O104" s="176"/>
      <c r="P104" s="173"/>
      <c r="Q104" s="173"/>
    </row>
    <row r="105" spans="1:17" x14ac:dyDescent="0.2">
      <c r="B105" s="182" t="s">
        <v>931</v>
      </c>
      <c r="E105" t="s">
        <v>928</v>
      </c>
      <c r="L105" s="103">
        <f t="shared" ref="L105:L119" si="0">R127</f>
        <v>0</v>
      </c>
      <c r="M105" s="13"/>
      <c r="N105" s="103">
        <f t="shared" ref="N105:N119" si="1">S127</f>
        <v>0</v>
      </c>
    </row>
    <row r="106" spans="1:17" x14ac:dyDescent="0.2">
      <c r="B106" s="182"/>
      <c r="D106" s="2"/>
      <c r="E106" t="s">
        <v>443</v>
      </c>
      <c r="L106" s="103">
        <f t="shared" si="0"/>
        <v>0</v>
      </c>
      <c r="M106" s="13"/>
      <c r="N106" s="103">
        <f t="shared" si="1"/>
        <v>0</v>
      </c>
    </row>
    <row r="107" spans="1:17" ht="13.5" customHeight="1" x14ac:dyDescent="0.2">
      <c r="B107" s="182"/>
      <c r="E107" t="s">
        <v>845</v>
      </c>
      <c r="L107" s="103">
        <f t="shared" si="0"/>
        <v>0</v>
      </c>
      <c r="M107" s="13"/>
      <c r="N107" s="103">
        <f t="shared" si="1"/>
        <v>0</v>
      </c>
    </row>
    <row r="108" spans="1:17" ht="13.5" customHeight="1" x14ac:dyDescent="0.2">
      <c r="B108" s="182"/>
      <c r="E108" t="s">
        <v>853</v>
      </c>
      <c r="L108" s="103">
        <f t="shared" si="0"/>
        <v>0</v>
      </c>
      <c r="M108" s="13"/>
      <c r="N108" s="103">
        <f t="shared" si="1"/>
        <v>0</v>
      </c>
    </row>
    <row r="109" spans="1:17" ht="12.75" customHeight="1" x14ac:dyDescent="0.2">
      <c r="B109" s="182"/>
      <c r="E109" t="s">
        <v>126</v>
      </c>
      <c r="L109" s="103">
        <f t="shared" si="0"/>
        <v>0</v>
      </c>
      <c r="M109" s="13"/>
      <c r="N109" s="103">
        <f t="shared" si="1"/>
        <v>0</v>
      </c>
    </row>
    <row r="110" spans="1:17" x14ac:dyDescent="0.2">
      <c r="B110" s="182"/>
      <c r="F110" t="s">
        <v>718</v>
      </c>
      <c r="L110" s="103">
        <f t="shared" si="0"/>
        <v>0</v>
      </c>
      <c r="M110" s="121"/>
      <c r="N110" s="103">
        <f t="shared" si="1"/>
        <v>0</v>
      </c>
    </row>
    <row r="111" spans="1:17" x14ac:dyDescent="0.2">
      <c r="B111" s="182"/>
      <c r="F111" t="s">
        <v>895</v>
      </c>
      <c r="L111" s="103">
        <f t="shared" si="0"/>
        <v>0</v>
      </c>
      <c r="M111" s="121"/>
      <c r="N111" s="103">
        <f t="shared" si="1"/>
        <v>0</v>
      </c>
    </row>
    <row r="112" spans="1:17" x14ac:dyDescent="0.2">
      <c r="B112" s="182"/>
      <c r="F112" t="s">
        <v>743</v>
      </c>
      <c r="L112" s="103">
        <f t="shared" si="0"/>
        <v>0</v>
      </c>
      <c r="M112" s="121"/>
      <c r="N112" s="103">
        <f t="shared" si="1"/>
        <v>0</v>
      </c>
    </row>
    <row r="113" spans="1:19" x14ac:dyDescent="0.2">
      <c r="F113" t="s">
        <v>481</v>
      </c>
      <c r="L113" s="103">
        <f t="shared" si="0"/>
        <v>0</v>
      </c>
      <c r="M113" s="121"/>
      <c r="N113" s="103">
        <f t="shared" si="1"/>
        <v>0</v>
      </c>
    </row>
    <row r="114" spans="1:19" x14ac:dyDescent="0.2">
      <c r="F114" t="s">
        <v>470</v>
      </c>
      <c r="L114" s="103">
        <f t="shared" si="0"/>
        <v>0</v>
      </c>
      <c r="M114" s="121"/>
      <c r="N114" s="103">
        <f t="shared" si="1"/>
        <v>0</v>
      </c>
    </row>
    <row r="115" spans="1:19" x14ac:dyDescent="0.2">
      <c r="F115" t="s">
        <v>79</v>
      </c>
      <c r="L115" s="103">
        <f t="shared" si="0"/>
        <v>0</v>
      </c>
      <c r="M115" s="121"/>
      <c r="N115" s="103">
        <f t="shared" si="1"/>
        <v>0</v>
      </c>
    </row>
    <row r="116" spans="1:19" x14ac:dyDescent="0.2">
      <c r="F116" t="s">
        <v>926</v>
      </c>
      <c r="L116" s="103">
        <f t="shared" si="0"/>
        <v>0</v>
      </c>
      <c r="M116" s="121"/>
      <c r="N116" s="103">
        <f t="shared" si="1"/>
        <v>0</v>
      </c>
    </row>
    <row r="117" spans="1:19" x14ac:dyDescent="0.2">
      <c r="F117" s="521" t="s">
        <v>203</v>
      </c>
      <c r="L117" s="103">
        <f t="shared" si="0"/>
        <v>0</v>
      </c>
      <c r="M117" s="121"/>
      <c r="N117" s="103">
        <f t="shared" si="1"/>
        <v>0</v>
      </c>
    </row>
    <row r="118" spans="1:19" x14ac:dyDescent="0.2">
      <c r="F118" t="s">
        <v>976</v>
      </c>
      <c r="L118" s="103">
        <f t="shared" si="0"/>
        <v>0</v>
      </c>
      <c r="M118" s="121"/>
      <c r="N118" s="103">
        <f t="shared" si="1"/>
        <v>0</v>
      </c>
    </row>
    <row r="119" spans="1:19" x14ac:dyDescent="0.2">
      <c r="F119" t="s">
        <v>932</v>
      </c>
      <c r="L119" s="103">
        <f t="shared" si="0"/>
        <v>0</v>
      </c>
      <c r="M119" s="121"/>
      <c r="N119" s="103">
        <f t="shared" si="1"/>
        <v>0</v>
      </c>
    </row>
    <row r="120" spans="1:19" ht="13.5" thickBot="1" x14ac:dyDescent="0.25">
      <c r="L120" s="100">
        <f>SUM(L105:L119)</f>
        <v>0</v>
      </c>
      <c r="M120" s="72"/>
      <c r="N120" s="100">
        <f>SUM(N105:N119)</f>
        <v>0</v>
      </c>
    </row>
    <row r="121" spans="1:19" ht="13.5" thickTop="1" x14ac:dyDescent="0.2"/>
    <row r="122" spans="1:19" x14ac:dyDescent="0.2">
      <c r="B122" s="135"/>
      <c r="C122" s="135"/>
      <c r="D122" s="135"/>
      <c r="E122" s="135"/>
      <c r="F122" s="135"/>
      <c r="G122" s="135"/>
      <c r="H122" s="237"/>
      <c r="I122" s="135"/>
      <c r="J122" s="135"/>
      <c r="K122" s="135"/>
      <c r="L122" s="135"/>
      <c r="M122" s="135"/>
      <c r="N122" s="135"/>
      <c r="O122" s="135"/>
    </row>
    <row r="123" spans="1:19" ht="18" x14ac:dyDescent="0.25">
      <c r="B123" s="238" t="s">
        <v>462</v>
      </c>
      <c r="C123" s="135"/>
      <c r="D123" s="135"/>
      <c r="E123" s="135"/>
      <c r="F123" s="135"/>
      <c r="G123" s="135"/>
      <c r="H123" s="237"/>
      <c r="I123" s="135"/>
      <c r="J123" s="135"/>
      <c r="K123" s="135"/>
      <c r="L123" s="135"/>
      <c r="M123" s="135"/>
      <c r="N123" s="135"/>
      <c r="O123" s="135"/>
    </row>
    <row r="125" spans="1:19" x14ac:dyDescent="0.2">
      <c r="F125" s="1220" t="s">
        <v>417</v>
      </c>
      <c r="G125" s="1221"/>
      <c r="H125" s="1220" t="s">
        <v>248</v>
      </c>
      <c r="I125" s="1221"/>
      <c r="J125" s="233"/>
      <c r="K125" s="1220" t="s">
        <v>249</v>
      </c>
      <c r="L125" s="1221"/>
      <c r="M125" s="71"/>
      <c r="N125" s="1220" t="s">
        <v>250</v>
      </c>
      <c r="O125" s="1221"/>
      <c r="R125" s="1220" t="s">
        <v>103</v>
      </c>
      <c r="S125" s="1221"/>
    </row>
    <row r="126" spans="1:19" x14ac:dyDescent="0.2">
      <c r="F126" s="95" t="s">
        <v>65</v>
      </c>
      <c r="G126" s="137" t="s">
        <v>66</v>
      </c>
      <c r="H126" s="95" t="s">
        <v>65</v>
      </c>
      <c r="I126" s="96" t="s">
        <v>66</v>
      </c>
      <c r="K126" s="95" t="s">
        <v>332</v>
      </c>
      <c r="L126" s="96" t="s">
        <v>66</v>
      </c>
      <c r="M126" s="71"/>
      <c r="N126" s="95" t="s">
        <v>332</v>
      </c>
      <c r="O126" s="96" t="s">
        <v>66</v>
      </c>
      <c r="R126" s="95" t="s">
        <v>332</v>
      </c>
      <c r="S126" s="96" t="s">
        <v>463</v>
      </c>
    </row>
    <row r="127" spans="1:19" x14ac:dyDescent="0.2">
      <c r="A127" t="s">
        <v>928</v>
      </c>
      <c r="F127" s="5">
        <f>K25</f>
        <v>0</v>
      </c>
      <c r="G127" s="1"/>
      <c r="H127"/>
      <c r="R127" s="5">
        <f>F127+H127+K127+N127</f>
        <v>0</v>
      </c>
      <c r="S127" s="5">
        <f>G127+I127+L127+O127</f>
        <v>0</v>
      </c>
    </row>
    <row r="128" spans="1:19" x14ac:dyDescent="0.2">
      <c r="A128" t="s">
        <v>443</v>
      </c>
      <c r="F128" s="5">
        <f>K22</f>
        <v>0</v>
      </c>
      <c r="G128" s="1"/>
      <c r="H128"/>
      <c r="R128" s="5">
        <f t="shared" ref="R128:R141" si="2">F128+H128+K128+N128</f>
        <v>0</v>
      </c>
      <c r="S128" s="5">
        <f t="shared" ref="S128:S141" si="3">G128+I128+L128+O128</f>
        <v>0</v>
      </c>
    </row>
    <row r="129" spans="1:19" x14ac:dyDescent="0.2">
      <c r="A129" t="s">
        <v>843</v>
      </c>
      <c r="G129" s="1"/>
      <c r="H129" s="5">
        <f>K39</f>
        <v>0</v>
      </c>
      <c r="R129" s="5">
        <f t="shared" si="2"/>
        <v>0</v>
      </c>
      <c r="S129" s="5">
        <f t="shared" si="3"/>
        <v>0</v>
      </c>
    </row>
    <row r="130" spans="1:19" x14ac:dyDescent="0.2">
      <c r="A130" t="s">
        <v>844</v>
      </c>
      <c r="G130" s="1"/>
      <c r="H130" s="5"/>
      <c r="K130" s="61">
        <f>K61</f>
        <v>0</v>
      </c>
      <c r="R130" s="5">
        <f t="shared" si="2"/>
        <v>0</v>
      </c>
      <c r="S130" s="5">
        <f t="shared" si="3"/>
        <v>0</v>
      </c>
    </row>
    <row r="131" spans="1:19" x14ac:dyDescent="0.2">
      <c r="A131" t="s">
        <v>126</v>
      </c>
      <c r="G131" s="1"/>
      <c r="H131"/>
      <c r="N131" s="5">
        <f>N84</f>
        <v>0</v>
      </c>
      <c r="R131" s="5">
        <f t="shared" si="2"/>
        <v>0</v>
      </c>
      <c r="S131" s="5">
        <f t="shared" si="3"/>
        <v>0</v>
      </c>
    </row>
    <row r="132" spans="1:19" x14ac:dyDescent="0.2">
      <c r="B132" t="s">
        <v>718</v>
      </c>
      <c r="G132" s="1"/>
      <c r="H132"/>
      <c r="I132" s="5">
        <f t="shared" ref="I132:I139" si="4">K44-H44</f>
        <v>0</v>
      </c>
      <c r="L132" s="61">
        <f t="shared" ref="L132:L139" si="5">K67-H67</f>
        <v>0</v>
      </c>
      <c r="O132" s="5">
        <f t="shared" ref="O132:O139" si="6">K90</f>
        <v>0</v>
      </c>
      <c r="R132" s="5">
        <f t="shared" si="2"/>
        <v>0</v>
      </c>
      <c r="S132" s="5">
        <f t="shared" si="3"/>
        <v>0</v>
      </c>
    </row>
    <row r="133" spans="1:19" x14ac:dyDescent="0.2">
      <c r="B133" t="s">
        <v>895</v>
      </c>
      <c r="G133" s="1"/>
      <c r="H133"/>
      <c r="I133" s="5">
        <f t="shared" si="4"/>
        <v>0</v>
      </c>
      <c r="L133" s="61">
        <f t="shared" si="5"/>
        <v>0</v>
      </c>
      <c r="O133" s="5">
        <f t="shared" si="6"/>
        <v>0</v>
      </c>
      <c r="R133" s="5">
        <f t="shared" si="2"/>
        <v>0</v>
      </c>
      <c r="S133" s="5">
        <f t="shared" si="3"/>
        <v>0</v>
      </c>
    </row>
    <row r="134" spans="1:19" x14ac:dyDescent="0.2">
      <c r="B134" t="s">
        <v>743</v>
      </c>
      <c r="G134" s="1"/>
      <c r="H134"/>
      <c r="I134" s="5">
        <f t="shared" si="4"/>
        <v>0</v>
      </c>
      <c r="L134" s="61">
        <f t="shared" si="5"/>
        <v>0</v>
      </c>
      <c r="O134" s="5">
        <f t="shared" si="6"/>
        <v>0</v>
      </c>
      <c r="R134" s="5">
        <f t="shared" si="2"/>
        <v>0</v>
      </c>
      <c r="S134" s="5">
        <f t="shared" si="3"/>
        <v>0</v>
      </c>
    </row>
    <row r="135" spans="1:19" x14ac:dyDescent="0.2">
      <c r="B135" t="s">
        <v>481</v>
      </c>
      <c r="G135" s="1"/>
      <c r="H135"/>
      <c r="I135" s="5">
        <f t="shared" si="4"/>
        <v>0</v>
      </c>
      <c r="L135" s="61">
        <f t="shared" si="5"/>
        <v>0</v>
      </c>
      <c r="O135" s="5">
        <f t="shared" si="6"/>
        <v>0</v>
      </c>
      <c r="R135" s="5">
        <f t="shared" si="2"/>
        <v>0</v>
      </c>
      <c r="S135" s="5">
        <f t="shared" si="3"/>
        <v>0</v>
      </c>
    </row>
    <row r="136" spans="1:19" x14ac:dyDescent="0.2">
      <c r="B136" t="s">
        <v>470</v>
      </c>
      <c r="G136" s="1"/>
      <c r="H136"/>
      <c r="I136" s="5">
        <f t="shared" si="4"/>
        <v>0</v>
      </c>
      <c r="L136" s="61">
        <f t="shared" si="5"/>
        <v>0</v>
      </c>
      <c r="O136" s="5">
        <f t="shared" si="6"/>
        <v>0</v>
      </c>
      <c r="R136" s="5">
        <f t="shared" si="2"/>
        <v>0</v>
      </c>
      <c r="S136" s="5">
        <f t="shared" si="3"/>
        <v>0</v>
      </c>
    </row>
    <row r="137" spans="1:19" x14ac:dyDescent="0.2">
      <c r="B137" t="s">
        <v>79</v>
      </c>
      <c r="G137" s="1"/>
      <c r="H137"/>
      <c r="I137" s="5">
        <f t="shared" si="4"/>
        <v>0</v>
      </c>
      <c r="L137" s="61">
        <f t="shared" si="5"/>
        <v>0</v>
      </c>
      <c r="O137" s="5">
        <f t="shared" si="6"/>
        <v>0</v>
      </c>
      <c r="R137" s="5">
        <f t="shared" si="2"/>
        <v>0</v>
      </c>
      <c r="S137" s="5">
        <f t="shared" si="3"/>
        <v>0</v>
      </c>
    </row>
    <row r="138" spans="1:19" x14ac:dyDescent="0.2">
      <c r="B138" t="s">
        <v>926</v>
      </c>
      <c r="G138" s="1"/>
      <c r="H138"/>
      <c r="I138" s="5">
        <f t="shared" si="4"/>
        <v>0</v>
      </c>
      <c r="L138" s="61">
        <f t="shared" si="5"/>
        <v>0</v>
      </c>
      <c r="O138" s="5">
        <f t="shared" si="6"/>
        <v>0</v>
      </c>
      <c r="R138" s="5">
        <f t="shared" si="2"/>
        <v>0</v>
      </c>
      <c r="S138" s="5">
        <f t="shared" si="3"/>
        <v>0</v>
      </c>
    </row>
    <row r="139" spans="1:19" x14ac:dyDescent="0.2">
      <c r="B139" s="521" t="s">
        <v>203</v>
      </c>
      <c r="G139" s="1"/>
      <c r="H139"/>
      <c r="I139" s="5">
        <f t="shared" si="4"/>
        <v>0</v>
      </c>
      <c r="L139" s="61">
        <f t="shared" si="5"/>
        <v>0</v>
      </c>
      <c r="O139" s="5">
        <f t="shared" si="6"/>
        <v>0</v>
      </c>
      <c r="R139" s="5">
        <f t="shared" si="2"/>
        <v>0</v>
      </c>
      <c r="S139" s="5">
        <f t="shared" si="3"/>
        <v>0</v>
      </c>
    </row>
    <row r="140" spans="1:19" x14ac:dyDescent="0.2">
      <c r="B140" t="s">
        <v>977</v>
      </c>
      <c r="F140" t="str">
        <f>IF((K28+K22)&lt;0,-(K28+K22),"0")</f>
        <v>0</v>
      </c>
      <c r="G140" s="1">
        <f>IF((K28+K22)&gt;=0,(K28+K22),"0")</f>
        <v>0</v>
      </c>
      <c r="H140"/>
      <c r="L140" s="61"/>
      <c r="R140" s="5">
        <f t="shared" si="2"/>
        <v>0</v>
      </c>
      <c r="S140" s="5">
        <f t="shared" si="3"/>
        <v>0</v>
      </c>
    </row>
    <row r="141" spans="1:19" x14ac:dyDescent="0.2">
      <c r="B141" t="s">
        <v>932</v>
      </c>
      <c r="G141" s="1">
        <f>K19</f>
        <v>0</v>
      </c>
      <c r="H141"/>
      <c r="I141" s="5"/>
      <c r="L141" s="61"/>
      <c r="O141" s="5">
        <f>N81</f>
        <v>0</v>
      </c>
      <c r="R141" s="5">
        <f t="shared" si="2"/>
        <v>0</v>
      </c>
      <c r="S141" s="5">
        <f t="shared" si="3"/>
        <v>0</v>
      </c>
    </row>
    <row r="142" spans="1:19" ht="13.5" thickBot="1" x14ac:dyDescent="0.25">
      <c r="F142" s="37">
        <f>SUM(F127:F141)</f>
        <v>0</v>
      </c>
      <c r="G142" s="37">
        <f>SUM(G127:G141)</f>
        <v>0</v>
      </c>
      <c r="H142" s="37">
        <f>SUM(H127:H141)</f>
        <v>0</v>
      </c>
      <c r="I142" s="37">
        <f>SUM(I127:I141)</f>
        <v>0</v>
      </c>
      <c r="J142" s="37"/>
      <c r="K142" s="37">
        <f>SUM(K127:K141)</f>
        <v>0</v>
      </c>
      <c r="L142" s="37">
        <f>SUM(L127:L141)</f>
        <v>0</v>
      </c>
      <c r="M142" s="37"/>
      <c r="N142" s="37">
        <f>SUM(N127:N141)</f>
        <v>0</v>
      </c>
      <c r="O142" s="37">
        <f>SUM(O127:O141)</f>
        <v>0</v>
      </c>
      <c r="P142" s="37"/>
      <c r="Q142" s="37"/>
      <c r="R142" s="37">
        <f>SUM(R127:R141)</f>
        <v>0</v>
      </c>
      <c r="S142" s="37">
        <f>SUM(S127:S141)</f>
        <v>0</v>
      </c>
    </row>
    <row r="143" spans="1:19" ht="13.5" thickTop="1" x14ac:dyDescent="0.2">
      <c r="G143" s="1"/>
      <c r="H143"/>
    </row>
  </sheetData>
  <sheetProtection password="C1DF" sheet="1" objects="1" scenarios="1"/>
  <mergeCells count="41">
    <mergeCell ref="B32:I32"/>
    <mergeCell ref="B30:O30"/>
    <mergeCell ref="C22:I23"/>
    <mergeCell ref="C37:I38"/>
    <mergeCell ref="K34:K35"/>
    <mergeCell ref="C34:I35"/>
    <mergeCell ref="K25:K26"/>
    <mergeCell ref="C25:I26"/>
    <mergeCell ref="K22:K23"/>
    <mergeCell ref="K37:K38"/>
    <mergeCell ref="R125:S125"/>
    <mergeCell ref="F125:G125"/>
    <mergeCell ref="H125:I125"/>
    <mergeCell ref="K125:L125"/>
    <mergeCell ref="N84:N85"/>
    <mergeCell ref="G86:L86"/>
    <mergeCell ref="C88:L89"/>
    <mergeCell ref="L97:L98"/>
    <mergeCell ref="C84:L85"/>
    <mergeCell ref="B101:O101"/>
    <mergeCell ref="N125:O125"/>
    <mergeCell ref="C41:I42"/>
    <mergeCell ref="I50:I52"/>
    <mergeCell ref="L51:L52"/>
    <mergeCell ref="C81:L82"/>
    <mergeCell ref="B54:O54"/>
    <mergeCell ref="B78:O78"/>
    <mergeCell ref="C58:I58"/>
    <mergeCell ref="C60:I60"/>
    <mergeCell ref="B56:E56"/>
    <mergeCell ref="C64:I65"/>
    <mergeCell ref="N81:N82"/>
    <mergeCell ref="L74:L75"/>
    <mergeCell ref="K19:K20"/>
    <mergeCell ref="A2:P2"/>
    <mergeCell ref="B4:P4"/>
    <mergeCell ref="B16:O16"/>
    <mergeCell ref="C6:O7"/>
    <mergeCell ref="C9:O10"/>
    <mergeCell ref="C12:O13"/>
    <mergeCell ref="C19:I20"/>
  </mergeCells>
  <phoneticPr fontId="13" type="noConversion"/>
  <printOptions horizontalCentered="1"/>
  <pageMargins left="0.36" right="0.37" top="0.71" bottom="0.5" header="0.5" footer="0.5"/>
  <pageSetup scale="75" orientation="portrait" r:id="rId1"/>
  <headerFooter alignWithMargins="0">
    <oddHeader>&amp;R&amp;"Arial,Bold"&amp;12Entry&amp;"Times New Roman,Bold" I</oddHeader>
    <oddFooter>&amp;L&amp;8&amp;D - City model&amp;R&amp;P</oddFooter>
  </headerFooter>
  <rowBreaks count="2" manualBreakCount="2">
    <brk id="53" max="16" man="1"/>
    <brk id="99" max="16"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AE234"/>
  <sheetViews>
    <sheetView zoomScaleNormal="100" workbookViewId="0">
      <selection activeCell="H27" sqref="H27"/>
    </sheetView>
  </sheetViews>
  <sheetFormatPr defaultRowHeight="12.75" x14ac:dyDescent="0.2"/>
  <cols>
    <col min="1" max="1" width="4" style="4" customWidth="1"/>
    <col min="2" max="2" width="4" customWidth="1"/>
    <col min="4" max="4" width="9.28515625" customWidth="1"/>
    <col min="5" max="5" width="3.5703125" customWidth="1"/>
    <col min="6" max="6" width="9.7109375" customWidth="1"/>
    <col min="7" max="7" width="10.42578125" customWidth="1"/>
    <col min="8" max="8" width="12.42578125" customWidth="1"/>
    <col min="9" max="9" width="0.7109375" style="54" customWidth="1"/>
    <col min="10" max="10" width="10.42578125" style="1" customWidth="1"/>
    <col min="11" max="11" width="1.85546875" style="1" customWidth="1"/>
    <col min="12" max="12" width="10.7109375" customWidth="1"/>
    <col min="13" max="13" width="0.7109375" style="54" customWidth="1"/>
    <col min="14" max="14" width="11.28515625" customWidth="1"/>
    <col min="15" max="15" width="12" customWidth="1"/>
    <col min="16" max="16" width="3.85546875" customWidth="1"/>
    <col min="17" max="17" width="10.42578125" customWidth="1"/>
    <col min="18" max="18" width="11.28515625" bestFit="1" customWidth="1"/>
    <col min="19" max="19" width="3" customWidth="1"/>
    <col min="20" max="20" width="11.7109375" customWidth="1"/>
    <col min="21" max="21" width="9.42578125" bestFit="1" customWidth="1"/>
    <col min="22" max="22" width="9.28515625" bestFit="1" customWidth="1"/>
    <col min="23" max="24" width="9.28515625" style="672" customWidth="1"/>
  </cols>
  <sheetData>
    <row r="1" spans="1:17" ht="7.5" customHeight="1" x14ac:dyDescent="0.2"/>
    <row r="2" spans="1:17" ht="33.75" customHeight="1" x14ac:dyDescent="0.25">
      <c r="A2" s="1200" t="s">
        <v>452</v>
      </c>
      <c r="B2" s="1201"/>
      <c r="C2" s="1201"/>
      <c r="D2" s="1201"/>
      <c r="E2" s="1201"/>
      <c r="F2" s="1201"/>
      <c r="G2" s="1201"/>
      <c r="H2" s="1201"/>
      <c r="I2" s="1201"/>
      <c r="J2" s="1201"/>
      <c r="K2" s="1201"/>
      <c r="L2" s="1201"/>
      <c r="M2" s="1201"/>
      <c r="N2" s="1201"/>
      <c r="O2" s="1201"/>
      <c r="P2" s="1202"/>
    </row>
    <row r="3" spans="1:17" ht="6" customHeight="1" x14ac:dyDescent="0.2"/>
    <row r="4" spans="1:17" ht="51.75" customHeight="1" x14ac:dyDescent="0.2">
      <c r="B4" s="1136" t="s">
        <v>16</v>
      </c>
      <c r="C4" s="1225"/>
      <c r="D4" s="1225"/>
      <c r="E4" s="1225"/>
      <c r="F4" s="1225"/>
      <c r="G4" s="1225"/>
      <c r="H4" s="1225"/>
      <c r="I4" s="1225"/>
      <c r="J4" s="1225"/>
      <c r="K4" s="1225"/>
      <c r="L4" s="1225"/>
      <c r="M4" s="1225"/>
      <c r="N4" s="1225"/>
      <c r="O4" s="1225"/>
      <c r="P4" s="1225"/>
    </row>
    <row r="5" spans="1:17" ht="4.5" customHeight="1" x14ac:dyDescent="0.2"/>
    <row r="6" spans="1:17" ht="12.75" customHeight="1" x14ac:dyDescent="0.2">
      <c r="B6" s="64" t="s">
        <v>947</v>
      </c>
      <c r="C6" s="1285" t="s">
        <v>978</v>
      </c>
      <c r="D6" s="1285"/>
      <c r="E6" s="1285"/>
      <c r="F6" s="1285"/>
      <c r="G6" s="1285"/>
      <c r="H6" s="1285"/>
      <c r="I6" s="1285"/>
      <c r="J6" s="1285"/>
      <c r="K6" s="1285"/>
      <c r="L6" s="1285"/>
      <c r="M6" s="1285"/>
      <c r="N6" s="1285"/>
      <c r="O6" s="1285"/>
      <c r="P6" s="59"/>
      <c r="Q6" s="163"/>
    </row>
    <row r="7" spans="1:17" ht="88.5" customHeight="1" x14ac:dyDescent="0.2">
      <c r="B7" s="64"/>
      <c r="C7" s="1285"/>
      <c r="D7" s="1285"/>
      <c r="E7" s="1285"/>
      <c r="F7" s="1285"/>
      <c r="G7" s="1285"/>
      <c r="H7" s="1285"/>
      <c r="I7" s="1285"/>
      <c r="J7" s="1285"/>
      <c r="K7" s="1285"/>
      <c r="L7" s="1285"/>
      <c r="M7" s="1285"/>
      <c r="N7" s="1285"/>
      <c r="O7" s="1285"/>
      <c r="P7" s="59"/>
    </row>
    <row r="8" spans="1:17" ht="3" customHeight="1" x14ac:dyDescent="0.2">
      <c r="B8" s="64"/>
      <c r="C8" s="624"/>
      <c r="D8" s="624"/>
      <c r="E8" s="624"/>
      <c r="F8" s="624"/>
      <c r="G8" s="624"/>
      <c r="H8" s="624"/>
      <c r="I8" s="625"/>
      <c r="J8" s="624"/>
      <c r="K8" s="624"/>
      <c r="L8" s="624"/>
      <c r="M8" s="625"/>
      <c r="N8" s="624"/>
      <c r="O8" s="624"/>
      <c r="P8" s="59"/>
    </row>
    <row r="9" spans="1:17" ht="13.5" customHeight="1" x14ac:dyDescent="0.2">
      <c r="B9" s="64" t="s">
        <v>948</v>
      </c>
      <c r="C9" s="1276" t="s">
        <v>644</v>
      </c>
      <c r="D9" s="1276"/>
      <c r="E9" s="1276"/>
      <c r="F9" s="1276"/>
      <c r="G9" s="1276"/>
      <c r="H9" s="1276"/>
      <c r="I9" s="1276"/>
      <c r="J9" s="1276"/>
      <c r="K9" s="1276"/>
      <c r="L9" s="1276"/>
      <c r="M9" s="1276"/>
      <c r="N9" s="1276"/>
      <c r="O9" s="1276"/>
    </row>
    <row r="10" spans="1:17" ht="24" customHeight="1" x14ac:dyDescent="0.2">
      <c r="B10" s="64"/>
      <c r="C10" s="1276"/>
      <c r="D10" s="1276"/>
      <c r="E10" s="1276"/>
      <c r="F10" s="1276"/>
      <c r="G10" s="1276"/>
      <c r="H10" s="1276"/>
      <c r="I10" s="1276"/>
      <c r="J10" s="1276"/>
      <c r="K10" s="1276"/>
      <c r="L10" s="1276"/>
      <c r="M10" s="1276"/>
      <c r="N10" s="1276"/>
      <c r="O10" s="1276"/>
    </row>
    <row r="11" spans="1:17" ht="3" customHeight="1" x14ac:dyDescent="0.2">
      <c r="B11" s="64"/>
      <c r="C11" s="626"/>
      <c r="D11" s="626"/>
      <c r="E11" s="626"/>
      <c r="F11" s="626"/>
      <c r="G11" s="626"/>
      <c r="H11" s="626"/>
      <c r="I11" s="627"/>
      <c r="J11" s="628"/>
      <c r="K11" s="628"/>
      <c r="L11" s="626"/>
      <c r="M11" s="627"/>
      <c r="N11" s="626"/>
      <c r="O11" s="626"/>
    </row>
    <row r="12" spans="1:17" ht="12.75" customHeight="1" x14ac:dyDescent="0.2">
      <c r="B12" s="64" t="s">
        <v>471</v>
      </c>
      <c r="C12" s="1284" t="s">
        <v>614</v>
      </c>
      <c r="D12" s="1284"/>
      <c r="E12" s="1284"/>
      <c r="F12" s="1284"/>
      <c r="G12" s="1284"/>
      <c r="H12" s="1284"/>
      <c r="I12" s="1284"/>
      <c r="J12" s="1284"/>
      <c r="K12" s="1284"/>
      <c r="L12" s="1284"/>
      <c r="M12" s="1284"/>
      <c r="N12" s="1284"/>
      <c r="O12" s="1284"/>
    </row>
    <row r="13" spans="1:17" ht="53.25" customHeight="1" x14ac:dyDescent="0.2">
      <c r="B13" s="64"/>
      <c r="C13" s="1284"/>
      <c r="D13" s="1284"/>
      <c r="E13" s="1284"/>
      <c r="F13" s="1284"/>
      <c r="G13" s="1284"/>
      <c r="H13" s="1284"/>
      <c r="I13" s="1284"/>
      <c r="J13" s="1284"/>
      <c r="K13" s="1284"/>
      <c r="L13" s="1284"/>
      <c r="M13" s="1284"/>
      <c r="N13" s="1284"/>
      <c r="O13" s="1284"/>
    </row>
    <row r="14" spans="1:17" ht="3" customHeight="1" x14ac:dyDescent="0.2">
      <c r="C14" s="626"/>
      <c r="D14" s="626"/>
      <c r="E14" s="626"/>
      <c r="F14" s="626"/>
      <c r="G14" s="626"/>
      <c r="H14" s="626"/>
      <c r="I14" s="627"/>
      <c r="J14" s="628"/>
      <c r="K14" s="628"/>
      <c r="L14" s="626"/>
      <c r="M14" s="627"/>
      <c r="N14" s="626"/>
      <c r="O14" s="626"/>
    </row>
    <row r="15" spans="1:17" x14ac:dyDescent="0.2">
      <c r="B15" s="64" t="s">
        <v>878</v>
      </c>
      <c r="C15" s="1284" t="s">
        <v>616</v>
      </c>
      <c r="D15" s="1284"/>
      <c r="E15" s="1284"/>
      <c r="F15" s="1284"/>
      <c r="G15" s="1284"/>
      <c r="H15" s="1284"/>
      <c r="I15" s="1284"/>
      <c r="J15" s="1284"/>
      <c r="K15" s="1284"/>
      <c r="L15" s="1284"/>
      <c r="M15" s="1284"/>
      <c r="N15" s="1284"/>
      <c r="O15" s="1284"/>
    </row>
    <row r="16" spans="1:17" ht="56.25" customHeight="1" x14ac:dyDescent="0.2">
      <c r="C16" s="1284"/>
      <c r="D16" s="1284"/>
      <c r="E16" s="1284"/>
      <c r="F16" s="1284"/>
      <c r="G16" s="1284"/>
      <c r="H16" s="1284"/>
      <c r="I16" s="1284"/>
      <c r="J16" s="1284"/>
      <c r="K16" s="1284"/>
      <c r="L16" s="1284"/>
      <c r="M16" s="1284"/>
      <c r="N16" s="1284"/>
      <c r="O16" s="1284"/>
    </row>
    <row r="17" spans="1:16" ht="4.5" customHeight="1" x14ac:dyDescent="0.2">
      <c r="C17" s="626"/>
      <c r="D17" s="626"/>
      <c r="E17" s="626"/>
      <c r="F17" s="626"/>
      <c r="G17" s="626"/>
      <c r="H17" s="626"/>
      <c r="I17" s="627"/>
      <c r="J17" s="628"/>
      <c r="K17" s="628"/>
      <c r="L17" s="626"/>
      <c r="M17" s="627"/>
      <c r="N17" s="626"/>
      <c r="O17" s="626"/>
    </row>
    <row r="18" spans="1:16" ht="12.75" customHeight="1" x14ac:dyDescent="0.2">
      <c r="B18" s="64" t="s">
        <v>879</v>
      </c>
      <c r="C18" s="1276" t="s">
        <v>615</v>
      </c>
      <c r="D18" s="1276"/>
      <c r="E18" s="1276"/>
      <c r="F18" s="1276"/>
      <c r="G18" s="1276"/>
      <c r="H18" s="1276"/>
      <c r="I18" s="1276"/>
      <c r="J18" s="1276"/>
      <c r="K18" s="1276"/>
      <c r="L18" s="1276"/>
      <c r="M18" s="1276"/>
      <c r="N18" s="1276"/>
      <c r="O18" s="1276"/>
    </row>
    <row r="19" spans="1:16" ht="26.25" customHeight="1" x14ac:dyDescent="0.2">
      <c r="B19" s="64"/>
      <c r="C19" s="1276"/>
      <c r="D19" s="1276"/>
      <c r="E19" s="1276"/>
      <c r="F19" s="1276"/>
      <c r="G19" s="1276"/>
      <c r="H19" s="1276"/>
      <c r="I19" s="1276"/>
      <c r="J19" s="1276"/>
      <c r="K19" s="1276"/>
      <c r="L19" s="1276"/>
      <c r="M19" s="1276"/>
      <c r="N19" s="1276"/>
      <c r="O19" s="1276"/>
    </row>
    <row r="20" spans="1:16" s="759" customFormat="1" ht="6.6" customHeight="1" x14ac:dyDescent="0.2">
      <c r="A20" s="760"/>
      <c r="B20" s="64"/>
      <c r="C20" s="761"/>
      <c r="D20" s="761"/>
      <c r="E20" s="761"/>
      <c r="F20" s="761"/>
      <c r="G20" s="761"/>
      <c r="H20" s="761"/>
      <c r="I20" s="761"/>
      <c r="J20" s="761"/>
      <c r="K20" s="761"/>
      <c r="L20" s="761"/>
      <c r="M20" s="761"/>
      <c r="N20" s="761"/>
      <c r="O20" s="761"/>
    </row>
    <row r="21" spans="1:16" ht="43.15" customHeight="1" x14ac:dyDescent="0.2">
      <c r="B21" s="767" t="s">
        <v>328</v>
      </c>
      <c r="C21" s="1286" t="s">
        <v>2111</v>
      </c>
      <c r="D21" s="1287"/>
      <c r="E21" s="1287"/>
      <c r="F21" s="1287"/>
      <c r="G21" s="1287"/>
      <c r="H21" s="1287"/>
      <c r="I21" s="1287"/>
      <c r="J21" s="1287"/>
      <c r="K21" s="1287"/>
      <c r="L21" s="1287"/>
      <c r="M21" s="1287"/>
      <c r="N21" s="1287"/>
      <c r="O21" s="1287"/>
    </row>
    <row r="22" spans="1:16" ht="25.5" customHeight="1" x14ac:dyDescent="0.2">
      <c r="A22" s="4" t="s">
        <v>876</v>
      </c>
      <c r="B22" s="1210" t="s">
        <v>837</v>
      </c>
      <c r="C22" s="1212"/>
      <c r="D22" s="1212"/>
      <c r="E22" s="1212"/>
      <c r="F22" s="1212"/>
      <c r="G22" s="1212"/>
      <c r="H22" s="1212"/>
      <c r="I22" s="1212"/>
      <c r="J22" s="1212"/>
      <c r="K22" s="1212"/>
      <c r="L22" s="1212"/>
      <c r="M22" s="1212"/>
      <c r="N22" s="1212"/>
      <c r="O22" s="1213"/>
      <c r="P22" s="69"/>
    </row>
    <row r="23" spans="1:16" ht="6.75" customHeight="1" x14ac:dyDescent="0.2">
      <c r="B23" s="69"/>
      <c r="C23" s="54"/>
      <c r="D23" s="54"/>
      <c r="E23" s="54"/>
      <c r="F23" s="54"/>
      <c r="G23" s="54"/>
      <c r="H23" s="248"/>
      <c r="I23" s="248"/>
      <c r="J23" s="249"/>
      <c r="K23" s="249"/>
      <c r="L23" s="248"/>
      <c r="M23" s="248"/>
      <c r="N23" s="248"/>
    </row>
    <row r="24" spans="1:16" x14ac:dyDescent="0.2">
      <c r="B24" s="130" t="s">
        <v>47</v>
      </c>
      <c r="H24" s="246" t="s">
        <v>737</v>
      </c>
      <c r="I24" s="125"/>
      <c r="J24" s="1280" t="s">
        <v>739</v>
      </c>
      <c r="K24" s="1281"/>
      <c r="L24" s="1282"/>
      <c r="M24" s="125"/>
      <c r="N24" s="246" t="s">
        <v>742</v>
      </c>
    </row>
    <row r="25" spans="1:16" ht="12.75" customHeight="1" x14ac:dyDescent="0.2">
      <c r="H25" s="122" t="s">
        <v>738</v>
      </c>
      <c r="I25" s="125"/>
      <c r="J25" s="123" t="s">
        <v>740</v>
      </c>
      <c r="K25" s="124"/>
      <c r="L25" s="127" t="s">
        <v>369</v>
      </c>
      <c r="M25" s="125"/>
      <c r="N25" s="122" t="s">
        <v>738</v>
      </c>
    </row>
    <row r="26" spans="1:16" ht="2.25" customHeight="1" x14ac:dyDescent="0.2">
      <c r="B26" s="64"/>
      <c r="I26"/>
      <c r="J26"/>
      <c r="K26"/>
      <c r="M26"/>
    </row>
    <row r="27" spans="1:16" ht="12.75" customHeight="1" x14ac:dyDescent="0.2">
      <c r="B27" s="64"/>
      <c r="C27" t="s">
        <v>718</v>
      </c>
      <c r="G27" s="14"/>
      <c r="H27" s="527"/>
      <c r="I27" s="72"/>
      <c r="J27" s="508"/>
      <c r="K27" s="72"/>
      <c r="L27" s="323">
        <f t="shared" ref="L27:L34" si="0">H27+J27-N27</f>
        <v>0</v>
      </c>
      <c r="M27" s="72"/>
      <c r="N27" s="508"/>
      <c r="O27" s="14"/>
    </row>
    <row r="28" spans="1:16" x14ac:dyDescent="0.2">
      <c r="C28" t="s">
        <v>895</v>
      </c>
      <c r="G28" s="14"/>
      <c r="H28" s="527"/>
      <c r="I28" s="72"/>
      <c r="J28" s="508"/>
      <c r="K28" s="72"/>
      <c r="L28" s="323">
        <f t="shared" si="0"/>
        <v>0</v>
      </c>
      <c r="M28" s="72"/>
      <c r="N28" s="508"/>
      <c r="O28" s="14"/>
    </row>
    <row r="29" spans="1:16" x14ac:dyDescent="0.2">
      <c r="C29" t="s">
        <v>743</v>
      </c>
      <c r="G29" s="14"/>
      <c r="H29" s="527"/>
      <c r="I29" s="72"/>
      <c r="J29" s="508"/>
      <c r="K29" s="72"/>
      <c r="L29" s="323">
        <f t="shared" si="0"/>
        <v>0</v>
      </c>
      <c r="M29" s="72"/>
      <c r="N29" s="508"/>
      <c r="O29" s="14"/>
    </row>
    <row r="30" spans="1:16" x14ac:dyDescent="0.2">
      <c r="C30" t="s">
        <v>481</v>
      </c>
      <c r="G30" s="14"/>
      <c r="H30" s="527"/>
      <c r="I30" s="72"/>
      <c r="J30" s="508"/>
      <c r="K30" s="72"/>
      <c r="L30" s="323">
        <f t="shared" si="0"/>
        <v>0</v>
      </c>
      <c r="M30" s="72"/>
      <c r="N30" s="508"/>
      <c r="O30" s="14"/>
    </row>
    <row r="31" spans="1:16" x14ac:dyDescent="0.2">
      <c r="C31" t="s">
        <v>470</v>
      </c>
      <c r="G31" s="14"/>
      <c r="H31" s="527"/>
      <c r="I31" s="72"/>
      <c r="J31" s="508"/>
      <c r="K31" s="72"/>
      <c r="L31" s="323">
        <f t="shared" si="0"/>
        <v>0</v>
      </c>
      <c r="M31" s="72"/>
      <c r="N31" s="508"/>
      <c r="O31" s="14"/>
    </row>
    <row r="32" spans="1:16" ht="12.75" customHeight="1" x14ac:dyDescent="0.2">
      <c r="C32" t="s">
        <v>79</v>
      </c>
      <c r="G32" s="14"/>
      <c r="H32" s="527"/>
      <c r="I32" s="72"/>
      <c r="J32" s="508"/>
      <c r="K32" s="72"/>
      <c r="L32" s="323">
        <f t="shared" si="0"/>
        <v>0</v>
      </c>
      <c r="M32" s="72"/>
      <c r="N32" s="508"/>
      <c r="O32" s="14"/>
    </row>
    <row r="33" spans="2:15" ht="12.75" customHeight="1" x14ac:dyDescent="0.2">
      <c r="C33" t="s">
        <v>926</v>
      </c>
      <c r="G33" s="14"/>
      <c r="H33" s="527"/>
      <c r="I33" s="72"/>
      <c r="J33" s="508"/>
      <c r="K33" s="72"/>
      <c r="L33" s="323">
        <f t="shared" si="0"/>
        <v>0</v>
      </c>
      <c r="M33" s="72"/>
      <c r="N33" s="508"/>
      <c r="O33" s="14"/>
    </row>
    <row r="34" spans="2:15" ht="12.75" customHeight="1" x14ac:dyDescent="0.2">
      <c r="C34" s="521" t="s">
        <v>203</v>
      </c>
      <c r="G34" s="14"/>
      <c r="H34" s="528"/>
      <c r="I34" s="406"/>
      <c r="J34" s="520"/>
      <c r="K34" s="406"/>
      <c r="L34" s="392">
        <f t="shared" si="0"/>
        <v>0</v>
      </c>
      <c r="M34" s="406"/>
      <c r="N34" s="520"/>
      <c r="O34" s="14"/>
    </row>
    <row r="35" spans="2:15" ht="13.5" thickBot="1" x14ac:dyDescent="0.25">
      <c r="H35" s="391">
        <f>SUM(H27:H34)</f>
        <v>0</v>
      </c>
      <c r="J35" s="112">
        <f>SUM(J26:J34)</f>
        <v>0</v>
      </c>
      <c r="K35"/>
      <c r="L35" s="112">
        <f>SUM(L27:L34)</f>
        <v>0</v>
      </c>
      <c r="N35" s="112">
        <f>SUM(N27:N34)</f>
        <v>0</v>
      </c>
    </row>
    <row r="36" spans="2:15" ht="12.75" customHeight="1" thickTop="1" x14ac:dyDescent="0.2">
      <c r="H36" s="8"/>
      <c r="I36" s="245"/>
      <c r="J36" s="8"/>
      <c r="K36" s="8"/>
      <c r="L36" s="8"/>
      <c r="M36" s="245"/>
      <c r="N36" s="8"/>
    </row>
    <row r="37" spans="2:15" x14ac:dyDescent="0.2">
      <c r="B37" s="78" t="s">
        <v>48</v>
      </c>
      <c r="H37" s="246" t="s">
        <v>737</v>
      </c>
      <c r="I37" s="125"/>
      <c r="J37" s="1280" t="s">
        <v>739</v>
      </c>
      <c r="K37" s="1281"/>
      <c r="L37" s="1282"/>
      <c r="M37" s="125"/>
      <c r="N37" s="246" t="s">
        <v>742</v>
      </c>
    </row>
    <row r="38" spans="2:15" x14ac:dyDescent="0.2">
      <c r="H38" s="122" t="s">
        <v>738</v>
      </c>
      <c r="I38" s="125"/>
      <c r="J38" s="129" t="s">
        <v>370</v>
      </c>
      <c r="K38" s="124"/>
      <c r="L38" s="128" t="s">
        <v>741</v>
      </c>
      <c r="M38" s="125"/>
      <c r="N38" s="122" t="s">
        <v>738</v>
      </c>
    </row>
    <row r="39" spans="2:15" ht="2.25" customHeight="1" x14ac:dyDescent="0.2">
      <c r="I39"/>
      <c r="J39"/>
      <c r="K39"/>
      <c r="M39"/>
    </row>
    <row r="40" spans="2:15" x14ac:dyDescent="0.2">
      <c r="C40" t="s">
        <v>718</v>
      </c>
      <c r="H40" s="527"/>
      <c r="I40" s="72"/>
      <c r="J40" s="108">
        <f>N40+L40-H40</f>
        <v>0</v>
      </c>
      <c r="K40" s="121"/>
      <c r="L40" s="512"/>
      <c r="M40" s="72"/>
      <c r="N40" s="512"/>
      <c r="O40" s="14"/>
    </row>
    <row r="41" spans="2:15" x14ac:dyDescent="0.2">
      <c r="C41" t="s">
        <v>895</v>
      </c>
      <c r="H41" s="527"/>
      <c r="I41" s="72"/>
      <c r="J41" s="108">
        <f t="shared" ref="J41:J47" si="1">N41+L41-H41</f>
        <v>0</v>
      </c>
      <c r="K41" s="121"/>
      <c r="L41" s="512"/>
      <c r="M41" s="72"/>
      <c r="N41" s="512"/>
      <c r="O41" s="14"/>
    </row>
    <row r="42" spans="2:15" x14ac:dyDescent="0.2">
      <c r="C42" t="s">
        <v>743</v>
      </c>
      <c r="H42" s="527"/>
      <c r="I42" s="72"/>
      <c r="J42" s="108">
        <f t="shared" si="1"/>
        <v>0</v>
      </c>
      <c r="K42" s="121"/>
      <c r="L42" s="512"/>
      <c r="M42" s="72"/>
      <c r="N42" s="512"/>
      <c r="O42" s="14"/>
    </row>
    <row r="43" spans="2:15" x14ac:dyDescent="0.2">
      <c r="C43" t="s">
        <v>481</v>
      </c>
      <c r="H43" s="527"/>
      <c r="I43" s="72"/>
      <c r="J43" s="108">
        <f t="shared" si="1"/>
        <v>0</v>
      </c>
      <c r="K43" s="121"/>
      <c r="L43" s="512"/>
      <c r="M43" s="72"/>
      <c r="N43" s="512"/>
      <c r="O43" s="54"/>
    </row>
    <row r="44" spans="2:15" x14ac:dyDescent="0.2">
      <c r="C44" t="s">
        <v>470</v>
      </c>
      <c r="H44" s="527"/>
      <c r="I44" s="72"/>
      <c r="J44" s="108">
        <f t="shared" si="1"/>
        <v>0</v>
      </c>
      <c r="K44" s="121"/>
      <c r="L44" s="512"/>
      <c r="M44" s="72"/>
      <c r="N44" s="512"/>
      <c r="O44" s="14"/>
    </row>
    <row r="45" spans="2:15" x14ac:dyDescent="0.2">
      <c r="C45" t="s">
        <v>79</v>
      </c>
      <c r="H45" s="527"/>
      <c r="I45" s="72"/>
      <c r="J45" s="108">
        <f t="shared" si="1"/>
        <v>0</v>
      </c>
      <c r="K45" s="121"/>
      <c r="L45" s="512"/>
      <c r="M45" s="72"/>
      <c r="N45" s="512"/>
      <c r="O45" s="14"/>
    </row>
    <row r="46" spans="2:15" x14ac:dyDescent="0.2">
      <c r="C46" t="s">
        <v>926</v>
      </c>
      <c r="H46" s="527"/>
      <c r="I46" s="72"/>
      <c r="J46" s="108">
        <f t="shared" si="1"/>
        <v>0</v>
      </c>
      <c r="K46" s="121"/>
      <c r="L46" s="512"/>
      <c r="M46" s="72"/>
      <c r="N46" s="512"/>
      <c r="O46" s="14"/>
    </row>
    <row r="47" spans="2:15" x14ac:dyDescent="0.2">
      <c r="C47" s="521" t="s">
        <v>203</v>
      </c>
      <c r="H47" s="528">
        <v>0</v>
      </c>
      <c r="I47" s="72"/>
      <c r="J47" s="108">
        <f t="shared" si="1"/>
        <v>0</v>
      </c>
      <c r="K47" s="121"/>
      <c r="L47" s="512"/>
      <c r="M47" s="72"/>
      <c r="N47" s="520"/>
      <c r="O47" s="14"/>
    </row>
    <row r="48" spans="2:15" ht="13.5" thickBot="1" x14ac:dyDescent="0.25">
      <c r="H48" s="391">
        <f>SUM(H40:H47)</f>
        <v>0</v>
      </c>
      <c r="I48" s="72"/>
      <c r="J48" s="100">
        <f>SUM(J40:J47)</f>
        <v>0</v>
      </c>
      <c r="K48" s="121"/>
      <c r="L48" s="100">
        <f>SUM(L40:L47)</f>
        <v>0</v>
      </c>
      <c r="M48" s="72"/>
      <c r="N48" s="405">
        <f>SUM(N40:N47)</f>
        <v>0</v>
      </c>
    </row>
    <row r="49" spans="1:16" ht="13.5" thickTop="1" x14ac:dyDescent="0.2">
      <c r="B49" s="131" t="s">
        <v>946</v>
      </c>
      <c r="C49" s="78" t="s">
        <v>587</v>
      </c>
      <c r="H49" s="13"/>
      <c r="J49" s="13"/>
      <c r="K49" s="13"/>
      <c r="L49" s="13"/>
      <c r="N49" s="13"/>
    </row>
    <row r="50" spans="1:16" ht="4.5" customHeight="1" x14ac:dyDescent="0.2">
      <c r="J50"/>
      <c r="K50"/>
    </row>
    <row r="51" spans="1:16" ht="25.5" customHeight="1" x14ac:dyDescent="0.2">
      <c r="A51" s="4" t="s">
        <v>877</v>
      </c>
      <c r="B51" s="1207" t="s">
        <v>74</v>
      </c>
      <c r="C51" s="1208"/>
      <c r="D51" s="1208"/>
      <c r="E51" s="1208"/>
      <c r="F51" s="1208"/>
      <c r="G51" s="1208"/>
      <c r="H51" s="1208"/>
      <c r="I51" s="1208"/>
      <c r="J51" s="1208"/>
      <c r="K51" s="1208"/>
      <c r="L51" s="1208"/>
      <c r="M51" s="1208"/>
      <c r="N51" s="1208"/>
      <c r="O51" s="1209"/>
      <c r="P51" s="69"/>
    </row>
    <row r="52" spans="1:16" ht="8.25" customHeight="1" x14ac:dyDescent="0.2">
      <c r="J52" s="11"/>
      <c r="K52" s="11"/>
      <c r="L52" s="11"/>
      <c r="M52" s="52"/>
      <c r="N52" s="11"/>
    </row>
    <row r="53" spans="1:16" ht="15" customHeight="1" x14ac:dyDescent="0.2">
      <c r="B53" s="64" t="s">
        <v>947</v>
      </c>
      <c r="C53" t="s">
        <v>77</v>
      </c>
      <c r="I53"/>
      <c r="J53"/>
      <c r="K53" s="11"/>
      <c r="L53" s="11"/>
      <c r="M53" s="52"/>
      <c r="N53" s="523"/>
    </row>
    <row r="54" spans="1:16" ht="4.5" customHeight="1" x14ac:dyDescent="0.2">
      <c r="I54"/>
      <c r="J54"/>
      <c r="K54" s="11"/>
      <c r="L54" s="11"/>
      <c r="M54" s="52"/>
      <c r="N54" s="11"/>
    </row>
    <row r="55" spans="1:16" ht="4.5" customHeight="1" x14ac:dyDescent="0.2">
      <c r="I55"/>
      <c r="J55"/>
      <c r="K55" s="11"/>
      <c r="L55" s="11"/>
      <c r="M55" s="52"/>
      <c r="N55" s="11"/>
    </row>
    <row r="56" spans="1:16" ht="12.75" customHeight="1" x14ac:dyDescent="0.2">
      <c r="B56" s="64" t="s">
        <v>948</v>
      </c>
      <c r="C56" t="s">
        <v>1035</v>
      </c>
      <c r="I56"/>
      <c r="J56"/>
      <c r="K56" s="11"/>
      <c r="L56" s="11"/>
      <c r="M56" s="52"/>
      <c r="N56" s="523"/>
      <c r="O56" s="234" t="s">
        <v>773</v>
      </c>
    </row>
    <row r="57" spans="1:16" ht="4.5" customHeight="1" x14ac:dyDescent="0.2">
      <c r="I57"/>
      <c r="J57"/>
      <c r="K57" s="11"/>
      <c r="L57" s="11"/>
      <c r="M57" s="52"/>
      <c r="N57" s="11"/>
    </row>
    <row r="58" spans="1:16" ht="13.5" customHeight="1" x14ac:dyDescent="0.2">
      <c r="B58" s="64" t="s">
        <v>949</v>
      </c>
      <c r="C58" t="s">
        <v>888</v>
      </c>
      <c r="I58"/>
      <c r="J58"/>
      <c r="K58" s="11"/>
      <c r="L58" s="11"/>
      <c r="M58" s="52"/>
      <c r="N58" s="523"/>
      <c r="O58" s="234" t="s">
        <v>774</v>
      </c>
    </row>
    <row r="59" spans="1:16" ht="4.5" customHeight="1" x14ac:dyDescent="0.2">
      <c r="I59"/>
      <c r="J59"/>
      <c r="K59" s="11"/>
      <c r="L59" s="11"/>
      <c r="M59" s="52"/>
      <c r="N59" s="11"/>
    </row>
    <row r="60" spans="1:16" ht="12.75" customHeight="1" x14ac:dyDescent="0.2">
      <c r="B60" s="64" t="s">
        <v>878</v>
      </c>
      <c r="C60" s="1126" t="s">
        <v>660</v>
      </c>
      <c r="D60" s="1126"/>
      <c r="E60" s="1126"/>
      <c r="F60" s="1126"/>
      <c r="G60" s="1126"/>
      <c r="H60" s="1126"/>
      <c r="I60" s="1126"/>
      <c r="J60" s="1126"/>
      <c r="K60" s="11"/>
      <c r="L60" s="11"/>
      <c r="M60" s="52"/>
      <c r="N60" s="1264"/>
      <c r="O60" s="1294" t="s">
        <v>673</v>
      </c>
    </row>
    <row r="61" spans="1:16" ht="8.25" customHeight="1" x14ac:dyDescent="0.2">
      <c r="C61" s="1126"/>
      <c r="D61" s="1126"/>
      <c r="E61" s="1126"/>
      <c r="F61" s="1126"/>
      <c r="G61" s="1126"/>
      <c r="H61" s="1126"/>
      <c r="I61" s="1126"/>
      <c r="J61" s="1126"/>
      <c r="K61" s="11"/>
      <c r="L61" s="11"/>
      <c r="M61" s="52"/>
      <c r="N61" s="1264"/>
      <c r="O61" s="1294"/>
    </row>
    <row r="62" spans="1:16" ht="4.5" customHeight="1" x14ac:dyDescent="0.2">
      <c r="C62" s="1126"/>
      <c r="D62" s="1126"/>
      <c r="E62" s="1126"/>
      <c r="F62" s="1126"/>
      <c r="G62" s="1126"/>
      <c r="H62" s="1126"/>
      <c r="I62" s="1126"/>
      <c r="J62" s="1126"/>
      <c r="K62" s="11"/>
      <c r="L62" s="11"/>
      <c r="M62" s="52"/>
      <c r="N62" s="11"/>
    </row>
    <row r="63" spans="1:16" ht="4.5" customHeight="1" x14ac:dyDescent="0.2">
      <c r="C63" s="59"/>
      <c r="D63" s="59"/>
      <c r="E63" s="59"/>
      <c r="F63" s="59"/>
      <c r="G63" s="59"/>
      <c r="H63" s="59"/>
      <c r="I63" s="59"/>
      <c r="J63" s="59"/>
      <c r="K63" s="11"/>
      <c r="L63" s="11"/>
      <c r="M63" s="52"/>
      <c r="N63" s="11"/>
    </row>
    <row r="64" spans="1:16" ht="12.75" customHeight="1" thickBot="1" x14ac:dyDescent="0.25">
      <c r="B64" s="64" t="s">
        <v>879</v>
      </c>
      <c r="C64" t="s">
        <v>889</v>
      </c>
      <c r="I64"/>
      <c r="J64"/>
      <c r="K64" s="11"/>
      <c r="L64" s="11"/>
      <c r="M64" s="52"/>
      <c r="N64" s="119">
        <f>(N53+N56+N60)-N58</f>
        <v>0</v>
      </c>
    </row>
    <row r="65" spans="2:15" ht="3" customHeight="1" thickTop="1" x14ac:dyDescent="0.2">
      <c r="I65"/>
      <c r="J65"/>
      <c r="K65" s="11"/>
      <c r="L65" s="11"/>
      <c r="M65" s="52"/>
      <c r="N65" s="11"/>
    </row>
    <row r="66" spans="2:15" ht="12.75" customHeight="1" x14ac:dyDescent="0.2">
      <c r="B66" s="64" t="s">
        <v>328</v>
      </c>
      <c r="C66" s="1126" t="s">
        <v>621</v>
      </c>
      <c r="D66" s="1126"/>
      <c r="E66" s="1126"/>
      <c r="F66" s="1126"/>
      <c r="G66" s="1126"/>
      <c r="H66" s="1126"/>
      <c r="I66" s="1126"/>
      <c r="J66" s="1126"/>
      <c r="K66" s="1126"/>
      <c r="L66" s="1126"/>
      <c r="M66" s="52"/>
    </row>
    <row r="67" spans="2:15" ht="49.5" customHeight="1" x14ac:dyDescent="0.2">
      <c r="B67" s="64"/>
      <c r="C67" s="1126"/>
      <c r="D67" s="1126"/>
      <c r="E67" s="1126"/>
      <c r="F67" s="1126"/>
      <c r="G67" s="1126"/>
      <c r="H67" s="1126"/>
      <c r="I67" s="1126"/>
      <c r="J67" s="1126"/>
      <c r="K67" s="1126"/>
      <c r="L67" s="1126"/>
      <c r="M67" s="52"/>
    </row>
    <row r="68" spans="2:15" ht="14.25" customHeight="1" x14ac:dyDescent="0.2">
      <c r="B68" s="64"/>
      <c r="C68" s="59"/>
      <c r="D68" s="59"/>
      <c r="E68" s="59"/>
      <c r="F68" s="59"/>
      <c r="G68" s="164" t="s">
        <v>76</v>
      </c>
      <c r="I68" s="59"/>
      <c r="J68" s="164" t="s">
        <v>75</v>
      </c>
      <c r="K68" s="59"/>
      <c r="L68" s="11"/>
      <c r="M68" s="52"/>
      <c r="N68" s="8" t="s">
        <v>1036</v>
      </c>
    </row>
    <row r="69" spans="2:15" x14ac:dyDescent="0.2">
      <c r="C69" t="s">
        <v>718</v>
      </c>
      <c r="G69" s="523"/>
      <c r="J69" s="512"/>
      <c r="K69"/>
      <c r="L69" s="11"/>
      <c r="M69" s="52"/>
      <c r="N69" s="519"/>
      <c r="O69" s="5"/>
    </row>
    <row r="70" spans="2:15" ht="12" customHeight="1" x14ac:dyDescent="0.2">
      <c r="C70" t="s">
        <v>895</v>
      </c>
      <c r="G70" s="523"/>
      <c r="J70" s="512"/>
      <c r="K70"/>
      <c r="L70" s="11"/>
      <c r="M70" s="52"/>
      <c r="N70" s="519"/>
      <c r="O70" s="5"/>
    </row>
    <row r="71" spans="2:15" x14ac:dyDescent="0.2">
      <c r="C71" t="s">
        <v>743</v>
      </c>
      <c r="G71" s="523"/>
      <c r="J71" s="512"/>
      <c r="K71"/>
      <c r="L71" s="11"/>
      <c r="M71" s="52"/>
      <c r="N71" s="519"/>
      <c r="O71" s="5"/>
    </row>
    <row r="72" spans="2:15" x14ac:dyDescent="0.2">
      <c r="C72" t="s">
        <v>481</v>
      </c>
      <c r="G72" s="523"/>
      <c r="J72" s="512"/>
      <c r="K72"/>
      <c r="L72" s="11"/>
      <c r="M72" s="52"/>
      <c r="N72" s="519"/>
      <c r="O72" s="5"/>
    </row>
    <row r="73" spans="2:15" x14ac:dyDescent="0.2">
      <c r="C73" t="s">
        <v>470</v>
      </c>
      <c r="G73" s="523"/>
      <c r="J73" s="512"/>
      <c r="K73"/>
      <c r="L73" s="11"/>
      <c r="M73" s="52"/>
      <c r="N73" s="519"/>
      <c r="O73" s="5"/>
    </row>
    <row r="74" spans="2:15" x14ac:dyDescent="0.2">
      <c r="C74" t="s">
        <v>79</v>
      </c>
      <c r="G74" s="523"/>
      <c r="J74" s="523"/>
      <c r="K74" s="11"/>
      <c r="L74" s="11"/>
      <c r="M74" s="52"/>
      <c r="N74" s="519"/>
      <c r="O74" s="5"/>
    </row>
    <row r="75" spans="2:15" ht="12.75" customHeight="1" x14ac:dyDescent="0.2">
      <c r="C75" t="s">
        <v>926</v>
      </c>
      <c r="G75" s="523"/>
      <c r="H75" s="1127" t="str">
        <f>IF(G79=N56," ","Recheck numbers for step 2. Entry is out of balance.")</f>
        <v xml:space="preserve"> </v>
      </c>
      <c r="J75" s="523"/>
      <c r="K75" s="11"/>
      <c r="L75" s="1272" t="str">
        <f>IF(J79=N58," ","Recheck numbers. Entry is out of balance.")</f>
        <v xml:space="preserve"> </v>
      </c>
      <c r="M75" s="52"/>
      <c r="N75" s="519"/>
      <c r="O75" s="1288" t="str">
        <f>IF(N79=N60," ","Recheck numbers for step 4. Entry is out of balance.")</f>
        <v xml:space="preserve"> </v>
      </c>
    </row>
    <row r="76" spans="2:15" ht="12.75" customHeight="1" x14ac:dyDescent="0.2">
      <c r="C76" s="521" t="s">
        <v>203</v>
      </c>
      <c r="G76" s="523"/>
      <c r="H76" s="1127"/>
      <c r="J76" s="523"/>
      <c r="K76" s="11"/>
      <c r="L76" s="1272"/>
      <c r="M76" s="52"/>
      <c r="N76" s="519"/>
      <c r="O76" s="1288"/>
    </row>
    <row r="77" spans="2:15" ht="12.75" customHeight="1" x14ac:dyDescent="0.2">
      <c r="C77" t="s">
        <v>924</v>
      </c>
      <c r="G77" s="523"/>
      <c r="H77" s="1127"/>
      <c r="J77" s="523"/>
      <c r="K77" s="11"/>
      <c r="L77" s="1272"/>
      <c r="M77" s="52"/>
      <c r="N77" s="519"/>
      <c r="O77" s="1288"/>
    </row>
    <row r="78" spans="2:15" ht="12.75" customHeight="1" x14ac:dyDescent="0.2">
      <c r="C78" t="s">
        <v>925</v>
      </c>
      <c r="G78" s="526"/>
      <c r="H78" s="1127"/>
      <c r="J78" s="526"/>
      <c r="K78" s="11"/>
      <c r="L78" s="1272"/>
      <c r="M78" s="52"/>
      <c r="N78" s="519"/>
      <c r="O78" s="1288"/>
    </row>
    <row r="79" spans="2:15" ht="18" customHeight="1" thickBot="1" x14ac:dyDescent="0.4">
      <c r="F79" s="235" t="s">
        <v>773</v>
      </c>
      <c r="G79" s="113">
        <f>SUM(G69:G78)</f>
        <v>0</v>
      </c>
      <c r="H79" s="235" t="s">
        <v>774</v>
      </c>
      <c r="J79" s="118">
        <f>SUM(J69:J78)</f>
        <v>0</v>
      </c>
      <c r="K79" s="11"/>
      <c r="L79" s="235" t="s">
        <v>673</v>
      </c>
      <c r="M79" s="126"/>
      <c r="N79" s="263">
        <f>SUM(N69:N78)</f>
        <v>0</v>
      </c>
    </row>
    <row r="80" spans="2:15" ht="12" customHeight="1" thickTop="1" x14ac:dyDescent="0.35">
      <c r="J80" s="11"/>
      <c r="K80" s="11"/>
      <c r="L80" s="87"/>
      <c r="M80" s="126"/>
      <c r="N80" s="10"/>
    </row>
    <row r="81" spans="1:19" ht="25.5" customHeight="1" x14ac:dyDescent="0.2">
      <c r="A81" s="4" t="s">
        <v>466</v>
      </c>
      <c r="B81" s="1290" t="s">
        <v>3557</v>
      </c>
      <c r="C81" s="1291"/>
      <c r="D81" s="1291"/>
      <c r="E81" s="1291"/>
      <c r="F81" s="1291"/>
      <c r="G81" s="1291"/>
      <c r="H81" s="1291"/>
      <c r="I81" s="1291"/>
      <c r="J81" s="1291"/>
      <c r="K81" s="1291"/>
      <c r="L81" s="1291"/>
      <c r="M81" s="1291"/>
      <c r="N81" s="1291"/>
      <c r="O81" s="1292"/>
    </row>
    <row r="82" spans="1:19" ht="8.25" customHeight="1" x14ac:dyDescent="0.2">
      <c r="J82"/>
      <c r="K82"/>
      <c r="L82" s="11"/>
      <c r="M82" s="52"/>
      <c r="N82" s="4"/>
    </row>
    <row r="83" spans="1:19" x14ac:dyDescent="0.2">
      <c r="J83"/>
      <c r="K83"/>
      <c r="L83" s="11"/>
      <c r="M83" s="52"/>
      <c r="N83" s="71" t="s">
        <v>62</v>
      </c>
    </row>
    <row r="84" spans="1:19" ht="12.75" customHeight="1" x14ac:dyDescent="0.2">
      <c r="B84" s="64" t="s">
        <v>947</v>
      </c>
      <c r="C84" s="1126" t="s">
        <v>359</v>
      </c>
      <c r="D84" s="1126"/>
      <c r="E84" s="1126"/>
      <c r="F84" s="1126"/>
      <c r="G84" s="1126"/>
      <c r="H84" s="1126"/>
      <c r="I84" s="1126"/>
      <c r="J84" s="1126"/>
      <c r="K84" s="1126"/>
      <c r="L84" s="1126"/>
      <c r="M84" s="52"/>
      <c r="N84" s="1279"/>
    </row>
    <row r="85" spans="1:19" ht="25.5" customHeight="1" x14ac:dyDescent="0.2">
      <c r="B85" s="64"/>
      <c r="C85" s="1126"/>
      <c r="D85" s="1126"/>
      <c r="E85" s="1126"/>
      <c r="F85" s="1126"/>
      <c r="G85" s="1126"/>
      <c r="H85" s="1126"/>
      <c r="I85" s="1126"/>
      <c r="J85" s="1126"/>
      <c r="K85" s="1126"/>
      <c r="L85" s="1126"/>
      <c r="M85" s="52"/>
      <c r="N85" s="1279"/>
    </row>
    <row r="86" spans="1:19" ht="3.75" customHeight="1" x14ac:dyDescent="0.2">
      <c r="B86" s="64"/>
      <c r="C86" s="59"/>
      <c r="D86" s="59"/>
      <c r="E86" s="59"/>
      <c r="F86" s="59"/>
      <c r="G86" s="59"/>
      <c r="H86" s="59"/>
      <c r="I86" s="59"/>
      <c r="J86" s="59"/>
      <c r="K86" s="59"/>
      <c r="L86" s="59"/>
      <c r="M86" s="52"/>
      <c r="N86" s="530"/>
    </row>
    <row r="87" spans="1:19" ht="15" customHeight="1" thickBot="1" x14ac:dyDescent="0.25">
      <c r="B87" s="64"/>
      <c r="C87" s="59"/>
      <c r="D87" s="59"/>
      <c r="E87" s="59"/>
      <c r="F87" s="1126" t="s">
        <v>3528</v>
      </c>
      <c r="G87" s="1126"/>
      <c r="H87" s="1126"/>
      <c r="I87" s="1126"/>
      <c r="J87" s="1126"/>
      <c r="K87" s="1126"/>
      <c r="L87" s="1126"/>
      <c r="M87" s="52"/>
      <c r="N87" s="243">
        <f>N84</f>
        <v>0</v>
      </c>
      <c r="O87" s="234" t="s">
        <v>720</v>
      </c>
    </row>
    <row r="88" spans="1:19" ht="6" customHeight="1" thickTop="1" x14ac:dyDescent="0.2">
      <c r="B88" s="64"/>
      <c r="C88" s="59"/>
      <c r="D88" s="59"/>
      <c r="E88" s="59"/>
      <c r="F88" s="59"/>
      <c r="G88" s="59"/>
      <c r="H88" s="59"/>
      <c r="I88" s="59"/>
      <c r="J88" s="59"/>
      <c r="K88"/>
      <c r="L88" s="11"/>
      <c r="M88" s="52"/>
      <c r="N88" s="69"/>
    </row>
    <row r="89" spans="1:19" ht="6" customHeight="1" x14ac:dyDescent="0.35">
      <c r="J89" s="11"/>
      <c r="K89" s="11"/>
      <c r="L89" s="126"/>
      <c r="M89" s="10" t="e">
        <f>SUM(#REF!)</f>
        <v>#REF!</v>
      </c>
      <c r="N89" s="4"/>
    </row>
    <row r="90" spans="1:19" ht="33" hidden="1" customHeight="1" x14ac:dyDescent="0.2">
      <c r="A90" s="4" t="s">
        <v>472</v>
      </c>
      <c r="B90" s="1210" t="s">
        <v>610</v>
      </c>
      <c r="C90" s="1295"/>
      <c r="D90" s="1295"/>
      <c r="E90" s="1295"/>
      <c r="F90" s="1295"/>
      <c r="G90" s="1295"/>
      <c r="H90" s="1295"/>
      <c r="I90" s="1295"/>
      <c r="J90" s="1295"/>
      <c r="K90" s="1295"/>
      <c r="L90" s="1295"/>
      <c r="M90" s="1295"/>
      <c r="N90" s="1295"/>
      <c r="O90" s="1296"/>
      <c r="Q90" s="1105" t="s">
        <v>4887</v>
      </c>
    </row>
    <row r="91" spans="1:19" ht="8.25" hidden="1" customHeight="1" x14ac:dyDescent="0.2">
      <c r="J91"/>
      <c r="K91"/>
      <c r="L91" s="11"/>
      <c r="M91" s="52"/>
      <c r="N91" s="4"/>
    </row>
    <row r="92" spans="1:19" hidden="1" x14ac:dyDescent="0.2">
      <c r="J92"/>
      <c r="K92"/>
      <c r="L92" s="11"/>
      <c r="M92" s="52"/>
      <c r="N92" s="71" t="s">
        <v>62</v>
      </c>
    </row>
    <row r="93" spans="1:19" ht="12.75" hidden="1" customHeight="1" x14ac:dyDescent="0.2">
      <c r="B93" s="64" t="s">
        <v>947</v>
      </c>
      <c r="C93" s="1289" t="s">
        <v>3904</v>
      </c>
      <c r="D93" s="1276"/>
      <c r="E93" s="1276"/>
      <c r="F93" s="1276"/>
      <c r="G93" s="1276"/>
      <c r="H93" s="1276"/>
      <c r="I93" s="1276"/>
      <c r="J93" s="1276"/>
      <c r="K93" s="1276"/>
      <c r="L93" s="1276"/>
      <c r="M93" s="52"/>
      <c r="N93" s="1279"/>
      <c r="Q93" s="13"/>
      <c r="R93" s="13"/>
      <c r="S93" s="13"/>
    </row>
    <row r="94" spans="1:19" ht="25.5" hidden="1" customHeight="1" x14ac:dyDescent="0.2">
      <c r="B94" s="64"/>
      <c r="C94" s="1276"/>
      <c r="D94" s="1276"/>
      <c r="E94" s="1276"/>
      <c r="F94" s="1276"/>
      <c r="G94" s="1276"/>
      <c r="H94" s="1276"/>
      <c r="I94" s="1276"/>
      <c r="J94" s="1276"/>
      <c r="K94" s="1276"/>
      <c r="L94" s="1276"/>
      <c r="M94" s="52"/>
      <c r="N94" s="1279"/>
      <c r="Q94" s="13"/>
      <c r="R94" s="13"/>
      <c r="S94" s="13"/>
    </row>
    <row r="95" spans="1:19" ht="3.75" hidden="1" customHeight="1" x14ac:dyDescent="0.2">
      <c r="B95" s="64"/>
      <c r="C95" s="59"/>
      <c r="D95" s="59"/>
      <c r="E95" s="59"/>
      <c r="F95" s="59"/>
      <c r="G95" s="59"/>
      <c r="H95" s="59"/>
      <c r="I95" s="59"/>
      <c r="J95" s="59"/>
      <c r="K95" s="59"/>
      <c r="L95" s="59"/>
      <c r="M95" s="52"/>
      <c r="N95" s="530"/>
      <c r="Q95" s="13"/>
      <c r="R95" s="13"/>
      <c r="S95" s="13"/>
    </row>
    <row r="96" spans="1:19" ht="12.75" hidden="1" customHeight="1" x14ac:dyDescent="0.2">
      <c r="B96" s="64"/>
      <c r="C96" s="1293" t="s">
        <v>3930</v>
      </c>
      <c r="D96" s="1293"/>
      <c r="E96" s="1293"/>
      <c r="F96" s="1293"/>
      <c r="G96" s="1293"/>
      <c r="H96" s="1293"/>
      <c r="I96" s="1293"/>
      <c r="J96" s="1293"/>
      <c r="K96" s="1293"/>
      <c r="L96" s="1293"/>
      <c r="M96" s="1293"/>
      <c r="N96" s="1293"/>
      <c r="Q96" s="13"/>
      <c r="R96" s="13"/>
      <c r="S96" s="13"/>
    </row>
    <row r="97" spans="1:19" hidden="1" x14ac:dyDescent="0.2">
      <c r="B97" s="64"/>
      <c r="C97" s="1293"/>
      <c r="D97" s="1293"/>
      <c r="E97" s="1293"/>
      <c r="F97" s="1293"/>
      <c r="G97" s="1293"/>
      <c r="H97" s="1293"/>
      <c r="I97" s="1293"/>
      <c r="J97" s="1293"/>
      <c r="K97" s="1293"/>
      <c r="L97" s="1293"/>
      <c r="M97" s="1293"/>
      <c r="N97" s="1293"/>
      <c r="Q97" s="13"/>
      <c r="R97" s="13"/>
      <c r="S97" s="13"/>
    </row>
    <row r="98" spans="1:19" ht="15" hidden="1" customHeight="1" thickBot="1" x14ac:dyDescent="0.25">
      <c r="B98" s="64"/>
      <c r="C98" s="59"/>
      <c r="D98" s="59"/>
      <c r="E98" s="1126" t="s">
        <v>394</v>
      </c>
      <c r="F98" s="1203"/>
      <c r="G98" s="1203"/>
      <c r="H98" s="1203"/>
      <c r="I98" s="1203"/>
      <c r="J98" s="1203"/>
      <c r="K98" s="1203"/>
      <c r="L98" s="59"/>
      <c r="M98" s="52"/>
      <c r="N98" s="243">
        <f>N96-N93</f>
        <v>0</v>
      </c>
      <c r="O98" s="234" t="s">
        <v>538</v>
      </c>
      <c r="Q98" s="13"/>
      <c r="R98" s="13"/>
      <c r="S98" s="13"/>
    </row>
    <row r="99" spans="1:19" ht="6" hidden="1" customHeight="1" thickTop="1" x14ac:dyDescent="0.2">
      <c r="B99" s="64"/>
      <c r="C99" s="59"/>
      <c r="D99" s="59"/>
      <c r="E99" s="59"/>
      <c r="F99" s="59"/>
      <c r="G99" s="59"/>
      <c r="H99" s="59"/>
      <c r="I99" s="59"/>
      <c r="J99" s="59"/>
      <c r="K99"/>
      <c r="L99" s="11"/>
      <c r="M99" s="52"/>
      <c r="N99" s="69"/>
      <c r="Q99" s="13"/>
      <c r="R99" s="13"/>
      <c r="S99" s="13"/>
    </row>
    <row r="100" spans="1:19" ht="51" hidden="1" customHeight="1" x14ac:dyDescent="0.2">
      <c r="B100" s="629" t="s">
        <v>949</v>
      </c>
      <c r="C100" s="1276" t="s">
        <v>698</v>
      </c>
      <c r="D100" s="1276"/>
      <c r="E100" s="1276"/>
      <c r="F100" s="1276"/>
      <c r="G100" s="1276"/>
      <c r="H100" s="1276"/>
      <c r="I100" s="1276"/>
      <c r="J100" s="1276"/>
      <c r="K100" s="1276"/>
      <c r="L100" s="1276"/>
      <c r="M100" s="52"/>
      <c r="N100" s="69"/>
      <c r="Q100" s="13"/>
      <c r="R100" s="13"/>
      <c r="S100" s="13"/>
    </row>
    <row r="101" spans="1:19" hidden="1" x14ac:dyDescent="0.2">
      <c r="B101" s="64"/>
      <c r="D101" t="s">
        <v>718</v>
      </c>
      <c r="J101"/>
      <c r="K101"/>
      <c r="L101" s="52"/>
      <c r="M101" s="52">
        <v>1</v>
      </c>
      <c r="N101" s="529"/>
      <c r="Q101" s="13"/>
      <c r="R101" s="13"/>
      <c r="S101" s="13"/>
    </row>
    <row r="102" spans="1:19" hidden="1" x14ac:dyDescent="0.2">
      <c r="B102" s="64"/>
      <c r="D102" t="s">
        <v>895</v>
      </c>
      <c r="J102"/>
      <c r="K102"/>
      <c r="L102" s="52"/>
      <c r="M102" s="52">
        <v>2</v>
      </c>
      <c r="N102" s="529"/>
      <c r="Q102" s="13"/>
      <c r="R102" s="13"/>
      <c r="S102" s="13"/>
    </row>
    <row r="103" spans="1:19" hidden="1" x14ac:dyDescent="0.2">
      <c r="B103" s="64"/>
      <c r="D103" t="s">
        <v>743</v>
      </c>
      <c r="J103"/>
      <c r="K103"/>
      <c r="L103" s="52"/>
      <c r="M103" s="52">
        <v>3</v>
      </c>
      <c r="N103" s="529"/>
      <c r="Q103" s="13"/>
      <c r="R103" s="13"/>
      <c r="S103" s="13"/>
    </row>
    <row r="104" spans="1:19" hidden="1" x14ac:dyDescent="0.2">
      <c r="B104" s="64"/>
      <c r="D104" t="s">
        <v>481</v>
      </c>
      <c r="J104"/>
      <c r="K104"/>
      <c r="L104" s="52"/>
      <c r="M104" s="52">
        <v>4</v>
      </c>
      <c r="N104" s="529"/>
      <c r="Q104" s="13"/>
      <c r="R104" s="13"/>
      <c r="S104" s="13"/>
    </row>
    <row r="105" spans="1:19" hidden="1" x14ac:dyDescent="0.2">
      <c r="B105" s="64"/>
      <c r="D105" t="s">
        <v>470</v>
      </c>
      <c r="J105"/>
      <c r="K105"/>
      <c r="L105" s="52"/>
      <c r="M105" s="52">
        <v>5</v>
      </c>
      <c r="N105" s="529"/>
      <c r="Q105" s="13"/>
      <c r="R105" s="13"/>
      <c r="S105" s="13"/>
    </row>
    <row r="106" spans="1:19" hidden="1" x14ac:dyDescent="0.2">
      <c r="B106" s="64"/>
      <c r="D106" t="s">
        <v>79</v>
      </c>
      <c r="J106" s="11"/>
      <c r="K106" s="11"/>
      <c r="L106" s="52"/>
      <c r="M106" s="52">
        <v>7</v>
      </c>
      <c r="N106" s="529"/>
      <c r="Q106" s="13"/>
      <c r="R106" s="13"/>
      <c r="S106" s="13"/>
    </row>
    <row r="107" spans="1:19" ht="12.75" hidden="1" customHeight="1" x14ac:dyDescent="0.2">
      <c r="B107" s="64"/>
      <c r="D107" t="s">
        <v>926</v>
      </c>
      <c r="J107" s="11"/>
      <c r="K107" s="11"/>
      <c r="L107" s="52"/>
      <c r="M107" s="52"/>
      <c r="N107" s="529"/>
      <c r="O107" s="1127" t="str">
        <f>IF(N109=N98," ","Recheck numbers. Entry is out of balance.")</f>
        <v xml:space="preserve"> </v>
      </c>
      <c r="P107" s="1127"/>
      <c r="Q107" s="13"/>
      <c r="R107" s="13"/>
      <c r="S107" s="13"/>
    </row>
    <row r="108" spans="1:19" ht="12.75" hidden="1" customHeight="1" x14ac:dyDescent="0.2">
      <c r="B108" s="64"/>
      <c r="D108" s="521" t="s">
        <v>203</v>
      </c>
      <c r="J108" s="11"/>
      <c r="K108" s="11"/>
      <c r="L108" s="52"/>
      <c r="M108" s="52"/>
      <c r="N108" s="529"/>
      <c r="O108" s="1127"/>
      <c r="P108" s="1127"/>
      <c r="Q108" s="13"/>
      <c r="R108" s="13"/>
      <c r="S108" s="13"/>
    </row>
    <row r="109" spans="1:19" ht="12.75" hidden="1" customHeight="1" thickBot="1" x14ac:dyDescent="0.25">
      <c r="B109" s="64"/>
      <c r="D109" s="521"/>
      <c r="E109" t="s">
        <v>395</v>
      </c>
      <c r="J109" s="11"/>
      <c r="K109" s="11"/>
      <c r="L109" s="235" t="s">
        <v>538</v>
      </c>
      <c r="M109" s="52"/>
      <c r="N109" s="630">
        <f>SUM(N101:N108)</f>
        <v>0</v>
      </c>
      <c r="O109" s="1127"/>
      <c r="P109" s="1127"/>
      <c r="Q109" s="13"/>
      <c r="R109" s="13"/>
      <c r="S109" s="13"/>
    </row>
    <row r="110" spans="1:19" ht="7.5" customHeight="1" x14ac:dyDescent="0.35">
      <c r="J110" s="11"/>
      <c r="K110" s="11"/>
      <c r="L110" s="126"/>
      <c r="M110" s="306"/>
      <c r="N110" s="4"/>
      <c r="Q110" s="13"/>
      <c r="R110" s="13"/>
      <c r="S110" s="13"/>
    </row>
    <row r="111" spans="1:19" ht="25.5" customHeight="1" x14ac:dyDescent="0.2">
      <c r="A111" s="4" t="s">
        <v>472</v>
      </c>
      <c r="B111" s="1228" t="s">
        <v>1034</v>
      </c>
      <c r="C111" s="1229"/>
      <c r="D111" s="1229"/>
      <c r="E111" s="1229"/>
      <c r="F111" s="1229"/>
      <c r="G111" s="1229"/>
      <c r="H111" s="1229"/>
      <c r="I111" s="1229"/>
      <c r="J111" s="1229"/>
      <c r="K111" s="1229"/>
      <c r="L111" s="1229"/>
      <c r="M111" s="1303"/>
      <c r="N111" s="1229"/>
      <c r="O111" s="1230"/>
      <c r="Q111" s="13"/>
      <c r="R111" s="13"/>
      <c r="S111" s="13"/>
    </row>
    <row r="112" spans="1:19" ht="3.75" customHeight="1" x14ac:dyDescent="0.2">
      <c r="J112"/>
      <c r="K112"/>
      <c r="L112" s="11"/>
      <c r="M112" s="52"/>
      <c r="N112" s="4"/>
    </row>
    <row r="113" spans="1:16" ht="21" customHeight="1" x14ac:dyDescent="0.2">
      <c r="J113"/>
      <c r="K113"/>
      <c r="L113" s="11"/>
      <c r="M113" s="52"/>
      <c r="N113" s="549" t="s">
        <v>490</v>
      </c>
      <c r="O113" s="549" t="s">
        <v>1033</v>
      </c>
    </row>
    <row r="114" spans="1:16" ht="14.25" customHeight="1" x14ac:dyDescent="0.2">
      <c r="A114"/>
      <c r="B114" s="64" t="s">
        <v>947</v>
      </c>
      <c r="C114" t="s">
        <v>857</v>
      </c>
      <c r="I114"/>
      <c r="J114"/>
      <c r="K114" s="11"/>
      <c r="L114" s="11"/>
      <c r="M114" s="52"/>
      <c r="N114" s="523"/>
      <c r="O114" s="510"/>
    </row>
    <row r="115" spans="1:16" ht="6" customHeight="1" x14ac:dyDescent="0.2">
      <c r="A115"/>
      <c r="I115"/>
      <c r="J115"/>
      <c r="K115" s="11"/>
      <c r="L115" s="11"/>
      <c r="M115" s="52"/>
      <c r="N115" s="490"/>
      <c r="O115" s="521"/>
    </row>
    <row r="116" spans="1:16" ht="14.25" customHeight="1" x14ac:dyDescent="0.2">
      <c r="A116"/>
      <c r="B116" s="64" t="s">
        <v>948</v>
      </c>
      <c r="C116" s="1123" t="s">
        <v>1035</v>
      </c>
      <c r="D116" s="1123"/>
      <c r="E116" s="1123"/>
      <c r="F116" s="1123"/>
      <c r="G116" s="1123"/>
      <c r="H116" s="1123"/>
      <c r="I116" s="1123"/>
      <c r="J116" s="1123"/>
      <c r="K116" s="11"/>
      <c r="L116" s="235" t="s">
        <v>538</v>
      </c>
      <c r="M116" s="52"/>
      <c r="N116" s="523"/>
      <c r="O116" s="1114"/>
      <c r="P116" s="286" t="s">
        <v>237</v>
      </c>
    </row>
    <row r="117" spans="1:16" ht="6" customHeight="1" x14ac:dyDescent="0.2">
      <c r="A117"/>
      <c r="I117"/>
      <c r="J117"/>
      <c r="K117" s="11"/>
      <c r="L117" s="11"/>
      <c r="M117" s="52"/>
      <c r="N117" s="490"/>
      <c r="O117" s="521"/>
    </row>
    <row r="118" spans="1:16" ht="13.5" customHeight="1" x14ac:dyDescent="0.2">
      <c r="A118"/>
      <c r="B118" s="64" t="s">
        <v>949</v>
      </c>
      <c r="C118" s="1123" t="s">
        <v>622</v>
      </c>
      <c r="D118" s="1123"/>
      <c r="E118" s="1123"/>
      <c r="F118" s="1123"/>
      <c r="G118" s="1123"/>
      <c r="H118" s="1123"/>
      <c r="I118" s="1123"/>
      <c r="J118" s="1123"/>
      <c r="K118" s="11"/>
      <c r="L118" s="235" t="s">
        <v>539</v>
      </c>
      <c r="M118" s="52"/>
      <c r="N118" s="523"/>
      <c r="O118" s="510"/>
      <c r="P118" s="286" t="s">
        <v>238</v>
      </c>
    </row>
    <row r="119" spans="1:16" ht="5.25" customHeight="1" x14ac:dyDescent="0.2">
      <c r="A119"/>
      <c r="I119"/>
      <c r="J119"/>
      <c r="K119" s="11"/>
      <c r="L119" s="285"/>
      <c r="M119" s="52"/>
      <c r="N119" s="490"/>
      <c r="O119" s="521"/>
      <c r="P119" s="70"/>
    </row>
    <row r="120" spans="1:16" ht="12.75" customHeight="1" x14ac:dyDescent="0.2">
      <c r="A120"/>
      <c r="B120" s="64" t="s">
        <v>878</v>
      </c>
      <c r="C120" s="1126" t="s">
        <v>661</v>
      </c>
      <c r="D120" s="1126"/>
      <c r="E120" s="1126"/>
      <c r="F120" s="1126"/>
      <c r="G120" s="1126"/>
      <c r="H120" s="1126"/>
      <c r="I120" s="1126"/>
      <c r="J120" s="1126"/>
      <c r="K120" s="11"/>
      <c r="L120" s="1306" t="s">
        <v>236</v>
      </c>
      <c r="M120" s="52"/>
      <c r="N120" s="1242"/>
      <c r="O120" s="1242"/>
      <c r="P120" s="1305" t="s">
        <v>239</v>
      </c>
    </row>
    <row r="121" spans="1:16" ht="12.75" customHeight="1" x14ac:dyDescent="0.2">
      <c r="A121"/>
      <c r="B121" s="64"/>
      <c r="C121" s="1126"/>
      <c r="D121" s="1126"/>
      <c r="E121" s="1126"/>
      <c r="F121" s="1126"/>
      <c r="G121" s="1126"/>
      <c r="H121" s="1126"/>
      <c r="I121" s="1126"/>
      <c r="J121" s="1126"/>
      <c r="K121" s="11"/>
      <c r="L121" s="1306"/>
      <c r="M121" s="52"/>
      <c r="N121" s="1242"/>
      <c r="O121" s="1242"/>
      <c r="P121" s="1305"/>
    </row>
    <row r="122" spans="1:16" ht="4.5" customHeight="1" x14ac:dyDescent="0.2">
      <c r="A122"/>
      <c r="I122"/>
      <c r="J122"/>
      <c r="K122" s="11"/>
      <c r="L122" s="11"/>
      <c r="M122" s="52"/>
      <c r="N122" s="11"/>
    </row>
    <row r="123" spans="1:16" ht="12.75" customHeight="1" thickBot="1" x14ac:dyDescent="0.25">
      <c r="A123"/>
      <c r="B123" s="64" t="s">
        <v>879</v>
      </c>
      <c r="C123" t="s">
        <v>234</v>
      </c>
      <c r="I123"/>
      <c r="J123"/>
      <c r="K123" s="11"/>
      <c r="L123" s="11"/>
      <c r="M123" s="52"/>
      <c r="N123" s="119">
        <f>N114+N116+N120-N118</f>
        <v>0</v>
      </c>
      <c r="O123" s="119">
        <f>O114+O116+O120-O118</f>
        <v>0</v>
      </c>
    </row>
    <row r="124" spans="1:16" ht="4.5" customHeight="1" thickTop="1" x14ac:dyDescent="0.2">
      <c r="A124"/>
      <c r="I124"/>
      <c r="J124"/>
      <c r="K124" s="11"/>
      <c r="L124" s="11"/>
      <c r="M124" s="52"/>
      <c r="N124" s="11"/>
    </row>
    <row r="125" spans="1:16" x14ac:dyDescent="0.2">
      <c r="A125"/>
      <c r="B125" s="64" t="s">
        <v>328</v>
      </c>
      <c r="C125" s="1126" t="s">
        <v>235</v>
      </c>
      <c r="D125" s="1126"/>
      <c r="E125" s="1126"/>
      <c r="F125" s="1126"/>
      <c r="G125" s="1126"/>
      <c r="H125" s="1126"/>
      <c r="I125" s="1126"/>
      <c r="J125" s="1126"/>
      <c r="K125" s="1126"/>
      <c r="L125" s="1126"/>
      <c r="M125" s="52"/>
    </row>
    <row r="126" spans="1:16" ht="51" customHeight="1" x14ac:dyDescent="0.2">
      <c r="A126"/>
      <c r="B126" s="64"/>
      <c r="C126" s="1126"/>
      <c r="D126" s="1126"/>
      <c r="E126" s="1126"/>
      <c r="F126" s="1126"/>
      <c r="G126" s="1126"/>
      <c r="H126" s="1126"/>
      <c r="I126" s="1126"/>
      <c r="J126" s="1126"/>
      <c r="K126" s="1126"/>
      <c r="L126" s="1126"/>
      <c r="M126" s="52"/>
    </row>
    <row r="127" spans="1:16" ht="6.75" customHeight="1" x14ac:dyDescent="0.2">
      <c r="A127"/>
      <c r="B127" s="64"/>
      <c r="C127" s="59"/>
      <c r="D127" s="59"/>
      <c r="E127" s="59"/>
      <c r="F127" s="59"/>
      <c r="G127" s="59"/>
      <c r="H127" s="59"/>
      <c r="I127" s="59"/>
      <c r="J127" s="59"/>
      <c r="K127" s="59"/>
      <c r="L127" s="59"/>
      <c r="M127" s="52"/>
    </row>
    <row r="128" spans="1:16" ht="15.75" customHeight="1" x14ac:dyDescent="0.2">
      <c r="A128"/>
      <c r="B128" s="64"/>
      <c r="C128" s="59"/>
      <c r="D128" s="59"/>
      <c r="E128" s="59"/>
      <c r="F128" s="59"/>
      <c r="G128" s="1300" t="s">
        <v>490</v>
      </c>
      <c r="H128" s="1301"/>
      <c r="I128" s="1301"/>
      <c r="J128" s="1302"/>
      <c r="K128" s="59"/>
      <c r="L128" s="1300" t="s">
        <v>1033</v>
      </c>
      <c r="M128" s="1301"/>
      <c r="N128" s="1301"/>
      <c r="O128" s="1302"/>
    </row>
    <row r="129" spans="1:15" x14ac:dyDescent="0.2">
      <c r="A129"/>
      <c r="B129" s="64"/>
      <c r="C129" s="59"/>
      <c r="D129" s="59"/>
      <c r="E129" s="59"/>
      <c r="F129" s="59"/>
      <c r="G129" s="164" t="s">
        <v>76</v>
      </c>
      <c r="H129" s="164" t="s">
        <v>75</v>
      </c>
      <c r="I129" s="59"/>
      <c r="J129" s="288" t="s">
        <v>1036</v>
      </c>
      <c r="K129" s="59"/>
      <c r="L129" s="164" t="s">
        <v>76</v>
      </c>
      <c r="M129" s="52"/>
      <c r="N129" s="164" t="s">
        <v>75</v>
      </c>
      <c r="O129" s="287" t="s">
        <v>1036</v>
      </c>
    </row>
    <row r="130" spans="1:15" x14ac:dyDescent="0.2">
      <c r="A130"/>
      <c r="C130" t="s">
        <v>718</v>
      </c>
      <c r="G130" s="523"/>
      <c r="H130" s="512"/>
      <c r="I130" s="495"/>
      <c r="J130" s="516"/>
      <c r="K130" s="521"/>
      <c r="L130" s="523"/>
      <c r="M130" s="494"/>
      <c r="N130" s="512"/>
      <c r="O130" s="516"/>
    </row>
    <row r="131" spans="1:15" x14ac:dyDescent="0.2">
      <c r="A131"/>
      <c r="C131" t="s">
        <v>895</v>
      </c>
      <c r="G131" s="523"/>
      <c r="H131" s="512"/>
      <c r="I131" s="495"/>
      <c r="J131" s="516"/>
      <c r="K131" s="521"/>
      <c r="L131" s="523"/>
      <c r="M131" s="494"/>
      <c r="N131" s="512"/>
      <c r="O131" s="516"/>
    </row>
    <row r="132" spans="1:15" x14ac:dyDescent="0.2">
      <c r="A132"/>
      <c r="C132" t="s">
        <v>743</v>
      </c>
      <c r="G132" s="523"/>
      <c r="H132" s="512"/>
      <c r="I132" s="495"/>
      <c r="J132" s="516"/>
      <c r="K132" s="521"/>
      <c r="L132" s="523"/>
      <c r="M132" s="494"/>
      <c r="N132" s="512"/>
      <c r="O132" s="516"/>
    </row>
    <row r="133" spans="1:15" x14ac:dyDescent="0.2">
      <c r="A133"/>
      <c r="C133" t="s">
        <v>481</v>
      </c>
      <c r="G133" s="523"/>
      <c r="H133" s="512"/>
      <c r="I133" s="495"/>
      <c r="J133" s="516"/>
      <c r="K133" s="521"/>
      <c r="L133" s="523"/>
      <c r="M133" s="494"/>
      <c r="N133" s="512"/>
      <c r="O133" s="516"/>
    </row>
    <row r="134" spans="1:15" x14ac:dyDescent="0.2">
      <c r="A134"/>
      <c r="C134" t="s">
        <v>470</v>
      </c>
      <c r="G134" s="523"/>
      <c r="H134" s="512"/>
      <c r="I134" s="495"/>
      <c r="J134" s="516"/>
      <c r="K134" s="521"/>
      <c r="L134" s="523"/>
      <c r="M134" s="494"/>
      <c r="N134" s="512"/>
      <c r="O134" s="516"/>
    </row>
    <row r="135" spans="1:15" x14ac:dyDescent="0.2">
      <c r="A135"/>
      <c r="C135" t="s">
        <v>79</v>
      </c>
      <c r="G135" s="523"/>
      <c r="H135" s="523"/>
      <c r="I135" s="495"/>
      <c r="J135" s="516"/>
      <c r="K135" s="490"/>
      <c r="L135" s="523"/>
      <c r="M135" s="494"/>
      <c r="N135" s="523"/>
      <c r="O135" s="516"/>
    </row>
    <row r="136" spans="1:15" x14ac:dyDescent="0.2">
      <c r="A136"/>
      <c r="C136" t="s">
        <v>926</v>
      </c>
      <c r="G136" s="523"/>
      <c r="H136" s="523"/>
      <c r="I136" s="495"/>
      <c r="J136" s="512"/>
      <c r="K136" s="490"/>
      <c r="L136" s="523"/>
      <c r="M136" s="494"/>
      <c r="N136" s="523"/>
      <c r="O136" s="512"/>
    </row>
    <row r="137" spans="1:15" x14ac:dyDescent="0.2">
      <c r="A137"/>
      <c r="C137" s="521" t="s">
        <v>203</v>
      </c>
      <c r="G137" s="523"/>
      <c r="H137" s="523"/>
      <c r="I137" s="495"/>
      <c r="J137" s="512"/>
      <c r="K137" s="490"/>
      <c r="L137" s="523"/>
      <c r="M137" s="494"/>
      <c r="N137" s="523"/>
      <c r="O137" s="512"/>
    </row>
    <row r="138" spans="1:15" x14ac:dyDescent="0.2">
      <c r="A138"/>
      <c r="C138" t="s">
        <v>924</v>
      </c>
      <c r="G138" s="523"/>
      <c r="H138" s="523"/>
      <c r="I138" s="495"/>
      <c r="J138" s="512"/>
      <c r="K138" s="490"/>
      <c r="L138" s="523"/>
      <c r="M138" s="494"/>
      <c r="N138" s="523"/>
      <c r="O138" s="512"/>
    </row>
    <row r="139" spans="1:15" ht="17.25" customHeight="1" x14ac:dyDescent="0.2">
      <c r="A139"/>
      <c r="C139" t="s">
        <v>925</v>
      </c>
      <c r="G139" s="526"/>
      <c r="H139" s="526"/>
      <c r="I139" s="495"/>
      <c r="J139" s="512"/>
      <c r="K139" s="490"/>
      <c r="L139" s="526"/>
      <c r="M139" s="494"/>
      <c r="N139" s="526"/>
      <c r="O139" s="512"/>
    </row>
    <row r="140" spans="1:15" ht="17.25" thickBot="1" x14ac:dyDescent="0.4">
      <c r="A140"/>
      <c r="G140" s="113">
        <f>SUM(G130:G139)</f>
        <v>0</v>
      </c>
      <c r="H140" s="118">
        <f>SUM(H130:H139)</f>
        <v>0</v>
      </c>
      <c r="J140" s="119">
        <f>SUM(J130:J139)</f>
        <v>0</v>
      </c>
      <c r="K140" s="11"/>
      <c r="L140" s="113">
        <f>SUM(L130:L139)</f>
        <v>0</v>
      </c>
      <c r="M140" s="126"/>
      <c r="N140" s="118">
        <f>SUM(N130:N139)</f>
        <v>0</v>
      </c>
      <c r="O140" s="119">
        <f>SUM(O130:O139)</f>
        <v>0</v>
      </c>
    </row>
    <row r="141" spans="1:15" ht="15.75" thickTop="1" x14ac:dyDescent="0.2">
      <c r="A141"/>
      <c r="G141" s="235" t="s">
        <v>538</v>
      </c>
      <c r="H141" s="286" t="s">
        <v>539</v>
      </c>
      <c r="I141" s="70"/>
      <c r="J141" s="286" t="s">
        <v>236</v>
      </c>
      <c r="K141"/>
      <c r="L141" s="286" t="s">
        <v>237</v>
      </c>
      <c r="M141"/>
      <c r="N141" s="286" t="s">
        <v>238</v>
      </c>
      <c r="O141" s="286" t="s">
        <v>239</v>
      </c>
    </row>
    <row r="142" spans="1:15" s="229" customFormat="1" ht="8.25" customHeight="1" x14ac:dyDescent="0.2">
      <c r="G142" s="1304" t="str">
        <f>IF(G140=N116," ","Recheck numbers. Entry is out of balance.")</f>
        <v xml:space="preserve"> </v>
      </c>
      <c r="H142" s="1304" t="str">
        <f>IF(H140=N118," ","Recheck numbers. Entry is out of balance.")</f>
        <v xml:space="preserve"> </v>
      </c>
      <c r="I142" s="289"/>
      <c r="J142" s="1304" t="str">
        <f>IF(J140=N120," ","Recheck numbers. Entry is out of balance.")</f>
        <v xml:space="preserve"> </v>
      </c>
      <c r="L142" s="1304" t="str">
        <f>IF(L140=O116," ","Recheck numbers. Entry is out of balance.")</f>
        <v xml:space="preserve"> </v>
      </c>
      <c r="N142" s="1304" t="str">
        <f>IF(N140=O118," ","Recheck numbers. Entry is out of balance.")</f>
        <v xml:space="preserve"> </v>
      </c>
      <c r="O142" s="1304" t="str">
        <f>IF(O140=O120," ","Recheck numbers. Entry is out of balance.")</f>
        <v xml:space="preserve"> </v>
      </c>
    </row>
    <row r="143" spans="1:15" s="229" customFormat="1" ht="15" customHeight="1" x14ac:dyDescent="0.2">
      <c r="G143" s="1304"/>
      <c r="H143" s="1304"/>
      <c r="I143" s="289"/>
      <c r="J143" s="1304"/>
      <c r="L143" s="1304"/>
      <c r="N143" s="1304"/>
      <c r="O143" s="1304"/>
    </row>
    <row r="144" spans="1:15" s="229" customFormat="1" ht="22.5" customHeight="1" x14ac:dyDescent="0.2">
      <c r="G144" s="1304"/>
      <c r="H144" s="1304"/>
      <c r="I144" s="289"/>
      <c r="J144" s="1304"/>
      <c r="L144" s="1304"/>
      <c r="N144" s="1304"/>
      <c r="O144" s="1304"/>
    </row>
    <row r="145" spans="1:15" s="229" customFormat="1" ht="22.5" customHeight="1" x14ac:dyDescent="0.2">
      <c r="A145" s="682" t="s">
        <v>488</v>
      </c>
      <c r="B145" s="1228" t="s">
        <v>2076</v>
      </c>
      <c r="C145" s="1229"/>
      <c r="D145" s="1229"/>
      <c r="E145" s="1229"/>
      <c r="F145" s="1229"/>
      <c r="G145" s="1229"/>
      <c r="H145" s="1229"/>
      <c r="I145" s="1229"/>
      <c r="J145" s="1229"/>
      <c r="K145" s="1229"/>
      <c r="L145" s="1229"/>
      <c r="M145" s="1303"/>
      <c r="N145" s="1229"/>
      <c r="O145" s="1230"/>
    </row>
    <row r="146" spans="1:15" s="229" customFormat="1" x14ac:dyDescent="0.2">
      <c r="G146" s="680"/>
      <c r="H146" s="680"/>
      <c r="I146" s="289"/>
      <c r="J146" s="680"/>
      <c r="L146" s="680"/>
      <c r="N146" s="680"/>
      <c r="O146" s="680"/>
    </row>
    <row r="147" spans="1:15" s="229" customFormat="1" ht="27" customHeight="1" x14ac:dyDescent="0.2">
      <c r="B147" s="64" t="s">
        <v>947</v>
      </c>
      <c r="C147" s="1289" t="s">
        <v>2112</v>
      </c>
      <c r="D147" s="1276"/>
      <c r="E147" s="1276"/>
      <c r="F147" s="1276"/>
      <c r="G147" s="1276"/>
      <c r="H147" s="1276"/>
      <c r="I147" s="1276"/>
      <c r="J147" s="1276"/>
      <c r="L147" s="679"/>
      <c r="N147" s="680"/>
      <c r="O147" s="680"/>
    </row>
    <row r="148" spans="1:15" s="229" customFormat="1" ht="9.75" customHeight="1" x14ac:dyDescent="0.2">
      <c r="A148" s="768"/>
      <c r="B148" s="64"/>
      <c r="C148" s="682"/>
      <c r="G148" s="680"/>
      <c r="H148" s="680"/>
      <c r="I148" s="289"/>
      <c r="J148" s="680"/>
      <c r="L148" s="685"/>
      <c r="N148" s="680"/>
      <c r="O148" s="680"/>
    </row>
    <row r="149" spans="1:15" s="229" customFormat="1" x14ac:dyDescent="0.2">
      <c r="B149" s="64" t="s">
        <v>948</v>
      </c>
      <c r="C149" s="682" t="s">
        <v>2091</v>
      </c>
      <c r="G149" s="680"/>
      <c r="H149" s="680"/>
      <c r="I149" s="289"/>
      <c r="J149" s="680"/>
      <c r="L149" s="699"/>
      <c r="N149" s="680"/>
      <c r="O149" s="680"/>
    </row>
    <row r="150" spans="1:15" s="229" customFormat="1" x14ac:dyDescent="0.2">
      <c r="B150" s="64"/>
      <c r="C150" s="682"/>
      <c r="G150" s="699"/>
      <c r="H150" s="699"/>
      <c r="I150" s="289"/>
      <c r="J150" s="699"/>
      <c r="L150" s="708"/>
      <c r="N150" s="699"/>
      <c r="O150" s="699"/>
    </row>
    <row r="151" spans="1:15" s="229" customFormat="1" x14ac:dyDescent="0.2">
      <c r="B151" s="64"/>
      <c r="C151" s="683" t="s">
        <v>2110</v>
      </c>
      <c r="G151" s="699"/>
      <c r="H151" s="699"/>
      <c r="I151" s="289"/>
      <c r="J151" s="699"/>
      <c r="L151" s="769"/>
      <c r="M151" s="682"/>
      <c r="N151" s="683"/>
      <c r="O151" s="699"/>
    </row>
    <row r="152" spans="1:15" s="229" customFormat="1" x14ac:dyDescent="0.2">
      <c r="B152" s="64"/>
      <c r="C152" s="683" t="s">
        <v>2108</v>
      </c>
      <c r="G152" s="752"/>
      <c r="H152" s="752"/>
      <c r="I152" s="289"/>
      <c r="J152" s="752"/>
      <c r="L152" s="769"/>
      <c r="M152" s="682"/>
      <c r="N152" s="683"/>
      <c r="O152" s="752"/>
    </row>
    <row r="153" spans="1:15" s="229" customFormat="1" x14ac:dyDescent="0.2">
      <c r="B153" s="64"/>
      <c r="C153" s="683" t="s">
        <v>2078</v>
      </c>
      <c r="G153" s="699"/>
      <c r="H153" s="699"/>
      <c r="I153" s="289"/>
      <c r="J153" s="699"/>
      <c r="L153" s="769"/>
      <c r="M153" s="682"/>
      <c r="N153" s="683"/>
      <c r="O153" s="699"/>
    </row>
    <row r="154" spans="1:15" s="229" customFormat="1" x14ac:dyDescent="0.2">
      <c r="B154" s="64"/>
      <c r="C154" s="702" t="s">
        <v>2079</v>
      </c>
      <c r="G154" s="699"/>
      <c r="H154" s="699"/>
      <c r="I154" s="289"/>
      <c r="J154" s="699"/>
      <c r="L154" s="703">
        <f>SUM(L151:L153)</f>
        <v>0</v>
      </c>
      <c r="M154" s="682"/>
      <c r="N154" s="683" t="str">
        <f>IF(L154=1,"=100%","DOES NOT EQUAL 100%!!!")</f>
        <v>DOES NOT EQUAL 100%!!!</v>
      </c>
      <c r="O154" s="699"/>
    </row>
    <row r="155" spans="1:15" s="229" customFormat="1" x14ac:dyDescent="0.2">
      <c r="B155" s="64"/>
      <c r="C155" s="695"/>
      <c r="G155" s="699"/>
      <c r="H155" s="699"/>
      <c r="I155" s="289"/>
      <c r="J155" s="699"/>
      <c r="L155" s="696"/>
      <c r="M155" s="682"/>
      <c r="N155" s="696"/>
      <c r="O155" s="699"/>
    </row>
    <row r="156" spans="1:15" s="229" customFormat="1" x14ac:dyDescent="0.2">
      <c r="B156" s="64"/>
      <c r="C156" s="709" t="s">
        <v>2080</v>
      </c>
      <c r="G156" s="699"/>
      <c r="H156" s="699"/>
      <c r="I156" s="289"/>
      <c r="J156" s="699"/>
      <c r="L156" s="696"/>
      <c r="M156" s="682"/>
      <c r="N156" s="696"/>
      <c r="O156" s="699"/>
    </row>
    <row r="157" spans="1:15" s="229" customFormat="1" x14ac:dyDescent="0.2">
      <c r="B157" s="64"/>
      <c r="C157" s="695" t="s">
        <v>2081</v>
      </c>
      <c r="G157" s="699"/>
      <c r="H157" s="699"/>
      <c r="I157" s="289"/>
      <c r="J157" s="699"/>
      <c r="L157" s="769"/>
      <c r="M157" s="682"/>
      <c r="N157" s="696"/>
      <c r="O157" s="699"/>
    </row>
    <row r="158" spans="1:15" s="229" customFormat="1" x14ac:dyDescent="0.2">
      <c r="B158" s="64"/>
      <c r="C158" s="695" t="s">
        <v>2082</v>
      </c>
      <c r="G158" s="699"/>
      <c r="H158" s="699"/>
      <c r="I158" s="289"/>
      <c r="J158" s="699"/>
      <c r="L158" s="769"/>
      <c r="M158" s="682"/>
      <c r="N158" s="696"/>
      <c r="O158" s="699"/>
    </row>
    <row r="159" spans="1:15" s="229" customFormat="1" x14ac:dyDescent="0.2">
      <c r="B159" s="64"/>
      <c r="C159" s="695" t="s">
        <v>2083</v>
      </c>
      <c r="G159" s="699"/>
      <c r="H159" s="699"/>
      <c r="I159" s="289"/>
      <c r="J159" s="699"/>
      <c r="L159" s="769"/>
      <c r="M159" s="682"/>
      <c r="N159" s="696"/>
      <c r="O159" s="699"/>
    </row>
    <row r="160" spans="1:15" s="229" customFormat="1" x14ac:dyDescent="0.2">
      <c r="B160" s="64"/>
      <c r="C160" s="695" t="s">
        <v>2084</v>
      </c>
      <c r="G160" s="699"/>
      <c r="H160" s="699"/>
      <c r="I160" s="289"/>
      <c r="J160" s="699"/>
      <c r="L160" s="769"/>
      <c r="M160" s="682"/>
      <c r="N160" s="696"/>
      <c r="O160" s="699"/>
    </row>
    <row r="161" spans="2:18" s="229" customFormat="1" x14ac:dyDescent="0.2">
      <c r="B161" s="64"/>
      <c r="C161" s="695" t="s">
        <v>2085</v>
      </c>
      <c r="G161" s="699"/>
      <c r="H161" s="699"/>
      <c r="I161" s="289"/>
      <c r="J161" s="699"/>
      <c r="L161" s="769"/>
      <c r="M161" s="682"/>
      <c r="N161" s="696"/>
      <c r="O161" s="699"/>
    </row>
    <row r="162" spans="2:18" s="229" customFormat="1" x14ac:dyDescent="0.2">
      <c r="B162" s="64"/>
      <c r="C162" s="695" t="s">
        <v>2086</v>
      </c>
      <c r="G162" s="699"/>
      <c r="H162" s="699"/>
      <c r="I162" s="289"/>
      <c r="J162" s="699"/>
      <c r="L162" s="769"/>
      <c r="M162" s="682"/>
      <c r="N162" s="696"/>
      <c r="O162" s="699"/>
    </row>
    <row r="163" spans="2:18" s="229" customFormat="1" x14ac:dyDescent="0.2">
      <c r="B163" s="64"/>
      <c r="C163" s="695" t="s">
        <v>2087</v>
      </c>
      <c r="G163" s="699"/>
      <c r="H163" s="699"/>
      <c r="I163" s="289"/>
      <c r="J163" s="699"/>
      <c r="L163" s="769"/>
      <c r="M163" s="682"/>
      <c r="N163" s="696"/>
      <c r="O163" s="699"/>
    </row>
    <row r="164" spans="2:18" s="229" customFormat="1" x14ac:dyDescent="0.2">
      <c r="B164" s="64"/>
      <c r="C164" s="695" t="s">
        <v>2089</v>
      </c>
      <c r="G164" s="699"/>
      <c r="H164" s="699"/>
      <c r="I164" s="289"/>
      <c r="J164" s="699"/>
      <c r="L164" s="769"/>
      <c r="M164" s="682"/>
      <c r="N164" s="696"/>
      <c r="O164" s="699"/>
    </row>
    <row r="165" spans="2:18" s="229" customFormat="1" x14ac:dyDescent="0.2">
      <c r="B165" s="64"/>
      <c r="C165" s="702" t="s">
        <v>2088</v>
      </c>
      <c r="G165" s="699"/>
      <c r="H165" s="699"/>
      <c r="I165" s="289"/>
      <c r="J165" s="699"/>
      <c r="L165" s="703">
        <f>SUM(L157:L164)</f>
        <v>0</v>
      </c>
      <c r="M165" s="682"/>
      <c r="N165" s="683" t="str">
        <f>IF(L165=L151,"Equals Governmental Activities","DOES NOT EQUAL Governmental Activities!!!")</f>
        <v>Equals Governmental Activities</v>
      </c>
      <c r="O165" s="699"/>
    </row>
    <row r="166" spans="2:18" s="229" customFormat="1" x14ac:dyDescent="0.2">
      <c r="B166" s="64"/>
      <c r="C166" s="682"/>
      <c r="G166" s="699"/>
      <c r="H166" s="699"/>
      <c r="I166" s="289"/>
      <c r="J166" s="699"/>
      <c r="L166" s="708"/>
      <c r="N166" s="699"/>
      <c r="O166" s="699"/>
    </row>
    <row r="167" spans="2:18" s="229" customFormat="1" x14ac:dyDescent="0.2">
      <c r="B167" s="64"/>
      <c r="C167" s="682"/>
      <c r="G167" s="699"/>
      <c r="H167" s="699"/>
      <c r="I167" s="289"/>
      <c r="J167" s="699"/>
      <c r="L167" s="708"/>
      <c r="N167" s="699"/>
      <c r="O167" s="699"/>
    </row>
    <row r="168" spans="2:18" s="229" customFormat="1" ht="8.25" customHeight="1" x14ac:dyDescent="0.2">
      <c r="B168" s="64"/>
      <c r="G168" s="680"/>
      <c r="H168" s="680"/>
      <c r="I168" s="289"/>
      <c r="J168" s="680"/>
      <c r="L168" s="680"/>
      <c r="N168" s="680"/>
      <c r="O168" s="680"/>
    </row>
    <row r="169" spans="2:18" s="229" customFormat="1" x14ac:dyDescent="0.2">
      <c r="B169" s="64" t="s">
        <v>949</v>
      </c>
      <c r="C169" s="1293" t="s">
        <v>2090</v>
      </c>
      <c r="D169" s="1293"/>
      <c r="E169" s="1293"/>
      <c r="F169" s="1293"/>
      <c r="G169" s="1293"/>
      <c r="H169" s="1293"/>
      <c r="I169" s="1293"/>
      <c r="J169" s="1293"/>
      <c r="K169" s="682"/>
      <c r="L169" s="681" t="s">
        <v>65</v>
      </c>
      <c r="M169" s="682"/>
      <c r="N169" s="681" t="s">
        <v>66</v>
      </c>
      <c r="O169" s="680"/>
    </row>
    <row r="170" spans="2:18" s="229" customFormat="1" x14ac:dyDescent="0.2">
      <c r="B170" s="64"/>
      <c r="C170" s="682" t="s">
        <v>2077</v>
      </c>
      <c r="D170" s="682"/>
      <c r="E170" s="682"/>
      <c r="F170" s="682"/>
      <c r="G170" s="698"/>
      <c r="H170" s="698"/>
      <c r="I170" s="681"/>
      <c r="J170" s="698"/>
      <c r="K170" s="682"/>
      <c r="L170" s="15">
        <f>L147*L151</f>
        <v>0</v>
      </c>
      <c r="M170" s="15"/>
      <c r="N170" s="15"/>
      <c r="O170" s="699"/>
      <c r="Q170" s="682"/>
    </row>
    <row r="171" spans="2:18" s="229" customFormat="1" x14ac:dyDescent="0.2">
      <c r="B171" s="64"/>
      <c r="C171" s="682" t="s">
        <v>2081</v>
      </c>
      <c r="D171" s="682"/>
      <c r="E171" s="682"/>
      <c r="F171" s="682"/>
      <c r="G171" s="698"/>
      <c r="H171" s="698"/>
      <c r="I171" s="681"/>
      <c r="J171" s="698"/>
      <c r="K171" s="682"/>
      <c r="L171" s="15"/>
      <c r="M171" s="15"/>
      <c r="N171" s="15">
        <f>L157*$L$147</f>
        <v>0</v>
      </c>
      <c r="O171" s="699"/>
    </row>
    <row r="172" spans="2:18" s="229" customFormat="1" x14ac:dyDescent="0.2">
      <c r="B172" s="64"/>
      <c r="C172" s="682" t="s">
        <v>2082</v>
      </c>
      <c r="D172" s="682"/>
      <c r="E172" s="682"/>
      <c r="F172" s="682"/>
      <c r="G172" s="698"/>
      <c r="H172" s="698"/>
      <c r="I172" s="681"/>
      <c r="J172" s="698"/>
      <c r="K172" s="682"/>
      <c r="L172" s="15"/>
      <c r="M172" s="15"/>
      <c r="N172" s="15">
        <f t="shared" ref="N172:N178" si="2">L158*$L$147</f>
        <v>0</v>
      </c>
      <c r="O172" s="699"/>
    </row>
    <row r="173" spans="2:18" s="229" customFormat="1" x14ac:dyDescent="0.2">
      <c r="B173" s="64"/>
      <c r="C173" s="682" t="s">
        <v>2083</v>
      </c>
      <c r="D173" s="682"/>
      <c r="E173" s="682"/>
      <c r="F173" s="682"/>
      <c r="G173" s="698"/>
      <c r="H173" s="698"/>
      <c r="I173" s="681"/>
      <c r="J173" s="698"/>
      <c r="K173" s="682"/>
      <c r="L173" s="15"/>
      <c r="M173" s="15"/>
      <c r="N173" s="15">
        <f t="shared" si="2"/>
        <v>0</v>
      </c>
      <c r="O173" s="699"/>
      <c r="R173" s="758"/>
    </row>
    <row r="174" spans="2:18" s="229" customFormat="1" x14ac:dyDescent="0.2">
      <c r="B174" s="64"/>
      <c r="C174" s="682" t="s">
        <v>2084</v>
      </c>
      <c r="D174" s="682"/>
      <c r="E174" s="682"/>
      <c r="F174" s="682"/>
      <c r="G174" s="698"/>
      <c r="H174" s="698"/>
      <c r="I174" s="681"/>
      <c r="J174" s="698"/>
      <c r="K174" s="682"/>
      <c r="L174" s="15"/>
      <c r="M174" s="15"/>
      <c r="N174" s="15">
        <f t="shared" si="2"/>
        <v>0</v>
      </c>
      <c r="O174" s="699"/>
    </row>
    <row r="175" spans="2:18" s="229" customFormat="1" x14ac:dyDescent="0.2">
      <c r="B175" s="64"/>
      <c r="C175" s="682" t="s">
        <v>2085</v>
      </c>
      <c r="D175" s="682"/>
      <c r="E175" s="682"/>
      <c r="F175" s="682"/>
      <c r="G175" s="698"/>
      <c r="H175" s="698"/>
      <c r="I175" s="681"/>
      <c r="J175" s="698"/>
      <c r="K175" s="682"/>
      <c r="L175" s="15"/>
      <c r="M175" s="15"/>
      <c r="N175" s="15">
        <f t="shared" si="2"/>
        <v>0</v>
      </c>
      <c r="O175" s="699"/>
    </row>
    <row r="176" spans="2:18" s="229" customFormat="1" x14ac:dyDescent="0.2">
      <c r="B176" s="64"/>
      <c r="C176" s="682" t="s">
        <v>2086</v>
      </c>
      <c r="D176" s="682"/>
      <c r="E176" s="682"/>
      <c r="F176" s="682"/>
      <c r="G176" s="698"/>
      <c r="H176" s="698"/>
      <c r="I176" s="681"/>
      <c r="J176" s="698"/>
      <c r="K176" s="682"/>
      <c r="L176" s="15"/>
      <c r="M176" s="15"/>
      <c r="N176" s="15">
        <f t="shared" si="2"/>
        <v>0</v>
      </c>
      <c r="O176" s="699"/>
    </row>
    <row r="177" spans="1:16" s="229" customFormat="1" x14ac:dyDescent="0.2">
      <c r="B177" s="64"/>
      <c r="C177" s="682" t="s">
        <v>2087</v>
      </c>
      <c r="D177" s="682"/>
      <c r="E177" s="682"/>
      <c r="F177" s="682"/>
      <c r="G177" s="698"/>
      <c r="H177" s="698"/>
      <c r="I177" s="681"/>
      <c r="J177" s="698"/>
      <c r="K177" s="682"/>
      <c r="L177" s="15"/>
      <c r="M177" s="15"/>
      <c r="N177" s="15">
        <f t="shared" si="2"/>
        <v>0</v>
      </c>
      <c r="O177" s="699"/>
    </row>
    <row r="178" spans="1:16" s="229" customFormat="1" x14ac:dyDescent="0.2">
      <c r="B178" s="64"/>
      <c r="C178" s="682" t="s">
        <v>2089</v>
      </c>
      <c r="D178" s="682"/>
      <c r="E178" s="682"/>
      <c r="F178" s="682"/>
      <c r="G178" s="698"/>
      <c r="H178" s="698"/>
      <c r="I178" s="681"/>
      <c r="J178" s="698"/>
      <c r="K178" s="682"/>
      <c r="L178" s="15"/>
      <c r="M178" s="15"/>
      <c r="N178" s="15">
        <f t="shared" si="2"/>
        <v>0</v>
      </c>
      <c r="O178" s="699"/>
    </row>
    <row r="179" spans="1:16" s="229" customFormat="1" x14ac:dyDescent="0.2">
      <c r="B179" s="64"/>
      <c r="C179" s="700"/>
      <c r="D179" s="700"/>
      <c r="E179" s="700"/>
      <c r="F179" s="700"/>
      <c r="G179" s="700"/>
      <c r="H179" s="700"/>
      <c r="I179" s="700"/>
      <c r="J179" s="700"/>
      <c r="N179" s="699"/>
      <c r="O179" s="699"/>
    </row>
    <row r="180" spans="1:16" s="229" customFormat="1" x14ac:dyDescent="0.2">
      <c r="B180" s="64"/>
      <c r="C180" s="700"/>
      <c r="D180" s="700"/>
      <c r="E180" s="700"/>
      <c r="F180" s="700"/>
      <c r="G180" s="700"/>
      <c r="H180" s="700"/>
      <c r="I180" s="700"/>
      <c r="J180" s="700"/>
      <c r="N180" s="699"/>
      <c r="O180" s="699"/>
    </row>
    <row r="181" spans="1:16" s="229" customFormat="1" x14ac:dyDescent="0.2">
      <c r="B181" s="64"/>
      <c r="C181" s="700"/>
      <c r="D181" s="700"/>
      <c r="E181" s="700"/>
      <c r="F181" s="700"/>
      <c r="G181" s="700"/>
      <c r="H181" s="700"/>
      <c r="I181" s="700"/>
      <c r="J181" s="700"/>
      <c r="N181" s="699"/>
      <c r="O181" s="699"/>
    </row>
    <row r="182" spans="1:16" s="229" customFormat="1" x14ac:dyDescent="0.2">
      <c r="G182" s="680"/>
      <c r="H182" s="680"/>
      <c r="I182" s="289"/>
      <c r="J182" s="680"/>
      <c r="L182" s="680"/>
      <c r="N182" s="680"/>
      <c r="O182" s="680"/>
    </row>
    <row r="183" spans="1:16" ht="25.5" customHeight="1" x14ac:dyDescent="0.2">
      <c r="A183" s="4" t="s">
        <v>828</v>
      </c>
      <c r="B183" s="1228" t="s">
        <v>120</v>
      </c>
      <c r="C183" s="1229"/>
      <c r="D183" s="1229"/>
      <c r="E183" s="1229"/>
      <c r="F183" s="1229"/>
      <c r="G183" s="1229"/>
      <c r="H183" s="1229"/>
      <c r="I183" s="1229"/>
      <c r="J183" s="1229"/>
      <c r="K183" s="1229"/>
      <c r="L183" s="1229"/>
      <c r="M183" s="1229"/>
      <c r="N183" s="1229"/>
      <c r="O183" s="1230"/>
      <c r="P183" s="77"/>
    </row>
    <row r="184" spans="1:16" x14ac:dyDescent="0.2">
      <c r="I184"/>
      <c r="J184"/>
      <c r="K184"/>
      <c r="L184" s="3" t="s">
        <v>332</v>
      </c>
      <c r="M184" s="3"/>
      <c r="N184" s="3" t="s">
        <v>66</v>
      </c>
    </row>
    <row r="185" spans="1:16" ht="12.75" customHeight="1" x14ac:dyDescent="0.2">
      <c r="D185" t="s">
        <v>865</v>
      </c>
      <c r="E185" t="s">
        <v>718</v>
      </c>
      <c r="I185"/>
      <c r="K185"/>
      <c r="L185" s="103">
        <f t="shared" ref="L185:L193" si="3">Z214</f>
        <v>0</v>
      </c>
      <c r="M185"/>
      <c r="N185" s="103">
        <f t="shared" ref="N185:N193" si="4">AA214</f>
        <v>0</v>
      </c>
    </row>
    <row r="186" spans="1:16" x14ac:dyDescent="0.2">
      <c r="E186" t="s">
        <v>895</v>
      </c>
      <c r="I186"/>
      <c r="K186"/>
      <c r="L186" s="103">
        <f t="shared" si="3"/>
        <v>0</v>
      </c>
      <c r="M186"/>
      <c r="N186" s="103">
        <f t="shared" si="4"/>
        <v>0</v>
      </c>
    </row>
    <row r="187" spans="1:16" x14ac:dyDescent="0.2">
      <c r="E187" t="s">
        <v>896</v>
      </c>
      <c r="I187"/>
      <c r="K187"/>
      <c r="L187" s="103">
        <f t="shared" si="3"/>
        <v>0</v>
      </c>
      <c r="M187"/>
      <c r="N187" s="103">
        <f t="shared" si="4"/>
        <v>0</v>
      </c>
    </row>
    <row r="188" spans="1:16" x14ac:dyDescent="0.2">
      <c r="E188" t="s">
        <v>481</v>
      </c>
      <c r="I188"/>
      <c r="J188"/>
      <c r="K188"/>
      <c r="L188" s="103">
        <f t="shared" si="3"/>
        <v>0</v>
      </c>
      <c r="M188"/>
      <c r="N188" s="103">
        <f t="shared" si="4"/>
        <v>0</v>
      </c>
    </row>
    <row r="189" spans="1:16" x14ac:dyDescent="0.2">
      <c r="E189" t="s">
        <v>470</v>
      </c>
      <c r="I189"/>
      <c r="J189"/>
      <c r="K189"/>
      <c r="L189" s="103">
        <f t="shared" si="3"/>
        <v>0</v>
      </c>
      <c r="M189"/>
      <c r="N189" s="103">
        <f t="shared" si="4"/>
        <v>0</v>
      </c>
    </row>
    <row r="190" spans="1:16" x14ac:dyDescent="0.2">
      <c r="E190" t="s">
        <v>377</v>
      </c>
      <c r="I190"/>
      <c r="J190"/>
      <c r="K190"/>
      <c r="L190" s="103">
        <f t="shared" si="3"/>
        <v>0</v>
      </c>
      <c r="M190"/>
      <c r="N190" s="103">
        <f t="shared" si="4"/>
        <v>0</v>
      </c>
    </row>
    <row r="191" spans="1:16" x14ac:dyDescent="0.2">
      <c r="E191" t="s">
        <v>926</v>
      </c>
      <c r="I191"/>
      <c r="J191"/>
      <c r="K191"/>
      <c r="L191" s="103">
        <f t="shared" si="3"/>
        <v>0</v>
      </c>
      <c r="M191"/>
      <c r="N191" s="103">
        <f t="shared" si="4"/>
        <v>0</v>
      </c>
    </row>
    <row r="192" spans="1:16" x14ac:dyDescent="0.2">
      <c r="E192" s="521" t="s">
        <v>203</v>
      </c>
      <c r="I192"/>
      <c r="J192"/>
      <c r="K192"/>
      <c r="L192" s="103">
        <f t="shared" si="3"/>
        <v>0</v>
      </c>
      <c r="M192"/>
      <c r="N192" s="103">
        <f t="shared" si="4"/>
        <v>0</v>
      </c>
    </row>
    <row r="193" spans="1:25" x14ac:dyDescent="0.2">
      <c r="E193" t="s">
        <v>924</v>
      </c>
      <c r="I193"/>
      <c r="J193"/>
      <c r="K193"/>
      <c r="L193" s="103">
        <f t="shared" si="3"/>
        <v>0</v>
      </c>
      <c r="M193"/>
      <c r="N193" s="103">
        <f t="shared" si="4"/>
        <v>0</v>
      </c>
    </row>
    <row r="194" spans="1:25" x14ac:dyDescent="0.2">
      <c r="E194" t="s">
        <v>925</v>
      </c>
      <c r="I194"/>
      <c r="J194"/>
      <c r="K194"/>
      <c r="L194" s="103">
        <f>Z224</f>
        <v>0</v>
      </c>
      <c r="M194"/>
      <c r="N194" s="103">
        <f>AA224</f>
        <v>0</v>
      </c>
    </row>
    <row r="195" spans="1:25" x14ac:dyDescent="0.2">
      <c r="E195" t="s">
        <v>345</v>
      </c>
      <c r="I195"/>
      <c r="J195"/>
      <c r="K195"/>
      <c r="L195" s="103">
        <f>Z225</f>
        <v>0</v>
      </c>
      <c r="M195"/>
      <c r="N195" s="103">
        <f>AA225</f>
        <v>0</v>
      </c>
    </row>
    <row r="196" spans="1:25" s="672" customFormat="1" x14ac:dyDescent="0.2">
      <c r="A196" s="673"/>
      <c r="E196" s="682" t="s">
        <v>2077</v>
      </c>
      <c r="L196" s="678">
        <f>Z223</f>
        <v>0</v>
      </c>
      <c r="N196" s="678">
        <f>AA223</f>
        <v>0</v>
      </c>
    </row>
    <row r="197" spans="1:25" x14ac:dyDescent="0.2">
      <c r="F197" t="s">
        <v>346</v>
      </c>
      <c r="I197"/>
      <c r="J197"/>
      <c r="K197"/>
      <c r="L197" s="103">
        <f>Z226</f>
        <v>0</v>
      </c>
      <c r="M197"/>
      <c r="N197" s="103">
        <f>AA226</f>
        <v>0</v>
      </c>
    </row>
    <row r="198" spans="1:25" x14ac:dyDescent="0.2">
      <c r="F198" s="521" t="s">
        <v>847</v>
      </c>
      <c r="I198"/>
      <c r="J198"/>
      <c r="K198"/>
      <c r="L198" s="103">
        <f>Z229</f>
        <v>0</v>
      </c>
      <c r="M198"/>
      <c r="N198" s="103">
        <f>AA229</f>
        <v>0</v>
      </c>
    </row>
    <row r="199" spans="1:25" x14ac:dyDescent="0.2">
      <c r="F199" s="521" t="s">
        <v>846</v>
      </c>
      <c r="L199" s="103">
        <f>Z230</f>
        <v>0</v>
      </c>
      <c r="N199" s="103">
        <f>AA230</f>
        <v>0</v>
      </c>
    </row>
    <row r="200" spans="1:25" x14ac:dyDescent="0.2">
      <c r="F200" t="s">
        <v>721</v>
      </c>
      <c r="I200"/>
      <c r="J200"/>
      <c r="K200"/>
      <c r="L200" s="103">
        <f>Z227</f>
        <v>0</v>
      </c>
      <c r="M200"/>
      <c r="N200" s="103">
        <f>AA227</f>
        <v>0</v>
      </c>
    </row>
    <row r="201" spans="1:25" x14ac:dyDescent="0.2">
      <c r="F201" t="s">
        <v>396</v>
      </c>
      <c r="I201"/>
      <c r="J201"/>
      <c r="K201"/>
      <c r="L201" s="103">
        <f>Z228</f>
        <v>0</v>
      </c>
      <c r="M201"/>
      <c r="N201" s="103">
        <f>AA228</f>
        <v>0</v>
      </c>
    </row>
    <row r="202" spans="1:25" s="850" customFormat="1" x14ac:dyDescent="0.2">
      <c r="A202" s="851"/>
      <c r="F202" s="850" t="s">
        <v>267</v>
      </c>
      <c r="L202" s="853">
        <f>Z231</f>
        <v>0</v>
      </c>
      <c r="N202" s="853">
        <f>AA231</f>
        <v>0</v>
      </c>
    </row>
    <row r="203" spans="1:25" s="993" customFormat="1" x14ac:dyDescent="0.2">
      <c r="A203" s="994"/>
      <c r="F203" s="1016" t="s">
        <v>1131</v>
      </c>
      <c r="L203" s="999">
        <f>Z232</f>
        <v>0</v>
      </c>
      <c r="N203" s="999">
        <f>AA232</f>
        <v>0</v>
      </c>
    </row>
    <row r="204" spans="1:25" ht="13.5" thickBot="1" x14ac:dyDescent="0.25">
      <c r="L204" s="105">
        <f>SUM(L185:L203)</f>
        <v>0</v>
      </c>
      <c r="M204" s="37"/>
      <c r="N204" s="105">
        <f>SUM(N185:N203)</f>
        <v>0</v>
      </c>
    </row>
    <row r="205" spans="1:25" ht="13.5" thickTop="1" x14ac:dyDescent="0.2">
      <c r="L205" s="5"/>
      <c r="N205" s="5"/>
    </row>
    <row r="207" spans="1:25" x14ac:dyDescent="0.2">
      <c r="A207" s="1283" t="s">
        <v>453</v>
      </c>
      <c r="B207" s="1283"/>
      <c r="C207" s="1283"/>
      <c r="D207" s="1283"/>
      <c r="E207" s="1283"/>
      <c r="F207" s="1283"/>
      <c r="G207" s="1283"/>
      <c r="H207" s="1283"/>
      <c r="I207" s="1283"/>
      <c r="J207" s="1283"/>
      <c r="K207" s="1283"/>
      <c r="L207" s="1283"/>
      <c r="M207" s="1283"/>
      <c r="N207" s="1283"/>
      <c r="O207" s="1283"/>
      <c r="P207" s="135"/>
      <c r="Q207" s="135"/>
      <c r="R207" s="135"/>
      <c r="S207" s="135"/>
      <c r="T207" s="135"/>
      <c r="U207" s="135"/>
      <c r="V207" s="135"/>
      <c r="W207" s="135"/>
      <c r="X207" s="135"/>
      <c r="Y207" s="135"/>
    </row>
    <row r="208" spans="1:25" x14ac:dyDescent="0.2">
      <c r="A208" s="1283"/>
      <c r="B208" s="1283"/>
      <c r="C208" s="1283"/>
      <c r="D208" s="1283"/>
      <c r="E208" s="1283"/>
      <c r="F208" s="1283"/>
      <c r="G208" s="1283"/>
      <c r="H208" s="1283"/>
      <c r="I208" s="1283"/>
      <c r="J208" s="1283"/>
      <c r="K208" s="1283"/>
      <c r="L208" s="1283"/>
      <c r="M208" s="1283"/>
      <c r="N208" s="1283"/>
      <c r="O208" s="1283"/>
      <c r="P208" s="135"/>
      <c r="Q208" s="135"/>
      <c r="R208" s="135"/>
      <c r="S208" s="135"/>
      <c r="T208" s="135"/>
      <c r="U208" s="135"/>
      <c r="V208" s="135"/>
      <c r="W208" s="135"/>
      <c r="X208" s="135"/>
      <c r="Y208" s="135"/>
    </row>
    <row r="209" spans="1:31" ht="18" x14ac:dyDescent="0.25">
      <c r="A209" s="133"/>
      <c r="B209" s="133"/>
      <c r="C209" s="133"/>
      <c r="D209" s="133"/>
      <c r="E209" s="133"/>
      <c r="F209" s="133"/>
      <c r="G209" s="133"/>
      <c r="H209" s="133"/>
      <c r="I209" s="133"/>
      <c r="J209" s="133"/>
      <c r="K209" s="133"/>
      <c r="L209" s="133"/>
      <c r="M209" s="133"/>
      <c r="N209" s="133"/>
      <c r="O209" s="133"/>
      <c r="P209" s="135"/>
      <c r="Q209" s="135"/>
      <c r="R209" s="135"/>
      <c r="S209" s="135"/>
      <c r="T209" s="135"/>
      <c r="U209" s="135"/>
      <c r="V209" s="135"/>
      <c r="W209" s="135"/>
      <c r="X209" s="135"/>
      <c r="Y209" s="135"/>
    </row>
    <row r="210" spans="1:31" x14ac:dyDescent="0.2">
      <c r="F210" s="1220" t="s">
        <v>722</v>
      </c>
      <c r="G210" s="1221"/>
      <c r="H210" s="1220" t="s">
        <v>723</v>
      </c>
      <c r="I210" s="1224"/>
      <c r="J210" s="1221"/>
      <c r="K210" s="132"/>
      <c r="L210" s="1220" t="s">
        <v>248</v>
      </c>
      <c r="M210" s="1224"/>
      <c r="N210" s="1221"/>
      <c r="O210" s="1260" t="s">
        <v>249</v>
      </c>
      <c r="P210" s="1255"/>
      <c r="Q210" s="1261"/>
      <c r="R210" s="1260" t="s">
        <v>250</v>
      </c>
      <c r="S210" s="1255"/>
      <c r="T210" s="1261"/>
      <c r="U210" s="1260" t="s">
        <v>418</v>
      </c>
      <c r="V210" s="1255"/>
      <c r="W210" s="1278" t="s">
        <v>419</v>
      </c>
      <c r="X210" s="1261"/>
      <c r="Y210" s="366"/>
      <c r="Z210" s="1220" t="s">
        <v>103</v>
      </c>
      <c r="AA210" s="1221"/>
    </row>
    <row r="211" spans="1:31" x14ac:dyDescent="0.2">
      <c r="F211" s="1297" t="s">
        <v>589</v>
      </c>
      <c r="G211" s="1299"/>
      <c r="H211" s="1297" t="s">
        <v>588</v>
      </c>
      <c r="I211" s="1298"/>
      <c r="J211" s="1299"/>
      <c r="K211" s="132"/>
      <c r="L211" s="239"/>
      <c r="M211" s="71"/>
      <c r="N211" s="240"/>
      <c r="O211" s="241"/>
      <c r="P211" s="125"/>
      <c r="Q211" s="242"/>
      <c r="R211" s="241"/>
      <c r="S211" s="125"/>
      <c r="T211" s="242"/>
      <c r="U211" s="125"/>
      <c r="V211" s="125"/>
      <c r="W211" s="241"/>
      <c r="X211" s="242"/>
      <c r="Y211" s="686" t="s">
        <v>13</v>
      </c>
      <c r="Z211" s="239"/>
      <c r="AA211" s="240"/>
    </row>
    <row r="212" spans="1:31" x14ac:dyDescent="0.2">
      <c r="F212" s="95" t="s">
        <v>65</v>
      </c>
      <c r="G212" s="96" t="s">
        <v>66</v>
      </c>
      <c r="H212" s="95" t="s">
        <v>65</v>
      </c>
      <c r="I212" s="93"/>
      <c r="J212" s="137" t="s">
        <v>66</v>
      </c>
      <c r="K212" s="136"/>
      <c r="L212" s="138" t="s">
        <v>65</v>
      </c>
      <c r="M212" s="93"/>
      <c r="N212" s="96" t="s">
        <v>66</v>
      </c>
      <c r="O212" s="138" t="s">
        <v>65</v>
      </c>
      <c r="P212" s="8"/>
      <c r="Q212" s="139" t="s">
        <v>66</v>
      </c>
      <c r="R212" s="138" t="s">
        <v>65</v>
      </c>
      <c r="S212" s="8"/>
      <c r="T212" s="139" t="s">
        <v>66</v>
      </c>
      <c r="U212" s="93" t="s">
        <v>65</v>
      </c>
      <c r="V212" s="93" t="s">
        <v>66</v>
      </c>
      <c r="W212" s="138"/>
      <c r="X212" s="139"/>
      <c r="Y212" s="687" t="s">
        <v>14</v>
      </c>
      <c r="Z212" s="95" t="s">
        <v>65</v>
      </c>
      <c r="AA212" s="96" t="s">
        <v>66</v>
      </c>
    </row>
    <row r="213" spans="1:31" ht="4.5" customHeight="1" x14ac:dyDescent="0.2">
      <c r="Y213" s="367"/>
      <c r="Z213" s="140"/>
      <c r="AA213" s="61"/>
    </row>
    <row r="214" spans="1:31" x14ac:dyDescent="0.2">
      <c r="A214" t="s">
        <v>718</v>
      </c>
      <c r="F214" s="61">
        <f t="shared" ref="F214:F221" si="5">J27+J40</f>
        <v>0</v>
      </c>
      <c r="G214" s="61"/>
      <c r="H214" s="61"/>
      <c r="I214" s="72"/>
      <c r="J214" s="1">
        <f t="shared" ref="J214:J221" si="6">L27+L40</f>
        <v>0</v>
      </c>
      <c r="L214" s="61">
        <f t="shared" ref="L214:L222" si="7">G69+N69-J69</f>
        <v>0</v>
      </c>
      <c r="M214" s="72"/>
      <c r="N214" s="61"/>
      <c r="O214" s="61"/>
      <c r="P214" s="61"/>
      <c r="Q214" s="61"/>
      <c r="R214" s="121">
        <v>0</v>
      </c>
      <c r="S214" s="121"/>
      <c r="T214" s="121"/>
      <c r="U214" s="61">
        <f t="shared" ref="U214:U222" si="8">(G130+L130+J130+O130)-(H130+N130)</f>
        <v>0</v>
      </c>
      <c r="V214" s="61"/>
      <c r="W214" s="61"/>
      <c r="X214" s="61">
        <f t="shared" ref="X214:X221" si="9">N171</f>
        <v>0</v>
      </c>
      <c r="Y214" s="368">
        <f>(F214+H214+L214+R214+O214+U214+W214)-(G214+J214+N214+Q214+T214+V214+X214)</f>
        <v>0</v>
      </c>
      <c r="Z214" s="141">
        <f>IF(Y214&lt;0,0,Y214)</f>
        <v>0</v>
      </c>
      <c r="AA214" s="73">
        <f>IF(Y214&gt;0,0,Y214*-1)</f>
        <v>0</v>
      </c>
      <c r="AB214" s="61"/>
      <c r="AC214" s="61"/>
      <c r="AD214" s="61"/>
      <c r="AE214" s="61"/>
    </row>
    <row r="215" spans="1:31" x14ac:dyDescent="0.2">
      <c r="A215" t="s">
        <v>895</v>
      </c>
      <c r="F215" s="61">
        <f t="shared" si="5"/>
        <v>0</v>
      </c>
      <c r="G215" s="61"/>
      <c r="H215" s="61"/>
      <c r="I215" s="72"/>
      <c r="J215" s="1">
        <f t="shared" si="6"/>
        <v>0</v>
      </c>
      <c r="L215" s="61">
        <f t="shared" si="7"/>
        <v>0</v>
      </c>
      <c r="M215" s="72"/>
      <c r="N215" s="61"/>
      <c r="O215" s="61"/>
      <c r="P215" s="61"/>
      <c r="Q215" s="61"/>
      <c r="R215" s="121">
        <v>0</v>
      </c>
      <c r="S215" s="121"/>
      <c r="T215" s="121"/>
      <c r="U215" s="61">
        <f t="shared" si="8"/>
        <v>0</v>
      </c>
      <c r="V215" s="61"/>
      <c r="W215" s="61"/>
      <c r="X215" s="61">
        <f t="shared" si="9"/>
        <v>0</v>
      </c>
      <c r="Y215" s="368">
        <f t="shared" ref="Y215:Y230" si="10">(F215+H215+L215+R215+O215+U215+W215)-(G215+J215+N215+Q215+T215+V215+X215)</f>
        <v>0</v>
      </c>
      <c r="Z215" s="141">
        <f t="shared" ref="Z215:Z224" si="11">IF(Y215&lt;0,0,Y215)</f>
        <v>0</v>
      </c>
      <c r="AA215" s="73">
        <f t="shared" ref="AA215:AA224" si="12">IF(Y215&gt;0,0,Y215*-1)</f>
        <v>0</v>
      </c>
    </row>
    <row r="216" spans="1:31" x14ac:dyDescent="0.2">
      <c r="A216" t="s">
        <v>896</v>
      </c>
      <c r="F216" s="61">
        <f t="shared" si="5"/>
        <v>0</v>
      </c>
      <c r="G216" s="61"/>
      <c r="H216" s="61"/>
      <c r="I216" s="72"/>
      <c r="J216" s="1">
        <f t="shared" si="6"/>
        <v>0</v>
      </c>
      <c r="L216" s="61">
        <f t="shared" si="7"/>
        <v>0</v>
      </c>
      <c r="M216" s="72"/>
      <c r="N216" s="61"/>
      <c r="O216" s="61"/>
      <c r="P216" s="61"/>
      <c r="Q216" s="61"/>
      <c r="R216" s="121">
        <v>0</v>
      </c>
      <c r="S216" s="121"/>
      <c r="T216" s="121"/>
      <c r="U216" s="61">
        <f t="shared" si="8"/>
        <v>0</v>
      </c>
      <c r="V216" s="61"/>
      <c r="W216" s="61"/>
      <c r="X216" s="61">
        <f t="shared" si="9"/>
        <v>0</v>
      </c>
      <c r="Y216" s="368">
        <f t="shared" si="10"/>
        <v>0</v>
      </c>
      <c r="Z216" s="141">
        <f t="shared" si="11"/>
        <v>0</v>
      </c>
      <c r="AA216" s="73">
        <f t="shared" si="12"/>
        <v>0</v>
      </c>
    </row>
    <row r="217" spans="1:31" x14ac:dyDescent="0.2">
      <c r="A217" t="s">
        <v>481</v>
      </c>
      <c r="F217" s="61">
        <f t="shared" si="5"/>
        <v>0</v>
      </c>
      <c r="G217" s="61"/>
      <c r="H217" s="61"/>
      <c r="I217" s="72"/>
      <c r="J217" s="1">
        <f t="shared" si="6"/>
        <v>0</v>
      </c>
      <c r="L217" s="61">
        <f t="shared" si="7"/>
        <v>0</v>
      </c>
      <c r="M217" s="72"/>
      <c r="N217" s="61"/>
      <c r="O217" s="61"/>
      <c r="P217" s="61"/>
      <c r="Q217" s="61"/>
      <c r="R217" s="121">
        <v>0</v>
      </c>
      <c r="S217" s="121"/>
      <c r="T217" s="121"/>
      <c r="U217" s="61">
        <f t="shared" si="8"/>
        <v>0</v>
      </c>
      <c r="V217" s="61"/>
      <c r="W217" s="61"/>
      <c r="X217" s="61">
        <f t="shared" si="9"/>
        <v>0</v>
      </c>
      <c r="Y217" s="368">
        <f t="shared" si="10"/>
        <v>0</v>
      </c>
      <c r="Z217" s="141">
        <f t="shared" si="11"/>
        <v>0</v>
      </c>
      <c r="AA217" s="73">
        <f t="shared" si="12"/>
        <v>0</v>
      </c>
    </row>
    <row r="218" spans="1:31" x14ac:dyDescent="0.2">
      <c r="A218" t="s">
        <v>470</v>
      </c>
      <c r="F218" s="61">
        <f t="shared" si="5"/>
        <v>0</v>
      </c>
      <c r="G218" s="61"/>
      <c r="H218" s="61"/>
      <c r="I218" s="72"/>
      <c r="J218" s="1">
        <f t="shared" si="6"/>
        <v>0</v>
      </c>
      <c r="L218" s="61">
        <f t="shared" si="7"/>
        <v>0</v>
      </c>
      <c r="M218" s="72"/>
      <c r="N218" s="61"/>
      <c r="O218" s="61"/>
      <c r="P218" s="61"/>
      <c r="Q218" s="61"/>
      <c r="R218" s="121">
        <v>0</v>
      </c>
      <c r="S218" s="121"/>
      <c r="T218" s="121"/>
      <c r="U218" s="61">
        <f t="shared" si="8"/>
        <v>0</v>
      </c>
      <c r="V218" s="61"/>
      <c r="W218" s="61"/>
      <c r="X218" s="61">
        <f t="shared" si="9"/>
        <v>0</v>
      </c>
      <c r="Y218" s="368">
        <f t="shared" si="10"/>
        <v>0</v>
      </c>
      <c r="Z218" s="141">
        <f t="shared" si="11"/>
        <v>0</v>
      </c>
      <c r="AA218" s="73">
        <f t="shared" si="12"/>
        <v>0</v>
      </c>
    </row>
    <row r="219" spans="1:31" x14ac:dyDescent="0.2">
      <c r="A219" t="s">
        <v>377</v>
      </c>
      <c r="F219" s="61">
        <f t="shared" si="5"/>
        <v>0</v>
      </c>
      <c r="G219" s="61"/>
      <c r="H219" s="61"/>
      <c r="I219" s="72"/>
      <c r="J219" s="1">
        <f t="shared" si="6"/>
        <v>0</v>
      </c>
      <c r="L219" s="61">
        <f t="shared" si="7"/>
        <v>0</v>
      </c>
      <c r="M219" s="72"/>
      <c r="N219" s="61"/>
      <c r="O219" s="61"/>
      <c r="P219" s="61"/>
      <c r="Q219" s="61"/>
      <c r="R219" s="121">
        <v>0</v>
      </c>
      <c r="S219" s="121"/>
      <c r="T219" s="121"/>
      <c r="U219" s="61">
        <f t="shared" si="8"/>
        <v>0</v>
      </c>
      <c r="V219" s="61"/>
      <c r="W219" s="61"/>
      <c r="X219" s="61">
        <f t="shared" si="9"/>
        <v>0</v>
      </c>
      <c r="Y219" s="368">
        <f t="shared" si="10"/>
        <v>0</v>
      </c>
      <c r="Z219" s="141">
        <f t="shared" si="11"/>
        <v>0</v>
      </c>
      <c r="AA219" s="73">
        <f t="shared" si="12"/>
        <v>0</v>
      </c>
    </row>
    <row r="220" spans="1:31" x14ac:dyDescent="0.2">
      <c r="A220" t="s">
        <v>926</v>
      </c>
      <c r="F220" s="61">
        <f t="shared" si="5"/>
        <v>0</v>
      </c>
      <c r="G220" s="61"/>
      <c r="H220" s="61"/>
      <c r="I220" s="72"/>
      <c r="J220" s="1">
        <f t="shared" si="6"/>
        <v>0</v>
      </c>
      <c r="L220" s="61">
        <f t="shared" si="7"/>
        <v>0</v>
      </c>
      <c r="M220" s="72"/>
      <c r="N220" s="61"/>
      <c r="O220" s="61"/>
      <c r="P220" s="61"/>
      <c r="Q220" s="61"/>
      <c r="R220" s="121">
        <v>0</v>
      </c>
      <c r="S220" s="121"/>
      <c r="T220" s="121"/>
      <c r="U220" s="61">
        <f t="shared" si="8"/>
        <v>0</v>
      </c>
      <c r="V220" s="61"/>
      <c r="W220" s="61"/>
      <c r="X220" s="61">
        <f t="shared" si="9"/>
        <v>0</v>
      </c>
      <c r="Y220" s="368">
        <f t="shared" si="10"/>
        <v>0</v>
      </c>
      <c r="Z220" s="141">
        <f t="shared" si="11"/>
        <v>0</v>
      </c>
      <c r="AA220" s="73">
        <f t="shared" si="12"/>
        <v>0</v>
      </c>
    </row>
    <row r="221" spans="1:31" x14ac:dyDescent="0.2">
      <c r="A221" s="521" t="s">
        <v>203</v>
      </c>
      <c r="F221" s="61">
        <f t="shared" si="5"/>
        <v>0</v>
      </c>
      <c r="G221" s="61"/>
      <c r="H221" s="61"/>
      <c r="I221" s="72"/>
      <c r="J221" s="1">
        <f t="shared" si="6"/>
        <v>0</v>
      </c>
      <c r="L221" s="61">
        <f t="shared" si="7"/>
        <v>0</v>
      </c>
      <c r="M221" s="72"/>
      <c r="N221" s="61"/>
      <c r="O221" s="61"/>
      <c r="P221" s="61"/>
      <c r="Q221" s="61"/>
      <c r="R221" s="121">
        <f>N108</f>
        <v>0</v>
      </c>
      <c r="S221" s="121"/>
      <c r="T221" s="121"/>
      <c r="U221" s="61">
        <f t="shared" si="8"/>
        <v>0</v>
      </c>
      <c r="V221" s="61"/>
      <c r="W221" s="61"/>
      <c r="X221" s="61">
        <f t="shared" si="9"/>
        <v>0</v>
      </c>
      <c r="Y221" s="368">
        <f t="shared" si="10"/>
        <v>0</v>
      </c>
      <c r="Z221" s="141">
        <f t="shared" si="11"/>
        <v>0</v>
      </c>
      <c r="AA221" s="73">
        <f t="shared" si="12"/>
        <v>0</v>
      </c>
    </row>
    <row r="222" spans="1:31" x14ac:dyDescent="0.2">
      <c r="A222" t="s">
        <v>924</v>
      </c>
      <c r="F222" s="61"/>
      <c r="G222" s="61"/>
      <c r="H222" s="61"/>
      <c r="I222" s="72"/>
      <c r="L222" s="61">
        <f t="shared" si="7"/>
        <v>0</v>
      </c>
      <c r="M222" s="72"/>
      <c r="N222" s="61"/>
      <c r="O222" s="61"/>
      <c r="P222" s="61"/>
      <c r="Q222" s="61"/>
      <c r="R222" s="121"/>
      <c r="S222" s="121"/>
      <c r="T222" s="121"/>
      <c r="U222" s="61">
        <f t="shared" si="8"/>
        <v>0</v>
      </c>
      <c r="V222" s="61"/>
      <c r="W222" s="61"/>
      <c r="X222" s="61"/>
      <c r="Y222" s="368">
        <f t="shared" si="10"/>
        <v>0</v>
      </c>
      <c r="Z222" s="141">
        <f t="shared" si="11"/>
        <v>0</v>
      </c>
      <c r="AA222" s="73">
        <f t="shared" si="12"/>
        <v>0</v>
      </c>
    </row>
    <row r="223" spans="1:31" s="672" customFormat="1" x14ac:dyDescent="0.2">
      <c r="A223" s="682" t="s">
        <v>2077</v>
      </c>
      <c r="F223" s="61"/>
      <c r="G223" s="61"/>
      <c r="H223" s="61"/>
      <c r="I223" s="72"/>
      <c r="J223" s="1"/>
      <c r="K223" s="1"/>
      <c r="L223" s="61"/>
      <c r="M223" s="72"/>
      <c r="N223" s="61"/>
      <c r="O223" s="61"/>
      <c r="P223" s="61"/>
      <c r="Q223" s="61"/>
      <c r="R223" s="121"/>
      <c r="S223" s="121"/>
      <c r="T223" s="121"/>
      <c r="U223" s="61"/>
      <c r="V223" s="61"/>
      <c r="W223" s="61">
        <f>L170</f>
        <v>0</v>
      </c>
      <c r="X223" s="61"/>
      <c r="Y223" s="368">
        <f t="shared" si="10"/>
        <v>0</v>
      </c>
      <c r="Z223" s="141">
        <f>IF(Y223&lt;0,0,Y223)</f>
        <v>0</v>
      </c>
      <c r="AA223" s="73">
        <f>IF(Y223&gt;0,0,Y223*-1)</f>
        <v>0</v>
      </c>
    </row>
    <row r="224" spans="1:31" x14ac:dyDescent="0.2">
      <c r="A224" t="s">
        <v>925</v>
      </c>
      <c r="F224" s="61">
        <f>J36+J49</f>
        <v>0</v>
      </c>
      <c r="G224" s="61"/>
      <c r="H224" s="61"/>
      <c r="I224" s="72"/>
      <c r="L224" s="61">
        <f>G78+N78-J78</f>
        <v>0</v>
      </c>
      <c r="M224" s="72"/>
      <c r="N224" s="61"/>
      <c r="O224" s="61"/>
      <c r="P224" s="61"/>
      <c r="Q224" s="61"/>
      <c r="R224" s="121"/>
      <c r="S224" s="121"/>
      <c r="T224" s="121"/>
      <c r="U224" s="61">
        <f>(G139+L139+J139+O139)-(H139+N139)</f>
        <v>0</v>
      </c>
      <c r="V224" s="61"/>
      <c r="W224" s="61"/>
      <c r="X224" s="61"/>
      <c r="Y224" s="368">
        <f t="shared" si="10"/>
        <v>0</v>
      </c>
      <c r="Z224" s="141">
        <f t="shared" si="11"/>
        <v>0</v>
      </c>
      <c r="AA224" s="73">
        <f t="shared" si="12"/>
        <v>0</v>
      </c>
    </row>
    <row r="225" spans="1:27" x14ac:dyDescent="0.2">
      <c r="A225" t="s">
        <v>345</v>
      </c>
      <c r="F225" s="61"/>
      <c r="G225" s="61">
        <f>J35+J48</f>
        <v>0</v>
      </c>
      <c r="H225" s="61">
        <f>L35+L48</f>
        <v>0</v>
      </c>
      <c r="I225" s="72"/>
      <c r="L225" s="61"/>
      <c r="M225" s="72"/>
      <c r="N225" s="61"/>
      <c r="O225" s="61"/>
      <c r="P225" s="61"/>
      <c r="Q225" s="61"/>
      <c r="R225" s="121"/>
      <c r="S225" s="121"/>
      <c r="T225" s="121"/>
      <c r="U225" s="61"/>
      <c r="V225" s="61"/>
      <c r="W225" s="61"/>
      <c r="X225" s="61"/>
      <c r="Y225" s="368">
        <f t="shared" si="10"/>
        <v>0</v>
      </c>
      <c r="Z225" s="370">
        <f t="shared" ref="Z225:Z231" si="13">IF(Y225&lt;0,0,Y225)</f>
        <v>0</v>
      </c>
      <c r="AA225" s="121">
        <f t="shared" ref="AA225:AA231" si="14">IF(Y225&gt;0,0,Y225*-1)</f>
        <v>0</v>
      </c>
    </row>
    <row r="226" spans="1:27" x14ac:dyDescent="0.2">
      <c r="A226" t="s">
        <v>346</v>
      </c>
      <c r="F226" s="61"/>
      <c r="G226" s="61"/>
      <c r="H226" s="61"/>
      <c r="I226" s="72"/>
      <c r="L226" s="61"/>
      <c r="M226" s="72"/>
      <c r="N226" s="61">
        <f>N56+N60-N58</f>
        <v>0</v>
      </c>
      <c r="O226" s="61"/>
      <c r="P226" s="61"/>
      <c r="Q226" s="61"/>
      <c r="R226" s="121"/>
      <c r="S226" s="121"/>
      <c r="T226" s="121"/>
      <c r="U226" s="61"/>
      <c r="V226" s="61"/>
      <c r="W226" s="61"/>
      <c r="X226" s="61"/>
      <c r="Y226" s="368">
        <f t="shared" si="10"/>
        <v>0</v>
      </c>
      <c r="Z226" s="370">
        <f t="shared" si="13"/>
        <v>0</v>
      </c>
      <c r="AA226" s="121">
        <f t="shared" si="14"/>
        <v>0</v>
      </c>
    </row>
    <row r="227" spans="1:27" x14ac:dyDescent="0.2">
      <c r="A227" t="s">
        <v>721</v>
      </c>
      <c r="F227" s="61"/>
      <c r="G227" s="61"/>
      <c r="H227" s="61"/>
      <c r="I227" s="72"/>
      <c r="L227" s="61"/>
      <c r="M227" s="72"/>
      <c r="N227" s="61"/>
      <c r="O227" s="61">
        <f>IF(N87&lt;0,-N87,0)</f>
        <v>0</v>
      </c>
      <c r="P227" s="61"/>
      <c r="Q227" s="61">
        <f>IF(N87&gt;0,N87,0)</f>
        <v>0</v>
      </c>
      <c r="R227" s="121"/>
      <c r="S227" s="121"/>
      <c r="T227" s="121"/>
      <c r="U227" s="61"/>
      <c r="V227" s="61"/>
      <c r="W227" s="61"/>
      <c r="X227" s="61"/>
      <c r="Y227" s="368">
        <f t="shared" si="10"/>
        <v>0</v>
      </c>
      <c r="Z227" s="370">
        <f t="shared" si="13"/>
        <v>0</v>
      </c>
      <c r="AA227" s="121">
        <f t="shared" si="14"/>
        <v>0</v>
      </c>
    </row>
    <row r="228" spans="1:27" x14ac:dyDescent="0.2">
      <c r="A228" t="s">
        <v>396</v>
      </c>
      <c r="F228" s="61"/>
      <c r="G228" s="61"/>
      <c r="H228" s="61"/>
      <c r="I228" s="72"/>
      <c r="L228" s="61"/>
      <c r="M228" s="72"/>
      <c r="N228" s="61"/>
      <c r="O228" s="61"/>
      <c r="P228" s="61"/>
      <c r="Q228" s="61"/>
      <c r="R228" s="121">
        <f>N93</f>
        <v>0</v>
      </c>
      <c r="S228" s="121"/>
      <c r="T228" s="121">
        <v>0</v>
      </c>
      <c r="U228" s="61"/>
      <c r="V228" s="61"/>
      <c r="W228" s="61"/>
      <c r="X228" s="61"/>
      <c r="Y228" s="368">
        <f t="shared" si="10"/>
        <v>0</v>
      </c>
      <c r="Z228" s="370">
        <f t="shared" si="13"/>
        <v>0</v>
      </c>
      <c r="AA228" s="121">
        <f>IF(Y228&gt;0,0,Y228*-1)</f>
        <v>0</v>
      </c>
    </row>
    <row r="229" spans="1:27" x14ac:dyDescent="0.2">
      <c r="A229" s="521" t="s">
        <v>847</v>
      </c>
      <c r="F229" s="61"/>
      <c r="G229" s="61"/>
      <c r="H229" s="61"/>
      <c r="I229" s="72"/>
      <c r="L229" s="61"/>
      <c r="M229" s="72"/>
      <c r="N229" s="61"/>
      <c r="O229" s="61"/>
      <c r="P229" s="61"/>
      <c r="Q229" s="61"/>
      <c r="R229" s="121"/>
      <c r="S229" s="121"/>
      <c r="T229" s="121"/>
      <c r="U229" s="61"/>
      <c r="V229" s="61">
        <f>N116+N120-N118</f>
        <v>0</v>
      </c>
      <c r="W229" s="61"/>
      <c r="X229" s="61"/>
      <c r="Y229" s="368">
        <f t="shared" si="10"/>
        <v>0</v>
      </c>
      <c r="Z229" s="370">
        <f t="shared" si="13"/>
        <v>0</v>
      </c>
      <c r="AA229" s="121">
        <f t="shared" si="14"/>
        <v>0</v>
      </c>
    </row>
    <row r="230" spans="1:27" x14ac:dyDescent="0.2">
      <c r="A230" s="521" t="s">
        <v>846</v>
      </c>
      <c r="F230" s="61"/>
      <c r="G230" s="61"/>
      <c r="H230" s="61"/>
      <c r="I230" s="72"/>
      <c r="L230" s="61"/>
      <c r="M230" s="72"/>
      <c r="N230" s="61"/>
      <c r="O230" s="61"/>
      <c r="P230" s="61"/>
      <c r="Q230" s="61"/>
      <c r="R230" s="121"/>
      <c r="S230" s="121"/>
      <c r="T230" s="121"/>
      <c r="U230" s="61"/>
      <c r="V230" s="61">
        <f>O116+O120-O118</f>
        <v>0</v>
      </c>
      <c r="W230" s="61"/>
      <c r="X230" s="61"/>
      <c r="Y230" s="368">
        <f t="shared" si="10"/>
        <v>0</v>
      </c>
      <c r="Z230" s="370">
        <f t="shared" si="13"/>
        <v>0</v>
      </c>
      <c r="AA230" s="121">
        <f t="shared" si="14"/>
        <v>0</v>
      </c>
    </row>
    <row r="231" spans="1:27" x14ac:dyDescent="0.2">
      <c r="A231" t="s">
        <v>267</v>
      </c>
      <c r="F231" s="61"/>
      <c r="G231" s="61"/>
      <c r="H231" s="61"/>
      <c r="I231" s="72"/>
      <c r="L231" s="61"/>
      <c r="M231" s="72"/>
      <c r="N231" s="61"/>
      <c r="O231" s="61"/>
      <c r="P231" s="61"/>
      <c r="Q231" s="61">
        <f>-N87</f>
        <v>0</v>
      </c>
      <c r="R231" s="121"/>
      <c r="S231" s="121"/>
      <c r="U231" s="61"/>
      <c r="V231" s="61"/>
      <c r="W231" s="61"/>
      <c r="X231" s="61"/>
      <c r="Y231" s="368">
        <f>(F231+H231+L231+R231+O231+U231+W231)-(G231+J231+N231+Q231+T231+V231+X231)</f>
        <v>0</v>
      </c>
      <c r="Z231" s="370">
        <f t="shared" si="13"/>
        <v>0</v>
      </c>
      <c r="AA231" s="121">
        <f t="shared" si="14"/>
        <v>0</v>
      </c>
    </row>
    <row r="232" spans="1:27" s="993" customFormat="1" x14ac:dyDescent="0.2">
      <c r="A232" s="682" t="s">
        <v>1131</v>
      </c>
      <c r="F232" s="61"/>
      <c r="G232" s="61"/>
      <c r="H232" s="61"/>
      <c r="I232" s="72"/>
      <c r="J232" s="1"/>
      <c r="K232" s="1"/>
      <c r="L232" s="61"/>
      <c r="M232" s="72"/>
      <c r="N232" s="61"/>
      <c r="O232" s="61"/>
      <c r="P232" s="61"/>
      <c r="Q232" s="61"/>
      <c r="R232" s="121"/>
      <c r="S232" s="121"/>
      <c r="T232" s="121">
        <f>N93</f>
        <v>0</v>
      </c>
      <c r="U232" s="61"/>
      <c r="V232" s="61"/>
      <c r="W232" s="61"/>
      <c r="X232" s="61"/>
      <c r="Y232" s="368">
        <f>(F232+H232+L232+R232+O232+U232+W232)-(G232+J232+N232+Q232+T232+V232+X232)</f>
        <v>0</v>
      </c>
      <c r="Z232" s="370">
        <f>IF(Y232&lt;0,0,Y232)</f>
        <v>0</v>
      </c>
      <c r="AA232" s="121">
        <f>IF(Y232&gt;0,0,Y232*-1)</f>
        <v>0</v>
      </c>
    </row>
    <row r="233" spans="1:27" ht="13.5" thickBot="1" x14ac:dyDescent="0.25">
      <c r="F233" s="134">
        <f>SUM(F214:F231)</f>
        <v>0</v>
      </c>
      <c r="G233" s="134">
        <f>SUM(G214:G231)</f>
        <v>0</v>
      </c>
      <c r="H233" s="134">
        <f>SUM(H214:H231)</f>
        <v>0</v>
      </c>
      <c r="I233" s="134">
        <f>SUM(I214:I229)</f>
        <v>0</v>
      </c>
      <c r="J233" s="37">
        <f>SUM(J214:J231)</f>
        <v>0</v>
      </c>
      <c r="K233" s="134"/>
      <c r="L233" s="37">
        <f>SUM(L214:L231)</f>
        <v>0</v>
      </c>
      <c r="M233" s="134">
        <f>SUM(M214:M231)</f>
        <v>0</v>
      </c>
      <c r="N233" s="37">
        <f>SUM(N214:N231)</f>
        <v>0</v>
      </c>
      <c r="O233" s="37">
        <f>SUM(O208:O231)</f>
        <v>0</v>
      </c>
      <c r="P233" s="37"/>
      <c r="Q233" s="37">
        <f t="shared" ref="Q233:Y233" si="15">SUM(Q214:Q231)</f>
        <v>0</v>
      </c>
      <c r="R233" s="623">
        <f>SUM(R208:R231)</f>
        <v>0</v>
      </c>
      <c r="S233" s="623"/>
      <c r="T233" s="623">
        <f>SUM(T214:T232)</f>
        <v>0</v>
      </c>
      <c r="U233" s="37">
        <f t="shared" si="15"/>
        <v>0</v>
      </c>
      <c r="V233" s="37">
        <f t="shared" si="15"/>
        <v>0</v>
      </c>
      <c r="W233" s="37"/>
      <c r="X233" s="37"/>
      <c r="Y233" s="369">
        <f t="shared" si="15"/>
        <v>0</v>
      </c>
      <c r="Z233" s="142">
        <f>SUM(Z214:Z232)</f>
        <v>0</v>
      </c>
      <c r="AA233" s="37">
        <f>SUM(AA214:AA232)</f>
        <v>0</v>
      </c>
    </row>
    <row r="234" spans="1:27" ht="13.5" thickTop="1" x14ac:dyDescent="0.2"/>
  </sheetData>
  <mergeCells count="62">
    <mergeCell ref="L142:L144"/>
    <mergeCell ref="R210:T210"/>
    <mergeCell ref="B183:O183"/>
    <mergeCell ref="B111:O111"/>
    <mergeCell ref="G142:G144"/>
    <mergeCell ref="H142:H144"/>
    <mergeCell ref="J142:J144"/>
    <mergeCell ref="C116:J116"/>
    <mergeCell ref="L210:N210"/>
    <mergeCell ref="O210:Q210"/>
    <mergeCell ref="P120:P121"/>
    <mergeCell ref="L128:O128"/>
    <mergeCell ref="N120:N121"/>
    <mergeCell ref="O120:O121"/>
    <mergeCell ref="L120:L121"/>
    <mergeCell ref="C147:J147"/>
    <mergeCell ref="C96:N97"/>
    <mergeCell ref="O60:O61"/>
    <mergeCell ref="B90:O90"/>
    <mergeCell ref="H211:J211"/>
    <mergeCell ref="F211:G211"/>
    <mergeCell ref="F210:G210"/>
    <mergeCell ref="C120:J121"/>
    <mergeCell ref="C118:J118"/>
    <mergeCell ref="H210:J210"/>
    <mergeCell ref="G128:J128"/>
    <mergeCell ref="B145:O145"/>
    <mergeCell ref="C169:J169"/>
    <mergeCell ref="N142:N144"/>
    <mergeCell ref="O142:O144"/>
    <mergeCell ref="C125:L126"/>
    <mergeCell ref="C100:L100"/>
    <mergeCell ref="O75:O78"/>
    <mergeCell ref="C93:L94"/>
    <mergeCell ref="N93:N94"/>
    <mergeCell ref="L75:L78"/>
    <mergeCell ref="F87:L87"/>
    <mergeCell ref="B81:O81"/>
    <mergeCell ref="A2:P2"/>
    <mergeCell ref="B4:P4"/>
    <mergeCell ref="B22:O22"/>
    <mergeCell ref="C9:O10"/>
    <mergeCell ref="C12:O13"/>
    <mergeCell ref="C6:O7"/>
    <mergeCell ref="C15:O16"/>
    <mergeCell ref="C21:O21"/>
    <mergeCell ref="W210:X210"/>
    <mergeCell ref="Z210:AA210"/>
    <mergeCell ref="U210:V210"/>
    <mergeCell ref="C66:L67"/>
    <mergeCell ref="C18:O19"/>
    <mergeCell ref="C84:L85"/>
    <mergeCell ref="N84:N85"/>
    <mergeCell ref="J24:L24"/>
    <mergeCell ref="J37:L37"/>
    <mergeCell ref="B51:O51"/>
    <mergeCell ref="A207:O208"/>
    <mergeCell ref="N60:N61"/>
    <mergeCell ref="C60:J62"/>
    <mergeCell ref="H75:H78"/>
    <mergeCell ref="O107:P109"/>
    <mergeCell ref="E98:K98"/>
  </mergeCells>
  <phoneticPr fontId="13" type="noConversion"/>
  <printOptions horizontalCentered="1"/>
  <pageMargins left="0.51" right="0.33" top="0.66" bottom="0.5" header="0.5" footer="0.5"/>
  <pageSetup scale="87" fitToHeight="0" orientation="portrait" r:id="rId1"/>
  <headerFooter alignWithMargins="0">
    <oddHeader>&amp;R&amp;"Arial,Bold"&amp;12Entry J</oddHeader>
    <oddFooter>&amp;L&amp;8&amp;D - City model&amp;R&amp;P</oddFooter>
  </headerFooter>
  <rowBreaks count="3" manualBreakCount="3">
    <brk id="49" max="15" man="1"/>
    <brk id="88" max="15" man="1"/>
    <brk id="109" max="15" man="1"/>
  </rowBreaks>
  <ignoredErrors>
    <ignoredError sqref="B93 B12 B6 B9 B100" numberStoredAsText="1"/>
  </ignoredErrors>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M230"/>
  <sheetViews>
    <sheetView topLeftCell="A11" zoomScaleNormal="100" workbookViewId="0">
      <selection activeCell="E43" sqref="E43"/>
    </sheetView>
  </sheetViews>
  <sheetFormatPr defaultRowHeight="12.75" x14ac:dyDescent="0.2"/>
  <cols>
    <col min="1" max="1" width="3.42578125" style="4" customWidth="1"/>
    <col min="2" max="2" width="2.28515625" customWidth="1"/>
    <col min="3" max="3" width="36.7109375" customWidth="1"/>
    <col min="4" max="4" width="13.7109375" bestFit="1" customWidth="1"/>
    <col min="5" max="5" width="15.7109375" customWidth="1"/>
    <col min="6" max="6" width="3.42578125" customWidth="1"/>
    <col min="7" max="7" width="15.7109375" customWidth="1"/>
    <col min="8" max="8" width="2.7109375" customWidth="1"/>
    <col min="9" max="9" width="36" customWidth="1"/>
    <col min="10" max="10" width="3.42578125" customWidth="1"/>
    <col min="11" max="13" width="15.7109375" customWidth="1"/>
  </cols>
  <sheetData>
    <row r="1" spans="1:13" s="191" customFormat="1" ht="15" x14ac:dyDescent="0.25">
      <c r="A1" s="226"/>
      <c r="C1" s="1329"/>
      <c r="D1" s="1329"/>
      <c r="E1" s="1277"/>
      <c r="F1" s="1277"/>
      <c r="G1" s="1277"/>
      <c r="H1" s="1277"/>
      <c r="I1" s="1277"/>
    </row>
    <row r="2" spans="1:13" s="191" customFormat="1" ht="15" customHeight="1" x14ac:dyDescent="0.25">
      <c r="A2" s="226"/>
      <c r="B2" s="1331" t="s">
        <v>567</v>
      </c>
      <c r="C2" s="1332"/>
      <c r="D2" s="1332"/>
      <c r="E2" s="1332"/>
      <c r="F2" s="1332"/>
      <c r="G2" s="1332"/>
      <c r="H2" s="1332"/>
      <c r="I2" s="1333"/>
    </row>
    <row r="3" spans="1:13" s="191" customFormat="1" ht="24" customHeight="1" x14ac:dyDescent="0.25">
      <c r="A3" s="226"/>
      <c r="B3" s="1334"/>
      <c r="C3" s="1335"/>
      <c r="D3" s="1335"/>
      <c r="E3" s="1335"/>
      <c r="F3" s="1335"/>
      <c r="G3" s="1335"/>
      <c r="H3" s="1335"/>
      <c r="I3" s="1336"/>
    </row>
    <row r="4" spans="1:13" s="191" customFormat="1" ht="6" customHeight="1" x14ac:dyDescent="0.25">
      <c r="A4" s="226"/>
      <c r="B4" s="480"/>
      <c r="C4" s="480"/>
      <c r="D4" s="480"/>
      <c r="E4" s="480"/>
      <c r="F4" s="480"/>
      <c r="G4" s="480"/>
      <c r="H4" s="480"/>
      <c r="I4" s="480"/>
      <c r="J4" s="481"/>
      <c r="K4" s="481"/>
      <c r="L4" s="481"/>
      <c r="M4" s="481"/>
    </row>
    <row r="5" spans="1:13" ht="12.75" customHeight="1" x14ac:dyDescent="0.2">
      <c r="C5" s="192"/>
      <c r="D5" s="192"/>
      <c r="E5" s="193"/>
      <c r="F5" s="193"/>
      <c r="G5" s="193"/>
      <c r="H5" s="193"/>
      <c r="I5" s="193"/>
    </row>
    <row r="6" spans="1:13" ht="12.75" customHeight="1" x14ac:dyDescent="0.2">
      <c r="C6" s="192"/>
      <c r="D6" s="192"/>
      <c r="E6" s="193"/>
      <c r="F6" s="193"/>
      <c r="G6" s="193"/>
      <c r="H6" s="193"/>
      <c r="I6" s="193"/>
    </row>
    <row r="7" spans="1:13" ht="12.75" customHeight="1" x14ac:dyDescent="0.2">
      <c r="C7" s="192"/>
      <c r="D7" s="192"/>
      <c r="E7" s="193"/>
      <c r="F7" s="193"/>
      <c r="G7" s="193"/>
      <c r="H7" s="193"/>
      <c r="I7" s="193"/>
    </row>
    <row r="8" spans="1:13" ht="12.75" customHeight="1" x14ac:dyDescent="0.2">
      <c r="C8" s="192"/>
      <c r="D8" s="192"/>
      <c r="E8" s="193"/>
      <c r="F8" s="193"/>
      <c r="G8" s="193"/>
      <c r="H8" s="193"/>
      <c r="I8" s="193"/>
    </row>
    <row r="9" spans="1:13" ht="12.75" customHeight="1" x14ac:dyDescent="0.2">
      <c r="C9" s="192"/>
      <c r="D9" s="192"/>
      <c r="E9" s="193"/>
      <c r="F9" s="193"/>
      <c r="G9" s="193"/>
      <c r="H9" s="193"/>
      <c r="I9" s="193"/>
    </row>
    <row r="10" spans="1:13" ht="12.75" customHeight="1" x14ac:dyDescent="0.2">
      <c r="C10" s="192"/>
      <c r="D10" s="192"/>
      <c r="E10" s="193"/>
      <c r="F10" s="193"/>
      <c r="G10" s="193"/>
      <c r="H10" s="193"/>
      <c r="I10" s="193"/>
    </row>
    <row r="11" spans="1:13" ht="12.75" customHeight="1" x14ac:dyDescent="0.2">
      <c r="C11" s="192"/>
      <c r="D11" s="192"/>
      <c r="E11" s="193"/>
      <c r="F11" s="193"/>
      <c r="G11" s="193"/>
      <c r="H11" s="193"/>
      <c r="I11" s="193"/>
    </row>
    <row r="12" spans="1:13" ht="12.75" customHeight="1" x14ac:dyDescent="0.2">
      <c r="C12" s="192"/>
      <c r="D12" s="192"/>
      <c r="E12" s="193"/>
      <c r="F12" s="193"/>
      <c r="G12" s="193"/>
      <c r="H12" s="193"/>
      <c r="I12" s="193"/>
    </row>
    <row r="13" spans="1:13" ht="9" customHeight="1" x14ac:dyDescent="0.2">
      <c r="C13" s="192"/>
      <c r="D13" s="192"/>
      <c r="E13" s="193"/>
      <c r="F13" s="193"/>
      <c r="G13" s="193"/>
      <c r="H13" s="193"/>
      <c r="I13" s="193"/>
    </row>
    <row r="14" spans="1:13" ht="12.6" customHeight="1" x14ac:dyDescent="0.2">
      <c r="C14" s="192"/>
      <c r="D14" s="192"/>
      <c r="E14" s="193"/>
      <c r="F14" s="193"/>
      <c r="G14" s="193"/>
      <c r="H14" s="193"/>
      <c r="I14" s="193"/>
    </row>
    <row r="15" spans="1:13" ht="12" customHeight="1" x14ac:dyDescent="0.2">
      <c r="B15" s="64" t="s">
        <v>947</v>
      </c>
      <c r="C15" s="1337" t="s">
        <v>800</v>
      </c>
      <c r="D15" s="1337"/>
      <c r="E15" s="1337"/>
      <c r="F15" s="1337"/>
      <c r="G15" s="1337"/>
      <c r="H15" s="1337"/>
      <c r="I15" s="1337"/>
      <c r="J15" s="227"/>
    </row>
    <row r="16" spans="1:13" ht="26.25" customHeight="1" x14ac:dyDescent="0.2">
      <c r="C16" s="1337"/>
      <c r="D16" s="1337"/>
      <c r="E16" s="1337"/>
      <c r="F16" s="1337"/>
      <c r="G16" s="1337"/>
      <c r="H16" s="1337"/>
      <c r="I16" s="1337"/>
      <c r="J16" s="227"/>
    </row>
    <row r="17" spans="2:9" ht="4.5" customHeight="1" x14ac:dyDescent="0.2"/>
    <row r="18" spans="2:9" ht="12.75" customHeight="1" x14ac:dyDescent="0.2">
      <c r="B18" s="64" t="s">
        <v>948</v>
      </c>
      <c r="C18" s="227"/>
      <c r="D18" s="227"/>
      <c r="E18" s="227"/>
      <c r="F18" s="227"/>
      <c r="G18" s="227"/>
      <c r="H18" s="227"/>
      <c r="I18" s="227"/>
    </row>
    <row r="19" spans="2:9" ht="12.75" customHeight="1" x14ac:dyDescent="0.2">
      <c r="C19" s="227"/>
      <c r="D19" s="227"/>
      <c r="E19" s="227"/>
      <c r="F19" s="227"/>
      <c r="G19" s="227"/>
      <c r="H19" s="227"/>
      <c r="I19" s="227"/>
    </row>
    <row r="20" spans="2:9" ht="12.75" customHeight="1" x14ac:dyDescent="0.2">
      <c r="C20" s="227"/>
      <c r="D20" s="227"/>
      <c r="E20" s="227"/>
      <c r="F20" s="227"/>
      <c r="G20" s="227"/>
      <c r="H20" s="227"/>
      <c r="I20" s="227"/>
    </row>
    <row r="21" spans="2:9" ht="12.75" customHeight="1" x14ac:dyDescent="0.2">
      <c r="C21" s="227"/>
      <c r="D21" s="227"/>
      <c r="E21" s="227"/>
      <c r="F21" s="227"/>
      <c r="G21" s="227"/>
      <c r="H21" s="227"/>
      <c r="I21" s="227"/>
    </row>
    <row r="22" spans="2:9" ht="12.75" customHeight="1" x14ac:dyDescent="0.2">
      <c r="C22" s="227"/>
      <c r="D22" s="227"/>
      <c r="E22" s="227"/>
      <c r="F22" s="227"/>
      <c r="G22" s="227"/>
      <c r="H22" s="227"/>
      <c r="I22" s="227"/>
    </row>
    <row r="23" spans="2:9" ht="4.5" customHeight="1" x14ac:dyDescent="0.2"/>
    <row r="24" spans="2:9" ht="12" customHeight="1" x14ac:dyDescent="0.2">
      <c r="B24" s="64" t="s">
        <v>949</v>
      </c>
      <c r="C24" s="1136" t="s">
        <v>1107</v>
      </c>
      <c r="D24" s="1123"/>
      <c r="E24" s="1123"/>
      <c r="F24" s="1123"/>
      <c r="G24" s="1123"/>
      <c r="H24" s="1123"/>
      <c r="I24" s="1123"/>
    </row>
    <row r="25" spans="2:9" ht="12.75" hidden="1" customHeight="1" x14ac:dyDescent="0.2">
      <c r="C25" s="1123"/>
      <c r="D25" s="1123"/>
      <c r="E25" s="1123"/>
      <c r="F25" s="1123"/>
      <c r="G25" s="1123"/>
      <c r="H25" s="1123"/>
      <c r="I25" s="1123"/>
    </row>
    <row r="26" spans="2:9" ht="4.5" customHeight="1" x14ac:dyDescent="0.2"/>
    <row r="27" spans="2:9" ht="12.75" hidden="1" customHeight="1" x14ac:dyDescent="0.2">
      <c r="B27" s="64"/>
      <c r="C27" s="1123"/>
      <c r="D27" s="1123"/>
      <c r="E27" s="1123"/>
      <c r="F27" s="1123"/>
      <c r="G27" s="1123"/>
      <c r="H27" s="1123"/>
      <c r="I27" s="1123"/>
    </row>
    <row r="28" spans="2:9" ht="12.75" customHeight="1" x14ac:dyDescent="0.2">
      <c r="B28" s="64" t="s">
        <v>878</v>
      </c>
      <c r="C28" s="1136" t="s">
        <v>1108</v>
      </c>
      <c r="D28" s="1126"/>
      <c r="E28" s="1126"/>
      <c r="F28" s="1126"/>
      <c r="G28" s="1126"/>
      <c r="H28" s="1126"/>
      <c r="I28" s="1126"/>
    </row>
    <row r="29" spans="2:9" ht="12.75" customHeight="1" x14ac:dyDescent="0.2">
      <c r="B29" s="64"/>
      <c r="C29" s="1126"/>
      <c r="D29" s="1126"/>
      <c r="E29" s="1126"/>
      <c r="F29" s="1126"/>
      <c r="G29" s="1126"/>
      <c r="H29" s="1126"/>
      <c r="I29" s="1126"/>
    </row>
    <row r="30" spans="2:9" ht="4.5" customHeight="1" x14ac:dyDescent="0.2">
      <c r="B30" s="64"/>
    </row>
    <row r="31" spans="2:9" ht="12.75" customHeight="1" x14ac:dyDescent="0.2">
      <c r="B31" s="64" t="s">
        <v>879</v>
      </c>
      <c r="C31" s="1337" t="s">
        <v>264</v>
      </c>
      <c r="D31" s="1337"/>
      <c r="E31" s="1337"/>
      <c r="F31" s="1337"/>
      <c r="G31" s="1337"/>
      <c r="H31" s="1337"/>
      <c r="I31" s="1337"/>
    </row>
    <row r="32" spans="2:9" ht="26.25" customHeight="1" x14ac:dyDescent="0.2">
      <c r="B32" s="64"/>
      <c r="C32" s="1337"/>
      <c r="D32" s="1337"/>
      <c r="E32" s="1337"/>
      <c r="F32" s="1337"/>
      <c r="G32" s="1337"/>
      <c r="H32" s="1337"/>
      <c r="I32" s="1337"/>
    </row>
    <row r="33" spans="1:13" ht="17.25" customHeight="1" thickBot="1" x14ac:dyDescent="0.25"/>
    <row r="34" spans="1:13" ht="33.75" customHeight="1" thickTop="1" thickBot="1" x14ac:dyDescent="0.3">
      <c r="C34" s="1320" t="s">
        <v>270</v>
      </c>
      <c r="D34" s="1321"/>
      <c r="E34" s="1321"/>
      <c r="F34" s="1321"/>
      <c r="G34" s="1321"/>
      <c r="H34" s="1321"/>
      <c r="I34" s="1322"/>
    </row>
    <row r="35" spans="1:13" ht="24" customHeight="1" thickTop="1" x14ac:dyDescent="0.2"/>
    <row r="36" spans="1:13" ht="17.25" customHeight="1" x14ac:dyDescent="0.2">
      <c r="A36" s="4" t="s">
        <v>876</v>
      </c>
      <c r="B36" s="1314" t="s">
        <v>611</v>
      </c>
      <c r="C36" s="1315"/>
      <c r="D36" s="1315"/>
      <c r="E36" s="1315"/>
      <c r="F36" s="1315"/>
      <c r="G36" s="1315"/>
      <c r="H36" s="1315"/>
      <c r="I36" s="1316"/>
    </row>
    <row r="37" spans="1:13" ht="22.5" customHeight="1" x14ac:dyDescent="0.2">
      <c r="B37" s="1317"/>
      <c r="C37" s="1318"/>
      <c r="D37" s="1318"/>
      <c r="E37" s="1318"/>
      <c r="F37" s="1318"/>
      <c r="G37" s="1318"/>
      <c r="H37" s="1318"/>
      <c r="I37" s="1319"/>
    </row>
    <row r="38" spans="1:13" ht="24" customHeight="1" x14ac:dyDescent="0.2">
      <c r="C38" s="194"/>
      <c r="D38" s="194"/>
      <c r="E38" s="11"/>
      <c r="F38" s="11"/>
      <c r="G38" s="11"/>
      <c r="H38" s="11"/>
      <c r="I38" s="195"/>
    </row>
    <row r="39" spans="1:13" x14ac:dyDescent="0.2">
      <c r="C39" s="1330" t="s">
        <v>986</v>
      </c>
      <c r="D39" s="1330"/>
      <c r="E39" s="1330"/>
      <c r="F39" s="1330"/>
      <c r="G39" s="1330"/>
      <c r="H39" s="82"/>
      <c r="I39" s="82"/>
      <c r="J39" s="82"/>
      <c r="K39" s="82"/>
      <c r="L39" s="82"/>
      <c r="M39" s="82"/>
    </row>
    <row r="40" spans="1:13" x14ac:dyDescent="0.2">
      <c r="C40" s="4"/>
      <c r="D40" s="4"/>
      <c r="E40" s="136" t="s">
        <v>987</v>
      </c>
      <c r="F40" s="187"/>
      <c r="G40" s="196" t="s">
        <v>988</v>
      </c>
      <c r="H40" s="197"/>
    </row>
    <row r="41" spans="1:13" x14ac:dyDescent="0.2">
      <c r="C41" s="148" t="s">
        <v>989</v>
      </c>
      <c r="D41" s="148"/>
      <c r="E41" s="1"/>
      <c r="F41" s="11"/>
      <c r="G41" s="195"/>
      <c r="H41" s="195"/>
      <c r="I41" s="682"/>
    </row>
    <row r="42" spans="1:13" x14ac:dyDescent="0.2">
      <c r="C42" s="198" t="s">
        <v>990</v>
      </c>
      <c r="D42" s="198"/>
      <c r="E42" s="1"/>
      <c r="F42" s="11"/>
      <c r="G42" s="195"/>
      <c r="H42" s="195"/>
    </row>
    <row r="43" spans="1:13" x14ac:dyDescent="0.2">
      <c r="C43" s="199" t="s">
        <v>718</v>
      </c>
      <c r="D43" s="199"/>
      <c r="E43" s="531"/>
      <c r="F43" s="11"/>
      <c r="G43" s="620">
        <f t="shared" ref="G43:G50" si="0">IF(E$52=0,0,ROUND(E43/E$62,4))</f>
        <v>0</v>
      </c>
      <c r="H43" s="195"/>
      <c r="I43" s="1029"/>
    </row>
    <row r="44" spans="1:13" x14ac:dyDescent="0.2">
      <c r="C44" s="199" t="s">
        <v>717</v>
      </c>
      <c r="D44" s="199"/>
      <c r="E44" s="965"/>
      <c r="F44" s="11"/>
      <c r="G44" s="620">
        <f t="shared" si="0"/>
        <v>0</v>
      </c>
      <c r="H44" s="195"/>
      <c r="I44" s="1029"/>
      <c r="K44" s="1027"/>
    </row>
    <row r="45" spans="1:13" x14ac:dyDescent="0.2">
      <c r="C45" s="199" t="s">
        <v>896</v>
      </c>
      <c r="D45" s="199"/>
      <c r="E45" s="516"/>
      <c r="F45" s="11"/>
      <c r="G45" s="620">
        <f t="shared" si="0"/>
        <v>0</v>
      </c>
      <c r="H45" s="195"/>
      <c r="I45" s="1029"/>
      <c r="K45" s="1027"/>
    </row>
    <row r="46" spans="1:13" x14ac:dyDescent="0.2">
      <c r="C46" s="199" t="s">
        <v>481</v>
      </c>
      <c r="D46" s="199"/>
      <c r="E46" s="516"/>
      <c r="F46" s="11"/>
      <c r="G46" s="620">
        <f t="shared" si="0"/>
        <v>0</v>
      </c>
      <c r="H46" s="195"/>
      <c r="I46" s="1029"/>
      <c r="K46" s="1027"/>
    </row>
    <row r="47" spans="1:13" x14ac:dyDescent="0.2">
      <c r="C47" s="199" t="s">
        <v>470</v>
      </c>
      <c r="D47" s="199"/>
      <c r="E47" s="516"/>
      <c r="F47" s="11"/>
      <c r="G47" s="620">
        <f t="shared" si="0"/>
        <v>0</v>
      </c>
      <c r="H47" s="195"/>
      <c r="I47" s="1029"/>
      <c r="K47" s="1027"/>
    </row>
    <row r="48" spans="1:13" x14ac:dyDescent="0.2">
      <c r="C48" s="199" t="s">
        <v>991</v>
      </c>
      <c r="D48" s="199"/>
      <c r="E48" s="516"/>
      <c r="F48" s="11"/>
      <c r="G48" s="620">
        <f t="shared" si="0"/>
        <v>0</v>
      </c>
      <c r="H48" s="195"/>
      <c r="I48" s="1029"/>
      <c r="K48" s="1027"/>
    </row>
    <row r="49" spans="3:11" x14ac:dyDescent="0.2">
      <c r="C49" s="199" t="s">
        <v>926</v>
      </c>
      <c r="D49" s="199"/>
      <c r="E49" s="516"/>
      <c r="F49" s="11"/>
      <c r="G49" s="620">
        <f t="shared" si="0"/>
        <v>0</v>
      </c>
      <c r="H49" s="195"/>
      <c r="I49" s="1029"/>
      <c r="K49" s="1027"/>
    </row>
    <row r="50" spans="3:11" x14ac:dyDescent="0.2">
      <c r="C50" s="550" t="s">
        <v>203</v>
      </c>
      <c r="D50" s="199"/>
      <c r="E50" s="516"/>
      <c r="F50" s="11"/>
      <c r="G50" s="620">
        <f t="shared" si="0"/>
        <v>0</v>
      </c>
      <c r="H50" s="195"/>
      <c r="I50" s="1029"/>
    </row>
    <row r="51" spans="3:11" x14ac:dyDescent="0.2">
      <c r="C51" s="199"/>
      <c r="D51" s="199"/>
      <c r="E51" s="1"/>
      <c r="F51" s="11"/>
      <c r="G51" s="195"/>
      <c r="H51" s="195"/>
    </row>
    <row r="52" spans="3:11" ht="15" x14ac:dyDescent="0.2">
      <c r="C52" s="200" t="s">
        <v>992</v>
      </c>
      <c r="D52" s="200"/>
      <c r="E52" s="215">
        <f>+SUM(E43:E51)</f>
        <v>0</v>
      </c>
      <c r="F52" s="11"/>
      <c r="G52" s="621">
        <f>ROUND(SUM(G43:G51),4)</f>
        <v>0</v>
      </c>
      <c r="H52" s="216" t="s">
        <v>773</v>
      </c>
    </row>
    <row r="53" spans="3:11" x14ac:dyDescent="0.2">
      <c r="E53" s="1"/>
      <c r="F53" s="11"/>
      <c r="G53" s="201" t="s">
        <v>187</v>
      </c>
      <c r="H53" s="201"/>
    </row>
    <row r="54" spans="3:11" x14ac:dyDescent="0.2">
      <c r="C54" s="198" t="s">
        <v>993</v>
      </c>
      <c r="D54" s="198"/>
      <c r="E54" s="1"/>
      <c r="F54" s="11"/>
      <c r="G54" s="201" t="s">
        <v>187</v>
      </c>
      <c r="H54" s="201"/>
    </row>
    <row r="55" spans="3:11" x14ac:dyDescent="0.2">
      <c r="C55" s="199" t="s">
        <v>994</v>
      </c>
      <c r="D55" s="199"/>
      <c r="E55" s="964"/>
      <c r="F55" s="11"/>
      <c r="G55" s="620">
        <f>IF(E$52=0,0,ROUND(E55/E$62,4))</f>
        <v>0</v>
      </c>
      <c r="H55" s="195"/>
    </row>
    <row r="56" spans="3:11" x14ac:dyDescent="0.2">
      <c r="C56" s="199" t="s">
        <v>995</v>
      </c>
      <c r="D56" s="199"/>
      <c r="E56" s="532"/>
      <c r="F56" s="202"/>
      <c r="G56" s="620">
        <f>IF(E$52=0,0,ROUND(E56/E$62,4))</f>
        <v>0</v>
      </c>
      <c r="H56" s="195"/>
    </row>
    <row r="57" spans="3:11" x14ac:dyDescent="0.2">
      <c r="C57" s="550" t="s">
        <v>933</v>
      </c>
      <c r="D57" s="199"/>
      <c r="E57" s="532"/>
      <c r="F57" s="202"/>
      <c r="G57" s="620">
        <f>IF(E$52=0,0,ROUND(E57/E$62,4))</f>
        <v>0</v>
      </c>
      <c r="H57" s="195"/>
    </row>
    <row r="58" spans="3:11" x14ac:dyDescent="0.2">
      <c r="C58" s="550" t="s">
        <v>934</v>
      </c>
      <c r="D58" s="199"/>
      <c r="E58" s="532"/>
      <c r="F58" s="202"/>
      <c r="G58" s="620">
        <f>IF(E$52=0,0,ROUND(E58/E$62,4))</f>
        <v>0</v>
      </c>
      <c r="H58" s="195"/>
    </row>
    <row r="59" spans="3:11" x14ac:dyDescent="0.2">
      <c r="C59" s="198"/>
      <c r="D59" s="198"/>
      <c r="E59" s="1"/>
      <c r="F59" s="11"/>
      <c r="G59" s="576"/>
      <c r="H59" s="195"/>
    </row>
    <row r="60" spans="3:11" x14ac:dyDescent="0.2">
      <c r="C60" s="200" t="s">
        <v>996</v>
      </c>
      <c r="D60" s="200"/>
      <c r="E60" s="215">
        <f>+SUM(E55:E59)</f>
        <v>0</v>
      </c>
      <c r="F60" s="11"/>
      <c r="G60" s="621">
        <f>ROUND(SUM(G55:G59),4)</f>
        <v>0</v>
      </c>
      <c r="H60" s="203"/>
    </row>
    <row r="61" spans="3:11" x14ac:dyDescent="0.2">
      <c r="C61" s="199"/>
      <c r="D61" s="199"/>
      <c r="E61" s="1"/>
      <c r="F61" s="11"/>
      <c r="G61" s="576"/>
      <c r="H61" s="195"/>
    </row>
    <row r="62" spans="3:11" ht="13.5" thickBot="1" x14ac:dyDescent="0.25">
      <c r="C62" s="204" t="s">
        <v>997</v>
      </c>
      <c r="E62" s="217">
        <f>+E52+E60</f>
        <v>0</v>
      </c>
      <c r="F62" s="11"/>
      <c r="G62" s="577">
        <f>G52+G60</f>
        <v>0</v>
      </c>
      <c r="H62" s="203"/>
    </row>
    <row r="63" spans="3:11" ht="13.5" thickTop="1" x14ac:dyDescent="0.2">
      <c r="C63" s="204"/>
      <c r="D63" s="204"/>
      <c r="E63" s="11"/>
      <c r="F63" s="11"/>
      <c r="G63" s="203"/>
      <c r="H63" s="203"/>
    </row>
    <row r="64" spans="3:11" x14ac:dyDescent="0.2">
      <c r="C64" s="205" t="s">
        <v>998</v>
      </c>
      <c r="D64" s="205"/>
      <c r="E64" s="526"/>
      <c r="F64" s="11"/>
      <c r="G64" s="203"/>
      <c r="H64" s="203"/>
    </row>
    <row r="65" spans="1:9" x14ac:dyDescent="0.2">
      <c r="C65" s="204"/>
      <c r="D65" s="204"/>
      <c r="E65" s="11"/>
      <c r="F65" s="11"/>
      <c r="G65" s="203"/>
      <c r="H65" s="203"/>
    </row>
    <row r="66" spans="1:9" ht="13.5" thickBot="1" x14ac:dyDescent="0.25">
      <c r="C66" s="204" t="s">
        <v>999</v>
      </c>
      <c r="D66" s="1014"/>
      <c r="E66" s="217">
        <f>E62+E64</f>
        <v>0</v>
      </c>
      <c r="F66" s="11"/>
      <c r="G66" s="962"/>
      <c r="H66" s="203"/>
    </row>
    <row r="67" spans="1:9" ht="13.5" thickTop="1" x14ac:dyDescent="0.2">
      <c r="C67" s="204"/>
      <c r="D67" s="204"/>
      <c r="E67" s="1"/>
      <c r="F67" s="1"/>
      <c r="G67" s="195"/>
      <c r="H67" s="195"/>
    </row>
    <row r="68" spans="1:9" ht="15.75" customHeight="1" x14ac:dyDescent="0.2">
      <c r="C68" s="204"/>
      <c r="D68" s="204"/>
      <c r="E68" s="1"/>
      <c r="F68" s="1"/>
      <c r="G68" s="1309" t="s">
        <v>790</v>
      </c>
      <c r="H68" s="1309"/>
      <c r="I68" s="1309"/>
    </row>
    <row r="69" spans="1:9" ht="32.25" customHeight="1" x14ac:dyDescent="0.2">
      <c r="C69" s="1126" t="s">
        <v>715</v>
      </c>
      <c r="D69" s="1313"/>
      <c r="E69" s="218" t="str">
        <f>IF(G52&gt;=50%,"Governmental","Business Type")</f>
        <v>Business Type</v>
      </c>
      <c r="F69" s="265" t="s">
        <v>773</v>
      </c>
      <c r="G69" s="1309"/>
      <c r="H69" s="1309"/>
      <c r="I69" s="1309"/>
    </row>
    <row r="70" spans="1:9" ht="30" customHeight="1" x14ac:dyDescent="0.2">
      <c r="C70" s="59"/>
      <c r="D70" s="59"/>
      <c r="E70" s="207"/>
      <c r="F70" s="206"/>
      <c r="G70" s="195"/>
      <c r="H70" s="195"/>
    </row>
    <row r="71" spans="1:9" x14ac:dyDescent="0.2">
      <c r="E71" s="1"/>
      <c r="F71" s="1"/>
      <c r="G71" s="208"/>
      <c r="H71" s="208"/>
      <c r="I71" s="195"/>
    </row>
    <row r="72" spans="1:9" ht="17.25" customHeight="1" x14ac:dyDescent="0.2">
      <c r="A72" s="4" t="s">
        <v>877</v>
      </c>
      <c r="B72" s="1323" t="s">
        <v>1109</v>
      </c>
      <c r="C72" s="1324"/>
      <c r="D72" s="1324"/>
      <c r="E72" s="1324"/>
      <c r="F72" s="1324"/>
      <c r="G72" s="1324"/>
      <c r="H72" s="1324"/>
      <c r="I72" s="1325"/>
    </row>
    <row r="73" spans="1:9" ht="36" customHeight="1" x14ac:dyDescent="0.2">
      <c r="B73" s="1326"/>
      <c r="C73" s="1327"/>
      <c r="D73" s="1327"/>
      <c r="E73" s="1327"/>
      <c r="F73" s="1327"/>
      <c r="G73" s="1327"/>
      <c r="H73" s="1327"/>
      <c r="I73" s="1328"/>
    </row>
    <row r="74" spans="1:9" ht="3.75" customHeight="1" x14ac:dyDescent="0.2">
      <c r="E74" s="1"/>
      <c r="F74" s="1"/>
      <c r="G74" s="208"/>
      <c r="H74" s="208"/>
      <c r="I74" s="195"/>
    </row>
    <row r="75" spans="1:9" x14ac:dyDescent="0.2">
      <c r="B75" s="88" t="s">
        <v>947</v>
      </c>
      <c r="C75" s="4" t="s">
        <v>1008</v>
      </c>
      <c r="E75" s="565" t="s">
        <v>65</v>
      </c>
      <c r="F75" s="132"/>
      <c r="G75" s="566" t="s">
        <v>66</v>
      </c>
      <c r="H75" s="208"/>
      <c r="I75" s="195"/>
    </row>
    <row r="76" spans="1:9" ht="4.5" customHeight="1" x14ac:dyDescent="0.2">
      <c r="E76" s="3"/>
      <c r="F76" s="71"/>
      <c r="G76" s="3"/>
      <c r="H76" s="208"/>
      <c r="I76" s="195"/>
    </row>
    <row r="77" spans="1:9" x14ac:dyDescent="0.2">
      <c r="C77" s="13" t="s">
        <v>601</v>
      </c>
      <c r="D77" s="1000"/>
      <c r="E77" s="533"/>
      <c r="F77" s="125"/>
      <c r="G77" s="214"/>
      <c r="H77" s="208"/>
      <c r="I77" s="195"/>
    </row>
    <row r="78" spans="1:9" x14ac:dyDescent="0.2">
      <c r="C78" s="13" t="s">
        <v>849</v>
      </c>
      <c r="D78" s="13"/>
      <c r="E78" s="533"/>
      <c r="F78" s="125"/>
      <c r="G78" s="214"/>
      <c r="H78" s="208"/>
      <c r="I78" s="195"/>
    </row>
    <row r="79" spans="1:9" x14ac:dyDescent="0.2">
      <c r="C79" s="13" t="s">
        <v>747</v>
      </c>
      <c r="D79" s="13"/>
      <c r="E79" s="533"/>
      <c r="F79" s="125"/>
      <c r="G79" s="214"/>
      <c r="H79" s="208"/>
      <c r="I79" s="195"/>
    </row>
    <row r="80" spans="1:9" x14ac:dyDescent="0.2">
      <c r="C80" s="13" t="s">
        <v>196</v>
      </c>
      <c r="D80" s="13"/>
      <c r="E80" s="533"/>
      <c r="F80" s="125"/>
      <c r="H80" s="208"/>
      <c r="I80" s="195"/>
    </row>
    <row r="81" spans="1:11" x14ac:dyDescent="0.2">
      <c r="C81" s="13" t="s">
        <v>750</v>
      </c>
      <c r="D81" s="13"/>
      <c r="E81" s="533"/>
      <c r="F81" s="125"/>
      <c r="H81" s="208"/>
      <c r="I81" s="195"/>
    </row>
    <row r="82" spans="1:11" x14ac:dyDescent="0.2">
      <c r="C82" s="13" t="s">
        <v>751</v>
      </c>
      <c r="D82" s="13"/>
      <c r="E82" s="533"/>
      <c r="F82" s="125"/>
      <c r="G82" s="214"/>
      <c r="H82" s="208"/>
      <c r="I82" s="195"/>
    </row>
    <row r="83" spans="1:11" s="704" customFormat="1" x14ac:dyDescent="0.2">
      <c r="A83" s="705"/>
      <c r="C83" s="742" t="s">
        <v>2073</v>
      </c>
      <c r="D83" s="706"/>
      <c r="E83" s="533"/>
      <c r="F83" s="125"/>
      <c r="G83" s="214"/>
      <c r="H83" s="208"/>
      <c r="I83" s="195"/>
    </row>
    <row r="84" spans="1:11" x14ac:dyDescent="0.2">
      <c r="C84" s="13" t="s">
        <v>476</v>
      </c>
      <c r="D84" s="13"/>
      <c r="E84" s="533"/>
      <c r="F84" s="125"/>
      <c r="G84" s="214"/>
      <c r="H84" s="208"/>
      <c r="I84" s="195"/>
    </row>
    <row r="85" spans="1:11" x14ac:dyDescent="0.2">
      <c r="C85" s="13" t="s">
        <v>477</v>
      </c>
      <c r="D85" s="13"/>
      <c r="E85" s="533"/>
      <c r="F85" s="125"/>
      <c r="G85" s="214"/>
      <c r="H85" s="208"/>
      <c r="I85" s="195"/>
    </row>
    <row r="86" spans="1:11" x14ac:dyDescent="0.2">
      <c r="C86" s="13" t="s">
        <v>474</v>
      </c>
      <c r="D86" s="13"/>
      <c r="E86" s="533"/>
      <c r="F86" s="125"/>
      <c r="G86" s="214"/>
      <c r="H86" s="208"/>
      <c r="I86" s="195"/>
    </row>
    <row r="87" spans="1:11" x14ac:dyDescent="0.2">
      <c r="C87" s="13" t="s">
        <v>602</v>
      </c>
      <c r="D87" s="13"/>
      <c r="E87" s="533"/>
      <c r="F87" s="125"/>
      <c r="G87" s="214"/>
      <c r="H87" s="208"/>
      <c r="I87" s="6" t="s">
        <v>1111</v>
      </c>
    </row>
    <row r="88" spans="1:11" s="704" customFormat="1" ht="38.25" x14ac:dyDescent="0.2">
      <c r="A88" s="705"/>
      <c r="C88" s="764" t="s">
        <v>3883</v>
      </c>
      <c r="D88" s="706"/>
      <c r="E88" s="533"/>
      <c r="F88" s="125"/>
      <c r="G88" s="214"/>
      <c r="H88" s="208"/>
      <c r="I88" s="6"/>
    </row>
    <row r="89" spans="1:11" s="753" customFormat="1" ht="25.5" x14ac:dyDescent="0.2">
      <c r="A89" s="754"/>
      <c r="C89" s="765" t="s">
        <v>3884</v>
      </c>
      <c r="D89" s="756"/>
      <c r="E89" s="533"/>
      <c r="F89" s="125"/>
      <c r="G89" s="214"/>
      <c r="H89" s="208"/>
      <c r="I89" s="6"/>
    </row>
    <row r="90" spans="1:11" s="753" customFormat="1" ht="38.25" x14ac:dyDescent="0.2">
      <c r="A90" s="754"/>
      <c r="C90" s="765" t="s">
        <v>3885</v>
      </c>
      <c r="D90" s="756"/>
      <c r="E90" s="533"/>
      <c r="F90" s="125"/>
      <c r="G90" s="214"/>
      <c r="H90" s="208"/>
      <c r="I90" s="6"/>
    </row>
    <row r="91" spans="1:11" s="753" customFormat="1" ht="38.25" x14ac:dyDescent="0.2">
      <c r="A91" s="754"/>
      <c r="C91" s="757" t="s">
        <v>3886</v>
      </c>
      <c r="D91" s="756"/>
      <c r="E91" s="533"/>
      <c r="F91" s="125"/>
      <c r="G91" s="214"/>
      <c r="H91" s="208"/>
      <c r="I91" s="6"/>
      <c r="K91" s="5"/>
    </row>
    <row r="92" spans="1:11" s="753" customFormat="1" ht="51" x14ac:dyDescent="0.2">
      <c r="A92" s="754"/>
      <c r="C92" s="765" t="s">
        <v>3887</v>
      </c>
      <c r="D92" s="756"/>
      <c r="E92" s="533"/>
      <c r="F92" s="125"/>
      <c r="G92" s="214"/>
      <c r="H92" s="208"/>
      <c r="I92" s="6"/>
    </row>
    <row r="93" spans="1:11" s="966" customFormat="1" ht="38.25" x14ac:dyDescent="0.2">
      <c r="A93" s="967"/>
      <c r="C93" s="974" t="s">
        <v>3899</v>
      </c>
      <c r="D93" s="971"/>
      <c r="E93" s="533"/>
      <c r="F93" s="125"/>
      <c r="G93" s="214"/>
      <c r="H93" s="208"/>
      <c r="I93" s="6"/>
    </row>
    <row r="94" spans="1:11" s="966" customFormat="1" ht="25.5" x14ac:dyDescent="0.2">
      <c r="A94" s="967"/>
      <c r="C94" s="1039" t="s">
        <v>3888</v>
      </c>
      <c r="D94" s="971"/>
      <c r="E94" s="533"/>
      <c r="F94" s="125"/>
      <c r="G94" s="214"/>
      <c r="H94" s="208"/>
      <c r="I94" s="6"/>
    </row>
    <row r="95" spans="1:11" s="966" customFormat="1" ht="38.25" x14ac:dyDescent="0.2">
      <c r="A95" s="967"/>
      <c r="C95" s="1040" t="s">
        <v>3889</v>
      </c>
      <c r="D95" s="971"/>
      <c r="E95" s="533"/>
      <c r="F95" s="125"/>
      <c r="G95" s="214"/>
      <c r="H95" s="208"/>
      <c r="I95" s="6"/>
    </row>
    <row r="96" spans="1:11" x14ac:dyDescent="0.2">
      <c r="C96" s="13" t="s">
        <v>603</v>
      </c>
      <c r="D96" s="13"/>
      <c r="E96" s="213"/>
      <c r="F96" s="125"/>
      <c r="G96" s="533"/>
      <c r="H96" s="208"/>
      <c r="I96" s="195"/>
    </row>
    <row r="97" spans="1:9" x14ac:dyDescent="0.2">
      <c r="C97" s="13" t="s">
        <v>604</v>
      </c>
      <c r="D97" s="13"/>
      <c r="E97" s="213"/>
      <c r="F97" s="125"/>
      <c r="G97" s="533"/>
      <c r="H97" s="208"/>
      <c r="I97" s="195"/>
    </row>
    <row r="98" spans="1:9" x14ac:dyDescent="0.2">
      <c r="C98" s="13" t="s">
        <v>605</v>
      </c>
      <c r="D98" s="13"/>
      <c r="E98" s="213"/>
      <c r="F98" s="125"/>
      <c r="G98" s="533"/>
      <c r="H98" s="208"/>
      <c r="I98" s="195"/>
    </row>
    <row r="99" spans="1:9" x14ac:dyDescent="0.2">
      <c r="C99" s="13" t="s">
        <v>606</v>
      </c>
      <c r="D99" s="13"/>
      <c r="E99" s="125"/>
      <c r="F99" s="125"/>
      <c r="G99" s="533"/>
      <c r="H99" s="208"/>
      <c r="I99" s="195"/>
    </row>
    <row r="100" spans="1:9" x14ac:dyDescent="0.2">
      <c r="C100" s="466" t="s">
        <v>752</v>
      </c>
      <c r="D100" s="13"/>
      <c r="E100" s="125"/>
      <c r="F100" s="125"/>
      <c r="G100" s="533"/>
      <c r="H100" s="208"/>
      <c r="I100" s="195"/>
    </row>
    <row r="101" spans="1:9" x14ac:dyDescent="0.2">
      <c r="C101" s="466" t="s">
        <v>195</v>
      </c>
      <c r="D101" s="13"/>
      <c r="E101" s="125"/>
      <c r="F101" s="125"/>
      <c r="G101" s="533"/>
      <c r="H101" s="208"/>
      <c r="I101" s="195"/>
    </row>
    <row r="102" spans="1:9" x14ac:dyDescent="0.2">
      <c r="C102" s="13" t="s">
        <v>656</v>
      </c>
      <c r="D102" s="13"/>
      <c r="E102" s="125"/>
      <c r="F102" s="125"/>
      <c r="G102" s="533"/>
      <c r="H102" s="208"/>
      <c r="I102" s="195"/>
    </row>
    <row r="103" spans="1:9" x14ac:dyDescent="0.2">
      <c r="C103" s="13" t="s">
        <v>657</v>
      </c>
      <c r="D103" s="13"/>
      <c r="E103" s="125"/>
      <c r="F103" s="125"/>
      <c r="G103" s="533"/>
      <c r="H103" s="208"/>
      <c r="I103" s="195"/>
    </row>
    <row r="104" spans="1:9" s="806" customFormat="1" x14ac:dyDescent="0.2">
      <c r="A104" s="807"/>
      <c r="C104" s="466" t="s">
        <v>2564</v>
      </c>
      <c r="D104" s="808"/>
      <c r="E104" s="125"/>
      <c r="F104" s="125"/>
      <c r="G104" s="533"/>
      <c r="H104" s="208"/>
      <c r="I104" s="1013"/>
    </row>
    <row r="105" spans="1:9" x14ac:dyDescent="0.2">
      <c r="C105" s="1038" t="s">
        <v>3959</v>
      </c>
      <c r="D105" s="13"/>
      <c r="E105" s="125"/>
      <c r="F105" s="125"/>
      <c r="G105" s="533"/>
      <c r="H105" s="208"/>
      <c r="I105" s="195"/>
    </row>
    <row r="106" spans="1:9" x14ac:dyDescent="0.2">
      <c r="C106" s="13" t="s">
        <v>658</v>
      </c>
      <c r="D106" s="13"/>
      <c r="E106" s="125"/>
      <c r="F106" s="125"/>
      <c r="G106" s="533"/>
      <c r="H106" s="208"/>
      <c r="I106" s="195"/>
    </row>
    <row r="107" spans="1:9" s="738" customFormat="1" ht="25.5" x14ac:dyDescent="0.2">
      <c r="A107" s="739"/>
      <c r="C107" s="746" t="s">
        <v>3890</v>
      </c>
      <c r="D107" s="741"/>
      <c r="E107" s="125"/>
      <c r="F107" s="125"/>
      <c r="G107" s="533"/>
      <c r="H107" s="208"/>
      <c r="I107" s="195"/>
    </row>
    <row r="108" spans="1:9" s="738" customFormat="1" ht="38.25" x14ac:dyDescent="0.2">
      <c r="A108" s="739"/>
      <c r="C108" s="746" t="s">
        <v>3891</v>
      </c>
      <c r="D108" s="741"/>
      <c r="E108" s="125"/>
      <c r="F108" s="125"/>
      <c r="G108" s="533"/>
      <c r="H108" s="208"/>
      <c r="I108" s="195"/>
    </row>
    <row r="109" spans="1:9" s="738" customFormat="1" ht="28.15" customHeight="1" x14ac:dyDescent="0.2">
      <c r="A109" s="739"/>
      <c r="C109" s="747" t="s">
        <v>3892</v>
      </c>
      <c r="D109" s="741"/>
      <c r="E109" s="125"/>
      <c r="F109" s="125"/>
      <c r="G109" s="533"/>
      <c r="H109" s="208"/>
      <c r="I109" s="1013"/>
    </row>
    <row r="110" spans="1:9" s="704" customFormat="1" ht="51" x14ac:dyDescent="0.2">
      <c r="A110" s="705"/>
      <c r="C110" s="745" t="s">
        <v>3893</v>
      </c>
      <c r="D110" s="706"/>
      <c r="E110" s="125"/>
      <c r="F110" s="125"/>
      <c r="G110" s="533"/>
      <c r="H110" s="208"/>
      <c r="I110" s="195"/>
    </row>
    <row r="111" spans="1:9" s="966" customFormat="1" ht="25.5" x14ac:dyDescent="0.2">
      <c r="A111" s="967"/>
      <c r="C111" s="1036" t="s">
        <v>3894</v>
      </c>
      <c r="D111" s="971"/>
      <c r="E111" s="125"/>
      <c r="F111" s="125"/>
      <c r="G111" s="533"/>
      <c r="H111" s="208"/>
      <c r="I111" s="195"/>
    </row>
    <row r="112" spans="1:9" s="966" customFormat="1" ht="38.25" x14ac:dyDescent="0.2">
      <c r="A112" s="967"/>
      <c r="C112" s="1037" t="s">
        <v>3895</v>
      </c>
      <c r="D112" s="971"/>
      <c r="E112" s="125"/>
      <c r="F112" s="125"/>
      <c r="G112" s="533"/>
      <c r="H112" s="208"/>
      <c r="I112" s="195"/>
    </row>
    <row r="113" spans="2:11" x14ac:dyDescent="0.2">
      <c r="C113" s="638" t="s">
        <v>1110</v>
      </c>
      <c r="D113" s="13"/>
      <c r="E113" s="120"/>
      <c r="F113" s="120"/>
      <c r="G113" s="516"/>
      <c r="H113" s="208"/>
      <c r="I113" s="262" t="s">
        <v>508</v>
      </c>
    </row>
    <row r="114" spans="2:11" ht="7.5" customHeight="1" x14ac:dyDescent="0.2">
      <c r="C114" s="13"/>
      <c r="D114" s="13"/>
      <c r="E114" s="120"/>
      <c r="F114" s="120"/>
      <c r="G114" s="120"/>
      <c r="H114" s="208"/>
      <c r="I114" s="195"/>
    </row>
    <row r="115" spans="2:11" ht="12.75" customHeight="1" x14ac:dyDescent="0.2">
      <c r="B115" s="88" t="s">
        <v>948</v>
      </c>
      <c r="C115" s="174" t="s">
        <v>1009</v>
      </c>
      <c r="D115" s="13"/>
      <c r="E115" s="120"/>
      <c r="F115" s="120"/>
      <c r="G115" s="120"/>
      <c r="H115" s="208"/>
      <c r="I115" s="195"/>
    </row>
    <row r="116" spans="2:11" x14ac:dyDescent="0.2">
      <c r="C116" s="198" t="s">
        <v>1017</v>
      </c>
      <c r="D116" s="198"/>
      <c r="F116" s="1"/>
      <c r="G116" s="516"/>
      <c r="H116" s="1"/>
      <c r="I116" s="220"/>
    </row>
    <row r="117" spans="2:11" ht="12.75" customHeight="1" x14ac:dyDescent="0.2">
      <c r="C117" s="198" t="s">
        <v>1010</v>
      </c>
      <c r="D117" s="198"/>
      <c r="E117" s="512"/>
      <c r="F117" s="1"/>
      <c r="H117" s="1"/>
      <c r="I117" s="220" t="s">
        <v>643</v>
      </c>
    </row>
    <row r="118" spans="2:11" x14ac:dyDescent="0.2">
      <c r="C118" s="198" t="s">
        <v>814</v>
      </c>
      <c r="D118" s="198"/>
      <c r="E118" s="512"/>
      <c r="F118" s="1"/>
      <c r="H118" s="1"/>
      <c r="I118" s="220" t="s">
        <v>1112</v>
      </c>
    </row>
    <row r="119" spans="2:11" x14ac:dyDescent="0.2">
      <c r="C119" s="198" t="s">
        <v>813</v>
      </c>
      <c r="D119" s="198"/>
      <c r="F119" s="1"/>
      <c r="G119" s="516"/>
      <c r="H119" s="1"/>
      <c r="I119" s="220"/>
    </row>
    <row r="120" spans="2:11" x14ac:dyDescent="0.2">
      <c r="C120" s="198" t="s">
        <v>59</v>
      </c>
      <c r="D120" s="198"/>
      <c r="F120" s="1"/>
      <c r="G120" s="516"/>
      <c r="H120" s="1"/>
      <c r="I120" s="221" t="s">
        <v>98</v>
      </c>
    </row>
    <row r="121" spans="2:11" ht="22.5" x14ac:dyDescent="0.2">
      <c r="C121" s="198" t="s">
        <v>1000</v>
      </c>
      <c r="D121" s="198"/>
      <c r="E121" s="512"/>
      <c r="F121" s="1"/>
      <c r="H121" s="1"/>
      <c r="I121" s="219" t="s">
        <v>597</v>
      </c>
    </row>
    <row r="122" spans="2:11" ht="7.5" customHeight="1" x14ac:dyDescent="0.2">
      <c r="B122" s="64"/>
      <c r="C122" s="198"/>
      <c r="D122" s="198"/>
      <c r="F122" s="1"/>
      <c r="G122" s="1"/>
      <c r="H122" s="1"/>
      <c r="I122" s="1"/>
    </row>
    <row r="123" spans="2:11" ht="24.75" customHeight="1" x14ac:dyDescent="0.2">
      <c r="B123" s="88" t="s">
        <v>949</v>
      </c>
      <c r="C123" s="1310" t="s">
        <v>1113</v>
      </c>
      <c r="D123" s="1312"/>
      <c r="F123" s="1"/>
      <c r="H123" s="1"/>
      <c r="I123" s="220" t="s">
        <v>1114</v>
      </c>
    </row>
    <row r="124" spans="2:11" ht="21.75" customHeight="1" x14ac:dyDescent="0.2">
      <c r="B124" s="88"/>
      <c r="C124" s="1311"/>
      <c r="D124" s="1312"/>
      <c r="E124" s="971"/>
      <c r="F124" s="1"/>
      <c r="H124" s="1"/>
      <c r="I124" s="220"/>
    </row>
    <row r="125" spans="2:11" x14ac:dyDescent="0.2">
      <c r="B125" s="64"/>
      <c r="C125" s="259" t="s">
        <v>357</v>
      </c>
      <c r="D125" s="260">
        <f>G116-E117-E118+G119+G120-E121</f>
        <v>0</v>
      </c>
      <c r="F125" s="1"/>
      <c r="G125" s="1"/>
      <c r="H125" s="1"/>
      <c r="I125" s="1"/>
    </row>
    <row r="126" spans="2:11" ht="36" customHeight="1" thickBot="1" x14ac:dyDescent="0.25">
      <c r="C126" s="199" t="s">
        <v>358</v>
      </c>
      <c r="D126" s="284">
        <f>D123-D125</f>
        <v>0</v>
      </c>
      <c r="E126" s="8"/>
      <c r="F126" s="261"/>
      <c r="G126" s="236">
        <f>D126</f>
        <v>0</v>
      </c>
      <c r="H126" s="1"/>
      <c r="I126" s="266" t="s">
        <v>544</v>
      </c>
    </row>
    <row r="127" spans="2:11" ht="18.75" customHeight="1" thickTop="1" thickBot="1" x14ac:dyDescent="0.25">
      <c r="C127" s="199"/>
      <c r="D127" s="963"/>
      <c r="E127" s="263">
        <f>SUM(E77:E126)</f>
        <v>0</v>
      </c>
      <c r="F127" s="1"/>
      <c r="G127" s="119">
        <f>SUM(G96:G126)</f>
        <v>0</v>
      </c>
      <c r="H127" s="1"/>
      <c r="I127" s="267" t="s">
        <v>545</v>
      </c>
      <c r="K127" s="750">
        <f>G127-E127</f>
        <v>0</v>
      </c>
    </row>
    <row r="128" spans="2:11" ht="13.5" thickTop="1" x14ac:dyDescent="0.2">
      <c r="C128" s="199"/>
      <c r="D128" s="199"/>
      <c r="F128" s="1"/>
      <c r="G128" s="1"/>
      <c r="H128" s="1"/>
      <c r="I128" s="1"/>
    </row>
    <row r="129" spans="1:12" ht="15" customHeight="1" x14ac:dyDescent="0.2">
      <c r="A129" s="4" t="s">
        <v>466</v>
      </c>
      <c r="B129" s="1323" t="s">
        <v>1115</v>
      </c>
      <c r="C129" s="1324"/>
      <c r="D129" s="1324"/>
      <c r="E129" s="1324"/>
      <c r="F129" s="1324"/>
      <c r="G129" s="1324"/>
      <c r="H129" s="1324"/>
      <c r="I129" s="1325"/>
    </row>
    <row r="130" spans="1:12" ht="25.5" customHeight="1" x14ac:dyDescent="0.2">
      <c r="B130" s="1326"/>
      <c r="C130" s="1327"/>
      <c r="D130" s="1327"/>
      <c r="E130" s="1327"/>
      <c r="F130" s="1327"/>
      <c r="G130" s="1327"/>
      <c r="H130" s="1327"/>
      <c r="I130" s="1328"/>
    </row>
    <row r="131" spans="1:12" x14ac:dyDescent="0.2">
      <c r="E131" s="1"/>
      <c r="F131" s="1"/>
      <c r="G131" s="208"/>
      <c r="H131" s="208"/>
      <c r="I131" s="195"/>
    </row>
    <row r="132" spans="1:12" ht="12.75" customHeight="1" x14ac:dyDescent="0.2">
      <c r="B132" s="64" t="s">
        <v>947</v>
      </c>
      <c r="C132" s="1284" t="s">
        <v>1039</v>
      </c>
      <c r="D132" s="1284"/>
      <c r="E132" s="1284"/>
      <c r="F132" s="1"/>
      <c r="G132" s="1308"/>
      <c r="H132" s="208"/>
      <c r="I132" s="195"/>
    </row>
    <row r="133" spans="1:12" ht="47.25" customHeight="1" x14ac:dyDescent="0.2">
      <c r="C133" s="1284"/>
      <c r="D133" s="1284"/>
      <c r="E133" s="1284"/>
      <c r="F133" s="1"/>
      <c r="G133" s="1308"/>
      <c r="H133" s="208"/>
      <c r="I133" s="195"/>
    </row>
    <row r="134" spans="1:12" x14ac:dyDescent="0.2">
      <c r="E134" s="1"/>
      <c r="F134" s="1"/>
      <c r="G134" s="208"/>
      <c r="H134" s="208"/>
      <c r="I134" s="225" t="s">
        <v>659</v>
      </c>
    </row>
    <row r="135" spans="1:12" x14ac:dyDescent="0.2">
      <c r="B135" s="64" t="s">
        <v>948</v>
      </c>
      <c r="C135" s="1284" t="s">
        <v>789</v>
      </c>
      <c r="D135" s="1284"/>
      <c r="E135" s="1284"/>
      <c r="F135" s="1"/>
      <c r="G135" s="1308"/>
      <c r="H135" s="208"/>
      <c r="I135" s="195"/>
    </row>
    <row r="136" spans="1:12" ht="44.25" customHeight="1" x14ac:dyDescent="0.2">
      <c r="C136" s="1284"/>
      <c r="D136" s="1284"/>
      <c r="E136" s="1284"/>
      <c r="F136" s="1"/>
      <c r="G136" s="1308"/>
      <c r="H136" s="208"/>
      <c r="I136" s="195"/>
    </row>
    <row r="137" spans="1:12" x14ac:dyDescent="0.2">
      <c r="E137" s="1"/>
      <c r="F137" s="1"/>
      <c r="G137" s="208"/>
      <c r="H137" s="208"/>
      <c r="I137" s="195"/>
    </row>
    <row r="138" spans="1:12" ht="13.5" customHeight="1" x14ac:dyDescent="0.2">
      <c r="A138" s="4" t="s">
        <v>472</v>
      </c>
      <c r="B138" s="1314" t="s">
        <v>645</v>
      </c>
      <c r="C138" s="1315"/>
      <c r="D138" s="1315"/>
      <c r="E138" s="1315"/>
      <c r="F138" s="1315"/>
      <c r="G138" s="1315"/>
      <c r="H138" s="1315"/>
      <c r="I138" s="1316"/>
      <c r="J138" s="1"/>
      <c r="K138" s="1"/>
      <c r="L138" s="1"/>
    </row>
    <row r="139" spans="1:12" ht="12" customHeight="1" x14ac:dyDescent="0.2">
      <c r="B139" s="1317"/>
      <c r="C139" s="1318"/>
      <c r="D139" s="1318"/>
      <c r="E139" s="1318"/>
      <c r="F139" s="1318"/>
      <c r="G139" s="1318"/>
      <c r="H139" s="1318"/>
      <c r="I139" s="1319"/>
      <c r="J139" s="1"/>
      <c r="K139" s="1"/>
      <c r="L139" s="1"/>
    </row>
    <row r="140" spans="1:12" ht="5.25" customHeight="1" x14ac:dyDescent="0.2">
      <c r="C140" s="210"/>
      <c r="D140" s="210"/>
      <c r="E140" s="193"/>
      <c r="F140" s="193"/>
      <c r="G140" s="193"/>
      <c r="H140" s="193"/>
      <c r="I140" s="193"/>
      <c r="J140" s="1"/>
      <c r="K140" s="1"/>
      <c r="L140" s="1"/>
    </row>
    <row r="141" spans="1:12" ht="37.5" customHeight="1" x14ac:dyDescent="0.2">
      <c r="C141" s="228" t="s">
        <v>194</v>
      </c>
      <c r="D141" s="228"/>
      <c r="E141" s="211" t="s">
        <v>598</v>
      </c>
      <c r="F141" s="209"/>
      <c r="G141" s="211" t="s">
        <v>599</v>
      </c>
      <c r="H141" s="209"/>
      <c r="I141" s="212"/>
      <c r="J141" s="1"/>
      <c r="K141" s="1"/>
      <c r="L141" s="1"/>
    </row>
    <row r="142" spans="1:12" x14ac:dyDescent="0.2">
      <c r="E142" s="1"/>
      <c r="F142" s="11"/>
      <c r="G142" s="1"/>
      <c r="H142" s="1"/>
      <c r="I142" s="1"/>
      <c r="J142" s="1"/>
      <c r="K142" s="1"/>
      <c r="L142" s="1"/>
    </row>
    <row r="143" spans="1:12" x14ac:dyDescent="0.2">
      <c r="C143" t="str">
        <f>+$C43</f>
        <v>General government</v>
      </c>
      <c r="E143" s="407">
        <f t="shared" ref="E143:E150" si="1">D$126*G43</f>
        <v>0</v>
      </c>
      <c r="F143" s="1"/>
      <c r="G143" s="1"/>
      <c r="H143" s="1"/>
      <c r="I143" s="1"/>
      <c r="J143" s="1"/>
      <c r="K143" s="1"/>
      <c r="L143" s="1"/>
    </row>
    <row r="144" spans="1:12" x14ac:dyDescent="0.2">
      <c r="C144" t="str">
        <f>+C44</f>
        <v>Public safety</v>
      </c>
      <c r="E144" s="407">
        <f t="shared" si="1"/>
        <v>0</v>
      </c>
      <c r="F144" s="1"/>
      <c r="G144" s="1"/>
      <c r="H144" s="1"/>
      <c r="I144" s="1"/>
      <c r="J144" s="1"/>
      <c r="K144" s="1"/>
      <c r="L144" s="1"/>
    </row>
    <row r="145" spans="1:12" x14ac:dyDescent="0.2">
      <c r="C145" t="str">
        <f>+C45</f>
        <v>Transportation</v>
      </c>
      <c r="E145" s="407">
        <f t="shared" si="1"/>
        <v>0</v>
      </c>
      <c r="F145" s="1"/>
      <c r="G145" s="1"/>
      <c r="H145" s="1"/>
      <c r="I145" s="1"/>
      <c r="J145" s="1"/>
      <c r="K145" s="1"/>
      <c r="L145" s="1"/>
    </row>
    <row r="146" spans="1:12" x14ac:dyDescent="0.2">
      <c r="C146" t="s">
        <v>481</v>
      </c>
      <c r="E146" s="407">
        <f t="shared" si="1"/>
        <v>0</v>
      </c>
      <c r="F146" s="1"/>
      <c r="G146" s="1"/>
      <c r="H146" s="1"/>
      <c r="I146" s="1"/>
      <c r="J146" s="1"/>
      <c r="K146" s="1"/>
      <c r="L146" s="1"/>
    </row>
    <row r="147" spans="1:12" x14ac:dyDescent="0.2">
      <c r="C147" t="s">
        <v>470</v>
      </c>
      <c r="E147" s="407">
        <f t="shared" si="1"/>
        <v>0</v>
      </c>
      <c r="F147" s="1"/>
      <c r="G147" s="1"/>
      <c r="H147" s="1"/>
      <c r="I147" s="1"/>
      <c r="J147" s="1"/>
      <c r="K147" s="1"/>
      <c r="L147" s="1"/>
    </row>
    <row r="148" spans="1:12" x14ac:dyDescent="0.2">
      <c r="C148" t="s">
        <v>991</v>
      </c>
      <c r="E148" s="407">
        <f t="shared" si="1"/>
        <v>0</v>
      </c>
      <c r="F148" s="1"/>
      <c r="G148" s="1"/>
      <c r="H148" s="1"/>
      <c r="I148" s="6"/>
      <c r="J148" s="1"/>
      <c r="K148" s="1"/>
      <c r="L148" s="1"/>
    </row>
    <row r="149" spans="1:12" x14ac:dyDescent="0.2">
      <c r="C149" t="s">
        <v>926</v>
      </c>
      <c r="E149" s="407">
        <f t="shared" si="1"/>
        <v>0</v>
      </c>
      <c r="F149" s="1"/>
      <c r="G149" s="1"/>
      <c r="H149" s="1"/>
      <c r="I149" s="264"/>
      <c r="J149" s="1"/>
      <c r="K149" s="1"/>
      <c r="L149" s="1"/>
    </row>
    <row r="150" spans="1:12" ht="12.75" customHeight="1" x14ac:dyDescent="0.2">
      <c r="C150" s="521" t="s">
        <v>203</v>
      </c>
      <c r="E150" s="407">
        <f t="shared" si="1"/>
        <v>0</v>
      </c>
      <c r="F150" s="1"/>
      <c r="G150" s="1"/>
      <c r="H150" s="1"/>
      <c r="J150" s="1"/>
      <c r="K150" s="1"/>
      <c r="L150" s="1"/>
    </row>
    <row r="151" spans="1:12" ht="12.75" customHeight="1" x14ac:dyDescent="0.2">
      <c r="E151" s="1"/>
      <c r="F151" s="1"/>
      <c r="G151" s="1"/>
      <c r="H151" s="1"/>
      <c r="I151" s="1249" t="s">
        <v>2102</v>
      </c>
      <c r="J151" s="1"/>
      <c r="K151" s="1"/>
      <c r="L151" s="1"/>
    </row>
    <row r="152" spans="1:12" ht="12" customHeight="1" x14ac:dyDescent="0.2">
      <c r="C152" t="str">
        <f>+C55</f>
        <v>Water and sewer</v>
      </c>
      <c r="E152" s="1"/>
      <c r="F152" s="1"/>
      <c r="G152" s="407">
        <f>ROUND(D$126*G55,0)</f>
        <v>0</v>
      </c>
      <c r="H152" s="1"/>
      <c r="I152" s="1123"/>
      <c r="J152" s="1"/>
      <c r="K152" s="1"/>
      <c r="L152" s="1"/>
    </row>
    <row r="153" spans="1:12" x14ac:dyDescent="0.2">
      <c r="C153" t="str">
        <f>+C56</f>
        <v>Electric</v>
      </c>
      <c r="E153" s="1"/>
      <c r="F153" s="1"/>
      <c r="G153" s="407">
        <f>ROUND(D$126*G56,0)</f>
        <v>0</v>
      </c>
      <c r="H153" s="1"/>
      <c r="I153" s="1123"/>
      <c r="J153" s="1"/>
      <c r="K153" s="1"/>
      <c r="L153" s="1"/>
    </row>
    <row r="154" spans="1:12" x14ac:dyDescent="0.2">
      <c r="C154" s="521" t="s">
        <v>935</v>
      </c>
      <c r="E154" s="1"/>
      <c r="F154" s="1"/>
      <c r="G154" s="407">
        <f>D$126*G57</f>
        <v>0</v>
      </c>
      <c r="H154" s="1"/>
      <c r="I154" s="1123"/>
      <c r="J154" s="1"/>
      <c r="K154" s="1"/>
      <c r="L154" s="1"/>
    </row>
    <row r="155" spans="1:12" x14ac:dyDescent="0.2">
      <c r="C155" s="521" t="s">
        <v>936</v>
      </c>
      <c r="E155" s="1"/>
      <c r="F155" s="1"/>
      <c r="G155" s="407">
        <f>D$126*G58</f>
        <v>0</v>
      </c>
      <c r="H155" s="1"/>
      <c r="I155" s="1199"/>
      <c r="J155" s="1"/>
      <c r="K155" s="1"/>
      <c r="L155" s="1"/>
    </row>
    <row r="156" spans="1:12" ht="13.5" thickBot="1" x14ac:dyDescent="0.25">
      <c r="C156" s="198" t="s">
        <v>600</v>
      </c>
      <c r="D156" s="198"/>
      <c r="E156" s="119">
        <f>ROUND(SUM(E143:E155),0)</f>
        <v>0</v>
      </c>
      <c r="F156" s="1"/>
      <c r="G156" s="119">
        <f>SUM(G152:G155)</f>
        <v>0</v>
      </c>
      <c r="H156" s="268" t="s">
        <v>946</v>
      </c>
      <c r="I156" s="119">
        <f>SUM(E156:G156)</f>
        <v>0</v>
      </c>
      <c r="J156" s="1"/>
      <c r="K156" s="1"/>
      <c r="L156" s="1"/>
    </row>
    <row r="157" spans="1:12" ht="13.5" thickTop="1" x14ac:dyDescent="0.2">
      <c r="E157" s="1"/>
      <c r="F157" s="1"/>
      <c r="G157" s="1"/>
      <c r="H157" s="1"/>
      <c r="I157" s="195"/>
    </row>
    <row r="158" spans="1:12" ht="25.5" customHeight="1" x14ac:dyDescent="0.2">
      <c r="A158" s="4" t="s">
        <v>488</v>
      </c>
      <c r="B158" s="1204" t="s">
        <v>593</v>
      </c>
      <c r="C158" s="1205"/>
      <c r="D158" s="1205"/>
      <c r="E158" s="1205"/>
      <c r="F158" s="1205"/>
      <c r="G158" s="1205"/>
      <c r="H158" s="1205"/>
      <c r="I158" s="1206"/>
    </row>
    <row r="159" spans="1:12" ht="12.75" customHeight="1" x14ac:dyDescent="0.2">
      <c r="E159" s="1"/>
      <c r="F159" s="1"/>
      <c r="G159" s="1"/>
      <c r="H159" s="1"/>
      <c r="I159" s="195"/>
    </row>
    <row r="160" spans="1:12" x14ac:dyDescent="0.2">
      <c r="E160" s="3" t="s">
        <v>65</v>
      </c>
      <c r="F160" s="71"/>
      <c r="G160" s="3" t="s">
        <v>66</v>
      </c>
      <c r="H160" s="71"/>
    </row>
    <row r="161" spans="1:9" x14ac:dyDescent="0.2">
      <c r="E161" s="247"/>
      <c r="F161" s="71"/>
      <c r="G161" s="251"/>
      <c r="H161" s="71"/>
      <c r="I161" s="222"/>
    </row>
    <row r="162" spans="1:9" x14ac:dyDescent="0.2">
      <c r="A162" s="229" t="s">
        <v>99</v>
      </c>
      <c r="C162" s="13" t="s">
        <v>601</v>
      </c>
      <c r="D162" s="13"/>
      <c r="E162" s="108">
        <f t="shared" ref="E162:E180" si="2">E77</f>
        <v>0</v>
      </c>
      <c r="G162" s="104"/>
    </row>
    <row r="163" spans="1:9" x14ac:dyDescent="0.2">
      <c r="C163" s="13" t="s">
        <v>849</v>
      </c>
      <c r="D163" s="13"/>
      <c r="E163" s="108">
        <f t="shared" si="2"/>
        <v>0</v>
      </c>
      <c r="G163" s="104"/>
    </row>
    <row r="164" spans="1:9" x14ac:dyDescent="0.2">
      <c r="C164" s="13" t="s">
        <v>747</v>
      </c>
      <c r="D164" s="13"/>
      <c r="E164" s="108">
        <f t="shared" si="2"/>
        <v>0</v>
      </c>
      <c r="G164" s="104"/>
    </row>
    <row r="165" spans="1:9" x14ac:dyDescent="0.2">
      <c r="C165" s="13" t="s">
        <v>196</v>
      </c>
      <c r="D165" s="13"/>
      <c r="E165" s="108">
        <f t="shared" si="2"/>
        <v>0</v>
      </c>
      <c r="G165" s="104"/>
    </row>
    <row r="166" spans="1:9" x14ac:dyDescent="0.2">
      <c r="C166" s="13" t="s">
        <v>750</v>
      </c>
      <c r="D166" s="13"/>
      <c r="E166" s="108">
        <f t="shared" si="2"/>
        <v>0</v>
      </c>
      <c r="G166" s="104"/>
    </row>
    <row r="167" spans="1:9" x14ac:dyDescent="0.2">
      <c r="C167" s="13" t="s">
        <v>751</v>
      </c>
      <c r="D167" s="13"/>
      <c r="E167" s="108">
        <f t="shared" si="2"/>
        <v>0</v>
      </c>
      <c r="G167" s="104"/>
    </row>
    <row r="168" spans="1:9" s="704" customFormat="1" x14ac:dyDescent="0.2">
      <c r="A168" s="705"/>
      <c r="C168" s="742" t="s">
        <v>2073</v>
      </c>
      <c r="D168" s="706"/>
      <c r="E168" s="707">
        <f t="shared" si="2"/>
        <v>0</v>
      </c>
      <c r="G168" s="104"/>
    </row>
    <row r="169" spans="1:9" x14ac:dyDescent="0.2">
      <c r="C169" s="13" t="s">
        <v>476</v>
      </c>
      <c r="D169" s="13"/>
      <c r="E169" s="108">
        <f t="shared" si="2"/>
        <v>0</v>
      </c>
      <c r="G169" s="104"/>
    </row>
    <row r="170" spans="1:9" x14ac:dyDescent="0.2">
      <c r="C170" s="13" t="s">
        <v>477</v>
      </c>
      <c r="D170" s="13"/>
      <c r="E170" s="108">
        <f t="shared" si="2"/>
        <v>0</v>
      </c>
      <c r="G170" s="104"/>
    </row>
    <row r="171" spans="1:9" x14ac:dyDescent="0.2">
      <c r="C171" s="13" t="s">
        <v>474</v>
      </c>
      <c r="D171" s="13"/>
      <c r="E171" s="108">
        <f t="shared" si="2"/>
        <v>0</v>
      </c>
      <c r="G171" s="104"/>
    </row>
    <row r="172" spans="1:9" x14ac:dyDescent="0.2">
      <c r="C172" s="13" t="s">
        <v>602</v>
      </c>
      <c r="D172" s="13"/>
      <c r="E172" s="108">
        <f t="shared" si="2"/>
        <v>0</v>
      </c>
      <c r="G172" s="104"/>
      <c r="I172" s="6" t="s">
        <v>595</v>
      </c>
    </row>
    <row r="173" spans="1:9" s="704" customFormat="1" ht="38.25" x14ac:dyDescent="0.2">
      <c r="A173" s="705"/>
      <c r="C173" s="766" t="str">
        <f>C88</f>
        <v>LGERS - Deferred outflows of resources contributions made to pension plan subsequent to measurement date</v>
      </c>
      <c r="D173" s="706"/>
      <c r="E173" s="707">
        <f t="shared" si="2"/>
        <v>0</v>
      </c>
      <c r="G173" s="104"/>
      <c r="I173" s="6"/>
    </row>
    <row r="174" spans="1:9" s="753" customFormat="1" ht="25.5" x14ac:dyDescent="0.2">
      <c r="A174" s="754"/>
      <c r="C174" s="757" t="s">
        <v>3884</v>
      </c>
      <c r="D174" s="756"/>
      <c r="E174" s="755">
        <f t="shared" si="2"/>
        <v>0</v>
      </c>
      <c r="G174" s="104"/>
      <c r="I174" s="6"/>
    </row>
    <row r="175" spans="1:9" s="753" customFormat="1" ht="38.25" x14ac:dyDescent="0.2">
      <c r="A175" s="754"/>
      <c r="C175" s="757" t="s">
        <v>3885</v>
      </c>
      <c r="D175" s="756"/>
      <c r="E175" s="755">
        <f t="shared" si="2"/>
        <v>0</v>
      </c>
      <c r="G175" s="104"/>
      <c r="I175" s="6"/>
    </row>
    <row r="176" spans="1:9" s="753" customFormat="1" ht="31.15" customHeight="1" x14ac:dyDescent="0.2">
      <c r="A176" s="754"/>
      <c r="C176" s="757" t="s">
        <v>3886</v>
      </c>
      <c r="D176" s="756"/>
      <c r="E176" s="755">
        <f t="shared" si="2"/>
        <v>0</v>
      </c>
      <c r="G176" s="104"/>
      <c r="I176" s="6"/>
    </row>
    <row r="177" spans="1:9" s="753" customFormat="1" ht="51" x14ac:dyDescent="0.2">
      <c r="A177" s="754"/>
      <c r="C177" s="757" t="s">
        <v>3887</v>
      </c>
      <c r="D177" s="756"/>
      <c r="E177" s="755">
        <f t="shared" si="2"/>
        <v>0</v>
      </c>
      <c r="G177" s="104"/>
      <c r="I177" s="6"/>
    </row>
    <row r="178" spans="1:9" s="966" customFormat="1" ht="38.25" x14ac:dyDescent="0.2">
      <c r="A178" s="967"/>
      <c r="C178" s="766" t="s">
        <v>3898</v>
      </c>
      <c r="D178" s="971"/>
      <c r="E178" s="970">
        <f t="shared" si="2"/>
        <v>0</v>
      </c>
      <c r="G178" s="104"/>
      <c r="I178" s="6"/>
    </row>
    <row r="179" spans="1:9" s="966" customFormat="1" ht="25.5" x14ac:dyDescent="0.2">
      <c r="A179" s="967"/>
      <c r="C179" s="972" t="s">
        <v>3888</v>
      </c>
      <c r="D179" s="971"/>
      <c r="E179" s="970">
        <f t="shared" si="2"/>
        <v>0</v>
      </c>
      <c r="G179" s="104"/>
      <c r="I179" s="6"/>
    </row>
    <row r="180" spans="1:9" s="966" customFormat="1" ht="38.25" x14ac:dyDescent="0.2">
      <c r="A180" s="967"/>
      <c r="C180" s="972" t="s">
        <v>3889</v>
      </c>
      <c r="D180" s="971"/>
      <c r="E180" s="970">
        <f t="shared" si="2"/>
        <v>0</v>
      </c>
      <c r="G180" s="104"/>
      <c r="I180" s="6"/>
    </row>
    <row r="181" spans="1:9" x14ac:dyDescent="0.2">
      <c r="C181" s="13" t="s">
        <v>603</v>
      </c>
      <c r="D181" s="13"/>
      <c r="E181" s="104"/>
      <c r="G181" s="108">
        <f t="shared" ref="G181:G197" si="3">G96</f>
        <v>0</v>
      </c>
    </row>
    <row r="182" spans="1:9" x14ac:dyDescent="0.2">
      <c r="C182" s="13" t="s">
        <v>604</v>
      </c>
      <c r="D182" s="13"/>
      <c r="E182" s="104"/>
      <c r="G182" s="108">
        <f t="shared" si="3"/>
        <v>0</v>
      </c>
    </row>
    <row r="183" spans="1:9" x14ac:dyDescent="0.2">
      <c r="C183" s="13" t="s">
        <v>605</v>
      </c>
      <c r="D183" s="13"/>
      <c r="E183" s="104"/>
      <c r="G183" s="108">
        <f t="shared" si="3"/>
        <v>0</v>
      </c>
    </row>
    <row r="184" spans="1:9" x14ac:dyDescent="0.2">
      <c r="C184" s="13" t="s">
        <v>606</v>
      </c>
      <c r="D184" s="13"/>
      <c r="E184" s="104"/>
      <c r="G184" s="108">
        <f t="shared" si="3"/>
        <v>0</v>
      </c>
    </row>
    <row r="185" spans="1:9" x14ac:dyDescent="0.2">
      <c r="C185" s="466" t="s">
        <v>752</v>
      </c>
      <c r="D185" s="13"/>
      <c r="E185" s="104"/>
      <c r="G185" s="108">
        <f t="shared" si="3"/>
        <v>0</v>
      </c>
    </row>
    <row r="186" spans="1:9" x14ac:dyDescent="0.2">
      <c r="C186" s="466" t="s">
        <v>195</v>
      </c>
      <c r="D186" s="13"/>
      <c r="E186" s="104"/>
      <c r="G186" s="108">
        <f t="shared" si="3"/>
        <v>0</v>
      </c>
    </row>
    <row r="187" spans="1:9" x14ac:dyDescent="0.2">
      <c r="C187" s="13" t="s">
        <v>590</v>
      </c>
      <c r="D187" s="13"/>
      <c r="E187" s="104"/>
      <c r="G187" s="108">
        <f t="shared" si="3"/>
        <v>0</v>
      </c>
    </row>
    <row r="188" spans="1:9" x14ac:dyDescent="0.2">
      <c r="C188" s="13" t="s">
        <v>657</v>
      </c>
      <c r="D188" s="13"/>
      <c r="E188" s="104"/>
      <c r="G188" s="108">
        <f t="shared" si="3"/>
        <v>0</v>
      </c>
    </row>
    <row r="189" spans="1:9" s="810" customFormat="1" x14ac:dyDescent="0.2">
      <c r="A189" s="811"/>
      <c r="C189" s="466" t="s">
        <v>2564</v>
      </c>
      <c r="D189" s="812"/>
      <c r="E189" s="104"/>
      <c r="G189" s="813">
        <f t="shared" si="3"/>
        <v>0</v>
      </c>
    </row>
    <row r="190" spans="1:9" x14ac:dyDescent="0.2">
      <c r="C190" s="13" t="s">
        <v>15</v>
      </c>
      <c r="D190" s="13"/>
      <c r="E190" s="104"/>
      <c r="G190" s="108">
        <f t="shared" si="3"/>
        <v>0</v>
      </c>
    </row>
    <row r="191" spans="1:9" x14ac:dyDescent="0.2">
      <c r="C191" s="13" t="s">
        <v>866</v>
      </c>
      <c r="D191" s="13"/>
      <c r="E191" s="104"/>
      <c r="G191" s="108">
        <f t="shared" si="3"/>
        <v>0</v>
      </c>
    </row>
    <row r="192" spans="1:9" s="704" customFormat="1" ht="25.5" x14ac:dyDescent="0.2">
      <c r="A192" s="705"/>
      <c r="C192" s="748" t="s">
        <v>2103</v>
      </c>
      <c r="D192" s="706"/>
      <c r="E192" s="104"/>
      <c r="G192" s="707">
        <f t="shared" si="3"/>
        <v>0</v>
      </c>
    </row>
    <row r="193" spans="1:9" s="738" customFormat="1" ht="38.25" x14ac:dyDescent="0.2">
      <c r="A193" s="739"/>
      <c r="C193" s="748" t="s">
        <v>2104</v>
      </c>
      <c r="D193" s="741"/>
      <c r="E193" s="104"/>
      <c r="G193" s="740">
        <f t="shared" si="3"/>
        <v>0</v>
      </c>
    </row>
    <row r="194" spans="1:9" s="738" customFormat="1" ht="29.45" customHeight="1" x14ac:dyDescent="0.2">
      <c r="A194" s="739"/>
      <c r="C194" s="749" t="s">
        <v>2105</v>
      </c>
      <c r="D194" s="741"/>
      <c r="E194" s="104"/>
      <c r="G194" s="740">
        <f t="shared" si="3"/>
        <v>0</v>
      </c>
    </row>
    <row r="195" spans="1:9" s="738" customFormat="1" ht="51" x14ac:dyDescent="0.2">
      <c r="A195" s="739"/>
      <c r="C195" s="748" t="s">
        <v>2106</v>
      </c>
      <c r="D195" s="741"/>
      <c r="E195" s="104"/>
      <c r="G195" s="740">
        <f t="shared" si="3"/>
        <v>0</v>
      </c>
    </row>
    <row r="196" spans="1:9" s="966" customFormat="1" ht="25.5" x14ac:dyDescent="0.2">
      <c r="A196" s="967"/>
      <c r="C196" s="748" t="s">
        <v>3894</v>
      </c>
      <c r="D196" s="971"/>
      <c r="E196" s="104"/>
      <c r="G196" s="970">
        <f t="shared" si="3"/>
        <v>0</v>
      </c>
    </row>
    <row r="197" spans="1:9" s="966" customFormat="1" ht="38.25" x14ac:dyDescent="0.2">
      <c r="A197" s="967"/>
      <c r="C197" s="749" t="s">
        <v>3895</v>
      </c>
      <c r="D197" s="971"/>
      <c r="E197" s="104"/>
      <c r="G197" s="970">
        <f t="shared" si="3"/>
        <v>0</v>
      </c>
    </row>
    <row r="198" spans="1:9" x14ac:dyDescent="0.2">
      <c r="C198" s="13" t="s">
        <v>868</v>
      </c>
      <c r="D198" s="13"/>
      <c r="E198" s="103"/>
      <c r="G198" s="103">
        <f>G113+G135</f>
        <v>0</v>
      </c>
    </row>
    <row r="199" spans="1:9" s="13" customFormat="1" ht="6" customHeight="1" x14ac:dyDescent="0.2">
      <c r="A199" s="174"/>
      <c r="E199" s="104"/>
      <c r="F199"/>
      <c r="G199" s="104"/>
      <c r="H199"/>
      <c r="I199"/>
    </row>
    <row r="200" spans="1:9" s="13" customFormat="1" x14ac:dyDescent="0.2">
      <c r="A200" s="174"/>
      <c r="C200" s="13" t="s">
        <v>592</v>
      </c>
      <c r="E200" s="104"/>
      <c r="F200"/>
      <c r="G200" s="103">
        <f>G116</f>
        <v>0</v>
      </c>
      <c r="H200"/>
      <c r="I200"/>
    </row>
    <row r="201" spans="1:9" s="13" customFormat="1" x14ac:dyDescent="0.2">
      <c r="A201" s="174"/>
      <c r="C201" s="13" t="s">
        <v>607</v>
      </c>
      <c r="E201" s="104"/>
      <c r="F201"/>
      <c r="G201" s="103">
        <f>G120</f>
        <v>0</v>
      </c>
      <c r="H201"/>
    </row>
    <row r="202" spans="1:9" s="13" customFormat="1" x14ac:dyDescent="0.2">
      <c r="A202" s="174"/>
      <c r="C202" s="13" t="s">
        <v>608</v>
      </c>
      <c r="E202" s="103">
        <f>E121</f>
        <v>0</v>
      </c>
      <c r="F202"/>
      <c r="G202" s="104"/>
      <c r="H202"/>
      <c r="I202" s="6" t="s">
        <v>437</v>
      </c>
    </row>
    <row r="203" spans="1:9" s="13" customFormat="1" x14ac:dyDescent="0.2">
      <c r="A203" s="174"/>
      <c r="C203" s="13" t="s">
        <v>869</v>
      </c>
      <c r="E203" s="103">
        <f>E117</f>
        <v>0</v>
      </c>
      <c r="F203"/>
      <c r="G203" s="104"/>
      <c r="H203"/>
      <c r="I203"/>
    </row>
    <row r="204" spans="1:9" s="13" customFormat="1" x14ac:dyDescent="0.2">
      <c r="A204" s="174"/>
      <c r="C204" s="13" t="s">
        <v>435</v>
      </c>
      <c r="E204" s="103"/>
      <c r="F204"/>
      <c r="G204" s="103">
        <f>G119</f>
        <v>0</v>
      </c>
      <c r="H204"/>
      <c r="I204"/>
    </row>
    <row r="205" spans="1:9" s="13" customFormat="1" x14ac:dyDescent="0.2">
      <c r="A205" s="174"/>
      <c r="C205" s="13" t="s">
        <v>436</v>
      </c>
      <c r="E205" s="103">
        <f>E118</f>
        <v>0</v>
      </c>
      <c r="F205"/>
      <c r="G205" s="104"/>
      <c r="H205"/>
      <c r="I205"/>
    </row>
    <row r="206" spans="1:9" ht="6" customHeight="1" x14ac:dyDescent="0.2">
      <c r="C206" s="13"/>
      <c r="D206" s="13"/>
      <c r="E206" s="104"/>
      <c r="G206" s="104"/>
    </row>
    <row r="207" spans="1:9" x14ac:dyDescent="0.2">
      <c r="C207" s="198" t="s">
        <v>609</v>
      </c>
      <c r="D207" s="198"/>
      <c r="E207" s="103"/>
      <c r="G207" s="103">
        <f t="shared" ref="G207:G214" si="4">E143</f>
        <v>0</v>
      </c>
    </row>
    <row r="208" spans="1:9" x14ac:dyDescent="0.2">
      <c r="C208" s="198" t="s">
        <v>696</v>
      </c>
      <c r="D208" s="198"/>
      <c r="E208" s="103"/>
      <c r="G208" s="103">
        <f t="shared" si="4"/>
        <v>0</v>
      </c>
    </row>
    <row r="209" spans="1:9" x14ac:dyDescent="0.2">
      <c r="C209" s="198" t="s">
        <v>697</v>
      </c>
      <c r="D209" s="198"/>
      <c r="E209" s="103"/>
      <c r="G209" s="103">
        <f t="shared" si="4"/>
        <v>0</v>
      </c>
    </row>
    <row r="210" spans="1:9" x14ac:dyDescent="0.2">
      <c r="C210" t="s">
        <v>594</v>
      </c>
      <c r="E210" s="103"/>
      <c r="G210" s="103">
        <f t="shared" si="4"/>
        <v>0</v>
      </c>
    </row>
    <row r="211" spans="1:9" x14ac:dyDescent="0.2">
      <c r="C211" s="198" t="s">
        <v>699</v>
      </c>
      <c r="D211" s="198"/>
      <c r="E211" s="103"/>
      <c r="G211" s="103">
        <f t="shared" si="4"/>
        <v>0</v>
      </c>
      <c r="I211" s="6" t="s">
        <v>438</v>
      </c>
    </row>
    <row r="212" spans="1:9" x14ac:dyDescent="0.2">
      <c r="C212" s="198" t="s">
        <v>55</v>
      </c>
      <c r="D212" s="198"/>
      <c r="E212" s="103"/>
      <c r="G212" s="103">
        <f t="shared" si="4"/>
        <v>0</v>
      </c>
    </row>
    <row r="213" spans="1:9" x14ac:dyDescent="0.2">
      <c r="C213" s="198" t="s">
        <v>210</v>
      </c>
      <c r="D213" s="198"/>
      <c r="E213" s="103"/>
      <c r="G213" s="103">
        <f t="shared" si="4"/>
        <v>0</v>
      </c>
    </row>
    <row r="214" spans="1:9" x14ac:dyDescent="0.2">
      <c r="C214" s="551" t="s">
        <v>211</v>
      </c>
      <c r="D214" s="198"/>
      <c r="E214" s="103"/>
      <c r="G214" s="103">
        <f t="shared" si="4"/>
        <v>0</v>
      </c>
    </row>
    <row r="215" spans="1:9" x14ac:dyDescent="0.2">
      <c r="A215" s="174"/>
      <c r="B215" s="13"/>
      <c r="C215" s="466" t="s">
        <v>642</v>
      </c>
      <c r="D215" s="466"/>
      <c r="E215" s="103"/>
      <c r="F215" s="13"/>
      <c r="G215" s="103">
        <f>G156+(G135)</f>
        <v>0</v>
      </c>
      <c r="H215" s="13"/>
      <c r="I215" s="174"/>
    </row>
    <row r="216" spans="1:9" ht="6.75" customHeight="1" x14ac:dyDescent="0.2">
      <c r="C216" s="198"/>
      <c r="D216" s="198"/>
      <c r="E216" s="11"/>
      <c r="F216" s="1"/>
      <c r="G216" s="11"/>
      <c r="H216" s="14"/>
      <c r="I216" s="14"/>
    </row>
    <row r="217" spans="1:9" ht="13.5" thickBot="1" x14ac:dyDescent="0.25">
      <c r="C217" s="198"/>
      <c r="D217" s="198"/>
      <c r="E217" s="456">
        <f>SUM(E162:E215)</f>
        <v>0</v>
      </c>
      <c r="F217" s="1"/>
      <c r="G217" s="119">
        <f>SUM(G162:G215)</f>
        <v>0</v>
      </c>
    </row>
    <row r="218" spans="1:9" ht="18.75" customHeight="1" thickTop="1" x14ac:dyDescent="0.2">
      <c r="C218" s="198"/>
      <c r="D218" s="198"/>
      <c r="E218" s="11"/>
      <c r="F218" s="1"/>
      <c r="G218" s="11"/>
    </row>
    <row r="219" spans="1:9" x14ac:dyDescent="0.2">
      <c r="C219" s="1235" t="s">
        <v>56</v>
      </c>
      <c r="D219" s="1235"/>
      <c r="E219" t="s">
        <v>187</v>
      </c>
    </row>
    <row r="220" spans="1:9" x14ac:dyDescent="0.2">
      <c r="H220" s="14"/>
    </row>
    <row r="221" spans="1:9" x14ac:dyDescent="0.2">
      <c r="C221" t="s">
        <v>546</v>
      </c>
      <c r="E221" s="103">
        <f>G156+G132</f>
        <v>0</v>
      </c>
      <c r="G221" s="103"/>
    </row>
    <row r="222" spans="1:9" ht="12.75" customHeight="1" x14ac:dyDescent="0.2">
      <c r="C222" s="198" t="s">
        <v>57</v>
      </c>
      <c r="D222" s="198"/>
      <c r="E222" s="103"/>
      <c r="G222" s="103">
        <f>G152</f>
        <v>0</v>
      </c>
    </row>
    <row r="223" spans="1:9" ht="12.75" customHeight="1" x14ac:dyDescent="0.2">
      <c r="C223" s="198" t="s">
        <v>58</v>
      </c>
      <c r="D223" s="198"/>
      <c r="E223" s="103"/>
      <c r="G223" s="103">
        <f>G153</f>
        <v>0</v>
      </c>
      <c r="I223" s="1307" t="s">
        <v>716</v>
      </c>
    </row>
    <row r="224" spans="1:9" x14ac:dyDescent="0.2">
      <c r="C224" s="551" t="s">
        <v>683</v>
      </c>
      <c r="D224" s="198"/>
      <c r="E224" s="103"/>
      <c r="G224" s="103">
        <f>G154</f>
        <v>0</v>
      </c>
      <c r="I224" s="1307"/>
    </row>
    <row r="225" spans="3:9" x14ac:dyDescent="0.2">
      <c r="C225" s="551" t="s">
        <v>684</v>
      </c>
      <c r="D225" s="198"/>
      <c r="E225" s="103"/>
      <c r="G225" s="103">
        <f>G155</f>
        <v>0</v>
      </c>
    </row>
    <row r="226" spans="3:9" x14ac:dyDescent="0.2">
      <c r="C226" s="198" t="s">
        <v>932</v>
      </c>
      <c r="D226" s="198"/>
      <c r="E226" s="103"/>
      <c r="G226" s="103">
        <f>G132</f>
        <v>0</v>
      </c>
    </row>
    <row r="227" spans="3:9" ht="13.5" thickBot="1" x14ac:dyDescent="0.25">
      <c r="E227" s="105">
        <f>SUM(E221:E223)</f>
        <v>0</v>
      </c>
      <c r="G227" s="105">
        <f>SUM(G221:G226)</f>
        <v>0</v>
      </c>
    </row>
    <row r="228" spans="3:9" ht="13.5" thickTop="1" x14ac:dyDescent="0.2">
      <c r="I228" s="59"/>
    </row>
    <row r="229" spans="3:9" ht="12.75" customHeight="1" x14ac:dyDescent="0.2">
      <c r="C229" s="1126" t="s">
        <v>1040</v>
      </c>
      <c r="D229" s="1126"/>
      <c r="E229" s="1126"/>
      <c r="F229" s="1126"/>
      <c r="G229" s="1126"/>
      <c r="H229" s="1126"/>
      <c r="I229" s="1126"/>
    </row>
    <row r="230" spans="3:9" x14ac:dyDescent="0.2">
      <c r="C230" s="1126"/>
      <c r="D230" s="1126"/>
      <c r="E230" s="1126"/>
      <c r="F230" s="1126"/>
      <c r="G230" s="1126"/>
      <c r="H230" s="1126"/>
      <c r="I230" s="1126"/>
    </row>
  </sheetData>
  <mergeCells count="26">
    <mergeCell ref="C34:I34"/>
    <mergeCell ref="B72:I73"/>
    <mergeCell ref="B129:I130"/>
    <mergeCell ref="C1:I1"/>
    <mergeCell ref="C39:G39"/>
    <mergeCell ref="B2:I3"/>
    <mergeCell ref="C15:I16"/>
    <mergeCell ref="C24:I25"/>
    <mergeCell ref="C27:I27"/>
    <mergeCell ref="C31:I32"/>
    <mergeCell ref="I223:I224"/>
    <mergeCell ref="C28:I29"/>
    <mergeCell ref="I151:I155"/>
    <mergeCell ref="C229:I230"/>
    <mergeCell ref="C135:E136"/>
    <mergeCell ref="G135:G136"/>
    <mergeCell ref="G68:I69"/>
    <mergeCell ref="C123:C124"/>
    <mergeCell ref="D123:D124"/>
    <mergeCell ref="C219:D219"/>
    <mergeCell ref="C69:D69"/>
    <mergeCell ref="B36:I37"/>
    <mergeCell ref="B158:I158"/>
    <mergeCell ref="B138:I139"/>
    <mergeCell ref="C132:E133"/>
    <mergeCell ref="G132:G133"/>
  </mergeCells>
  <phoneticPr fontId="13" type="noConversion"/>
  <printOptions horizontalCentered="1"/>
  <pageMargins left="0.39" right="0.4" top="0.66" bottom="0.5" header="0.5" footer="0.5"/>
  <pageSetup scale="65" orientation="portrait" r:id="rId1"/>
  <headerFooter alignWithMargins="0">
    <oddHeader>&amp;REntry K.1</oddHeader>
    <oddFooter>&amp;L&amp;8&amp;D - City model&amp;R&amp;P</oddFooter>
  </headerFooter>
  <rowBreaks count="3" manualBreakCount="3">
    <brk id="71" max="8" man="1"/>
    <brk id="128" max="8" man="1"/>
    <brk id="156" max="8" man="1"/>
  </rowBreaks>
  <ignoredErrors>
    <ignoredError sqref="B132 B135 B123 B75 B115 B15 B18 B24 B28 B31" numberStoredAsText="1"/>
  </ignoredErrors>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M223"/>
  <sheetViews>
    <sheetView zoomScaleNormal="100" workbookViewId="0">
      <selection activeCell="E39" sqref="E39"/>
    </sheetView>
  </sheetViews>
  <sheetFormatPr defaultRowHeight="12.75" x14ac:dyDescent="0.2"/>
  <cols>
    <col min="1" max="1" width="3.42578125" style="4" customWidth="1"/>
    <col min="2" max="2" width="2.28515625" customWidth="1"/>
    <col min="3" max="3" width="36.7109375" customWidth="1"/>
    <col min="4" max="4" width="11.42578125" customWidth="1"/>
    <col min="5" max="5" width="15.7109375" customWidth="1"/>
    <col min="6" max="6" width="3.42578125" customWidth="1"/>
    <col min="7" max="7" width="15.7109375" customWidth="1"/>
    <col min="8" max="8" width="2.7109375" customWidth="1"/>
    <col min="9" max="9" width="36" customWidth="1"/>
    <col min="10" max="10" width="3.42578125" customWidth="1"/>
    <col min="11" max="13" width="15.7109375" customWidth="1"/>
  </cols>
  <sheetData>
    <row r="1" spans="1:10" s="191" customFormat="1" ht="15" x14ac:dyDescent="0.25">
      <c r="A1" s="226"/>
      <c r="C1" s="1339"/>
      <c r="D1" s="1339"/>
      <c r="E1" s="1340"/>
      <c r="F1" s="1340"/>
      <c r="G1" s="1340"/>
      <c r="H1" s="1340"/>
      <c r="I1" s="1340"/>
    </row>
    <row r="2" spans="1:10" s="191" customFormat="1" ht="15" customHeight="1" x14ac:dyDescent="0.25">
      <c r="A2" s="226"/>
      <c r="B2" s="1331" t="s">
        <v>568</v>
      </c>
      <c r="C2" s="1332"/>
      <c r="D2" s="1332"/>
      <c r="E2" s="1332"/>
      <c r="F2" s="1332"/>
      <c r="G2" s="1332"/>
      <c r="H2" s="1332"/>
      <c r="I2" s="1333"/>
    </row>
    <row r="3" spans="1:10" s="191" customFormat="1" ht="24" customHeight="1" x14ac:dyDescent="0.25">
      <c r="A3" s="226"/>
      <c r="B3" s="1334"/>
      <c r="C3" s="1335"/>
      <c r="D3" s="1335"/>
      <c r="E3" s="1335"/>
      <c r="F3" s="1335"/>
      <c r="G3" s="1335"/>
      <c r="H3" s="1335"/>
      <c r="I3" s="1336"/>
    </row>
    <row r="4" spans="1:10" ht="6" customHeight="1" x14ac:dyDescent="0.2">
      <c r="B4" s="1341"/>
      <c r="C4" s="1341"/>
      <c r="D4" s="1341"/>
      <c r="E4" s="1341"/>
      <c r="F4" s="1341"/>
      <c r="G4" s="1341"/>
      <c r="H4" s="1341"/>
      <c r="I4" s="1341"/>
    </row>
    <row r="5" spans="1:10" ht="12.75" customHeight="1" x14ac:dyDescent="0.2">
      <c r="C5" s="192"/>
      <c r="D5" s="192"/>
      <c r="E5" s="193"/>
      <c r="F5" s="193"/>
      <c r="G5" s="193"/>
      <c r="H5" s="193"/>
      <c r="I5" s="193"/>
    </row>
    <row r="6" spans="1:10" ht="12.75" customHeight="1" x14ac:dyDescent="0.2">
      <c r="C6" s="192"/>
      <c r="D6" s="192"/>
      <c r="E6" s="193"/>
      <c r="F6" s="193"/>
      <c r="G6" s="193"/>
      <c r="H6" s="193"/>
      <c r="I6" s="193"/>
    </row>
    <row r="7" spans="1:10" ht="12.75" customHeight="1" x14ac:dyDescent="0.2">
      <c r="C7" s="192"/>
      <c r="D7" s="192"/>
      <c r="E7" s="193"/>
      <c r="F7" s="193"/>
      <c r="G7" s="193"/>
      <c r="H7" s="193"/>
      <c r="I7" s="193"/>
    </row>
    <row r="8" spans="1:10" ht="12.75" customHeight="1" x14ac:dyDescent="0.2">
      <c r="C8" s="192"/>
      <c r="D8" s="192"/>
      <c r="E8" s="193"/>
      <c r="F8" s="193"/>
      <c r="G8" s="193"/>
      <c r="H8" s="193"/>
      <c r="I8" s="193"/>
    </row>
    <row r="9" spans="1:10" ht="12.75" customHeight="1" x14ac:dyDescent="0.2">
      <c r="C9" s="192"/>
      <c r="D9" s="192"/>
      <c r="E9" s="193"/>
      <c r="F9" s="193"/>
      <c r="G9" s="193"/>
      <c r="H9" s="193"/>
      <c r="I9" s="193"/>
    </row>
    <row r="10" spans="1:10" ht="12.75" customHeight="1" x14ac:dyDescent="0.2">
      <c r="C10" s="192"/>
      <c r="D10" s="192"/>
      <c r="E10" s="193"/>
      <c r="F10" s="193"/>
      <c r="G10" s="193"/>
      <c r="H10" s="193"/>
      <c r="I10" s="193"/>
    </row>
    <row r="11" spans="1:10" ht="12.75" customHeight="1" x14ac:dyDescent="0.2">
      <c r="C11" s="192"/>
      <c r="D11" s="192"/>
      <c r="E11" s="193"/>
      <c r="F11" s="193"/>
      <c r="G11" s="193"/>
      <c r="H11" s="193"/>
      <c r="I11" s="193"/>
    </row>
    <row r="12" spans="1:10" ht="12.75" customHeight="1" x14ac:dyDescent="0.2">
      <c r="C12" s="192"/>
      <c r="D12" s="192"/>
      <c r="E12" s="193"/>
      <c r="F12" s="193"/>
      <c r="G12" s="193"/>
      <c r="H12" s="193"/>
      <c r="I12" s="193"/>
    </row>
    <row r="13" spans="1:10" ht="12.75" customHeight="1" x14ac:dyDescent="0.2">
      <c r="C13" s="192"/>
      <c r="D13" s="192"/>
      <c r="E13" s="193"/>
      <c r="F13" s="193"/>
      <c r="G13" s="193"/>
      <c r="H13" s="193"/>
      <c r="I13" s="193"/>
    </row>
    <row r="14" spans="1:10" ht="12" customHeight="1" x14ac:dyDescent="0.2">
      <c r="B14" s="64" t="s">
        <v>947</v>
      </c>
      <c r="C14" s="1337" t="s">
        <v>800</v>
      </c>
      <c r="D14" s="1337"/>
      <c r="E14" s="1337"/>
      <c r="F14" s="1337"/>
      <c r="G14" s="1337"/>
      <c r="H14" s="1337"/>
      <c r="I14" s="1337"/>
      <c r="J14" s="227"/>
    </row>
    <row r="15" spans="1:10" ht="26.25" customHeight="1" x14ac:dyDescent="0.2">
      <c r="C15" s="1337"/>
      <c r="D15" s="1337"/>
      <c r="E15" s="1337"/>
      <c r="F15" s="1337"/>
      <c r="G15" s="1337"/>
      <c r="H15" s="1337"/>
      <c r="I15" s="1337"/>
      <c r="J15" s="227"/>
    </row>
    <row r="16" spans="1:10" ht="4.5" customHeight="1" x14ac:dyDescent="0.2"/>
    <row r="17" spans="1:9" ht="12.75" customHeight="1" x14ac:dyDescent="0.2">
      <c r="B17" s="64" t="s">
        <v>948</v>
      </c>
      <c r="C17" s="1337" t="s">
        <v>1116</v>
      </c>
      <c r="D17" s="1337"/>
      <c r="E17" s="1337"/>
      <c r="F17" s="1337"/>
      <c r="G17" s="1337"/>
      <c r="H17" s="1337"/>
      <c r="I17" s="1337"/>
    </row>
    <row r="18" spans="1:9" ht="51.75" customHeight="1" x14ac:dyDescent="0.2">
      <c r="C18" s="1337"/>
      <c r="D18" s="1337"/>
      <c r="E18" s="1337"/>
      <c r="F18" s="1337"/>
      <c r="G18" s="1337"/>
      <c r="H18" s="1337"/>
      <c r="I18" s="1337"/>
    </row>
    <row r="19" spans="1:9" ht="4.5" customHeight="1" x14ac:dyDescent="0.2"/>
    <row r="20" spans="1:9" ht="12" customHeight="1" x14ac:dyDescent="0.2">
      <c r="B20" s="64" t="s">
        <v>949</v>
      </c>
      <c r="C20" s="1136" t="s">
        <v>1107</v>
      </c>
      <c r="D20" s="1123"/>
      <c r="E20" s="1123"/>
      <c r="F20" s="1123"/>
      <c r="G20" s="1123"/>
      <c r="H20" s="1123"/>
      <c r="I20" s="1123"/>
    </row>
    <row r="21" spans="1:9" ht="12.75" hidden="1" customHeight="1" x14ac:dyDescent="0.2">
      <c r="C21" s="1123"/>
      <c r="D21" s="1123"/>
      <c r="E21" s="1123"/>
      <c r="F21" s="1123"/>
      <c r="G21" s="1123"/>
      <c r="H21" s="1123"/>
      <c r="I21" s="1123"/>
    </row>
    <row r="22" spans="1:9" ht="4.5" customHeight="1" x14ac:dyDescent="0.2"/>
    <row r="23" spans="1:9" ht="12.75" hidden="1" customHeight="1" x14ac:dyDescent="0.2">
      <c r="B23" s="64"/>
      <c r="C23" s="1123"/>
      <c r="D23" s="1123"/>
      <c r="E23" s="1123"/>
      <c r="F23" s="1123"/>
      <c r="G23" s="1123"/>
      <c r="H23" s="1123"/>
      <c r="I23" s="1123"/>
    </row>
    <row r="24" spans="1:9" ht="12.75" customHeight="1" x14ac:dyDescent="0.2">
      <c r="B24" s="64" t="s">
        <v>878</v>
      </c>
      <c r="C24" s="1136" t="s">
        <v>1117</v>
      </c>
      <c r="D24" s="1126"/>
      <c r="E24" s="1126"/>
      <c r="F24" s="1126"/>
      <c r="G24" s="1126"/>
      <c r="H24" s="1126"/>
      <c r="I24" s="1126"/>
    </row>
    <row r="25" spans="1:9" ht="12.75" customHeight="1" x14ac:dyDescent="0.2">
      <c r="B25" s="64"/>
      <c r="C25" s="1126"/>
      <c r="D25" s="1126"/>
      <c r="E25" s="1126"/>
      <c r="F25" s="1126"/>
      <c r="G25" s="1126"/>
      <c r="H25" s="1126"/>
      <c r="I25" s="1126"/>
    </row>
    <row r="26" spans="1:9" ht="4.5" customHeight="1" x14ac:dyDescent="0.2">
      <c r="B26" s="64"/>
    </row>
    <row r="27" spans="1:9" ht="12.75" customHeight="1" x14ac:dyDescent="0.2">
      <c r="B27" s="64" t="s">
        <v>879</v>
      </c>
      <c r="C27" s="1337" t="s">
        <v>406</v>
      </c>
      <c r="D27" s="1337"/>
      <c r="E27" s="1337"/>
      <c r="F27" s="1337"/>
      <c r="G27" s="1337"/>
      <c r="H27" s="1337"/>
      <c r="I27" s="1337"/>
    </row>
    <row r="28" spans="1:9" ht="26.25" customHeight="1" x14ac:dyDescent="0.2">
      <c r="B28" s="64"/>
      <c r="C28" s="1337"/>
      <c r="D28" s="1337"/>
      <c r="E28" s="1337"/>
      <c r="F28" s="1337"/>
      <c r="G28" s="1337"/>
      <c r="H28" s="1337"/>
      <c r="I28" s="1337"/>
    </row>
    <row r="29" spans="1:9" ht="15.75" customHeight="1" thickBot="1" x14ac:dyDescent="0.25"/>
    <row r="30" spans="1:9" ht="31.5" customHeight="1" thickTop="1" thickBot="1" x14ac:dyDescent="0.3">
      <c r="C30" s="1320" t="s">
        <v>270</v>
      </c>
      <c r="D30" s="1321"/>
      <c r="E30" s="1321"/>
      <c r="F30" s="1321"/>
      <c r="G30" s="1321"/>
      <c r="H30" s="1321"/>
      <c r="I30" s="1322"/>
    </row>
    <row r="31" spans="1:9" ht="19.5" customHeight="1" thickTop="1" x14ac:dyDescent="0.2"/>
    <row r="32" spans="1:9" ht="17.25" customHeight="1" x14ac:dyDescent="0.2">
      <c r="A32" s="4" t="s">
        <v>876</v>
      </c>
      <c r="B32" s="1314" t="s">
        <v>611</v>
      </c>
      <c r="C32" s="1315"/>
      <c r="D32" s="1315"/>
      <c r="E32" s="1315"/>
      <c r="F32" s="1315"/>
      <c r="G32" s="1315"/>
      <c r="H32" s="1315"/>
      <c r="I32" s="1316"/>
    </row>
    <row r="33" spans="2:13" ht="22.5" customHeight="1" x14ac:dyDescent="0.2">
      <c r="B33" s="1317"/>
      <c r="C33" s="1318"/>
      <c r="D33" s="1318"/>
      <c r="E33" s="1318"/>
      <c r="F33" s="1318"/>
      <c r="G33" s="1318"/>
      <c r="H33" s="1318"/>
      <c r="I33" s="1319"/>
    </row>
    <row r="34" spans="2:13" ht="24" customHeight="1" x14ac:dyDescent="0.2">
      <c r="C34" s="194"/>
      <c r="D34" s="194"/>
      <c r="E34" s="11"/>
      <c r="F34" s="11"/>
      <c r="G34" s="11"/>
      <c r="H34" s="11"/>
      <c r="I34" s="195"/>
    </row>
    <row r="35" spans="2:13" x14ac:dyDescent="0.2">
      <c r="C35" s="1330" t="s">
        <v>986</v>
      </c>
      <c r="D35" s="1330"/>
      <c r="E35" s="1330"/>
      <c r="F35" s="1330"/>
      <c r="G35" s="1330"/>
      <c r="H35" s="82"/>
      <c r="I35" s="82"/>
      <c r="J35" s="82"/>
      <c r="K35" s="82"/>
      <c r="L35" s="82"/>
      <c r="M35" s="82"/>
    </row>
    <row r="36" spans="2:13" x14ac:dyDescent="0.2">
      <c r="C36" s="4"/>
      <c r="D36" s="4"/>
      <c r="E36" s="136" t="s">
        <v>987</v>
      </c>
      <c r="F36" s="187"/>
      <c r="G36" s="196" t="s">
        <v>988</v>
      </c>
      <c r="H36" s="197"/>
    </row>
    <row r="37" spans="2:13" x14ac:dyDescent="0.2">
      <c r="C37" s="148" t="s">
        <v>989</v>
      </c>
      <c r="D37" s="148"/>
      <c r="E37" s="1"/>
      <c r="F37" s="11"/>
      <c r="G37" s="195"/>
      <c r="H37" s="195"/>
    </row>
    <row r="38" spans="2:13" x14ac:dyDescent="0.2">
      <c r="C38" s="198" t="s">
        <v>990</v>
      </c>
      <c r="D38" s="198"/>
      <c r="E38" s="1"/>
      <c r="F38" s="11"/>
      <c r="G38" s="195"/>
      <c r="H38" s="195"/>
    </row>
    <row r="39" spans="2:13" x14ac:dyDescent="0.2">
      <c r="C39" s="199" t="s">
        <v>718</v>
      </c>
      <c r="D39" s="199"/>
      <c r="E39" s="531"/>
      <c r="F39" s="11"/>
      <c r="G39" s="621">
        <f t="shared" ref="G39:G46" si="0">IF(E$56=0,0,ROUND(E39/E$58,4))</f>
        <v>0</v>
      </c>
      <c r="H39" s="195"/>
    </row>
    <row r="40" spans="2:13" x14ac:dyDescent="0.2">
      <c r="C40" s="199" t="s">
        <v>717</v>
      </c>
      <c r="D40" s="199"/>
      <c r="E40" s="516"/>
      <c r="F40" s="11"/>
      <c r="G40" s="621">
        <f t="shared" si="0"/>
        <v>0</v>
      </c>
      <c r="H40" s="195"/>
    </row>
    <row r="41" spans="2:13" x14ac:dyDescent="0.2">
      <c r="C41" s="199" t="s">
        <v>896</v>
      </c>
      <c r="D41" s="199"/>
      <c r="E41" s="516"/>
      <c r="F41" s="11"/>
      <c r="G41" s="621">
        <f t="shared" si="0"/>
        <v>0</v>
      </c>
      <c r="H41" s="195"/>
    </row>
    <row r="42" spans="2:13" x14ac:dyDescent="0.2">
      <c r="C42" s="199" t="s">
        <v>481</v>
      </c>
      <c r="D42" s="199"/>
      <c r="E42" s="516"/>
      <c r="F42" s="11"/>
      <c r="G42" s="621">
        <f t="shared" si="0"/>
        <v>0</v>
      </c>
      <c r="H42" s="195"/>
    </row>
    <row r="43" spans="2:13" x14ac:dyDescent="0.2">
      <c r="C43" s="199" t="s">
        <v>470</v>
      </c>
      <c r="D43" s="199"/>
      <c r="E43" s="516"/>
      <c r="F43" s="11"/>
      <c r="G43" s="621">
        <f t="shared" si="0"/>
        <v>0</v>
      </c>
      <c r="H43" s="195"/>
    </row>
    <row r="44" spans="2:13" x14ac:dyDescent="0.2">
      <c r="C44" s="199" t="s">
        <v>991</v>
      </c>
      <c r="D44" s="199"/>
      <c r="E44" s="516"/>
      <c r="F44" s="11"/>
      <c r="G44" s="621">
        <f t="shared" si="0"/>
        <v>0</v>
      </c>
      <c r="H44" s="195"/>
    </row>
    <row r="45" spans="2:13" x14ac:dyDescent="0.2">
      <c r="C45" s="199" t="s">
        <v>926</v>
      </c>
      <c r="D45" s="199"/>
      <c r="E45" s="516"/>
      <c r="F45" s="11"/>
      <c r="G45" s="621">
        <f t="shared" si="0"/>
        <v>0</v>
      </c>
      <c r="H45" s="195"/>
    </row>
    <row r="46" spans="2:13" x14ac:dyDescent="0.2">
      <c r="C46" s="550" t="s">
        <v>203</v>
      </c>
      <c r="D46" s="199"/>
      <c r="E46" s="516"/>
      <c r="F46" s="11"/>
      <c r="G46" s="621">
        <f t="shared" si="0"/>
        <v>0</v>
      </c>
      <c r="H46" s="195"/>
    </row>
    <row r="47" spans="2:13" x14ac:dyDescent="0.2">
      <c r="C47" s="199"/>
      <c r="D47" s="199"/>
      <c r="E47" s="1"/>
      <c r="F47" s="11"/>
      <c r="G47" s="195"/>
      <c r="H47" s="195"/>
    </row>
    <row r="48" spans="2:13" ht="15" x14ac:dyDescent="0.2">
      <c r="C48" s="200" t="s">
        <v>992</v>
      </c>
      <c r="D48" s="200"/>
      <c r="E48" s="215">
        <f>+SUM(E39:E47)</f>
        <v>0</v>
      </c>
      <c r="F48" s="11"/>
      <c r="G48" s="621">
        <f>IF(E$56=0,0,ROUND(E48/E$58,4))</f>
        <v>0</v>
      </c>
      <c r="H48" s="216" t="s">
        <v>773</v>
      </c>
    </row>
    <row r="49" spans="3:9" x14ac:dyDescent="0.2">
      <c r="E49" s="1"/>
      <c r="F49" s="11"/>
      <c r="G49" s="201" t="s">
        <v>187</v>
      </c>
      <c r="H49" s="201"/>
    </row>
    <row r="50" spans="3:9" x14ac:dyDescent="0.2">
      <c r="C50" s="198" t="s">
        <v>993</v>
      </c>
      <c r="D50" s="198"/>
      <c r="E50" s="1"/>
      <c r="F50" s="11"/>
      <c r="G50" s="201" t="s">
        <v>187</v>
      </c>
      <c r="H50" s="201"/>
    </row>
    <row r="51" spans="3:9" x14ac:dyDescent="0.2">
      <c r="C51" s="199" t="s">
        <v>994</v>
      </c>
      <c r="D51" s="199"/>
      <c r="E51" s="531"/>
      <c r="F51" s="11"/>
      <c r="G51" s="621">
        <f>IF(E$56=0,0,ROUND(E51/E$58,4))</f>
        <v>0</v>
      </c>
      <c r="H51" s="195"/>
    </row>
    <row r="52" spans="3:9" x14ac:dyDescent="0.2">
      <c r="C52" s="199" t="s">
        <v>995</v>
      </c>
      <c r="D52" s="199"/>
      <c r="E52" s="532"/>
      <c r="F52" s="202"/>
      <c r="G52" s="621">
        <f>IF(E$56=0,0,ROUND(E52/E$58,4))</f>
        <v>0</v>
      </c>
      <c r="H52" s="195"/>
    </row>
    <row r="53" spans="3:9" x14ac:dyDescent="0.2">
      <c r="C53" s="550" t="s">
        <v>933</v>
      </c>
      <c r="D53" s="199"/>
      <c r="E53" s="532"/>
      <c r="F53" s="202"/>
      <c r="G53" s="621">
        <f>IF(E$56=0,0,ROUND(E53/E$58,4))</f>
        <v>0</v>
      </c>
      <c r="H53" s="195"/>
    </row>
    <row r="54" spans="3:9" x14ac:dyDescent="0.2">
      <c r="C54" s="550" t="s">
        <v>934</v>
      </c>
      <c r="D54" s="199"/>
      <c r="E54" s="532"/>
      <c r="F54" s="202"/>
      <c r="G54" s="621">
        <f>IF(E$56=0,0,ROUND(E54/E$58,4))</f>
        <v>0</v>
      </c>
      <c r="H54" s="195"/>
    </row>
    <row r="55" spans="3:9" x14ac:dyDescent="0.2">
      <c r="C55" s="198"/>
      <c r="D55" s="198"/>
      <c r="E55" s="1"/>
      <c r="F55" s="11"/>
      <c r="G55" s="195"/>
      <c r="H55" s="195"/>
    </row>
    <row r="56" spans="3:9" x14ac:dyDescent="0.2">
      <c r="C56" s="200" t="s">
        <v>996</v>
      </c>
      <c r="D56" s="200"/>
      <c r="E56" s="215">
        <f>+SUM(E51:E55)</f>
        <v>0</v>
      </c>
      <c r="F56" s="11"/>
      <c r="G56" s="621">
        <f>IF(E$56=0,0,ROUND(E56/E$58,4))</f>
        <v>0</v>
      </c>
      <c r="H56" s="203"/>
    </row>
    <row r="57" spans="3:9" x14ac:dyDescent="0.2">
      <c r="C57" s="199"/>
      <c r="D57" s="199"/>
      <c r="E57" s="1"/>
      <c r="F57" s="11"/>
      <c r="G57" s="195"/>
      <c r="H57" s="195"/>
    </row>
    <row r="58" spans="3:9" ht="13.5" thickBot="1" x14ac:dyDescent="0.25">
      <c r="C58" s="204" t="s">
        <v>997</v>
      </c>
      <c r="D58" s="204"/>
      <c r="E58" s="217">
        <f>+E48+E56</f>
        <v>0</v>
      </c>
      <c r="F58" s="11"/>
      <c r="G58" s="622">
        <f>G48+G56</f>
        <v>0</v>
      </c>
      <c r="H58" s="203"/>
    </row>
    <row r="59" spans="3:9" ht="13.5" thickTop="1" x14ac:dyDescent="0.2">
      <c r="C59" s="204"/>
      <c r="D59" s="204"/>
      <c r="E59" s="11"/>
      <c r="F59" s="11"/>
      <c r="G59" s="203"/>
      <c r="H59" s="203"/>
    </row>
    <row r="60" spans="3:9" x14ac:dyDescent="0.2">
      <c r="C60" s="205" t="s">
        <v>998</v>
      </c>
      <c r="D60" s="205"/>
      <c r="E60" s="526"/>
      <c r="F60" s="11"/>
      <c r="G60" s="203"/>
      <c r="H60" s="203"/>
    </row>
    <row r="61" spans="3:9" x14ac:dyDescent="0.2">
      <c r="C61" s="204"/>
      <c r="D61" s="204"/>
      <c r="E61" s="11"/>
      <c r="F61" s="11"/>
      <c r="G61" s="203"/>
      <c r="H61" s="203"/>
    </row>
    <row r="62" spans="3:9" ht="13.5" thickBot="1" x14ac:dyDescent="0.25">
      <c r="C62" s="204" t="s">
        <v>999</v>
      </c>
      <c r="D62" s="204"/>
      <c r="E62" s="217">
        <f>E58+E60</f>
        <v>0</v>
      </c>
      <c r="F62" s="11"/>
      <c r="G62" s="203"/>
      <c r="H62" s="203"/>
    </row>
    <row r="63" spans="3:9" ht="13.5" thickTop="1" x14ac:dyDescent="0.2">
      <c r="C63" s="204"/>
      <c r="D63" s="204"/>
      <c r="E63" s="1"/>
      <c r="F63" s="1"/>
      <c r="G63" s="195"/>
      <c r="H63" s="195"/>
    </row>
    <row r="64" spans="3:9" ht="15.75" customHeight="1" x14ac:dyDescent="0.2">
      <c r="C64" s="204"/>
      <c r="D64" s="204"/>
      <c r="E64" s="1"/>
      <c r="F64" s="1"/>
      <c r="G64" s="1309" t="s">
        <v>790</v>
      </c>
      <c r="H64" s="1309"/>
      <c r="I64" s="1309"/>
    </row>
    <row r="65" spans="1:9" ht="32.25" customHeight="1" x14ac:dyDescent="0.2">
      <c r="C65" s="1126" t="s">
        <v>715</v>
      </c>
      <c r="D65" s="1313"/>
      <c r="E65" s="218" t="str">
        <f>IF(G48&gt;=50%,"Governmental","Business Type")</f>
        <v>Business Type</v>
      </c>
      <c r="F65" s="265" t="s">
        <v>773</v>
      </c>
      <c r="G65" s="1309"/>
      <c r="H65" s="1309"/>
      <c r="I65" s="1309"/>
    </row>
    <row r="66" spans="1:9" ht="44.25" customHeight="1" x14ac:dyDescent="0.2">
      <c r="C66" s="59"/>
      <c r="D66" s="59"/>
      <c r="E66" s="207"/>
      <c r="F66" s="206"/>
      <c r="G66" s="195"/>
      <c r="H66" s="195"/>
    </row>
    <row r="67" spans="1:9" x14ac:dyDescent="0.2">
      <c r="E67" s="1"/>
      <c r="F67" s="1"/>
      <c r="G67" s="208"/>
      <c r="H67" s="208"/>
      <c r="I67" s="195"/>
    </row>
    <row r="68" spans="1:9" ht="17.25" customHeight="1" x14ac:dyDescent="0.2">
      <c r="A68" s="4" t="s">
        <v>877</v>
      </c>
      <c r="B68" s="1323" t="s">
        <v>1109</v>
      </c>
      <c r="C68" s="1324"/>
      <c r="D68" s="1324"/>
      <c r="E68" s="1324"/>
      <c r="F68" s="1324"/>
      <c r="G68" s="1324"/>
      <c r="H68" s="1324"/>
      <c r="I68" s="1325"/>
    </row>
    <row r="69" spans="1:9" ht="36" customHeight="1" x14ac:dyDescent="0.2">
      <c r="B69" s="1326"/>
      <c r="C69" s="1327"/>
      <c r="D69" s="1327"/>
      <c r="E69" s="1327"/>
      <c r="F69" s="1327"/>
      <c r="G69" s="1327"/>
      <c r="H69" s="1327"/>
      <c r="I69" s="1328"/>
    </row>
    <row r="70" spans="1:9" ht="3.75" customHeight="1" x14ac:dyDescent="0.2">
      <c r="E70" s="1"/>
      <c r="F70" s="1"/>
      <c r="G70" s="208"/>
      <c r="H70" s="208"/>
      <c r="I70" s="195"/>
    </row>
    <row r="71" spans="1:9" x14ac:dyDescent="0.2">
      <c r="B71" s="88" t="s">
        <v>947</v>
      </c>
      <c r="C71" s="4" t="s">
        <v>1008</v>
      </c>
      <c r="E71" s="180" t="s">
        <v>65</v>
      </c>
      <c r="F71" s="187"/>
      <c r="G71" s="572" t="s">
        <v>66</v>
      </c>
      <c r="H71" s="208"/>
      <c r="I71" s="195"/>
    </row>
    <row r="72" spans="1:9" x14ac:dyDescent="0.2">
      <c r="C72" s="13" t="s">
        <v>601</v>
      </c>
      <c r="D72" s="13"/>
      <c r="E72" s="534"/>
      <c r="F72" s="125"/>
      <c r="G72" s="214"/>
      <c r="H72" s="208"/>
      <c r="I72" s="195"/>
    </row>
    <row r="73" spans="1:9" x14ac:dyDescent="0.2">
      <c r="C73" s="13" t="s">
        <v>849</v>
      </c>
      <c r="D73" s="13"/>
      <c r="E73" s="534"/>
      <c r="F73" s="125"/>
      <c r="G73" s="214"/>
      <c r="H73" s="208"/>
      <c r="I73" s="195"/>
    </row>
    <row r="74" spans="1:9" x14ac:dyDescent="0.2">
      <c r="C74" s="13" t="s">
        <v>747</v>
      </c>
      <c r="D74" s="13"/>
      <c r="E74" s="534"/>
      <c r="F74" s="125"/>
      <c r="G74" s="214"/>
      <c r="H74" s="208"/>
      <c r="I74" s="195"/>
    </row>
    <row r="75" spans="1:9" x14ac:dyDescent="0.2">
      <c r="C75" s="13" t="s">
        <v>196</v>
      </c>
      <c r="D75" s="13"/>
      <c r="E75" s="534"/>
      <c r="F75" s="125"/>
      <c r="G75" s="214"/>
      <c r="H75" s="208"/>
      <c r="I75" s="195"/>
    </row>
    <row r="76" spans="1:9" x14ac:dyDescent="0.2">
      <c r="C76" s="13" t="s">
        <v>750</v>
      </c>
      <c r="D76" s="13"/>
      <c r="E76" s="534"/>
      <c r="F76" s="125"/>
      <c r="G76" s="214"/>
      <c r="H76" s="208"/>
      <c r="I76" s="195"/>
    </row>
    <row r="77" spans="1:9" x14ac:dyDescent="0.2">
      <c r="C77" s="13" t="s">
        <v>751</v>
      </c>
      <c r="D77" s="13"/>
      <c r="E77" s="534"/>
      <c r="F77" s="125"/>
      <c r="G77" s="214"/>
      <c r="H77" s="208"/>
      <c r="I77" s="195"/>
    </row>
    <row r="78" spans="1:9" x14ac:dyDescent="0.2">
      <c r="C78" s="13" t="s">
        <v>476</v>
      </c>
      <c r="D78" s="13"/>
      <c r="E78" s="534"/>
      <c r="F78" s="125"/>
      <c r="G78" s="214"/>
      <c r="H78" s="208"/>
      <c r="I78" s="195"/>
    </row>
    <row r="79" spans="1:9" x14ac:dyDescent="0.2">
      <c r="C79" s="13" t="s">
        <v>477</v>
      </c>
      <c r="D79" s="13"/>
      <c r="E79" s="534"/>
      <c r="F79" s="125"/>
      <c r="G79" s="214"/>
      <c r="H79" s="208"/>
      <c r="I79" s="195"/>
    </row>
    <row r="80" spans="1:9" x14ac:dyDescent="0.2">
      <c r="C80" s="13" t="s">
        <v>474</v>
      </c>
      <c r="D80" s="13"/>
      <c r="E80" s="534"/>
      <c r="F80" s="125"/>
      <c r="G80" s="214"/>
      <c r="H80" s="208"/>
      <c r="I80" s="195"/>
    </row>
    <row r="81" spans="1:9" x14ac:dyDescent="0.2">
      <c r="C81" s="13" t="s">
        <v>602</v>
      </c>
      <c r="D81" s="13"/>
      <c r="E81" s="534"/>
      <c r="F81" s="125"/>
      <c r="G81" s="214"/>
      <c r="H81" s="208"/>
      <c r="I81" s="6" t="s">
        <v>1111</v>
      </c>
    </row>
    <row r="82" spans="1:9" s="753" customFormat="1" ht="25.5" x14ac:dyDescent="0.2">
      <c r="A82" s="754"/>
      <c r="C82" s="684" t="s">
        <v>3961</v>
      </c>
      <c r="D82" s="756"/>
      <c r="E82" s="534"/>
      <c r="F82" s="125"/>
      <c r="G82" s="214"/>
      <c r="H82" s="208"/>
      <c r="I82" s="6"/>
    </row>
    <row r="83" spans="1:9" s="753" customFormat="1" ht="25.5" x14ac:dyDescent="0.2">
      <c r="A83" s="754"/>
      <c r="C83" s="765" t="s">
        <v>3884</v>
      </c>
      <c r="D83" s="756"/>
      <c r="E83" s="534"/>
      <c r="F83" s="125"/>
      <c r="G83" s="214"/>
      <c r="H83" s="208"/>
      <c r="I83" s="6"/>
    </row>
    <row r="84" spans="1:9" s="753" customFormat="1" ht="38.25" x14ac:dyDescent="0.2">
      <c r="A84" s="754"/>
      <c r="C84" s="765" t="s">
        <v>3885</v>
      </c>
      <c r="D84" s="756"/>
      <c r="E84" s="534"/>
      <c r="F84" s="125"/>
      <c r="G84" s="214"/>
      <c r="H84" s="208"/>
      <c r="I84" s="6"/>
    </row>
    <row r="85" spans="1:9" s="753" customFormat="1" ht="38.25" x14ac:dyDescent="0.2">
      <c r="A85" s="754"/>
      <c r="C85" s="757" t="s">
        <v>3886</v>
      </c>
      <c r="D85" s="756"/>
      <c r="E85" s="534"/>
      <c r="F85" s="125"/>
      <c r="G85" s="214"/>
      <c r="H85" s="208"/>
      <c r="I85" s="6"/>
    </row>
    <row r="86" spans="1:9" s="753" customFormat="1" ht="51" x14ac:dyDescent="0.2">
      <c r="A86" s="754"/>
      <c r="C86" s="765" t="s">
        <v>3887</v>
      </c>
      <c r="D86" s="756"/>
      <c r="E86" s="534"/>
      <c r="F86" s="125"/>
      <c r="G86" s="214"/>
      <c r="H86" s="208"/>
      <c r="I86" s="6"/>
    </row>
    <row r="87" spans="1:9" s="1030" customFormat="1" ht="38.25" x14ac:dyDescent="0.2">
      <c r="A87" s="1031"/>
      <c r="C87" s="974" t="s">
        <v>3899</v>
      </c>
      <c r="D87" s="1033"/>
      <c r="E87" s="534"/>
      <c r="F87" s="125"/>
      <c r="G87" s="214"/>
      <c r="H87" s="208"/>
      <c r="I87" s="6"/>
    </row>
    <row r="88" spans="1:9" s="1030" customFormat="1" ht="25.5" x14ac:dyDescent="0.2">
      <c r="A88" s="1031"/>
      <c r="C88" s="1039" t="s">
        <v>3888</v>
      </c>
      <c r="D88" s="1033"/>
      <c r="E88" s="534"/>
      <c r="F88" s="125"/>
      <c r="G88" s="214"/>
      <c r="H88" s="208"/>
      <c r="I88" s="6"/>
    </row>
    <row r="89" spans="1:9" s="1030" customFormat="1" ht="38.25" x14ac:dyDescent="0.2">
      <c r="A89" s="1031"/>
      <c r="C89" s="1040" t="s">
        <v>3889</v>
      </c>
      <c r="D89" s="1033"/>
      <c r="E89" s="534"/>
      <c r="F89" s="125"/>
      <c r="G89" s="214"/>
      <c r="H89" s="208"/>
      <c r="I89" s="6"/>
    </row>
    <row r="90" spans="1:9" x14ac:dyDescent="0.2">
      <c r="C90" s="13" t="s">
        <v>603</v>
      </c>
      <c r="D90" s="13"/>
      <c r="E90" s="213"/>
      <c r="F90" s="125"/>
      <c r="G90" s="534"/>
      <c r="H90" s="208"/>
      <c r="I90" s="195"/>
    </row>
    <row r="91" spans="1:9" x14ac:dyDescent="0.2">
      <c r="C91" s="13" t="s">
        <v>604</v>
      </c>
      <c r="D91" s="13"/>
      <c r="E91" s="213"/>
      <c r="F91" s="125"/>
      <c r="G91" s="534"/>
      <c r="H91" s="208"/>
      <c r="I91" s="195"/>
    </row>
    <row r="92" spans="1:9" x14ac:dyDescent="0.2">
      <c r="C92" s="13" t="s">
        <v>605</v>
      </c>
      <c r="D92" s="13"/>
      <c r="E92" s="213"/>
      <c r="F92" s="125"/>
      <c r="G92" s="534"/>
      <c r="H92" s="208"/>
      <c r="I92" s="195"/>
    </row>
    <row r="93" spans="1:9" x14ac:dyDescent="0.2">
      <c r="C93" s="13" t="s">
        <v>606</v>
      </c>
      <c r="D93" s="13"/>
      <c r="E93" s="125"/>
      <c r="F93" s="125"/>
      <c r="G93" s="534"/>
      <c r="H93" s="208"/>
      <c r="I93" s="195"/>
    </row>
    <row r="94" spans="1:9" x14ac:dyDescent="0.2">
      <c r="C94" s="466" t="s">
        <v>752</v>
      </c>
      <c r="D94" s="13"/>
      <c r="E94" s="125"/>
      <c r="F94" s="125"/>
      <c r="G94" s="534"/>
      <c r="H94" s="208"/>
      <c r="I94" s="195"/>
    </row>
    <row r="95" spans="1:9" x14ac:dyDescent="0.2">
      <c r="C95" s="466" t="s">
        <v>195</v>
      </c>
      <c r="D95" s="13"/>
      <c r="E95" s="125"/>
      <c r="F95" s="125"/>
      <c r="G95" s="534"/>
      <c r="H95" s="208"/>
      <c r="I95" s="195"/>
    </row>
    <row r="96" spans="1:9" x14ac:dyDescent="0.2">
      <c r="C96" s="13" t="s">
        <v>656</v>
      </c>
      <c r="D96" s="13"/>
      <c r="E96" s="125"/>
      <c r="F96" s="125"/>
      <c r="G96" s="534"/>
      <c r="H96" s="208"/>
      <c r="I96" s="195"/>
    </row>
    <row r="97" spans="1:9" x14ac:dyDescent="0.2">
      <c r="C97" s="13" t="s">
        <v>657</v>
      </c>
      <c r="D97" s="13"/>
      <c r="E97" s="125"/>
      <c r="F97" s="125"/>
      <c r="G97" s="534"/>
      <c r="H97" s="208"/>
      <c r="I97" s="195"/>
    </row>
    <row r="98" spans="1:9" x14ac:dyDescent="0.2">
      <c r="C98" s="13" t="s">
        <v>3964</v>
      </c>
      <c r="D98" s="13"/>
      <c r="E98" s="125"/>
      <c r="F98" s="125"/>
      <c r="G98" s="534"/>
      <c r="H98" s="208"/>
      <c r="I98" s="195"/>
    </row>
    <row r="99" spans="1:9" s="1030" customFormat="1" x14ac:dyDescent="0.2">
      <c r="A99" s="1031"/>
      <c r="C99" s="1038" t="s">
        <v>3959</v>
      </c>
      <c r="D99" s="1033"/>
      <c r="E99" s="125"/>
      <c r="F99" s="125"/>
      <c r="G99" s="534"/>
      <c r="H99" s="208"/>
      <c r="I99" s="195"/>
    </row>
    <row r="100" spans="1:9" x14ac:dyDescent="0.2">
      <c r="C100" s="13" t="s">
        <v>658</v>
      </c>
      <c r="D100" s="13"/>
      <c r="E100" s="125"/>
      <c r="F100" s="125"/>
      <c r="G100" s="534"/>
      <c r="H100" s="208"/>
      <c r="I100" s="195"/>
    </row>
    <row r="101" spans="1:9" s="753" customFormat="1" ht="25.5" x14ac:dyDescent="0.2">
      <c r="A101" s="754"/>
      <c r="C101" s="762" t="s">
        <v>3890</v>
      </c>
      <c r="D101" s="756"/>
      <c r="E101" s="125"/>
      <c r="F101" s="125"/>
      <c r="G101" s="534"/>
      <c r="H101" s="208"/>
      <c r="I101" s="195"/>
    </row>
    <row r="102" spans="1:9" s="753" customFormat="1" ht="38.25" x14ac:dyDescent="0.2">
      <c r="A102" s="754"/>
      <c r="C102" s="762" t="s">
        <v>3891</v>
      </c>
      <c r="D102" s="756"/>
      <c r="E102" s="125"/>
      <c r="F102" s="125"/>
      <c r="G102" s="534"/>
      <c r="H102" s="208"/>
      <c r="I102" s="195"/>
    </row>
    <row r="103" spans="1:9" s="753" customFormat="1" ht="38.25" x14ac:dyDescent="0.2">
      <c r="A103" s="754"/>
      <c r="C103" s="763" t="s">
        <v>3892</v>
      </c>
      <c r="D103" s="756"/>
      <c r="E103" s="125"/>
      <c r="F103" s="125"/>
      <c r="G103" s="534"/>
      <c r="H103" s="208"/>
      <c r="I103" s="195"/>
    </row>
    <row r="104" spans="1:9" s="753" customFormat="1" ht="51" x14ac:dyDescent="0.2">
      <c r="A104" s="754"/>
      <c r="C104" s="762" t="s">
        <v>3893</v>
      </c>
      <c r="D104" s="756"/>
      <c r="E104" s="125"/>
      <c r="F104" s="125"/>
      <c r="G104" s="534"/>
      <c r="H104" s="208"/>
      <c r="I104" s="195"/>
    </row>
    <row r="105" spans="1:9" s="1030" customFormat="1" ht="25.5" x14ac:dyDescent="0.2">
      <c r="A105" s="1031"/>
      <c r="C105" s="1036" t="s">
        <v>3894</v>
      </c>
      <c r="D105" s="1033"/>
      <c r="E105" s="125"/>
      <c r="F105" s="125"/>
      <c r="G105" s="534"/>
      <c r="H105" s="208"/>
      <c r="I105" s="195"/>
    </row>
    <row r="106" spans="1:9" s="1030" customFormat="1" ht="38.25" x14ac:dyDescent="0.2">
      <c r="A106" s="1031"/>
      <c r="C106" s="1037" t="s">
        <v>3895</v>
      </c>
      <c r="D106" s="1033"/>
      <c r="E106" s="125"/>
      <c r="F106" s="125"/>
      <c r="G106" s="534"/>
      <c r="H106" s="208"/>
      <c r="I106" s="195"/>
    </row>
    <row r="107" spans="1:9" x14ac:dyDescent="0.2">
      <c r="C107" s="638" t="s">
        <v>1110</v>
      </c>
      <c r="D107" s="13"/>
      <c r="E107" s="120"/>
      <c r="F107" s="120"/>
      <c r="G107" s="516"/>
      <c r="H107" s="208"/>
      <c r="I107" s="262" t="s">
        <v>508</v>
      </c>
    </row>
    <row r="108" spans="1:9" ht="7.5" customHeight="1" x14ac:dyDescent="0.2">
      <c r="C108" s="13"/>
      <c r="D108" s="13"/>
      <c r="E108" s="120"/>
      <c r="F108" s="120"/>
      <c r="G108" s="120"/>
      <c r="H108" s="208"/>
      <c r="I108" s="195"/>
    </row>
    <row r="109" spans="1:9" ht="12.75" customHeight="1" x14ac:dyDescent="0.2">
      <c r="B109" s="88" t="s">
        <v>948</v>
      </c>
      <c r="C109" s="174" t="s">
        <v>1009</v>
      </c>
      <c r="D109" s="13"/>
      <c r="E109" s="120"/>
      <c r="F109" s="120"/>
      <c r="G109" s="120"/>
      <c r="H109" s="208"/>
      <c r="I109" s="195"/>
    </row>
    <row r="110" spans="1:9" x14ac:dyDescent="0.2">
      <c r="C110" s="198" t="s">
        <v>1017</v>
      </c>
      <c r="D110" s="198"/>
      <c r="F110" s="1"/>
      <c r="G110" s="516"/>
      <c r="H110" s="1"/>
      <c r="I110" s="220"/>
    </row>
    <row r="111" spans="1:9" ht="12.75" customHeight="1" x14ac:dyDescent="0.2">
      <c r="C111" s="198" t="s">
        <v>1010</v>
      </c>
      <c r="D111" s="198"/>
      <c r="E111" s="516"/>
      <c r="F111" s="1"/>
      <c r="H111" s="1"/>
      <c r="I111" s="220" t="s">
        <v>643</v>
      </c>
    </row>
    <row r="112" spans="1:9" x14ac:dyDescent="0.2">
      <c r="C112" s="198" t="s">
        <v>814</v>
      </c>
      <c r="D112" s="198"/>
      <c r="E112" s="516"/>
      <c r="F112" s="1"/>
      <c r="H112" s="1"/>
      <c r="I112" s="220" t="s">
        <v>1112</v>
      </c>
    </row>
    <row r="113" spans="1:9" x14ac:dyDescent="0.2">
      <c r="C113" s="198" t="s">
        <v>813</v>
      </c>
      <c r="D113" s="198"/>
      <c r="F113" s="1"/>
      <c r="G113" s="516"/>
      <c r="H113" s="1"/>
      <c r="I113" s="220"/>
    </row>
    <row r="114" spans="1:9" x14ac:dyDescent="0.2">
      <c r="C114" s="198" t="s">
        <v>59</v>
      </c>
      <c r="D114" s="198"/>
      <c r="F114" s="1"/>
      <c r="G114" s="516"/>
      <c r="H114" s="1"/>
      <c r="I114" s="221" t="s">
        <v>98</v>
      </c>
    </row>
    <row r="115" spans="1:9" ht="22.5" x14ac:dyDescent="0.2">
      <c r="C115" s="198" t="s">
        <v>1000</v>
      </c>
      <c r="D115" s="198"/>
      <c r="E115" s="516"/>
      <c r="F115" s="1"/>
      <c r="H115" s="1"/>
      <c r="I115" s="219" t="s">
        <v>597</v>
      </c>
    </row>
    <row r="116" spans="1:9" x14ac:dyDescent="0.2">
      <c r="B116" s="64"/>
      <c r="C116" s="198"/>
      <c r="D116" s="198"/>
      <c r="F116" s="1"/>
      <c r="G116" s="1"/>
      <c r="H116" s="1"/>
      <c r="I116" s="1"/>
    </row>
    <row r="117" spans="1:9" ht="24.75" customHeight="1" x14ac:dyDescent="0.2">
      <c r="B117" s="88" t="s">
        <v>949</v>
      </c>
      <c r="C117" s="1310" t="s">
        <v>1113</v>
      </c>
      <c r="D117" s="1338"/>
      <c r="F117" s="1"/>
      <c r="H117" s="1"/>
      <c r="I117" s="220" t="s">
        <v>1114</v>
      </c>
    </row>
    <row r="118" spans="1:9" ht="21.75" customHeight="1" x14ac:dyDescent="0.2">
      <c r="B118" s="88"/>
      <c r="C118" s="1311"/>
      <c r="D118" s="1338"/>
      <c r="F118" s="1"/>
      <c r="H118" s="1"/>
      <c r="I118" s="220"/>
    </row>
    <row r="119" spans="1:9" x14ac:dyDescent="0.2">
      <c r="B119" s="64"/>
      <c r="C119" s="259" t="s">
        <v>357</v>
      </c>
      <c r="D119" s="260">
        <f>G110-E111-E112+G113+G114-E115</f>
        <v>0</v>
      </c>
      <c r="F119" s="1"/>
      <c r="G119" s="1"/>
      <c r="H119" s="1"/>
      <c r="I119" s="1"/>
    </row>
    <row r="120" spans="1:9" ht="36" customHeight="1" thickBot="1" x14ac:dyDescent="0.25">
      <c r="C120" s="199" t="s">
        <v>358</v>
      </c>
      <c r="D120" s="467">
        <f>D117-D119</f>
        <v>0</v>
      </c>
      <c r="E120" s="8"/>
      <c r="F120" s="261"/>
      <c r="G120" s="236">
        <f>D120</f>
        <v>0</v>
      </c>
      <c r="H120" s="1"/>
      <c r="I120" s="266" t="s">
        <v>544</v>
      </c>
    </row>
    <row r="121" spans="1:9" ht="18.75" customHeight="1" thickTop="1" thickBot="1" x14ac:dyDescent="0.25">
      <c r="C121" s="199"/>
      <c r="D121" s="199"/>
      <c r="E121" s="263">
        <f>SUM(E72:E120)</f>
        <v>0</v>
      </c>
      <c r="F121" s="1"/>
      <c r="G121" s="119">
        <f>SUM(G90:G120)</f>
        <v>0</v>
      </c>
      <c r="H121" s="1"/>
      <c r="I121" s="267" t="s">
        <v>545</v>
      </c>
    </row>
    <row r="122" spans="1:9" ht="18.75" customHeight="1" thickTop="1" x14ac:dyDescent="0.2">
      <c r="C122" s="199"/>
      <c r="D122" s="199"/>
      <c r="F122" s="1"/>
      <c r="G122" s="1"/>
      <c r="H122" s="1"/>
      <c r="I122" s="1"/>
    </row>
    <row r="123" spans="1:9" ht="15" customHeight="1" x14ac:dyDescent="0.2">
      <c r="A123" s="4" t="s">
        <v>466</v>
      </c>
      <c r="B123" s="1323" t="s">
        <v>1118</v>
      </c>
      <c r="C123" s="1324"/>
      <c r="D123" s="1324"/>
      <c r="E123" s="1324"/>
      <c r="F123" s="1324"/>
      <c r="G123" s="1324"/>
      <c r="H123" s="1324"/>
      <c r="I123" s="1325"/>
    </row>
    <row r="124" spans="1:9" ht="25.5" customHeight="1" x14ac:dyDescent="0.2">
      <c r="B124" s="1326"/>
      <c r="C124" s="1327"/>
      <c r="D124" s="1327"/>
      <c r="E124" s="1327"/>
      <c r="F124" s="1327"/>
      <c r="G124" s="1327"/>
      <c r="H124" s="1327"/>
      <c r="I124" s="1328"/>
    </row>
    <row r="125" spans="1:9" x14ac:dyDescent="0.2">
      <c r="E125" s="1"/>
      <c r="F125" s="1"/>
      <c r="G125" s="208"/>
      <c r="H125" s="208"/>
      <c r="I125" s="195"/>
    </row>
    <row r="126" spans="1:9" ht="12.75" customHeight="1" x14ac:dyDescent="0.2">
      <c r="B126" s="64" t="s">
        <v>947</v>
      </c>
      <c r="C126" s="1135" t="s">
        <v>1039</v>
      </c>
      <c r="D126" s="1135"/>
      <c r="E126" s="1135"/>
      <c r="F126" s="1"/>
      <c r="G126" s="1308"/>
      <c r="H126" s="208"/>
      <c r="I126" s="195"/>
    </row>
    <row r="127" spans="1:9" ht="46.5" customHeight="1" x14ac:dyDescent="0.2">
      <c r="C127" s="1135"/>
      <c r="D127" s="1135"/>
      <c r="E127" s="1135"/>
      <c r="F127" s="1"/>
      <c r="G127" s="1308"/>
      <c r="H127" s="208"/>
      <c r="I127" s="195"/>
    </row>
    <row r="128" spans="1:9" x14ac:dyDescent="0.2">
      <c r="E128" s="1"/>
      <c r="F128" s="1"/>
      <c r="G128" s="208"/>
      <c r="H128" s="208"/>
      <c r="I128" s="225" t="s">
        <v>659</v>
      </c>
    </row>
    <row r="129" spans="1:12" x14ac:dyDescent="0.2">
      <c r="B129" s="64" t="s">
        <v>948</v>
      </c>
      <c r="C129" s="1135" t="s">
        <v>789</v>
      </c>
      <c r="D129" s="1135"/>
      <c r="E129" s="1135"/>
      <c r="F129" s="1"/>
      <c r="G129" s="1308"/>
      <c r="H129" s="208"/>
      <c r="I129" s="195"/>
    </row>
    <row r="130" spans="1:12" ht="45" customHeight="1" x14ac:dyDescent="0.2">
      <c r="C130" s="1135"/>
      <c r="D130" s="1135"/>
      <c r="E130" s="1135"/>
      <c r="F130" s="1"/>
      <c r="G130" s="1308"/>
      <c r="H130" s="208"/>
      <c r="I130" s="195"/>
    </row>
    <row r="131" spans="1:12" x14ac:dyDescent="0.2">
      <c r="E131" s="1"/>
      <c r="F131" s="1"/>
      <c r="G131" s="208"/>
      <c r="H131" s="208"/>
      <c r="I131" s="195"/>
    </row>
    <row r="132" spans="1:12" ht="13.5" customHeight="1" x14ac:dyDescent="0.2">
      <c r="A132" s="4" t="s">
        <v>472</v>
      </c>
      <c r="B132" s="1314" t="s">
        <v>645</v>
      </c>
      <c r="C132" s="1315"/>
      <c r="D132" s="1315"/>
      <c r="E132" s="1315"/>
      <c r="F132" s="1315"/>
      <c r="G132" s="1315"/>
      <c r="H132" s="1315"/>
      <c r="I132" s="1316"/>
      <c r="J132" s="1"/>
      <c r="K132" s="1"/>
      <c r="L132" s="1"/>
    </row>
    <row r="133" spans="1:12" ht="12" customHeight="1" x14ac:dyDescent="0.2">
      <c r="B133" s="1317"/>
      <c r="C133" s="1318"/>
      <c r="D133" s="1318"/>
      <c r="E133" s="1318"/>
      <c r="F133" s="1318"/>
      <c r="G133" s="1318"/>
      <c r="H133" s="1318"/>
      <c r="I133" s="1319"/>
      <c r="J133" s="1"/>
      <c r="K133" s="1"/>
      <c r="L133" s="1"/>
    </row>
    <row r="134" spans="1:12" ht="5.25" customHeight="1" x14ac:dyDescent="0.2">
      <c r="C134" s="210"/>
      <c r="D134" s="210"/>
      <c r="E134" s="193"/>
      <c r="F134" s="193"/>
      <c r="G134" s="193"/>
      <c r="H134" s="193"/>
      <c r="I134" s="193"/>
      <c r="J134" s="1"/>
      <c r="K134" s="1"/>
      <c r="L134" s="1"/>
    </row>
    <row r="135" spans="1:12" ht="37.5" customHeight="1" x14ac:dyDescent="0.2">
      <c r="C135" s="228" t="s">
        <v>194</v>
      </c>
      <c r="D135" s="228"/>
      <c r="E135" s="211" t="s">
        <v>598</v>
      </c>
      <c r="F135" s="209"/>
      <c r="G135" s="211" t="s">
        <v>599</v>
      </c>
      <c r="H135" s="209"/>
      <c r="I135" s="212"/>
      <c r="J135" s="1"/>
      <c r="K135" s="1"/>
      <c r="L135" s="1"/>
    </row>
    <row r="136" spans="1:12" x14ac:dyDescent="0.2">
      <c r="E136" s="1"/>
      <c r="F136" s="11"/>
      <c r="G136" s="1"/>
      <c r="H136" s="1"/>
      <c r="I136" s="1"/>
      <c r="J136" s="1"/>
      <c r="K136" s="1"/>
      <c r="L136" s="1"/>
    </row>
    <row r="137" spans="1:12" x14ac:dyDescent="0.2">
      <c r="C137" t="str">
        <f>+$C39</f>
        <v>General government</v>
      </c>
      <c r="E137" s="407">
        <f t="shared" ref="E137:E144" si="1">D$120*G39</f>
        <v>0</v>
      </c>
      <c r="F137" s="1"/>
      <c r="G137" s="1"/>
      <c r="H137" s="1"/>
      <c r="I137" s="1"/>
      <c r="J137" s="1"/>
      <c r="K137" s="1"/>
      <c r="L137" s="1"/>
    </row>
    <row r="138" spans="1:12" x14ac:dyDescent="0.2">
      <c r="C138" t="str">
        <f>+C40</f>
        <v>Public safety</v>
      </c>
      <c r="E138" s="407">
        <f t="shared" si="1"/>
        <v>0</v>
      </c>
      <c r="F138" s="1"/>
      <c r="G138" s="1"/>
      <c r="H138" s="1"/>
      <c r="I138" s="1"/>
      <c r="J138" s="1"/>
      <c r="K138" s="1"/>
      <c r="L138" s="1"/>
    </row>
    <row r="139" spans="1:12" x14ac:dyDescent="0.2">
      <c r="C139" t="str">
        <f>+C41</f>
        <v>Transportation</v>
      </c>
      <c r="E139" s="407">
        <f t="shared" si="1"/>
        <v>0</v>
      </c>
      <c r="F139" s="1"/>
      <c r="G139" s="1"/>
      <c r="H139" s="1"/>
      <c r="I139" s="1"/>
      <c r="J139" s="1"/>
      <c r="K139" s="1"/>
      <c r="L139" s="1"/>
    </row>
    <row r="140" spans="1:12" x14ac:dyDescent="0.2">
      <c r="C140" t="s">
        <v>481</v>
      </c>
      <c r="E140" s="407">
        <f t="shared" si="1"/>
        <v>0</v>
      </c>
      <c r="F140" s="1"/>
      <c r="G140" s="1"/>
      <c r="H140" s="1"/>
      <c r="I140" s="1"/>
      <c r="J140" s="1"/>
      <c r="K140" s="1"/>
      <c r="L140" s="1"/>
    </row>
    <row r="141" spans="1:12" x14ac:dyDescent="0.2">
      <c r="C141" t="s">
        <v>470</v>
      </c>
      <c r="E141" s="407">
        <f t="shared" si="1"/>
        <v>0</v>
      </c>
      <c r="F141" s="1"/>
      <c r="G141" s="1"/>
      <c r="H141" s="1"/>
      <c r="I141" s="1"/>
      <c r="J141" s="1"/>
      <c r="K141" s="1"/>
      <c r="L141" s="1"/>
    </row>
    <row r="142" spans="1:12" x14ac:dyDescent="0.2">
      <c r="C142" t="s">
        <v>991</v>
      </c>
      <c r="E142" s="407">
        <f t="shared" si="1"/>
        <v>0</v>
      </c>
      <c r="F142" s="1"/>
      <c r="G142" s="1"/>
      <c r="H142" s="1"/>
      <c r="I142" s="6"/>
      <c r="J142" s="1"/>
      <c r="K142" s="1"/>
      <c r="L142" s="1"/>
    </row>
    <row r="143" spans="1:12" x14ac:dyDescent="0.2">
      <c r="C143" t="s">
        <v>926</v>
      </c>
      <c r="E143" s="407">
        <f t="shared" si="1"/>
        <v>0</v>
      </c>
      <c r="F143" s="1"/>
      <c r="G143" s="1"/>
      <c r="H143" s="1"/>
      <c r="I143" s="264"/>
      <c r="J143" s="1"/>
      <c r="K143" s="1"/>
      <c r="L143" s="1"/>
    </row>
    <row r="144" spans="1:12" ht="12.75" customHeight="1" x14ac:dyDescent="0.2">
      <c r="C144" s="521" t="s">
        <v>203</v>
      </c>
      <c r="E144" s="407">
        <f t="shared" si="1"/>
        <v>0</v>
      </c>
      <c r="F144" s="1"/>
      <c r="G144" s="1"/>
      <c r="H144" s="1"/>
      <c r="J144" s="1"/>
      <c r="K144" s="1"/>
      <c r="L144" s="1"/>
    </row>
    <row r="145" spans="1:12" x14ac:dyDescent="0.2">
      <c r="E145" s="1"/>
      <c r="F145" s="1"/>
      <c r="G145" s="1"/>
      <c r="H145" s="1"/>
      <c r="I145" s="1249" t="s">
        <v>788</v>
      </c>
      <c r="J145" s="1"/>
      <c r="K145" s="1"/>
      <c r="L145" s="1"/>
    </row>
    <row r="146" spans="1:12" ht="12" customHeight="1" x14ac:dyDescent="0.2">
      <c r="C146" t="str">
        <f>+C51</f>
        <v>Water and sewer</v>
      </c>
      <c r="E146" s="1"/>
      <c r="F146" s="1"/>
      <c r="G146" s="407">
        <f>D$120*G51</f>
        <v>0</v>
      </c>
      <c r="H146" s="1"/>
      <c r="I146" s="1249"/>
      <c r="J146" s="1"/>
      <c r="K146" s="1"/>
      <c r="L146" s="1"/>
    </row>
    <row r="147" spans="1:12" x14ac:dyDescent="0.2">
      <c r="C147" t="str">
        <f>+C52</f>
        <v>Electric</v>
      </c>
      <c r="E147" s="1"/>
      <c r="F147" s="1"/>
      <c r="G147" s="407">
        <f>D$120*G52</f>
        <v>0</v>
      </c>
      <c r="H147" s="1"/>
      <c r="I147" s="1249"/>
      <c r="J147" s="1"/>
      <c r="K147" s="1"/>
      <c r="L147" s="1"/>
    </row>
    <row r="148" spans="1:12" x14ac:dyDescent="0.2">
      <c r="C148" s="521" t="s">
        <v>935</v>
      </c>
      <c r="E148" s="1"/>
      <c r="F148" s="1"/>
      <c r="G148" s="407">
        <f>D$120*G53</f>
        <v>0</v>
      </c>
      <c r="H148" s="1"/>
      <c r="I148" s="1249"/>
      <c r="J148" s="1"/>
      <c r="K148" s="1"/>
      <c r="L148" s="1"/>
    </row>
    <row r="149" spans="1:12" x14ac:dyDescent="0.2">
      <c r="C149" s="521" t="s">
        <v>936</v>
      </c>
      <c r="E149" s="1"/>
      <c r="F149" s="1"/>
      <c r="G149" s="407">
        <f>D$120*G54</f>
        <v>0</v>
      </c>
      <c r="H149" s="1"/>
      <c r="I149" s="1249"/>
      <c r="J149" s="1"/>
      <c r="K149" s="1"/>
      <c r="L149" s="1"/>
    </row>
    <row r="150" spans="1:12" ht="13.5" thickBot="1" x14ac:dyDescent="0.25">
      <c r="C150" s="198" t="s">
        <v>600</v>
      </c>
      <c r="D150" s="198"/>
      <c r="E150" s="119">
        <f>SUM(E137:E149)</f>
        <v>0</v>
      </c>
      <c r="F150" s="1"/>
      <c r="G150" s="119">
        <f>SUM(G146:G149)</f>
        <v>0</v>
      </c>
      <c r="H150" s="268" t="s">
        <v>946</v>
      </c>
      <c r="I150" s="119">
        <f>SUM(E150:G150)</f>
        <v>0</v>
      </c>
      <c r="J150" s="1"/>
      <c r="K150" s="1"/>
      <c r="L150" s="1"/>
    </row>
    <row r="151" spans="1:12" ht="13.5" thickTop="1" x14ac:dyDescent="0.2">
      <c r="E151" s="1"/>
      <c r="F151" s="1"/>
      <c r="G151" s="1"/>
      <c r="H151" s="1"/>
      <c r="I151" s="195"/>
    </row>
    <row r="152" spans="1:12" ht="25.5" customHeight="1" x14ac:dyDescent="0.2">
      <c r="A152" s="4" t="s">
        <v>488</v>
      </c>
      <c r="B152" s="1204" t="s">
        <v>593</v>
      </c>
      <c r="C152" s="1205"/>
      <c r="D152" s="1205"/>
      <c r="E152" s="1205"/>
      <c r="F152" s="1205"/>
      <c r="G152" s="1205"/>
      <c r="H152" s="1205"/>
      <c r="I152" s="1206"/>
    </row>
    <row r="153" spans="1:12" ht="12.75" customHeight="1" x14ac:dyDescent="0.2">
      <c r="E153" s="1"/>
      <c r="F153" s="1"/>
      <c r="G153" s="1"/>
      <c r="H153" s="1"/>
      <c r="I153" s="195"/>
    </row>
    <row r="154" spans="1:12" x14ac:dyDescent="0.2">
      <c r="E154" s="3" t="s">
        <v>65</v>
      </c>
      <c r="F154" s="71"/>
      <c r="G154" s="3" t="s">
        <v>66</v>
      </c>
      <c r="H154" s="71"/>
    </row>
    <row r="155" spans="1:12" x14ac:dyDescent="0.2">
      <c r="E155" s="247"/>
      <c r="F155" s="71"/>
      <c r="G155" s="251"/>
      <c r="H155" s="71"/>
      <c r="I155" s="222"/>
    </row>
    <row r="156" spans="1:12" x14ac:dyDescent="0.2">
      <c r="A156" s="229" t="s">
        <v>99</v>
      </c>
      <c r="C156" s="13" t="s">
        <v>601</v>
      </c>
      <c r="D156" s="13"/>
      <c r="E156" s="109">
        <f t="shared" ref="E156:E171" si="2">E72</f>
        <v>0</v>
      </c>
      <c r="G156" s="104"/>
    </row>
    <row r="157" spans="1:12" x14ac:dyDescent="0.2">
      <c r="C157" s="13" t="s">
        <v>849</v>
      </c>
      <c r="D157" s="13"/>
      <c r="E157" s="109">
        <f t="shared" si="2"/>
        <v>0</v>
      </c>
      <c r="G157" s="104"/>
    </row>
    <row r="158" spans="1:12" x14ac:dyDescent="0.2">
      <c r="C158" s="13" t="s">
        <v>747</v>
      </c>
      <c r="D158" s="13"/>
      <c r="E158" s="109">
        <f t="shared" si="2"/>
        <v>0</v>
      </c>
      <c r="G158" s="104"/>
    </row>
    <row r="159" spans="1:12" x14ac:dyDescent="0.2">
      <c r="C159" s="13" t="s">
        <v>196</v>
      </c>
      <c r="D159" s="13"/>
      <c r="E159" s="109">
        <f t="shared" si="2"/>
        <v>0</v>
      </c>
      <c r="G159" s="104"/>
    </row>
    <row r="160" spans="1:12" x14ac:dyDescent="0.2">
      <c r="C160" s="13" t="s">
        <v>750</v>
      </c>
      <c r="D160" s="13"/>
      <c r="E160" s="109">
        <f t="shared" si="2"/>
        <v>0</v>
      </c>
      <c r="G160" s="104"/>
    </row>
    <row r="161" spans="1:9" x14ac:dyDescent="0.2">
      <c r="C161" s="13" t="s">
        <v>751</v>
      </c>
      <c r="D161" s="13"/>
      <c r="E161" s="109">
        <f t="shared" si="2"/>
        <v>0</v>
      </c>
      <c r="G161" s="104"/>
    </row>
    <row r="162" spans="1:9" x14ac:dyDescent="0.2">
      <c r="C162" s="13" t="s">
        <v>476</v>
      </c>
      <c r="D162" s="13"/>
      <c r="E162" s="109">
        <f t="shared" si="2"/>
        <v>0</v>
      </c>
      <c r="G162" s="104"/>
    </row>
    <row r="163" spans="1:9" x14ac:dyDescent="0.2">
      <c r="C163" s="13" t="s">
        <v>477</v>
      </c>
      <c r="D163" s="13"/>
      <c r="E163" s="109">
        <f t="shared" si="2"/>
        <v>0</v>
      </c>
      <c r="G163" s="104"/>
    </row>
    <row r="164" spans="1:9" x14ac:dyDescent="0.2">
      <c r="C164" s="13" t="s">
        <v>474</v>
      </c>
      <c r="D164" s="13"/>
      <c r="E164" s="109">
        <f t="shared" si="2"/>
        <v>0</v>
      </c>
      <c r="G164" s="104"/>
    </row>
    <row r="165" spans="1:9" x14ac:dyDescent="0.2">
      <c r="C165" s="13" t="s">
        <v>602</v>
      </c>
      <c r="D165" s="13"/>
      <c r="E165" s="109">
        <f t="shared" si="2"/>
        <v>0</v>
      </c>
      <c r="G165" s="104"/>
      <c r="I165" s="6" t="s">
        <v>595</v>
      </c>
    </row>
    <row r="166" spans="1:9" s="753" customFormat="1" ht="25.5" x14ac:dyDescent="0.2">
      <c r="A166" s="754"/>
      <c r="C166" s="684" t="s">
        <v>3961</v>
      </c>
      <c r="D166" s="756"/>
      <c r="E166" s="109">
        <f t="shared" si="2"/>
        <v>0</v>
      </c>
      <c r="G166" s="104"/>
      <c r="I166" s="6"/>
    </row>
    <row r="167" spans="1:9" s="753" customFormat="1" ht="25.5" x14ac:dyDescent="0.2">
      <c r="A167" s="754"/>
      <c r="C167" s="765" t="s">
        <v>3884</v>
      </c>
      <c r="D167" s="756"/>
      <c r="E167" s="109">
        <f t="shared" si="2"/>
        <v>0</v>
      </c>
      <c r="G167" s="104"/>
      <c r="I167" s="6"/>
    </row>
    <row r="168" spans="1:9" s="753" customFormat="1" ht="38.25" x14ac:dyDescent="0.2">
      <c r="A168" s="754"/>
      <c r="C168" s="765" t="s">
        <v>3885</v>
      </c>
      <c r="D168" s="756"/>
      <c r="E168" s="109">
        <f t="shared" si="2"/>
        <v>0</v>
      </c>
      <c r="G168" s="104"/>
      <c r="I168" s="6"/>
    </row>
    <row r="169" spans="1:9" s="753" customFormat="1" ht="38.25" x14ac:dyDescent="0.2">
      <c r="A169" s="754"/>
      <c r="C169" s="757" t="s">
        <v>3886</v>
      </c>
      <c r="D169" s="756"/>
      <c r="E169" s="109">
        <f t="shared" si="2"/>
        <v>0</v>
      </c>
      <c r="G169" s="104"/>
      <c r="I169" s="6"/>
    </row>
    <row r="170" spans="1:9" s="753" customFormat="1" ht="51" x14ac:dyDescent="0.2">
      <c r="A170" s="754"/>
      <c r="C170" s="765" t="s">
        <v>3887</v>
      </c>
      <c r="D170" s="756"/>
      <c r="E170" s="109">
        <f t="shared" si="2"/>
        <v>0</v>
      </c>
      <c r="G170" s="104"/>
      <c r="I170" s="6"/>
    </row>
    <row r="171" spans="1:9" s="1030" customFormat="1" ht="38.25" x14ac:dyDescent="0.2">
      <c r="A171" s="1031"/>
      <c r="C171" s="766" t="s">
        <v>3898</v>
      </c>
      <c r="D171" s="1033"/>
      <c r="E171" s="109">
        <f t="shared" si="2"/>
        <v>0</v>
      </c>
      <c r="G171" s="104"/>
      <c r="I171" s="6"/>
    </row>
    <row r="172" spans="1:9" s="1030" customFormat="1" ht="25.5" x14ac:dyDescent="0.2">
      <c r="A172" s="1031"/>
      <c r="C172" s="1034" t="s">
        <v>3888</v>
      </c>
      <c r="D172" s="1033"/>
      <c r="E172" s="109">
        <f t="shared" ref="E172:E173" si="3">E88</f>
        <v>0</v>
      </c>
      <c r="G172" s="104"/>
      <c r="I172" s="6"/>
    </row>
    <row r="173" spans="1:9" s="1030" customFormat="1" ht="38.25" x14ac:dyDescent="0.2">
      <c r="A173" s="1031"/>
      <c r="C173" s="1034" t="s">
        <v>3889</v>
      </c>
      <c r="D173" s="1033"/>
      <c r="E173" s="109">
        <f t="shared" si="3"/>
        <v>0</v>
      </c>
      <c r="G173" s="104"/>
      <c r="I173" s="6"/>
    </row>
    <row r="174" spans="1:9" x14ac:dyDescent="0.2">
      <c r="C174" s="13" t="s">
        <v>603</v>
      </c>
      <c r="D174" s="13"/>
      <c r="E174" s="104"/>
      <c r="G174" s="109">
        <f t="shared" ref="G174:G190" si="4">G90</f>
        <v>0</v>
      </c>
    </row>
    <row r="175" spans="1:9" x14ac:dyDescent="0.2">
      <c r="C175" s="13" t="s">
        <v>604</v>
      </c>
      <c r="D175" s="13"/>
      <c r="E175" s="104"/>
      <c r="G175" s="109">
        <f t="shared" si="4"/>
        <v>0</v>
      </c>
    </row>
    <row r="176" spans="1:9" x14ac:dyDescent="0.2">
      <c r="C176" s="13" t="s">
        <v>605</v>
      </c>
      <c r="D176" s="13"/>
      <c r="E176" s="104"/>
      <c r="G176" s="109">
        <f t="shared" si="4"/>
        <v>0</v>
      </c>
    </row>
    <row r="177" spans="1:9" x14ac:dyDescent="0.2">
      <c r="C177" s="13" t="s">
        <v>606</v>
      </c>
      <c r="D177" s="13"/>
      <c r="E177" s="104"/>
      <c r="G177" s="109">
        <f t="shared" si="4"/>
        <v>0</v>
      </c>
    </row>
    <row r="178" spans="1:9" x14ac:dyDescent="0.2">
      <c r="C178" s="466" t="s">
        <v>752</v>
      </c>
      <c r="D178" s="13"/>
      <c r="E178" s="104"/>
      <c r="G178" s="109">
        <f t="shared" si="4"/>
        <v>0</v>
      </c>
    </row>
    <row r="179" spans="1:9" x14ac:dyDescent="0.2">
      <c r="C179" s="466" t="s">
        <v>195</v>
      </c>
      <c r="D179" s="13"/>
      <c r="E179" s="104"/>
      <c r="G179" s="109">
        <f t="shared" si="4"/>
        <v>0</v>
      </c>
    </row>
    <row r="180" spans="1:9" x14ac:dyDescent="0.2">
      <c r="C180" s="13" t="s">
        <v>590</v>
      </c>
      <c r="D180" s="13"/>
      <c r="E180" s="104"/>
      <c r="G180" s="109">
        <f t="shared" si="4"/>
        <v>0</v>
      </c>
    </row>
    <row r="181" spans="1:9" x14ac:dyDescent="0.2">
      <c r="C181" s="13" t="s">
        <v>657</v>
      </c>
      <c r="D181" s="13"/>
      <c r="E181" s="104"/>
      <c r="G181" s="109">
        <f t="shared" si="4"/>
        <v>0</v>
      </c>
    </row>
    <row r="182" spans="1:9" x14ac:dyDescent="0.2">
      <c r="C182" s="13" t="s">
        <v>3962</v>
      </c>
      <c r="D182" s="13"/>
      <c r="E182" s="104"/>
      <c r="G182" s="109">
        <f t="shared" si="4"/>
        <v>0</v>
      </c>
    </row>
    <row r="183" spans="1:9" s="1030" customFormat="1" x14ac:dyDescent="0.2">
      <c r="A183" s="1031"/>
      <c r="C183" s="466" t="s">
        <v>3966</v>
      </c>
      <c r="D183" s="1033"/>
      <c r="E183" s="104"/>
      <c r="G183" s="109">
        <f t="shared" si="4"/>
        <v>0</v>
      </c>
    </row>
    <row r="184" spans="1:9" x14ac:dyDescent="0.2">
      <c r="C184" s="13" t="s">
        <v>866</v>
      </c>
      <c r="D184" s="13"/>
      <c r="E184" s="104"/>
      <c r="G184" s="109">
        <f t="shared" si="4"/>
        <v>0</v>
      </c>
    </row>
    <row r="185" spans="1:9" s="753" customFormat="1" ht="25.5" x14ac:dyDescent="0.2">
      <c r="A185" s="754"/>
      <c r="C185" s="762" t="s">
        <v>3890</v>
      </c>
      <c r="D185" s="756"/>
      <c r="E185" s="104"/>
      <c r="G185" s="109">
        <f t="shared" si="4"/>
        <v>0</v>
      </c>
    </row>
    <row r="186" spans="1:9" s="753" customFormat="1" ht="38.25" x14ac:dyDescent="0.2">
      <c r="A186" s="754"/>
      <c r="C186" s="762" t="s">
        <v>3891</v>
      </c>
      <c r="D186" s="756"/>
      <c r="E186" s="104"/>
      <c r="G186" s="109">
        <f t="shared" si="4"/>
        <v>0</v>
      </c>
    </row>
    <row r="187" spans="1:9" s="753" customFormat="1" ht="38.25" x14ac:dyDescent="0.2">
      <c r="A187" s="754"/>
      <c r="C187" s="763" t="s">
        <v>3892</v>
      </c>
      <c r="D187" s="756"/>
      <c r="E187" s="104"/>
      <c r="G187" s="109">
        <f t="shared" si="4"/>
        <v>0</v>
      </c>
    </row>
    <row r="188" spans="1:9" s="753" customFormat="1" ht="51" x14ac:dyDescent="0.2">
      <c r="A188" s="754"/>
      <c r="C188" s="762" t="s">
        <v>3893</v>
      </c>
      <c r="D188" s="756"/>
      <c r="E188" s="104"/>
      <c r="G188" s="109">
        <f t="shared" si="4"/>
        <v>0</v>
      </c>
    </row>
    <row r="189" spans="1:9" s="1030" customFormat="1" ht="25.5" x14ac:dyDescent="0.2">
      <c r="A189" s="1031"/>
      <c r="C189" s="748" t="s">
        <v>3894</v>
      </c>
      <c r="D189" s="1033"/>
      <c r="E189" s="104"/>
      <c r="G189" s="109">
        <f t="shared" si="4"/>
        <v>0</v>
      </c>
    </row>
    <row r="190" spans="1:9" s="1030" customFormat="1" ht="38.25" x14ac:dyDescent="0.2">
      <c r="A190" s="1031"/>
      <c r="C190" s="749" t="s">
        <v>3895</v>
      </c>
      <c r="D190" s="1033"/>
      <c r="E190" s="104"/>
      <c r="G190" s="109">
        <f t="shared" si="4"/>
        <v>0</v>
      </c>
    </row>
    <row r="191" spans="1:9" x14ac:dyDescent="0.2">
      <c r="C191" s="13" t="s">
        <v>868</v>
      </c>
      <c r="D191" s="13"/>
      <c r="E191" s="103"/>
      <c r="G191" s="103">
        <f>G107+G129</f>
        <v>0</v>
      </c>
    </row>
    <row r="192" spans="1:9" s="13" customFormat="1" ht="6" customHeight="1" x14ac:dyDescent="0.2">
      <c r="A192" s="174"/>
      <c r="E192" s="104"/>
      <c r="F192"/>
      <c r="G192" s="104"/>
      <c r="H192"/>
      <c r="I192"/>
    </row>
    <row r="193" spans="1:9" s="13" customFormat="1" x14ac:dyDescent="0.2">
      <c r="A193" s="174"/>
      <c r="C193" s="13" t="s">
        <v>592</v>
      </c>
      <c r="E193" s="104"/>
      <c r="F193"/>
      <c r="G193" s="103">
        <f>G110</f>
        <v>0</v>
      </c>
      <c r="H193"/>
      <c r="I193"/>
    </row>
    <row r="194" spans="1:9" s="13" customFormat="1" x14ac:dyDescent="0.2">
      <c r="A194" s="174"/>
      <c r="C194" s="13" t="s">
        <v>607</v>
      </c>
      <c r="E194" s="104"/>
      <c r="F194"/>
      <c r="G194" s="103">
        <f>G114</f>
        <v>0</v>
      </c>
      <c r="H194"/>
    </row>
    <row r="195" spans="1:9" s="13" customFormat="1" x14ac:dyDescent="0.2">
      <c r="A195" s="174"/>
      <c r="C195" s="13" t="s">
        <v>608</v>
      </c>
      <c r="E195" s="103">
        <f>E115</f>
        <v>0</v>
      </c>
      <c r="F195"/>
      <c r="G195" s="104"/>
      <c r="H195"/>
      <c r="I195" s="6" t="s">
        <v>437</v>
      </c>
    </row>
    <row r="196" spans="1:9" s="13" customFormat="1" x14ac:dyDescent="0.2">
      <c r="A196" s="174"/>
      <c r="C196" s="13" t="s">
        <v>869</v>
      </c>
      <c r="E196" s="103">
        <f>E111</f>
        <v>0</v>
      </c>
      <c r="F196"/>
      <c r="G196" s="104"/>
      <c r="H196"/>
      <c r="I196"/>
    </row>
    <row r="197" spans="1:9" s="13" customFormat="1" x14ac:dyDescent="0.2">
      <c r="A197" s="174"/>
      <c r="C197" s="13" t="s">
        <v>435</v>
      </c>
      <c r="E197" s="103"/>
      <c r="F197"/>
      <c r="G197" s="103">
        <f>G113</f>
        <v>0</v>
      </c>
      <c r="H197"/>
      <c r="I197"/>
    </row>
    <row r="198" spans="1:9" s="13" customFormat="1" x14ac:dyDescent="0.2">
      <c r="A198" s="174"/>
      <c r="C198" s="13" t="s">
        <v>436</v>
      </c>
      <c r="E198" s="103">
        <f>E112</f>
        <v>0</v>
      </c>
      <c r="F198"/>
      <c r="G198" s="104"/>
      <c r="H198"/>
      <c r="I198"/>
    </row>
    <row r="199" spans="1:9" ht="6" customHeight="1" x14ac:dyDescent="0.2">
      <c r="C199" s="13"/>
      <c r="D199" s="13"/>
      <c r="E199" s="104"/>
      <c r="G199" s="104"/>
    </row>
    <row r="200" spans="1:9" x14ac:dyDescent="0.2">
      <c r="C200" s="198" t="s">
        <v>609</v>
      </c>
      <c r="D200" s="198"/>
      <c r="E200" s="103"/>
      <c r="G200" s="103">
        <f t="shared" ref="G200:G207" si="5">E137</f>
        <v>0</v>
      </c>
    </row>
    <row r="201" spans="1:9" x14ac:dyDescent="0.2">
      <c r="C201" s="198" t="s">
        <v>696</v>
      </c>
      <c r="D201" s="198"/>
      <c r="E201" s="103"/>
      <c r="G201" s="103">
        <f t="shared" si="5"/>
        <v>0</v>
      </c>
    </row>
    <row r="202" spans="1:9" x14ac:dyDescent="0.2">
      <c r="C202" s="198" t="s">
        <v>697</v>
      </c>
      <c r="D202" s="198"/>
      <c r="E202" s="103"/>
      <c r="G202" s="103">
        <f t="shared" si="5"/>
        <v>0</v>
      </c>
    </row>
    <row r="203" spans="1:9" x14ac:dyDescent="0.2">
      <c r="C203" t="s">
        <v>594</v>
      </c>
      <c r="E203" s="103"/>
      <c r="G203" s="103">
        <f t="shared" si="5"/>
        <v>0</v>
      </c>
    </row>
    <row r="204" spans="1:9" x14ac:dyDescent="0.2">
      <c r="C204" s="198" t="s">
        <v>699</v>
      </c>
      <c r="D204" s="198"/>
      <c r="E204" s="103"/>
      <c r="G204" s="103">
        <f t="shared" si="5"/>
        <v>0</v>
      </c>
      <c r="I204" s="6" t="s">
        <v>438</v>
      </c>
    </row>
    <row r="205" spans="1:9" x14ac:dyDescent="0.2">
      <c r="C205" s="198" t="s">
        <v>55</v>
      </c>
      <c r="D205" s="198"/>
      <c r="E205" s="103"/>
      <c r="G205" s="103">
        <f t="shared" si="5"/>
        <v>0</v>
      </c>
    </row>
    <row r="206" spans="1:9" x14ac:dyDescent="0.2">
      <c r="C206" s="198" t="s">
        <v>926</v>
      </c>
      <c r="D206" s="198"/>
      <c r="E206" s="103"/>
      <c r="G206" s="103">
        <f t="shared" si="5"/>
        <v>0</v>
      </c>
    </row>
    <row r="207" spans="1:9" x14ac:dyDescent="0.2">
      <c r="C207" s="551" t="s">
        <v>203</v>
      </c>
      <c r="D207" s="198"/>
      <c r="E207" s="103"/>
      <c r="G207" s="103">
        <f t="shared" si="5"/>
        <v>0</v>
      </c>
    </row>
    <row r="208" spans="1:9" x14ac:dyDescent="0.2">
      <c r="C208" s="198" t="s">
        <v>642</v>
      </c>
      <c r="D208" s="198"/>
      <c r="E208" s="103"/>
      <c r="G208" s="103">
        <f>G150+G126</f>
        <v>0</v>
      </c>
    </row>
    <row r="209" spans="3:9" ht="6.75" customHeight="1" x14ac:dyDescent="0.2">
      <c r="C209" s="198"/>
      <c r="D209" s="198"/>
      <c r="E209" s="11"/>
      <c r="F209" s="1"/>
      <c r="G209" s="11"/>
      <c r="H209" s="14"/>
      <c r="I209" s="14"/>
    </row>
    <row r="210" spans="3:9" ht="13.5" thickBot="1" x14ac:dyDescent="0.25">
      <c r="C210" s="198"/>
      <c r="D210" s="198"/>
      <c r="E210" s="456" t="s">
        <v>187</v>
      </c>
      <c r="F210" s="1"/>
      <c r="G210" s="119">
        <f>SUM(G156:G208)</f>
        <v>0</v>
      </c>
    </row>
    <row r="211" spans="3:9" ht="18.75" customHeight="1" thickTop="1" x14ac:dyDescent="0.2">
      <c r="C211" s="198"/>
      <c r="D211" s="198"/>
      <c r="E211" s="11"/>
      <c r="F211" s="1"/>
      <c r="G211" s="11"/>
    </row>
    <row r="212" spans="3:9" x14ac:dyDescent="0.2">
      <c r="C212" s="1235" t="s">
        <v>56</v>
      </c>
      <c r="D212" s="1235"/>
      <c r="E212" t="s">
        <v>187</v>
      </c>
    </row>
    <row r="213" spans="3:9" x14ac:dyDescent="0.2">
      <c r="H213" s="14"/>
    </row>
    <row r="214" spans="3:9" x14ac:dyDescent="0.2">
      <c r="C214" t="s">
        <v>546</v>
      </c>
      <c r="E214" s="103">
        <f>G150+G126</f>
        <v>0</v>
      </c>
      <c r="G214" s="104"/>
    </row>
    <row r="215" spans="3:9" ht="12.75" customHeight="1" x14ac:dyDescent="0.2">
      <c r="C215" s="198" t="s">
        <v>57</v>
      </c>
      <c r="D215" s="198"/>
      <c r="E215" s="104"/>
      <c r="G215" s="103">
        <f>G146</f>
        <v>0</v>
      </c>
    </row>
    <row r="216" spans="3:9" ht="12.75" customHeight="1" x14ac:dyDescent="0.2">
      <c r="C216" s="198" t="s">
        <v>58</v>
      </c>
      <c r="D216" s="198"/>
      <c r="E216" s="104"/>
      <c r="G216" s="15">
        <f>G147</f>
        <v>0</v>
      </c>
      <c r="I216" s="1307" t="s">
        <v>716</v>
      </c>
    </row>
    <row r="217" spans="3:9" x14ac:dyDescent="0.2">
      <c r="C217" s="551" t="s">
        <v>683</v>
      </c>
      <c r="D217" s="198"/>
      <c r="E217" s="104"/>
      <c r="G217" s="15">
        <f>G148</f>
        <v>0</v>
      </c>
      <c r="I217" s="1307"/>
    </row>
    <row r="218" spans="3:9" x14ac:dyDescent="0.2">
      <c r="C218" s="551" t="s">
        <v>684</v>
      </c>
      <c r="D218" s="198"/>
      <c r="E218" s="104"/>
      <c r="G218" s="15">
        <f>G149</f>
        <v>0</v>
      </c>
      <c r="I218" s="571"/>
    </row>
    <row r="219" spans="3:9" x14ac:dyDescent="0.2">
      <c r="C219" s="198" t="s">
        <v>932</v>
      </c>
      <c r="D219" s="198"/>
      <c r="E219" s="104"/>
      <c r="G219" s="230">
        <f>G126</f>
        <v>0</v>
      </c>
    </row>
    <row r="220" spans="3:9" ht="13.5" thickBot="1" x14ac:dyDescent="0.25">
      <c r="E220" s="105">
        <f>SUM(E214:E216)</f>
        <v>0</v>
      </c>
      <c r="G220" s="113">
        <f>SUM(G215:G219)</f>
        <v>0</v>
      </c>
    </row>
    <row r="221" spans="3:9" ht="13.5" thickTop="1" x14ac:dyDescent="0.2"/>
    <row r="222" spans="3:9" x14ac:dyDescent="0.2">
      <c r="C222" s="1126" t="s">
        <v>1040</v>
      </c>
      <c r="D222" s="1126"/>
      <c r="E222" s="1126"/>
      <c r="F222" s="1126"/>
      <c r="G222" s="1126"/>
      <c r="H222" s="1126"/>
      <c r="I222" s="1126"/>
    </row>
    <row r="223" spans="3:9" x14ac:dyDescent="0.2">
      <c r="C223" s="1126"/>
      <c r="D223" s="1126"/>
      <c r="E223" s="1126"/>
      <c r="F223" s="1126"/>
      <c r="G223" s="1126"/>
      <c r="H223" s="1126"/>
      <c r="I223" s="1126"/>
    </row>
  </sheetData>
  <sheetProtection algorithmName="SHA-512" hashValue="RAMCVUG+Hv38gCpL9hW7nu/bXnANx7OpPk6YlKH9+EeMXBlbj+1RkOBwuv0wY96jrv4jZ9YAj7FWOlMdVAmyLQ==" saltValue="IupGQnig0WSmiGrGg9bMug==" spinCount="100000" sheet="1" objects="1" scenarios="1"/>
  <mergeCells count="28">
    <mergeCell ref="C1:I1"/>
    <mergeCell ref="C35:G35"/>
    <mergeCell ref="B2:I3"/>
    <mergeCell ref="B4:I4"/>
    <mergeCell ref="C14:I15"/>
    <mergeCell ref="C20:I21"/>
    <mergeCell ref="C23:I23"/>
    <mergeCell ref="C27:I28"/>
    <mergeCell ref="C17:I18"/>
    <mergeCell ref="B32:I33"/>
    <mergeCell ref="C30:I30"/>
    <mergeCell ref="C24:I25"/>
    <mergeCell ref="I145:I149"/>
    <mergeCell ref="I216:I217"/>
    <mergeCell ref="C222:I223"/>
    <mergeCell ref="C212:D212"/>
    <mergeCell ref="C65:D65"/>
    <mergeCell ref="B152:I152"/>
    <mergeCell ref="B132:I133"/>
    <mergeCell ref="C126:E127"/>
    <mergeCell ref="G126:G127"/>
    <mergeCell ref="B68:I69"/>
    <mergeCell ref="B123:I124"/>
    <mergeCell ref="C129:E130"/>
    <mergeCell ref="G129:G130"/>
    <mergeCell ref="G64:I65"/>
    <mergeCell ref="C117:C118"/>
    <mergeCell ref="D117:D118"/>
  </mergeCells>
  <phoneticPr fontId="13" type="noConversion"/>
  <printOptions horizontalCentered="1"/>
  <pageMargins left="0.39" right="0.4" top="0.66" bottom="0.5" header="0.5" footer="0.5"/>
  <pageSetup scale="70" orientation="portrait" r:id="rId1"/>
  <headerFooter alignWithMargins="0">
    <oddHeader>&amp;REntry K.2</oddHeader>
    <oddFooter>&amp;L&amp;8&amp;D - City model&amp;R&amp;P</oddFooter>
  </headerFooter>
  <rowBreaks count="2" manualBreakCount="2">
    <brk id="67" max="8" man="1"/>
    <brk id="150" max="8" man="1"/>
  </rowBreaks>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M223"/>
  <sheetViews>
    <sheetView zoomScaleNormal="100" workbookViewId="0">
      <selection activeCell="E39" sqref="E39"/>
    </sheetView>
  </sheetViews>
  <sheetFormatPr defaultRowHeight="12.75" x14ac:dyDescent="0.2"/>
  <cols>
    <col min="1" max="1" width="3.42578125" style="4" customWidth="1"/>
    <col min="2" max="2" width="2.28515625" customWidth="1"/>
    <col min="3" max="3" width="36.7109375" customWidth="1"/>
    <col min="4" max="4" width="11.42578125" customWidth="1"/>
    <col min="5" max="5" width="15.7109375" customWidth="1"/>
    <col min="6" max="6" width="3.42578125" customWidth="1"/>
    <col min="7" max="7" width="15.7109375" customWidth="1"/>
    <col min="8" max="8" width="2.7109375" customWidth="1"/>
    <col min="9" max="9" width="36" customWidth="1"/>
    <col min="10" max="10" width="3.42578125" customWidth="1"/>
    <col min="11" max="13" width="15.7109375" customWidth="1"/>
  </cols>
  <sheetData>
    <row r="1" spans="1:10" s="191" customFormat="1" ht="15" x14ac:dyDescent="0.25">
      <c r="A1" s="226"/>
      <c r="C1" s="1339"/>
      <c r="D1" s="1339"/>
      <c r="E1" s="1340"/>
      <c r="F1" s="1340"/>
      <c r="G1" s="1340"/>
      <c r="H1" s="1340"/>
      <c r="I1" s="1340"/>
    </row>
    <row r="2" spans="1:10" s="191" customFormat="1" ht="15" customHeight="1" x14ac:dyDescent="0.25">
      <c r="A2" s="226"/>
      <c r="B2" s="1331" t="s">
        <v>569</v>
      </c>
      <c r="C2" s="1332"/>
      <c r="D2" s="1332"/>
      <c r="E2" s="1332"/>
      <c r="F2" s="1332"/>
      <c r="G2" s="1332"/>
      <c r="H2" s="1332"/>
      <c r="I2" s="1333"/>
    </row>
    <row r="3" spans="1:10" s="191" customFormat="1" ht="24" customHeight="1" x14ac:dyDescent="0.25">
      <c r="A3" s="226"/>
      <c r="B3" s="1334"/>
      <c r="C3" s="1335"/>
      <c r="D3" s="1335"/>
      <c r="E3" s="1335"/>
      <c r="F3" s="1335"/>
      <c r="G3" s="1335"/>
      <c r="H3" s="1335"/>
      <c r="I3" s="1336"/>
    </row>
    <row r="4" spans="1:10" ht="4.5" customHeight="1" x14ac:dyDescent="0.2">
      <c r="B4" s="1341"/>
      <c r="C4" s="1341"/>
      <c r="D4" s="1341"/>
      <c r="E4" s="1341"/>
      <c r="F4" s="1341"/>
      <c r="G4" s="1341"/>
      <c r="H4" s="1341"/>
      <c r="I4" s="1341"/>
    </row>
    <row r="5" spans="1:10" ht="12.75" customHeight="1" x14ac:dyDescent="0.2">
      <c r="C5" s="192"/>
      <c r="D5" s="192"/>
      <c r="E5" s="193"/>
      <c r="F5" s="193"/>
      <c r="G5" s="193"/>
      <c r="H5" s="193"/>
      <c r="I5" s="193"/>
    </row>
    <row r="6" spans="1:10" ht="12.75" customHeight="1" x14ac:dyDescent="0.2">
      <c r="C6" s="192"/>
      <c r="D6" s="192"/>
      <c r="E6" s="193"/>
      <c r="F6" s="193"/>
      <c r="G6" s="193"/>
      <c r="H6" s="193"/>
      <c r="I6" s="193"/>
    </row>
    <row r="7" spans="1:10" ht="12.75" customHeight="1" x14ac:dyDescent="0.2">
      <c r="C7" s="192"/>
      <c r="D7" s="192"/>
      <c r="E7" s="193"/>
      <c r="F7" s="193"/>
      <c r="G7" s="193"/>
      <c r="H7" s="193"/>
      <c r="I7" s="193"/>
    </row>
    <row r="8" spans="1:10" ht="12.75" customHeight="1" x14ac:dyDescent="0.2">
      <c r="C8" s="192"/>
      <c r="D8" s="192"/>
      <c r="E8" s="193"/>
      <c r="F8" s="193"/>
      <c r="G8" s="193"/>
      <c r="H8" s="193"/>
      <c r="I8" s="193"/>
    </row>
    <row r="9" spans="1:10" ht="12.75" customHeight="1" x14ac:dyDescent="0.2">
      <c r="C9" s="192"/>
      <c r="D9" s="192"/>
      <c r="E9" s="193"/>
      <c r="F9" s="193"/>
      <c r="G9" s="193"/>
      <c r="H9" s="193"/>
      <c r="I9" s="193"/>
    </row>
    <row r="10" spans="1:10" ht="12.75" customHeight="1" x14ac:dyDescent="0.2">
      <c r="C10" s="192"/>
      <c r="D10" s="192"/>
      <c r="E10" s="193"/>
      <c r="F10" s="193"/>
      <c r="G10" s="193"/>
      <c r="H10" s="193"/>
      <c r="I10" s="193"/>
    </row>
    <row r="11" spans="1:10" ht="12.75" customHeight="1" x14ac:dyDescent="0.2">
      <c r="C11" s="192"/>
      <c r="D11" s="192"/>
      <c r="E11" s="193"/>
      <c r="F11" s="193"/>
      <c r="G11" s="193"/>
      <c r="H11" s="193"/>
      <c r="I11" s="193"/>
    </row>
    <row r="12" spans="1:10" ht="12.75" customHeight="1" x14ac:dyDescent="0.2">
      <c r="C12" s="192"/>
      <c r="D12" s="192"/>
      <c r="E12" s="193"/>
      <c r="F12" s="193"/>
      <c r="G12" s="193"/>
      <c r="H12" s="193"/>
      <c r="I12" s="193"/>
    </row>
    <row r="13" spans="1:10" ht="12.75" customHeight="1" x14ac:dyDescent="0.2">
      <c r="C13" s="192"/>
      <c r="D13" s="192"/>
      <c r="E13" s="193"/>
      <c r="F13" s="193"/>
      <c r="G13" s="193"/>
      <c r="H13" s="193"/>
      <c r="I13" s="193"/>
    </row>
    <row r="14" spans="1:10" ht="12" customHeight="1" x14ac:dyDescent="0.2">
      <c r="B14" s="64" t="s">
        <v>947</v>
      </c>
      <c r="C14" s="1337" t="s">
        <v>800</v>
      </c>
      <c r="D14" s="1337"/>
      <c r="E14" s="1337"/>
      <c r="F14" s="1337"/>
      <c r="G14" s="1337"/>
      <c r="H14" s="1337"/>
      <c r="I14" s="1337"/>
      <c r="J14" s="227"/>
    </row>
    <row r="15" spans="1:10" ht="26.25" customHeight="1" x14ac:dyDescent="0.2">
      <c r="C15" s="1337"/>
      <c r="D15" s="1337"/>
      <c r="E15" s="1337"/>
      <c r="F15" s="1337"/>
      <c r="G15" s="1337"/>
      <c r="H15" s="1337"/>
      <c r="I15" s="1337"/>
      <c r="J15" s="227"/>
    </row>
    <row r="16" spans="1:10" ht="4.5" customHeight="1" x14ac:dyDescent="0.2"/>
    <row r="17" spans="1:9" ht="12.75" customHeight="1" x14ac:dyDescent="0.2">
      <c r="B17" s="64" t="s">
        <v>948</v>
      </c>
      <c r="C17" s="1337" t="s">
        <v>1119</v>
      </c>
      <c r="D17" s="1337"/>
      <c r="E17" s="1337"/>
      <c r="F17" s="1337"/>
      <c r="G17" s="1337"/>
      <c r="H17" s="1337"/>
      <c r="I17" s="1337"/>
    </row>
    <row r="18" spans="1:9" ht="55.5" customHeight="1" x14ac:dyDescent="0.2">
      <c r="C18" s="1337"/>
      <c r="D18" s="1337"/>
      <c r="E18" s="1337"/>
      <c r="F18" s="1337"/>
      <c r="G18" s="1337"/>
      <c r="H18" s="1337"/>
      <c r="I18" s="1337"/>
    </row>
    <row r="19" spans="1:9" ht="4.5" customHeight="1" x14ac:dyDescent="0.2"/>
    <row r="20" spans="1:9" ht="12" customHeight="1" x14ac:dyDescent="0.2">
      <c r="B20" s="64" t="s">
        <v>949</v>
      </c>
      <c r="C20" s="1136" t="s">
        <v>1107</v>
      </c>
      <c r="D20" s="1123"/>
      <c r="E20" s="1123"/>
      <c r="F20" s="1123"/>
      <c r="G20" s="1123"/>
      <c r="H20" s="1123"/>
      <c r="I20" s="1123"/>
    </row>
    <row r="21" spans="1:9" ht="12.75" hidden="1" customHeight="1" x14ac:dyDescent="0.2">
      <c r="C21" s="1123"/>
      <c r="D21" s="1123"/>
      <c r="E21" s="1123"/>
      <c r="F21" s="1123"/>
      <c r="G21" s="1123"/>
      <c r="H21" s="1123"/>
      <c r="I21" s="1123"/>
    </row>
    <row r="22" spans="1:9" ht="4.5" customHeight="1" x14ac:dyDescent="0.2"/>
    <row r="23" spans="1:9" ht="12.75" hidden="1" customHeight="1" x14ac:dyDescent="0.2">
      <c r="B23" s="64"/>
      <c r="C23" s="1123"/>
      <c r="D23" s="1123"/>
      <c r="E23" s="1123"/>
      <c r="F23" s="1123"/>
      <c r="G23" s="1123"/>
      <c r="H23" s="1123"/>
      <c r="I23" s="1123"/>
    </row>
    <row r="24" spans="1:9" ht="12.75" customHeight="1" x14ac:dyDescent="0.2">
      <c r="B24" s="64" t="s">
        <v>878</v>
      </c>
      <c r="C24" s="1136" t="s">
        <v>1108</v>
      </c>
      <c r="D24" s="1126"/>
      <c r="E24" s="1126"/>
      <c r="F24" s="1126"/>
      <c r="G24" s="1126"/>
      <c r="H24" s="1126"/>
      <c r="I24" s="1126"/>
    </row>
    <row r="25" spans="1:9" ht="12.75" customHeight="1" x14ac:dyDescent="0.2">
      <c r="B25" s="64"/>
      <c r="C25" s="1126"/>
      <c r="D25" s="1126"/>
      <c r="E25" s="1126"/>
      <c r="F25" s="1126"/>
      <c r="G25" s="1126"/>
      <c r="H25" s="1126"/>
      <c r="I25" s="1126"/>
    </row>
    <row r="26" spans="1:9" ht="4.5" customHeight="1" x14ac:dyDescent="0.2">
      <c r="B26" s="64"/>
    </row>
    <row r="27" spans="1:9" ht="12.75" customHeight="1" x14ac:dyDescent="0.2">
      <c r="B27" s="64" t="s">
        <v>879</v>
      </c>
      <c r="C27" s="1337" t="s">
        <v>689</v>
      </c>
      <c r="D27" s="1337"/>
      <c r="E27" s="1337"/>
      <c r="F27" s="1337"/>
      <c r="G27" s="1337"/>
      <c r="H27" s="1337"/>
      <c r="I27" s="1337"/>
    </row>
    <row r="28" spans="1:9" ht="26.25" customHeight="1" x14ac:dyDescent="0.2">
      <c r="B28" s="64"/>
      <c r="C28" s="1337"/>
      <c r="D28" s="1337"/>
      <c r="E28" s="1337"/>
      <c r="F28" s="1337"/>
      <c r="G28" s="1337"/>
      <c r="H28" s="1337"/>
      <c r="I28" s="1337"/>
    </row>
    <row r="29" spans="1:9" ht="24" customHeight="1" thickBot="1" x14ac:dyDescent="0.25"/>
    <row r="30" spans="1:9" ht="30.75" customHeight="1" thickTop="1" thickBot="1" x14ac:dyDescent="0.25">
      <c r="C30" s="1343" t="s">
        <v>271</v>
      </c>
      <c r="D30" s="1344"/>
      <c r="E30" s="1344"/>
      <c r="F30" s="1344"/>
      <c r="G30" s="1344"/>
      <c r="H30" s="1344"/>
      <c r="I30" s="1345"/>
    </row>
    <row r="31" spans="1:9" ht="24" customHeight="1" thickTop="1" x14ac:dyDescent="0.2"/>
    <row r="32" spans="1:9" ht="17.25" customHeight="1" x14ac:dyDescent="0.2">
      <c r="A32" s="4" t="s">
        <v>876</v>
      </c>
      <c r="B32" s="1314" t="s">
        <v>611</v>
      </c>
      <c r="C32" s="1315"/>
      <c r="D32" s="1315"/>
      <c r="E32" s="1315"/>
      <c r="F32" s="1315"/>
      <c r="G32" s="1315"/>
      <c r="H32" s="1315"/>
      <c r="I32" s="1316"/>
    </row>
    <row r="33" spans="2:13" ht="22.5" customHeight="1" x14ac:dyDescent="0.2">
      <c r="B33" s="1317"/>
      <c r="C33" s="1318"/>
      <c r="D33" s="1318"/>
      <c r="E33" s="1318"/>
      <c r="F33" s="1318"/>
      <c r="G33" s="1318"/>
      <c r="H33" s="1318"/>
      <c r="I33" s="1319"/>
    </row>
    <row r="34" spans="2:13" ht="24" customHeight="1" x14ac:dyDescent="0.2">
      <c r="C34" s="194"/>
      <c r="D34" s="194"/>
      <c r="E34" s="11"/>
      <c r="F34" s="11"/>
      <c r="G34" s="11"/>
      <c r="H34" s="11"/>
      <c r="I34" s="195"/>
    </row>
    <row r="35" spans="2:13" x14ac:dyDescent="0.2">
      <c r="C35" s="1330" t="s">
        <v>986</v>
      </c>
      <c r="D35" s="1330"/>
      <c r="E35" s="1330"/>
      <c r="F35" s="1330"/>
      <c r="G35" s="1330"/>
      <c r="H35" s="82"/>
      <c r="I35" s="82"/>
      <c r="J35" s="82"/>
      <c r="K35" s="82"/>
      <c r="L35" s="82"/>
      <c r="M35" s="82"/>
    </row>
    <row r="36" spans="2:13" x14ac:dyDescent="0.2">
      <c r="C36" s="4"/>
      <c r="D36" s="4"/>
      <c r="E36" s="136" t="s">
        <v>987</v>
      </c>
      <c r="F36" s="187"/>
      <c r="G36" s="196" t="s">
        <v>988</v>
      </c>
      <c r="H36" s="197"/>
    </row>
    <row r="37" spans="2:13" x14ac:dyDescent="0.2">
      <c r="C37" s="148" t="s">
        <v>989</v>
      </c>
      <c r="D37" s="148"/>
      <c r="E37" s="1"/>
      <c r="F37" s="11"/>
      <c r="G37" s="195"/>
      <c r="H37" s="195"/>
    </row>
    <row r="38" spans="2:13" x14ac:dyDescent="0.2">
      <c r="C38" s="198" t="s">
        <v>990</v>
      </c>
      <c r="D38" s="198"/>
      <c r="E38" s="1"/>
      <c r="F38" s="11"/>
      <c r="G38" s="195"/>
      <c r="H38" s="195"/>
    </row>
    <row r="39" spans="2:13" x14ac:dyDescent="0.2">
      <c r="C39" s="199" t="s">
        <v>718</v>
      </c>
      <c r="D39" s="199"/>
      <c r="E39" s="114">
        <v>0</v>
      </c>
      <c r="F39" s="11"/>
      <c r="G39" s="621">
        <f t="shared" ref="G39:G46" si="0">IF(E$56=0,0,ROUND(E39/E$58,4))</f>
        <v>0</v>
      </c>
      <c r="H39" s="195"/>
    </row>
    <row r="40" spans="2:13" x14ac:dyDescent="0.2">
      <c r="C40" s="199" t="s">
        <v>717</v>
      </c>
      <c r="D40" s="199"/>
      <c r="E40" s="110">
        <v>0</v>
      </c>
      <c r="F40" s="11"/>
      <c r="G40" s="621">
        <f t="shared" si="0"/>
        <v>0</v>
      </c>
      <c r="H40" s="195"/>
    </row>
    <row r="41" spans="2:13" x14ac:dyDescent="0.2">
      <c r="C41" s="199" t="s">
        <v>896</v>
      </c>
      <c r="D41" s="199"/>
      <c r="E41" s="110">
        <v>0</v>
      </c>
      <c r="F41" s="11"/>
      <c r="G41" s="621">
        <f t="shared" si="0"/>
        <v>0</v>
      </c>
      <c r="H41" s="195"/>
    </row>
    <row r="42" spans="2:13" x14ac:dyDescent="0.2">
      <c r="C42" s="199" t="s">
        <v>481</v>
      </c>
      <c r="D42" s="199"/>
      <c r="E42" s="110">
        <v>0</v>
      </c>
      <c r="F42" s="11"/>
      <c r="G42" s="621">
        <f t="shared" si="0"/>
        <v>0</v>
      </c>
      <c r="H42" s="195"/>
    </row>
    <row r="43" spans="2:13" x14ac:dyDescent="0.2">
      <c r="C43" s="199" t="s">
        <v>470</v>
      </c>
      <c r="D43" s="199"/>
      <c r="E43" s="110">
        <v>0</v>
      </c>
      <c r="F43" s="11"/>
      <c r="G43" s="621">
        <f t="shared" si="0"/>
        <v>0</v>
      </c>
      <c r="H43" s="195"/>
    </row>
    <row r="44" spans="2:13" x14ac:dyDescent="0.2">
      <c r="C44" s="199" t="s">
        <v>991</v>
      </c>
      <c r="D44" s="199"/>
      <c r="E44" s="110">
        <v>0</v>
      </c>
      <c r="F44" s="11"/>
      <c r="G44" s="621">
        <f t="shared" si="0"/>
        <v>0</v>
      </c>
      <c r="H44" s="195"/>
    </row>
    <row r="45" spans="2:13" x14ac:dyDescent="0.2">
      <c r="C45" s="199" t="s">
        <v>926</v>
      </c>
      <c r="D45" s="199"/>
      <c r="E45" s="110">
        <v>0</v>
      </c>
      <c r="F45" s="11"/>
      <c r="G45" s="621">
        <f t="shared" si="0"/>
        <v>0</v>
      </c>
      <c r="H45" s="195"/>
    </row>
    <row r="46" spans="2:13" x14ac:dyDescent="0.2">
      <c r="C46" s="550" t="s">
        <v>203</v>
      </c>
      <c r="D46" s="199"/>
      <c r="E46" s="110">
        <v>0</v>
      </c>
      <c r="F46" s="11"/>
      <c r="G46" s="621">
        <f t="shared" si="0"/>
        <v>0</v>
      </c>
      <c r="H46" s="195"/>
    </row>
    <row r="47" spans="2:13" x14ac:dyDescent="0.2">
      <c r="C47" s="199"/>
      <c r="D47" s="199"/>
      <c r="E47" s="1"/>
      <c r="F47" s="11"/>
      <c r="G47" s="195"/>
      <c r="H47" s="195"/>
    </row>
    <row r="48" spans="2:13" ht="15" x14ac:dyDescent="0.2">
      <c r="C48" s="200" t="s">
        <v>992</v>
      </c>
      <c r="D48" s="200"/>
      <c r="E48" s="215">
        <f>+SUM(E39:E47)</f>
        <v>0</v>
      </c>
      <c r="F48" s="11"/>
      <c r="G48" s="621">
        <f>IF(E$56=0,0,ROUND(E48/E$58,4))</f>
        <v>0</v>
      </c>
      <c r="H48" s="216" t="s">
        <v>773</v>
      </c>
    </row>
    <row r="49" spans="3:9" x14ac:dyDescent="0.2">
      <c r="E49" s="1"/>
      <c r="F49" s="11"/>
      <c r="G49" s="201" t="s">
        <v>187</v>
      </c>
      <c r="H49" s="201"/>
    </row>
    <row r="50" spans="3:9" x14ac:dyDescent="0.2">
      <c r="C50" s="198" t="s">
        <v>993</v>
      </c>
      <c r="D50" s="198"/>
      <c r="E50" s="1"/>
      <c r="F50" s="11"/>
      <c r="G50" s="201" t="s">
        <v>187</v>
      </c>
      <c r="H50" s="201"/>
    </row>
    <row r="51" spans="3:9" x14ac:dyDescent="0.2">
      <c r="C51" s="199" t="s">
        <v>994</v>
      </c>
      <c r="D51" s="199"/>
      <c r="E51" s="531">
        <v>0</v>
      </c>
      <c r="F51" s="11"/>
      <c r="G51" s="621">
        <f>IF(E$56=0,0,ROUND(E51/E$58,4))</f>
        <v>0</v>
      </c>
      <c r="H51" s="195"/>
    </row>
    <row r="52" spans="3:9" x14ac:dyDescent="0.2">
      <c r="C52" s="199" t="s">
        <v>995</v>
      </c>
      <c r="D52" s="199"/>
      <c r="E52" s="532">
        <v>0</v>
      </c>
      <c r="F52" s="202"/>
      <c r="G52" s="621">
        <f>IF(E$56=0,0,ROUND(E52/E$58,4))</f>
        <v>0</v>
      </c>
      <c r="H52" s="195"/>
    </row>
    <row r="53" spans="3:9" x14ac:dyDescent="0.2">
      <c r="C53" s="550" t="s">
        <v>933</v>
      </c>
      <c r="D53" s="199"/>
      <c r="E53" s="532">
        <v>0</v>
      </c>
      <c r="F53" s="202"/>
      <c r="G53" s="621">
        <f>IF(E$56=0,0,ROUND(E53/E$58,4))</f>
        <v>0</v>
      </c>
      <c r="H53" s="195"/>
    </row>
    <row r="54" spans="3:9" x14ac:dyDescent="0.2">
      <c r="C54" s="550" t="s">
        <v>934</v>
      </c>
      <c r="D54" s="199"/>
      <c r="E54" s="532">
        <v>0</v>
      </c>
      <c r="F54" s="202"/>
      <c r="G54" s="621">
        <f>IF(E$56=0,0,ROUND(E54/E$58,4))</f>
        <v>0</v>
      </c>
      <c r="H54" s="195"/>
    </row>
    <row r="55" spans="3:9" x14ac:dyDescent="0.2">
      <c r="C55" s="198"/>
      <c r="D55" s="198"/>
      <c r="E55" s="1"/>
      <c r="F55" s="11"/>
      <c r="G55" s="195"/>
      <c r="H55" s="195"/>
    </row>
    <row r="56" spans="3:9" x14ac:dyDescent="0.2">
      <c r="C56" s="200" t="s">
        <v>996</v>
      </c>
      <c r="D56" s="200"/>
      <c r="E56" s="215">
        <f>+SUM(E51:E55)</f>
        <v>0</v>
      </c>
      <c r="F56" s="11"/>
      <c r="G56" s="621">
        <f>IF(E$56=0,0,ROUND(E56/E$58,4))</f>
        <v>0</v>
      </c>
      <c r="H56" s="203"/>
    </row>
    <row r="57" spans="3:9" x14ac:dyDescent="0.2">
      <c r="C57" s="199"/>
      <c r="D57" s="199"/>
      <c r="E57" s="1"/>
      <c r="F57" s="11"/>
      <c r="G57" s="195"/>
      <c r="H57" s="195"/>
    </row>
    <row r="58" spans="3:9" ht="13.5" thickBot="1" x14ac:dyDescent="0.25">
      <c r="C58" s="204" t="s">
        <v>997</v>
      </c>
      <c r="D58" s="204"/>
      <c r="E58" s="217">
        <f>+E48+E56</f>
        <v>0</v>
      </c>
      <c r="F58" s="11"/>
      <c r="G58" s="622">
        <f>G48+G56</f>
        <v>0</v>
      </c>
      <c r="H58" s="203"/>
    </row>
    <row r="59" spans="3:9" ht="13.5" thickTop="1" x14ac:dyDescent="0.2">
      <c r="C59" s="204"/>
      <c r="D59" s="204"/>
      <c r="E59" s="11"/>
      <c r="F59" s="11"/>
      <c r="G59" s="203"/>
      <c r="H59" s="203"/>
    </row>
    <row r="60" spans="3:9" x14ac:dyDescent="0.2">
      <c r="C60" s="205" t="s">
        <v>998</v>
      </c>
      <c r="D60" s="205"/>
      <c r="E60" s="526">
        <v>0</v>
      </c>
      <c r="F60" s="11"/>
      <c r="G60" s="203"/>
      <c r="H60" s="203"/>
    </row>
    <row r="61" spans="3:9" x14ac:dyDescent="0.2">
      <c r="C61" s="204"/>
      <c r="D61" s="204"/>
      <c r="E61" s="11"/>
      <c r="F61" s="11"/>
      <c r="G61" s="203"/>
      <c r="H61" s="203"/>
    </row>
    <row r="62" spans="3:9" ht="13.5" thickBot="1" x14ac:dyDescent="0.25">
      <c r="C62" s="204" t="s">
        <v>999</v>
      </c>
      <c r="D62" s="204"/>
      <c r="E62" s="217">
        <f>E58+E60</f>
        <v>0</v>
      </c>
      <c r="F62" s="11"/>
      <c r="G62" s="203"/>
      <c r="H62" s="203"/>
    </row>
    <row r="63" spans="3:9" ht="13.5" thickTop="1" x14ac:dyDescent="0.2">
      <c r="C63" s="204"/>
      <c r="D63" s="204"/>
      <c r="E63" s="1"/>
      <c r="F63" s="1"/>
      <c r="G63" s="195"/>
      <c r="H63" s="195"/>
    </row>
    <row r="64" spans="3:9" ht="15.75" customHeight="1" x14ac:dyDescent="0.2">
      <c r="C64" s="204"/>
      <c r="D64" s="204"/>
      <c r="E64" s="1"/>
      <c r="F64" s="1"/>
      <c r="G64" s="1309" t="s">
        <v>790</v>
      </c>
      <c r="H64" s="1309"/>
      <c r="I64" s="1309"/>
    </row>
    <row r="65" spans="1:9" ht="32.25" customHeight="1" x14ac:dyDescent="0.2">
      <c r="C65" s="1126" t="s">
        <v>715</v>
      </c>
      <c r="D65" s="1313"/>
      <c r="E65" s="218" t="str">
        <f>IF(G48&gt;=50%,"Governmental","Business Type")</f>
        <v>Business Type</v>
      </c>
      <c r="F65" s="265" t="s">
        <v>773</v>
      </c>
      <c r="G65" s="1309"/>
      <c r="H65" s="1309"/>
      <c r="I65" s="1309"/>
    </row>
    <row r="66" spans="1:9" ht="44.25" customHeight="1" x14ac:dyDescent="0.2">
      <c r="C66" s="59"/>
      <c r="D66" s="59"/>
      <c r="E66" s="207"/>
      <c r="F66" s="206"/>
      <c r="G66" s="195"/>
      <c r="H66" s="195"/>
    </row>
    <row r="67" spans="1:9" x14ac:dyDescent="0.2">
      <c r="E67" s="1"/>
      <c r="F67" s="1"/>
      <c r="G67" s="208"/>
      <c r="H67" s="208"/>
      <c r="I67" s="195"/>
    </row>
    <row r="68" spans="1:9" ht="17.25" customHeight="1" x14ac:dyDescent="0.2">
      <c r="A68" s="4" t="s">
        <v>877</v>
      </c>
      <c r="B68" s="1323" t="s">
        <v>1109</v>
      </c>
      <c r="C68" s="1324"/>
      <c r="D68" s="1324"/>
      <c r="E68" s="1324"/>
      <c r="F68" s="1324"/>
      <c r="G68" s="1324"/>
      <c r="H68" s="1324"/>
      <c r="I68" s="1325"/>
    </row>
    <row r="69" spans="1:9" ht="36" customHeight="1" x14ac:dyDescent="0.2">
      <c r="B69" s="1326"/>
      <c r="C69" s="1327"/>
      <c r="D69" s="1327"/>
      <c r="E69" s="1327"/>
      <c r="F69" s="1327"/>
      <c r="G69" s="1327"/>
      <c r="H69" s="1327"/>
      <c r="I69" s="1328"/>
    </row>
    <row r="70" spans="1:9" ht="3.75" customHeight="1" x14ac:dyDescent="0.2">
      <c r="E70" s="1"/>
      <c r="F70" s="1"/>
      <c r="G70" s="208"/>
      <c r="H70" s="208"/>
      <c r="I70" s="195"/>
    </row>
    <row r="71" spans="1:9" x14ac:dyDescent="0.2">
      <c r="B71" s="88" t="s">
        <v>947</v>
      </c>
      <c r="C71" s="4" t="s">
        <v>1008</v>
      </c>
      <c r="E71" s="3" t="s">
        <v>65</v>
      </c>
      <c r="F71" s="71"/>
      <c r="G71" s="3" t="s">
        <v>66</v>
      </c>
      <c r="H71" s="208"/>
      <c r="I71" s="195"/>
    </row>
    <row r="72" spans="1:9" x14ac:dyDescent="0.2">
      <c r="C72" s="13" t="s">
        <v>601</v>
      </c>
      <c r="D72" s="13"/>
      <c r="E72" s="534">
        <v>0</v>
      </c>
      <c r="F72" s="125"/>
      <c r="G72" s="214"/>
      <c r="H72" s="208"/>
      <c r="I72" s="195"/>
    </row>
    <row r="73" spans="1:9" x14ac:dyDescent="0.2">
      <c r="C73" s="13" t="s">
        <v>849</v>
      </c>
      <c r="D73" s="13"/>
      <c r="E73" s="534">
        <v>0</v>
      </c>
      <c r="F73" s="125"/>
      <c r="G73" s="214"/>
      <c r="H73" s="208"/>
      <c r="I73" s="195"/>
    </row>
    <row r="74" spans="1:9" x14ac:dyDescent="0.2">
      <c r="C74" s="13" t="s">
        <v>747</v>
      </c>
      <c r="D74" s="13"/>
      <c r="E74" s="534">
        <v>0</v>
      </c>
      <c r="F74" s="125"/>
      <c r="G74" s="214"/>
      <c r="H74" s="208"/>
      <c r="I74" s="195"/>
    </row>
    <row r="75" spans="1:9" x14ac:dyDescent="0.2">
      <c r="C75" s="13" t="s">
        <v>196</v>
      </c>
      <c r="D75" s="13"/>
      <c r="E75" s="534">
        <v>0</v>
      </c>
      <c r="F75" s="125"/>
      <c r="G75" s="214"/>
      <c r="H75" s="208"/>
      <c r="I75" s="195"/>
    </row>
    <row r="76" spans="1:9" x14ac:dyDescent="0.2">
      <c r="C76" s="13" t="s">
        <v>750</v>
      </c>
      <c r="D76" s="13"/>
      <c r="E76" s="534">
        <v>0</v>
      </c>
      <c r="F76" s="125"/>
      <c r="G76" s="214"/>
      <c r="H76" s="208"/>
      <c r="I76" s="195"/>
    </row>
    <row r="77" spans="1:9" x14ac:dyDescent="0.2">
      <c r="C77" s="13" t="s">
        <v>751</v>
      </c>
      <c r="D77" s="13"/>
      <c r="E77" s="534">
        <v>0</v>
      </c>
      <c r="F77" s="125"/>
      <c r="G77" s="214"/>
      <c r="H77" s="208"/>
      <c r="I77" s="195"/>
    </row>
    <row r="78" spans="1:9" x14ac:dyDescent="0.2">
      <c r="C78" s="13" t="s">
        <v>476</v>
      </c>
      <c r="D78" s="13"/>
      <c r="E78" s="534">
        <v>0</v>
      </c>
      <c r="F78" s="125"/>
      <c r="G78" s="214"/>
      <c r="H78" s="208"/>
      <c r="I78" s="195"/>
    </row>
    <row r="79" spans="1:9" x14ac:dyDescent="0.2">
      <c r="C79" s="13" t="s">
        <v>477</v>
      </c>
      <c r="D79" s="13"/>
      <c r="E79" s="534">
        <v>0</v>
      </c>
      <c r="F79" s="125"/>
      <c r="G79" s="214"/>
      <c r="H79" s="208"/>
      <c r="I79" s="195"/>
    </row>
    <row r="80" spans="1:9" x14ac:dyDescent="0.2">
      <c r="C80" s="13" t="s">
        <v>474</v>
      </c>
      <c r="D80" s="13"/>
      <c r="E80" s="534">
        <v>0</v>
      </c>
      <c r="F80" s="125"/>
      <c r="G80" s="214"/>
      <c r="H80" s="208"/>
      <c r="I80" s="195"/>
    </row>
    <row r="81" spans="1:9" x14ac:dyDescent="0.2">
      <c r="C81" s="13" t="s">
        <v>602</v>
      </c>
      <c r="D81" s="13"/>
      <c r="E81" s="534">
        <v>0</v>
      </c>
      <c r="F81" s="125"/>
      <c r="G81" s="214"/>
      <c r="H81" s="208"/>
      <c r="I81" s="6" t="s">
        <v>1111</v>
      </c>
    </row>
    <row r="82" spans="1:9" s="753" customFormat="1" ht="25.5" x14ac:dyDescent="0.2">
      <c r="A82" s="754"/>
      <c r="C82" s="684" t="s">
        <v>3961</v>
      </c>
      <c r="D82" s="756"/>
      <c r="E82" s="534">
        <v>0</v>
      </c>
      <c r="F82" s="125"/>
      <c r="G82" s="214"/>
      <c r="H82" s="208"/>
      <c r="I82" s="6"/>
    </row>
    <row r="83" spans="1:9" s="753" customFormat="1" ht="25.5" x14ac:dyDescent="0.2">
      <c r="A83" s="754"/>
      <c r="C83" s="765" t="s">
        <v>3884</v>
      </c>
      <c r="D83" s="756"/>
      <c r="E83" s="534">
        <v>0</v>
      </c>
      <c r="F83" s="125"/>
      <c r="G83" s="214"/>
      <c r="H83" s="208"/>
      <c r="I83" s="6"/>
    </row>
    <row r="84" spans="1:9" s="753" customFormat="1" ht="38.25" x14ac:dyDescent="0.2">
      <c r="A84" s="754"/>
      <c r="C84" s="765" t="s">
        <v>3885</v>
      </c>
      <c r="D84" s="756"/>
      <c r="E84" s="534">
        <v>0</v>
      </c>
      <c r="F84" s="125"/>
      <c r="G84" s="214"/>
      <c r="H84" s="208"/>
      <c r="I84" s="6"/>
    </row>
    <row r="85" spans="1:9" s="753" customFormat="1" ht="38.25" x14ac:dyDescent="0.2">
      <c r="A85" s="754"/>
      <c r="C85" s="757" t="s">
        <v>3886</v>
      </c>
      <c r="D85" s="756"/>
      <c r="E85" s="534">
        <v>0</v>
      </c>
      <c r="F85" s="125"/>
      <c r="G85" s="214"/>
      <c r="H85" s="208"/>
      <c r="I85" s="6"/>
    </row>
    <row r="86" spans="1:9" s="753" customFormat="1" ht="51" x14ac:dyDescent="0.2">
      <c r="A86" s="754"/>
      <c r="C86" s="765" t="s">
        <v>3887</v>
      </c>
      <c r="D86" s="756"/>
      <c r="E86" s="534">
        <v>0</v>
      </c>
      <c r="F86" s="125"/>
      <c r="G86" s="214"/>
      <c r="H86" s="208"/>
      <c r="I86" s="6"/>
    </row>
    <row r="87" spans="1:9" s="1030" customFormat="1" ht="38.25" x14ac:dyDescent="0.2">
      <c r="A87" s="1031"/>
      <c r="C87" s="974" t="s">
        <v>3899</v>
      </c>
      <c r="D87" s="1033"/>
      <c r="E87" s="534">
        <v>0</v>
      </c>
      <c r="F87" s="125"/>
      <c r="G87" s="214"/>
      <c r="H87" s="208"/>
      <c r="I87" s="6"/>
    </row>
    <row r="88" spans="1:9" s="1030" customFormat="1" ht="25.5" x14ac:dyDescent="0.2">
      <c r="A88" s="1031"/>
      <c r="C88" s="1039" t="s">
        <v>3888</v>
      </c>
      <c r="D88" s="1033"/>
      <c r="E88" s="534">
        <v>0</v>
      </c>
      <c r="F88" s="125"/>
      <c r="G88" s="214"/>
      <c r="H88" s="208"/>
      <c r="I88" s="6"/>
    </row>
    <row r="89" spans="1:9" s="1030" customFormat="1" ht="38.25" x14ac:dyDescent="0.2">
      <c r="A89" s="1031"/>
      <c r="C89" s="1040" t="s">
        <v>3889</v>
      </c>
      <c r="D89" s="1033"/>
      <c r="E89" s="534">
        <v>0</v>
      </c>
      <c r="F89" s="125"/>
      <c r="G89" s="214"/>
      <c r="H89" s="208"/>
      <c r="I89" s="6"/>
    </row>
    <row r="90" spans="1:9" x14ac:dyDescent="0.2">
      <c r="C90" s="13" t="s">
        <v>603</v>
      </c>
      <c r="D90" s="13"/>
      <c r="E90" s="213"/>
      <c r="F90" s="125"/>
      <c r="G90" s="534">
        <v>0</v>
      </c>
      <c r="H90" s="208"/>
      <c r="I90" s="195"/>
    </row>
    <row r="91" spans="1:9" x14ac:dyDescent="0.2">
      <c r="C91" s="13" t="s">
        <v>604</v>
      </c>
      <c r="D91" s="13"/>
      <c r="E91" s="213"/>
      <c r="F91" s="125"/>
      <c r="G91" s="534">
        <v>0</v>
      </c>
      <c r="H91" s="208"/>
      <c r="I91" s="195"/>
    </row>
    <row r="92" spans="1:9" x14ac:dyDescent="0.2">
      <c r="C92" s="13" t="s">
        <v>605</v>
      </c>
      <c r="D92" s="13"/>
      <c r="E92" s="213"/>
      <c r="F92" s="125"/>
      <c r="G92" s="534">
        <v>0</v>
      </c>
      <c r="H92" s="208"/>
      <c r="I92" s="195"/>
    </row>
    <row r="93" spans="1:9" x14ac:dyDescent="0.2">
      <c r="C93" s="13" t="s">
        <v>606</v>
      </c>
      <c r="D93" s="13"/>
      <c r="E93" s="125"/>
      <c r="F93" s="125"/>
      <c r="G93" s="534">
        <v>0</v>
      </c>
      <c r="H93" s="208"/>
      <c r="I93" s="195"/>
    </row>
    <row r="94" spans="1:9" x14ac:dyDescent="0.2">
      <c r="C94" s="466" t="s">
        <v>752</v>
      </c>
      <c r="D94" s="13"/>
      <c r="E94" s="125"/>
      <c r="F94" s="125"/>
      <c r="G94" s="534">
        <v>0</v>
      </c>
      <c r="H94" s="208"/>
      <c r="I94" s="195"/>
    </row>
    <row r="95" spans="1:9" x14ac:dyDescent="0.2">
      <c r="C95" s="466" t="s">
        <v>195</v>
      </c>
      <c r="D95" s="13"/>
      <c r="E95" s="125"/>
      <c r="F95" s="125"/>
      <c r="G95" s="534">
        <v>0</v>
      </c>
      <c r="H95" s="208"/>
      <c r="I95" s="195"/>
    </row>
    <row r="96" spans="1:9" x14ac:dyDescent="0.2">
      <c r="C96" s="13" t="s">
        <v>656</v>
      </c>
      <c r="D96" s="13"/>
      <c r="E96" s="125"/>
      <c r="F96" s="125"/>
      <c r="G96" s="534">
        <v>0</v>
      </c>
      <c r="H96" s="208"/>
      <c r="I96" s="195"/>
    </row>
    <row r="97" spans="1:9" x14ac:dyDescent="0.2">
      <c r="C97" s="13" t="s">
        <v>657</v>
      </c>
      <c r="D97" s="13"/>
      <c r="E97" s="125"/>
      <c r="F97" s="125"/>
      <c r="G97" s="534">
        <v>0</v>
      </c>
      <c r="H97" s="208"/>
      <c r="I97" s="195"/>
    </row>
    <row r="98" spans="1:9" x14ac:dyDescent="0.2">
      <c r="C98" s="13" t="s">
        <v>3963</v>
      </c>
      <c r="D98" s="13"/>
      <c r="E98" s="125"/>
      <c r="F98" s="125"/>
      <c r="G98" s="534">
        <v>0</v>
      </c>
      <c r="H98" s="208"/>
      <c r="I98" s="195"/>
    </row>
    <row r="99" spans="1:9" s="1030" customFormat="1" x14ac:dyDescent="0.2">
      <c r="A99" s="1031"/>
      <c r="C99" s="1038" t="s">
        <v>3959</v>
      </c>
      <c r="D99" s="1033"/>
      <c r="E99" s="125"/>
      <c r="F99" s="125"/>
      <c r="G99" s="534">
        <v>0</v>
      </c>
      <c r="H99" s="208"/>
      <c r="I99" s="195"/>
    </row>
    <row r="100" spans="1:9" x14ac:dyDescent="0.2">
      <c r="C100" s="13" t="s">
        <v>658</v>
      </c>
      <c r="D100" s="13"/>
      <c r="E100" s="125"/>
      <c r="F100" s="125"/>
      <c r="G100" s="534">
        <v>0</v>
      </c>
      <c r="H100" s="208"/>
      <c r="I100" s="195"/>
    </row>
    <row r="101" spans="1:9" s="753" customFormat="1" ht="25.5" x14ac:dyDescent="0.2">
      <c r="A101" s="754"/>
      <c r="C101" s="762" t="s">
        <v>3890</v>
      </c>
      <c r="D101" s="756"/>
      <c r="E101" s="125"/>
      <c r="F101" s="125"/>
      <c r="G101" s="534">
        <v>0</v>
      </c>
      <c r="H101" s="208"/>
      <c r="I101" s="195"/>
    </row>
    <row r="102" spans="1:9" s="753" customFormat="1" ht="38.25" x14ac:dyDescent="0.2">
      <c r="A102" s="754"/>
      <c r="C102" s="762" t="s">
        <v>3891</v>
      </c>
      <c r="D102" s="756"/>
      <c r="E102" s="125"/>
      <c r="F102" s="125"/>
      <c r="G102" s="534">
        <v>0</v>
      </c>
      <c r="H102" s="208"/>
      <c r="I102" s="195"/>
    </row>
    <row r="103" spans="1:9" s="753" customFormat="1" ht="38.25" x14ac:dyDescent="0.2">
      <c r="A103" s="754"/>
      <c r="C103" s="763" t="s">
        <v>3892</v>
      </c>
      <c r="D103" s="756"/>
      <c r="E103" s="125"/>
      <c r="F103" s="125"/>
      <c r="G103" s="534">
        <v>0</v>
      </c>
      <c r="H103" s="208"/>
      <c r="I103" s="195"/>
    </row>
    <row r="104" spans="1:9" s="753" customFormat="1" ht="51" x14ac:dyDescent="0.2">
      <c r="A104" s="754"/>
      <c r="C104" s="762" t="s">
        <v>3893</v>
      </c>
      <c r="D104" s="756"/>
      <c r="E104" s="125"/>
      <c r="F104" s="125"/>
      <c r="G104" s="534">
        <v>0</v>
      </c>
      <c r="H104" s="208"/>
      <c r="I104" s="195"/>
    </row>
    <row r="105" spans="1:9" s="1030" customFormat="1" ht="25.5" x14ac:dyDescent="0.2">
      <c r="A105" s="1031"/>
      <c r="C105" s="1036" t="s">
        <v>3894</v>
      </c>
      <c r="D105" s="1033"/>
      <c r="E105" s="125"/>
      <c r="F105" s="125"/>
      <c r="G105" s="534">
        <v>0</v>
      </c>
      <c r="H105" s="208"/>
      <c r="I105" s="195"/>
    </row>
    <row r="106" spans="1:9" s="1030" customFormat="1" ht="38.25" x14ac:dyDescent="0.2">
      <c r="A106" s="1031"/>
      <c r="C106" s="1037" t="s">
        <v>3895</v>
      </c>
      <c r="D106" s="1033"/>
      <c r="E106" s="125"/>
      <c r="F106" s="125"/>
      <c r="G106" s="534">
        <v>0</v>
      </c>
      <c r="H106" s="208"/>
      <c r="I106" s="195"/>
    </row>
    <row r="107" spans="1:9" x14ac:dyDescent="0.2">
      <c r="C107" s="638" t="s">
        <v>1110</v>
      </c>
      <c r="D107" s="13"/>
      <c r="E107" s="120"/>
      <c r="F107" s="120"/>
      <c r="G107" s="516">
        <v>0</v>
      </c>
      <c r="H107" s="208"/>
      <c r="I107" s="262" t="s">
        <v>508</v>
      </c>
    </row>
    <row r="108" spans="1:9" ht="7.5" customHeight="1" x14ac:dyDescent="0.2">
      <c r="C108" s="13"/>
      <c r="D108" s="13"/>
      <c r="E108" s="120"/>
      <c r="F108" s="120"/>
      <c r="G108" s="120"/>
      <c r="H108" s="208"/>
      <c r="I108" s="195"/>
    </row>
    <row r="109" spans="1:9" ht="12.75" customHeight="1" x14ac:dyDescent="0.2">
      <c r="B109" s="88" t="s">
        <v>948</v>
      </c>
      <c r="C109" s="174" t="s">
        <v>1009</v>
      </c>
      <c r="D109" s="13"/>
      <c r="E109" s="120"/>
      <c r="F109" s="120"/>
      <c r="G109" s="120"/>
      <c r="H109" s="208"/>
      <c r="I109" s="195"/>
    </row>
    <row r="110" spans="1:9" x14ac:dyDescent="0.2">
      <c r="C110" s="198" t="s">
        <v>1017</v>
      </c>
      <c r="D110" s="198"/>
      <c r="F110" s="1"/>
      <c r="G110" s="516">
        <v>0</v>
      </c>
      <c r="H110" s="1"/>
      <c r="I110" s="220"/>
    </row>
    <row r="111" spans="1:9" ht="12.75" customHeight="1" x14ac:dyDescent="0.2">
      <c r="C111" s="198" t="s">
        <v>1010</v>
      </c>
      <c r="D111" s="198"/>
      <c r="E111" s="516">
        <v>0</v>
      </c>
      <c r="F111" s="1"/>
      <c r="H111" s="1"/>
      <c r="I111" s="220" t="s">
        <v>643</v>
      </c>
    </row>
    <row r="112" spans="1:9" x14ac:dyDescent="0.2">
      <c r="C112" s="198" t="s">
        <v>814</v>
      </c>
      <c r="D112" s="198"/>
      <c r="E112" s="516">
        <v>0</v>
      </c>
      <c r="F112" s="1"/>
      <c r="H112" s="1"/>
      <c r="I112" s="220" t="s">
        <v>1112</v>
      </c>
    </row>
    <row r="113" spans="1:9" x14ac:dyDescent="0.2">
      <c r="C113" s="198" t="s">
        <v>813</v>
      </c>
      <c r="D113" s="198"/>
      <c r="F113" s="1"/>
      <c r="G113" s="516">
        <v>0</v>
      </c>
      <c r="H113" s="1"/>
      <c r="I113" s="220"/>
    </row>
    <row r="114" spans="1:9" x14ac:dyDescent="0.2">
      <c r="C114" s="198" t="s">
        <v>59</v>
      </c>
      <c r="D114" s="198"/>
      <c r="F114" s="1"/>
      <c r="G114" s="516">
        <v>0</v>
      </c>
      <c r="H114" s="1"/>
      <c r="I114" s="221" t="s">
        <v>98</v>
      </c>
    </row>
    <row r="115" spans="1:9" ht="22.5" x14ac:dyDescent="0.2">
      <c r="C115" s="198" t="s">
        <v>1000</v>
      </c>
      <c r="D115" s="198"/>
      <c r="E115" s="516">
        <v>0</v>
      </c>
      <c r="F115" s="1"/>
      <c r="H115" s="1"/>
      <c r="I115" s="219" t="s">
        <v>597</v>
      </c>
    </row>
    <row r="116" spans="1:9" x14ac:dyDescent="0.2">
      <c r="B116" s="64"/>
      <c r="C116" s="198"/>
      <c r="D116" s="198"/>
      <c r="F116" s="1"/>
      <c r="G116" s="1"/>
      <c r="H116" s="1"/>
      <c r="I116" s="1"/>
    </row>
    <row r="117" spans="1:9" ht="22.5" customHeight="1" x14ac:dyDescent="0.2">
      <c r="B117" s="88" t="s">
        <v>949</v>
      </c>
      <c r="C117" s="1310" t="s">
        <v>1113</v>
      </c>
      <c r="D117" s="1338">
        <v>0</v>
      </c>
      <c r="F117" s="1"/>
      <c r="H117" s="1"/>
      <c r="I117" s="220" t="s">
        <v>1114</v>
      </c>
    </row>
    <row r="118" spans="1:9" ht="21.75" customHeight="1" x14ac:dyDescent="0.2">
      <c r="B118" s="88"/>
      <c r="C118" s="1311"/>
      <c r="D118" s="1338"/>
      <c r="F118" s="1"/>
      <c r="H118" s="1"/>
      <c r="I118" s="220"/>
    </row>
    <row r="119" spans="1:9" x14ac:dyDescent="0.2">
      <c r="B119" s="64"/>
      <c r="C119" s="259" t="s">
        <v>357</v>
      </c>
      <c r="D119" s="260">
        <f>G110-E111-E112+G113+G114-E115</f>
        <v>0</v>
      </c>
      <c r="F119" s="1"/>
      <c r="G119" s="1"/>
      <c r="H119" s="1"/>
      <c r="I119" s="1"/>
    </row>
    <row r="120" spans="1:9" ht="36" customHeight="1" thickBot="1" x14ac:dyDescent="0.25">
      <c r="C120" s="199" t="s">
        <v>358</v>
      </c>
      <c r="D120" s="467">
        <f>D117-D119</f>
        <v>0</v>
      </c>
      <c r="E120" s="8"/>
      <c r="F120" s="261"/>
      <c r="G120" s="236">
        <f>D120</f>
        <v>0</v>
      </c>
      <c r="H120" s="1"/>
      <c r="I120" s="266" t="s">
        <v>544</v>
      </c>
    </row>
    <row r="121" spans="1:9" ht="18.75" customHeight="1" thickTop="1" thickBot="1" x14ac:dyDescent="0.25">
      <c r="C121" s="199"/>
      <c r="D121" s="199"/>
      <c r="E121" s="263">
        <f>SUM(E72:E120)</f>
        <v>0</v>
      </c>
      <c r="F121" s="1"/>
      <c r="G121" s="119">
        <f>SUM(G90:G120)</f>
        <v>0</v>
      </c>
      <c r="H121" s="1"/>
      <c r="I121" s="267" t="s">
        <v>545</v>
      </c>
    </row>
    <row r="122" spans="1:9" ht="13.5" thickTop="1" x14ac:dyDescent="0.2">
      <c r="C122" s="199"/>
      <c r="D122" s="199"/>
      <c r="F122" s="1"/>
      <c r="G122" s="1"/>
      <c r="H122" s="1"/>
      <c r="I122" s="1"/>
    </row>
    <row r="123" spans="1:9" ht="15" customHeight="1" x14ac:dyDescent="0.2">
      <c r="A123" s="4" t="s">
        <v>466</v>
      </c>
      <c r="B123" s="1323" t="s">
        <v>1118</v>
      </c>
      <c r="C123" s="1324"/>
      <c r="D123" s="1324"/>
      <c r="E123" s="1324"/>
      <c r="F123" s="1324"/>
      <c r="G123" s="1324"/>
      <c r="H123" s="1324"/>
      <c r="I123" s="1325"/>
    </row>
    <row r="124" spans="1:9" ht="25.5" customHeight="1" x14ac:dyDescent="0.2">
      <c r="B124" s="1326"/>
      <c r="C124" s="1327"/>
      <c r="D124" s="1327"/>
      <c r="E124" s="1327"/>
      <c r="F124" s="1327"/>
      <c r="G124" s="1327"/>
      <c r="H124" s="1327"/>
      <c r="I124" s="1328"/>
    </row>
    <row r="125" spans="1:9" x14ac:dyDescent="0.2">
      <c r="E125" s="1"/>
      <c r="F125" s="1"/>
      <c r="G125" s="208"/>
      <c r="H125" s="208"/>
      <c r="I125" s="195"/>
    </row>
    <row r="126" spans="1:9" ht="12.75" customHeight="1" x14ac:dyDescent="0.2">
      <c r="B126" s="64" t="s">
        <v>947</v>
      </c>
      <c r="C126" s="1135" t="s">
        <v>1039</v>
      </c>
      <c r="D126" s="1135"/>
      <c r="E126" s="1135"/>
      <c r="F126" s="1"/>
      <c r="G126" s="1308"/>
      <c r="H126" s="208"/>
      <c r="I126" s="195"/>
    </row>
    <row r="127" spans="1:9" ht="45.75" customHeight="1" x14ac:dyDescent="0.2">
      <c r="C127" s="1135"/>
      <c r="D127" s="1135"/>
      <c r="E127" s="1135"/>
      <c r="F127" s="1"/>
      <c r="G127" s="1308"/>
      <c r="H127" s="208"/>
      <c r="I127" s="195"/>
    </row>
    <row r="128" spans="1:9" x14ac:dyDescent="0.2">
      <c r="E128" s="1"/>
      <c r="F128" s="1"/>
      <c r="G128" s="208"/>
      <c r="H128" s="208"/>
      <c r="I128" s="225" t="s">
        <v>659</v>
      </c>
    </row>
    <row r="129" spans="1:12" x14ac:dyDescent="0.2">
      <c r="B129" s="64" t="s">
        <v>948</v>
      </c>
      <c r="C129" s="1135" t="s">
        <v>789</v>
      </c>
      <c r="D129" s="1135"/>
      <c r="E129" s="1135"/>
      <c r="F129" s="1"/>
      <c r="G129" s="1308"/>
      <c r="H129" s="208"/>
      <c r="I129" s="195"/>
    </row>
    <row r="130" spans="1:12" ht="47.25" customHeight="1" x14ac:dyDescent="0.2">
      <c r="C130" s="1135"/>
      <c r="D130" s="1135"/>
      <c r="E130" s="1135"/>
      <c r="F130" s="1"/>
      <c r="G130" s="1308"/>
      <c r="H130" s="208"/>
      <c r="I130" s="195"/>
    </row>
    <row r="131" spans="1:12" x14ac:dyDescent="0.2">
      <c r="E131" s="1"/>
      <c r="F131" s="1"/>
      <c r="G131" s="208"/>
      <c r="H131" s="208"/>
      <c r="I131" s="195"/>
    </row>
    <row r="132" spans="1:12" ht="13.5" customHeight="1" x14ac:dyDescent="0.2">
      <c r="A132" s="4" t="s">
        <v>472</v>
      </c>
      <c r="B132" s="1314" t="s">
        <v>645</v>
      </c>
      <c r="C132" s="1315"/>
      <c r="D132" s="1315"/>
      <c r="E132" s="1315"/>
      <c r="F132" s="1315"/>
      <c r="G132" s="1315"/>
      <c r="H132" s="1315"/>
      <c r="I132" s="1316"/>
      <c r="J132" s="1"/>
      <c r="K132" s="1"/>
      <c r="L132" s="1"/>
    </row>
    <row r="133" spans="1:12" ht="12" customHeight="1" x14ac:dyDescent="0.2">
      <c r="B133" s="1317"/>
      <c r="C133" s="1318"/>
      <c r="D133" s="1318"/>
      <c r="E133" s="1318"/>
      <c r="F133" s="1318"/>
      <c r="G133" s="1318"/>
      <c r="H133" s="1318"/>
      <c r="I133" s="1319"/>
      <c r="J133" s="1"/>
      <c r="K133" s="1"/>
      <c r="L133" s="1"/>
    </row>
    <row r="134" spans="1:12" ht="5.25" customHeight="1" x14ac:dyDescent="0.2">
      <c r="C134" s="210"/>
      <c r="D134" s="210"/>
      <c r="E134" s="193"/>
      <c r="F134" s="193"/>
      <c r="G134" s="193"/>
      <c r="H134" s="193"/>
      <c r="I134" s="193"/>
      <c r="J134" s="1"/>
      <c r="K134" s="1"/>
      <c r="L134" s="1"/>
    </row>
    <row r="135" spans="1:12" ht="37.5" customHeight="1" x14ac:dyDescent="0.2">
      <c r="C135" s="228" t="s">
        <v>194</v>
      </c>
      <c r="D135" s="228"/>
      <c r="E135" s="211" t="s">
        <v>598</v>
      </c>
      <c r="F135" s="209"/>
      <c r="G135" s="211" t="s">
        <v>599</v>
      </c>
      <c r="H135" s="209"/>
      <c r="I135" s="212"/>
      <c r="J135" s="1"/>
      <c r="K135" s="1"/>
      <c r="L135" s="1"/>
    </row>
    <row r="136" spans="1:12" x14ac:dyDescent="0.2">
      <c r="E136" s="1"/>
      <c r="F136" s="11"/>
      <c r="G136" s="1"/>
      <c r="H136" s="1"/>
      <c r="I136" s="1"/>
      <c r="J136" s="1"/>
      <c r="K136" s="1"/>
      <c r="L136" s="1"/>
    </row>
    <row r="137" spans="1:12" x14ac:dyDescent="0.2">
      <c r="C137" t="str">
        <f>+$C39</f>
        <v>General government</v>
      </c>
      <c r="E137" s="407">
        <f t="shared" ref="E137:E144" si="1">D$120*G39</f>
        <v>0</v>
      </c>
      <c r="F137" s="1"/>
      <c r="G137" s="1"/>
      <c r="H137" s="1"/>
      <c r="I137" s="1"/>
      <c r="J137" s="1"/>
      <c r="K137" s="1"/>
      <c r="L137" s="1"/>
    </row>
    <row r="138" spans="1:12" x14ac:dyDescent="0.2">
      <c r="C138" t="str">
        <f>+C40</f>
        <v>Public safety</v>
      </c>
      <c r="E138" s="407">
        <f t="shared" si="1"/>
        <v>0</v>
      </c>
      <c r="F138" s="1"/>
      <c r="G138" s="1"/>
      <c r="H138" s="1"/>
      <c r="I138" s="1"/>
      <c r="J138" s="1"/>
      <c r="K138" s="1"/>
      <c r="L138" s="1"/>
    </row>
    <row r="139" spans="1:12" x14ac:dyDescent="0.2">
      <c r="C139" t="str">
        <f>+C41</f>
        <v>Transportation</v>
      </c>
      <c r="E139" s="407">
        <f t="shared" si="1"/>
        <v>0</v>
      </c>
      <c r="F139" s="1"/>
      <c r="G139" s="1"/>
      <c r="H139" s="1"/>
      <c r="I139" s="1"/>
      <c r="J139" s="1"/>
      <c r="K139" s="1"/>
      <c r="L139" s="1"/>
    </row>
    <row r="140" spans="1:12" x14ac:dyDescent="0.2">
      <c r="C140" t="s">
        <v>481</v>
      </c>
      <c r="E140" s="407">
        <f t="shared" si="1"/>
        <v>0</v>
      </c>
      <c r="F140" s="1"/>
      <c r="G140" s="1"/>
      <c r="H140" s="1"/>
      <c r="I140" s="1"/>
      <c r="J140" s="1"/>
      <c r="K140" s="1"/>
      <c r="L140" s="1"/>
    </row>
    <row r="141" spans="1:12" x14ac:dyDescent="0.2">
      <c r="C141" t="s">
        <v>470</v>
      </c>
      <c r="E141" s="407">
        <f t="shared" si="1"/>
        <v>0</v>
      </c>
      <c r="F141" s="1"/>
      <c r="G141" s="1"/>
      <c r="H141" s="1"/>
      <c r="I141" s="1"/>
      <c r="J141" s="1"/>
      <c r="K141" s="1"/>
      <c r="L141" s="1"/>
    </row>
    <row r="142" spans="1:12" x14ac:dyDescent="0.2">
      <c r="C142" t="s">
        <v>991</v>
      </c>
      <c r="E142" s="407">
        <f t="shared" si="1"/>
        <v>0</v>
      </c>
      <c r="F142" s="1"/>
      <c r="G142" s="1"/>
      <c r="H142" s="1"/>
      <c r="I142" s="6"/>
      <c r="J142" s="1"/>
      <c r="K142" s="1"/>
      <c r="L142" s="1"/>
    </row>
    <row r="143" spans="1:12" x14ac:dyDescent="0.2">
      <c r="C143" t="s">
        <v>926</v>
      </c>
      <c r="E143" s="407">
        <f t="shared" si="1"/>
        <v>0</v>
      </c>
      <c r="F143" s="1"/>
      <c r="G143" s="1"/>
      <c r="H143" s="1"/>
      <c r="I143" s="264"/>
      <c r="J143" s="1"/>
      <c r="K143" s="1"/>
      <c r="L143" s="1"/>
    </row>
    <row r="144" spans="1:12" ht="12.75" customHeight="1" x14ac:dyDescent="0.2">
      <c r="C144" s="521" t="s">
        <v>203</v>
      </c>
      <c r="E144" s="407">
        <f t="shared" si="1"/>
        <v>0</v>
      </c>
      <c r="F144" s="1"/>
      <c r="G144" s="1"/>
      <c r="H144" s="1"/>
      <c r="J144" s="1"/>
      <c r="K144" s="1"/>
      <c r="L144" s="1"/>
    </row>
    <row r="145" spans="1:12" x14ac:dyDescent="0.2">
      <c r="E145" s="1"/>
      <c r="F145" s="1"/>
      <c r="G145" s="1"/>
      <c r="H145" s="1"/>
      <c r="I145" s="1249" t="s">
        <v>788</v>
      </c>
      <c r="J145" s="1"/>
      <c r="K145" s="1"/>
      <c r="L145" s="1"/>
    </row>
    <row r="146" spans="1:12" ht="12" customHeight="1" x14ac:dyDescent="0.2">
      <c r="C146" t="str">
        <f>+C51</f>
        <v>Water and sewer</v>
      </c>
      <c r="E146" s="1"/>
      <c r="F146" s="1"/>
      <c r="G146" s="407">
        <f>D$120*G51</f>
        <v>0</v>
      </c>
      <c r="H146" s="1"/>
      <c r="I146" s="1249"/>
      <c r="J146" s="1"/>
      <c r="K146" s="1"/>
      <c r="L146" s="1"/>
    </row>
    <row r="147" spans="1:12" x14ac:dyDescent="0.2">
      <c r="C147" t="str">
        <f>+C52</f>
        <v>Electric</v>
      </c>
      <c r="E147" s="1"/>
      <c r="F147" s="1"/>
      <c r="G147" s="407">
        <f>D$120*G52</f>
        <v>0</v>
      </c>
      <c r="H147" s="1"/>
      <c r="I147" s="1249"/>
      <c r="J147" s="1"/>
      <c r="K147" s="1"/>
      <c r="L147" s="1"/>
    </row>
    <row r="148" spans="1:12" x14ac:dyDescent="0.2">
      <c r="C148" s="521" t="s">
        <v>935</v>
      </c>
      <c r="E148" s="1"/>
      <c r="F148" s="1"/>
      <c r="G148" s="407">
        <f>D$120*G53</f>
        <v>0</v>
      </c>
      <c r="H148" s="1"/>
      <c r="I148" s="1249"/>
      <c r="J148" s="1"/>
      <c r="K148" s="1"/>
      <c r="L148" s="1"/>
    </row>
    <row r="149" spans="1:12" x14ac:dyDescent="0.2">
      <c r="C149" s="521" t="s">
        <v>936</v>
      </c>
      <c r="E149" s="1"/>
      <c r="F149" s="1"/>
      <c r="G149" s="407">
        <f>D$120*G54</f>
        <v>0</v>
      </c>
      <c r="H149" s="1"/>
      <c r="I149" s="1342"/>
      <c r="J149" s="1"/>
      <c r="K149" s="1"/>
      <c r="L149" s="1"/>
    </row>
    <row r="150" spans="1:12" ht="13.5" thickBot="1" x14ac:dyDescent="0.25">
      <c r="C150" s="198" t="s">
        <v>600</v>
      </c>
      <c r="D150" s="198"/>
      <c r="E150" s="119">
        <f>SUM(E137:E149)</f>
        <v>0</v>
      </c>
      <c r="F150" s="1"/>
      <c r="G150" s="119">
        <f>SUM(G146:G149)</f>
        <v>0</v>
      </c>
      <c r="H150" s="268" t="s">
        <v>946</v>
      </c>
      <c r="I150" s="119">
        <f>SUM(E150:G150)</f>
        <v>0</v>
      </c>
      <c r="J150" s="1"/>
      <c r="K150" s="1"/>
      <c r="L150" s="1"/>
    </row>
    <row r="151" spans="1:12" ht="13.5" thickTop="1" x14ac:dyDescent="0.2">
      <c r="E151" s="1"/>
      <c r="F151" s="1"/>
      <c r="G151" s="1"/>
      <c r="H151" s="1"/>
      <c r="I151" s="195"/>
    </row>
    <row r="152" spans="1:12" ht="25.5" customHeight="1" x14ac:dyDescent="0.2">
      <c r="A152" s="4" t="s">
        <v>488</v>
      </c>
      <c r="B152" s="1204" t="s">
        <v>593</v>
      </c>
      <c r="C152" s="1205"/>
      <c r="D152" s="1205"/>
      <c r="E152" s="1205"/>
      <c r="F152" s="1205"/>
      <c r="G152" s="1205"/>
      <c r="H152" s="1205"/>
      <c r="I152" s="1206"/>
    </row>
    <row r="153" spans="1:12" ht="12.75" customHeight="1" x14ac:dyDescent="0.2">
      <c r="E153" s="1"/>
      <c r="F153" s="1"/>
      <c r="G153" s="1"/>
      <c r="H153" s="1"/>
      <c r="I153" s="195"/>
    </row>
    <row r="154" spans="1:12" x14ac:dyDescent="0.2">
      <c r="E154" s="3" t="s">
        <v>65</v>
      </c>
      <c r="F154" s="71"/>
      <c r="G154" s="3" t="s">
        <v>66</v>
      </c>
      <c r="H154" s="71"/>
    </row>
    <row r="155" spans="1:12" x14ac:dyDescent="0.2">
      <c r="E155" s="247"/>
      <c r="F155" s="71"/>
      <c r="G155" s="251"/>
      <c r="H155" s="71"/>
      <c r="I155" s="222"/>
    </row>
    <row r="156" spans="1:12" x14ac:dyDescent="0.2">
      <c r="A156" s="229" t="s">
        <v>99</v>
      </c>
      <c r="C156" s="13" t="s">
        <v>601</v>
      </c>
      <c r="D156" s="13"/>
      <c r="E156" s="109">
        <f t="shared" ref="E156:E171" si="2">E72</f>
        <v>0</v>
      </c>
      <c r="G156" s="104"/>
    </row>
    <row r="157" spans="1:12" x14ac:dyDescent="0.2">
      <c r="C157" s="13" t="s">
        <v>849</v>
      </c>
      <c r="D157" s="13"/>
      <c r="E157" s="109">
        <f t="shared" si="2"/>
        <v>0</v>
      </c>
      <c r="G157" s="104"/>
    </row>
    <row r="158" spans="1:12" x14ac:dyDescent="0.2">
      <c r="C158" s="13" t="s">
        <v>747</v>
      </c>
      <c r="D158" s="13"/>
      <c r="E158" s="109">
        <f t="shared" si="2"/>
        <v>0</v>
      </c>
      <c r="G158" s="104"/>
    </row>
    <row r="159" spans="1:12" x14ac:dyDescent="0.2">
      <c r="C159" s="13" t="s">
        <v>196</v>
      </c>
      <c r="D159" s="13"/>
      <c r="E159" s="109">
        <f t="shared" si="2"/>
        <v>0</v>
      </c>
      <c r="G159" s="104"/>
    </row>
    <row r="160" spans="1:12" x14ac:dyDescent="0.2">
      <c r="C160" s="13" t="s">
        <v>750</v>
      </c>
      <c r="D160" s="13"/>
      <c r="E160" s="109">
        <f t="shared" si="2"/>
        <v>0</v>
      </c>
      <c r="G160" s="104"/>
    </row>
    <row r="161" spans="1:9" x14ac:dyDescent="0.2">
      <c r="C161" s="13" t="s">
        <v>751</v>
      </c>
      <c r="D161" s="13"/>
      <c r="E161" s="109">
        <f t="shared" si="2"/>
        <v>0</v>
      </c>
      <c r="G161" s="104"/>
    </row>
    <row r="162" spans="1:9" x14ac:dyDescent="0.2">
      <c r="C162" s="13" t="s">
        <v>476</v>
      </c>
      <c r="D162" s="13"/>
      <c r="E162" s="109">
        <f t="shared" si="2"/>
        <v>0</v>
      </c>
      <c r="G162" s="104"/>
    </row>
    <row r="163" spans="1:9" x14ac:dyDescent="0.2">
      <c r="C163" s="13" t="s">
        <v>477</v>
      </c>
      <c r="D163" s="13"/>
      <c r="E163" s="109">
        <f t="shared" si="2"/>
        <v>0</v>
      </c>
      <c r="G163" s="104"/>
    </row>
    <row r="164" spans="1:9" x14ac:dyDescent="0.2">
      <c r="C164" s="13" t="s">
        <v>474</v>
      </c>
      <c r="D164" s="13"/>
      <c r="E164" s="109">
        <f t="shared" si="2"/>
        <v>0</v>
      </c>
      <c r="G164" s="104"/>
    </row>
    <row r="165" spans="1:9" x14ac:dyDescent="0.2">
      <c r="C165" s="13" t="s">
        <v>602</v>
      </c>
      <c r="D165" s="13"/>
      <c r="E165" s="109">
        <f t="shared" si="2"/>
        <v>0</v>
      </c>
      <c r="G165" s="104"/>
      <c r="I165" s="6" t="s">
        <v>595</v>
      </c>
    </row>
    <row r="166" spans="1:9" s="753" customFormat="1" ht="25.5" x14ac:dyDescent="0.2">
      <c r="A166" s="754"/>
      <c r="C166" s="684" t="s">
        <v>3961</v>
      </c>
      <c r="D166" s="756"/>
      <c r="E166" s="109">
        <f t="shared" si="2"/>
        <v>0</v>
      </c>
      <c r="G166" s="104"/>
      <c r="I166" s="6"/>
    </row>
    <row r="167" spans="1:9" s="753" customFormat="1" ht="25.5" x14ac:dyDescent="0.2">
      <c r="A167" s="754"/>
      <c r="C167" s="765" t="s">
        <v>3884</v>
      </c>
      <c r="D167" s="756"/>
      <c r="E167" s="109">
        <f t="shared" si="2"/>
        <v>0</v>
      </c>
      <c r="G167" s="104"/>
      <c r="I167" s="6"/>
    </row>
    <row r="168" spans="1:9" s="753" customFormat="1" ht="38.25" x14ac:dyDescent="0.2">
      <c r="A168" s="754"/>
      <c r="C168" s="765" t="s">
        <v>3885</v>
      </c>
      <c r="D168" s="756"/>
      <c r="E168" s="109">
        <f t="shared" si="2"/>
        <v>0</v>
      </c>
      <c r="G168" s="104"/>
      <c r="I168" s="6"/>
    </row>
    <row r="169" spans="1:9" s="753" customFormat="1" ht="38.25" x14ac:dyDescent="0.2">
      <c r="A169" s="754"/>
      <c r="C169" s="757" t="s">
        <v>3886</v>
      </c>
      <c r="D169" s="756"/>
      <c r="E169" s="109">
        <f t="shared" si="2"/>
        <v>0</v>
      </c>
      <c r="G169" s="104"/>
      <c r="I169" s="6"/>
    </row>
    <row r="170" spans="1:9" s="753" customFormat="1" ht="51" x14ac:dyDescent="0.2">
      <c r="A170" s="754"/>
      <c r="C170" s="765" t="s">
        <v>3887</v>
      </c>
      <c r="D170" s="756"/>
      <c r="E170" s="109">
        <f t="shared" si="2"/>
        <v>0</v>
      </c>
      <c r="G170" s="104"/>
      <c r="I170" s="6"/>
    </row>
    <row r="171" spans="1:9" s="1030" customFormat="1" ht="38.25" x14ac:dyDescent="0.2">
      <c r="A171" s="1031"/>
      <c r="C171" s="766" t="s">
        <v>3898</v>
      </c>
      <c r="D171" s="1033"/>
      <c r="E171" s="109">
        <f t="shared" si="2"/>
        <v>0</v>
      </c>
      <c r="G171" s="104"/>
      <c r="I171" s="6"/>
    </row>
    <row r="172" spans="1:9" s="1030" customFormat="1" ht="25.5" x14ac:dyDescent="0.2">
      <c r="A172" s="1031"/>
      <c r="C172" s="1034" t="s">
        <v>3888</v>
      </c>
      <c r="D172" s="1033"/>
      <c r="E172" s="109">
        <f t="shared" ref="E172:E173" si="3">E88</f>
        <v>0</v>
      </c>
      <c r="G172" s="104"/>
      <c r="I172" s="6"/>
    </row>
    <row r="173" spans="1:9" s="1030" customFormat="1" ht="38.25" x14ac:dyDescent="0.2">
      <c r="A173" s="1031"/>
      <c r="C173" s="1034" t="s">
        <v>3889</v>
      </c>
      <c r="D173" s="1033"/>
      <c r="E173" s="109">
        <f t="shared" si="3"/>
        <v>0</v>
      </c>
      <c r="G173" s="104"/>
      <c r="I173" s="6"/>
    </row>
    <row r="174" spans="1:9" x14ac:dyDescent="0.2">
      <c r="C174" s="13" t="s">
        <v>603</v>
      </c>
      <c r="D174" s="13"/>
      <c r="E174" s="104"/>
      <c r="G174" s="109">
        <f t="shared" ref="G174:G190" si="4">G90</f>
        <v>0</v>
      </c>
    </row>
    <row r="175" spans="1:9" x14ac:dyDescent="0.2">
      <c r="C175" s="13" t="s">
        <v>604</v>
      </c>
      <c r="D175" s="13"/>
      <c r="E175" s="104"/>
      <c r="G175" s="109">
        <f t="shared" si="4"/>
        <v>0</v>
      </c>
    </row>
    <row r="176" spans="1:9" x14ac:dyDescent="0.2">
      <c r="C176" s="13" t="s">
        <v>605</v>
      </c>
      <c r="D176" s="13"/>
      <c r="E176" s="104"/>
      <c r="G176" s="109">
        <f t="shared" si="4"/>
        <v>0</v>
      </c>
    </row>
    <row r="177" spans="1:9" x14ac:dyDescent="0.2">
      <c r="C177" s="13" t="s">
        <v>606</v>
      </c>
      <c r="D177" s="13"/>
      <c r="E177" s="104"/>
      <c r="G177" s="109">
        <f t="shared" si="4"/>
        <v>0</v>
      </c>
    </row>
    <row r="178" spans="1:9" x14ac:dyDescent="0.2">
      <c r="C178" s="466" t="s">
        <v>752</v>
      </c>
      <c r="D178" s="13"/>
      <c r="E178" s="104"/>
      <c r="G178" s="109">
        <f t="shared" si="4"/>
        <v>0</v>
      </c>
    </row>
    <row r="179" spans="1:9" x14ac:dyDescent="0.2">
      <c r="C179" s="466" t="s">
        <v>195</v>
      </c>
      <c r="D179" s="13"/>
      <c r="E179" s="104"/>
      <c r="G179" s="109">
        <f t="shared" si="4"/>
        <v>0</v>
      </c>
    </row>
    <row r="180" spans="1:9" x14ac:dyDescent="0.2">
      <c r="C180" s="13" t="s">
        <v>590</v>
      </c>
      <c r="D180" s="13"/>
      <c r="E180" s="104"/>
      <c r="G180" s="109">
        <f t="shared" si="4"/>
        <v>0</v>
      </c>
    </row>
    <row r="181" spans="1:9" x14ac:dyDescent="0.2">
      <c r="C181" s="13" t="s">
        <v>657</v>
      </c>
      <c r="D181" s="13"/>
      <c r="E181" s="104"/>
      <c r="G181" s="109">
        <f t="shared" si="4"/>
        <v>0</v>
      </c>
    </row>
    <row r="182" spans="1:9" x14ac:dyDescent="0.2">
      <c r="C182" s="13" t="s">
        <v>3964</v>
      </c>
      <c r="D182" s="13"/>
      <c r="E182" s="104"/>
      <c r="G182" s="109">
        <f t="shared" si="4"/>
        <v>0</v>
      </c>
    </row>
    <row r="183" spans="1:9" s="1030" customFormat="1" x14ac:dyDescent="0.2">
      <c r="A183" s="1031"/>
      <c r="C183" s="466" t="s">
        <v>3965</v>
      </c>
      <c r="D183" s="1033"/>
      <c r="E183" s="104"/>
      <c r="G183" s="109">
        <f t="shared" si="4"/>
        <v>0</v>
      </c>
    </row>
    <row r="184" spans="1:9" x14ac:dyDescent="0.2">
      <c r="C184" s="13" t="s">
        <v>866</v>
      </c>
      <c r="D184" s="13"/>
      <c r="E184" s="104"/>
      <c r="G184" s="109">
        <f t="shared" si="4"/>
        <v>0</v>
      </c>
    </row>
    <row r="185" spans="1:9" s="753" customFormat="1" ht="25.5" x14ac:dyDescent="0.2">
      <c r="A185" s="754"/>
      <c r="C185" s="762" t="s">
        <v>3890</v>
      </c>
      <c r="D185" s="756"/>
      <c r="E185" s="104"/>
      <c r="G185" s="109">
        <f t="shared" si="4"/>
        <v>0</v>
      </c>
    </row>
    <row r="186" spans="1:9" s="753" customFormat="1" ht="38.25" x14ac:dyDescent="0.2">
      <c r="A186" s="754"/>
      <c r="C186" s="762" t="s">
        <v>3891</v>
      </c>
      <c r="D186" s="756"/>
      <c r="E186" s="104"/>
      <c r="G186" s="109">
        <f t="shared" si="4"/>
        <v>0</v>
      </c>
    </row>
    <row r="187" spans="1:9" s="753" customFormat="1" ht="38.25" x14ac:dyDescent="0.2">
      <c r="A187" s="754"/>
      <c r="C187" s="763" t="s">
        <v>3892</v>
      </c>
      <c r="D187" s="756"/>
      <c r="E187" s="104"/>
      <c r="G187" s="109">
        <f t="shared" si="4"/>
        <v>0</v>
      </c>
    </row>
    <row r="188" spans="1:9" s="753" customFormat="1" ht="51" x14ac:dyDescent="0.2">
      <c r="A188" s="754"/>
      <c r="C188" s="762" t="s">
        <v>3893</v>
      </c>
      <c r="D188" s="756"/>
      <c r="E188" s="104"/>
      <c r="G188" s="109">
        <f t="shared" si="4"/>
        <v>0</v>
      </c>
    </row>
    <row r="189" spans="1:9" s="1030" customFormat="1" ht="25.5" x14ac:dyDescent="0.2">
      <c r="A189" s="1031"/>
      <c r="C189" s="748" t="s">
        <v>3894</v>
      </c>
      <c r="D189" s="1033"/>
      <c r="E189" s="104"/>
      <c r="G189" s="109">
        <f t="shared" si="4"/>
        <v>0</v>
      </c>
    </row>
    <row r="190" spans="1:9" s="1030" customFormat="1" ht="38.25" x14ac:dyDescent="0.2">
      <c r="A190" s="1031"/>
      <c r="C190" s="749" t="s">
        <v>3895</v>
      </c>
      <c r="D190" s="1033"/>
      <c r="E190" s="104"/>
      <c r="G190" s="109">
        <f t="shared" si="4"/>
        <v>0</v>
      </c>
    </row>
    <row r="191" spans="1:9" x14ac:dyDescent="0.2">
      <c r="C191" s="13" t="s">
        <v>868</v>
      </c>
      <c r="D191" s="13"/>
      <c r="E191" s="103"/>
      <c r="G191" s="103">
        <f>G107+G129</f>
        <v>0</v>
      </c>
    </row>
    <row r="192" spans="1:9" s="13" customFormat="1" ht="6" customHeight="1" x14ac:dyDescent="0.2">
      <c r="A192" s="174"/>
      <c r="E192" s="104"/>
      <c r="F192"/>
      <c r="G192" s="104"/>
      <c r="H192"/>
      <c r="I192"/>
    </row>
    <row r="193" spans="1:9" s="13" customFormat="1" x14ac:dyDescent="0.2">
      <c r="A193" s="174"/>
      <c r="C193" s="13" t="s">
        <v>592</v>
      </c>
      <c r="E193" s="104"/>
      <c r="F193"/>
      <c r="G193" s="103">
        <f>G110</f>
        <v>0</v>
      </c>
      <c r="H193"/>
      <c r="I193"/>
    </row>
    <row r="194" spans="1:9" s="13" customFormat="1" x14ac:dyDescent="0.2">
      <c r="A194" s="174"/>
      <c r="C194" s="13" t="s">
        <v>607</v>
      </c>
      <c r="E194" s="104"/>
      <c r="F194"/>
      <c r="G194" s="103">
        <f>G114</f>
        <v>0</v>
      </c>
      <c r="H194"/>
    </row>
    <row r="195" spans="1:9" s="13" customFormat="1" x14ac:dyDescent="0.2">
      <c r="A195" s="174"/>
      <c r="C195" s="13" t="s">
        <v>608</v>
      </c>
      <c r="E195" s="103">
        <f>E115</f>
        <v>0</v>
      </c>
      <c r="F195"/>
      <c r="G195" s="104"/>
      <c r="H195"/>
      <c r="I195" s="6" t="s">
        <v>437</v>
      </c>
    </row>
    <row r="196" spans="1:9" s="13" customFormat="1" x14ac:dyDescent="0.2">
      <c r="A196" s="174"/>
      <c r="C196" s="13" t="s">
        <v>869</v>
      </c>
      <c r="E196" s="103">
        <f>E111</f>
        <v>0</v>
      </c>
      <c r="F196"/>
      <c r="G196" s="104"/>
      <c r="H196"/>
      <c r="I196"/>
    </row>
    <row r="197" spans="1:9" s="13" customFormat="1" x14ac:dyDescent="0.2">
      <c r="A197" s="174"/>
      <c r="C197" s="13" t="s">
        <v>435</v>
      </c>
      <c r="E197" s="103"/>
      <c r="F197"/>
      <c r="G197" s="103">
        <f>G113</f>
        <v>0</v>
      </c>
      <c r="H197"/>
      <c r="I197"/>
    </row>
    <row r="198" spans="1:9" s="13" customFormat="1" x14ac:dyDescent="0.2">
      <c r="A198" s="174"/>
      <c r="C198" s="13" t="s">
        <v>436</v>
      </c>
      <c r="E198" s="103">
        <f>E112</f>
        <v>0</v>
      </c>
      <c r="F198"/>
      <c r="G198" s="104"/>
      <c r="H198"/>
      <c r="I198"/>
    </row>
    <row r="199" spans="1:9" ht="6" customHeight="1" x14ac:dyDescent="0.2">
      <c r="C199" s="13"/>
      <c r="D199" s="13"/>
      <c r="E199" s="104"/>
      <c r="G199" s="104"/>
    </row>
    <row r="200" spans="1:9" x14ac:dyDescent="0.2">
      <c r="C200" s="198" t="s">
        <v>609</v>
      </c>
      <c r="D200" s="198"/>
      <c r="E200" s="103"/>
      <c r="G200" s="103">
        <f t="shared" ref="G200:G207" si="5">E137</f>
        <v>0</v>
      </c>
    </row>
    <row r="201" spans="1:9" x14ac:dyDescent="0.2">
      <c r="C201" s="198" t="s">
        <v>696</v>
      </c>
      <c r="D201" s="198"/>
      <c r="E201" s="103"/>
      <c r="G201" s="103">
        <f t="shared" si="5"/>
        <v>0</v>
      </c>
    </row>
    <row r="202" spans="1:9" x14ac:dyDescent="0.2">
      <c r="C202" s="198" t="s">
        <v>697</v>
      </c>
      <c r="D202" s="198"/>
      <c r="E202" s="103"/>
      <c r="G202" s="103">
        <f t="shared" si="5"/>
        <v>0</v>
      </c>
    </row>
    <row r="203" spans="1:9" x14ac:dyDescent="0.2">
      <c r="C203" t="s">
        <v>594</v>
      </c>
      <c r="E203" s="103"/>
      <c r="G203" s="103">
        <f t="shared" si="5"/>
        <v>0</v>
      </c>
    </row>
    <row r="204" spans="1:9" x14ac:dyDescent="0.2">
      <c r="C204" s="198" t="s">
        <v>699</v>
      </c>
      <c r="D204" s="198"/>
      <c r="E204" s="103"/>
      <c r="G204" s="103">
        <f t="shared" si="5"/>
        <v>0</v>
      </c>
      <c r="I204" s="6" t="s">
        <v>438</v>
      </c>
    </row>
    <row r="205" spans="1:9" x14ac:dyDescent="0.2">
      <c r="C205" s="198" t="s">
        <v>55</v>
      </c>
      <c r="D205" s="198"/>
      <c r="E205" s="103"/>
      <c r="G205" s="103">
        <f t="shared" si="5"/>
        <v>0</v>
      </c>
    </row>
    <row r="206" spans="1:9" x14ac:dyDescent="0.2">
      <c r="C206" s="198" t="s">
        <v>926</v>
      </c>
      <c r="D206" s="198"/>
      <c r="E206" s="103"/>
      <c r="G206" s="103">
        <f t="shared" si="5"/>
        <v>0</v>
      </c>
    </row>
    <row r="207" spans="1:9" x14ac:dyDescent="0.2">
      <c r="C207" s="551" t="s">
        <v>203</v>
      </c>
      <c r="D207" s="198"/>
      <c r="E207" s="103"/>
      <c r="G207" s="103">
        <f t="shared" si="5"/>
        <v>0</v>
      </c>
    </row>
    <row r="208" spans="1:9" x14ac:dyDescent="0.2">
      <c r="C208" s="198" t="s">
        <v>642</v>
      </c>
      <c r="D208" s="198"/>
      <c r="E208" s="103"/>
      <c r="G208" s="103">
        <f>G150+G126</f>
        <v>0</v>
      </c>
    </row>
    <row r="209" spans="3:9" ht="6.75" customHeight="1" x14ac:dyDescent="0.2">
      <c r="C209" s="198"/>
      <c r="D209" s="198"/>
      <c r="E209" s="11"/>
      <c r="F209" s="1"/>
      <c r="G209" s="11"/>
      <c r="H209" s="14"/>
      <c r="I209" s="14"/>
    </row>
    <row r="210" spans="3:9" ht="13.5" thickBot="1" x14ac:dyDescent="0.25">
      <c r="C210" s="198"/>
      <c r="D210" s="198"/>
      <c r="E210" s="456" t="s">
        <v>187</v>
      </c>
      <c r="F210" s="1"/>
      <c r="G210" s="119">
        <f>SUM(G156:G208)</f>
        <v>0</v>
      </c>
    </row>
    <row r="211" spans="3:9" ht="18.75" customHeight="1" thickTop="1" x14ac:dyDescent="0.2">
      <c r="C211" s="198"/>
      <c r="D211" s="198"/>
      <c r="E211" s="11"/>
      <c r="F211" s="1"/>
      <c r="G211" s="11"/>
    </row>
    <row r="212" spans="3:9" x14ac:dyDescent="0.2">
      <c r="C212" s="1235" t="s">
        <v>56</v>
      </c>
      <c r="D212" s="1235"/>
      <c r="E212" t="s">
        <v>187</v>
      </c>
    </row>
    <row r="213" spans="3:9" x14ac:dyDescent="0.2">
      <c r="H213" s="14"/>
    </row>
    <row r="214" spans="3:9" x14ac:dyDescent="0.2">
      <c r="C214" t="s">
        <v>546</v>
      </c>
      <c r="E214" s="103">
        <f>G150+G126</f>
        <v>0</v>
      </c>
      <c r="G214" s="104"/>
    </row>
    <row r="215" spans="3:9" ht="12.75" customHeight="1" x14ac:dyDescent="0.2">
      <c r="C215" s="198" t="s">
        <v>57</v>
      </c>
      <c r="D215" s="198"/>
      <c r="E215" s="104"/>
      <c r="G215" s="103">
        <f>G146</f>
        <v>0</v>
      </c>
    </row>
    <row r="216" spans="3:9" ht="22.5" x14ac:dyDescent="0.2">
      <c r="C216" s="198" t="s">
        <v>58</v>
      </c>
      <c r="D216" s="198"/>
      <c r="E216" s="104"/>
      <c r="G216" s="15">
        <f>G147</f>
        <v>0</v>
      </c>
      <c r="I216" s="442" t="s">
        <v>716</v>
      </c>
    </row>
    <row r="217" spans="3:9" x14ac:dyDescent="0.2">
      <c r="C217" s="551" t="s">
        <v>683</v>
      </c>
      <c r="D217" s="198"/>
      <c r="E217" s="104"/>
      <c r="G217" s="15">
        <f>G148</f>
        <v>0</v>
      </c>
      <c r="I217" s="571"/>
    </row>
    <row r="218" spans="3:9" x14ac:dyDescent="0.2">
      <c r="C218" s="551" t="s">
        <v>684</v>
      </c>
      <c r="D218" s="198"/>
      <c r="E218" s="104"/>
      <c r="G218" s="15">
        <f>G149</f>
        <v>0</v>
      </c>
      <c r="I218" s="571"/>
    </row>
    <row r="219" spans="3:9" x14ac:dyDescent="0.2">
      <c r="C219" s="198" t="s">
        <v>932</v>
      </c>
      <c r="D219" s="198"/>
      <c r="E219" s="104"/>
      <c r="G219" s="230">
        <f>G126</f>
        <v>0</v>
      </c>
    </row>
    <row r="220" spans="3:9" ht="13.5" thickBot="1" x14ac:dyDescent="0.25">
      <c r="E220" s="105">
        <f>SUM(E214:E216)</f>
        <v>0</v>
      </c>
      <c r="G220" s="113">
        <f>SUM(G215:G219)</f>
        <v>0</v>
      </c>
    </row>
    <row r="221" spans="3:9" ht="13.5" thickTop="1" x14ac:dyDescent="0.2"/>
    <row r="222" spans="3:9" x14ac:dyDescent="0.2">
      <c r="C222" s="1136" t="s">
        <v>1040</v>
      </c>
      <c r="D222" s="1126"/>
      <c r="E222" s="1126"/>
      <c r="F222" s="1126"/>
      <c r="G222" s="1126"/>
      <c r="H222" s="1126"/>
      <c r="I222" s="1126"/>
    </row>
    <row r="223" spans="3:9" x14ac:dyDescent="0.2">
      <c r="C223" s="1126"/>
      <c r="D223" s="1126"/>
      <c r="E223" s="1126"/>
      <c r="F223" s="1126"/>
      <c r="G223" s="1126"/>
      <c r="H223" s="1126"/>
      <c r="I223" s="1126"/>
    </row>
  </sheetData>
  <sheetProtection algorithmName="SHA-512" hashValue="CB14Bmep9Vx0+IxHNK59EcJSwyLVTGiW7LSOJtBFkAFAs+K4izh+9tiMgF2U4Lv/EPHJceh7TVfhMWkXnYaNzg==" saltValue="Pl+wa2sDX0rIwIn7HraeGg==" spinCount="100000" sheet="1" objects="1" scenarios="1"/>
  <mergeCells count="27">
    <mergeCell ref="C30:I30"/>
    <mergeCell ref="C1:I1"/>
    <mergeCell ref="C35:G35"/>
    <mergeCell ref="B2:I3"/>
    <mergeCell ref="B4:I4"/>
    <mergeCell ref="C14:I15"/>
    <mergeCell ref="C20:I21"/>
    <mergeCell ref="C23:I23"/>
    <mergeCell ref="C27:I28"/>
    <mergeCell ref="C17:I18"/>
    <mergeCell ref="C24:I25"/>
    <mergeCell ref="B32:I33"/>
    <mergeCell ref="C222:I223"/>
    <mergeCell ref="B123:I124"/>
    <mergeCell ref="C129:E130"/>
    <mergeCell ref="G129:G130"/>
    <mergeCell ref="B68:I69"/>
    <mergeCell ref="C117:C118"/>
    <mergeCell ref="D117:D118"/>
    <mergeCell ref="C212:D212"/>
    <mergeCell ref="C65:D65"/>
    <mergeCell ref="B152:I152"/>
    <mergeCell ref="B132:I133"/>
    <mergeCell ref="C126:E127"/>
    <mergeCell ref="G126:G127"/>
    <mergeCell ref="I145:I149"/>
    <mergeCell ref="G64:I65"/>
  </mergeCells>
  <phoneticPr fontId="13" type="noConversion"/>
  <printOptions horizontalCentered="1"/>
  <pageMargins left="0.39" right="0.4" top="0.66" bottom="0.5" header="0.5" footer="0.5"/>
  <pageSetup scale="70" orientation="portrait" r:id="rId1"/>
  <headerFooter alignWithMargins="0">
    <oddHeader>&amp;REntry K.3</oddHeader>
    <oddFooter>&amp;L&amp;8&amp;D - City model&amp;R&amp;P</oddFooter>
  </headerFooter>
  <rowBreaks count="2" manualBreakCount="2">
    <brk id="67" max="8" man="1"/>
    <brk id="150" max="8" man="1"/>
  </rowBreaks>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S295"/>
  <sheetViews>
    <sheetView workbookViewId="0">
      <selection activeCell="N51" sqref="N51:N52"/>
    </sheetView>
  </sheetViews>
  <sheetFormatPr defaultRowHeight="12.75" x14ac:dyDescent="0.2"/>
  <cols>
    <col min="1" max="1" width="4.42578125" customWidth="1"/>
    <col min="2" max="2" width="3.42578125" customWidth="1"/>
    <col min="3" max="3" width="10" customWidth="1"/>
    <col min="4" max="4" width="4.5703125" customWidth="1"/>
    <col min="6" max="6" width="11.28515625" customWidth="1"/>
    <col min="7" max="7" width="8.42578125" bestFit="1" customWidth="1"/>
    <col min="8" max="8" width="11.42578125" bestFit="1" customWidth="1"/>
    <col min="9" max="9" width="7.7109375" customWidth="1"/>
    <col min="10" max="10" width="15.7109375" customWidth="1"/>
    <col min="11" max="11" width="1.140625" customWidth="1"/>
    <col min="12" max="12" width="16.5703125" customWidth="1"/>
    <col min="13" max="13" width="0.7109375" customWidth="1"/>
    <col min="14" max="14" width="18" bestFit="1" customWidth="1"/>
    <col min="15" max="15" width="0.85546875" customWidth="1"/>
    <col min="16" max="16" width="1.140625" customWidth="1"/>
    <col min="17" max="17" width="10.42578125" bestFit="1" customWidth="1"/>
  </cols>
  <sheetData>
    <row r="1" spans="1:16" ht="7.5" customHeight="1" x14ac:dyDescent="0.2"/>
    <row r="2" spans="1:16" ht="33.75" customHeight="1" x14ac:dyDescent="0.25">
      <c r="A2" s="1200" t="s">
        <v>579</v>
      </c>
      <c r="B2" s="1201"/>
      <c r="C2" s="1201"/>
      <c r="D2" s="1201"/>
      <c r="E2" s="1201"/>
      <c r="F2" s="1201"/>
      <c r="G2" s="1201"/>
      <c r="H2" s="1201"/>
      <c r="I2" s="1201"/>
      <c r="J2" s="1201"/>
      <c r="K2" s="1201"/>
      <c r="L2" s="1201"/>
      <c r="M2" s="1201"/>
      <c r="N2" s="1201"/>
      <c r="O2" s="1202"/>
    </row>
    <row r="3" spans="1:16" ht="12" customHeight="1" x14ac:dyDescent="0.2">
      <c r="H3" s="67"/>
    </row>
    <row r="4" spans="1:16" ht="64.5" customHeight="1" x14ac:dyDescent="0.2">
      <c r="B4" s="1126" t="s">
        <v>387</v>
      </c>
      <c r="C4" s="1203"/>
      <c r="D4" s="1203"/>
      <c r="E4" s="1203"/>
      <c r="F4" s="1203"/>
      <c r="G4" s="1203"/>
      <c r="H4" s="1203"/>
      <c r="I4" s="1203"/>
      <c r="J4" s="1203"/>
      <c r="K4" s="1203"/>
      <c r="L4" s="1203"/>
      <c r="M4" s="1203"/>
      <c r="N4" s="1203"/>
      <c r="O4" s="1203"/>
      <c r="P4" s="1203"/>
    </row>
    <row r="5" spans="1:16" ht="7.5" customHeight="1" x14ac:dyDescent="0.2">
      <c r="B5" s="59"/>
      <c r="C5" s="60"/>
      <c r="D5" s="60"/>
      <c r="E5" s="60"/>
      <c r="F5" s="60"/>
      <c r="G5" s="60"/>
      <c r="H5" s="60"/>
      <c r="I5" s="60"/>
      <c r="J5" s="60"/>
      <c r="K5" s="60"/>
      <c r="L5" s="60"/>
      <c r="M5" s="60"/>
      <c r="N5" s="60"/>
      <c r="O5" s="60"/>
      <c r="P5" s="60"/>
    </row>
    <row r="6" spans="1:16" ht="11.25" customHeight="1" x14ac:dyDescent="0.2">
      <c r="A6" s="4"/>
      <c r="B6" s="66" t="s">
        <v>947</v>
      </c>
      <c r="C6" s="1126" t="s">
        <v>408</v>
      </c>
      <c r="D6" s="1126"/>
      <c r="E6" s="1126"/>
      <c r="F6" s="1126"/>
      <c r="G6" s="1126"/>
      <c r="H6" s="1126"/>
      <c r="I6" s="1126"/>
      <c r="J6" s="1126"/>
      <c r="K6" s="1126"/>
      <c r="L6" s="1126"/>
      <c r="M6" s="1126"/>
      <c r="N6" s="1126"/>
      <c r="O6" s="60"/>
      <c r="P6" s="60"/>
    </row>
    <row r="7" spans="1:16" ht="52.5" customHeight="1" x14ac:dyDescent="0.2">
      <c r="A7" s="4"/>
      <c r="B7" s="66"/>
      <c r="C7" s="1126"/>
      <c r="D7" s="1126"/>
      <c r="E7" s="1126"/>
      <c r="F7" s="1126"/>
      <c r="G7" s="1126"/>
      <c r="H7" s="1126"/>
      <c r="I7" s="1126"/>
      <c r="J7" s="1126"/>
      <c r="K7" s="1126"/>
      <c r="L7" s="1126"/>
      <c r="M7" s="1126"/>
      <c r="N7" s="1126"/>
      <c r="O7" s="60"/>
      <c r="P7" s="60"/>
    </row>
    <row r="8" spans="1:16" ht="6" customHeight="1" x14ac:dyDescent="0.2">
      <c r="B8" s="66"/>
      <c r="C8" s="60"/>
      <c r="D8" s="60"/>
      <c r="E8" s="60"/>
      <c r="F8" s="60"/>
      <c r="G8" s="60"/>
      <c r="H8" s="60"/>
      <c r="I8" s="60"/>
      <c r="J8" s="60"/>
      <c r="K8" s="60"/>
      <c r="L8" s="60"/>
      <c r="M8" s="60"/>
      <c r="N8" s="60"/>
      <c r="O8" s="60"/>
      <c r="P8" s="60"/>
    </row>
    <row r="9" spans="1:16" ht="12.75" customHeight="1" x14ac:dyDescent="0.2">
      <c r="B9" s="66" t="s">
        <v>948</v>
      </c>
      <c r="C9" s="1126" t="s">
        <v>269</v>
      </c>
      <c r="D9" s="1126"/>
      <c r="E9" s="1126"/>
      <c r="F9" s="1126"/>
      <c r="G9" s="1126"/>
      <c r="H9" s="1126"/>
      <c r="I9" s="1126"/>
      <c r="J9" s="1126"/>
      <c r="K9" s="1126"/>
      <c r="L9" s="1126"/>
      <c r="M9" s="1126"/>
      <c r="N9" s="1126"/>
      <c r="O9" s="60"/>
      <c r="P9" s="60"/>
    </row>
    <row r="10" spans="1:16" ht="51" customHeight="1" x14ac:dyDescent="0.2">
      <c r="B10" s="66"/>
      <c r="C10" s="1126"/>
      <c r="D10" s="1126"/>
      <c r="E10" s="1126"/>
      <c r="F10" s="1126"/>
      <c r="G10" s="1126"/>
      <c r="H10" s="1126"/>
      <c r="I10" s="1126"/>
      <c r="J10" s="1126"/>
      <c r="K10" s="1126"/>
      <c r="L10" s="1126"/>
      <c r="M10" s="1126"/>
      <c r="N10" s="1126"/>
      <c r="O10" s="60"/>
      <c r="P10" s="60"/>
    </row>
    <row r="11" spans="1:16" ht="6" customHeight="1" x14ac:dyDescent="0.2">
      <c r="B11" s="66"/>
      <c r="C11" s="59"/>
      <c r="D11" s="60"/>
      <c r="E11" s="60"/>
      <c r="F11" s="60"/>
      <c r="G11" s="60"/>
      <c r="H11" s="60"/>
      <c r="I11" s="60"/>
      <c r="J11" s="60"/>
      <c r="K11" s="60"/>
      <c r="L11" s="60"/>
      <c r="M11" s="60"/>
      <c r="N11" s="60"/>
      <c r="O11" s="60"/>
      <c r="P11" s="60"/>
    </row>
    <row r="12" spans="1:16" ht="13.5" customHeight="1" x14ac:dyDescent="0.2">
      <c r="B12" s="66" t="s">
        <v>949</v>
      </c>
      <c r="C12" s="1134" t="s">
        <v>1120</v>
      </c>
      <c r="D12" s="1134"/>
      <c r="E12" s="1134"/>
      <c r="F12" s="1134"/>
      <c r="G12" s="1134"/>
      <c r="H12" s="1134"/>
      <c r="I12" s="1134"/>
      <c r="J12" s="1134"/>
      <c r="K12" s="1134"/>
      <c r="L12" s="1134"/>
      <c r="M12" s="1134"/>
      <c r="N12" s="1134"/>
      <c r="O12" s="60"/>
      <c r="P12" s="60"/>
    </row>
    <row r="13" spans="1:16" ht="12.75" customHeight="1" x14ac:dyDescent="0.2">
      <c r="B13" s="66"/>
      <c r="C13" s="1134"/>
      <c r="D13" s="1134"/>
      <c r="E13" s="1134"/>
      <c r="F13" s="1134"/>
      <c r="G13" s="1134"/>
      <c r="H13" s="1134"/>
      <c r="I13" s="1134"/>
      <c r="J13" s="1134"/>
      <c r="K13" s="1134"/>
      <c r="L13" s="1134"/>
      <c r="M13" s="1134"/>
      <c r="N13" s="1134"/>
      <c r="O13" s="60"/>
      <c r="P13" s="60"/>
    </row>
    <row r="14" spans="1:16" ht="13.5" customHeight="1" x14ac:dyDescent="0.2">
      <c r="B14" s="66"/>
      <c r="C14" s="1134"/>
      <c r="D14" s="1134"/>
      <c r="E14" s="1134"/>
      <c r="F14" s="1134"/>
      <c r="G14" s="1134"/>
      <c r="H14" s="1134"/>
      <c r="I14" s="1134"/>
      <c r="J14" s="1134"/>
      <c r="K14" s="1134"/>
      <c r="L14" s="1134"/>
      <c r="M14" s="1134"/>
      <c r="N14" s="1134"/>
      <c r="O14" s="60"/>
      <c r="P14" s="60"/>
    </row>
    <row r="15" spans="1:16" ht="13.5" customHeight="1" x14ac:dyDescent="0.2">
      <c r="B15" s="66"/>
      <c r="C15" s="1134"/>
      <c r="D15" s="1134"/>
      <c r="E15" s="1134"/>
      <c r="F15" s="1134"/>
      <c r="G15" s="1134"/>
      <c r="H15" s="1134"/>
      <c r="I15" s="1134"/>
      <c r="J15" s="1134"/>
      <c r="K15" s="1134"/>
      <c r="L15" s="1134"/>
      <c r="M15" s="1134"/>
      <c r="N15" s="1134"/>
      <c r="O15" s="60"/>
      <c r="P15" s="60"/>
    </row>
    <row r="16" spans="1:16" ht="12.75" customHeight="1" x14ac:dyDescent="0.2">
      <c r="B16" s="66"/>
      <c r="C16" s="1134"/>
      <c r="D16" s="1134"/>
      <c r="E16" s="1134"/>
      <c r="F16" s="1134"/>
      <c r="G16" s="1134"/>
      <c r="H16" s="1134"/>
      <c r="I16" s="1134"/>
      <c r="J16" s="1134"/>
      <c r="K16" s="1134"/>
      <c r="L16" s="1134"/>
      <c r="M16" s="1134"/>
      <c r="N16" s="1134"/>
      <c r="O16" s="60"/>
      <c r="P16" s="60"/>
    </row>
    <row r="17" spans="2:16" ht="6" customHeight="1" x14ac:dyDescent="0.2">
      <c r="B17" s="66"/>
      <c r="C17" s="59"/>
      <c r="D17" s="60"/>
      <c r="E17" s="60"/>
      <c r="F17" s="60"/>
      <c r="G17" s="60"/>
      <c r="H17" s="60"/>
      <c r="I17" s="60"/>
      <c r="J17" s="60"/>
      <c r="K17" s="60"/>
      <c r="L17" s="60"/>
      <c r="M17" s="60"/>
      <c r="N17" s="60"/>
      <c r="O17" s="60"/>
      <c r="P17" s="60"/>
    </row>
    <row r="18" spans="2:16" ht="12" customHeight="1" x14ac:dyDescent="0.2">
      <c r="B18" s="66" t="s">
        <v>878</v>
      </c>
      <c r="C18" s="1126" t="s">
        <v>674</v>
      </c>
      <c r="D18" s="1126"/>
      <c r="E18" s="1126"/>
      <c r="F18" s="1126"/>
      <c r="G18" s="1126"/>
      <c r="H18" s="1126"/>
      <c r="I18" s="1126"/>
      <c r="J18" s="1126"/>
      <c r="K18" s="1126"/>
      <c r="L18" s="1126"/>
      <c r="M18" s="1126"/>
      <c r="N18" s="1126"/>
      <c r="O18" s="60"/>
      <c r="P18" s="60"/>
    </row>
    <row r="19" spans="2:16" ht="102.75" customHeight="1" x14ac:dyDescent="0.2">
      <c r="B19" s="66"/>
      <c r="C19" s="1126"/>
      <c r="D19" s="1126"/>
      <c r="E19" s="1126"/>
      <c r="F19" s="1126"/>
      <c r="G19" s="1126"/>
      <c r="H19" s="1126"/>
      <c r="I19" s="1126"/>
      <c r="J19" s="1126"/>
      <c r="K19" s="1126"/>
      <c r="L19" s="1126"/>
      <c r="M19" s="1126"/>
      <c r="N19" s="1126"/>
      <c r="O19" s="60"/>
      <c r="P19" s="60"/>
    </row>
    <row r="20" spans="2:16" ht="6" customHeight="1" x14ac:dyDescent="0.2">
      <c r="B20" s="66"/>
      <c r="C20" s="59"/>
      <c r="D20" s="60"/>
      <c r="E20" s="60"/>
      <c r="F20" s="60"/>
      <c r="G20" s="60"/>
      <c r="H20" s="60"/>
      <c r="I20" s="60"/>
      <c r="J20" s="60"/>
      <c r="K20" s="60"/>
      <c r="L20" s="60"/>
      <c r="M20" s="60"/>
      <c r="N20" s="60"/>
      <c r="O20" s="60"/>
      <c r="P20" s="60"/>
    </row>
    <row r="21" spans="2:16" ht="12.75" customHeight="1" x14ac:dyDescent="0.2">
      <c r="B21" s="66" t="s">
        <v>879</v>
      </c>
      <c r="C21" s="1136" t="s">
        <v>1121</v>
      </c>
      <c r="D21" s="1126"/>
      <c r="E21" s="1126"/>
      <c r="F21" s="1126"/>
      <c r="G21" s="1126"/>
      <c r="H21" s="1126"/>
      <c r="I21" s="1126"/>
      <c r="J21" s="1126"/>
      <c r="K21" s="1126"/>
      <c r="L21" s="1126"/>
      <c r="M21" s="1126"/>
      <c r="N21" s="1126"/>
      <c r="O21" s="60"/>
      <c r="P21" s="60"/>
    </row>
    <row r="22" spans="2:16" ht="12.75" customHeight="1" x14ac:dyDescent="0.2">
      <c r="B22" s="66"/>
      <c r="C22" s="1126"/>
      <c r="D22" s="1126"/>
      <c r="E22" s="1126"/>
      <c r="F22" s="1126"/>
      <c r="G22" s="1126"/>
      <c r="H22" s="1126"/>
      <c r="I22" s="1126"/>
      <c r="J22" s="1126"/>
      <c r="K22" s="1126"/>
      <c r="L22" s="1126"/>
      <c r="M22" s="1126"/>
      <c r="N22" s="1126"/>
      <c r="O22" s="60"/>
      <c r="P22" s="60"/>
    </row>
    <row r="23" spans="2:16" ht="12.75" customHeight="1" x14ac:dyDescent="0.2">
      <c r="B23" s="66"/>
      <c r="C23" s="1126"/>
      <c r="D23" s="1126"/>
      <c r="E23" s="1126"/>
      <c r="F23" s="1126"/>
      <c r="G23" s="1126"/>
      <c r="H23" s="1126"/>
      <c r="I23" s="1126"/>
      <c r="J23" s="1126"/>
      <c r="K23" s="1126"/>
      <c r="L23" s="1126"/>
      <c r="M23" s="1126"/>
      <c r="N23" s="1126"/>
      <c r="O23" s="60"/>
      <c r="P23" s="60"/>
    </row>
    <row r="24" spans="2:16" ht="12.75" customHeight="1" x14ac:dyDescent="0.2">
      <c r="B24" s="66"/>
      <c r="C24" s="1126"/>
      <c r="D24" s="1126"/>
      <c r="E24" s="1126"/>
      <c r="F24" s="1126"/>
      <c r="G24" s="1126"/>
      <c r="H24" s="1126"/>
      <c r="I24" s="1126"/>
      <c r="J24" s="1126"/>
      <c r="K24" s="1126"/>
      <c r="L24" s="1126"/>
      <c r="M24" s="1126"/>
      <c r="N24" s="1126"/>
      <c r="O24" s="60"/>
      <c r="P24" s="60"/>
    </row>
    <row r="25" spans="2:16" ht="12.75" customHeight="1" x14ac:dyDescent="0.2">
      <c r="B25" s="66"/>
      <c r="C25" s="1126"/>
      <c r="D25" s="1126"/>
      <c r="E25" s="1126"/>
      <c r="F25" s="1126"/>
      <c r="G25" s="1126"/>
      <c r="H25" s="1126"/>
      <c r="I25" s="1126"/>
      <c r="J25" s="1126"/>
      <c r="K25" s="1126"/>
      <c r="L25" s="1126"/>
      <c r="M25" s="1126"/>
      <c r="N25" s="1126"/>
      <c r="O25" s="60"/>
      <c r="P25" s="60"/>
    </row>
    <row r="26" spans="2:16" ht="12.75" customHeight="1" x14ac:dyDescent="0.2">
      <c r="B26" s="66"/>
      <c r="C26" s="1126"/>
      <c r="D26" s="1126"/>
      <c r="E26" s="1126"/>
      <c r="F26" s="1126"/>
      <c r="G26" s="1126"/>
      <c r="H26" s="1126"/>
      <c r="I26" s="1126"/>
      <c r="J26" s="1126"/>
      <c r="K26" s="1126"/>
      <c r="L26" s="1126"/>
      <c r="M26" s="1126"/>
      <c r="N26" s="1126"/>
      <c r="O26" s="60"/>
      <c r="P26" s="60"/>
    </row>
    <row r="27" spans="2:16" ht="6" customHeight="1" x14ac:dyDescent="0.2">
      <c r="B27" s="66"/>
      <c r="C27" s="59"/>
      <c r="D27" s="60"/>
      <c r="E27" s="60"/>
      <c r="F27" s="60"/>
      <c r="G27" s="60"/>
      <c r="H27" s="60"/>
      <c r="I27" s="60"/>
      <c r="J27" s="60"/>
      <c r="K27" s="60"/>
      <c r="L27" s="60"/>
      <c r="M27" s="60"/>
      <c r="N27" s="60"/>
      <c r="O27" s="60"/>
      <c r="P27" s="60"/>
    </row>
    <row r="28" spans="2:16" ht="12.75" customHeight="1" x14ac:dyDescent="0.2">
      <c r="B28" s="66" t="s">
        <v>328</v>
      </c>
      <c r="C28" s="1136" t="s">
        <v>1122</v>
      </c>
      <c r="D28" s="1126"/>
      <c r="E28" s="1126"/>
      <c r="F28" s="1126"/>
      <c r="G28" s="1126"/>
      <c r="H28" s="1126"/>
      <c r="I28" s="1126"/>
      <c r="J28" s="1126"/>
      <c r="K28" s="1126"/>
      <c r="L28" s="1126"/>
      <c r="M28" s="1126"/>
      <c r="N28" s="1126"/>
      <c r="O28" s="60"/>
      <c r="P28" s="60"/>
    </row>
    <row r="29" spans="2:16" ht="24.75" customHeight="1" x14ac:dyDescent="0.2">
      <c r="B29" s="66"/>
      <c r="C29" s="1126"/>
      <c r="D29" s="1126"/>
      <c r="E29" s="1126"/>
      <c r="F29" s="1126"/>
      <c r="G29" s="1126"/>
      <c r="H29" s="1126"/>
      <c r="I29" s="1126"/>
      <c r="J29" s="1126"/>
      <c r="K29" s="1126"/>
      <c r="L29" s="1126"/>
      <c r="M29" s="1126"/>
      <c r="N29" s="1126"/>
      <c r="O29" s="60"/>
      <c r="P29" s="60"/>
    </row>
    <row r="30" spans="2:16" ht="6" customHeight="1" x14ac:dyDescent="0.2">
      <c r="B30" s="66"/>
      <c r="C30" s="59"/>
      <c r="D30" s="60"/>
      <c r="E30" s="60"/>
      <c r="F30" s="60"/>
      <c r="G30" s="60"/>
      <c r="H30" s="60"/>
      <c r="I30" s="60"/>
      <c r="J30" s="60"/>
      <c r="K30" s="60"/>
      <c r="L30" s="60"/>
      <c r="M30" s="60"/>
      <c r="N30" s="60"/>
      <c r="O30" s="60"/>
      <c r="P30" s="60"/>
    </row>
    <row r="31" spans="2:16" ht="12.75" customHeight="1" x14ac:dyDescent="0.2">
      <c r="B31" s="66" t="s">
        <v>155</v>
      </c>
      <c r="C31" s="1135" t="s">
        <v>54</v>
      </c>
      <c r="D31" s="1135"/>
      <c r="E31" s="1135"/>
      <c r="F31" s="1135"/>
      <c r="G31" s="1135"/>
      <c r="H31" s="1135"/>
      <c r="I31" s="1135"/>
      <c r="J31" s="1135"/>
      <c r="K31" s="1135"/>
      <c r="L31" s="1135"/>
      <c r="M31" s="1135"/>
      <c r="N31" s="1135"/>
      <c r="O31" s="60"/>
      <c r="P31" s="60"/>
    </row>
    <row r="32" spans="2:16" ht="12.75" customHeight="1" x14ac:dyDescent="0.2">
      <c r="B32" s="66"/>
      <c r="C32" s="1135"/>
      <c r="D32" s="1135"/>
      <c r="E32" s="1135"/>
      <c r="F32" s="1135"/>
      <c r="G32" s="1135"/>
      <c r="H32" s="1135"/>
      <c r="I32" s="1135"/>
      <c r="J32" s="1135"/>
      <c r="K32" s="1135"/>
      <c r="L32" s="1135"/>
      <c r="M32" s="1135"/>
      <c r="N32" s="1135"/>
      <c r="O32" s="60"/>
      <c r="P32" s="60"/>
    </row>
    <row r="33" spans="1:16" ht="12.75" customHeight="1" x14ac:dyDescent="0.2">
      <c r="B33" s="66"/>
      <c r="C33" s="1135"/>
      <c r="D33" s="1135"/>
      <c r="E33" s="1135"/>
      <c r="F33" s="1135"/>
      <c r="G33" s="1135"/>
      <c r="H33" s="1135"/>
      <c r="I33" s="1135"/>
      <c r="J33" s="1135"/>
      <c r="K33" s="1135"/>
      <c r="L33" s="1135"/>
      <c r="M33" s="1135"/>
      <c r="N33" s="1135"/>
      <c r="O33" s="60"/>
      <c r="P33" s="60"/>
    </row>
    <row r="34" spans="1:16" ht="12.75" customHeight="1" x14ac:dyDescent="0.2">
      <c r="B34" s="66"/>
      <c r="C34" s="1135"/>
      <c r="D34" s="1135"/>
      <c r="E34" s="1135"/>
      <c r="F34" s="1135"/>
      <c r="G34" s="1135"/>
      <c r="H34" s="1135"/>
      <c r="I34" s="1135"/>
      <c r="J34" s="1135"/>
      <c r="K34" s="1135"/>
      <c r="L34" s="1135"/>
      <c r="M34" s="1135"/>
      <c r="N34" s="1135"/>
      <c r="O34" s="60"/>
      <c r="P34" s="60"/>
    </row>
    <row r="35" spans="1:16" ht="6" customHeight="1" x14ac:dyDescent="0.2">
      <c r="B35" s="66"/>
      <c r="C35" s="59"/>
      <c r="D35" s="59"/>
      <c r="E35" s="59"/>
      <c r="F35" s="59"/>
      <c r="G35" s="59"/>
      <c r="H35" s="59"/>
      <c r="I35" s="59"/>
      <c r="J35" s="59"/>
      <c r="K35" s="59"/>
      <c r="L35" s="59"/>
      <c r="M35" s="59"/>
      <c r="N35" s="59"/>
      <c r="O35" s="60"/>
      <c r="P35" s="60"/>
    </row>
    <row r="36" spans="1:16" ht="12.75" customHeight="1" x14ac:dyDescent="0.2">
      <c r="B36" s="66" t="s">
        <v>757</v>
      </c>
      <c r="C36" s="1126" t="s">
        <v>527</v>
      </c>
      <c r="D36" s="1126"/>
      <c r="E36" s="1126"/>
      <c r="F36" s="1126"/>
      <c r="G36" s="1126"/>
      <c r="H36" s="1126"/>
      <c r="I36" s="1126"/>
      <c r="J36" s="1126"/>
      <c r="K36" s="1126"/>
      <c r="L36" s="1126"/>
      <c r="M36" s="1126"/>
      <c r="N36" s="1126"/>
      <c r="O36" s="60"/>
      <c r="P36" s="60"/>
    </row>
    <row r="37" spans="1:16" ht="12.75" customHeight="1" x14ac:dyDescent="0.2">
      <c r="B37" s="66"/>
      <c r="C37" s="1126"/>
      <c r="D37" s="1126"/>
      <c r="E37" s="1126"/>
      <c r="F37" s="1126"/>
      <c r="G37" s="1126"/>
      <c r="H37" s="1126"/>
      <c r="I37" s="1126"/>
      <c r="J37" s="1126"/>
      <c r="K37" s="1126"/>
      <c r="L37" s="1126"/>
      <c r="M37" s="1126"/>
      <c r="N37" s="1126"/>
      <c r="O37" s="60"/>
      <c r="P37" s="60"/>
    </row>
    <row r="38" spans="1:16" ht="12.75" customHeight="1" x14ac:dyDescent="0.2">
      <c r="B38" s="66"/>
      <c r="C38" s="1126"/>
      <c r="D38" s="1126"/>
      <c r="E38" s="1126"/>
      <c r="F38" s="1126"/>
      <c r="G38" s="1126"/>
      <c r="H38" s="1126"/>
      <c r="I38" s="1126"/>
      <c r="J38" s="1126"/>
      <c r="K38" s="1126"/>
      <c r="L38" s="1126"/>
      <c r="M38" s="1126"/>
      <c r="N38" s="1126"/>
      <c r="O38" s="60"/>
      <c r="P38" s="60"/>
    </row>
    <row r="39" spans="1:16" ht="12.75" customHeight="1" x14ac:dyDescent="0.2">
      <c r="B39" s="66"/>
      <c r="C39" s="1126"/>
      <c r="D39" s="1126"/>
      <c r="E39" s="1126"/>
      <c r="F39" s="1126"/>
      <c r="G39" s="1126"/>
      <c r="H39" s="1126"/>
      <c r="I39" s="1126"/>
      <c r="J39" s="1126"/>
      <c r="K39" s="1126"/>
      <c r="L39" s="1126"/>
      <c r="M39" s="1126"/>
      <c r="N39" s="1126"/>
      <c r="O39" s="60"/>
      <c r="P39" s="60"/>
    </row>
    <row r="40" spans="1:16" ht="12.75" customHeight="1" x14ac:dyDescent="0.2">
      <c r="B40" s="66"/>
      <c r="C40" s="1126"/>
      <c r="D40" s="1126"/>
      <c r="E40" s="1126"/>
      <c r="F40" s="1126"/>
      <c r="G40" s="1126"/>
      <c r="H40" s="1126"/>
      <c r="I40" s="1126"/>
      <c r="J40" s="1126"/>
      <c r="K40" s="1126"/>
      <c r="L40" s="1126"/>
      <c r="M40" s="1126"/>
      <c r="N40" s="1126"/>
      <c r="O40" s="60"/>
      <c r="P40" s="60"/>
    </row>
    <row r="41" spans="1:16" ht="12.75" customHeight="1" x14ac:dyDescent="0.2">
      <c r="B41" s="66"/>
      <c r="C41" s="1126"/>
      <c r="D41" s="1126"/>
      <c r="E41" s="1126"/>
      <c r="F41" s="1126"/>
      <c r="G41" s="1126"/>
      <c r="H41" s="1126"/>
      <c r="I41" s="1126"/>
      <c r="J41" s="1126"/>
      <c r="K41" s="1126"/>
      <c r="L41" s="1126"/>
      <c r="M41" s="1126"/>
      <c r="N41" s="1126"/>
      <c r="O41" s="60"/>
      <c r="P41" s="60"/>
    </row>
    <row r="42" spans="1:16" ht="6" customHeight="1" x14ac:dyDescent="0.2">
      <c r="B42" s="66"/>
      <c r="C42" s="59"/>
      <c r="D42" s="59"/>
      <c r="E42" s="59"/>
      <c r="F42" s="59"/>
      <c r="G42" s="59"/>
      <c r="H42" s="59"/>
      <c r="I42" s="59"/>
      <c r="J42" s="59"/>
      <c r="K42" s="59"/>
      <c r="L42" s="59"/>
      <c r="M42" s="59"/>
      <c r="N42" s="59"/>
      <c r="O42" s="60"/>
      <c r="P42" s="60"/>
    </row>
    <row r="43" spans="1:16" ht="12.75" customHeight="1" x14ac:dyDescent="0.2">
      <c r="B43" s="66" t="s">
        <v>168</v>
      </c>
      <c r="C43" s="1136" t="s">
        <v>1123</v>
      </c>
      <c r="D43" s="1126"/>
      <c r="E43" s="1126"/>
      <c r="F43" s="1126"/>
      <c r="G43" s="1126"/>
      <c r="H43" s="1126"/>
      <c r="I43" s="1126"/>
      <c r="J43" s="1126"/>
      <c r="K43" s="1126"/>
      <c r="L43" s="1126"/>
      <c r="M43" s="1126"/>
      <c r="N43" s="1126"/>
      <c r="O43" s="60"/>
      <c r="P43" s="60"/>
    </row>
    <row r="44" spans="1:16" ht="12.75" customHeight="1" x14ac:dyDescent="0.2">
      <c r="B44" s="66"/>
      <c r="C44" s="1126"/>
      <c r="D44" s="1126"/>
      <c r="E44" s="1126"/>
      <c r="F44" s="1126"/>
      <c r="G44" s="1126"/>
      <c r="H44" s="1126"/>
      <c r="I44" s="1126"/>
      <c r="J44" s="1126"/>
      <c r="K44" s="1126"/>
      <c r="L44" s="1126"/>
      <c r="M44" s="1126"/>
      <c r="N44" s="1126"/>
      <c r="O44" s="60"/>
      <c r="P44" s="60"/>
    </row>
    <row r="45" spans="1:16" ht="12.75" customHeight="1" x14ac:dyDescent="0.2">
      <c r="B45" s="66"/>
      <c r="C45" s="1126"/>
      <c r="D45" s="1126"/>
      <c r="E45" s="1126"/>
      <c r="F45" s="1126"/>
      <c r="G45" s="1126"/>
      <c r="H45" s="1126"/>
      <c r="I45" s="1126"/>
      <c r="J45" s="1126"/>
      <c r="K45" s="1126"/>
      <c r="L45" s="1126"/>
      <c r="M45" s="1126"/>
      <c r="N45" s="1126"/>
      <c r="O45" s="60"/>
      <c r="P45" s="60"/>
    </row>
    <row r="46" spans="1:16" ht="12.75" customHeight="1" x14ac:dyDescent="0.2">
      <c r="B46" s="66"/>
      <c r="C46" s="59"/>
      <c r="D46" s="59"/>
      <c r="E46" s="59"/>
      <c r="F46" s="59"/>
      <c r="G46" s="59"/>
      <c r="H46" s="59"/>
      <c r="I46" s="59"/>
      <c r="J46" s="59"/>
      <c r="K46" s="59"/>
      <c r="L46" s="59"/>
      <c r="M46" s="59"/>
      <c r="N46" s="59"/>
      <c r="O46" s="60"/>
      <c r="P46" s="60"/>
    </row>
    <row r="47" spans="1:16" ht="24.75" customHeight="1" x14ac:dyDescent="0.2">
      <c r="B47" s="66"/>
      <c r="C47" s="59"/>
      <c r="D47" s="60"/>
      <c r="E47" s="60"/>
      <c r="F47" s="60"/>
      <c r="G47" s="60"/>
      <c r="H47" s="60"/>
      <c r="I47" s="60"/>
      <c r="J47" s="60"/>
      <c r="K47" s="60"/>
      <c r="L47" s="60"/>
      <c r="M47" s="60"/>
      <c r="N47" s="60"/>
      <c r="O47" s="60"/>
      <c r="P47" s="60"/>
    </row>
    <row r="48" spans="1:16" ht="25.5" customHeight="1" x14ac:dyDescent="0.2">
      <c r="A48" s="4" t="s">
        <v>876</v>
      </c>
      <c r="B48" s="1204" t="s">
        <v>265</v>
      </c>
      <c r="C48" s="1205"/>
      <c r="D48" s="1205"/>
      <c r="E48" s="1205"/>
      <c r="F48" s="1205"/>
      <c r="G48" s="1205"/>
      <c r="H48" s="1205"/>
      <c r="I48" s="1205"/>
      <c r="J48" s="1205"/>
      <c r="K48" s="1205"/>
      <c r="L48" s="1205"/>
      <c r="M48" s="1205"/>
      <c r="N48" s="1206"/>
      <c r="O48" s="60"/>
      <c r="P48" s="60"/>
    </row>
    <row r="51" spans="1:14" x14ac:dyDescent="0.2">
      <c r="B51" s="64" t="s">
        <v>947</v>
      </c>
      <c r="C51" s="1126" t="s">
        <v>578</v>
      </c>
      <c r="D51" s="1126"/>
      <c r="E51" s="1126"/>
      <c r="F51" s="1126"/>
      <c r="G51" s="1126"/>
      <c r="H51" s="1126"/>
      <c r="I51" s="1126"/>
      <c r="J51" s="1126"/>
      <c r="K51" s="1126"/>
      <c r="L51" s="1126"/>
      <c r="N51" s="1233"/>
    </row>
    <row r="52" spans="1:14" ht="12" customHeight="1" x14ac:dyDescent="0.2">
      <c r="C52" s="1126"/>
      <c r="D52" s="1126"/>
      <c r="E52" s="1126"/>
      <c r="F52" s="1126"/>
      <c r="G52" s="1126"/>
      <c r="H52" s="1126"/>
      <c r="I52" s="1126"/>
      <c r="J52" s="1126"/>
      <c r="K52" s="1126"/>
      <c r="L52" s="1126"/>
      <c r="N52" s="1233"/>
    </row>
    <row r="53" spans="1:14" x14ac:dyDescent="0.2">
      <c r="C53" s="6"/>
    </row>
    <row r="54" spans="1:14" ht="16.5" customHeight="1" x14ac:dyDescent="0.2">
      <c r="B54" s="64" t="s">
        <v>948</v>
      </c>
      <c r="C54" s="1136" t="s">
        <v>1031</v>
      </c>
      <c r="D54" s="1136"/>
      <c r="E54" s="1136"/>
      <c r="F54" s="1136"/>
      <c r="G54" s="1136"/>
      <c r="H54" s="1136"/>
      <c r="I54" s="1136"/>
      <c r="J54" s="1136"/>
      <c r="K54" s="1136"/>
      <c r="L54" s="1136"/>
      <c r="N54" s="1233"/>
    </row>
    <row r="55" spans="1:14" x14ac:dyDescent="0.2">
      <c r="C55" s="1136"/>
      <c r="D55" s="1136"/>
      <c r="E55" s="1136"/>
      <c r="F55" s="1136"/>
      <c r="G55" s="1136"/>
      <c r="H55" s="1136"/>
      <c r="I55" s="1136"/>
      <c r="J55" s="1136"/>
      <c r="K55" s="1136"/>
      <c r="L55" s="1136"/>
      <c r="N55" s="1233"/>
    </row>
    <row r="56" spans="1:14" x14ac:dyDescent="0.2">
      <c r="C56" s="270"/>
      <c r="D56" s="271"/>
      <c r="E56" s="271"/>
      <c r="F56" s="271"/>
      <c r="G56" s="271"/>
      <c r="H56" s="271"/>
      <c r="I56" s="271"/>
      <c r="J56" s="271"/>
      <c r="K56" s="271"/>
      <c r="L56" s="271"/>
      <c r="M56" s="271"/>
      <c r="N56" s="13"/>
    </row>
    <row r="57" spans="1:14" x14ac:dyDescent="0.2">
      <c r="C57" s="6"/>
    </row>
    <row r="58" spans="1:14" x14ac:dyDescent="0.2">
      <c r="C58" s="6"/>
    </row>
    <row r="59" spans="1:14" ht="25.5" customHeight="1" x14ac:dyDescent="0.2">
      <c r="A59" s="4" t="s">
        <v>877</v>
      </c>
      <c r="B59" s="1210" t="s">
        <v>266</v>
      </c>
      <c r="C59" s="1212"/>
      <c r="D59" s="1212"/>
      <c r="E59" s="1212"/>
      <c r="F59" s="1212"/>
      <c r="G59" s="1212"/>
      <c r="H59" s="1212"/>
      <c r="I59" s="1212"/>
      <c r="J59" s="1212"/>
      <c r="K59" s="1212"/>
      <c r="L59" s="1212"/>
      <c r="M59" s="1212"/>
      <c r="N59" s="1213"/>
    </row>
    <row r="60" spans="1:14" x14ac:dyDescent="0.2">
      <c r="H60" s="1"/>
    </row>
    <row r="61" spans="1:14" x14ac:dyDescent="0.2">
      <c r="H61" s="1"/>
    </row>
    <row r="62" spans="1:14" x14ac:dyDescent="0.2">
      <c r="B62" s="64" t="s">
        <v>947</v>
      </c>
      <c r="C62" s="1126" t="s">
        <v>1032</v>
      </c>
      <c r="D62" s="1126"/>
      <c r="E62" s="1126"/>
      <c r="F62" s="1126"/>
      <c r="G62" s="1126"/>
      <c r="H62" s="1126"/>
      <c r="I62" s="1126"/>
      <c r="J62" s="1126"/>
      <c r="K62" s="1126"/>
      <c r="L62" s="1126"/>
      <c r="N62" s="1233"/>
    </row>
    <row r="63" spans="1:14" ht="26.25" customHeight="1" x14ac:dyDescent="0.2">
      <c r="C63" s="1126"/>
      <c r="D63" s="1126"/>
      <c r="E63" s="1126"/>
      <c r="F63" s="1126"/>
      <c r="G63" s="1126"/>
      <c r="H63" s="1126"/>
      <c r="I63" s="1126"/>
      <c r="J63" s="1126"/>
      <c r="K63" s="1126"/>
      <c r="L63" s="1126"/>
      <c r="N63" s="1233"/>
    </row>
    <row r="64" spans="1:14" ht="8.25" customHeight="1" x14ac:dyDescent="0.2">
      <c r="N64" s="61"/>
    </row>
    <row r="65" spans="1:17" x14ac:dyDescent="0.2">
      <c r="B65" s="64" t="s">
        <v>948</v>
      </c>
      <c r="C65" s="1126" t="s">
        <v>870</v>
      </c>
      <c r="D65" s="1126"/>
      <c r="E65" s="1126"/>
      <c r="F65" s="1126"/>
      <c r="G65" s="1126"/>
      <c r="H65" s="1126"/>
      <c r="I65" s="1126"/>
      <c r="J65" s="1126"/>
      <c r="K65" s="1126"/>
      <c r="L65" s="1126"/>
      <c r="N65" s="1233"/>
    </row>
    <row r="66" spans="1:17" ht="24.75" customHeight="1" x14ac:dyDescent="0.2">
      <c r="C66" s="1126"/>
      <c r="D66" s="1126"/>
      <c r="E66" s="1126"/>
      <c r="F66" s="1126"/>
      <c r="G66" s="1126"/>
      <c r="H66" s="1126"/>
      <c r="I66" s="1126"/>
      <c r="J66" s="1126"/>
      <c r="K66" s="1126"/>
      <c r="L66" s="1126"/>
      <c r="N66" s="1233"/>
    </row>
    <row r="67" spans="1:17" ht="12.75" customHeight="1" x14ac:dyDescent="0.2">
      <c r="L67" s="61"/>
    </row>
    <row r="68" spans="1:17" ht="12.75" customHeight="1" x14ac:dyDescent="0.2">
      <c r="L68" s="61"/>
    </row>
    <row r="69" spans="1:17" ht="39" customHeight="1" x14ac:dyDescent="0.2">
      <c r="A69" s="4" t="s">
        <v>466</v>
      </c>
      <c r="B69" s="1210" t="s">
        <v>87</v>
      </c>
      <c r="C69" s="1212"/>
      <c r="D69" s="1212"/>
      <c r="E69" s="1212"/>
      <c r="F69" s="1212"/>
      <c r="G69" s="1212"/>
      <c r="H69" s="1212"/>
      <c r="I69" s="1212"/>
      <c r="J69" s="1212"/>
      <c r="K69" s="1212"/>
      <c r="L69" s="1212"/>
      <c r="M69" s="1212"/>
      <c r="N69" s="1213"/>
    </row>
    <row r="70" spans="1:17" ht="13.5" customHeight="1" x14ac:dyDescent="0.2">
      <c r="L70" s="61"/>
    </row>
    <row r="71" spans="1:17" ht="12.75" customHeight="1" x14ac:dyDescent="0.2">
      <c r="B71" s="64" t="s">
        <v>947</v>
      </c>
      <c r="C71" s="1136" t="s">
        <v>1124</v>
      </c>
      <c r="D71" s="1126"/>
      <c r="E71" s="1126"/>
      <c r="F71" s="1126"/>
      <c r="G71" s="1126"/>
      <c r="H71" s="1126"/>
      <c r="I71" s="1126"/>
      <c r="J71" s="1126"/>
      <c r="K71" s="1126"/>
      <c r="L71" s="1126"/>
      <c r="N71" s="1233"/>
    </row>
    <row r="72" spans="1:17" ht="12.75" customHeight="1" x14ac:dyDescent="0.2">
      <c r="B72" s="64"/>
      <c r="C72" s="1126"/>
      <c r="D72" s="1126"/>
      <c r="E72" s="1126"/>
      <c r="F72" s="1126"/>
      <c r="G72" s="1126"/>
      <c r="H72" s="1126"/>
      <c r="I72" s="1126"/>
      <c r="J72" s="1126"/>
      <c r="K72" s="1126"/>
      <c r="L72" s="1126"/>
      <c r="N72" s="1233"/>
    </row>
    <row r="73" spans="1:17" ht="12.75" customHeight="1" x14ac:dyDescent="0.2">
      <c r="B73" s="64"/>
      <c r="C73" s="1126"/>
      <c r="D73" s="1126"/>
      <c r="E73" s="1126"/>
      <c r="F73" s="1126"/>
      <c r="G73" s="1126"/>
      <c r="H73" s="1126"/>
      <c r="I73" s="1126"/>
      <c r="J73" s="1126"/>
      <c r="K73" s="1126"/>
      <c r="L73" s="1126"/>
      <c r="N73" s="1233"/>
    </row>
    <row r="74" spans="1:17" ht="7.5" customHeight="1" x14ac:dyDescent="0.2">
      <c r="N74" s="61"/>
    </row>
    <row r="75" spans="1:17" ht="12.75" customHeight="1" x14ac:dyDescent="0.2">
      <c r="B75" s="64" t="s">
        <v>948</v>
      </c>
      <c r="C75" s="1126" t="s">
        <v>884</v>
      </c>
      <c r="D75" s="1126"/>
      <c r="E75" s="1126"/>
      <c r="F75" s="1126"/>
      <c r="G75" s="1126"/>
      <c r="H75" s="1126"/>
      <c r="I75" s="1126"/>
      <c r="J75" s="1126"/>
      <c r="K75" s="1126"/>
      <c r="L75" s="1126"/>
      <c r="N75" s="1233"/>
    </row>
    <row r="76" spans="1:17" ht="12.75" hidden="1" customHeight="1" x14ac:dyDescent="0.2">
      <c r="C76" s="1126"/>
      <c r="D76" s="1126"/>
      <c r="E76" s="1126"/>
      <c r="F76" s="1126"/>
      <c r="G76" s="1126"/>
      <c r="H76" s="1126"/>
      <c r="I76" s="1126"/>
      <c r="J76" s="1126"/>
      <c r="K76" s="1126"/>
      <c r="L76" s="1126"/>
      <c r="N76" s="1233"/>
    </row>
    <row r="77" spans="1:17" x14ac:dyDescent="0.2">
      <c r="C77" s="1126"/>
      <c r="D77" s="1126"/>
      <c r="E77" s="1126"/>
      <c r="F77" s="1126"/>
      <c r="G77" s="1126"/>
      <c r="H77" s="1126"/>
      <c r="I77" s="1126"/>
      <c r="J77" s="1126"/>
      <c r="K77" s="1126"/>
      <c r="L77" s="1126"/>
      <c r="N77" s="1233"/>
    </row>
    <row r="78" spans="1:17" ht="7.5" customHeight="1" x14ac:dyDescent="0.2">
      <c r="N78" s="61"/>
    </row>
    <row r="79" spans="1:17" ht="12.75" customHeight="1" x14ac:dyDescent="0.2">
      <c r="B79" s="64" t="s">
        <v>949</v>
      </c>
      <c r="C79" s="1126" t="s">
        <v>255</v>
      </c>
      <c r="D79" s="1126"/>
      <c r="E79" s="1126"/>
      <c r="F79" s="1126"/>
      <c r="G79" s="1126"/>
      <c r="H79" s="1126"/>
      <c r="I79" s="1126"/>
      <c r="J79" s="1126"/>
      <c r="K79" s="1126"/>
      <c r="L79" s="1126"/>
      <c r="N79" s="1233"/>
      <c r="Q79" s="78"/>
    </row>
    <row r="80" spans="1:17" ht="12.75" customHeight="1" x14ac:dyDescent="0.2">
      <c r="B80" s="64"/>
      <c r="C80" s="1126"/>
      <c r="D80" s="1126"/>
      <c r="E80" s="1126"/>
      <c r="F80" s="1126"/>
      <c r="G80" s="1126"/>
      <c r="H80" s="1126"/>
      <c r="I80" s="1126"/>
      <c r="J80" s="1126"/>
      <c r="K80" s="1126"/>
      <c r="L80" s="1126"/>
      <c r="N80" s="1233"/>
      <c r="Q80" s="78"/>
    </row>
    <row r="81" spans="1:14" ht="7.5" customHeight="1" x14ac:dyDescent="0.2">
      <c r="B81" s="64"/>
      <c r="N81" s="61"/>
    </row>
    <row r="82" spans="1:14" ht="10.5" customHeight="1" x14ac:dyDescent="0.2">
      <c r="B82" s="64" t="s">
        <v>878</v>
      </c>
      <c r="C82" s="1126" t="s">
        <v>892</v>
      </c>
      <c r="D82" s="1126"/>
      <c r="E82" s="1126"/>
      <c r="F82" s="1126"/>
      <c r="G82" s="1126"/>
      <c r="H82" s="1126"/>
      <c r="I82" s="1126"/>
      <c r="J82" s="1126"/>
      <c r="K82" s="1126"/>
      <c r="L82" s="1126"/>
      <c r="N82" s="1233"/>
    </row>
    <row r="83" spans="1:14" ht="13.5" customHeight="1" x14ac:dyDescent="0.2">
      <c r="B83" s="64"/>
      <c r="C83" s="1126"/>
      <c r="D83" s="1126"/>
      <c r="E83" s="1126"/>
      <c r="F83" s="1126"/>
      <c r="G83" s="1126"/>
      <c r="H83" s="1126"/>
      <c r="I83" s="1126"/>
      <c r="J83" s="1126"/>
      <c r="K83" s="1126"/>
      <c r="L83" s="1126"/>
      <c r="N83" s="1233"/>
    </row>
    <row r="84" spans="1:14" ht="29.25" customHeight="1" x14ac:dyDescent="0.2"/>
    <row r="85" spans="1:14" ht="25.5" customHeight="1" x14ac:dyDescent="0.2">
      <c r="A85" s="4" t="s">
        <v>472</v>
      </c>
      <c r="B85" s="1207" t="s">
        <v>88</v>
      </c>
      <c r="C85" s="1208"/>
      <c r="D85" s="1208"/>
      <c r="E85" s="1208"/>
      <c r="F85" s="1208"/>
      <c r="G85" s="1208"/>
      <c r="H85" s="1208"/>
      <c r="I85" s="1208"/>
      <c r="J85" s="1208"/>
      <c r="K85" s="1208"/>
      <c r="L85" s="1208"/>
      <c r="M85" s="1208"/>
      <c r="N85" s="1209"/>
    </row>
    <row r="86" spans="1:14" ht="12.75" customHeight="1" x14ac:dyDescent="0.2"/>
    <row r="87" spans="1:14" ht="18.75" customHeight="1" x14ac:dyDescent="0.2">
      <c r="B87" s="64" t="s">
        <v>947</v>
      </c>
      <c r="C87" s="1126" t="s">
        <v>915</v>
      </c>
      <c r="D87" s="1126"/>
      <c r="E87" s="1126"/>
      <c r="F87" s="1126"/>
      <c r="G87" s="1126"/>
      <c r="H87" s="1126"/>
      <c r="I87" s="1126"/>
      <c r="J87" s="1126"/>
      <c r="K87" s="1126"/>
      <c r="L87" s="1126"/>
      <c r="N87" s="512"/>
    </row>
    <row r="88" spans="1:14" ht="7.5" customHeight="1" x14ac:dyDescent="0.2">
      <c r="C88" s="59"/>
      <c r="D88" s="59"/>
      <c r="E88" s="59"/>
      <c r="F88" s="59"/>
      <c r="G88" s="59"/>
      <c r="H88" s="59"/>
      <c r="I88" s="59"/>
      <c r="J88" s="59"/>
      <c r="K88" s="59"/>
      <c r="L88" s="59"/>
      <c r="N88" s="521"/>
    </row>
    <row r="89" spans="1:14" ht="17.25" customHeight="1" x14ac:dyDescent="0.2">
      <c r="B89" s="64" t="s">
        <v>948</v>
      </c>
      <c r="C89" s="1123" t="s">
        <v>940</v>
      </c>
      <c r="D89" s="1123"/>
      <c r="E89" s="1123"/>
      <c r="F89" s="1123"/>
      <c r="G89" s="1123"/>
      <c r="H89" s="1123"/>
      <c r="I89" s="1123"/>
      <c r="J89" s="1123"/>
      <c r="N89" s="512"/>
    </row>
    <row r="90" spans="1:14" ht="12.75" customHeight="1" x14ac:dyDescent="0.2"/>
    <row r="91" spans="1:14" ht="12.75" customHeight="1" x14ac:dyDescent="0.2">
      <c r="C91" s="2" t="s">
        <v>914</v>
      </c>
    </row>
    <row r="92" spans="1:14" ht="30" customHeight="1" x14ac:dyDescent="0.2"/>
    <row r="93" spans="1:14" ht="26.25" customHeight="1" x14ac:dyDescent="0.2"/>
    <row r="94" spans="1:14" ht="25.5" customHeight="1" x14ac:dyDescent="0.2">
      <c r="A94" s="4" t="s">
        <v>488</v>
      </c>
      <c r="B94" s="1207" t="s">
        <v>117</v>
      </c>
      <c r="C94" s="1208"/>
      <c r="D94" s="1208"/>
      <c r="E94" s="1208"/>
      <c r="F94" s="1208"/>
      <c r="G94" s="1208"/>
      <c r="H94" s="1208"/>
      <c r="I94" s="1208"/>
      <c r="J94" s="1208"/>
      <c r="K94" s="1208"/>
      <c r="L94" s="1208"/>
      <c r="M94" s="1208"/>
      <c r="N94" s="1209"/>
    </row>
    <row r="95" spans="1:14" ht="12.75" customHeight="1" x14ac:dyDescent="0.2"/>
    <row r="96" spans="1:14" ht="12.75" customHeight="1" x14ac:dyDescent="0.2">
      <c r="B96" s="64" t="s">
        <v>947</v>
      </c>
      <c r="C96" s="1126" t="s">
        <v>60</v>
      </c>
      <c r="D96" s="1126"/>
      <c r="E96" s="1126"/>
      <c r="F96" s="1126"/>
      <c r="G96" s="1126"/>
      <c r="H96" s="1126"/>
      <c r="I96" s="1126"/>
      <c r="J96" s="1126"/>
    </row>
    <row r="97" spans="1:14" ht="63" customHeight="1" x14ac:dyDescent="0.2">
      <c r="C97" s="1126"/>
      <c r="D97" s="1126"/>
      <c r="E97" s="1126"/>
      <c r="F97" s="1126"/>
      <c r="G97" s="1126"/>
      <c r="H97" s="1126"/>
      <c r="I97" s="1126"/>
      <c r="J97" s="1126"/>
    </row>
    <row r="98" spans="1:14" ht="4.5" customHeight="1" x14ac:dyDescent="0.2">
      <c r="C98" s="59"/>
      <c r="D98" s="59"/>
      <c r="E98" s="59"/>
      <c r="F98" s="59"/>
      <c r="G98" s="59"/>
      <c r="H98" s="59"/>
      <c r="I98" s="59"/>
      <c r="J98" s="59"/>
    </row>
    <row r="99" spans="1:14" ht="12.75" customHeight="1" x14ac:dyDescent="0.2">
      <c r="I99" t="s">
        <v>718</v>
      </c>
      <c r="N99" s="512"/>
    </row>
    <row r="100" spans="1:14" ht="12.75" customHeight="1" x14ac:dyDescent="0.2">
      <c r="I100" t="s">
        <v>743</v>
      </c>
      <c r="N100" s="512"/>
    </row>
    <row r="101" spans="1:14" ht="12.75" customHeight="1" x14ac:dyDescent="0.2">
      <c r="N101" s="512"/>
    </row>
    <row r="102" spans="1:14" ht="12.75" customHeight="1" thickBot="1" x14ac:dyDescent="0.25">
      <c r="N102" s="105">
        <f>SUM(N99:N100)</f>
        <v>0</v>
      </c>
    </row>
    <row r="103" spans="1:14" ht="39.75" customHeight="1" thickTop="1" x14ac:dyDescent="0.2"/>
    <row r="104" spans="1:14" ht="25.5" customHeight="1" x14ac:dyDescent="0.2">
      <c r="A104" s="4" t="s">
        <v>828</v>
      </c>
      <c r="B104" s="1207" t="s">
        <v>158</v>
      </c>
      <c r="C104" s="1208"/>
      <c r="D104" s="1208"/>
      <c r="E104" s="1208"/>
      <c r="F104" s="1208"/>
      <c r="G104" s="1208"/>
      <c r="H104" s="1208"/>
      <c r="I104" s="1208"/>
      <c r="J104" s="1208"/>
      <c r="K104" s="1208"/>
      <c r="L104" s="1208"/>
      <c r="M104" s="1208"/>
      <c r="N104" s="1209"/>
    </row>
    <row r="105" spans="1:14" ht="12.75" customHeight="1" x14ac:dyDescent="0.2"/>
    <row r="106" spans="1:14" ht="12.75" customHeight="1" x14ac:dyDescent="0.2">
      <c r="B106" s="64" t="s">
        <v>947</v>
      </c>
      <c r="C106" t="s">
        <v>19</v>
      </c>
      <c r="N106" s="512"/>
    </row>
    <row r="107" spans="1:14" ht="6" customHeight="1" x14ac:dyDescent="0.2">
      <c r="N107" s="61"/>
    </row>
    <row r="108" spans="1:14" ht="12.75" customHeight="1" x14ac:dyDescent="0.2">
      <c r="B108" s="64" t="s">
        <v>948</v>
      </c>
      <c r="C108" t="s">
        <v>799</v>
      </c>
      <c r="N108" s="512"/>
    </row>
    <row r="109" spans="1:14" ht="6" customHeight="1" x14ac:dyDescent="0.2">
      <c r="N109" s="61"/>
    </row>
    <row r="110" spans="1:14" ht="12.75" customHeight="1" x14ac:dyDescent="0.2">
      <c r="B110" s="64" t="s">
        <v>949</v>
      </c>
      <c r="C110" t="s">
        <v>11</v>
      </c>
      <c r="N110" s="512"/>
    </row>
    <row r="111" spans="1:14" ht="6" customHeight="1" x14ac:dyDescent="0.2">
      <c r="N111" s="61"/>
    </row>
    <row r="112" spans="1:14" ht="12.75" customHeight="1" x14ac:dyDescent="0.2">
      <c r="B112" s="64" t="s">
        <v>878</v>
      </c>
      <c r="C112" t="s">
        <v>12</v>
      </c>
      <c r="N112" s="512"/>
    </row>
    <row r="113" spans="1:14" ht="6" customHeight="1" x14ac:dyDescent="0.2">
      <c r="N113" s="61"/>
    </row>
    <row r="114" spans="1:14" ht="12.75" customHeight="1" x14ac:dyDescent="0.2">
      <c r="B114" s="64" t="s">
        <v>879</v>
      </c>
      <c r="C114" t="s">
        <v>20</v>
      </c>
      <c r="N114" s="512"/>
    </row>
    <row r="115" spans="1:14" ht="5.25" customHeight="1" x14ac:dyDescent="0.2">
      <c r="N115" s="61"/>
    </row>
    <row r="116" spans="1:14" ht="12.75" customHeight="1" x14ac:dyDescent="0.2">
      <c r="B116" s="64" t="s">
        <v>328</v>
      </c>
      <c r="C116" s="1126" t="s">
        <v>40</v>
      </c>
      <c r="D116" s="1126"/>
      <c r="E116" s="1126"/>
      <c r="F116" s="1126"/>
      <c r="G116" s="1126"/>
      <c r="H116" s="1126"/>
      <c r="I116" s="1126"/>
      <c r="J116" s="1126"/>
      <c r="K116" s="1126"/>
      <c r="L116" s="1126"/>
      <c r="N116" s="512"/>
    </row>
    <row r="117" spans="1:14" ht="12.75" customHeight="1" x14ac:dyDescent="0.2">
      <c r="C117" s="1126"/>
      <c r="D117" s="1126"/>
      <c r="E117" s="1126"/>
      <c r="F117" s="1126"/>
      <c r="G117" s="1126"/>
      <c r="H117" s="1126"/>
      <c r="I117" s="1126"/>
      <c r="J117" s="1126"/>
      <c r="K117" s="1126"/>
      <c r="L117" s="1126"/>
      <c r="N117" s="61"/>
    </row>
    <row r="118" spans="1:14" ht="6" customHeight="1" x14ac:dyDescent="0.2">
      <c r="N118" s="61"/>
    </row>
    <row r="119" spans="1:14" ht="12.75" customHeight="1" x14ac:dyDescent="0.2">
      <c r="B119" s="64" t="s">
        <v>155</v>
      </c>
      <c r="C119" s="521" t="s">
        <v>21</v>
      </c>
      <c r="N119" s="512"/>
    </row>
    <row r="120" spans="1:14" ht="6" customHeight="1" x14ac:dyDescent="0.2">
      <c r="N120" s="61"/>
    </row>
    <row r="121" spans="1:14" ht="12.75" customHeight="1" x14ac:dyDescent="0.2">
      <c r="B121" s="64" t="s">
        <v>757</v>
      </c>
      <c r="C121" s="521" t="s">
        <v>22</v>
      </c>
      <c r="N121" s="535"/>
    </row>
    <row r="122" spans="1:14" ht="12.75" customHeight="1" x14ac:dyDescent="0.2"/>
    <row r="123" spans="1:14" ht="31.5" customHeight="1" x14ac:dyDescent="0.2"/>
    <row r="124" spans="1:14" ht="25.5" customHeight="1" x14ac:dyDescent="0.2">
      <c r="A124" s="4" t="s">
        <v>829</v>
      </c>
      <c r="B124" s="1207" t="s">
        <v>454</v>
      </c>
      <c r="C124" s="1208"/>
      <c r="D124" s="1208"/>
      <c r="E124" s="1208"/>
      <c r="F124" s="1208"/>
      <c r="G124" s="1208"/>
      <c r="H124" s="1208"/>
      <c r="I124" s="1208"/>
      <c r="J124" s="1208"/>
      <c r="K124" s="1208"/>
      <c r="L124" s="1208"/>
      <c r="M124" s="1208"/>
      <c r="N124" s="1209"/>
    </row>
    <row r="125" spans="1:14" ht="12.75" customHeight="1" x14ac:dyDescent="0.2"/>
    <row r="126" spans="1:14" ht="12.75" customHeight="1" x14ac:dyDescent="0.2">
      <c r="B126" s="64" t="s">
        <v>947</v>
      </c>
      <c r="C126" s="1136" t="s">
        <v>273</v>
      </c>
      <c r="D126" s="1136"/>
      <c r="E126" s="1136"/>
      <c r="F126" s="1136"/>
      <c r="G126" s="1136"/>
      <c r="H126" s="1136"/>
      <c r="I126" s="1136"/>
      <c r="J126" s="1136"/>
      <c r="M126" s="70"/>
    </row>
    <row r="127" spans="1:14" ht="12.75" customHeight="1" x14ac:dyDescent="0.2">
      <c r="C127" s="1136"/>
      <c r="D127" s="1136"/>
      <c r="E127" s="1136"/>
      <c r="F127" s="1136"/>
      <c r="G127" s="1136"/>
      <c r="H127" s="1136"/>
      <c r="I127" s="1136"/>
      <c r="J127" s="1136"/>
    </row>
    <row r="128" spans="1:14" ht="12.75" customHeight="1" x14ac:dyDescent="0.2">
      <c r="C128" s="1136"/>
      <c r="D128" s="1136"/>
      <c r="E128" s="1136"/>
      <c r="F128" s="1136"/>
      <c r="G128" s="1136"/>
      <c r="H128" s="1136"/>
      <c r="I128" s="1136"/>
      <c r="J128" s="1136"/>
      <c r="L128" s="71"/>
      <c r="M128" s="71"/>
      <c r="N128" s="71"/>
    </row>
    <row r="129" spans="1:14" ht="12.75" customHeight="1" x14ac:dyDescent="0.2">
      <c r="C129" s="1136"/>
      <c r="D129" s="1136"/>
      <c r="E129" s="1136"/>
      <c r="F129" s="1136"/>
      <c r="G129" s="1136"/>
      <c r="H129" s="1136"/>
      <c r="I129" s="1136"/>
      <c r="J129" s="1136"/>
      <c r="L129" s="71"/>
      <c r="M129" s="71"/>
      <c r="N129" s="71"/>
    </row>
    <row r="130" spans="1:14" ht="12.75" customHeight="1" x14ac:dyDescent="0.2">
      <c r="C130" s="1136"/>
      <c r="D130" s="1136"/>
      <c r="E130" s="1136"/>
      <c r="F130" s="1136"/>
      <c r="G130" s="1136"/>
      <c r="H130" s="1136"/>
      <c r="I130" s="1136"/>
      <c r="J130" s="1136"/>
      <c r="L130" s="71"/>
      <c r="M130" s="71"/>
      <c r="N130" s="71"/>
    </row>
    <row r="131" spans="1:14" ht="12.75" customHeight="1" x14ac:dyDescent="0.2">
      <c r="C131" s="59"/>
      <c r="D131" s="59"/>
      <c r="E131" s="59"/>
      <c r="F131" s="59"/>
      <c r="G131" s="59"/>
      <c r="H131" s="59"/>
      <c r="I131" s="59"/>
      <c r="J131" s="59"/>
      <c r="L131" s="1347" t="s">
        <v>107</v>
      </c>
      <c r="M131" s="1347"/>
      <c r="N131" s="1347"/>
    </row>
    <row r="132" spans="1:14" ht="15.75" customHeight="1" x14ac:dyDescent="0.2">
      <c r="J132" s="3" t="s">
        <v>941</v>
      </c>
      <c r="L132" s="3" t="s">
        <v>809</v>
      </c>
      <c r="N132" s="3" t="s">
        <v>808</v>
      </c>
    </row>
    <row r="133" spans="1:14" ht="12.75" customHeight="1" x14ac:dyDescent="0.2">
      <c r="G133" t="s">
        <v>1011</v>
      </c>
      <c r="J133" s="512"/>
      <c r="K133" s="522"/>
      <c r="L133" s="512"/>
      <c r="M133" s="522"/>
      <c r="N133" s="512"/>
    </row>
    <row r="134" spans="1:14" ht="12.75" customHeight="1" x14ac:dyDescent="0.2">
      <c r="G134" t="s">
        <v>895</v>
      </c>
      <c r="J134" s="512"/>
      <c r="K134" s="522"/>
      <c r="L134" s="512"/>
      <c r="M134" s="522"/>
      <c r="N134" s="512"/>
    </row>
    <row r="135" spans="1:14" ht="12.75" customHeight="1" x14ac:dyDescent="0.2">
      <c r="G135" t="s">
        <v>743</v>
      </c>
      <c r="J135" s="512"/>
      <c r="K135" s="522"/>
      <c r="L135" s="512"/>
      <c r="M135" s="522"/>
      <c r="N135" s="512"/>
    </row>
    <row r="136" spans="1:14" ht="12.75" customHeight="1" x14ac:dyDescent="0.2">
      <c r="G136" t="s">
        <v>481</v>
      </c>
      <c r="J136" s="512"/>
      <c r="K136" s="522"/>
      <c r="L136" s="512"/>
      <c r="M136" s="522"/>
      <c r="N136" s="512"/>
    </row>
    <row r="137" spans="1:14" ht="12.75" customHeight="1" x14ac:dyDescent="0.2">
      <c r="G137" t="s">
        <v>470</v>
      </c>
      <c r="J137" s="512"/>
      <c r="K137" s="522"/>
      <c r="L137" s="512"/>
      <c r="M137" s="522"/>
      <c r="N137" s="512"/>
    </row>
    <row r="138" spans="1:14" ht="12.75" customHeight="1" x14ac:dyDescent="0.2">
      <c r="G138" t="s">
        <v>79</v>
      </c>
      <c r="J138" s="512"/>
      <c r="K138" s="522"/>
      <c r="L138" s="512"/>
      <c r="M138" s="522"/>
      <c r="N138" s="512"/>
    </row>
    <row r="139" spans="1:14" ht="12.75" customHeight="1" x14ac:dyDescent="0.2">
      <c r="G139" t="s">
        <v>926</v>
      </c>
      <c r="J139" s="512"/>
      <c r="K139" s="522"/>
      <c r="L139" s="512"/>
      <c r="M139" s="522"/>
      <c r="N139" s="512"/>
    </row>
    <row r="140" spans="1:14" ht="12.75" customHeight="1" x14ac:dyDescent="0.2">
      <c r="G140" s="521" t="s">
        <v>203</v>
      </c>
      <c r="J140" s="512"/>
      <c r="K140" s="522"/>
      <c r="L140" s="512"/>
      <c r="M140" s="488"/>
      <c r="N140" s="512"/>
    </row>
    <row r="141" spans="1:14" ht="12.75" customHeight="1" thickBot="1" x14ac:dyDescent="0.25">
      <c r="J141" s="100">
        <f>SUM(J133:J140)</f>
        <v>0</v>
      </c>
      <c r="K141" s="61"/>
      <c r="L141" s="100">
        <f>SUM(L133:L140)</f>
        <v>0</v>
      </c>
      <c r="M141" s="73"/>
      <c r="N141" s="100">
        <f>SUM(N133:N140)</f>
        <v>0</v>
      </c>
    </row>
    <row r="142" spans="1:14" ht="12.75" customHeight="1" thickTop="1" x14ac:dyDescent="0.2">
      <c r="M142" s="14"/>
    </row>
    <row r="143" spans="1:14" ht="12.75" customHeight="1" x14ac:dyDescent="0.2">
      <c r="M143" s="14"/>
    </row>
    <row r="144" spans="1:14" ht="25.5" customHeight="1" x14ac:dyDescent="0.2">
      <c r="A144" s="4" t="s">
        <v>147</v>
      </c>
      <c r="B144" s="1207" t="s">
        <v>939</v>
      </c>
      <c r="C144" s="1208"/>
      <c r="D144" s="1208"/>
      <c r="E144" s="1208"/>
      <c r="F144" s="1208"/>
      <c r="G144" s="1208"/>
      <c r="H144" s="1208"/>
      <c r="I144" s="1208"/>
      <c r="J144" s="1208"/>
      <c r="K144" s="1208"/>
      <c r="L144" s="1208"/>
      <c r="M144" s="1346"/>
      <c r="N144" s="1209"/>
    </row>
    <row r="145" spans="1:14" ht="12.75" customHeight="1" x14ac:dyDescent="0.2"/>
    <row r="146" spans="1:14" ht="12.75" customHeight="1" x14ac:dyDescent="0.2">
      <c r="B146" s="64" t="s">
        <v>947</v>
      </c>
      <c r="C146" s="1126" t="s">
        <v>432</v>
      </c>
      <c r="D146" s="1126"/>
      <c r="E146" s="1126"/>
      <c r="F146" s="1126"/>
      <c r="G146" s="1126"/>
      <c r="H146" s="1126"/>
      <c r="I146" s="1126"/>
      <c r="J146" s="1126"/>
    </row>
    <row r="147" spans="1:14" ht="54.6" customHeight="1" x14ac:dyDescent="0.2">
      <c r="C147" s="1126"/>
      <c r="D147" s="1126"/>
      <c r="E147" s="1126"/>
      <c r="F147" s="1126"/>
      <c r="G147" s="1126"/>
      <c r="H147" s="1126"/>
      <c r="I147" s="1126"/>
      <c r="J147" s="1126"/>
      <c r="L147" s="3" t="s">
        <v>65</v>
      </c>
      <c r="M147" s="70"/>
      <c r="N147" s="3" t="s">
        <v>66</v>
      </c>
    </row>
    <row r="148" spans="1:14" ht="12.75" customHeight="1" x14ac:dyDescent="0.2">
      <c r="H148" t="s">
        <v>942</v>
      </c>
      <c r="L148" s="512"/>
      <c r="M148" s="522"/>
      <c r="N148" s="512"/>
    </row>
    <row r="149" spans="1:14" ht="12.75" customHeight="1" x14ac:dyDescent="0.2">
      <c r="H149" t="s">
        <v>718</v>
      </c>
      <c r="L149" s="512"/>
      <c r="M149" s="522"/>
      <c r="N149" s="512"/>
    </row>
    <row r="150" spans="1:14" ht="12.75" customHeight="1" x14ac:dyDescent="0.2">
      <c r="H150" t="s">
        <v>895</v>
      </c>
      <c r="L150" s="512"/>
      <c r="M150" s="522"/>
      <c r="N150" s="512"/>
    </row>
    <row r="151" spans="1:14" ht="12.75" customHeight="1" x14ac:dyDescent="0.2">
      <c r="H151" t="s">
        <v>743</v>
      </c>
      <c r="L151" s="512"/>
      <c r="M151" s="522"/>
      <c r="N151" s="512"/>
    </row>
    <row r="152" spans="1:14" ht="12.75" customHeight="1" x14ac:dyDescent="0.2">
      <c r="H152" t="s">
        <v>481</v>
      </c>
      <c r="L152" s="512"/>
      <c r="M152" s="522"/>
      <c r="N152" s="512"/>
    </row>
    <row r="153" spans="1:14" ht="12.75" customHeight="1" x14ac:dyDescent="0.2">
      <c r="H153" t="s">
        <v>470</v>
      </c>
      <c r="L153" s="512"/>
      <c r="M153" s="522"/>
      <c r="N153" s="512"/>
    </row>
    <row r="154" spans="1:14" ht="12.75" customHeight="1" x14ac:dyDescent="0.2">
      <c r="H154" t="s">
        <v>79</v>
      </c>
      <c r="L154" s="512"/>
      <c r="M154" s="522"/>
      <c r="N154" s="512"/>
    </row>
    <row r="155" spans="1:14" ht="12.75" customHeight="1" x14ac:dyDescent="0.2">
      <c r="H155" t="s">
        <v>926</v>
      </c>
      <c r="L155" s="512"/>
      <c r="M155" s="522"/>
      <c r="N155" s="512"/>
    </row>
    <row r="156" spans="1:14" ht="12.75" customHeight="1" x14ac:dyDescent="0.2">
      <c r="H156" s="521" t="s">
        <v>203</v>
      </c>
      <c r="L156" s="512"/>
      <c r="M156" s="522"/>
      <c r="N156" s="512"/>
    </row>
    <row r="157" spans="1:14" ht="12.75" customHeight="1" x14ac:dyDescent="0.2">
      <c r="H157" s="229" t="s">
        <v>1125</v>
      </c>
      <c r="L157" s="512"/>
      <c r="M157" s="522"/>
      <c r="N157" s="512"/>
    </row>
    <row r="158" spans="1:14" ht="12.75" customHeight="1" thickBot="1" x14ac:dyDescent="0.25">
      <c r="L158" s="100">
        <f>SUM(L148:L157)</f>
        <v>0</v>
      </c>
      <c r="M158" s="61"/>
      <c r="N158" s="100">
        <f>SUM(N148:N157)</f>
        <v>0</v>
      </c>
    </row>
    <row r="159" spans="1:14" ht="12.75" customHeight="1" thickTop="1" x14ac:dyDescent="0.2"/>
    <row r="160" spans="1:14" ht="25.5" customHeight="1" x14ac:dyDescent="0.25">
      <c r="A160" s="600" t="s">
        <v>274</v>
      </c>
      <c r="B160" s="1207" t="s">
        <v>530</v>
      </c>
      <c r="C160" s="1208"/>
      <c r="D160" s="1208"/>
      <c r="E160" s="1208"/>
      <c r="F160" s="1208"/>
      <c r="G160" s="1208"/>
      <c r="H160" s="1208"/>
      <c r="I160" s="1208"/>
      <c r="J160" s="1208"/>
      <c r="K160" s="1208"/>
      <c r="L160" s="1208"/>
      <c r="M160" s="1208"/>
      <c r="N160" s="1209"/>
    </row>
    <row r="161" spans="1:14" ht="12.75" customHeight="1" x14ac:dyDescent="0.2"/>
    <row r="162" spans="1:14" ht="12.75" customHeight="1" x14ac:dyDescent="0.2">
      <c r="B162" s="64" t="s">
        <v>947</v>
      </c>
      <c r="C162" s="1126" t="s">
        <v>528</v>
      </c>
      <c r="D162" s="1126"/>
      <c r="E162" s="1126"/>
      <c r="F162" s="1126"/>
      <c r="G162" s="1126"/>
      <c r="H162" s="1126"/>
      <c r="I162" s="1126"/>
      <c r="J162" s="1126"/>
      <c r="N162" s="1233"/>
    </row>
    <row r="163" spans="1:14" ht="12.75" customHeight="1" x14ac:dyDescent="0.2">
      <c r="C163" s="1126"/>
      <c r="D163" s="1126"/>
      <c r="E163" s="1126"/>
      <c r="F163" s="1126"/>
      <c r="G163" s="1126"/>
      <c r="H163" s="1126"/>
      <c r="I163" s="1126"/>
      <c r="J163" s="1126"/>
      <c r="L163" s="36"/>
      <c r="N163" s="1233"/>
    </row>
    <row r="164" spans="1:14" ht="12.75" customHeight="1" x14ac:dyDescent="0.2"/>
    <row r="165" spans="1:14" ht="12.75" customHeight="1" x14ac:dyDescent="0.2">
      <c r="B165" s="64" t="s">
        <v>948</v>
      </c>
      <c r="C165" s="1126" t="s">
        <v>529</v>
      </c>
      <c r="D165" s="1126"/>
      <c r="E165" s="1126"/>
      <c r="F165" s="1126"/>
      <c r="G165" s="1126"/>
      <c r="H165" s="1126"/>
      <c r="I165" s="1126"/>
      <c r="J165" s="1126"/>
      <c r="N165" s="1233"/>
    </row>
    <row r="166" spans="1:14" ht="12.75" customHeight="1" x14ac:dyDescent="0.2">
      <c r="C166" s="1126"/>
      <c r="D166" s="1126"/>
      <c r="E166" s="1126"/>
      <c r="F166" s="1126"/>
      <c r="G166" s="1126"/>
      <c r="H166" s="1126"/>
      <c r="I166" s="1126"/>
      <c r="J166" s="1126"/>
      <c r="L166" s="36"/>
      <c r="N166" s="1233"/>
    </row>
    <row r="167" spans="1:14" ht="12.75" customHeight="1" x14ac:dyDescent="0.2"/>
    <row r="168" spans="1:14" ht="12.75" customHeight="1" x14ac:dyDescent="0.2"/>
    <row r="169" spans="1:14" ht="25.5" customHeight="1" x14ac:dyDescent="0.25">
      <c r="A169" s="226" t="s">
        <v>148</v>
      </c>
      <c r="B169" s="1207" t="s">
        <v>1126</v>
      </c>
      <c r="C169" s="1208"/>
      <c r="D169" s="1208"/>
      <c r="E169" s="1208"/>
      <c r="F169" s="1208"/>
      <c r="G169" s="1208"/>
      <c r="H169" s="1208"/>
      <c r="I169" s="1208"/>
      <c r="J169" s="1208"/>
      <c r="K169" s="1208"/>
      <c r="L169" s="1208"/>
      <c r="M169" s="1208"/>
      <c r="N169" s="1209"/>
    </row>
    <row r="170" spans="1:14" ht="12.75" customHeight="1" x14ac:dyDescent="0.2"/>
    <row r="171" spans="1:14" ht="12.75" customHeight="1" x14ac:dyDescent="0.2">
      <c r="B171" s="4" t="s">
        <v>1127</v>
      </c>
    </row>
    <row r="172" spans="1:14" ht="12.75" customHeight="1" x14ac:dyDescent="0.2">
      <c r="B172" s="64" t="s">
        <v>947</v>
      </c>
      <c r="C172" t="s">
        <v>314</v>
      </c>
      <c r="J172" s="13"/>
      <c r="L172" s="512"/>
    </row>
    <row r="173" spans="1:14" ht="12.75" customHeight="1" x14ac:dyDescent="0.2">
      <c r="J173" s="13"/>
      <c r="L173" s="61"/>
    </row>
    <row r="174" spans="1:14" ht="12.75" customHeight="1" x14ac:dyDescent="0.2">
      <c r="B174" s="64" t="s">
        <v>948</v>
      </c>
      <c r="C174" t="s">
        <v>96</v>
      </c>
      <c r="J174" s="13"/>
      <c r="L174" s="512"/>
    </row>
    <row r="175" spans="1:14" ht="12.75" customHeight="1" x14ac:dyDescent="0.2">
      <c r="J175" s="13"/>
      <c r="L175" s="61"/>
    </row>
    <row r="176" spans="1:14" ht="12.75" customHeight="1" x14ac:dyDescent="0.2">
      <c r="B176" s="64"/>
      <c r="C176" s="4" t="s">
        <v>1127</v>
      </c>
      <c r="J176" s="13"/>
      <c r="L176" s="61"/>
      <c r="N176" s="103">
        <f>L172-L174</f>
        <v>0</v>
      </c>
    </row>
    <row r="177" spans="2:18" ht="12.75" customHeight="1" x14ac:dyDescent="0.2">
      <c r="J177" s="13"/>
      <c r="L177" s="61"/>
    </row>
    <row r="178" spans="2:18" ht="12.75" customHeight="1" x14ac:dyDescent="0.2">
      <c r="B178" s="4" t="s">
        <v>315</v>
      </c>
      <c r="J178" s="13"/>
      <c r="L178" s="61"/>
    </row>
    <row r="179" spans="2:18" ht="12.75" customHeight="1" x14ac:dyDescent="0.2">
      <c r="C179" t="s">
        <v>316</v>
      </c>
      <c r="J179" s="13"/>
      <c r="L179" s="512"/>
    </row>
    <row r="180" spans="2:18" ht="12.75" customHeight="1" x14ac:dyDescent="0.2">
      <c r="C180" t="s">
        <v>898</v>
      </c>
      <c r="J180" s="13"/>
      <c r="L180" s="512"/>
    </row>
    <row r="181" spans="2:18" ht="12.75" customHeight="1" x14ac:dyDescent="0.2">
      <c r="C181" t="s">
        <v>896</v>
      </c>
      <c r="J181" s="13"/>
      <c r="L181" s="512"/>
    </row>
    <row r="182" spans="2:18" ht="12.75" customHeight="1" x14ac:dyDescent="0.2">
      <c r="C182" t="s">
        <v>895</v>
      </c>
      <c r="J182" s="13"/>
      <c r="L182" s="512"/>
    </row>
    <row r="183" spans="2:18" ht="12.75" customHeight="1" x14ac:dyDescent="0.2">
      <c r="C183" t="s">
        <v>317</v>
      </c>
      <c r="J183" s="13"/>
      <c r="L183" s="512"/>
    </row>
    <row r="184" spans="2:18" ht="12.75" customHeight="1" x14ac:dyDescent="0.2">
      <c r="C184" t="s">
        <v>272</v>
      </c>
      <c r="J184" s="13"/>
      <c r="L184" s="512"/>
    </row>
    <row r="185" spans="2:18" ht="12.75" customHeight="1" x14ac:dyDescent="0.2">
      <c r="C185" s="229" t="s">
        <v>1047</v>
      </c>
      <c r="J185" s="13"/>
      <c r="L185" s="512"/>
    </row>
    <row r="186" spans="2:18" ht="12.75" customHeight="1" x14ac:dyDescent="0.2">
      <c r="C186" s="521" t="s">
        <v>318</v>
      </c>
      <c r="J186" s="13"/>
      <c r="L186" s="512"/>
    </row>
    <row r="187" spans="2:18" ht="12.75" customHeight="1" x14ac:dyDescent="0.2">
      <c r="C187" s="521" t="s">
        <v>319</v>
      </c>
      <c r="J187" s="13"/>
      <c r="L187" s="512"/>
    </row>
    <row r="188" spans="2:18" ht="12.75" customHeight="1" x14ac:dyDescent="0.2">
      <c r="C188" s="521" t="s">
        <v>2568</v>
      </c>
      <c r="J188" s="13"/>
      <c r="L188" s="512"/>
      <c r="N188" s="103">
        <f>SUM(L179:L188)</f>
        <v>0</v>
      </c>
    </row>
    <row r="189" spans="2:18" ht="12.75" customHeight="1" x14ac:dyDescent="0.2">
      <c r="J189" s="13"/>
    </row>
    <row r="190" spans="2:18" ht="12.75" customHeight="1" x14ac:dyDescent="0.2">
      <c r="B190" s="4" t="s">
        <v>320</v>
      </c>
      <c r="J190" s="13"/>
      <c r="L190" s="532"/>
    </row>
    <row r="191" spans="2:18" ht="19.5" customHeight="1" x14ac:dyDescent="0.2">
      <c r="N191" s="1127" t="str">
        <f>IF(L192=L193," ","Recheck numbers above and detail in Worksheet M. Above entry is out of balance.")</f>
        <v xml:space="preserve"> </v>
      </c>
      <c r="R191" s="750"/>
    </row>
    <row r="192" spans="2:18" ht="12.75" customHeight="1" x14ac:dyDescent="0.2">
      <c r="C192" s="580" t="s">
        <v>984</v>
      </c>
      <c r="D192" s="580"/>
      <c r="E192" s="581" t="s">
        <v>1128</v>
      </c>
      <c r="F192" s="579"/>
      <c r="G192" s="579"/>
      <c r="H192" s="579"/>
      <c r="I192" s="579"/>
      <c r="J192" s="579"/>
      <c r="K192" s="579"/>
      <c r="L192" s="582">
        <f>N176+N188+L190</f>
        <v>0</v>
      </c>
      <c r="N192" s="1127"/>
      <c r="Q192" s="5"/>
    </row>
    <row r="193" spans="1:19" ht="12.75" customHeight="1" x14ac:dyDescent="0.2">
      <c r="E193" s="581" t="s">
        <v>543</v>
      </c>
      <c r="F193" s="579"/>
      <c r="G193" s="579"/>
      <c r="H193" s="579"/>
      <c r="I193" s="579"/>
      <c r="J193" s="579"/>
      <c r="K193" s="579"/>
      <c r="L193" s="602">
        <f>ROUND(('Conversion Worksheet'!BA151-'Conversion Worksheet'!AZ151)+'Conversion Worksheet'!BA158+'Conversion Worksheet'!BA152,0)</f>
        <v>0</v>
      </c>
      <c r="N193" s="1127"/>
      <c r="Q193" s="750"/>
      <c r="R193" s="750"/>
      <c r="S193" s="5"/>
    </row>
    <row r="194" spans="1:19" ht="24" customHeight="1" x14ac:dyDescent="0.2"/>
    <row r="195" spans="1:19" ht="25.5" customHeight="1" x14ac:dyDescent="0.2">
      <c r="A195" s="4" t="s">
        <v>859</v>
      </c>
      <c r="B195" s="1207" t="s">
        <v>240</v>
      </c>
      <c r="C195" s="1208"/>
      <c r="D195" s="1208"/>
      <c r="E195" s="1208"/>
      <c r="F195" s="1208"/>
      <c r="G195" s="1208"/>
      <c r="H195" s="1208"/>
      <c r="I195" s="1208"/>
      <c r="J195" s="1208"/>
      <c r="K195" s="1208"/>
      <c r="L195" s="1208"/>
      <c r="M195" s="1208"/>
      <c r="N195" s="1209"/>
    </row>
    <row r="196" spans="1:19" ht="11.25" customHeight="1" x14ac:dyDescent="0.2">
      <c r="A196" s="4"/>
      <c r="B196" s="69"/>
      <c r="C196" s="69"/>
      <c r="D196" s="69"/>
      <c r="E196" s="69"/>
      <c r="F196" s="69"/>
      <c r="G196" s="69"/>
      <c r="H196" s="69"/>
      <c r="I196" s="54"/>
      <c r="J196" s="54"/>
      <c r="K196" s="54"/>
      <c r="L196" s="54"/>
      <c r="M196" s="54"/>
      <c r="N196" s="54"/>
    </row>
    <row r="197" spans="1:19" ht="21" customHeight="1" x14ac:dyDescent="0.2">
      <c r="C197" s="401" t="s">
        <v>671</v>
      </c>
      <c r="J197" s="74" t="s">
        <v>65</v>
      </c>
      <c r="K197" s="63"/>
      <c r="L197" s="74" t="s">
        <v>66</v>
      </c>
    </row>
    <row r="198" spans="1:19" x14ac:dyDescent="0.2">
      <c r="A198" t="s">
        <v>580</v>
      </c>
      <c r="C198" s="397" t="s">
        <v>662</v>
      </c>
      <c r="D198" t="s">
        <v>581</v>
      </c>
      <c r="J198" s="108">
        <f>N51+N54</f>
        <v>0</v>
      </c>
      <c r="K198" s="121"/>
      <c r="L198" s="108"/>
      <c r="N198" s="2"/>
    </row>
    <row r="199" spans="1:19" x14ac:dyDescent="0.2">
      <c r="C199" s="397"/>
      <c r="E199" t="s">
        <v>582</v>
      </c>
      <c r="J199" s="108"/>
      <c r="K199" s="121"/>
      <c r="L199" s="108">
        <f>N51+N54</f>
        <v>0</v>
      </c>
    </row>
    <row r="200" spans="1:19" ht="4.5" customHeight="1" x14ac:dyDescent="0.2">
      <c r="C200" s="397"/>
      <c r="J200" s="61"/>
      <c r="K200" s="121"/>
      <c r="L200" s="61"/>
    </row>
    <row r="201" spans="1:19" x14ac:dyDescent="0.2">
      <c r="A201" t="s">
        <v>583</v>
      </c>
      <c r="C201" s="398" t="s">
        <v>663</v>
      </c>
      <c r="D201" s="13" t="s">
        <v>752</v>
      </c>
      <c r="E201" s="13"/>
      <c r="F201" s="13"/>
      <c r="G201" s="13"/>
      <c r="J201" s="108">
        <f>N62</f>
        <v>0</v>
      </c>
      <c r="K201" s="121"/>
      <c r="L201" s="108"/>
      <c r="N201" t="s">
        <v>570</v>
      </c>
    </row>
    <row r="202" spans="1:19" x14ac:dyDescent="0.2">
      <c r="C202" s="398"/>
      <c r="D202" s="13" t="s">
        <v>195</v>
      </c>
      <c r="E202" s="13"/>
      <c r="F202" s="13"/>
      <c r="G202" s="13"/>
      <c r="H202" s="2"/>
      <c r="J202" s="108">
        <f>N65</f>
        <v>0</v>
      </c>
      <c r="K202" s="121"/>
      <c r="L202" s="108"/>
      <c r="N202" s="6" t="s">
        <v>585</v>
      </c>
    </row>
    <row r="203" spans="1:19" ht="12.75" customHeight="1" x14ac:dyDescent="0.2">
      <c r="C203" s="398"/>
      <c r="D203" s="13"/>
      <c r="E203" s="13" t="s">
        <v>747</v>
      </c>
      <c r="F203" s="13"/>
      <c r="G203" s="13"/>
      <c r="J203" s="108"/>
      <c r="K203" s="121"/>
      <c r="L203" s="108">
        <f>N62</f>
        <v>0</v>
      </c>
    </row>
    <row r="204" spans="1:19" x14ac:dyDescent="0.2">
      <c r="C204" s="398"/>
      <c r="D204" s="13"/>
      <c r="E204" s="13" t="s">
        <v>196</v>
      </c>
      <c r="F204" s="13"/>
      <c r="G204" s="13"/>
      <c r="J204" s="108"/>
      <c r="K204" s="121"/>
      <c r="L204" s="108">
        <f>N65</f>
        <v>0</v>
      </c>
    </row>
    <row r="205" spans="1:19" ht="4.5" customHeight="1" x14ac:dyDescent="0.2">
      <c r="C205" s="397"/>
      <c r="J205" s="61"/>
      <c r="K205" s="121"/>
      <c r="L205" s="61"/>
    </row>
    <row r="206" spans="1:19" s="13" customFormat="1" x14ac:dyDescent="0.2">
      <c r="A206" s="13" t="s">
        <v>584</v>
      </c>
      <c r="C206" s="398" t="s">
        <v>664</v>
      </c>
      <c r="D206" s="13" t="s">
        <v>195</v>
      </c>
      <c r="J206" s="108">
        <f>N82</f>
        <v>0</v>
      </c>
      <c r="K206" s="121"/>
      <c r="L206" s="108"/>
    </row>
    <row r="207" spans="1:19" s="13" customFormat="1" x14ac:dyDescent="0.2">
      <c r="D207" s="13" t="s">
        <v>752</v>
      </c>
      <c r="J207" s="103">
        <f>N75</f>
        <v>0</v>
      </c>
      <c r="K207" s="121"/>
      <c r="L207" s="108"/>
      <c r="N207" s="583" t="s">
        <v>571</v>
      </c>
    </row>
    <row r="208" spans="1:19" s="13" customFormat="1" x14ac:dyDescent="0.2">
      <c r="B208" s="584"/>
      <c r="D208" s="13" t="s">
        <v>591</v>
      </c>
      <c r="J208" s="108">
        <f>IF((L209+L210)-(J206+J207)&lt;0,0,(L209+L210)-(J206+J207))</f>
        <v>0</v>
      </c>
      <c r="K208" s="121"/>
      <c r="L208" s="108">
        <f>IF((L209+L210)-(J206+J207)&gt;0,0,(L209+L210)-(J206+J207))</f>
        <v>0</v>
      </c>
      <c r="N208" s="583" t="s">
        <v>199</v>
      </c>
    </row>
    <row r="209" spans="1:14" s="13" customFormat="1" x14ac:dyDescent="0.2">
      <c r="E209" s="13" t="s">
        <v>196</v>
      </c>
      <c r="J209" s="108"/>
      <c r="K209" s="121"/>
      <c r="L209" s="108">
        <f>N79</f>
        <v>0</v>
      </c>
      <c r="N209" s="583" t="s">
        <v>572</v>
      </c>
    </row>
    <row r="210" spans="1:14" s="13" customFormat="1" x14ac:dyDescent="0.2">
      <c r="E210" s="13" t="s">
        <v>747</v>
      </c>
      <c r="J210" s="108"/>
      <c r="K210" s="121"/>
      <c r="L210" s="108">
        <f>N71</f>
        <v>0</v>
      </c>
    </row>
    <row r="211" spans="1:14" ht="3.75" customHeight="1" x14ac:dyDescent="0.2">
      <c r="J211" s="121"/>
      <c r="K211" s="121"/>
      <c r="L211" s="121"/>
    </row>
    <row r="212" spans="1:14" x14ac:dyDescent="0.2">
      <c r="A212" t="s">
        <v>802</v>
      </c>
      <c r="C212" s="399" t="s">
        <v>665</v>
      </c>
      <c r="D212" t="s">
        <v>118</v>
      </c>
      <c r="J212" s="108">
        <f>N87</f>
        <v>0</v>
      </c>
      <c r="K212" s="121"/>
      <c r="L212" s="108"/>
    </row>
    <row r="213" spans="1:14" x14ac:dyDescent="0.2">
      <c r="C213" s="399"/>
      <c r="E213" t="s">
        <v>747</v>
      </c>
      <c r="J213" s="108"/>
      <c r="K213" s="121"/>
      <c r="L213" s="108">
        <f>N87</f>
        <v>0</v>
      </c>
      <c r="N213" s="6" t="s">
        <v>953</v>
      </c>
    </row>
    <row r="214" spans="1:14" x14ac:dyDescent="0.2">
      <c r="C214" s="399"/>
      <c r="D214" t="s">
        <v>752</v>
      </c>
      <c r="J214" s="108">
        <f>N89</f>
        <v>0</v>
      </c>
      <c r="K214" s="121"/>
      <c r="L214" s="108"/>
      <c r="N214" s="6" t="s">
        <v>954</v>
      </c>
    </row>
    <row r="215" spans="1:14" x14ac:dyDescent="0.2">
      <c r="C215" s="399"/>
      <c r="E215" t="s">
        <v>119</v>
      </c>
      <c r="J215" s="108"/>
      <c r="K215" s="121"/>
      <c r="L215" s="108">
        <f>N89</f>
        <v>0</v>
      </c>
    </row>
    <row r="216" spans="1:14" ht="5.25" customHeight="1" x14ac:dyDescent="0.2">
      <c r="C216" s="399"/>
      <c r="J216" s="121"/>
      <c r="K216" s="121"/>
      <c r="L216" s="121"/>
    </row>
    <row r="217" spans="1:14" x14ac:dyDescent="0.2">
      <c r="A217" t="s">
        <v>803</v>
      </c>
      <c r="C217" s="399" t="s">
        <v>666</v>
      </c>
      <c r="D217" t="s">
        <v>767</v>
      </c>
      <c r="J217" s="108">
        <f>N99</f>
        <v>0</v>
      </c>
      <c r="K217" s="121"/>
      <c r="L217" s="108"/>
    </row>
    <row r="218" spans="1:14" x14ac:dyDescent="0.2">
      <c r="C218" s="399"/>
      <c r="D218" t="s">
        <v>804</v>
      </c>
      <c r="J218" s="108">
        <f>N100</f>
        <v>0</v>
      </c>
      <c r="K218" s="121"/>
      <c r="L218" s="108"/>
      <c r="N218" s="6" t="s">
        <v>956</v>
      </c>
    </row>
    <row r="219" spans="1:14" x14ac:dyDescent="0.2">
      <c r="C219" s="399"/>
      <c r="E219" t="s">
        <v>718</v>
      </c>
      <c r="F219" s="78"/>
      <c r="J219" s="104"/>
      <c r="K219" s="13"/>
      <c r="L219" s="103">
        <f>N99</f>
        <v>0</v>
      </c>
      <c r="N219" s="6" t="s">
        <v>955</v>
      </c>
    </row>
    <row r="220" spans="1:14" x14ac:dyDescent="0.2">
      <c r="C220" s="399"/>
      <c r="E220" t="s">
        <v>743</v>
      </c>
      <c r="J220" s="104"/>
      <c r="K220" s="13"/>
      <c r="L220" s="103">
        <f>N100</f>
        <v>0</v>
      </c>
    </row>
    <row r="221" spans="1:14" ht="3.75" customHeight="1" x14ac:dyDescent="0.2">
      <c r="C221" s="399"/>
      <c r="K221" s="13"/>
    </row>
    <row r="222" spans="1:14" x14ac:dyDescent="0.2">
      <c r="A222" t="s">
        <v>805</v>
      </c>
      <c r="C222" s="399" t="s">
        <v>667</v>
      </c>
      <c r="D222" t="s">
        <v>165</v>
      </c>
      <c r="J222" s="103">
        <f>N106</f>
        <v>0</v>
      </c>
      <c r="K222" s="13"/>
      <c r="L222" s="104"/>
    </row>
    <row r="223" spans="1:14" x14ac:dyDescent="0.2">
      <c r="C223" s="399"/>
      <c r="D223" t="s">
        <v>164</v>
      </c>
      <c r="J223" s="103">
        <f>N108</f>
        <v>0</v>
      </c>
      <c r="K223" s="13"/>
      <c r="L223" s="104"/>
      <c r="N223" s="6"/>
    </row>
    <row r="224" spans="1:14" x14ac:dyDescent="0.2">
      <c r="C224" s="399"/>
      <c r="D224" t="s">
        <v>163</v>
      </c>
      <c r="J224" s="103">
        <f>N110</f>
        <v>0</v>
      </c>
      <c r="K224" s="13"/>
      <c r="L224" s="104"/>
      <c r="N224" s="6"/>
    </row>
    <row r="225" spans="1:14" x14ac:dyDescent="0.2">
      <c r="C225" s="399"/>
      <c r="D225" t="s">
        <v>162</v>
      </c>
      <c r="J225" s="103">
        <f>N112</f>
        <v>0</v>
      </c>
      <c r="K225" s="13"/>
      <c r="L225" s="104"/>
      <c r="N225" s="6"/>
    </row>
    <row r="226" spans="1:14" x14ac:dyDescent="0.2">
      <c r="C226" s="399"/>
      <c r="D226" t="s">
        <v>300</v>
      </c>
      <c r="J226" s="103">
        <f>N114</f>
        <v>0</v>
      </c>
      <c r="K226" s="13"/>
      <c r="L226" s="104"/>
      <c r="N226" s="6"/>
    </row>
    <row r="227" spans="1:14" x14ac:dyDescent="0.2">
      <c r="C227" s="399"/>
      <c r="D227" t="s">
        <v>345</v>
      </c>
      <c r="J227" s="103">
        <f>N116</f>
        <v>0</v>
      </c>
      <c r="K227" s="13"/>
      <c r="L227" s="104"/>
      <c r="N227" s="6"/>
    </row>
    <row r="228" spans="1:14" x14ac:dyDescent="0.2">
      <c r="C228" s="399"/>
      <c r="D228" s="521" t="s">
        <v>160</v>
      </c>
      <c r="J228" s="103">
        <f>N119</f>
        <v>0</v>
      </c>
      <c r="K228" s="13"/>
      <c r="L228" s="104"/>
      <c r="N228" s="6"/>
    </row>
    <row r="229" spans="1:14" x14ac:dyDescent="0.2">
      <c r="C229" s="399"/>
      <c r="D229" s="521" t="s">
        <v>161</v>
      </c>
      <c r="J229" s="103">
        <f>N121</f>
        <v>0</v>
      </c>
      <c r="K229" s="13"/>
      <c r="L229" s="104"/>
      <c r="N229" s="6" t="s">
        <v>961</v>
      </c>
    </row>
    <row r="230" spans="1:14" x14ac:dyDescent="0.2">
      <c r="C230" s="399"/>
      <c r="E230" t="s">
        <v>166</v>
      </c>
      <c r="J230" s="104"/>
      <c r="K230" s="13"/>
      <c r="L230" s="103">
        <f>N106</f>
        <v>0</v>
      </c>
      <c r="N230" s="6" t="s">
        <v>159</v>
      </c>
    </row>
    <row r="231" spans="1:14" x14ac:dyDescent="0.2">
      <c r="C231" s="399"/>
      <c r="E231" t="s">
        <v>308</v>
      </c>
      <c r="J231" s="104"/>
      <c r="K231" s="13"/>
      <c r="L231" s="103">
        <f>N108</f>
        <v>0</v>
      </c>
      <c r="N231" s="6"/>
    </row>
    <row r="232" spans="1:14" x14ac:dyDescent="0.2">
      <c r="C232" s="399"/>
      <c r="E232" t="s">
        <v>309</v>
      </c>
      <c r="J232" s="104"/>
      <c r="K232" s="13"/>
      <c r="L232" s="103">
        <f>N110</f>
        <v>0</v>
      </c>
      <c r="N232" s="6"/>
    </row>
    <row r="233" spans="1:14" x14ac:dyDescent="0.2">
      <c r="C233" s="399"/>
      <c r="E233" t="s">
        <v>310</v>
      </c>
      <c r="J233" s="104"/>
      <c r="K233" s="13"/>
      <c r="L233" s="103">
        <f>N112</f>
        <v>0</v>
      </c>
      <c r="N233" s="6"/>
    </row>
    <row r="234" spans="1:14" x14ac:dyDescent="0.2">
      <c r="C234" s="399"/>
      <c r="E234" t="s">
        <v>311</v>
      </c>
      <c r="J234" s="104"/>
      <c r="K234" s="13"/>
      <c r="L234" s="103">
        <f>N114</f>
        <v>0</v>
      </c>
      <c r="N234" s="6"/>
    </row>
    <row r="235" spans="1:14" x14ac:dyDescent="0.2">
      <c r="C235" s="399"/>
      <c r="E235" t="s">
        <v>806</v>
      </c>
      <c r="J235" s="104"/>
      <c r="K235" s="13"/>
      <c r="L235" s="103">
        <f>N116</f>
        <v>0</v>
      </c>
      <c r="N235" s="6"/>
    </row>
    <row r="236" spans="1:14" x14ac:dyDescent="0.2">
      <c r="C236" s="399"/>
      <c r="E236" s="521" t="s">
        <v>313</v>
      </c>
      <c r="J236" s="104"/>
      <c r="K236" s="13"/>
      <c r="L236" s="103">
        <f>N119</f>
        <v>0</v>
      </c>
      <c r="N236" s="6"/>
    </row>
    <row r="237" spans="1:14" x14ac:dyDescent="0.2">
      <c r="C237" s="399"/>
      <c r="E237" s="521" t="s">
        <v>312</v>
      </c>
      <c r="J237" s="104"/>
      <c r="K237" s="13"/>
      <c r="L237" s="103">
        <f>N121</f>
        <v>0</v>
      </c>
      <c r="N237" s="6"/>
    </row>
    <row r="238" spans="1:14" ht="4.5" customHeight="1" x14ac:dyDescent="0.2">
      <c r="C238" s="399"/>
      <c r="K238" s="13"/>
    </row>
    <row r="239" spans="1:14" x14ac:dyDescent="0.2">
      <c r="A239" t="s">
        <v>807</v>
      </c>
      <c r="C239" s="399" t="s">
        <v>668</v>
      </c>
      <c r="D239" t="s">
        <v>718</v>
      </c>
      <c r="J239" s="108">
        <f t="shared" ref="J239:J246" si="0">J133</f>
        <v>0</v>
      </c>
      <c r="K239" s="13"/>
      <c r="L239" s="104"/>
    </row>
    <row r="240" spans="1:14" x14ac:dyDescent="0.2">
      <c r="C240" s="399"/>
      <c r="D240" t="s">
        <v>895</v>
      </c>
      <c r="J240" s="108">
        <f t="shared" si="0"/>
        <v>0</v>
      </c>
      <c r="K240" s="13"/>
      <c r="L240" s="104"/>
    </row>
    <row r="241" spans="3:14" x14ac:dyDescent="0.2">
      <c r="C241" s="399"/>
      <c r="D241" t="s">
        <v>743</v>
      </c>
      <c r="J241" s="108">
        <f t="shared" si="0"/>
        <v>0</v>
      </c>
      <c r="K241" s="13"/>
      <c r="L241" s="104"/>
    </row>
    <row r="242" spans="3:14" x14ac:dyDescent="0.2">
      <c r="C242" s="399"/>
      <c r="D242" t="s">
        <v>481</v>
      </c>
      <c r="J242" s="108">
        <f t="shared" si="0"/>
        <v>0</v>
      </c>
      <c r="K242" s="13"/>
      <c r="L242" s="104"/>
    </row>
    <row r="243" spans="3:14" x14ac:dyDescent="0.2">
      <c r="C243" s="399"/>
      <c r="D243" t="s">
        <v>470</v>
      </c>
      <c r="J243" s="108">
        <f t="shared" si="0"/>
        <v>0</v>
      </c>
      <c r="K243" s="13"/>
      <c r="L243" s="104"/>
    </row>
    <row r="244" spans="3:14" x14ac:dyDescent="0.2">
      <c r="C244" s="399"/>
      <c r="D244" t="s">
        <v>79</v>
      </c>
      <c r="J244" s="108">
        <f t="shared" si="0"/>
        <v>0</v>
      </c>
      <c r="K244" s="13"/>
      <c r="L244" s="104"/>
    </row>
    <row r="245" spans="3:14" x14ac:dyDescent="0.2">
      <c r="C245" s="399"/>
      <c r="D245" t="s">
        <v>926</v>
      </c>
      <c r="J245" s="108">
        <f t="shared" si="0"/>
        <v>0</v>
      </c>
      <c r="K245" s="13"/>
      <c r="L245" s="104"/>
    </row>
    <row r="246" spans="3:14" x14ac:dyDescent="0.2">
      <c r="C246" s="399"/>
      <c r="D246" s="521" t="s">
        <v>203</v>
      </c>
      <c r="J246" s="108">
        <f t="shared" si="0"/>
        <v>0</v>
      </c>
      <c r="K246" s="13"/>
      <c r="L246" s="104"/>
    </row>
    <row r="247" spans="3:14" x14ac:dyDescent="0.2">
      <c r="C247" s="399"/>
      <c r="E247" t="s">
        <v>1026</v>
      </c>
      <c r="J247" s="108"/>
      <c r="K247" s="121"/>
      <c r="L247" s="108">
        <f>J141</f>
        <v>0</v>
      </c>
    </row>
    <row r="248" spans="3:14" x14ac:dyDescent="0.2">
      <c r="C248" s="399"/>
      <c r="D248" t="s">
        <v>1017</v>
      </c>
      <c r="J248" s="108">
        <f>L141+N141</f>
        <v>0</v>
      </c>
      <c r="K248" s="121"/>
      <c r="L248" s="108"/>
    </row>
    <row r="249" spans="3:14" x14ac:dyDescent="0.2">
      <c r="C249" s="399"/>
      <c r="E249" t="s">
        <v>962</v>
      </c>
      <c r="J249" s="108"/>
      <c r="K249" s="121"/>
      <c r="L249" s="108">
        <f t="shared" ref="L249:L256" si="1">L133</f>
        <v>0</v>
      </c>
    </row>
    <row r="250" spans="3:14" x14ac:dyDescent="0.2">
      <c r="C250" s="399"/>
      <c r="E250" t="s">
        <v>963</v>
      </c>
      <c r="J250" s="108"/>
      <c r="K250" s="121"/>
      <c r="L250" s="108">
        <f t="shared" si="1"/>
        <v>0</v>
      </c>
    </row>
    <row r="251" spans="3:14" x14ac:dyDescent="0.2">
      <c r="C251" s="399"/>
      <c r="E251" t="s">
        <v>964</v>
      </c>
      <c r="J251" s="108"/>
      <c r="K251" s="121"/>
      <c r="L251" s="108">
        <f t="shared" si="1"/>
        <v>0</v>
      </c>
    </row>
    <row r="252" spans="3:14" x14ac:dyDescent="0.2">
      <c r="C252" s="399"/>
      <c r="E252" t="s">
        <v>965</v>
      </c>
      <c r="J252" s="108"/>
      <c r="K252" s="121"/>
      <c r="L252" s="108">
        <f t="shared" si="1"/>
        <v>0</v>
      </c>
      <c r="N252" s="6" t="s">
        <v>957</v>
      </c>
    </row>
    <row r="253" spans="3:14" x14ac:dyDescent="0.2">
      <c r="C253" s="399"/>
      <c r="E253" t="s">
        <v>966</v>
      </c>
      <c r="J253" s="108"/>
      <c r="K253" s="121"/>
      <c r="L253" s="108">
        <f t="shared" si="1"/>
        <v>0</v>
      </c>
      <c r="N253" s="6" t="s">
        <v>958</v>
      </c>
    </row>
    <row r="254" spans="3:14" x14ac:dyDescent="0.2">
      <c r="C254" s="399"/>
      <c r="E254" t="s">
        <v>137</v>
      </c>
      <c r="J254" s="108"/>
      <c r="K254" s="121"/>
      <c r="L254" s="108">
        <f t="shared" si="1"/>
        <v>0</v>
      </c>
    </row>
    <row r="255" spans="3:14" x14ac:dyDescent="0.2">
      <c r="C255" s="399"/>
      <c r="E255" t="s">
        <v>138</v>
      </c>
      <c r="J255" s="108"/>
      <c r="K255" s="121"/>
      <c r="L255" s="108">
        <f t="shared" si="1"/>
        <v>0</v>
      </c>
    </row>
    <row r="256" spans="3:14" x14ac:dyDescent="0.2">
      <c r="C256" s="399"/>
      <c r="E256" s="521" t="s">
        <v>212</v>
      </c>
      <c r="J256" s="108"/>
      <c r="K256" s="121"/>
      <c r="L256" s="108">
        <f t="shared" si="1"/>
        <v>0</v>
      </c>
    </row>
    <row r="257" spans="2:14" x14ac:dyDescent="0.2">
      <c r="C257" s="399"/>
      <c r="E257" t="s">
        <v>139</v>
      </c>
      <c r="J257" s="108"/>
      <c r="K257" s="121"/>
      <c r="L257" s="108">
        <f t="shared" ref="L257:L264" si="2">N133</f>
        <v>0</v>
      </c>
    </row>
    <row r="258" spans="2:14" x14ac:dyDescent="0.2">
      <c r="C258" s="399"/>
      <c r="E258" t="s">
        <v>140</v>
      </c>
      <c r="J258" s="108"/>
      <c r="K258" s="121"/>
      <c r="L258" s="108">
        <f t="shared" si="2"/>
        <v>0</v>
      </c>
    </row>
    <row r="259" spans="2:14" x14ac:dyDescent="0.2">
      <c r="C259" s="399"/>
      <c r="E259" t="s">
        <v>141</v>
      </c>
      <c r="J259" s="108"/>
      <c r="K259" s="121"/>
      <c r="L259" s="108">
        <f t="shared" si="2"/>
        <v>0</v>
      </c>
    </row>
    <row r="260" spans="2:14" x14ac:dyDescent="0.2">
      <c r="C260" s="399"/>
      <c r="E260" t="s">
        <v>871</v>
      </c>
      <c r="J260" s="108"/>
      <c r="K260" s="121"/>
      <c r="L260" s="108">
        <f t="shared" si="2"/>
        <v>0</v>
      </c>
    </row>
    <row r="261" spans="2:14" x14ac:dyDescent="0.2">
      <c r="C261" s="399"/>
      <c r="E261" t="s">
        <v>872</v>
      </c>
      <c r="J261" s="108"/>
      <c r="K261" s="121"/>
      <c r="L261" s="108">
        <f t="shared" si="2"/>
        <v>0</v>
      </c>
    </row>
    <row r="262" spans="2:14" x14ac:dyDescent="0.2">
      <c r="C262" s="399"/>
      <c r="E262" t="s">
        <v>873</v>
      </c>
      <c r="J262" s="108"/>
      <c r="K262" s="121"/>
      <c r="L262" s="108">
        <f t="shared" si="2"/>
        <v>0</v>
      </c>
    </row>
    <row r="263" spans="2:14" x14ac:dyDescent="0.2">
      <c r="C263" s="399"/>
      <c r="E263" t="s">
        <v>874</v>
      </c>
      <c r="J263" s="108"/>
      <c r="K263" s="121"/>
      <c r="L263" s="108">
        <f t="shared" si="2"/>
        <v>0</v>
      </c>
    </row>
    <row r="264" spans="2:14" x14ac:dyDescent="0.2">
      <c r="C264" s="399"/>
      <c r="E264" s="521" t="s">
        <v>213</v>
      </c>
      <c r="J264" s="108"/>
      <c r="K264" s="121"/>
      <c r="L264" s="108">
        <f t="shared" si="2"/>
        <v>0</v>
      </c>
    </row>
    <row r="265" spans="2:14" ht="3" customHeight="1" x14ac:dyDescent="0.2">
      <c r="C265" s="399"/>
      <c r="K265" s="13"/>
    </row>
    <row r="266" spans="2:14" x14ac:dyDescent="0.2">
      <c r="B266" t="s">
        <v>1012</v>
      </c>
      <c r="C266" s="399" t="s">
        <v>669</v>
      </c>
      <c r="D266" t="s">
        <v>942</v>
      </c>
      <c r="J266" s="108">
        <f t="shared" ref="J266:J275" si="3">L148</f>
        <v>0</v>
      </c>
      <c r="K266" s="121"/>
      <c r="L266" s="108">
        <f t="shared" ref="L266:L275" si="4">N148</f>
        <v>0</v>
      </c>
    </row>
    <row r="267" spans="2:14" x14ac:dyDescent="0.2">
      <c r="C267" s="399"/>
      <c r="D267" t="s">
        <v>718</v>
      </c>
      <c r="J267" s="108">
        <f t="shared" si="3"/>
        <v>0</v>
      </c>
      <c r="K267" s="121"/>
      <c r="L267" s="108">
        <f t="shared" si="4"/>
        <v>0</v>
      </c>
    </row>
    <row r="268" spans="2:14" x14ac:dyDescent="0.2">
      <c r="C268" s="399"/>
      <c r="D268" t="s">
        <v>895</v>
      </c>
      <c r="J268" s="108">
        <f t="shared" si="3"/>
        <v>0</v>
      </c>
      <c r="K268" s="121"/>
      <c r="L268" s="108">
        <f t="shared" si="4"/>
        <v>0</v>
      </c>
    </row>
    <row r="269" spans="2:14" x14ac:dyDescent="0.2">
      <c r="C269" s="399"/>
      <c r="D269" t="s">
        <v>743</v>
      </c>
      <c r="J269" s="108">
        <f t="shared" si="3"/>
        <v>0</v>
      </c>
      <c r="K269" s="121"/>
      <c r="L269" s="108">
        <f t="shared" si="4"/>
        <v>0</v>
      </c>
    </row>
    <row r="270" spans="2:14" x14ac:dyDescent="0.2">
      <c r="C270" s="399"/>
      <c r="D270" t="s">
        <v>481</v>
      </c>
      <c r="J270" s="108">
        <f t="shared" si="3"/>
        <v>0</v>
      </c>
      <c r="K270" s="121"/>
      <c r="L270" s="108">
        <f t="shared" si="4"/>
        <v>0</v>
      </c>
      <c r="N270" s="6" t="s">
        <v>959</v>
      </c>
    </row>
    <row r="271" spans="2:14" x14ac:dyDescent="0.2">
      <c r="C271" s="399"/>
      <c r="D271" t="s">
        <v>470</v>
      </c>
      <c r="J271" s="108">
        <f t="shared" si="3"/>
        <v>0</v>
      </c>
      <c r="K271" s="121"/>
      <c r="L271" s="108">
        <f t="shared" si="4"/>
        <v>0</v>
      </c>
      <c r="N271" s="6" t="s">
        <v>960</v>
      </c>
    </row>
    <row r="272" spans="2:14" x14ac:dyDescent="0.2">
      <c r="C272" s="399"/>
      <c r="D272" t="s">
        <v>79</v>
      </c>
      <c r="J272" s="108">
        <f t="shared" si="3"/>
        <v>0</v>
      </c>
      <c r="K272" s="121"/>
      <c r="L272" s="108">
        <f t="shared" si="4"/>
        <v>0</v>
      </c>
    </row>
    <row r="273" spans="2:16" x14ac:dyDescent="0.2">
      <c r="C273" s="399"/>
      <c r="D273" t="s">
        <v>926</v>
      </c>
      <c r="J273" s="108">
        <f t="shared" si="3"/>
        <v>0</v>
      </c>
      <c r="K273" s="121"/>
      <c r="L273" s="108">
        <f t="shared" si="4"/>
        <v>0</v>
      </c>
    </row>
    <row r="274" spans="2:16" x14ac:dyDescent="0.2">
      <c r="C274" s="399"/>
      <c r="D274" s="521" t="s">
        <v>203</v>
      </c>
      <c r="J274" s="108">
        <f t="shared" si="3"/>
        <v>0</v>
      </c>
      <c r="K274" s="121"/>
      <c r="L274" s="108">
        <f t="shared" si="4"/>
        <v>0</v>
      </c>
    </row>
    <row r="275" spans="2:16" x14ac:dyDescent="0.2">
      <c r="C275" s="399"/>
      <c r="D275" t="s">
        <v>932</v>
      </c>
      <c r="J275" s="108">
        <f t="shared" si="3"/>
        <v>0</v>
      </c>
      <c r="K275" s="121"/>
      <c r="L275" s="108">
        <f t="shared" si="4"/>
        <v>0</v>
      </c>
    </row>
    <row r="276" spans="2:16" ht="7.5" customHeight="1" x14ac:dyDescent="0.2">
      <c r="C276" s="399"/>
      <c r="J276" s="121"/>
      <c r="K276" s="121"/>
      <c r="L276" s="121"/>
      <c r="N276" s="1127" t="s">
        <v>817</v>
      </c>
      <c r="O276" s="1127"/>
      <c r="P276" s="1127"/>
    </row>
    <row r="277" spans="2:16" ht="12.75" customHeight="1" x14ac:dyDescent="0.2">
      <c r="B277" s="601" t="s">
        <v>575</v>
      </c>
      <c r="C277" s="400" t="s">
        <v>670</v>
      </c>
      <c r="D277" t="s">
        <v>890</v>
      </c>
      <c r="J277" s="108">
        <f>N162</f>
        <v>0</v>
      </c>
      <c r="K277" s="121"/>
      <c r="L277" s="108"/>
      <c r="N277" s="1127"/>
      <c r="O277" s="1127"/>
      <c r="P277" s="1127"/>
    </row>
    <row r="278" spans="2:16" x14ac:dyDescent="0.2">
      <c r="C278" s="399"/>
      <c r="D278" t="s">
        <v>1042</v>
      </c>
      <c r="J278" s="108">
        <f>N165</f>
        <v>0</v>
      </c>
      <c r="K278" s="121"/>
      <c r="L278" s="108"/>
      <c r="N278" s="1127"/>
      <c r="O278" s="1127"/>
      <c r="P278" s="1127"/>
    </row>
    <row r="279" spans="2:16" x14ac:dyDescent="0.2">
      <c r="C279" s="399"/>
      <c r="E279" t="s">
        <v>531</v>
      </c>
      <c r="J279" s="108"/>
      <c r="K279" s="121"/>
      <c r="L279" s="108">
        <f>N162+N165</f>
        <v>0</v>
      </c>
      <c r="N279" s="1127"/>
      <c r="O279" s="1127"/>
      <c r="P279" s="1127"/>
    </row>
    <row r="280" spans="2:16" ht="8.25" customHeight="1" x14ac:dyDescent="0.2">
      <c r="C280" s="399"/>
      <c r="J280" s="13"/>
      <c r="K280" s="13"/>
      <c r="L280" s="13"/>
      <c r="N280" s="186"/>
      <c r="O280" s="186"/>
    </row>
    <row r="281" spans="2:16" x14ac:dyDescent="0.2">
      <c r="B281" t="s">
        <v>275</v>
      </c>
      <c r="C281" s="397" t="s">
        <v>576</v>
      </c>
      <c r="D281" t="s">
        <v>932</v>
      </c>
      <c r="J281" s="103">
        <f>N176+L179+L180+L181+L182+L183+L184+L185+L186+L187+L188+L190</f>
        <v>0</v>
      </c>
      <c r="K281" s="13"/>
      <c r="L281" s="104"/>
    </row>
    <row r="282" spans="2:16" x14ac:dyDescent="0.2">
      <c r="E282" s="229" t="s">
        <v>1129</v>
      </c>
      <c r="J282" s="104"/>
      <c r="K282" s="13"/>
      <c r="L282" s="103">
        <f>N176</f>
        <v>0</v>
      </c>
    </row>
    <row r="283" spans="2:16" x14ac:dyDescent="0.2">
      <c r="E283" t="s">
        <v>276</v>
      </c>
      <c r="J283" s="104"/>
      <c r="K283" s="13"/>
      <c r="L283" s="103">
        <f t="shared" ref="L283:L289" si="5">L179</f>
        <v>0</v>
      </c>
    </row>
    <row r="284" spans="2:16" x14ac:dyDescent="0.2">
      <c r="E284" t="s">
        <v>277</v>
      </c>
      <c r="J284" s="104"/>
      <c r="K284" s="13"/>
      <c r="L284" s="103">
        <f t="shared" si="5"/>
        <v>0</v>
      </c>
    </row>
    <row r="285" spans="2:16" x14ac:dyDescent="0.2">
      <c r="E285" t="s">
        <v>278</v>
      </c>
      <c r="J285" s="104"/>
      <c r="K285" s="13"/>
      <c r="L285" s="103">
        <f t="shared" si="5"/>
        <v>0</v>
      </c>
      <c r="N285" s="1127" t="s">
        <v>1130</v>
      </c>
    </row>
    <row r="286" spans="2:16" ht="12.75" customHeight="1" x14ac:dyDescent="0.2">
      <c r="E286" t="s">
        <v>279</v>
      </c>
      <c r="J286" s="104"/>
      <c r="K286" s="13"/>
      <c r="L286" s="103">
        <f t="shared" si="5"/>
        <v>0</v>
      </c>
      <c r="N286" s="1127"/>
    </row>
    <row r="287" spans="2:16" x14ac:dyDescent="0.2">
      <c r="E287" t="s">
        <v>280</v>
      </c>
      <c r="J287" s="104"/>
      <c r="K287" s="13"/>
      <c r="L287" s="103">
        <f t="shared" si="5"/>
        <v>0</v>
      </c>
      <c r="N287" s="1127"/>
    </row>
    <row r="288" spans="2:16" x14ac:dyDescent="0.2">
      <c r="E288" t="s">
        <v>80</v>
      </c>
      <c r="J288" s="104"/>
      <c r="K288" s="13"/>
      <c r="L288" s="103">
        <f t="shared" si="5"/>
        <v>0</v>
      </c>
      <c r="N288" s="1127"/>
    </row>
    <row r="289" spans="5:14" x14ac:dyDescent="0.2">
      <c r="E289" s="229" t="s">
        <v>1046</v>
      </c>
      <c r="J289" s="104"/>
      <c r="K289" s="13"/>
      <c r="L289" s="103">
        <f t="shared" si="5"/>
        <v>0</v>
      </c>
      <c r="N289" s="186"/>
    </row>
    <row r="290" spans="5:14" x14ac:dyDescent="0.2">
      <c r="E290" s="521" t="s">
        <v>281</v>
      </c>
      <c r="J290" s="104"/>
      <c r="K290" s="13"/>
      <c r="L290" s="103">
        <f>L186</f>
        <v>0</v>
      </c>
    </row>
    <row r="291" spans="5:14" x14ac:dyDescent="0.2">
      <c r="E291" s="521" t="s">
        <v>282</v>
      </c>
      <c r="J291" s="104"/>
      <c r="K291" s="13"/>
      <c r="L291" s="103">
        <f>L187</f>
        <v>0</v>
      </c>
    </row>
    <row r="292" spans="5:14" x14ac:dyDescent="0.2">
      <c r="E292" s="521" t="s">
        <v>95</v>
      </c>
      <c r="J292" s="104"/>
      <c r="K292" s="13"/>
      <c r="L292" s="103">
        <f>L188</f>
        <v>0</v>
      </c>
    </row>
    <row r="293" spans="5:14" x14ac:dyDescent="0.2">
      <c r="E293" t="s">
        <v>523</v>
      </c>
      <c r="J293" s="104"/>
      <c r="K293" s="13"/>
      <c r="L293" s="103">
        <f>L190</f>
        <v>0</v>
      </c>
    </row>
    <row r="294" spans="5:14" ht="13.5" thickBot="1" x14ac:dyDescent="0.25">
      <c r="J294" s="105">
        <f>SUM(J198:J293)</f>
        <v>0</v>
      </c>
      <c r="K294" s="269"/>
      <c r="L294" s="105">
        <f>SUM(L198:L293)</f>
        <v>0</v>
      </c>
    </row>
    <row r="295" spans="5:14" ht="13.5" thickTop="1" x14ac:dyDescent="0.2"/>
  </sheetData>
  <mergeCells count="52">
    <mergeCell ref="C71:L73"/>
    <mergeCell ref="C75:L77"/>
    <mergeCell ref="N62:N63"/>
    <mergeCell ref="B48:N48"/>
    <mergeCell ref="B59:N59"/>
    <mergeCell ref="B69:N69"/>
    <mergeCell ref="C65:L66"/>
    <mergeCell ref="N71:N73"/>
    <mergeCell ref="N75:N77"/>
    <mergeCell ref="C21:N26"/>
    <mergeCell ref="C18:N19"/>
    <mergeCell ref="C31:N34"/>
    <mergeCell ref="N65:N66"/>
    <mergeCell ref="C43:N45"/>
    <mergeCell ref="C36:N41"/>
    <mergeCell ref="C51:L52"/>
    <mergeCell ref="C62:L63"/>
    <mergeCell ref="C54:L55"/>
    <mergeCell ref="N54:N55"/>
    <mergeCell ref="N51:N52"/>
    <mergeCell ref="C28:N29"/>
    <mergeCell ref="C12:N16"/>
    <mergeCell ref="A2:O2"/>
    <mergeCell ref="B4:P4"/>
    <mergeCell ref="C6:N7"/>
    <mergeCell ref="C9:N10"/>
    <mergeCell ref="N285:N288"/>
    <mergeCell ref="B94:N94"/>
    <mergeCell ref="C96:J97"/>
    <mergeCell ref="C126:J130"/>
    <mergeCell ref="C162:J163"/>
    <mergeCell ref="N162:N163"/>
    <mergeCell ref="B144:N144"/>
    <mergeCell ref="L131:N131"/>
    <mergeCell ref="N276:P279"/>
    <mergeCell ref="C165:J166"/>
    <mergeCell ref="B124:N124"/>
    <mergeCell ref="B104:N104"/>
    <mergeCell ref="N165:N166"/>
    <mergeCell ref="C79:L80"/>
    <mergeCell ref="C87:L87"/>
    <mergeCell ref="C116:L117"/>
    <mergeCell ref="B195:N195"/>
    <mergeCell ref="B169:N169"/>
    <mergeCell ref="C146:J147"/>
    <mergeCell ref="N191:N193"/>
    <mergeCell ref="N79:N80"/>
    <mergeCell ref="B160:N160"/>
    <mergeCell ref="C89:J89"/>
    <mergeCell ref="N82:N83"/>
    <mergeCell ref="C82:L83"/>
    <mergeCell ref="B85:N85"/>
  </mergeCells>
  <phoneticPr fontId="13" type="noConversion"/>
  <printOptions horizontalCentered="1"/>
  <pageMargins left="0.5" right="0.45" top="0.72" bottom="0.71" header="0.5" footer="0.5"/>
  <pageSetup scale="61" orientation="portrait" r:id="rId1"/>
  <headerFooter alignWithMargins="0">
    <oddHeader>&amp;R&amp;"Arial,Bold"&amp;12Entry  L</oddHeader>
    <oddFooter>&amp;L&amp;8&amp;D - City model&amp;R&amp;P</oddFooter>
  </headerFooter>
  <rowBreaks count="3" manualBreakCount="3">
    <brk id="68" max="15" man="1"/>
    <brk id="142" max="15" man="1"/>
    <brk id="221" max="15" man="1"/>
  </rowBreaks>
  <drawing r:id="rId2"/>
  <legacy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L107"/>
  <sheetViews>
    <sheetView zoomScaleNormal="100" workbookViewId="0">
      <selection activeCell="C17" sqref="C17"/>
    </sheetView>
  </sheetViews>
  <sheetFormatPr defaultRowHeight="12.75" x14ac:dyDescent="0.2"/>
  <cols>
    <col min="1" max="1" width="3.42578125" customWidth="1"/>
    <col min="2" max="2" width="41.140625" customWidth="1"/>
    <col min="3" max="3" width="12.5703125" customWidth="1"/>
    <col min="4" max="4" width="13.42578125" customWidth="1"/>
    <col min="5" max="5" width="14" customWidth="1"/>
    <col min="6" max="6" width="13.140625" customWidth="1"/>
    <col min="7" max="7" width="10.42578125" customWidth="1"/>
  </cols>
  <sheetData>
    <row r="1" spans="1:12" ht="36.75" customHeight="1" x14ac:dyDescent="0.3">
      <c r="A1" s="1348" t="s">
        <v>1143</v>
      </c>
      <c r="B1" s="1349"/>
      <c r="C1" s="1349"/>
      <c r="D1" s="1349"/>
      <c r="E1" s="1349"/>
      <c r="F1" s="1349"/>
      <c r="G1" s="1349"/>
      <c r="H1" s="1349"/>
      <c r="I1" s="1350"/>
      <c r="J1" s="439"/>
      <c r="K1" s="439"/>
      <c r="L1" s="439"/>
    </row>
    <row r="2" spans="1:12" ht="7.5" customHeight="1" x14ac:dyDescent="0.2"/>
    <row r="3" spans="1:12" ht="51.75" customHeight="1" x14ac:dyDescent="0.2">
      <c r="B3" s="1136" t="s">
        <v>1144</v>
      </c>
      <c r="C3" s="1126"/>
      <c r="D3" s="1126"/>
      <c r="E3" s="1126"/>
      <c r="F3" s="1126"/>
      <c r="G3" s="1126"/>
      <c r="H3" s="1126"/>
      <c r="I3" s="1126"/>
    </row>
    <row r="4" spans="1:12" ht="4.5" customHeight="1" x14ac:dyDescent="0.2"/>
    <row r="5" spans="1:12" ht="27" customHeight="1" x14ac:dyDescent="0.2">
      <c r="B5" s="1136" t="s">
        <v>700</v>
      </c>
      <c r="C5" s="1126"/>
      <c r="D5" s="1126"/>
      <c r="E5" s="1126"/>
      <c r="F5" s="1126"/>
      <c r="G5" s="1126"/>
      <c r="H5" s="1126"/>
      <c r="I5" s="1126"/>
    </row>
    <row r="6" spans="1:12" ht="6" customHeight="1" x14ac:dyDescent="0.2"/>
    <row r="7" spans="1:12" ht="25.5" customHeight="1" x14ac:dyDescent="0.25">
      <c r="A7" s="4" t="s">
        <v>876</v>
      </c>
      <c r="B7" s="1351" t="s">
        <v>1145</v>
      </c>
      <c r="C7" s="1352"/>
      <c r="D7" s="1352"/>
      <c r="E7" s="1352"/>
      <c r="F7" s="1352"/>
      <c r="G7" s="1352"/>
      <c r="H7" s="1352"/>
      <c r="I7" s="1353"/>
    </row>
    <row r="8" spans="1:12" ht="25.5" customHeight="1" x14ac:dyDescent="0.25">
      <c r="A8" s="174"/>
      <c r="B8" s="480"/>
      <c r="C8" s="480"/>
      <c r="D8" s="480"/>
      <c r="E8" s="480"/>
      <c r="F8" s="480"/>
      <c r="G8" s="480"/>
      <c r="H8" s="480"/>
      <c r="I8" s="480"/>
    </row>
    <row r="9" spans="1:12" ht="25.5" customHeight="1" x14ac:dyDescent="0.25">
      <c r="A9" s="174"/>
      <c r="B9" s="480"/>
      <c r="C9" s="480"/>
      <c r="D9" s="480"/>
      <c r="E9" s="480"/>
      <c r="F9" s="480"/>
      <c r="G9" s="480"/>
      <c r="H9" s="480"/>
      <c r="I9" s="480"/>
    </row>
    <row r="10" spans="1:12" ht="25.5" customHeight="1" x14ac:dyDescent="0.25">
      <c r="A10" s="174"/>
      <c r="B10" s="480"/>
      <c r="C10" s="480"/>
      <c r="D10" s="480"/>
      <c r="E10" s="480"/>
      <c r="F10" s="480"/>
      <c r="G10" s="480"/>
      <c r="H10" s="480"/>
      <c r="I10" s="480"/>
    </row>
    <row r="11" spans="1:12" ht="25.5" customHeight="1" x14ac:dyDescent="0.25">
      <c r="A11" s="174"/>
      <c r="B11" s="480"/>
      <c r="C11" s="480"/>
      <c r="D11" s="480"/>
      <c r="E11" s="480"/>
      <c r="F11" s="480"/>
      <c r="G11" s="480"/>
      <c r="H11" s="480"/>
      <c r="I11" s="480"/>
    </row>
    <row r="12" spans="1:12" ht="11.25" customHeight="1" x14ac:dyDescent="0.25">
      <c r="A12" s="174"/>
      <c r="B12" s="590"/>
      <c r="C12" s="480"/>
      <c r="D12" s="480"/>
      <c r="E12" s="480"/>
      <c r="F12" s="480"/>
      <c r="G12" s="480"/>
      <c r="H12" s="480"/>
      <c r="I12" s="480"/>
    </row>
    <row r="13" spans="1:12" ht="15.75" x14ac:dyDescent="0.25">
      <c r="B13" s="415"/>
      <c r="C13" s="591" t="s">
        <v>916</v>
      </c>
      <c r="D13" s="591" t="s">
        <v>916</v>
      </c>
      <c r="E13" s="592" t="s">
        <v>917</v>
      </c>
      <c r="F13" s="593" t="s">
        <v>917</v>
      </c>
      <c r="G13" s="536" t="s">
        <v>550</v>
      </c>
    </row>
    <row r="14" spans="1:12" x14ac:dyDescent="0.2">
      <c r="B14" s="415"/>
      <c r="C14" s="537" t="s">
        <v>548</v>
      </c>
      <c r="D14" s="637"/>
      <c r="E14" s="637"/>
      <c r="F14" s="479" t="s">
        <v>549</v>
      </c>
      <c r="G14" s="537" t="s">
        <v>547</v>
      </c>
    </row>
    <row r="15" spans="1:12" x14ac:dyDescent="0.2">
      <c r="B15" s="416" t="s">
        <v>551</v>
      </c>
      <c r="C15" s="538" t="s">
        <v>552</v>
      </c>
      <c r="D15" s="538" t="s">
        <v>1055</v>
      </c>
      <c r="E15" s="538" t="s">
        <v>1054</v>
      </c>
      <c r="F15" s="539" t="s">
        <v>553</v>
      </c>
      <c r="G15" s="538" t="s">
        <v>1146</v>
      </c>
    </row>
    <row r="16" spans="1:12" ht="3.75" customHeight="1" x14ac:dyDescent="0.2">
      <c r="B16" s="7"/>
      <c r="C16" s="540"/>
      <c r="D16" s="540"/>
      <c r="E16" s="540"/>
      <c r="F16" s="540"/>
      <c r="G16" s="589"/>
    </row>
    <row r="17" spans="2:9" x14ac:dyDescent="0.2">
      <c r="B17" s="417" t="s">
        <v>718</v>
      </c>
      <c r="C17" s="555"/>
      <c r="D17" s="555"/>
      <c r="E17" s="555"/>
      <c r="F17" s="555"/>
      <c r="G17" s="588">
        <f t="shared" ref="G17:G27" si="0">+C17+D17-E17-F17</f>
        <v>0</v>
      </c>
      <c r="H17" s="418"/>
    </row>
    <row r="18" spans="2:9" ht="15" x14ac:dyDescent="0.2">
      <c r="B18" s="417" t="s">
        <v>717</v>
      </c>
      <c r="C18" s="556"/>
      <c r="D18" s="556"/>
      <c r="E18" s="556"/>
      <c r="F18" s="556"/>
      <c r="G18" s="588">
        <f t="shared" si="0"/>
        <v>0</v>
      </c>
      <c r="H18" s="117" t="s">
        <v>773</v>
      </c>
      <c r="I18" s="642"/>
    </row>
    <row r="19" spans="2:9" ht="15" x14ac:dyDescent="0.2">
      <c r="B19" s="417" t="s">
        <v>896</v>
      </c>
      <c r="C19" s="556"/>
      <c r="D19" s="556"/>
      <c r="E19" s="556"/>
      <c r="F19" s="556"/>
      <c r="G19" s="588">
        <f t="shared" si="0"/>
        <v>0</v>
      </c>
      <c r="H19" s="117" t="s">
        <v>774</v>
      </c>
      <c r="I19" s="642"/>
    </row>
    <row r="20" spans="2:9" ht="15" x14ac:dyDescent="0.2">
      <c r="B20" s="417" t="s">
        <v>554</v>
      </c>
      <c r="C20" s="556"/>
      <c r="D20" s="556"/>
      <c r="E20" s="556"/>
      <c r="F20" s="556"/>
      <c r="G20" s="588">
        <f t="shared" si="0"/>
        <v>0</v>
      </c>
      <c r="H20" s="117" t="s">
        <v>673</v>
      </c>
    </row>
    <row r="21" spans="2:9" x14ac:dyDescent="0.2">
      <c r="B21" s="417" t="s">
        <v>897</v>
      </c>
      <c r="C21" s="520"/>
      <c r="D21" s="556"/>
      <c r="E21" s="556"/>
      <c r="F21" s="556"/>
      <c r="G21" s="588">
        <f t="shared" si="0"/>
        <v>0</v>
      </c>
      <c r="H21" s="418"/>
    </row>
    <row r="22" spans="2:9" ht="15" x14ac:dyDescent="0.2">
      <c r="B22" s="417" t="s">
        <v>426</v>
      </c>
      <c r="C22" s="556"/>
      <c r="D22" s="556"/>
      <c r="E22" s="556"/>
      <c r="F22" s="556"/>
      <c r="G22" s="588">
        <f t="shared" si="0"/>
        <v>0</v>
      </c>
      <c r="H22" s="117" t="s">
        <v>720</v>
      </c>
      <c r="I22" s="642"/>
    </row>
    <row r="23" spans="2:9" ht="15" x14ac:dyDescent="0.2">
      <c r="B23" s="417" t="s">
        <v>1048</v>
      </c>
      <c r="C23" s="556"/>
      <c r="D23" s="556"/>
      <c r="E23" s="556"/>
      <c r="F23" s="556"/>
      <c r="G23" s="588">
        <f t="shared" si="0"/>
        <v>0</v>
      </c>
      <c r="H23" s="117" t="s">
        <v>538</v>
      </c>
      <c r="I23" s="642"/>
    </row>
    <row r="24" spans="2:9" ht="15" x14ac:dyDescent="0.2">
      <c r="B24" s="417" t="s">
        <v>1056</v>
      </c>
      <c r="C24" s="556"/>
      <c r="D24" s="556"/>
      <c r="E24" s="556"/>
      <c r="F24" s="556"/>
      <c r="G24" s="588">
        <f t="shared" si="0"/>
        <v>0</v>
      </c>
      <c r="H24" s="117" t="s">
        <v>539</v>
      </c>
      <c r="I24" s="642"/>
    </row>
    <row r="25" spans="2:9" x14ac:dyDescent="0.2">
      <c r="B25" s="552" t="s">
        <v>203</v>
      </c>
      <c r="C25" s="556"/>
      <c r="D25" s="556"/>
      <c r="E25" s="556"/>
      <c r="F25" s="556"/>
      <c r="G25" s="588">
        <f t="shared" si="0"/>
        <v>0</v>
      </c>
      <c r="H25" s="418"/>
    </row>
    <row r="26" spans="2:9" x14ac:dyDescent="0.2">
      <c r="B26" s="417" t="s">
        <v>555</v>
      </c>
      <c r="C26" s="556"/>
      <c r="D26" s="556"/>
      <c r="E26" s="556"/>
      <c r="F26" s="556"/>
      <c r="G26" s="588">
        <f t="shared" si="0"/>
        <v>0</v>
      </c>
      <c r="H26" s="418"/>
    </row>
    <row r="27" spans="2:9" ht="15" x14ac:dyDescent="0.2">
      <c r="B27" s="419" t="s">
        <v>372</v>
      </c>
      <c r="C27" s="520"/>
      <c r="D27" s="556"/>
      <c r="E27" s="556"/>
      <c r="F27" s="556"/>
      <c r="G27" s="588">
        <f t="shared" si="0"/>
        <v>0</v>
      </c>
      <c r="H27" s="117"/>
    </row>
    <row r="28" spans="2:9" x14ac:dyDescent="0.2">
      <c r="B28" s="417"/>
      <c r="C28" s="557"/>
      <c r="D28" s="557"/>
      <c r="E28" s="557"/>
      <c r="F28" s="557"/>
      <c r="G28" s="558"/>
    </row>
    <row r="29" spans="2:9" x14ac:dyDescent="0.2">
      <c r="B29" s="594" t="s">
        <v>103</v>
      </c>
      <c r="C29" s="559">
        <f>SUM(C17:C27)</f>
        <v>0</v>
      </c>
      <c r="D29" s="559">
        <f>SUM(D17:D27)</f>
        <v>0</v>
      </c>
      <c r="E29" s="559">
        <f>SUM(E17:E27)</f>
        <v>0</v>
      </c>
      <c r="F29" s="559">
        <f>SUM(F17:F27)</f>
        <v>0</v>
      </c>
      <c r="G29" s="559">
        <f>SUM(G17:G27)</f>
        <v>0</v>
      </c>
    </row>
    <row r="31" spans="2:9" hidden="1" x14ac:dyDescent="0.2"/>
    <row r="32" spans="2:9" hidden="1" x14ac:dyDescent="0.2">
      <c r="B32" s="414"/>
      <c r="C32" s="420"/>
      <c r="D32" s="420"/>
      <c r="E32" s="420"/>
      <c r="F32" s="408"/>
      <c r="G32" s="420" t="s">
        <v>547</v>
      </c>
    </row>
    <row r="33" spans="2:10" hidden="1" x14ac:dyDescent="0.2">
      <c r="B33" s="415"/>
      <c r="C33" s="421" t="s">
        <v>548</v>
      </c>
      <c r="D33" s="421" t="s">
        <v>556</v>
      </c>
      <c r="E33" s="421" t="s">
        <v>556</v>
      </c>
      <c r="F33" s="82" t="s">
        <v>549</v>
      </c>
      <c r="G33" s="421" t="s">
        <v>550</v>
      </c>
    </row>
    <row r="34" spans="2:10" hidden="1" x14ac:dyDescent="0.2">
      <c r="B34" s="422" t="s">
        <v>557</v>
      </c>
      <c r="C34" s="423" t="s">
        <v>552</v>
      </c>
      <c r="D34" s="423" t="s">
        <v>558</v>
      </c>
      <c r="E34" s="423" t="s">
        <v>559</v>
      </c>
      <c r="F34" s="74" t="s">
        <v>553</v>
      </c>
      <c r="G34" s="423" t="s">
        <v>691</v>
      </c>
    </row>
    <row r="35" spans="2:10" hidden="1" x14ac:dyDescent="0.2">
      <c r="B35" s="424"/>
      <c r="C35" s="420"/>
      <c r="D35" s="420"/>
      <c r="E35" s="420"/>
      <c r="F35" s="408"/>
      <c r="G35" s="420"/>
    </row>
    <row r="36" spans="2:10" hidden="1" x14ac:dyDescent="0.2">
      <c r="B36" s="417" t="s">
        <v>560</v>
      </c>
      <c r="C36" s="425"/>
      <c r="D36" s="425"/>
      <c r="E36" s="425"/>
      <c r="F36" s="425"/>
      <c r="G36" s="425">
        <f t="shared" ref="G36:G41" si="1">+C36+D36-E36-F36</f>
        <v>0</v>
      </c>
    </row>
    <row r="37" spans="2:10" hidden="1" x14ac:dyDescent="0.2">
      <c r="B37" s="417" t="s">
        <v>561</v>
      </c>
      <c r="C37" s="426"/>
      <c r="D37" s="426"/>
      <c r="E37" s="426"/>
      <c r="F37" s="426"/>
      <c r="G37" s="425">
        <f t="shared" si="1"/>
        <v>0</v>
      </c>
    </row>
    <row r="38" spans="2:10" hidden="1" x14ac:dyDescent="0.2">
      <c r="B38" s="417" t="s">
        <v>995</v>
      </c>
      <c r="C38" s="426"/>
      <c r="D38" s="426"/>
      <c r="E38" s="426"/>
      <c r="F38" s="426"/>
      <c r="G38" s="425">
        <f t="shared" si="1"/>
        <v>0</v>
      </c>
    </row>
    <row r="39" spans="2:10" hidden="1" x14ac:dyDescent="0.2">
      <c r="B39" s="417" t="s">
        <v>562</v>
      </c>
      <c r="C39" s="426"/>
      <c r="D39" s="426"/>
      <c r="E39" s="426"/>
      <c r="F39" s="426"/>
      <c r="G39" s="425">
        <f t="shared" si="1"/>
        <v>0</v>
      </c>
    </row>
    <row r="40" spans="2:10" hidden="1" x14ac:dyDescent="0.2">
      <c r="B40" s="417" t="s">
        <v>1</v>
      </c>
      <c r="C40" s="426"/>
      <c r="D40" s="426"/>
      <c r="E40" s="426"/>
      <c r="F40" s="426"/>
      <c r="G40" s="425">
        <f t="shared" si="1"/>
        <v>0</v>
      </c>
    </row>
    <row r="41" spans="2:10" hidden="1" x14ac:dyDescent="0.2">
      <c r="B41" s="419" t="s">
        <v>230</v>
      </c>
      <c r="C41" s="8"/>
      <c r="D41" s="426"/>
      <c r="E41" s="426"/>
      <c r="F41" s="426"/>
      <c r="G41" s="425">
        <f t="shared" si="1"/>
        <v>0</v>
      </c>
    </row>
    <row r="42" spans="2:10" hidden="1" x14ac:dyDescent="0.2">
      <c r="B42" s="414"/>
      <c r="C42" s="414"/>
      <c r="D42" s="414"/>
      <c r="E42" s="414"/>
      <c r="F42" s="427"/>
      <c r="G42" s="414"/>
    </row>
    <row r="43" spans="2:10" hidden="1" x14ac:dyDescent="0.2">
      <c r="B43" s="425" t="s">
        <v>103</v>
      </c>
      <c r="C43" s="425">
        <f>SUM(C36:C41)</f>
        <v>0</v>
      </c>
      <c r="D43" s="425">
        <f>SUM(D36:D41)</f>
        <v>0</v>
      </c>
      <c r="E43" s="425">
        <f>SUM(E36:E41)</f>
        <v>0</v>
      </c>
      <c r="F43" s="425">
        <f>SUM(F36:F41)</f>
        <v>0</v>
      </c>
      <c r="G43" s="425">
        <f>SUM(G36:G41)</f>
        <v>0</v>
      </c>
    </row>
    <row r="44" spans="2:10" ht="15" x14ac:dyDescent="0.2">
      <c r="B44" s="554" t="s">
        <v>773</v>
      </c>
      <c r="C44" s="636" t="s">
        <v>1051</v>
      </c>
      <c r="D44" s="14"/>
      <c r="E44" s="14"/>
      <c r="F44" s="14"/>
      <c r="G44" s="14"/>
    </row>
    <row r="45" spans="2:10" ht="12.75" customHeight="1" x14ac:dyDescent="0.2">
      <c r="B45" s="554" t="s">
        <v>774</v>
      </c>
      <c r="C45" s="14" t="s">
        <v>303</v>
      </c>
      <c r="D45" s="14"/>
      <c r="E45" s="14"/>
      <c r="F45" s="14"/>
      <c r="G45" s="14"/>
      <c r="H45" s="59"/>
      <c r="I45" s="59"/>
      <c r="J45" s="59"/>
    </row>
    <row r="46" spans="2:10" ht="15" x14ac:dyDescent="0.2">
      <c r="B46" s="554" t="s">
        <v>673</v>
      </c>
      <c r="C46" s="1361" t="s">
        <v>1052</v>
      </c>
      <c r="D46" s="1362"/>
      <c r="E46" s="1362"/>
      <c r="F46" s="1362"/>
      <c r="G46" s="1362"/>
      <c r="H46" s="1362"/>
    </row>
    <row r="47" spans="2:10" ht="14.25" customHeight="1" x14ac:dyDescent="0.2">
      <c r="B47" s="554" t="s">
        <v>720</v>
      </c>
      <c r="C47" s="1136" t="s">
        <v>1053</v>
      </c>
      <c r="D47" s="1203"/>
      <c r="E47" s="1203"/>
      <c r="F47" s="1203"/>
      <c r="G47" s="1203"/>
      <c r="H47" s="60"/>
    </row>
    <row r="48" spans="2:10" ht="12" customHeight="1" x14ac:dyDescent="0.2">
      <c r="B48" s="554" t="s">
        <v>538</v>
      </c>
      <c r="C48" s="633" t="s">
        <v>1049</v>
      </c>
      <c r="D48" s="60"/>
      <c r="E48" s="60"/>
      <c r="F48" s="60"/>
      <c r="G48" s="60"/>
      <c r="H48" s="60"/>
    </row>
    <row r="49" spans="1:12" ht="15" x14ac:dyDescent="0.2">
      <c r="B49" s="554" t="s">
        <v>539</v>
      </c>
      <c r="C49" s="229" t="s">
        <v>1050</v>
      </c>
    </row>
    <row r="50" spans="1:12" ht="30" customHeight="1" x14ac:dyDescent="0.2">
      <c r="B50" s="635" t="s">
        <v>1153</v>
      </c>
      <c r="C50" s="1355" t="s">
        <v>1151</v>
      </c>
      <c r="D50" s="1356"/>
      <c r="E50" s="1356"/>
      <c r="F50" s="1356"/>
      <c r="G50" s="454"/>
    </row>
    <row r="51" spans="1:12" ht="30" customHeight="1" x14ac:dyDescent="0.2">
      <c r="B51" s="635"/>
      <c r="C51" s="634"/>
      <c r="D51" s="454"/>
      <c r="E51" s="454"/>
      <c r="F51" s="454"/>
      <c r="G51" s="454"/>
      <c r="H51" s="14"/>
    </row>
    <row r="52" spans="1:12" ht="25.5" customHeight="1" x14ac:dyDescent="0.25">
      <c r="A52" s="4" t="s">
        <v>877</v>
      </c>
      <c r="B52" s="1351" t="s">
        <v>1139</v>
      </c>
      <c r="C52" s="1352"/>
      <c r="D52" s="1352"/>
      <c r="E52" s="1352"/>
      <c r="F52" s="1352"/>
      <c r="G52" s="1352"/>
      <c r="H52" s="1352"/>
      <c r="I52" s="1353"/>
      <c r="J52" s="428"/>
      <c r="K52" s="428"/>
      <c r="L52" s="428"/>
    </row>
    <row r="53" spans="1:12" x14ac:dyDescent="0.2">
      <c r="B53" s="1354"/>
      <c r="C53" s="1354"/>
      <c r="D53" s="1354"/>
      <c r="E53" s="1354"/>
      <c r="F53" s="1354"/>
      <c r="G53" s="1354"/>
      <c r="H53" s="1354"/>
      <c r="I53" s="1354"/>
      <c r="J53" s="428"/>
      <c r="K53" s="428"/>
      <c r="L53" s="428"/>
    </row>
    <row r="54" spans="1:12" x14ac:dyDescent="0.2">
      <c r="B54" s="453" t="s">
        <v>2</v>
      </c>
      <c r="C54" s="82"/>
      <c r="D54" s="82"/>
    </row>
    <row r="55" spans="1:12" x14ac:dyDescent="0.2">
      <c r="B55" s="427"/>
      <c r="C55" s="125" t="s">
        <v>676</v>
      </c>
      <c r="D55" s="71" t="s">
        <v>678</v>
      </c>
      <c r="E55" s="71" t="s">
        <v>679</v>
      </c>
    </row>
    <row r="56" spans="1:12" x14ac:dyDescent="0.2">
      <c r="B56" s="429" t="s">
        <v>675</v>
      </c>
      <c r="C56" s="448" t="s">
        <v>691</v>
      </c>
      <c r="D56" s="3" t="s">
        <v>483</v>
      </c>
      <c r="E56" s="3" t="s">
        <v>691</v>
      </c>
    </row>
    <row r="57" spans="1:12" x14ac:dyDescent="0.2">
      <c r="B57" s="454" t="s">
        <v>3</v>
      </c>
      <c r="C57" s="450" t="str">
        <f>'Conversion Worksheet'!AZ36</f>
        <v xml:space="preserve"> </v>
      </c>
      <c r="D57" s="14"/>
    </row>
    <row r="58" spans="1:12" x14ac:dyDescent="0.2">
      <c r="B58" s="454" t="s">
        <v>4</v>
      </c>
      <c r="C58" s="449" t="str">
        <f>'Conversion Worksheet'!AZ41</f>
        <v xml:space="preserve"> </v>
      </c>
      <c r="D58" s="14"/>
    </row>
    <row r="59" spans="1:12" x14ac:dyDescent="0.2">
      <c r="B59" s="454" t="s">
        <v>5</v>
      </c>
      <c r="C59" s="449" t="str">
        <f>'Conversion Worksheet'!AZ42</f>
        <v xml:space="preserve"> </v>
      </c>
      <c r="D59" s="449">
        <f>'Conversion Worksheet'!BA45</f>
        <v>0</v>
      </c>
      <c r="E59" s="14"/>
    </row>
    <row r="60" spans="1:12" x14ac:dyDescent="0.2">
      <c r="B60" s="454" t="s">
        <v>6</v>
      </c>
      <c r="C60" s="449" t="str">
        <f>'Conversion Worksheet'!AZ46</f>
        <v xml:space="preserve"> </v>
      </c>
      <c r="D60" s="449">
        <f>'Conversion Worksheet'!BA49</f>
        <v>0</v>
      </c>
      <c r="E60" s="14"/>
    </row>
    <row r="61" spans="1:12" x14ac:dyDescent="0.2">
      <c r="B61" s="454" t="s">
        <v>7</v>
      </c>
      <c r="C61" s="449" t="str">
        <f>'Conversion Worksheet'!AZ50</f>
        <v xml:space="preserve"> </v>
      </c>
      <c r="D61" s="449">
        <f>'Conversion Worksheet'!BA53</f>
        <v>0</v>
      </c>
      <c r="E61" s="14"/>
      <c r="F61" s="1360" t="s">
        <v>1152</v>
      </c>
      <c r="G61" s="1360"/>
      <c r="H61" s="1360"/>
      <c r="I61" s="1360"/>
    </row>
    <row r="62" spans="1:12" x14ac:dyDescent="0.2">
      <c r="B62" s="454" t="s">
        <v>214</v>
      </c>
      <c r="C62" s="449" t="str">
        <f>'Conversion Worksheet'!AZ54</f>
        <v xml:space="preserve"> </v>
      </c>
      <c r="D62" s="449">
        <f>'Conversion Worksheet'!BA57</f>
        <v>0</v>
      </c>
      <c r="E62" s="14"/>
      <c r="F62" s="1360"/>
      <c r="G62" s="1360"/>
      <c r="H62" s="1360"/>
      <c r="I62" s="1360"/>
    </row>
    <row r="63" spans="1:12" x14ac:dyDescent="0.2">
      <c r="B63" s="454" t="s">
        <v>215</v>
      </c>
      <c r="C63" s="449" t="str">
        <f>'Conversion Worksheet'!AZ58</f>
        <v xml:space="preserve"> </v>
      </c>
      <c r="D63" s="449">
        <f>'Conversion Worksheet'!BA61</f>
        <v>0</v>
      </c>
      <c r="E63" s="14"/>
    </row>
    <row r="64" spans="1:12" x14ac:dyDescent="0.2">
      <c r="B64" s="553" t="s">
        <v>216</v>
      </c>
      <c r="C64" s="449" t="str">
        <f>'Conversion Worksheet'!AZ62</f>
        <v xml:space="preserve"> </v>
      </c>
      <c r="D64" s="323">
        <f>'Conversion Worksheet'!BA65</f>
        <v>0</v>
      </c>
      <c r="E64" s="14"/>
    </row>
    <row r="65" spans="2:7" x14ac:dyDescent="0.2">
      <c r="B65" s="553" t="s">
        <v>217</v>
      </c>
      <c r="C65" s="449" t="str">
        <f>'Conversion Worksheet'!AZ66</f>
        <v xml:space="preserve"> </v>
      </c>
      <c r="D65" s="323">
        <f>'Conversion Worksheet'!BA69</f>
        <v>0</v>
      </c>
      <c r="E65" s="14"/>
    </row>
    <row r="66" spans="2:7" x14ac:dyDescent="0.2">
      <c r="B66" s="454" t="s">
        <v>218</v>
      </c>
      <c r="C66" s="451" t="str">
        <f>'Conversion Worksheet'!AZ40</f>
        <v xml:space="preserve"> </v>
      </c>
      <c r="D66" s="392"/>
      <c r="E66" s="14"/>
    </row>
    <row r="67" spans="2:7" ht="13.5" thickBot="1" x14ac:dyDescent="0.25">
      <c r="B67" s="455" t="s">
        <v>677</v>
      </c>
      <c r="C67" s="452">
        <f>SUM(C56:C66)</f>
        <v>0</v>
      </c>
      <c r="D67" s="452">
        <f>SUM(D59:D65)</f>
        <v>0</v>
      </c>
      <c r="E67" s="585">
        <f>C67-D67</f>
        <v>0</v>
      </c>
    </row>
    <row r="68" spans="2:7" ht="12" customHeight="1" thickTop="1" x14ac:dyDescent="0.2">
      <c r="B68" s="14"/>
      <c r="C68" s="14"/>
      <c r="D68" s="14"/>
    </row>
    <row r="69" spans="2:7" x14ac:dyDescent="0.2">
      <c r="B69" s="429" t="s">
        <v>220</v>
      </c>
      <c r="C69" s="569"/>
      <c r="D69" s="14"/>
    </row>
    <row r="70" spans="2:7" x14ac:dyDescent="0.2">
      <c r="B70" s="454" t="s">
        <v>1019</v>
      </c>
      <c r="C70" s="570"/>
      <c r="D70" s="14"/>
    </row>
    <row r="71" spans="2:7" x14ac:dyDescent="0.2">
      <c r="B71" s="454" t="s">
        <v>291</v>
      </c>
      <c r="C71" s="491"/>
      <c r="D71" s="14"/>
    </row>
    <row r="72" spans="2:7" s="13" customFormat="1" ht="25.5" customHeight="1" x14ac:dyDescent="0.2">
      <c r="B72" s="578" t="s">
        <v>918</v>
      </c>
      <c r="C72" s="508"/>
      <c r="D72" s="1363" t="s">
        <v>919</v>
      </c>
      <c r="E72" s="1363"/>
      <c r="F72" s="1363"/>
      <c r="G72" s="1363"/>
    </row>
    <row r="73" spans="2:7" x14ac:dyDescent="0.2">
      <c r="B73" s="567" t="s">
        <v>1021</v>
      </c>
      <c r="C73" s="97">
        <v>0</v>
      </c>
      <c r="D73" s="1363"/>
      <c r="E73" s="1363"/>
      <c r="F73" s="1363"/>
      <c r="G73" s="1363"/>
    </row>
    <row r="74" spans="2:7" x14ac:dyDescent="0.2">
      <c r="B74" s="567" t="s">
        <v>1020</v>
      </c>
      <c r="C74" s="508"/>
      <c r="D74" s="574"/>
    </row>
    <row r="75" spans="2:7" x14ac:dyDescent="0.2">
      <c r="B75" s="568" t="s">
        <v>693</v>
      </c>
      <c r="C75" s="508"/>
    </row>
    <row r="76" spans="2:7" x14ac:dyDescent="0.2">
      <c r="B76" s="454" t="s">
        <v>222</v>
      </c>
      <c r="C76" s="72"/>
      <c r="D76" s="14"/>
    </row>
    <row r="77" spans="2:7" x14ac:dyDescent="0.2">
      <c r="B77" s="454" t="s">
        <v>694</v>
      </c>
      <c r="C77" s="520"/>
      <c r="D77" s="14"/>
    </row>
    <row r="78" spans="2:7" x14ac:dyDescent="0.2">
      <c r="B78" s="429" t="s">
        <v>223</v>
      </c>
      <c r="C78" s="586">
        <f>+C70-C72-C73-C74-C75+C77</f>
        <v>0</v>
      </c>
      <c r="D78" s="14"/>
    </row>
    <row r="79" spans="2:7" x14ac:dyDescent="0.2">
      <c r="B79" s="14"/>
      <c r="D79" s="14"/>
    </row>
    <row r="80" spans="2:7" ht="13.5" thickBot="1" x14ac:dyDescent="0.25">
      <c r="B80" s="560" t="s">
        <v>1129</v>
      </c>
      <c r="C80" s="465">
        <f>E67-C78</f>
        <v>0</v>
      </c>
      <c r="D80" s="6"/>
    </row>
    <row r="81" spans="2:7" ht="12.75" customHeight="1" thickTop="1" x14ac:dyDescent="0.2">
      <c r="B81" s="409"/>
      <c r="D81" s="14"/>
    </row>
    <row r="82" spans="2:7" hidden="1" x14ac:dyDescent="0.2">
      <c r="B82" s="409"/>
    </row>
    <row r="83" spans="2:7" hidden="1" x14ac:dyDescent="0.2">
      <c r="B83" s="430"/>
      <c r="C83" s="420"/>
      <c r="E83" s="420" t="s">
        <v>225</v>
      </c>
      <c r="F83" s="420" t="s">
        <v>226</v>
      </c>
      <c r="G83" s="410"/>
    </row>
    <row r="84" spans="2:7" hidden="1" x14ac:dyDescent="0.2">
      <c r="B84" s="415"/>
      <c r="C84" s="421" t="s">
        <v>283</v>
      </c>
      <c r="D84" s="420"/>
      <c r="E84" s="421" t="s">
        <v>284</v>
      </c>
      <c r="F84" s="421" t="s">
        <v>285</v>
      </c>
      <c r="G84" s="431"/>
    </row>
    <row r="85" spans="2:7" hidden="1" x14ac:dyDescent="0.2">
      <c r="B85" s="422" t="s">
        <v>557</v>
      </c>
      <c r="C85" s="423" t="s">
        <v>286</v>
      </c>
      <c r="D85" s="421" t="s">
        <v>995</v>
      </c>
      <c r="E85" s="423" t="s">
        <v>288</v>
      </c>
      <c r="F85" s="423" t="s">
        <v>289</v>
      </c>
      <c r="G85" s="432" t="s">
        <v>103</v>
      </c>
    </row>
    <row r="86" spans="2:7" hidden="1" x14ac:dyDescent="0.2">
      <c r="B86" s="414"/>
      <c r="C86" s="414"/>
      <c r="D86" s="423" t="s">
        <v>287</v>
      </c>
      <c r="E86" s="414"/>
      <c r="F86" s="414"/>
      <c r="G86" s="414"/>
    </row>
    <row r="87" spans="2:7" hidden="1" x14ac:dyDescent="0.2">
      <c r="B87" s="433" t="s">
        <v>290</v>
      </c>
      <c r="C87" s="415"/>
      <c r="D87" s="414"/>
      <c r="E87" s="415"/>
      <c r="F87" s="415"/>
      <c r="G87" s="415">
        <f>+C87+D88+E87+F87</f>
        <v>0</v>
      </c>
    </row>
    <row r="88" spans="2:7" hidden="1" x14ac:dyDescent="0.2">
      <c r="B88" s="415" t="s">
        <v>0</v>
      </c>
      <c r="C88" s="415"/>
      <c r="D88" s="415"/>
      <c r="E88" s="415"/>
      <c r="F88" s="415"/>
      <c r="G88" s="415">
        <f>+C88+D89+E88+F88</f>
        <v>0</v>
      </c>
    </row>
    <row r="89" spans="2:7" hidden="1" x14ac:dyDescent="0.2">
      <c r="B89" s="415" t="s">
        <v>291</v>
      </c>
      <c r="C89" s="415"/>
      <c r="D89" s="415"/>
      <c r="E89" s="415"/>
      <c r="F89" s="415"/>
      <c r="G89" s="415"/>
    </row>
    <row r="90" spans="2:7" hidden="1" x14ac:dyDescent="0.2">
      <c r="B90" s="415" t="s">
        <v>292</v>
      </c>
      <c r="C90" s="425"/>
      <c r="D90" s="415"/>
      <c r="E90" s="425"/>
      <c r="F90" s="425"/>
      <c r="G90" s="425">
        <f>+C90+D91+E90+F90</f>
        <v>0</v>
      </c>
    </row>
    <row r="91" spans="2:7" hidden="1" x14ac:dyDescent="0.2">
      <c r="B91" s="434" t="s">
        <v>219</v>
      </c>
      <c r="C91" s="415">
        <f>+C87+C88-C90</f>
        <v>0</v>
      </c>
      <c r="D91" s="425"/>
      <c r="E91" s="415">
        <f>+E87+E88-E90</f>
        <v>0</v>
      </c>
      <c r="F91" s="415">
        <f>+F87+F88-F90</f>
        <v>0</v>
      </c>
      <c r="G91" s="415">
        <f>+G87+G88-G90</f>
        <v>0</v>
      </c>
    </row>
    <row r="92" spans="2:7" hidden="1" x14ac:dyDescent="0.2">
      <c r="B92" s="433" t="s">
        <v>293</v>
      </c>
      <c r="C92" s="415"/>
      <c r="D92" s="415">
        <f>+D88+D89-D91</f>
        <v>0</v>
      </c>
      <c r="E92" s="415"/>
      <c r="F92" s="415"/>
      <c r="G92" s="415"/>
    </row>
    <row r="93" spans="2:7" hidden="1" x14ac:dyDescent="0.2">
      <c r="B93" s="433" t="s">
        <v>221</v>
      </c>
      <c r="C93" s="415"/>
      <c r="D93" s="415"/>
      <c r="E93" s="415"/>
      <c r="F93" s="415"/>
      <c r="G93" s="415">
        <f>+C93+D94+E93+F93</f>
        <v>0</v>
      </c>
    </row>
    <row r="94" spans="2:7" hidden="1" x14ac:dyDescent="0.2">
      <c r="B94" s="435" t="s">
        <v>680</v>
      </c>
      <c r="C94" s="415"/>
      <c r="D94" s="415"/>
      <c r="E94" s="415"/>
      <c r="F94" s="415"/>
      <c r="G94" s="415">
        <f>+C94+D95+E94+F94</f>
        <v>0</v>
      </c>
    </row>
    <row r="95" spans="2:7" hidden="1" x14ac:dyDescent="0.2">
      <c r="B95" s="433" t="s">
        <v>222</v>
      </c>
      <c r="C95" s="415"/>
      <c r="D95" s="415"/>
      <c r="E95" s="415"/>
      <c r="F95" s="415"/>
      <c r="G95" s="415"/>
    </row>
    <row r="96" spans="2:7" hidden="1" x14ac:dyDescent="0.2">
      <c r="B96" s="433" t="s">
        <v>681</v>
      </c>
      <c r="C96" s="415"/>
      <c r="D96" s="415"/>
      <c r="E96" s="415"/>
      <c r="F96" s="415"/>
      <c r="G96" s="415">
        <f>+C96+D97+E96+F96</f>
        <v>0</v>
      </c>
    </row>
    <row r="97" spans="1:12" hidden="1" x14ac:dyDescent="0.2">
      <c r="B97" s="436" t="s">
        <v>294</v>
      </c>
      <c r="C97" s="425"/>
      <c r="D97" s="415"/>
      <c r="E97" s="425"/>
      <c r="F97" s="425"/>
      <c r="G97" s="425">
        <f>+C97+D98+E97+F97</f>
        <v>0</v>
      </c>
    </row>
    <row r="98" spans="1:12" hidden="1" x14ac:dyDescent="0.2">
      <c r="B98" s="447" t="s">
        <v>224</v>
      </c>
      <c r="C98" s="414">
        <f>+C91-C93-C94+C96+C97</f>
        <v>0</v>
      </c>
      <c r="D98" s="425"/>
      <c r="E98" s="414">
        <f>+E91-E93-E94+E96+E97</f>
        <v>0</v>
      </c>
      <c r="F98" s="414">
        <f>+F91-F93-F94+F96+F97</f>
        <v>0</v>
      </c>
      <c r="G98" s="415">
        <f>+G91-G93-G94+G96+G97</f>
        <v>0</v>
      </c>
    </row>
    <row r="99" spans="1:12" ht="25.5" customHeight="1" x14ac:dyDescent="0.25">
      <c r="A99" s="4" t="s">
        <v>466</v>
      </c>
      <c r="B99" s="1357" t="s">
        <v>1142</v>
      </c>
      <c r="C99" s="1358"/>
      <c r="D99" s="1358"/>
      <c r="E99" s="1358"/>
      <c r="F99" s="1358"/>
      <c r="G99" s="1358"/>
      <c r="H99" s="1358"/>
      <c r="I99" s="1359"/>
      <c r="J99" s="428"/>
      <c r="K99" s="428"/>
      <c r="L99" s="428"/>
    </row>
    <row r="101" spans="1:12" ht="20.100000000000001" customHeight="1" x14ac:dyDescent="0.2">
      <c r="B101" s="639" t="s">
        <v>1147</v>
      </c>
      <c r="C101" s="437">
        <f>('Conversion Worksheet'!BA151-'Conversion Worksheet'!AZ151)+('Conversion Worksheet'!BA158-'Conversion Worksheet'!AZ158)</f>
        <v>0</v>
      </c>
      <c r="D101" s="446" t="s">
        <v>638</v>
      </c>
      <c r="E101" s="59"/>
      <c r="F101" s="59"/>
    </row>
    <row r="102" spans="1:12" ht="20.100000000000001" customHeight="1" x14ac:dyDescent="0.2">
      <c r="B102" s="639" t="s">
        <v>1148</v>
      </c>
      <c r="C102" s="437">
        <f>+G29</f>
        <v>0</v>
      </c>
      <c r="D102" s="446" t="s">
        <v>636</v>
      </c>
      <c r="E102" s="59"/>
      <c r="F102" s="59"/>
    </row>
    <row r="103" spans="1:12" ht="20.100000000000001" customHeight="1" x14ac:dyDescent="0.2">
      <c r="B103" s="639" t="s">
        <v>1149</v>
      </c>
      <c r="C103" s="438">
        <f>+C80</f>
        <v>0</v>
      </c>
      <c r="D103" s="446" t="s">
        <v>637</v>
      </c>
      <c r="E103" s="59"/>
      <c r="F103" s="59"/>
    </row>
    <row r="104" spans="1:12" ht="20.100000000000001" customHeight="1" thickBot="1" x14ac:dyDescent="0.25">
      <c r="B104" s="639" t="s">
        <v>1150</v>
      </c>
      <c r="C104" s="587">
        <f>+C101-C102-C103</f>
        <v>0</v>
      </c>
      <c r="D104" s="59"/>
      <c r="E104" s="59"/>
      <c r="F104" s="59"/>
    </row>
    <row r="105" spans="1:12" ht="13.5" thickTop="1" x14ac:dyDescent="0.2">
      <c r="D105" s="59"/>
    </row>
    <row r="107" spans="1:12" x14ac:dyDescent="0.2">
      <c r="C107" s="5"/>
    </row>
  </sheetData>
  <sheetProtection algorithmName="SHA-512" hashValue="476PAPdQE9gb+iuq/sG9aj523GS+0TwmozwuU6Z15k0pzyzK+E4RGPSrb8OZh1IH2xTqQaUHdv3tLYX5PYliOQ==" saltValue="6sN8qGrAUDV1NlF6Nt9H1Q==" spinCount="100000" sheet="1" objects="1" scenarios="1"/>
  <mergeCells count="12">
    <mergeCell ref="B99:I99"/>
    <mergeCell ref="B3:I3"/>
    <mergeCell ref="B5:I5"/>
    <mergeCell ref="F61:I62"/>
    <mergeCell ref="C46:H46"/>
    <mergeCell ref="D72:G73"/>
    <mergeCell ref="A1:I1"/>
    <mergeCell ref="B52:I52"/>
    <mergeCell ref="B53:I53"/>
    <mergeCell ref="B7:I7"/>
    <mergeCell ref="C47:G47"/>
    <mergeCell ref="C50:F50"/>
  </mergeCells>
  <phoneticPr fontId="0" type="noConversion"/>
  <printOptions horizontalCentered="1"/>
  <pageMargins left="0.43" right="0.45" top="0.68" bottom="0.67" header="0.5" footer="0.5"/>
  <pageSetup scale="56" orientation="portrait" r:id="rId1"/>
  <headerFooter alignWithMargins="0">
    <oddHeader xml:space="preserve">&amp;R&amp;8M - Supporting Schedule
</oddHeader>
    <oddFooter>&amp;L&amp;8&amp;D - City model&amp;R&amp;P</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U1807"/>
  <sheetViews>
    <sheetView topLeftCell="A772" zoomScale="90" zoomScaleNormal="90" workbookViewId="0">
      <selection activeCell="F911" sqref="F911"/>
    </sheetView>
  </sheetViews>
  <sheetFormatPr defaultRowHeight="15" x14ac:dyDescent="0.25"/>
  <cols>
    <col min="1" max="1" width="15.28515625" style="818" customWidth="1"/>
    <col min="2" max="2" width="39.5703125" style="818" customWidth="1"/>
    <col min="3" max="5" width="13.85546875" style="818" customWidth="1"/>
    <col min="6" max="6" width="13.42578125" style="818" customWidth="1"/>
    <col min="7" max="7" width="18.28515625" style="818" customWidth="1"/>
    <col min="8" max="8" width="1.5703125" style="818" customWidth="1"/>
    <col min="9" max="9" width="18.28515625" style="818" customWidth="1"/>
    <col min="10" max="10" width="20" style="818" customWidth="1"/>
    <col min="11" max="11" width="14.42578125" style="818" customWidth="1"/>
    <col min="12" max="12" width="19.42578125" style="818" customWidth="1"/>
    <col min="13" max="13" width="3" style="818" customWidth="1"/>
    <col min="14" max="14" width="18.28515625" style="818" customWidth="1"/>
    <col min="15" max="15" width="20" style="818" customWidth="1"/>
    <col min="16" max="16" width="9.140625" style="818" customWidth="1"/>
    <col min="17" max="17" width="19.42578125" style="818" customWidth="1"/>
    <col min="18" max="18" width="2.42578125" style="818" customWidth="1"/>
    <col min="19" max="19" width="13.85546875" style="818" customWidth="1"/>
    <col min="20" max="20" width="22.42578125" style="818" customWidth="1"/>
    <col min="21" max="21" width="14.28515625" style="818" customWidth="1"/>
    <col min="22" max="16384" width="9.140625" style="818"/>
  </cols>
  <sheetData>
    <row r="1" spans="1:21" x14ac:dyDescent="0.25">
      <c r="A1" s="817" t="s">
        <v>2572</v>
      </c>
      <c r="I1" s="819" t="s">
        <v>1156</v>
      </c>
      <c r="J1" s="819"/>
      <c r="K1" s="819"/>
      <c r="L1" s="819"/>
      <c r="N1" s="819" t="s">
        <v>1157</v>
      </c>
      <c r="O1" s="819"/>
      <c r="P1" s="819"/>
      <c r="Q1" s="819"/>
      <c r="S1" s="819" t="s">
        <v>1158</v>
      </c>
      <c r="T1" s="819"/>
      <c r="U1" s="819"/>
    </row>
    <row r="2" spans="1:21" ht="120" x14ac:dyDescent="0.25">
      <c r="A2" s="820" t="s">
        <v>937</v>
      </c>
      <c r="B2" s="820" t="s">
        <v>1159</v>
      </c>
      <c r="C2" s="820" t="s">
        <v>2117</v>
      </c>
      <c r="D2" s="820" t="s">
        <v>2118</v>
      </c>
      <c r="E2" s="820" t="s">
        <v>2573</v>
      </c>
      <c r="F2" s="820" t="s">
        <v>2574</v>
      </c>
      <c r="G2" s="820" t="s">
        <v>1160</v>
      </c>
      <c r="H2" s="820"/>
      <c r="I2" s="820" t="s">
        <v>1161</v>
      </c>
      <c r="J2" s="820" t="s">
        <v>1162</v>
      </c>
      <c r="K2" s="820" t="s">
        <v>1163</v>
      </c>
      <c r="L2" s="820" t="s">
        <v>1164</v>
      </c>
      <c r="M2" s="820"/>
      <c r="N2" s="820" t="s">
        <v>1161</v>
      </c>
      <c r="O2" s="820" t="s">
        <v>1162</v>
      </c>
      <c r="P2" s="820" t="s">
        <v>1163</v>
      </c>
      <c r="Q2" s="820" t="s">
        <v>1164</v>
      </c>
      <c r="R2" s="820"/>
      <c r="S2" s="820" t="s">
        <v>1165</v>
      </c>
      <c r="T2" s="820" t="s">
        <v>1166</v>
      </c>
      <c r="U2" s="820" t="s">
        <v>1167</v>
      </c>
    </row>
    <row r="3" spans="1:21" x14ac:dyDescent="0.25">
      <c r="A3" s="820" t="s">
        <v>487</v>
      </c>
      <c r="B3" s="821" t="s">
        <v>2121</v>
      </c>
      <c r="C3" s="820"/>
      <c r="D3" s="820"/>
      <c r="E3" s="820"/>
      <c r="F3" s="820"/>
      <c r="G3" s="820"/>
      <c r="H3" s="820"/>
      <c r="I3" s="820"/>
      <c r="J3" s="820"/>
      <c r="K3" s="820"/>
      <c r="L3" s="820"/>
      <c r="M3" s="820"/>
      <c r="N3" s="820"/>
      <c r="O3" s="820"/>
      <c r="P3" s="820"/>
      <c r="Q3" s="820"/>
      <c r="R3" s="820"/>
      <c r="S3" s="820"/>
      <c r="T3" s="820"/>
      <c r="U3" s="820"/>
    </row>
    <row r="4" spans="1:21" x14ac:dyDescent="0.25">
      <c r="A4" s="822">
        <v>70505</v>
      </c>
      <c r="B4" s="823" t="s">
        <v>2575</v>
      </c>
      <c r="C4" s="824">
        <v>4.6880000000000001E-4</v>
      </c>
      <c r="D4" s="824">
        <v>5.0319999999999998E-4</v>
      </c>
      <c r="E4" s="825">
        <v>186822</v>
      </c>
      <c r="F4" s="825">
        <v>225833</v>
      </c>
      <c r="G4" s="825">
        <v>994951</v>
      </c>
      <c r="H4" s="825"/>
      <c r="I4" s="826">
        <v>18693</v>
      </c>
      <c r="J4" s="826">
        <v>871894</v>
      </c>
      <c r="K4" s="826">
        <v>68145</v>
      </c>
      <c r="L4" s="825">
        <v>0</v>
      </c>
      <c r="M4" s="825"/>
      <c r="N4" s="826">
        <v>34864</v>
      </c>
      <c r="O4" s="826">
        <v>321812</v>
      </c>
      <c r="P4" s="826">
        <v>0</v>
      </c>
      <c r="Q4" s="825">
        <v>31773</v>
      </c>
      <c r="R4" s="825"/>
      <c r="S4" s="826">
        <v>265936</v>
      </c>
      <c r="T4" s="827">
        <v>-10267</v>
      </c>
      <c r="U4" s="827">
        <v>255668</v>
      </c>
    </row>
    <row r="5" spans="1:21" x14ac:dyDescent="0.25">
      <c r="A5" s="822">
        <v>71786</v>
      </c>
      <c r="B5" s="823" t="s">
        <v>2576</v>
      </c>
      <c r="C5" s="824">
        <v>4.3600000000000003E-5</v>
      </c>
      <c r="D5" s="824">
        <v>4.3699999999999998E-5</v>
      </c>
      <c r="E5" s="825">
        <v>14646.29</v>
      </c>
      <c r="F5" s="825">
        <v>19612</v>
      </c>
      <c r="G5" s="825">
        <v>92534</v>
      </c>
      <c r="H5" s="825"/>
      <c r="I5" s="826">
        <v>1739</v>
      </c>
      <c r="J5" s="826">
        <v>81089</v>
      </c>
      <c r="K5" s="826">
        <v>6338</v>
      </c>
      <c r="L5" s="825">
        <v>0</v>
      </c>
      <c r="M5" s="825"/>
      <c r="N5" s="826">
        <v>3242</v>
      </c>
      <c r="O5" s="826">
        <v>29930</v>
      </c>
      <c r="P5" s="826">
        <v>0</v>
      </c>
      <c r="Q5" s="825">
        <v>6350</v>
      </c>
      <c r="R5" s="825"/>
      <c r="S5" s="826">
        <v>24733</v>
      </c>
      <c r="T5" s="827">
        <v>-2337</v>
      </c>
      <c r="U5" s="827">
        <v>22396</v>
      </c>
    </row>
    <row r="6" spans="1:21" x14ac:dyDescent="0.25">
      <c r="A6" s="822">
        <v>72265</v>
      </c>
      <c r="B6" s="823" t="s">
        <v>2577</v>
      </c>
      <c r="C6" s="824">
        <v>1.327E-4</v>
      </c>
      <c r="D6" s="824">
        <v>1.3329999999999999E-4</v>
      </c>
      <c r="E6" s="825">
        <v>48905</v>
      </c>
      <c r="F6" s="825">
        <v>59824</v>
      </c>
      <c r="G6" s="825">
        <v>281634</v>
      </c>
      <c r="H6" s="825"/>
      <c r="I6" s="826">
        <v>5291</v>
      </c>
      <c r="J6" s="826">
        <v>246801</v>
      </c>
      <c r="K6" s="826">
        <v>19289</v>
      </c>
      <c r="L6" s="825">
        <v>7214</v>
      </c>
      <c r="M6" s="825"/>
      <c r="N6" s="826">
        <v>9869</v>
      </c>
      <c r="O6" s="826">
        <v>91093</v>
      </c>
      <c r="P6" s="826">
        <v>0</v>
      </c>
      <c r="Q6" s="825">
        <v>5063</v>
      </c>
      <c r="R6" s="825"/>
      <c r="S6" s="826">
        <v>75277</v>
      </c>
      <c r="T6" s="827">
        <v>2291</v>
      </c>
      <c r="U6" s="827">
        <v>77567</v>
      </c>
    </row>
    <row r="7" spans="1:21" x14ac:dyDescent="0.25">
      <c r="A7" s="822">
        <v>72657</v>
      </c>
      <c r="B7" s="823" t="s">
        <v>2578</v>
      </c>
      <c r="C7" s="824">
        <v>4.2799999999999997E-5</v>
      </c>
      <c r="D7" s="824">
        <v>4.0800000000000002E-5</v>
      </c>
      <c r="E7" s="825">
        <v>15356.17</v>
      </c>
      <c r="F7" s="825">
        <v>18311</v>
      </c>
      <c r="G7" s="825">
        <v>90836</v>
      </c>
      <c r="H7" s="825"/>
      <c r="I7" s="826">
        <v>1707</v>
      </c>
      <c r="J7" s="826">
        <v>79601</v>
      </c>
      <c r="K7" s="826">
        <v>6221</v>
      </c>
      <c r="L7" s="825">
        <v>6577</v>
      </c>
      <c r="M7" s="825"/>
      <c r="N7" s="826">
        <v>3183</v>
      </c>
      <c r="O7" s="826">
        <v>29380</v>
      </c>
      <c r="P7" s="826">
        <v>0</v>
      </c>
      <c r="Q7" s="825">
        <v>4643</v>
      </c>
      <c r="R7" s="825"/>
      <c r="S7" s="826">
        <v>24279</v>
      </c>
      <c r="T7" s="827">
        <v>1725</v>
      </c>
      <c r="U7" s="827">
        <v>26005</v>
      </c>
    </row>
    <row r="8" spans="1:21" x14ac:dyDescent="0.25">
      <c r="A8" s="822">
        <v>90001</v>
      </c>
      <c r="B8" s="823" t="s">
        <v>2579</v>
      </c>
      <c r="C8" s="824">
        <v>8.6910000000000004E-4</v>
      </c>
      <c r="D8" s="824">
        <v>8.2339999999999996E-4</v>
      </c>
      <c r="E8" s="825">
        <v>342848</v>
      </c>
      <c r="F8" s="825">
        <v>369537</v>
      </c>
      <c r="G8" s="825">
        <v>1844521</v>
      </c>
      <c r="H8" s="825"/>
      <c r="I8" s="826">
        <v>34655</v>
      </c>
      <c r="J8" s="826">
        <v>1616389</v>
      </c>
      <c r="K8" s="826">
        <v>126333</v>
      </c>
      <c r="L8" s="825">
        <v>17611</v>
      </c>
      <c r="M8" s="825"/>
      <c r="N8" s="826">
        <v>64634</v>
      </c>
      <c r="O8" s="826">
        <v>596601</v>
      </c>
      <c r="P8" s="826">
        <v>0</v>
      </c>
      <c r="Q8" s="825">
        <v>4549</v>
      </c>
      <c r="R8" s="825"/>
      <c r="S8" s="826">
        <v>493013</v>
      </c>
      <c r="T8" s="827">
        <v>4026</v>
      </c>
      <c r="U8" s="827">
        <v>497039</v>
      </c>
    </row>
    <row r="9" spans="1:21" x14ac:dyDescent="0.25">
      <c r="A9" s="822">
        <v>90002</v>
      </c>
      <c r="B9" s="823" t="s">
        <v>2580</v>
      </c>
      <c r="C9" s="824">
        <v>1.15E-5</v>
      </c>
      <c r="D9" s="824">
        <v>1.15E-5</v>
      </c>
      <c r="E9" s="825">
        <v>5945</v>
      </c>
      <c r="F9" s="825">
        <v>5161</v>
      </c>
      <c r="G9" s="825">
        <v>24407</v>
      </c>
      <c r="H9" s="825"/>
      <c r="I9" s="826">
        <v>458.5625</v>
      </c>
      <c r="J9" s="826">
        <v>21388</v>
      </c>
      <c r="K9" s="826">
        <v>1672</v>
      </c>
      <c r="L9" s="825">
        <v>1428</v>
      </c>
      <c r="M9" s="825"/>
      <c r="N9" s="826">
        <v>855</v>
      </c>
      <c r="O9" s="826">
        <v>7894</v>
      </c>
      <c r="P9" s="826">
        <v>0</v>
      </c>
      <c r="Q9" s="825">
        <v>0</v>
      </c>
      <c r="R9" s="825"/>
      <c r="S9" s="826">
        <v>6524</v>
      </c>
      <c r="T9" s="827">
        <v>436</v>
      </c>
      <c r="U9" s="827">
        <v>6960</v>
      </c>
    </row>
    <row r="10" spans="1:21" x14ac:dyDescent="0.25">
      <c r="A10" s="822">
        <v>90011</v>
      </c>
      <c r="B10" s="823" t="s">
        <v>2581</v>
      </c>
      <c r="C10" s="824">
        <v>2.0819999999999999E-4</v>
      </c>
      <c r="D10" s="824">
        <v>2.2800000000000001E-4</v>
      </c>
      <c r="E10" s="825">
        <v>74534</v>
      </c>
      <c r="F10" s="825">
        <v>102325</v>
      </c>
      <c r="G10" s="825">
        <v>441870</v>
      </c>
      <c r="H10" s="825"/>
      <c r="I10" s="826">
        <v>8302</v>
      </c>
      <c r="J10" s="826">
        <v>387219</v>
      </c>
      <c r="K10" s="826">
        <v>30264</v>
      </c>
      <c r="L10" s="825">
        <v>4623</v>
      </c>
      <c r="M10" s="825"/>
      <c r="N10" s="826">
        <v>15484</v>
      </c>
      <c r="O10" s="826">
        <v>142921</v>
      </c>
      <c r="P10" s="826">
        <v>0</v>
      </c>
      <c r="Q10" s="825">
        <v>24562</v>
      </c>
      <c r="R10" s="825"/>
      <c r="S10" s="826">
        <v>118105</v>
      </c>
      <c r="T10" s="827">
        <v>-4521</v>
      </c>
      <c r="U10" s="827">
        <v>113585</v>
      </c>
    </row>
    <row r="11" spans="1:21" x14ac:dyDescent="0.25">
      <c r="A11" s="822">
        <v>90092</v>
      </c>
      <c r="B11" s="823" t="s">
        <v>2582</v>
      </c>
      <c r="C11" s="824">
        <v>3.946E-4</v>
      </c>
      <c r="D11" s="824">
        <v>4.8670000000000001E-4</v>
      </c>
      <c r="E11" s="825">
        <v>169426.22</v>
      </c>
      <c r="F11" s="825">
        <v>218428</v>
      </c>
      <c r="G11" s="825">
        <v>837473</v>
      </c>
      <c r="H11" s="825"/>
      <c r="I11" s="826">
        <v>15735</v>
      </c>
      <c r="J11" s="826">
        <v>733894</v>
      </c>
      <c r="K11" s="826">
        <v>57359</v>
      </c>
      <c r="L11" s="825">
        <v>0</v>
      </c>
      <c r="M11" s="825"/>
      <c r="N11" s="826">
        <v>29346</v>
      </c>
      <c r="O11" s="826">
        <v>270876</v>
      </c>
      <c r="P11" s="826">
        <v>0</v>
      </c>
      <c r="Q11" s="825">
        <v>115870</v>
      </c>
      <c r="R11" s="825"/>
      <c r="S11" s="826">
        <v>223844</v>
      </c>
      <c r="T11" s="827">
        <v>-40775</v>
      </c>
      <c r="U11" s="827">
        <v>183070</v>
      </c>
    </row>
    <row r="12" spans="1:21" x14ac:dyDescent="0.25">
      <c r="A12" s="822">
        <v>90096</v>
      </c>
      <c r="B12" s="823" t="s">
        <v>2583</v>
      </c>
      <c r="C12" s="824">
        <v>1.3860999999999999E-3</v>
      </c>
      <c r="D12" s="824">
        <v>1.4866E-3</v>
      </c>
      <c r="E12" s="825">
        <v>582268</v>
      </c>
      <c r="F12" s="825">
        <v>667177</v>
      </c>
      <c r="G12" s="825">
        <v>2941769</v>
      </c>
      <c r="H12" s="825"/>
      <c r="I12" s="826">
        <v>55271</v>
      </c>
      <c r="J12" s="826">
        <v>2577927</v>
      </c>
      <c r="K12" s="826">
        <v>201485</v>
      </c>
      <c r="L12" s="825">
        <v>79002</v>
      </c>
      <c r="M12" s="825"/>
      <c r="N12" s="826">
        <v>103083</v>
      </c>
      <c r="O12" s="826">
        <v>951499</v>
      </c>
      <c r="P12" s="826">
        <v>0</v>
      </c>
      <c r="Q12" s="825">
        <v>44718</v>
      </c>
      <c r="R12" s="825"/>
      <c r="S12" s="826">
        <v>786292</v>
      </c>
      <c r="T12" s="827">
        <v>23820</v>
      </c>
      <c r="U12" s="827">
        <v>810111</v>
      </c>
    </row>
    <row r="13" spans="1:21" x14ac:dyDescent="0.25">
      <c r="A13" s="822">
        <v>90098</v>
      </c>
      <c r="B13" s="823" t="s">
        <v>2584</v>
      </c>
      <c r="C13" s="824">
        <v>2.9280000000000002E-4</v>
      </c>
      <c r="D13" s="824">
        <v>5.0869999999999995E-4</v>
      </c>
      <c r="E13" s="825">
        <v>129330</v>
      </c>
      <c r="F13" s="825">
        <v>228302</v>
      </c>
      <c r="G13" s="825">
        <v>621420</v>
      </c>
      <c r="H13" s="825"/>
      <c r="I13" s="826">
        <v>11675</v>
      </c>
      <c r="J13" s="826">
        <v>544562</v>
      </c>
      <c r="K13" s="826">
        <v>42562</v>
      </c>
      <c r="L13" s="825">
        <v>0</v>
      </c>
      <c r="M13" s="825"/>
      <c r="N13" s="826">
        <v>21775</v>
      </c>
      <c r="O13" s="826">
        <v>200995</v>
      </c>
      <c r="P13" s="826">
        <v>0</v>
      </c>
      <c r="Q13" s="825">
        <v>163662</v>
      </c>
      <c r="R13" s="825"/>
      <c r="S13" s="826">
        <v>166096</v>
      </c>
      <c r="T13" s="827">
        <v>-52769</v>
      </c>
      <c r="U13" s="827">
        <v>113327</v>
      </c>
    </row>
    <row r="14" spans="1:21" x14ac:dyDescent="0.25">
      <c r="A14" s="822">
        <v>90099</v>
      </c>
      <c r="B14" s="823" t="s">
        <v>2585</v>
      </c>
      <c r="C14" s="824">
        <v>4.9330000000000001E-4</v>
      </c>
      <c r="D14" s="824">
        <v>5.9599999999999996E-4</v>
      </c>
      <c r="E14" s="825">
        <v>207476.25</v>
      </c>
      <c r="F14" s="825">
        <v>267481</v>
      </c>
      <c r="G14" s="825">
        <v>1046948</v>
      </c>
      <c r="H14" s="825"/>
      <c r="I14" s="826">
        <v>19670</v>
      </c>
      <c r="J14" s="826">
        <v>917460</v>
      </c>
      <c r="K14" s="826">
        <v>71707</v>
      </c>
      <c r="L14" s="825">
        <v>4838</v>
      </c>
      <c r="M14" s="825"/>
      <c r="N14" s="826">
        <v>36686</v>
      </c>
      <c r="O14" s="826">
        <v>338630</v>
      </c>
      <c r="P14" s="826">
        <v>0</v>
      </c>
      <c r="Q14" s="825">
        <v>60491</v>
      </c>
      <c r="R14" s="825"/>
      <c r="S14" s="826">
        <v>279834</v>
      </c>
      <c r="T14" s="827">
        <v>-14054</v>
      </c>
      <c r="U14" s="827">
        <v>265780</v>
      </c>
    </row>
    <row r="15" spans="1:21" x14ac:dyDescent="0.25">
      <c r="A15" s="822">
        <v>90101</v>
      </c>
      <c r="B15" s="823" t="s">
        <v>2586</v>
      </c>
      <c r="C15" s="824">
        <v>6.3996000000000001E-3</v>
      </c>
      <c r="D15" s="824">
        <v>6.1599000000000003E-3</v>
      </c>
      <c r="E15" s="825">
        <v>2594375.06</v>
      </c>
      <c r="F15" s="825">
        <v>2764526</v>
      </c>
      <c r="G15" s="825">
        <v>13582095</v>
      </c>
      <c r="H15" s="825"/>
      <c r="I15" s="826">
        <v>255184</v>
      </c>
      <c r="J15" s="826">
        <v>11902245</v>
      </c>
      <c r="K15" s="826">
        <v>930252</v>
      </c>
      <c r="L15" s="825">
        <v>229062</v>
      </c>
      <c r="M15" s="825"/>
      <c r="N15" s="826">
        <v>475932</v>
      </c>
      <c r="O15" s="826">
        <v>4393057</v>
      </c>
      <c r="P15" s="826">
        <v>0</v>
      </c>
      <c r="Q15" s="825">
        <v>51491</v>
      </c>
      <c r="R15" s="825"/>
      <c r="S15" s="826">
        <v>3630295</v>
      </c>
      <c r="T15" s="827">
        <v>45786</v>
      </c>
      <c r="U15" s="827">
        <v>3676081</v>
      </c>
    </row>
    <row r="16" spans="1:21" x14ac:dyDescent="0.25">
      <c r="A16" s="822">
        <v>90111</v>
      </c>
      <c r="B16" s="823" t="s">
        <v>2587</v>
      </c>
      <c r="C16" s="824">
        <v>4.8874000000000001E-3</v>
      </c>
      <c r="D16" s="824">
        <v>4.9893000000000003E-3</v>
      </c>
      <c r="E16" s="825">
        <v>1973481.4</v>
      </c>
      <c r="F16" s="825">
        <v>2239168</v>
      </c>
      <c r="G16" s="825">
        <v>10372700</v>
      </c>
      <c r="H16" s="825"/>
      <c r="I16" s="826">
        <v>194885</v>
      </c>
      <c r="J16" s="826">
        <v>9089792</v>
      </c>
      <c r="K16" s="826">
        <v>710437</v>
      </c>
      <c r="L16" s="825">
        <v>0</v>
      </c>
      <c r="M16" s="825"/>
      <c r="N16" s="826">
        <v>363471</v>
      </c>
      <c r="O16" s="826">
        <v>3354995</v>
      </c>
      <c r="P16" s="826">
        <v>0</v>
      </c>
      <c r="Q16" s="825">
        <v>163983</v>
      </c>
      <c r="R16" s="825"/>
      <c r="S16" s="826">
        <v>2772471</v>
      </c>
      <c r="T16" s="827">
        <v>-57381</v>
      </c>
      <c r="U16" s="827">
        <v>2715090</v>
      </c>
    </row>
    <row r="17" spans="1:21" x14ac:dyDescent="0.25">
      <c r="A17" s="822">
        <v>90114</v>
      </c>
      <c r="B17" s="823" t="s">
        <v>2588</v>
      </c>
      <c r="C17" s="824">
        <v>1.0681E-3</v>
      </c>
      <c r="D17" s="824">
        <v>1.0043000000000001E-3</v>
      </c>
      <c r="E17" s="825">
        <v>1022992</v>
      </c>
      <c r="F17" s="825">
        <v>450724</v>
      </c>
      <c r="G17" s="825">
        <v>2266866</v>
      </c>
      <c r="H17" s="825"/>
      <c r="I17" s="826">
        <v>42590</v>
      </c>
      <c r="J17" s="826">
        <v>1986497</v>
      </c>
      <c r="K17" s="826">
        <v>155260</v>
      </c>
      <c r="L17" s="825">
        <v>821100</v>
      </c>
      <c r="M17" s="825"/>
      <c r="N17" s="826">
        <v>79434</v>
      </c>
      <c r="O17" s="826">
        <v>733206</v>
      </c>
      <c r="P17" s="826">
        <v>0</v>
      </c>
      <c r="Q17" s="825">
        <v>0</v>
      </c>
      <c r="R17" s="825"/>
      <c r="S17" s="826">
        <v>605900</v>
      </c>
      <c r="T17" s="827">
        <v>245765</v>
      </c>
      <c r="U17" s="827">
        <v>851665</v>
      </c>
    </row>
    <row r="18" spans="1:21" x14ac:dyDescent="0.25">
      <c r="A18" s="822">
        <v>90117</v>
      </c>
      <c r="B18" s="823" t="s">
        <v>2589</v>
      </c>
      <c r="C18" s="824">
        <v>1.35E-4</v>
      </c>
      <c r="D18" s="824">
        <v>1.3019999999999999E-4</v>
      </c>
      <c r="E18" s="825">
        <v>78954</v>
      </c>
      <c r="F18" s="825">
        <v>58433</v>
      </c>
      <c r="G18" s="825">
        <v>286515</v>
      </c>
      <c r="H18" s="825"/>
      <c r="I18" s="826">
        <v>5383.125</v>
      </c>
      <c r="J18" s="826">
        <v>251078.67</v>
      </c>
      <c r="K18" s="826">
        <v>19624</v>
      </c>
      <c r="L18" s="825">
        <v>42554</v>
      </c>
      <c r="M18" s="825"/>
      <c r="N18" s="826">
        <v>10040</v>
      </c>
      <c r="O18" s="826">
        <v>92671.83</v>
      </c>
      <c r="P18" s="826">
        <v>0</v>
      </c>
      <c r="Q18" s="825">
        <v>0</v>
      </c>
      <c r="R18" s="825"/>
      <c r="S18" s="826">
        <v>76581</v>
      </c>
      <c r="T18" s="827">
        <v>14293</v>
      </c>
      <c r="U18" s="827">
        <v>90874</v>
      </c>
    </row>
    <row r="19" spans="1:21" x14ac:dyDescent="0.25">
      <c r="A19" s="822">
        <v>90121</v>
      </c>
      <c r="B19" s="823" t="s">
        <v>2590</v>
      </c>
      <c r="C19" s="824">
        <v>1.0789E-3</v>
      </c>
      <c r="D19" s="824">
        <v>1.1057E-3</v>
      </c>
      <c r="E19" s="825">
        <v>394126</v>
      </c>
      <c r="F19" s="825">
        <v>496232</v>
      </c>
      <c r="G19" s="825">
        <v>2289787</v>
      </c>
      <c r="H19" s="825"/>
      <c r="I19" s="826">
        <v>43021</v>
      </c>
      <c r="J19" s="826">
        <v>2006584</v>
      </c>
      <c r="K19" s="826">
        <v>156830</v>
      </c>
      <c r="L19" s="825">
        <v>6521</v>
      </c>
      <c r="M19" s="825"/>
      <c r="N19" s="826">
        <v>80237</v>
      </c>
      <c r="O19" s="826">
        <v>740620</v>
      </c>
      <c r="P19" s="826">
        <v>0</v>
      </c>
      <c r="Q19" s="825">
        <v>74370</v>
      </c>
      <c r="R19" s="825"/>
      <c r="S19" s="826">
        <v>612027</v>
      </c>
      <c r="T19" s="827">
        <v>-17947</v>
      </c>
      <c r="U19" s="827">
        <v>594079</v>
      </c>
    </row>
    <row r="20" spans="1:21" x14ac:dyDescent="0.25">
      <c r="A20" s="822">
        <v>90131</v>
      </c>
      <c r="B20" s="823" t="s">
        <v>2591</v>
      </c>
      <c r="C20" s="824">
        <v>5.0440000000000001E-4</v>
      </c>
      <c r="D20" s="824">
        <v>4.727E-4</v>
      </c>
      <c r="E20" s="825">
        <v>173703</v>
      </c>
      <c r="F20" s="825">
        <v>212145</v>
      </c>
      <c r="G20" s="825">
        <v>1070506</v>
      </c>
      <c r="H20" s="825"/>
      <c r="I20" s="826">
        <v>20112.95</v>
      </c>
      <c r="J20" s="826">
        <v>938104</v>
      </c>
      <c r="K20" s="826">
        <v>73320</v>
      </c>
      <c r="L20" s="825">
        <v>0</v>
      </c>
      <c r="M20" s="825"/>
      <c r="N20" s="826">
        <v>37512</v>
      </c>
      <c r="O20" s="826">
        <v>346249</v>
      </c>
      <c r="P20" s="826">
        <v>0</v>
      </c>
      <c r="Q20" s="825">
        <v>23072</v>
      </c>
      <c r="R20" s="825"/>
      <c r="S20" s="826">
        <v>286130</v>
      </c>
      <c r="T20" s="827">
        <v>-8951</v>
      </c>
      <c r="U20" s="827">
        <v>277180</v>
      </c>
    </row>
    <row r="21" spans="1:21" x14ac:dyDescent="0.25">
      <c r="A21" s="822">
        <v>90141</v>
      </c>
      <c r="B21" s="823" t="s">
        <v>2592</v>
      </c>
      <c r="C21" s="824">
        <v>1.306E-4</v>
      </c>
      <c r="D21" s="824">
        <v>1.5919999999999999E-4</v>
      </c>
      <c r="E21" s="825">
        <v>55925.87</v>
      </c>
      <c r="F21" s="825">
        <v>71448</v>
      </c>
      <c r="G21" s="825">
        <v>277177</v>
      </c>
      <c r="H21" s="825"/>
      <c r="I21" s="826">
        <v>5208</v>
      </c>
      <c r="J21" s="826">
        <v>242895</v>
      </c>
      <c r="K21" s="826">
        <v>18984</v>
      </c>
      <c r="L21" s="825">
        <v>2143</v>
      </c>
      <c r="M21" s="825"/>
      <c r="N21" s="826">
        <v>9713</v>
      </c>
      <c r="O21" s="826">
        <v>89651</v>
      </c>
      <c r="P21" s="826">
        <v>0</v>
      </c>
      <c r="Q21" s="825">
        <v>13732</v>
      </c>
      <c r="R21" s="825"/>
      <c r="S21" s="826">
        <v>74085</v>
      </c>
      <c r="T21" s="827">
        <v>-2701</v>
      </c>
      <c r="U21" s="827">
        <v>71385</v>
      </c>
    </row>
    <row r="22" spans="1:21" x14ac:dyDescent="0.25">
      <c r="A22" s="822">
        <v>90151</v>
      </c>
      <c r="B22" s="823" t="s">
        <v>2593</v>
      </c>
      <c r="C22" s="824">
        <v>1.0000000000000001E-5</v>
      </c>
      <c r="D22" s="824">
        <v>9.7999999999999993E-6</v>
      </c>
      <c r="E22" s="825">
        <v>2703</v>
      </c>
      <c r="F22" s="825">
        <v>4398</v>
      </c>
      <c r="G22" s="825">
        <v>21223</v>
      </c>
      <c r="H22" s="825"/>
      <c r="I22" s="826">
        <v>399</v>
      </c>
      <c r="J22" s="826">
        <v>18598</v>
      </c>
      <c r="K22" s="826">
        <v>1454</v>
      </c>
      <c r="L22" s="825">
        <v>0</v>
      </c>
      <c r="M22" s="825"/>
      <c r="N22" s="826">
        <v>743.69</v>
      </c>
      <c r="O22" s="826">
        <v>6865</v>
      </c>
      <c r="P22" s="826">
        <v>0</v>
      </c>
      <c r="Q22" s="825">
        <v>2266</v>
      </c>
      <c r="R22" s="825"/>
      <c r="S22" s="826">
        <v>5673</v>
      </c>
      <c r="T22" s="827">
        <v>-782</v>
      </c>
      <c r="U22" s="827">
        <v>4891</v>
      </c>
    </row>
    <row r="23" spans="1:21" x14ac:dyDescent="0.25">
      <c r="A23" s="822">
        <v>90161</v>
      </c>
      <c r="B23" s="823" t="s">
        <v>2594</v>
      </c>
      <c r="C23" s="824">
        <v>3.4799999999999999E-5</v>
      </c>
      <c r="D23" s="824">
        <v>2.6299999999999999E-5</v>
      </c>
      <c r="E23" s="825">
        <v>13115.62</v>
      </c>
      <c r="F23" s="825">
        <v>11803</v>
      </c>
      <c r="G23" s="825">
        <v>73857</v>
      </c>
      <c r="H23" s="825"/>
      <c r="I23" s="826">
        <v>1388</v>
      </c>
      <c r="J23" s="826">
        <v>64723</v>
      </c>
      <c r="K23" s="826">
        <v>5059</v>
      </c>
      <c r="L23" s="825">
        <v>5728</v>
      </c>
      <c r="M23" s="825"/>
      <c r="N23" s="826">
        <v>2588</v>
      </c>
      <c r="O23" s="826">
        <v>23889</v>
      </c>
      <c r="P23" s="826">
        <v>0</v>
      </c>
      <c r="Q23" s="825">
        <v>0</v>
      </c>
      <c r="R23" s="825"/>
      <c r="S23" s="826">
        <v>19741</v>
      </c>
      <c r="T23" s="827">
        <v>1706</v>
      </c>
      <c r="U23" s="827">
        <v>21447</v>
      </c>
    </row>
    <row r="24" spans="1:21" x14ac:dyDescent="0.25">
      <c r="A24" s="822">
        <v>90201</v>
      </c>
      <c r="B24" s="823" t="s">
        <v>2595</v>
      </c>
      <c r="C24" s="824">
        <v>1.2419E-3</v>
      </c>
      <c r="D24" s="824">
        <v>1.1842999999999999E-3</v>
      </c>
      <c r="E24" s="825">
        <v>470870</v>
      </c>
      <c r="F24" s="825">
        <v>531507</v>
      </c>
      <c r="G24" s="825">
        <v>2635728</v>
      </c>
      <c r="H24" s="825"/>
      <c r="I24" s="826">
        <v>49521</v>
      </c>
      <c r="J24" s="826">
        <v>2309738</v>
      </c>
      <c r="K24" s="826">
        <v>180524</v>
      </c>
      <c r="L24" s="825">
        <v>70694</v>
      </c>
      <c r="M24" s="825"/>
      <c r="N24" s="826">
        <v>92359</v>
      </c>
      <c r="O24" s="826">
        <v>852512</v>
      </c>
      <c r="P24" s="826">
        <v>0</v>
      </c>
      <c r="Q24" s="825">
        <v>450</v>
      </c>
      <c r="R24" s="825"/>
      <c r="S24" s="826">
        <v>704491</v>
      </c>
      <c r="T24" s="827">
        <v>33957</v>
      </c>
      <c r="U24" s="827">
        <v>738448</v>
      </c>
    </row>
    <row r="25" spans="1:21" x14ac:dyDescent="0.25">
      <c r="A25" s="822">
        <v>90203</v>
      </c>
      <c r="B25" s="823" t="s">
        <v>2596</v>
      </c>
      <c r="C25" s="824">
        <v>2.3680000000000001E-4</v>
      </c>
      <c r="D25" s="824">
        <v>2.7530000000000002E-4</v>
      </c>
      <c r="E25" s="825">
        <v>95318</v>
      </c>
      <c r="F25" s="825">
        <v>123553</v>
      </c>
      <c r="G25" s="825">
        <v>502569</v>
      </c>
      <c r="H25" s="825"/>
      <c r="I25" s="826">
        <v>9442.4</v>
      </c>
      <c r="J25" s="826">
        <v>440411</v>
      </c>
      <c r="K25" s="826">
        <v>34421</v>
      </c>
      <c r="L25" s="825">
        <v>3338</v>
      </c>
      <c r="M25" s="825"/>
      <c r="N25" s="826">
        <v>17611</v>
      </c>
      <c r="O25" s="826">
        <v>162553</v>
      </c>
      <c r="P25" s="826">
        <v>0</v>
      </c>
      <c r="Q25" s="825">
        <v>36458</v>
      </c>
      <c r="R25" s="825"/>
      <c r="S25" s="826">
        <v>134329</v>
      </c>
      <c r="T25" s="827">
        <v>-11660</v>
      </c>
      <c r="U25" s="827">
        <v>122669</v>
      </c>
    </row>
    <row r="26" spans="1:21" x14ac:dyDescent="0.25">
      <c r="A26" s="822">
        <v>90205</v>
      </c>
      <c r="B26" s="823" t="s">
        <v>2597</v>
      </c>
      <c r="C26" s="824">
        <v>3.3599999999999997E-5</v>
      </c>
      <c r="D26" s="824">
        <v>3.5299999999999997E-5</v>
      </c>
      <c r="E26" s="825">
        <v>13992.72</v>
      </c>
      <c r="F26" s="825">
        <v>15842</v>
      </c>
      <c r="G26" s="825">
        <v>71310</v>
      </c>
      <c r="H26" s="825"/>
      <c r="I26" s="826">
        <v>1339.8</v>
      </c>
      <c r="J26" s="826">
        <v>62491</v>
      </c>
      <c r="K26" s="826">
        <v>4884</v>
      </c>
      <c r="L26" s="825">
        <v>1378</v>
      </c>
      <c r="M26" s="825"/>
      <c r="N26" s="826">
        <v>2499</v>
      </c>
      <c r="O26" s="826">
        <v>23065</v>
      </c>
      <c r="P26" s="826">
        <v>0</v>
      </c>
      <c r="Q26" s="825">
        <v>782</v>
      </c>
      <c r="R26" s="825"/>
      <c r="S26" s="826">
        <v>19060</v>
      </c>
      <c r="T26" s="827">
        <v>406</v>
      </c>
      <c r="U26" s="827">
        <v>19467</v>
      </c>
    </row>
    <row r="27" spans="1:21" x14ac:dyDescent="0.25">
      <c r="A27" s="822">
        <v>90206</v>
      </c>
      <c r="B27" s="823" t="s">
        <v>2598</v>
      </c>
      <c r="C27" s="824">
        <v>4.347E-4</v>
      </c>
      <c r="D27" s="824">
        <v>4.3810000000000002E-4</v>
      </c>
      <c r="E27" s="825">
        <v>170440.57</v>
      </c>
      <c r="F27" s="825">
        <v>196617</v>
      </c>
      <c r="G27" s="825">
        <v>922579</v>
      </c>
      <c r="H27" s="825"/>
      <c r="I27" s="826">
        <v>17334</v>
      </c>
      <c r="J27" s="826">
        <v>808473</v>
      </c>
      <c r="K27" s="826">
        <v>63188</v>
      </c>
      <c r="L27" s="825">
        <v>18047</v>
      </c>
      <c r="M27" s="825"/>
      <c r="N27" s="826">
        <v>32328</v>
      </c>
      <c r="O27" s="826">
        <v>298403</v>
      </c>
      <c r="P27" s="826">
        <v>0</v>
      </c>
      <c r="Q27" s="825">
        <v>12515</v>
      </c>
      <c r="R27" s="825"/>
      <c r="S27" s="826">
        <v>246592</v>
      </c>
      <c r="T27" s="827">
        <v>5439</v>
      </c>
      <c r="U27" s="827">
        <v>252031</v>
      </c>
    </row>
    <row r="28" spans="1:21" x14ac:dyDescent="0.25">
      <c r="A28" s="822">
        <v>90211</v>
      </c>
      <c r="B28" s="823" t="s">
        <v>2599</v>
      </c>
      <c r="C28" s="824">
        <v>1.5689999999999999E-4</v>
      </c>
      <c r="D28" s="824">
        <v>1.708E-4</v>
      </c>
      <c r="E28" s="825">
        <v>58970</v>
      </c>
      <c r="F28" s="825">
        <v>76654</v>
      </c>
      <c r="G28" s="825">
        <v>332994</v>
      </c>
      <c r="H28" s="825"/>
      <c r="I28" s="826">
        <v>6256</v>
      </c>
      <c r="J28" s="826">
        <v>291809</v>
      </c>
      <c r="K28" s="826">
        <v>22807</v>
      </c>
      <c r="L28" s="825">
        <v>0</v>
      </c>
      <c r="M28" s="825"/>
      <c r="N28" s="826">
        <v>11668</v>
      </c>
      <c r="O28" s="826">
        <v>107705</v>
      </c>
      <c r="P28" s="826">
        <v>0</v>
      </c>
      <c r="Q28" s="825">
        <v>17335</v>
      </c>
      <c r="R28" s="825"/>
      <c r="S28" s="826">
        <v>89005</v>
      </c>
      <c r="T28" s="827">
        <v>-5305</v>
      </c>
      <c r="U28" s="827">
        <v>83699</v>
      </c>
    </row>
    <row r="29" spans="1:21" x14ac:dyDescent="0.25">
      <c r="A29" s="822">
        <v>90301</v>
      </c>
      <c r="B29" s="823" t="s">
        <v>2600</v>
      </c>
      <c r="C29" s="824">
        <v>6.4000000000000005E-4</v>
      </c>
      <c r="D29" s="824">
        <v>6.2489999999999996E-4</v>
      </c>
      <c r="E29" s="825">
        <v>241334.31</v>
      </c>
      <c r="F29" s="825">
        <v>280451</v>
      </c>
      <c r="G29" s="825">
        <v>1358294</v>
      </c>
      <c r="H29" s="825"/>
      <c r="I29" s="826">
        <v>25520</v>
      </c>
      <c r="J29" s="826">
        <v>1190299</v>
      </c>
      <c r="K29" s="826">
        <v>93031</v>
      </c>
      <c r="L29" s="825">
        <v>6684</v>
      </c>
      <c r="M29" s="825"/>
      <c r="N29" s="826">
        <v>47596.160000000003</v>
      </c>
      <c r="O29" s="826">
        <v>439333</v>
      </c>
      <c r="P29" s="826">
        <v>0</v>
      </c>
      <c r="Q29" s="825">
        <v>19561</v>
      </c>
      <c r="R29" s="825"/>
      <c r="S29" s="826">
        <v>363052</v>
      </c>
      <c r="T29" s="827">
        <v>-5224</v>
      </c>
      <c r="U29" s="827">
        <v>357828</v>
      </c>
    </row>
    <row r="30" spans="1:21" x14ac:dyDescent="0.25">
      <c r="A30" s="822">
        <v>90305</v>
      </c>
      <c r="B30" s="823" t="s">
        <v>2601</v>
      </c>
      <c r="C30" s="824">
        <v>1.7009999999999999E-4</v>
      </c>
      <c r="D30" s="824">
        <v>1.773E-4</v>
      </c>
      <c r="E30" s="825">
        <v>84901.17</v>
      </c>
      <c r="F30" s="825">
        <v>79571</v>
      </c>
      <c r="G30" s="825">
        <v>361009</v>
      </c>
      <c r="H30" s="825"/>
      <c r="I30" s="826">
        <v>6783</v>
      </c>
      <c r="J30" s="826">
        <v>316359</v>
      </c>
      <c r="K30" s="826">
        <v>24726</v>
      </c>
      <c r="L30" s="825">
        <v>26122</v>
      </c>
      <c r="M30" s="825"/>
      <c r="N30" s="826">
        <v>12650</v>
      </c>
      <c r="O30" s="826">
        <v>116767</v>
      </c>
      <c r="P30" s="826">
        <v>0</v>
      </c>
      <c r="Q30" s="825">
        <v>0</v>
      </c>
      <c r="R30" s="825"/>
      <c r="S30" s="826">
        <v>96492</v>
      </c>
      <c r="T30" s="827">
        <v>9101</v>
      </c>
      <c r="U30" s="827">
        <v>105594</v>
      </c>
    </row>
    <row r="31" spans="1:21" x14ac:dyDescent="0.25">
      <c r="A31" s="822">
        <v>90307</v>
      </c>
      <c r="B31" s="823" t="s">
        <v>2602</v>
      </c>
      <c r="C31" s="824">
        <v>7.7000000000000008E-6</v>
      </c>
      <c r="D31" s="824">
        <v>8.4999999999999999E-6</v>
      </c>
      <c r="E31" s="825">
        <v>3744</v>
      </c>
      <c r="F31" s="825">
        <v>3815</v>
      </c>
      <c r="G31" s="825">
        <v>16342</v>
      </c>
      <c r="H31" s="825"/>
      <c r="I31" s="826">
        <v>307</v>
      </c>
      <c r="J31" s="826">
        <v>14321</v>
      </c>
      <c r="K31" s="826">
        <v>1119</v>
      </c>
      <c r="L31" s="825">
        <v>213</v>
      </c>
      <c r="M31" s="825"/>
      <c r="N31" s="826">
        <v>573</v>
      </c>
      <c r="O31" s="826">
        <v>5286</v>
      </c>
      <c r="P31" s="826">
        <v>0</v>
      </c>
      <c r="Q31" s="825">
        <v>80</v>
      </c>
      <c r="R31" s="825"/>
      <c r="S31" s="826">
        <v>4368</v>
      </c>
      <c r="T31" s="827">
        <v>33</v>
      </c>
      <c r="U31" s="827">
        <v>4401</v>
      </c>
    </row>
    <row r="32" spans="1:21" x14ac:dyDescent="0.25">
      <c r="A32" s="822">
        <v>90401</v>
      </c>
      <c r="B32" s="823" t="s">
        <v>2603</v>
      </c>
      <c r="C32" s="824">
        <v>1.3626999999999999E-3</v>
      </c>
      <c r="D32" s="824">
        <v>1.359E-3</v>
      </c>
      <c r="E32" s="825">
        <v>569788.09</v>
      </c>
      <c r="F32" s="825">
        <v>609911</v>
      </c>
      <c r="G32" s="825">
        <v>2892106</v>
      </c>
      <c r="H32" s="825"/>
      <c r="I32" s="826">
        <v>54338</v>
      </c>
      <c r="J32" s="826">
        <v>2534407</v>
      </c>
      <c r="K32" s="826">
        <v>198083</v>
      </c>
      <c r="L32" s="825">
        <v>70826</v>
      </c>
      <c r="M32" s="825"/>
      <c r="N32" s="826">
        <v>101343</v>
      </c>
      <c r="O32" s="826">
        <v>935436</v>
      </c>
      <c r="P32" s="826">
        <v>0</v>
      </c>
      <c r="Q32" s="825">
        <v>0</v>
      </c>
      <c r="R32" s="825"/>
      <c r="S32" s="826">
        <v>773017</v>
      </c>
      <c r="T32" s="827">
        <v>26807</v>
      </c>
      <c r="U32" s="827">
        <v>799824</v>
      </c>
    </row>
    <row r="33" spans="1:21" x14ac:dyDescent="0.25">
      <c r="A33" s="822">
        <v>90411</v>
      </c>
      <c r="B33" s="823" t="s">
        <v>2604</v>
      </c>
      <c r="C33" s="824">
        <v>3.5490000000000001E-4</v>
      </c>
      <c r="D33" s="824">
        <v>4.0069999999999998E-4</v>
      </c>
      <c r="E33" s="825">
        <v>139271.16</v>
      </c>
      <c r="F33" s="825">
        <v>179832</v>
      </c>
      <c r="G33" s="825">
        <v>753217</v>
      </c>
      <c r="H33" s="825"/>
      <c r="I33" s="826">
        <v>14152</v>
      </c>
      <c r="J33" s="826">
        <v>660058</v>
      </c>
      <c r="K33" s="826">
        <v>51589</v>
      </c>
      <c r="L33" s="825">
        <v>0</v>
      </c>
      <c r="M33" s="825"/>
      <c r="N33" s="826">
        <v>26394</v>
      </c>
      <c r="O33" s="826">
        <v>243624</v>
      </c>
      <c r="P33" s="826">
        <v>0</v>
      </c>
      <c r="Q33" s="825">
        <v>45866</v>
      </c>
      <c r="R33" s="825"/>
      <c r="S33" s="826">
        <v>201324</v>
      </c>
      <c r="T33" s="827">
        <v>-13553</v>
      </c>
      <c r="U33" s="827">
        <v>187770</v>
      </c>
    </row>
    <row r="34" spans="1:21" x14ac:dyDescent="0.25">
      <c r="A34" s="822">
        <v>90413</v>
      </c>
      <c r="B34" s="823" t="s">
        <v>2605</v>
      </c>
      <c r="C34" s="824">
        <v>3.7299999999999999E-5</v>
      </c>
      <c r="D34" s="824">
        <v>3.6399999999999997E-5</v>
      </c>
      <c r="E34" s="825">
        <v>16560</v>
      </c>
      <c r="F34" s="825">
        <v>16336</v>
      </c>
      <c r="G34" s="825">
        <v>79163</v>
      </c>
      <c r="H34" s="825"/>
      <c r="I34" s="826">
        <v>1487</v>
      </c>
      <c r="J34" s="826">
        <v>69372</v>
      </c>
      <c r="K34" s="826">
        <v>5422</v>
      </c>
      <c r="L34" s="825">
        <v>9568</v>
      </c>
      <c r="M34" s="825"/>
      <c r="N34" s="826">
        <v>2774</v>
      </c>
      <c r="O34" s="826">
        <v>25605</v>
      </c>
      <c r="P34" s="826">
        <v>0</v>
      </c>
      <c r="Q34" s="825">
        <v>0</v>
      </c>
      <c r="R34" s="825"/>
      <c r="S34" s="826">
        <v>21159</v>
      </c>
      <c r="T34" s="827">
        <v>3645</v>
      </c>
      <c r="U34" s="827">
        <v>24804</v>
      </c>
    </row>
    <row r="35" spans="1:21" x14ac:dyDescent="0.25">
      <c r="A35" s="822">
        <v>90417</v>
      </c>
      <c r="B35" s="823" t="s">
        <v>2606</v>
      </c>
      <c r="C35" s="824">
        <v>1.2099999999999999E-5</v>
      </c>
      <c r="D35" s="824">
        <v>1.38E-5</v>
      </c>
      <c r="E35" s="825">
        <v>7492</v>
      </c>
      <c r="F35" s="825">
        <v>6193</v>
      </c>
      <c r="G35" s="825">
        <v>25680</v>
      </c>
      <c r="H35" s="825"/>
      <c r="I35" s="826">
        <v>482</v>
      </c>
      <c r="J35" s="826">
        <v>22504</v>
      </c>
      <c r="K35" s="826">
        <v>1759</v>
      </c>
      <c r="L35" s="825">
        <v>2032</v>
      </c>
      <c r="M35" s="825"/>
      <c r="N35" s="826">
        <v>900</v>
      </c>
      <c r="O35" s="826">
        <v>8306</v>
      </c>
      <c r="P35" s="826">
        <v>0</v>
      </c>
      <c r="Q35" s="825">
        <v>0</v>
      </c>
      <c r="R35" s="825"/>
      <c r="S35" s="826">
        <v>6864</v>
      </c>
      <c r="T35" s="827">
        <v>687</v>
      </c>
      <c r="U35" s="827">
        <v>7551</v>
      </c>
    </row>
    <row r="36" spans="1:21" x14ac:dyDescent="0.25">
      <c r="A36" s="822">
        <v>90421</v>
      </c>
      <c r="B36" s="823" t="s">
        <v>2607</v>
      </c>
      <c r="C36" s="824">
        <v>2.3600000000000001E-5</v>
      </c>
      <c r="D36" s="824">
        <v>2.4700000000000001E-5</v>
      </c>
      <c r="E36" s="825">
        <v>7745.31</v>
      </c>
      <c r="F36" s="825">
        <v>11085</v>
      </c>
      <c r="G36" s="825">
        <v>50087</v>
      </c>
      <c r="H36" s="825"/>
      <c r="I36" s="826">
        <v>941</v>
      </c>
      <c r="J36" s="826">
        <v>43892</v>
      </c>
      <c r="K36" s="826">
        <v>3431</v>
      </c>
      <c r="L36" s="825">
        <v>0</v>
      </c>
      <c r="M36" s="825"/>
      <c r="N36" s="826">
        <v>1755</v>
      </c>
      <c r="O36" s="826">
        <v>16200</v>
      </c>
      <c r="P36" s="826">
        <v>0</v>
      </c>
      <c r="Q36" s="825">
        <v>3590</v>
      </c>
      <c r="R36" s="825"/>
      <c r="S36" s="826">
        <v>13388</v>
      </c>
      <c r="T36" s="827">
        <v>-1226</v>
      </c>
      <c r="U36" s="827">
        <v>12162</v>
      </c>
    </row>
    <row r="37" spans="1:21" x14ac:dyDescent="0.25">
      <c r="A37" s="822">
        <v>90431</v>
      </c>
      <c r="B37" s="823" t="s">
        <v>2608</v>
      </c>
      <c r="C37" s="824">
        <v>4.2799999999999997E-5</v>
      </c>
      <c r="D37" s="824">
        <v>4.7599999999999998E-5</v>
      </c>
      <c r="E37" s="825">
        <v>18711.07</v>
      </c>
      <c r="F37" s="825">
        <v>21363</v>
      </c>
      <c r="G37" s="825">
        <v>90836</v>
      </c>
      <c r="H37" s="825"/>
      <c r="I37" s="826">
        <v>1707</v>
      </c>
      <c r="J37" s="826">
        <v>79601</v>
      </c>
      <c r="K37" s="826">
        <v>6221</v>
      </c>
      <c r="L37" s="825">
        <v>8478</v>
      </c>
      <c r="M37" s="825"/>
      <c r="N37" s="826">
        <v>3183</v>
      </c>
      <c r="O37" s="826">
        <v>29380</v>
      </c>
      <c r="P37" s="826">
        <v>0</v>
      </c>
      <c r="Q37" s="825">
        <v>1719</v>
      </c>
      <c r="R37" s="825"/>
      <c r="S37" s="826">
        <v>24279</v>
      </c>
      <c r="T37" s="827">
        <v>2793</v>
      </c>
      <c r="U37" s="827">
        <v>27072</v>
      </c>
    </row>
    <row r="38" spans="1:21" x14ac:dyDescent="0.25">
      <c r="A38" s="822">
        <v>90441</v>
      </c>
      <c r="B38" s="823" t="s">
        <v>2609</v>
      </c>
      <c r="C38" s="824">
        <v>9.3999999999999998E-6</v>
      </c>
      <c r="D38" s="824">
        <v>1.03E-5</v>
      </c>
      <c r="E38" s="825">
        <v>4675</v>
      </c>
      <c r="F38" s="825">
        <v>4623</v>
      </c>
      <c r="G38" s="825">
        <v>19950</v>
      </c>
      <c r="H38" s="825"/>
      <c r="I38" s="826">
        <v>374.82499999999999</v>
      </c>
      <c r="J38" s="826">
        <v>17483</v>
      </c>
      <c r="K38" s="826">
        <v>1366</v>
      </c>
      <c r="L38" s="825">
        <v>1367</v>
      </c>
      <c r="M38" s="825"/>
      <c r="N38" s="826">
        <v>699</v>
      </c>
      <c r="O38" s="826">
        <v>6453</v>
      </c>
      <c r="P38" s="826">
        <v>0</v>
      </c>
      <c r="Q38" s="825">
        <v>200</v>
      </c>
      <c r="R38" s="825"/>
      <c r="S38" s="826">
        <v>5332</v>
      </c>
      <c r="T38" s="827">
        <v>578</v>
      </c>
      <c r="U38" s="827">
        <v>5911</v>
      </c>
    </row>
    <row r="39" spans="1:21" x14ac:dyDescent="0.25">
      <c r="A39" s="822">
        <v>90451</v>
      </c>
      <c r="B39" s="823" t="s">
        <v>2610</v>
      </c>
      <c r="C39" s="824">
        <v>1.7900000000000001E-5</v>
      </c>
      <c r="D39" s="824">
        <v>1.2099999999999999E-5</v>
      </c>
      <c r="E39" s="825">
        <v>6772.25</v>
      </c>
      <c r="F39" s="825">
        <v>5430</v>
      </c>
      <c r="G39" s="825">
        <v>37990</v>
      </c>
      <c r="H39" s="825"/>
      <c r="I39" s="826">
        <v>713.76250000000005</v>
      </c>
      <c r="J39" s="826">
        <v>33291</v>
      </c>
      <c r="K39" s="826">
        <v>2602</v>
      </c>
      <c r="L39" s="825">
        <v>3118</v>
      </c>
      <c r="M39" s="825"/>
      <c r="N39" s="826">
        <v>1331</v>
      </c>
      <c r="O39" s="826">
        <v>12288</v>
      </c>
      <c r="P39" s="826">
        <v>0</v>
      </c>
      <c r="Q39" s="825">
        <v>288</v>
      </c>
      <c r="R39" s="825"/>
      <c r="S39" s="826">
        <v>10154</v>
      </c>
      <c r="T39" s="827">
        <v>814</v>
      </c>
      <c r="U39" s="827">
        <v>10968</v>
      </c>
    </row>
    <row r="40" spans="1:21" x14ac:dyDescent="0.25">
      <c r="A40" s="822">
        <v>90461</v>
      </c>
      <c r="B40" s="823" t="s">
        <v>2611</v>
      </c>
      <c r="C40" s="824">
        <v>1.7200000000000001E-5</v>
      </c>
      <c r="D40" s="824">
        <v>1.7200000000000001E-5</v>
      </c>
      <c r="E40" s="825">
        <v>6466.34</v>
      </c>
      <c r="F40" s="825">
        <v>7719</v>
      </c>
      <c r="G40" s="825">
        <v>36504</v>
      </c>
      <c r="H40" s="825"/>
      <c r="I40" s="826">
        <v>685.85</v>
      </c>
      <c r="J40" s="826">
        <v>31989</v>
      </c>
      <c r="K40" s="826">
        <v>2500</v>
      </c>
      <c r="L40" s="825">
        <v>4750</v>
      </c>
      <c r="M40" s="825"/>
      <c r="N40" s="826">
        <v>1279</v>
      </c>
      <c r="O40" s="826">
        <v>11807</v>
      </c>
      <c r="P40" s="826">
        <v>0</v>
      </c>
      <c r="Q40" s="825">
        <v>2426</v>
      </c>
      <c r="R40" s="825"/>
      <c r="S40" s="826">
        <v>9757</v>
      </c>
      <c r="T40" s="827">
        <v>583</v>
      </c>
      <c r="U40" s="827">
        <v>10340</v>
      </c>
    </row>
    <row r="41" spans="1:21" x14ac:dyDescent="0.25">
      <c r="A41" s="822">
        <v>90501</v>
      </c>
      <c r="B41" s="823" t="s">
        <v>2612</v>
      </c>
      <c r="C41" s="824">
        <v>1.4001E-3</v>
      </c>
      <c r="D41" s="824">
        <v>1.4352E-3</v>
      </c>
      <c r="E41" s="825">
        <v>603983</v>
      </c>
      <c r="F41" s="825">
        <v>644109</v>
      </c>
      <c r="G41" s="825">
        <v>2971481</v>
      </c>
      <c r="H41" s="825"/>
      <c r="I41" s="826">
        <v>55829</v>
      </c>
      <c r="J41" s="826">
        <v>2603965</v>
      </c>
      <c r="K41" s="826">
        <v>203520</v>
      </c>
      <c r="L41" s="825">
        <v>46994</v>
      </c>
      <c r="M41" s="825"/>
      <c r="N41" s="826">
        <v>104124</v>
      </c>
      <c r="O41" s="826">
        <v>961110</v>
      </c>
      <c r="P41" s="826">
        <v>0</v>
      </c>
      <c r="Q41" s="825">
        <v>0</v>
      </c>
      <c r="R41" s="825"/>
      <c r="S41" s="826">
        <v>794233</v>
      </c>
      <c r="T41" s="827">
        <v>20332</v>
      </c>
      <c r="U41" s="827">
        <v>814566</v>
      </c>
    </row>
    <row r="42" spans="1:21" x14ac:dyDescent="0.25">
      <c r="A42" s="822">
        <v>90507</v>
      </c>
      <c r="B42" s="823" t="s">
        <v>1207</v>
      </c>
      <c r="C42" s="824">
        <v>7.3000000000000004E-6</v>
      </c>
      <c r="D42" s="824">
        <v>7.7000000000000008E-6</v>
      </c>
      <c r="E42" s="825">
        <v>9534.18</v>
      </c>
      <c r="F42" s="825">
        <v>3456</v>
      </c>
      <c r="G42" s="825">
        <v>15493</v>
      </c>
      <c r="H42" s="825"/>
      <c r="I42" s="826">
        <v>291</v>
      </c>
      <c r="J42" s="826">
        <v>13577</v>
      </c>
      <c r="K42" s="826">
        <v>1061</v>
      </c>
      <c r="L42" s="825">
        <v>8871</v>
      </c>
      <c r="M42" s="825"/>
      <c r="N42" s="826">
        <v>543</v>
      </c>
      <c r="O42" s="826">
        <v>5011</v>
      </c>
      <c r="P42" s="826">
        <v>0</v>
      </c>
      <c r="Q42" s="825">
        <v>0</v>
      </c>
      <c r="R42" s="825"/>
      <c r="S42" s="826">
        <v>4141</v>
      </c>
      <c r="T42" s="827">
        <v>2759</v>
      </c>
      <c r="U42" s="827">
        <v>6900</v>
      </c>
    </row>
    <row r="43" spans="1:21" x14ac:dyDescent="0.25">
      <c r="A43" s="822">
        <v>90511</v>
      </c>
      <c r="B43" s="823" t="s">
        <v>2613</v>
      </c>
      <c r="C43" s="824">
        <v>9.5500000000000004E-5</v>
      </c>
      <c r="D43" s="824">
        <v>9.0699999999999996E-5</v>
      </c>
      <c r="E43" s="825">
        <v>45634.76</v>
      </c>
      <c r="F43" s="825">
        <v>40706</v>
      </c>
      <c r="G43" s="825">
        <v>202683</v>
      </c>
      <c r="H43" s="825"/>
      <c r="I43" s="826">
        <v>3808.0625</v>
      </c>
      <c r="J43" s="826">
        <v>177615</v>
      </c>
      <c r="K43" s="826">
        <v>13882</v>
      </c>
      <c r="L43" s="825">
        <v>15579</v>
      </c>
      <c r="M43" s="825"/>
      <c r="N43" s="826">
        <v>7102</v>
      </c>
      <c r="O43" s="826">
        <v>65557</v>
      </c>
      <c r="P43" s="826">
        <v>0</v>
      </c>
      <c r="Q43" s="825">
        <v>0</v>
      </c>
      <c r="R43" s="825"/>
      <c r="S43" s="826">
        <v>54174</v>
      </c>
      <c r="T43" s="827">
        <v>5418</v>
      </c>
      <c r="U43" s="827">
        <v>59592</v>
      </c>
    </row>
    <row r="44" spans="1:21" x14ac:dyDescent="0.25">
      <c r="A44" s="822">
        <v>90521</v>
      </c>
      <c r="B44" s="823" t="s">
        <v>2614</v>
      </c>
      <c r="C44" s="824">
        <v>1.395E-4</v>
      </c>
      <c r="D44" s="824">
        <v>1.451E-4</v>
      </c>
      <c r="E44" s="825">
        <v>47723.41</v>
      </c>
      <c r="F44" s="825">
        <v>65120</v>
      </c>
      <c r="G44" s="825">
        <v>296066</v>
      </c>
      <c r="H44" s="825"/>
      <c r="I44" s="826">
        <v>5562.5625</v>
      </c>
      <c r="J44" s="826">
        <v>259448</v>
      </c>
      <c r="K44" s="826">
        <v>20278</v>
      </c>
      <c r="L44" s="825">
        <v>0</v>
      </c>
      <c r="M44" s="825"/>
      <c r="N44" s="826">
        <v>10374</v>
      </c>
      <c r="O44" s="826">
        <v>95761</v>
      </c>
      <c r="P44" s="826">
        <v>0</v>
      </c>
      <c r="Q44" s="825">
        <v>17468</v>
      </c>
      <c r="R44" s="825"/>
      <c r="S44" s="826">
        <v>79134</v>
      </c>
      <c r="T44" s="827">
        <v>-5509</v>
      </c>
      <c r="U44" s="827">
        <v>73625</v>
      </c>
    </row>
    <row r="45" spans="1:21" x14ac:dyDescent="0.25">
      <c r="A45" s="822">
        <v>90601</v>
      </c>
      <c r="B45" s="823" t="s">
        <v>2615</v>
      </c>
      <c r="C45" s="824">
        <v>1.1785999999999999E-3</v>
      </c>
      <c r="D45" s="824">
        <v>1.2051E-3</v>
      </c>
      <c r="E45" s="825">
        <v>469146.06</v>
      </c>
      <c r="F45" s="825">
        <v>540842</v>
      </c>
      <c r="G45" s="825">
        <v>2501384</v>
      </c>
      <c r="H45" s="825"/>
      <c r="I45" s="826">
        <v>46997</v>
      </c>
      <c r="J45" s="826">
        <v>2192010</v>
      </c>
      <c r="K45" s="826">
        <v>171322</v>
      </c>
      <c r="L45" s="825">
        <v>32298</v>
      </c>
      <c r="M45" s="825"/>
      <c r="N45" s="826">
        <v>87651</v>
      </c>
      <c r="O45" s="826">
        <v>809059</v>
      </c>
      <c r="P45" s="826">
        <v>0</v>
      </c>
      <c r="Q45" s="825">
        <v>26702</v>
      </c>
      <c r="R45" s="825"/>
      <c r="S45" s="826">
        <v>668583</v>
      </c>
      <c r="T45" s="827">
        <v>7604</v>
      </c>
      <c r="U45" s="827">
        <v>676188</v>
      </c>
    </row>
    <row r="46" spans="1:21" x14ac:dyDescent="0.25">
      <c r="A46" s="822">
        <v>90602</v>
      </c>
      <c r="B46" s="823" t="s">
        <v>2122</v>
      </c>
      <c r="C46" s="824">
        <v>6.3299999999999994E-5</v>
      </c>
      <c r="D46" s="824">
        <v>0</v>
      </c>
      <c r="E46" s="825">
        <v>31566.720000000001</v>
      </c>
      <c r="F46" s="825">
        <v>0</v>
      </c>
      <c r="G46" s="825">
        <v>134344</v>
      </c>
      <c r="H46" s="825"/>
      <c r="I46" s="826">
        <v>2524</v>
      </c>
      <c r="J46" s="826">
        <v>117728</v>
      </c>
      <c r="K46" s="826">
        <v>9201</v>
      </c>
      <c r="L46" s="825">
        <v>46975</v>
      </c>
      <c r="M46" s="825"/>
      <c r="N46" s="826">
        <v>4708</v>
      </c>
      <c r="O46" s="826">
        <v>43453</v>
      </c>
      <c r="P46" s="826">
        <v>0</v>
      </c>
      <c r="Q46" s="825">
        <v>0</v>
      </c>
      <c r="R46" s="825"/>
      <c r="S46" s="826">
        <v>35908</v>
      </c>
      <c r="T46" s="827">
        <v>12962</v>
      </c>
      <c r="U46" s="827">
        <v>48870</v>
      </c>
    </row>
    <row r="47" spans="1:21" x14ac:dyDescent="0.25">
      <c r="A47" s="822">
        <v>90605</v>
      </c>
      <c r="B47" s="823" t="s">
        <v>2616</v>
      </c>
      <c r="C47" s="824">
        <v>3.8399999999999998E-5</v>
      </c>
      <c r="D47" s="824">
        <v>3.6399999999999997E-5</v>
      </c>
      <c r="E47" s="825">
        <v>22332.880000000001</v>
      </c>
      <c r="F47" s="825">
        <v>16336</v>
      </c>
      <c r="G47" s="825">
        <v>81498</v>
      </c>
      <c r="H47" s="825"/>
      <c r="I47" s="826">
        <v>1531</v>
      </c>
      <c r="J47" s="826">
        <v>71418</v>
      </c>
      <c r="K47" s="826">
        <v>5582</v>
      </c>
      <c r="L47" s="825">
        <v>11852</v>
      </c>
      <c r="M47" s="825"/>
      <c r="N47" s="826">
        <v>2856</v>
      </c>
      <c r="O47" s="826">
        <v>26360</v>
      </c>
      <c r="P47" s="826">
        <v>0</v>
      </c>
      <c r="Q47" s="825">
        <v>0</v>
      </c>
      <c r="R47" s="825"/>
      <c r="S47" s="826">
        <v>21783</v>
      </c>
      <c r="T47" s="827">
        <v>3784</v>
      </c>
      <c r="U47" s="827">
        <v>25567</v>
      </c>
    </row>
    <row r="48" spans="1:21" x14ac:dyDescent="0.25">
      <c r="A48" s="822">
        <v>90611</v>
      </c>
      <c r="B48" s="823" t="s">
        <v>2617</v>
      </c>
      <c r="C48" s="824">
        <v>1.5669999999999999E-4</v>
      </c>
      <c r="D48" s="824">
        <v>1.663E-4</v>
      </c>
      <c r="E48" s="825">
        <v>56254</v>
      </c>
      <c r="F48" s="825">
        <v>74634</v>
      </c>
      <c r="G48" s="825">
        <v>332570</v>
      </c>
      <c r="H48" s="825"/>
      <c r="I48" s="826">
        <v>6248</v>
      </c>
      <c r="J48" s="826">
        <v>291437</v>
      </c>
      <c r="K48" s="826">
        <v>22778</v>
      </c>
      <c r="L48" s="825">
        <v>5072.51</v>
      </c>
      <c r="M48" s="825"/>
      <c r="N48" s="826">
        <v>11654</v>
      </c>
      <c r="O48" s="826">
        <v>107568</v>
      </c>
      <c r="P48" s="826">
        <v>0</v>
      </c>
      <c r="Q48" s="825">
        <v>13074</v>
      </c>
      <c r="R48" s="825"/>
      <c r="S48" s="826">
        <v>88891</v>
      </c>
      <c r="T48" s="827">
        <v>-969</v>
      </c>
      <c r="U48" s="827">
        <v>87922</v>
      </c>
    </row>
    <row r="49" spans="1:21" x14ac:dyDescent="0.25">
      <c r="A49" s="822">
        <v>90617</v>
      </c>
      <c r="B49" s="823" t="s">
        <v>2618</v>
      </c>
      <c r="C49" s="824">
        <v>2.6800000000000001E-5</v>
      </c>
      <c r="D49" s="824">
        <v>2.6599999999999999E-5</v>
      </c>
      <c r="E49" s="825">
        <v>14103</v>
      </c>
      <c r="F49" s="825">
        <v>11938</v>
      </c>
      <c r="G49" s="825">
        <v>56879</v>
      </c>
      <c r="H49" s="825"/>
      <c r="I49" s="826">
        <v>1069</v>
      </c>
      <c r="J49" s="826">
        <v>49844</v>
      </c>
      <c r="K49" s="826">
        <v>3896</v>
      </c>
      <c r="L49" s="825">
        <v>8505</v>
      </c>
      <c r="M49" s="825"/>
      <c r="N49" s="826">
        <v>1993</v>
      </c>
      <c r="O49" s="826">
        <v>18397</v>
      </c>
      <c r="P49" s="826">
        <v>0</v>
      </c>
      <c r="Q49" s="825">
        <v>0</v>
      </c>
      <c r="R49" s="825"/>
      <c r="S49" s="826">
        <v>15203</v>
      </c>
      <c r="T49" s="827">
        <v>3445</v>
      </c>
      <c r="U49" s="827">
        <v>18647</v>
      </c>
    </row>
    <row r="50" spans="1:21" x14ac:dyDescent="0.25">
      <c r="A50" s="822">
        <v>90621</v>
      </c>
      <c r="B50" s="823" t="s">
        <v>2619</v>
      </c>
      <c r="C50" s="824">
        <v>8.2100000000000003E-5</v>
      </c>
      <c r="D50" s="824">
        <v>7.9400000000000006E-5</v>
      </c>
      <c r="E50" s="825">
        <v>28252</v>
      </c>
      <c r="F50" s="825">
        <v>35634</v>
      </c>
      <c r="G50" s="825">
        <v>174244</v>
      </c>
      <c r="H50" s="825"/>
      <c r="I50" s="826">
        <v>3274</v>
      </c>
      <c r="J50" s="826">
        <v>152693</v>
      </c>
      <c r="K50" s="826">
        <v>11934</v>
      </c>
      <c r="L50" s="825">
        <v>1182</v>
      </c>
      <c r="M50" s="825"/>
      <c r="N50" s="826">
        <v>6106</v>
      </c>
      <c r="O50" s="826">
        <v>56358</v>
      </c>
      <c r="P50" s="826">
        <v>0</v>
      </c>
      <c r="Q50" s="825">
        <v>7913</v>
      </c>
      <c r="R50" s="825"/>
      <c r="S50" s="826">
        <v>46573</v>
      </c>
      <c r="T50" s="827">
        <v>-1933</v>
      </c>
      <c r="U50" s="827">
        <v>44639</v>
      </c>
    </row>
    <row r="51" spans="1:21" x14ac:dyDescent="0.25">
      <c r="A51" s="822">
        <v>90631</v>
      </c>
      <c r="B51" s="823" t="s">
        <v>2620</v>
      </c>
      <c r="C51" s="824">
        <v>3.8000000000000002E-4</v>
      </c>
      <c r="D51" s="824">
        <v>3.4539999999999999E-4</v>
      </c>
      <c r="E51" s="825">
        <v>153531.72</v>
      </c>
      <c r="F51" s="825">
        <v>155013</v>
      </c>
      <c r="G51" s="825">
        <v>806487.3</v>
      </c>
      <c r="H51" s="825"/>
      <c r="I51" s="826">
        <v>15152.5</v>
      </c>
      <c r="J51" s="826">
        <v>706740</v>
      </c>
      <c r="K51" s="826">
        <v>55237.18</v>
      </c>
      <c r="L51" s="825">
        <v>16567</v>
      </c>
      <c r="M51" s="825"/>
      <c r="N51" s="826">
        <v>28260.22</v>
      </c>
      <c r="O51" s="826">
        <v>260854.04</v>
      </c>
      <c r="P51" s="826">
        <v>0</v>
      </c>
      <c r="Q51" s="825">
        <v>14381</v>
      </c>
      <c r="R51" s="825"/>
      <c r="S51" s="826">
        <v>215562.22</v>
      </c>
      <c r="T51" s="827">
        <v>-1856</v>
      </c>
      <c r="U51" s="827">
        <v>213706</v>
      </c>
    </row>
    <row r="52" spans="1:21" x14ac:dyDescent="0.25">
      <c r="A52" s="822">
        <v>90641</v>
      </c>
      <c r="B52" s="823" t="s">
        <v>2621</v>
      </c>
      <c r="C52" s="824">
        <v>1.4399999999999999E-5</v>
      </c>
      <c r="D52" s="824">
        <v>1.5400000000000002E-5</v>
      </c>
      <c r="E52" s="825">
        <v>5940.04</v>
      </c>
      <c r="F52" s="825">
        <v>6911</v>
      </c>
      <c r="G52" s="825">
        <v>30562</v>
      </c>
      <c r="H52" s="825"/>
      <c r="I52" s="826">
        <v>574</v>
      </c>
      <c r="J52" s="826">
        <v>26782</v>
      </c>
      <c r="K52" s="826">
        <v>2093</v>
      </c>
      <c r="L52" s="825">
        <v>340</v>
      </c>
      <c r="M52" s="825"/>
      <c r="N52" s="826">
        <v>1071</v>
      </c>
      <c r="O52" s="826">
        <v>9885</v>
      </c>
      <c r="P52" s="826">
        <v>0</v>
      </c>
      <c r="Q52" s="825">
        <v>782</v>
      </c>
      <c r="R52" s="825"/>
      <c r="S52" s="826">
        <v>8169</v>
      </c>
      <c r="T52" s="827">
        <v>-144</v>
      </c>
      <c r="U52" s="827">
        <v>8025</v>
      </c>
    </row>
    <row r="53" spans="1:21" x14ac:dyDescent="0.25">
      <c r="A53" s="822">
        <v>90651</v>
      </c>
      <c r="B53" s="823" t="s">
        <v>2622</v>
      </c>
      <c r="C53" s="824">
        <v>1.108E-4</v>
      </c>
      <c r="D53" s="824">
        <v>1.042E-4</v>
      </c>
      <c r="E53" s="825">
        <v>96248</v>
      </c>
      <c r="F53" s="825">
        <v>46764</v>
      </c>
      <c r="G53" s="825">
        <v>235155</v>
      </c>
      <c r="H53" s="825"/>
      <c r="I53" s="826">
        <v>4418</v>
      </c>
      <c r="J53" s="826">
        <v>206070</v>
      </c>
      <c r="K53" s="826">
        <v>16106</v>
      </c>
      <c r="L53" s="825">
        <v>73167</v>
      </c>
      <c r="M53" s="825"/>
      <c r="N53" s="826">
        <v>8240</v>
      </c>
      <c r="O53" s="826">
        <v>76060</v>
      </c>
      <c r="P53" s="826">
        <v>0</v>
      </c>
      <c r="Q53" s="825">
        <v>9364.94</v>
      </c>
      <c r="R53" s="825"/>
      <c r="S53" s="826">
        <v>62853</v>
      </c>
      <c r="T53" s="827">
        <v>17052</v>
      </c>
      <c r="U53" s="827">
        <v>79906</v>
      </c>
    </row>
    <row r="54" spans="1:21" x14ac:dyDescent="0.25">
      <c r="A54" s="822">
        <v>90701</v>
      </c>
      <c r="B54" s="823" t="s">
        <v>2623</v>
      </c>
      <c r="C54" s="824">
        <v>2.3587E-3</v>
      </c>
      <c r="D54" s="824">
        <v>2.3326000000000002E-3</v>
      </c>
      <c r="E54" s="825">
        <v>908617.53</v>
      </c>
      <c r="F54" s="825">
        <v>1046857</v>
      </c>
      <c r="G54" s="825">
        <v>5005952</v>
      </c>
      <c r="H54" s="825"/>
      <c r="I54" s="826">
        <v>94053</v>
      </c>
      <c r="J54" s="826">
        <v>4386809</v>
      </c>
      <c r="K54" s="826">
        <v>342863</v>
      </c>
      <c r="L54" s="825">
        <v>35812.04</v>
      </c>
      <c r="M54" s="825"/>
      <c r="N54" s="826">
        <v>175414</v>
      </c>
      <c r="O54" s="826">
        <v>1619148</v>
      </c>
      <c r="P54" s="826">
        <v>0</v>
      </c>
      <c r="Q54" s="825">
        <v>44222</v>
      </c>
      <c r="R54" s="825"/>
      <c r="S54" s="826">
        <v>1338017</v>
      </c>
      <c r="T54" s="827">
        <v>5621</v>
      </c>
      <c r="U54" s="827">
        <v>1343639</v>
      </c>
    </row>
    <row r="55" spans="1:21" x14ac:dyDescent="0.25">
      <c r="A55" s="822">
        <v>90704</v>
      </c>
      <c r="B55" s="823" t="s">
        <v>2624</v>
      </c>
      <c r="C55" s="824">
        <v>3.4900000000000001E-5</v>
      </c>
      <c r="D55" s="824">
        <v>3.3300000000000003E-5</v>
      </c>
      <c r="E55" s="825">
        <v>22788</v>
      </c>
      <c r="F55" s="825">
        <v>14945</v>
      </c>
      <c r="G55" s="825">
        <v>74069</v>
      </c>
      <c r="H55" s="825"/>
      <c r="I55" s="826">
        <v>1392</v>
      </c>
      <c r="J55" s="826">
        <v>64908</v>
      </c>
      <c r="K55" s="826">
        <v>5073</v>
      </c>
      <c r="L55" s="825">
        <v>13042</v>
      </c>
      <c r="M55" s="825"/>
      <c r="N55" s="826">
        <v>2595</v>
      </c>
      <c r="O55" s="826">
        <v>23957</v>
      </c>
      <c r="P55" s="826">
        <v>0</v>
      </c>
      <c r="Q55" s="825">
        <v>0</v>
      </c>
      <c r="R55" s="825"/>
      <c r="S55" s="826">
        <v>19798</v>
      </c>
      <c r="T55" s="827">
        <v>4197</v>
      </c>
      <c r="U55" s="827">
        <v>23995</v>
      </c>
    </row>
    <row r="56" spans="1:21" x14ac:dyDescent="0.25">
      <c r="A56" s="822">
        <v>90705</v>
      </c>
      <c r="B56" s="823" t="s">
        <v>2625</v>
      </c>
      <c r="C56" s="824">
        <v>3.3899999999999997E-5</v>
      </c>
      <c r="D56" s="824">
        <v>3.0599999999999998E-5</v>
      </c>
      <c r="E56" s="825">
        <v>17670</v>
      </c>
      <c r="F56" s="825">
        <v>13733</v>
      </c>
      <c r="G56" s="825">
        <v>71947</v>
      </c>
      <c r="H56" s="825"/>
      <c r="I56" s="826">
        <v>1352</v>
      </c>
      <c r="J56" s="826">
        <v>63049</v>
      </c>
      <c r="K56" s="826">
        <v>4928</v>
      </c>
      <c r="L56" s="825">
        <v>9785</v>
      </c>
      <c r="M56" s="825"/>
      <c r="N56" s="826">
        <v>2521</v>
      </c>
      <c r="O56" s="826">
        <v>23271</v>
      </c>
      <c r="P56" s="826">
        <v>0</v>
      </c>
      <c r="Q56" s="825">
        <v>0</v>
      </c>
      <c r="R56" s="825"/>
      <c r="S56" s="826">
        <v>19230</v>
      </c>
      <c r="T56" s="827">
        <v>3239</v>
      </c>
      <c r="U56" s="827">
        <v>22470</v>
      </c>
    </row>
    <row r="57" spans="1:21" x14ac:dyDescent="0.25">
      <c r="A57" s="822">
        <v>90709</v>
      </c>
      <c r="B57" s="823" t="s">
        <v>2626</v>
      </c>
      <c r="C57" s="824">
        <v>1.4569999999999999E-4</v>
      </c>
      <c r="D57" s="824">
        <v>2.1790000000000001E-4</v>
      </c>
      <c r="E57" s="825">
        <v>59289.13</v>
      </c>
      <c r="F57" s="825">
        <v>97792</v>
      </c>
      <c r="G57" s="825">
        <v>309224</v>
      </c>
      <c r="H57" s="825"/>
      <c r="I57" s="826">
        <v>5810</v>
      </c>
      <c r="J57" s="826">
        <v>270979</v>
      </c>
      <c r="K57" s="826">
        <v>21179</v>
      </c>
      <c r="L57" s="825">
        <v>10221</v>
      </c>
      <c r="M57" s="825"/>
      <c r="N57" s="826">
        <v>10836</v>
      </c>
      <c r="O57" s="826">
        <v>100017</v>
      </c>
      <c r="P57" s="826">
        <v>0</v>
      </c>
      <c r="Q57" s="825">
        <v>44565</v>
      </c>
      <c r="R57" s="825"/>
      <c r="S57" s="826">
        <v>82651</v>
      </c>
      <c r="T57" s="827">
        <v>-6883</v>
      </c>
      <c r="U57" s="827">
        <v>75769</v>
      </c>
    </row>
    <row r="58" spans="1:21" x14ac:dyDescent="0.25">
      <c r="A58" s="822">
        <v>90711</v>
      </c>
      <c r="B58" s="823" t="s">
        <v>2627</v>
      </c>
      <c r="C58" s="824">
        <v>1.7302000000000001E-3</v>
      </c>
      <c r="D58" s="824">
        <v>1.8802000000000001E-3</v>
      </c>
      <c r="E58" s="825">
        <v>667293.38</v>
      </c>
      <c r="F58" s="825">
        <v>843822</v>
      </c>
      <c r="G58" s="825">
        <v>3672064</v>
      </c>
      <c r="H58" s="825"/>
      <c r="I58" s="826">
        <v>68992</v>
      </c>
      <c r="J58" s="826">
        <v>3217899</v>
      </c>
      <c r="K58" s="826">
        <v>251504</v>
      </c>
      <c r="L58" s="825">
        <v>0</v>
      </c>
      <c r="M58" s="825"/>
      <c r="N58" s="826">
        <v>128673</v>
      </c>
      <c r="O58" s="826">
        <v>1187710</v>
      </c>
      <c r="P58" s="826">
        <v>0</v>
      </c>
      <c r="Q58" s="825">
        <v>193488</v>
      </c>
      <c r="R58" s="825"/>
      <c r="S58" s="826">
        <v>981489</v>
      </c>
      <c r="T58" s="827">
        <v>-61566</v>
      </c>
      <c r="U58" s="827">
        <v>919922</v>
      </c>
    </row>
    <row r="59" spans="1:21" x14ac:dyDescent="0.25">
      <c r="A59" s="822">
        <v>90721</v>
      </c>
      <c r="B59" s="823" t="s">
        <v>2628</v>
      </c>
      <c r="C59" s="824">
        <v>3.7299999999999999E-5</v>
      </c>
      <c r="D59" s="824">
        <v>3.82E-5</v>
      </c>
      <c r="E59" s="825">
        <v>14531.46</v>
      </c>
      <c r="F59" s="825">
        <v>17144</v>
      </c>
      <c r="G59" s="825">
        <v>79163</v>
      </c>
      <c r="H59" s="825"/>
      <c r="I59" s="826">
        <v>1487</v>
      </c>
      <c r="J59" s="826">
        <v>69372</v>
      </c>
      <c r="K59" s="826">
        <v>5422</v>
      </c>
      <c r="L59" s="825">
        <v>5347</v>
      </c>
      <c r="M59" s="825"/>
      <c r="N59" s="826">
        <v>2774</v>
      </c>
      <c r="O59" s="826">
        <v>25605</v>
      </c>
      <c r="P59" s="826">
        <v>0</v>
      </c>
      <c r="Q59" s="825">
        <v>1129</v>
      </c>
      <c r="R59" s="825"/>
      <c r="S59" s="826">
        <v>21159</v>
      </c>
      <c r="T59" s="827">
        <v>2098</v>
      </c>
      <c r="U59" s="827">
        <v>23258</v>
      </c>
    </row>
    <row r="60" spans="1:21" x14ac:dyDescent="0.25">
      <c r="A60" s="822">
        <v>90731</v>
      </c>
      <c r="B60" s="823" t="s">
        <v>2629</v>
      </c>
      <c r="C60" s="824">
        <v>1.917E-4</v>
      </c>
      <c r="D60" s="824">
        <v>1.9459999999999999E-4</v>
      </c>
      <c r="E60" s="825">
        <v>77066</v>
      </c>
      <c r="F60" s="825">
        <v>87335</v>
      </c>
      <c r="G60" s="825">
        <v>406852</v>
      </c>
      <c r="H60" s="825"/>
      <c r="I60" s="826">
        <v>7644</v>
      </c>
      <c r="J60" s="826">
        <v>356532</v>
      </c>
      <c r="K60" s="826">
        <v>27866</v>
      </c>
      <c r="L60" s="825">
        <v>0</v>
      </c>
      <c r="M60" s="825"/>
      <c r="N60" s="826">
        <v>14257</v>
      </c>
      <c r="O60" s="826">
        <v>131594</v>
      </c>
      <c r="P60" s="826">
        <v>0</v>
      </c>
      <c r="Q60" s="825">
        <v>10037</v>
      </c>
      <c r="R60" s="825"/>
      <c r="S60" s="826">
        <v>108745</v>
      </c>
      <c r="T60" s="827">
        <v>-3998</v>
      </c>
      <c r="U60" s="827">
        <v>104747</v>
      </c>
    </row>
    <row r="61" spans="1:21" x14ac:dyDescent="0.25">
      <c r="A61" s="822">
        <v>90741</v>
      </c>
      <c r="B61" s="823" t="s">
        <v>2630</v>
      </c>
      <c r="C61" s="824">
        <v>1.2099999999999999E-5</v>
      </c>
      <c r="D61" s="824">
        <v>1.2799999999999999E-5</v>
      </c>
      <c r="E61" s="825">
        <v>6754</v>
      </c>
      <c r="F61" s="825">
        <v>5745</v>
      </c>
      <c r="G61" s="825">
        <v>25680</v>
      </c>
      <c r="H61" s="825"/>
      <c r="I61" s="826">
        <v>482</v>
      </c>
      <c r="J61" s="826">
        <v>22504</v>
      </c>
      <c r="K61" s="826">
        <v>1759</v>
      </c>
      <c r="L61" s="825">
        <v>3208</v>
      </c>
      <c r="M61" s="825"/>
      <c r="N61" s="826">
        <v>900</v>
      </c>
      <c r="O61" s="826">
        <v>8306</v>
      </c>
      <c r="P61" s="826">
        <v>0</v>
      </c>
      <c r="Q61" s="825">
        <v>1496</v>
      </c>
      <c r="R61" s="825"/>
      <c r="S61" s="826">
        <v>6864</v>
      </c>
      <c r="T61" s="827">
        <v>287</v>
      </c>
      <c r="U61" s="827">
        <v>7151</v>
      </c>
    </row>
    <row r="62" spans="1:21" x14ac:dyDescent="0.25">
      <c r="A62" s="822">
        <v>90751</v>
      </c>
      <c r="B62" s="823" t="s">
        <v>2631</v>
      </c>
      <c r="C62" s="824">
        <v>6.5599999999999995E-5</v>
      </c>
      <c r="D62" s="824">
        <v>6.2000000000000003E-5</v>
      </c>
      <c r="E62" s="825">
        <v>24796.57</v>
      </c>
      <c r="F62" s="825">
        <v>27825</v>
      </c>
      <c r="G62" s="825">
        <v>139225</v>
      </c>
      <c r="H62" s="825"/>
      <c r="I62" s="826">
        <v>2616</v>
      </c>
      <c r="J62" s="826">
        <v>122006</v>
      </c>
      <c r="K62" s="826">
        <v>9536</v>
      </c>
      <c r="L62" s="825">
        <v>8610</v>
      </c>
      <c r="M62" s="825"/>
      <c r="N62" s="826">
        <v>4879</v>
      </c>
      <c r="O62" s="826">
        <v>45032</v>
      </c>
      <c r="P62" s="826">
        <v>0</v>
      </c>
      <c r="Q62" s="825">
        <v>0</v>
      </c>
      <c r="R62" s="825"/>
      <c r="S62" s="826">
        <v>37213</v>
      </c>
      <c r="T62" s="827">
        <v>3670</v>
      </c>
      <c r="U62" s="827">
        <v>40883</v>
      </c>
    </row>
    <row r="63" spans="1:21" x14ac:dyDescent="0.25">
      <c r="A63" s="822">
        <v>90801</v>
      </c>
      <c r="B63" s="823" t="s">
        <v>2632</v>
      </c>
      <c r="C63" s="824">
        <v>1.1404E-3</v>
      </c>
      <c r="D63" s="824">
        <v>1.0472000000000001E-3</v>
      </c>
      <c r="E63" s="825">
        <v>442982.95</v>
      </c>
      <c r="F63" s="825">
        <v>469977</v>
      </c>
      <c r="G63" s="825">
        <v>2420311</v>
      </c>
      <c r="H63" s="825"/>
      <c r="I63" s="826">
        <v>45473.45</v>
      </c>
      <c r="J63" s="826">
        <v>2120964</v>
      </c>
      <c r="K63" s="826">
        <v>165770</v>
      </c>
      <c r="L63" s="825">
        <v>156481</v>
      </c>
      <c r="M63" s="825"/>
      <c r="N63" s="826">
        <v>84810</v>
      </c>
      <c r="O63" s="826">
        <v>782837</v>
      </c>
      <c r="P63" s="826">
        <v>0</v>
      </c>
      <c r="Q63" s="825">
        <v>0</v>
      </c>
      <c r="R63" s="825"/>
      <c r="S63" s="826">
        <v>646914</v>
      </c>
      <c r="T63" s="827">
        <v>53264</v>
      </c>
      <c r="U63" s="827">
        <v>700177</v>
      </c>
    </row>
    <row r="64" spans="1:21" x14ac:dyDescent="0.25">
      <c r="A64" s="822">
        <v>90804</v>
      </c>
      <c r="B64" s="823" t="s">
        <v>2633</v>
      </c>
      <c r="C64" s="824">
        <v>6.0000000000000002E-6</v>
      </c>
      <c r="D64" s="824">
        <v>4.6999999999999999E-6</v>
      </c>
      <c r="E64" s="825">
        <v>2490.12</v>
      </c>
      <c r="F64" s="825">
        <v>2109</v>
      </c>
      <c r="G64" s="825">
        <v>12734.01</v>
      </c>
      <c r="H64" s="825"/>
      <c r="I64" s="826">
        <v>239.25</v>
      </c>
      <c r="J64" s="826">
        <v>11159</v>
      </c>
      <c r="K64" s="826">
        <v>872</v>
      </c>
      <c r="L64" s="825">
        <v>2282</v>
      </c>
      <c r="M64" s="825"/>
      <c r="N64" s="826">
        <v>446</v>
      </c>
      <c r="O64" s="826">
        <v>4119</v>
      </c>
      <c r="P64" s="826">
        <v>0</v>
      </c>
      <c r="Q64" s="825">
        <v>0</v>
      </c>
      <c r="R64" s="825"/>
      <c r="S64" s="826">
        <v>3404</v>
      </c>
      <c r="T64" s="827">
        <v>878</v>
      </c>
      <c r="U64" s="827">
        <v>4282</v>
      </c>
    </row>
    <row r="65" spans="1:21" x14ac:dyDescent="0.25">
      <c r="A65" s="822">
        <v>90805</v>
      </c>
      <c r="B65" s="823" t="s">
        <v>2634</v>
      </c>
      <c r="C65" s="824">
        <v>5.5099999999999998E-5</v>
      </c>
      <c r="D65" s="824">
        <v>5.2800000000000003E-5</v>
      </c>
      <c r="E65" s="825">
        <v>34303</v>
      </c>
      <c r="F65" s="825">
        <v>23696</v>
      </c>
      <c r="G65" s="825">
        <v>116941</v>
      </c>
      <c r="H65" s="825"/>
      <c r="I65" s="826">
        <v>2197</v>
      </c>
      <c r="J65" s="826">
        <v>102477</v>
      </c>
      <c r="K65" s="826">
        <v>8009</v>
      </c>
      <c r="L65" s="825">
        <v>22372</v>
      </c>
      <c r="M65" s="825"/>
      <c r="N65" s="826">
        <v>4098</v>
      </c>
      <c r="O65" s="826">
        <v>37824</v>
      </c>
      <c r="P65" s="826">
        <v>0</v>
      </c>
      <c r="Q65" s="825">
        <v>0</v>
      </c>
      <c r="R65" s="825"/>
      <c r="S65" s="826">
        <v>31257</v>
      </c>
      <c r="T65" s="827">
        <v>7625</v>
      </c>
      <c r="U65" s="827">
        <v>38881</v>
      </c>
    </row>
    <row r="66" spans="1:21" x14ac:dyDescent="0.25">
      <c r="A66" s="822">
        <v>90808</v>
      </c>
      <c r="B66" s="823" t="s">
        <v>2635</v>
      </c>
      <c r="C66" s="824">
        <v>1.109E-4</v>
      </c>
      <c r="D66" s="824">
        <v>1.176E-4</v>
      </c>
      <c r="E66" s="825">
        <v>47437.34</v>
      </c>
      <c r="F66" s="825">
        <v>52778</v>
      </c>
      <c r="G66" s="825">
        <v>235367</v>
      </c>
      <c r="H66" s="825"/>
      <c r="I66" s="826">
        <v>4422</v>
      </c>
      <c r="J66" s="826">
        <v>206256</v>
      </c>
      <c r="K66" s="826">
        <v>16121</v>
      </c>
      <c r="L66" s="825">
        <v>1422</v>
      </c>
      <c r="M66" s="825"/>
      <c r="N66" s="826">
        <v>8248</v>
      </c>
      <c r="O66" s="826">
        <v>76128</v>
      </c>
      <c r="P66" s="826">
        <v>0</v>
      </c>
      <c r="Q66" s="825">
        <v>2972</v>
      </c>
      <c r="R66" s="825"/>
      <c r="S66" s="826">
        <v>62910</v>
      </c>
      <c r="T66" s="827">
        <v>-460</v>
      </c>
      <c r="U66" s="827">
        <v>62451</v>
      </c>
    </row>
    <row r="67" spans="1:21" x14ac:dyDescent="0.25">
      <c r="A67" s="822">
        <v>90811</v>
      </c>
      <c r="B67" s="823" t="s">
        <v>2636</v>
      </c>
      <c r="C67" s="824">
        <v>4.0000000000000003E-5</v>
      </c>
      <c r="D67" s="824">
        <v>3.6199999999999999E-5</v>
      </c>
      <c r="E67" s="825">
        <v>12069.34</v>
      </c>
      <c r="F67" s="825">
        <v>16246</v>
      </c>
      <c r="G67" s="825">
        <v>84893</v>
      </c>
      <c r="H67" s="825"/>
      <c r="I67" s="826">
        <v>1595</v>
      </c>
      <c r="J67" s="826">
        <v>74394</v>
      </c>
      <c r="K67" s="826">
        <v>5814</v>
      </c>
      <c r="L67" s="825">
        <v>947</v>
      </c>
      <c r="M67" s="825"/>
      <c r="N67" s="826">
        <v>2974.76</v>
      </c>
      <c r="O67" s="826">
        <v>27458</v>
      </c>
      <c r="P67" s="826">
        <v>0</v>
      </c>
      <c r="Q67" s="825">
        <v>2175</v>
      </c>
      <c r="R67" s="825"/>
      <c r="S67" s="826">
        <v>22691</v>
      </c>
      <c r="T67" s="827">
        <v>-159</v>
      </c>
      <c r="U67" s="827">
        <v>22531</v>
      </c>
    </row>
    <row r="68" spans="1:21" x14ac:dyDescent="0.25">
      <c r="A68" s="822">
        <v>90812</v>
      </c>
      <c r="B68" s="823" t="s">
        <v>2637</v>
      </c>
      <c r="C68" s="824">
        <v>2.13E-4</v>
      </c>
      <c r="D68" s="824">
        <v>2.409E-4</v>
      </c>
      <c r="E68" s="825">
        <v>88699.09</v>
      </c>
      <c r="F68" s="825">
        <v>108114</v>
      </c>
      <c r="G68" s="825">
        <v>452057</v>
      </c>
      <c r="H68" s="825"/>
      <c r="I68" s="826">
        <v>8493.375</v>
      </c>
      <c r="J68" s="826">
        <v>396146</v>
      </c>
      <c r="K68" s="826">
        <v>30962</v>
      </c>
      <c r="L68" s="825">
        <v>8573</v>
      </c>
      <c r="M68" s="825"/>
      <c r="N68" s="826">
        <v>15841</v>
      </c>
      <c r="O68" s="826">
        <v>146216</v>
      </c>
      <c r="P68" s="826">
        <v>0</v>
      </c>
      <c r="Q68" s="825">
        <v>14237</v>
      </c>
      <c r="R68" s="825"/>
      <c r="S68" s="826">
        <v>120828</v>
      </c>
      <c r="T68" s="827">
        <v>453</v>
      </c>
      <c r="U68" s="827">
        <v>121281</v>
      </c>
    </row>
    <row r="69" spans="1:21" x14ac:dyDescent="0.25">
      <c r="A69" s="822">
        <v>90813</v>
      </c>
      <c r="B69" s="823" t="s">
        <v>2638</v>
      </c>
      <c r="C69" s="824">
        <v>5.4999999999999999E-6</v>
      </c>
      <c r="D69" s="824">
        <v>5.4E-6</v>
      </c>
      <c r="E69" s="825">
        <v>1841</v>
      </c>
      <c r="F69" s="825">
        <v>2423</v>
      </c>
      <c r="G69" s="825">
        <v>11673</v>
      </c>
      <c r="H69" s="825"/>
      <c r="I69" s="826">
        <v>219.3125</v>
      </c>
      <c r="J69" s="826">
        <v>10229</v>
      </c>
      <c r="K69" s="826">
        <v>799</v>
      </c>
      <c r="L69" s="825">
        <v>0</v>
      </c>
      <c r="M69" s="825"/>
      <c r="N69" s="826">
        <v>409</v>
      </c>
      <c r="O69" s="826">
        <v>3776</v>
      </c>
      <c r="P69" s="826">
        <v>0</v>
      </c>
      <c r="Q69" s="825">
        <v>1089</v>
      </c>
      <c r="R69" s="825"/>
      <c r="S69" s="826">
        <v>3120</v>
      </c>
      <c r="T69" s="827">
        <v>-397</v>
      </c>
      <c r="U69" s="827">
        <v>2723</v>
      </c>
    </row>
    <row r="70" spans="1:21" x14ac:dyDescent="0.25">
      <c r="A70" s="822">
        <v>90861</v>
      </c>
      <c r="B70" s="823" t="s">
        <v>2639</v>
      </c>
      <c r="C70" s="824">
        <v>4.7999999999999998E-6</v>
      </c>
      <c r="D70" s="824">
        <v>5.3000000000000001E-6</v>
      </c>
      <c r="E70" s="825">
        <v>3510</v>
      </c>
      <c r="F70" s="825">
        <v>2379</v>
      </c>
      <c r="G70" s="825">
        <v>10187</v>
      </c>
      <c r="H70" s="825"/>
      <c r="I70" s="826">
        <v>191</v>
      </c>
      <c r="J70" s="826">
        <v>8927</v>
      </c>
      <c r="K70" s="826">
        <v>698</v>
      </c>
      <c r="L70" s="825">
        <v>3258</v>
      </c>
      <c r="M70" s="825"/>
      <c r="N70" s="826">
        <v>357</v>
      </c>
      <c r="O70" s="826">
        <v>3295</v>
      </c>
      <c r="P70" s="826">
        <v>0</v>
      </c>
      <c r="Q70" s="825">
        <v>2245</v>
      </c>
      <c r="R70" s="825"/>
      <c r="S70" s="826">
        <v>2723</v>
      </c>
      <c r="T70" s="827">
        <v>-63</v>
      </c>
      <c r="U70" s="827">
        <v>2659</v>
      </c>
    </row>
    <row r="71" spans="1:21" x14ac:dyDescent="0.25">
      <c r="A71" s="822">
        <v>90901</v>
      </c>
      <c r="B71" s="823" t="s">
        <v>2640</v>
      </c>
      <c r="C71" s="824">
        <v>2.1302999999999999E-3</v>
      </c>
      <c r="D71" s="824">
        <v>2.2187000000000001E-3</v>
      </c>
      <c r="E71" s="825">
        <v>886463</v>
      </c>
      <c r="F71" s="825">
        <v>995739</v>
      </c>
      <c r="G71" s="825">
        <v>4521210</v>
      </c>
      <c r="H71" s="825"/>
      <c r="I71" s="826">
        <v>84946</v>
      </c>
      <c r="J71" s="826">
        <v>3962021</v>
      </c>
      <c r="K71" s="826">
        <v>309663</v>
      </c>
      <c r="L71" s="825">
        <v>9118.18</v>
      </c>
      <c r="M71" s="825"/>
      <c r="N71" s="826">
        <v>158428</v>
      </c>
      <c r="O71" s="826">
        <v>1462361</v>
      </c>
      <c r="P71" s="826">
        <v>0</v>
      </c>
      <c r="Q71" s="825">
        <v>53019</v>
      </c>
      <c r="R71" s="825"/>
      <c r="S71" s="826">
        <v>1208453</v>
      </c>
      <c r="T71" s="827">
        <v>-10432</v>
      </c>
      <c r="U71" s="827">
        <v>1198021</v>
      </c>
    </row>
    <row r="72" spans="1:21" x14ac:dyDescent="0.25">
      <c r="A72" s="822">
        <v>90911</v>
      </c>
      <c r="B72" s="823" t="s">
        <v>2641</v>
      </c>
      <c r="C72" s="824">
        <v>3.6010000000000003E-4</v>
      </c>
      <c r="D72" s="824">
        <v>3.6860000000000001E-4</v>
      </c>
      <c r="E72" s="825">
        <v>130625.3</v>
      </c>
      <c r="F72" s="825">
        <v>165425</v>
      </c>
      <c r="G72" s="825">
        <v>764253</v>
      </c>
      <c r="H72" s="825"/>
      <c r="I72" s="826">
        <v>14359</v>
      </c>
      <c r="J72" s="826">
        <v>669729</v>
      </c>
      <c r="K72" s="826">
        <v>52344</v>
      </c>
      <c r="L72" s="825">
        <v>0</v>
      </c>
      <c r="M72" s="825"/>
      <c r="N72" s="826">
        <v>26780</v>
      </c>
      <c r="O72" s="826">
        <v>247194</v>
      </c>
      <c r="P72" s="826">
        <v>0</v>
      </c>
      <c r="Q72" s="825">
        <v>51509</v>
      </c>
      <c r="R72" s="825"/>
      <c r="S72" s="826">
        <v>204274</v>
      </c>
      <c r="T72" s="827">
        <v>-20027</v>
      </c>
      <c r="U72" s="827">
        <v>184246</v>
      </c>
    </row>
    <row r="73" spans="1:21" x14ac:dyDescent="0.25">
      <c r="A73" s="822">
        <v>90917</v>
      </c>
      <c r="B73" s="823" t="s">
        <v>2642</v>
      </c>
      <c r="C73" s="824">
        <v>1.42E-5</v>
      </c>
      <c r="D73" s="824">
        <v>1.01E-5</v>
      </c>
      <c r="E73" s="825">
        <v>5169</v>
      </c>
      <c r="F73" s="825">
        <v>4533</v>
      </c>
      <c r="G73" s="825">
        <v>30137</v>
      </c>
      <c r="H73" s="825"/>
      <c r="I73" s="826">
        <v>566.22500000000002</v>
      </c>
      <c r="J73" s="826">
        <v>26410</v>
      </c>
      <c r="K73" s="826">
        <v>2064</v>
      </c>
      <c r="L73" s="825">
        <v>2014</v>
      </c>
      <c r="M73" s="825"/>
      <c r="N73" s="826">
        <v>1056</v>
      </c>
      <c r="O73" s="826">
        <v>9748</v>
      </c>
      <c r="P73" s="826">
        <v>0</v>
      </c>
      <c r="Q73" s="825">
        <v>881.57</v>
      </c>
      <c r="R73" s="825"/>
      <c r="S73" s="826">
        <v>8055</v>
      </c>
      <c r="T73" s="827">
        <v>110</v>
      </c>
      <c r="U73" s="827">
        <v>8165</v>
      </c>
    </row>
    <row r="74" spans="1:21" x14ac:dyDescent="0.25">
      <c r="A74" s="822">
        <v>90918</v>
      </c>
      <c r="B74" s="823" t="s">
        <v>2643</v>
      </c>
      <c r="C74" s="824">
        <v>1.24E-5</v>
      </c>
      <c r="D74" s="824">
        <v>1.3499999999999999E-5</v>
      </c>
      <c r="E74" s="825">
        <v>4291.66</v>
      </c>
      <c r="F74" s="825">
        <v>6059</v>
      </c>
      <c r="G74" s="825">
        <v>26317</v>
      </c>
      <c r="H74" s="825"/>
      <c r="I74" s="826">
        <v>494.45</v>
      </c>
      <c r="J74" s="826">
        <v>23062</v>
      </c>
      <c r="K74" s="826">
        <v>1802</v>
      </c>
      <c r="L74" s="825">
        <v>0</v>
      </c>
      <c r="M74" s="825"/>
      <c r="N74" s="826">
        <v>922</v>
      </c>
      <c r="O74" s="826">
        <v>8512</v>
      </c>
      <c r="P74" s="826">
        <v>0</v>
      </c>
      <c r="Q74" s="825">
        <v>2531</v>
      </c>
      <c r="R74" s="825"/>
      <c r="S74" s="826">
        <v>7034</v>
      </c>
      <c r="T74" s="827">
        <v>-865</v>
      </c>
      <c r="U74" s="827">
        <v>6169</v>
      </c>
    </row>
    <row r="75" spans="1:21" x14ac:dyDescent="0.25">
      <c r="A75" s="822">
        <v>90921</v>
      </c>
      <c r="B75" s="823" t="s">
        <v>2644</v>
      </c>
      <c r="C75" s="824">
        <v>8.7399999999999997E-5</v>
      </c>
      <c r="D75" s="824">
        <v>1.149E-4</v>
      </c>
      <c r="E75" s="825">
        <v>45670.59</v>
      </c>
      <c r="F75" s="825">
        <v>51566</v>
      </c>
      <c r="G75" s="825">
        <v>185492</v>
      </c>
      <c r="H75" s="825"/>
      <c r="I75" s="826">
        <v>3485</v>
      </c>
      <c r="J75" s="826">
        <v>162550</v>
      </c>
      <c r="K75" s="826">
        <v>12705</v>
      </c>
      <c r="L75" s="825">
        <v>4488</v>
      </c>
      <c r="M75" s="825"/>
      <c r="N75" s="826">
        <v>6500</v>
      </c>
      <c r="O75" s="826">
        <v>59996</v>
      </c>
      <c r="P75" s="826">
        <v>0</v>
      </c>
      <c r="Q75" s="825">
        <v>10576</v>
      </c>
      <c r="R75" s="825"/>
      <c r="S75" s="826">
        <v>49579</v>
      </c>
      <c r="T75" s="827">
        <v>-1977</v>
      </c>
      <c r="U75" s="827">
        <v>47602</v>
      </c>
    </row>
    <row r="76" spans="1:21" x14ac:dyDescent="0.25">
      <c r="A76" s="822">
        <v>90931</v>
      </c>
      <c r="B76" s="823" t="s">
        <v>2645</v>
      </c>
      <c r="C76" s="824">
        <v>5.1900000000000001E-5</v>
      </c>
      <c r="D76" s="824">
        <v>6.2700000000000006E-5</v>
      </c>
      <c r="E76" s="825">
        <v>20869.29</v>
      </c>
      <c r="F76" s="825">
        <v>28139</v>
      </c>
      <c r="G76" s="825">
        <v>110149</v>
      </c>
      <c r="H76" s="825"/>
      <c r="I76" s="826">
        <v>2070</v>
      </c>
      <c r="J76" s="826">
        <v>96526</v>
      </c>
      <c r="K76" s="826">
        <v>7544</v>
      </c>
      <c r="L76" s="825">
        <v>6439</v>
      </c>
      <c r="M76" s="825"/>
      <c r="N76" s="826">
        <v>3860</v>
      </c>
      <c r="O76" s="826">
        <v>35627</v>
      </c>
      <c r="P76" s="826">
        <v>0</v>
      </c>
      <c r="Q76" s="825">
        <v>6227</v>
      </c>
      <c r="R76" s="825"/>
      <c r="S76" s="826">
        <v>29441</v>
      </c>
      <c r="T76" s="827">
        <v>1082</v>
      </c>
      <c r="U76" s="827">
        <v>30524</v>
      </c>
    </row>
    <row r="77" spans="1:21" x14ac:dyDescent="0.25">
      <c r="A77" s="822">
        <v>90941</v>
      </c>
      <c r="B77" s="823" t="s">
        <v>2646</v>
      </c>
      <c r="C77" s="824">
        <v>9.0799999999999998E-5</v>
      </c>
      <c r="D77" s="824">
        <v>8.1199999999999995E-5</v>
      </c>
      <c r="E77" s="825">
        <v>33657.32</v>
      </c>
      <c r="F77" s="825">
        <v>36442</v>
      </c>
      <c r="G77" s="825">
        <v>192708</v>
      </c>
      <c r="H77" s="825"/>
      <c r="I77" s="826">
        <v>3620.65</v>
      </c>
      <c r="J77" s="826">
        <v>168874</v>
      </c>
      <c r="K77" s="826">
        <v>13199</v>
      </c>
      <c r="L77" s="825">
        <v>2275</v>
      </c>
      <c r="M77" s="825"/>
      <c r="N77" s="826">
        <v>6753</v>
      </c>
      <c r="O77" s="826">
        <v>62330</v>
      </c>
      <c r="P77" s="826">
        <v>0</v>
      </c>
      <c r="Q77" s="825">
        <v>7609</v>
      </c>
      <c r="R77" s="825"/>
      <c r="S77" s="826">
        <v>51508</v>
      </c>
      <c r="T77" s="827">
        <v>-2188</v>
      </c>
      <c r="U77" s="827">
        <v>49320</v>
      </c>
    </row>
    <row r="78" spans="1:21" x14ac:dyDescent="0.25">
      <c r="A78" s="822">
        <v>91001</v>
      </c>
      <c r="B78" s="823" t="s">
        <v>2647</v>
      </c>
      <c r="C78" s="824">
        <v>6.6189999999999999E-3</v>
      </c>
      <c r="D78" s="824">
        <v>6.5719999999999997E-3</v>
      </c>
      <c r="E78" s="825">
        <v>2476167.31</v>
      </c>
      <c r="F78" s="825">
        <v>2949474</v>
      </c>
      <c r="G78" s="825">
        <v>14047735</v>
      </c>
      <c r="H78" s="825"/>
      <c r="I78" s="826">
        <v>263933</v>
      </c>
      <c r="J78" s="826">
        <v>12310294</v>
      </c>
      <c r="K78" s="826">
        <v>962144</v>
      </c>
      <c r="L78" s="825">
        <v>72024</v>
      </c>
      <c r="M78" s="825"/>
      <c r="N78" s="826">
        <v>492248</v>
      </c>
      <c r="O78" s="826">
        <v>4543666</v>
      </c>
      <c r="P78" s="826">
        <v>0</v>
      </c>
      <c r="Q78" s="825">
        <v>203248</v>
      </c>
      <c r="R78" s="825"/>
      <c r="S78" s="826">
        <v>3754754</v>
      </c>
      <c r="T78" s="827">
        <v>-19657</v>
      </c>
      <c r="U78" s="827">
        <v>3735096</v>
      </c>
    </row>
    <row r="79" spans="1:21" x14ac:dyDescent="0.25">
      <c r="A79" s="822">
        <v>91002</v>
      </c>
      <c r="B79" s="823" t="s">
        <v>2648</v>
      </c>
      <c r="C79" s="824">
        <v>5.6360000000000004E-4</v>
      </c>
      <c r="D79" s="824">
        <v>5.8929999999999996E-4</v>
      </c>
      <c r="E79" s="825">
        <v>198213.95</v>
      </c>
      <c r="F79" s="825">
        <v>264474</v>
      </c>
      <c r="G79" s="825">
        <v>1196148</v>
      </c>
      <c r="H79" s="825"/>
      <c r="I79" s="826">
        <v>22474</v>
      </c>
      <c r="J79" s="826">
        <v>1048207</v>
      </c>
      <c r="K79" s="826">
        <v>81925</v>
      </c>
      <c r="L79" s="825">
        <v>5287.43</v>
      </c>
      <c r="M79" s="825"/>
      <c r="N79" s="826">
        <v>41914</v>
      </c>
      <c r="O79" s="826">
        <v>386888</v>
      </c>
      <c r="P79" s="826">
        <v>0</v>
      </c>
      <c r="Q79" s="825">
        <v>69296</v>
      </c>
      <c r="R79" s="825"/>
      <c r="S79" s="826">
        <v>319713</v>
      </c>
      <c r="T79" s="827">
        <v>-18039</v>
      </c>
      <c r="U79" s="827">
        <v>301674</v>
      </c>
    </row>
    <row r="80" spans="1:21" x14ac:dyDescent="0.25">
      <c r="A80" s="822">
        <v>91003</v>
      </c>
      <c r="B80" s="823" t="s">
        <v>2649</v>
      </c>
      <c r="C80" s="824">
        <v>5.6550000000000003E-4</v>
      </c>
      <c r="D80" s="824">
        <v>6.4320000000000002E-4</v>
      </c>
      <c r="E80" s="825">
        <v>237083</v>
      </c>
      <c r="F80" s="825">
        <v>288664</v>
      </c>
      <c r="G80" s="825">
        <v>1200180</v>
      </c>
      <c r="H80" s="825"/>
      <c r="I80" s="826">
        <v>22549.3125</v>
      </c>
      <c r="J80" s="826">
        <v>1051741</v>
      </c>
      <c r="K80" s="826">
        <v>82202</v>
      </c>
      <c r="L80" s="825">
        <v>33107</v>
      </c>
      <c r="M80" s="825"/>
      <c r="N80" s="826">
        <v>42056</v>
      </c>
      <c r="O80" s="826">
        <v>388192</v>
      </c>
      <c r="P80" s="826">
        <v>0</v>
      </c>
      <c r="Q80" s="825">
        <v>38498</v>
      </c>
      <c r="R80" s="825"/>
      <c r="S80" s="826">
        <v>320791</v>
      </c>
      <c r="T80" s="827">
        <v>4893</v>
      </c>
      <c r="U80" s="827">
        <v>325683</v>
      </c>
    </row>
    <row r="81" spans="1:21" x14ac:dyDescent="0.25">
      <c r="A81" s="822">
        <v>91004</v>
      </c>
      <c r="B81" s="823" t="s">
        <v>2650</v>
      </c>
      <c r="C81" s="824">
        <v>1.7499999999999998E-5</v>
      </c>
      <c r="D81" s="824">
        <v>1.8199999999999999E-5</v>
      </c>
      <c r="E81" s="825">
        <v>9480</v>
      </c>
      <c r="F81" s="825">
        <v>8168</v>
      </c>
      <c r="G81" s="825">
        <v>37141</v>
      </c>
      <c r="H81" s="825"/>
      <c r="I81" s="826">
        <v>698</v>
      </c>
      <c r="J81" s="826">
        <v>32547</v>
      </c>
      <c r="K81" s="826">
        <v>2544</v>
      </c>
      <c r="L81" s="825">
        <v>7859</v>
      </c>
      <c r="M81" s="825"/>
      <c r="N81" s="826">
        <v>1301.4575</v>
      </c>
      <c r="O81" s="826">
        <v>12013</v>
      </c>
      <c r="P81" s="826">
        <v>0</v>
      </c>
      <c r="Q81" s="825">
        <v>217</v>
      </c>
      <c r="R81" s="825"/>
      <c r="S81" s="826">
        <v>9927</v>
      </c>
      <c r="T81" s="827">
        <v>2541</v>
      </c>
      <c r="U81" s="827">
        <v>12468</v>
      </c>
    </row>
    <row r="82" spans="1:21" x14ac:dyDescent="0.25">
      <c r="A82" s="822">
        <v>91006</v>
      </c>
      <c r="B82" s="823" t="s">
        <v>2651</v>
      </c>
      <c r="C82" s="824">
        <v>1.0096E-3</v>
      </c>
      <c r="D82" s="824">
        <v>1.0097000000000001E-3</v>
      </c>
      <c r="E82" s="825">
        <v>387783</v>
      </c>
      <c r="F82" s="825">
        <v>453147</v>
      </c>
      <c r="G82" s="825">
        <v>2142709</v>
      </c>
      <c r="H82" s="825"/>
      <c r="I82" s="826">
        <v>40258</v>
      </c>
      <c r="J82" s="826">
        <v>1877696</v>
      </c>
      <c r="K82" s="826">
        <v>146756</v>
      </c>
      <c r="L82" s="825">
        <v>28780</v>
      </c>
      <c r="M82" s="825"/>
      <c r="N82" s="826">
        <v>75083</v>
      </c>
      <c r="O82" s="826">
        <v>693048</v>
      </c>
      <c r="P82" s="826">
        <v>0</v>
      </c>
      <c r="Q82" s="825">
        <v>21822</v>
      </c>
      <c r="R82" s="825"/>
      <c r="S82" s="826">
        <v>572715</v>
      </c>
      <c r="T82" s="827">
        <v>4927</v>
      </c>
      <c r="U82" s="827">
        <v>577642</v>
      </c>
    </row>
    <row r="83" spans="1:21" x14ac:dyDescent="0.25">
      <c r="A83" s="822">
        <v>91007</v>
      </c>
      <c r="B83" s="823" t="s">
        <v>2652</v>
      </c>
      <c r="C83" s="824">
        <v>1.2500000000000001E-5</v>
      </c>
      <c r="D83" s="824">
        <v>9.5999999999999996E-6</v>
      </c>
      <c r="E83" s="825">
        <v>10106.58</v>
      </c>
      <c r="F83" s="825">
        <v>4308</v>
      </c>
      <c r="G83" s="825">
        <v>26529.1875</v>
      </c>
      <c r="H83" s="825"/>
      <c r="I83" s="826">
        <v>498.4375</v>
      </c>
      <c r="J83" s="826">
        <v>23248</v>
      </c>
      <c r="K83" s="826">
        <v>1817</v>
      </c>
      <c r="L83" s="825">
        <v>7512</v>
      </c>
      <c r="M83" s="825"/>
      <c r="N83" s="826">
        <v>930</v>
      </c>
      <c r="O83" s="826">
        <v>8581</v>
      </c>
      <c r="P83" s="826">
        <v>0</v>
      </c>
      <c r="Q83" s="825">
        <v>1019</v>
      </c>
      <c r="R83" s="825"/>
      <c r="S83" s="826">
        <v>7091</v>
      </c>
      <c r="T83" s="827">
        <v>1625</v>
      </c>
      <c r="U83" s="827">
        <v>8716</v>
      </c>
    </row>
    <row r="84" spans="1:21" x14ac:dyDescent="0.25">
      <c r="A84" s="822">
        <v>91008</v>
      </c>
      <c r="B84" s="823" t="s">
        <v>2653</v>
      </c>
      <c r="C84" s="824">
        <v>1.273E-4</v>
      </c>
      <c r="D84" s="824">
        <v>1.1629999999999999E-4</v>
      </c>
      <c r="E84" s="825">
        <v>64143</v>
      </c>
      <c r="F84" s="825">
        <v>52195</v>
      </c>
      <c r="G84" s="825">
        <v>270173</v>
      </c>
      <c r="H84" s="825"/>
      <c r="I84" s="826">
        <v>5076</v>
      </c>
      <c r="J84" s="826">
        <v>236758</v>
      </c>
      <c r="K84" s="826">
        <v>18504</v>
      </c>
      <c r="L84" s="825">
        <v>45460</v>
      </c>
      <c r="M84" s="825"/>
      <c r="N84" s="826">
        <v>9467</v>
      </c>
      <c r="O84" s="826">
        <v>87386</v>
      </c>
      <c r="P84" s="826">
        <v>0</v>
      </c>
      <c r="Q84" s="825">
        <v>0</v>
      </c>
      <c r="R84" s="825"/>
      <c r="S84" s="826">
        <v>72213</v>
      </c>
      <c r="T84" s="827">
        <v>15722</v>
      </c>
      <c r="U84" s="827">
        <v>87935</v>
      </c>
    </row>
    <row r="85" spans="1:21" x14ac:dyDescent="0.25">
      <c r="A85" s="822">
        <v>91009</v>
      </c>
      <c r="B85" s="823" t="s">
        <v>2654</v>
      </c>
      <c r="C85" s="824">
        <v>1.8700000000000001E-5</v>
      </c>
      <c r="D85" s="824">
        <v>1.5099999999999999E-5</v>
      </c>
      <c r="E85" s="825">
        <v>10450.36</v>
      </c>
      <c r="F85" s="825">
        <v>6777</v>
      </c>
      <c r="G85" s="825">
        <v>39688</v>
      </c>
      <c r="H85" s="825"/>
      <c r="I85" s="826">
        <v>745.66250000000002</v>
      </c>
      <c r="J85" s="826">
        <v>34779</v>
      </c>
      <c r="K85" s="826">
        <v>2718</v>
      </c>
      <c r="L85" s="825">
        <v>4142</v>
      </c>
      <c r="M85" s="825"/>
      <c r="N85" s="826">
        <v>1391</v>
      </c>
      <c r="O85" s="826">
        <v>12837</v>
      </c>
      <c r="P85" s="826">
        <v>0</v>
      </c>
      <c r="Q85" s="825">
        <v>3815</v>
      </c>
      <c r="R85" s="825"/>
      <c r="S85" s="826">
        <v>10608</v>
      </c>
      <c r="T85" s="827">
        <v>-284</v>
      </c>
      <c r="U85" s="827">
        <v>10324</v>
      </c>
    </row>
    <row r="86" spans="1:21" x14ac:dyDescent="0.25">
      <c r="A86" s="822">
        <v>91010</v>
      </c>
      <c r="B86" s="823" t="s">
        <v>2655</v>
      </c>
      <c r="C86" s="824">
        <v>6.8399999999999996E-5</v>
      </c>
      <c r="D86" s="824">
        <v>7.08E-5</v>
      </c>
      <c r="E86" s="825">
        <v>29262</v>
      </c>
      <c r="F86" s="825">
        <v>31775</v>
      </c>
      <c r="G86" s="825">
        <v>145168</v>
      </c>
      <c r="H86" s="825"/>
      <c r="I86" s="826">
        <v>2727.45</v>
      </c>
      <c r="J86" s="826">
        <v>127213</v>
      </c>
      <c r="K86" s="826">
        <v>9943</v>
      </c>
      <c r="L86" s="825">
        <v>10683</v>
      </c>
      <c r="M86" s="825"/>
      <c r="N86" s="826">
        <v>5087</v>
      </c>
      <c r="O86" s="826">
        <v>46954</v>
      </c>
      <c r="P86" s="826">
        <v>0</v>
      </c>
      <c r="Q86" s="825">
        <v>400</v>
      </c>
      <c r="R86" s="825"/>
      <c r="S86" s="826">
        <v>38801</v>
      </c>
      <c r="T86" s="827">
        <v>4384</v>
      </c>
      <c r="U86" s="827">
        <v>43185</v>
      </c>
    </row>
    <row r="87" spans="1:21" x14ac:dyDescent="0.25">
      <c r="A87" s="822">
        <v>91011</v>
      </c>
      <c r="B87" s="823" t="s">
        <v>2656</v>
      </c>
      <c r="C87" s="824">
        <v>3.1789999999999998E-4</v>
      </c>
      <c r="D87" s="824">
        <v>3.0249999999999998E-4</v>
      </c>
      <c r="E87" s="825">
        <v>134881.49</v>
      </c>
      <c r="F87" s="825">
        <v>135760</v>
      </c>
      <c r="G87" s="825">
        <v>674690</v>
      </c>
      <c r="H87" s="825"/>
      <c r="I87" s="826">
        <v>12676</v>
      </c>
      <c r="J87" s="826">
        <v>591244</v>
      </c>
      <c r="K87" s="826">
        <v>46210</v>
      </c>
      <c r="L87" s="825">
        <v>30818</v>
      </c>
      <c r="M87" s="825"/>
      <c r="N87" s="826">
        <v>23642</v>
      </c>
      <c r="O87" s="826">
        <v>218225</v>
      </c>
      <c r="P87" s="826">
        <v>0</v>
      </c>
      <c r="Q87" s="825">
        <v>0</v>
      </c>
      <c r="R87" s="825"/>
      <c r="S87" s="826">
        <v>180335</v>
      </c>
      <c r="T87" s="827">
        <v>10335</v>
      </c>
      <c r="U87" s="827">
        <v>190670</v>
      </c>
    </row>
    <row r="88" spans="1:21" x14ac:dyDescent="0.25">
      <c r="A88" s="822">
        <v>91012</v>
      </c>
      <c r="B88" s="823" t="s">
        <v>2657</v>
      </c>
      <c r="C88" s="824">
        <v>1.49E-5</v>
      </c>
      <c r="D88" s="824">
        <v>1.08E-5</v>
      </c>
      <c r="E88" s="825">
        <v>7817.43</v>
      </c>
      <c r="F88" s="825">
        <v>4847</v>
      </c>
      <c r="G88" s="825">
        <v>31623</v>
      </c>
      <c r="H88" s="825"/>
      <c r="I88" s="826">
        <v>594</v>
      </c>
      <c r="J88" s="826">
        <v>27712</v>
      </c>
      <c r="K88" s="826">
        <v>2166</v>
      </c>
      <c r="L88" s="825">
        <v>3563</v>
      </c>
      <c r="M88" s="825"/>
      <c r="N88" s="826">
        <v>1108</v>
      </c>
      <c r="O88" s="826">
        <v>10228</v>
      </c>
      <c r="P88" s="826">
        <v>0</v>
      </c>
      <c r="Q88" s="825">
        <v>4733</v>
      </c>
      <c r="R88" s="825"/>
      <c r="S88" s="826">
        <v>8452</v>
      </c>
      <c r="T88" s="827">
        <v>-1352</v>
      </c>
      <c r="U88" s="827">
        <v>7100</v>
      </c>
    </row>
    <row r="89" spans="1:21" x14ac:dyDescent="0.25">
      <c r="A89" s="822">
        <v>91013</v>
      </c>
      <c r="B89" s="823" t="s">
        <v>2658</v>
      </c>
      <c r="C89" s="824">
        <v>2.1800000000000001E-5</v>
      </c>
      <c r="D89" s="824">
        <v>0</v>
      </c>
      <c r="E89" s="825">
        <v>20992.21</v>
      </c>
      <c r="F89" s="825">
        <v>0</v>
      </c>
      <c r="G89" s="825">
        <v>46267</v>
      </c>
      <c r="H89" s="825"/>
      <c r="I89" s="826">
        <v>869</v>
      </c>
      <c r="J89" s="826">
        <v>40545</v>
      </c>
      <c r="K89" s="826">
        <v>3169</v>
      </c>
      <c r="L89" s="825">
        <v>21362</v>
      </c>
      <c r="M89" s="825"/>
      <c r="N89" s="826">
        <v>1621</v>
      </c>
      <c r="O89" s="826">
        <v>14965</v>
      </c>
      <c r="P89" s="826">
        <v>0</v>
      </c>
      <c r="Q89" s="825">
        <v>0</v>
      </c>
      <c r="R89" s="825"/>
      <c r="S89" s="826">
        <v>12366</v>
      </c>
      <c r="T89" s="827">
        <v>5534</v>
      </c>
      <c r="U89" s="827">
        <v>17901</v>
      </c>
    </row>
    <row r="90" spans="1:21" x14ac:dyDescent="0.25">
      <c r="A90" s="822">
        <v>91014</v>
      </c>
      <c r="B90" s="823" t="s">
        <v>2659</v>
      </c>
      <c r="C90" s="824">
        <v>2.1499999999999999E-4</v>
      </c>
      <c r="D90" s="824">
        <v>2.241E-4</v>
      </c>
      <c r="E90" s="825">
        <v>84391.47</v>
      </c>
      <c r="F90" s="825">
        <v>100575</v>
      </c>
      <c r="G90" s="825">
        <v>456302</v>
      </c>
      <c r="H90" s="825"/>
      <c r="I90" s="826">
        <v>8573.125</v>
      </c>
      <c r="J90" s="826">
        <v>399866</v>
      </c>
      <c r="K90" s="826">
        <v>31253</v>
      </c>
      <c r="L90" s="825">
        <v>0</v>
      </c>
      <c r="M90" s="825"/>
      <c r="N90" s="826">
        <v>15989</v>
      </c>
      <c r="O90" s="826">
        <v>147588.47</v>
      </c>
      <c r="P90" s="826">
        <v>0</v>
      </c>
      <c r="Q90" s="825">
        <v>17744</v>
      </c>
      <c r="R90" s="825"/>
      <c r="S90" s="826">
        <v>121963</v>
      </c>
      <c r="T90" s="827">
        <v>-6457</v>
      </c>
      <c r="U90" s="827">
        <v>115506</v>
      </c>
    </row>
    <row r="91" spans="1:21" x14ac:dyDescent="0.25">
      <c r="A91" s="822">
        <v>91017</v>
      </c>
      <c r="B91" s="823" t="s">
        <v>2660</v>
      </c>
      <c r="C91" s="824">
        <v>2.3E-5</v>
      </c>
      <c r="D91" s="824">
        <v>1.01E-5</v>
      </c>
      <c r="E91" s="825">
        <v>10837.78</v>
      </c>
      <c r="F91" s="825">
        <v>4533</v>
      </c>
      <c r="G91" s="825">
        <v>48814</v>
      </c>
      <c r="H91" s="825"/>
      <c r="I91" s="826">
        <v>917.125</v>
      </c>
      <c r="J91" s="826">
        <v>42776</v>
      </c>
      <c r="K91" s="826">
        <v>3343</v>
      </c>
      <c r="L91" s="825">
        <v>11872</v>
      </c>
      <c r="M91" s="825"/>
      <c r="N91" s="826">
        <v>1710</v>
      </c>
      <c r="O91" s="826">
        <v>15789</v>
      </c>
      <c r="P91" s="826">
        <v>0</v>
      </c>
      <c r="Q91" s="825">
        <v>0</v>
      </c>
      <c r="R91" s="825"/>
      <c r="S91" s="826">
        <v>13047</v>
      </c>
      <c r="T91" s="827">
        <v>3546</v>
      </c>
      <c r="U91" s="827">
        <v>16593</v>
      </c>
    </row>
    <row r="92" spans="1:21" x14ac:dyDescent="0.25">
      <c r="A92" s="822">
        <v>91020</v>
      </c>
      <c r="B92" s="823" t="s">
        <v>2661</v>
      </c>
      <c r="C92" s="824">
        <v>1.9899999999999999E-5</v>
      </c>
      <c r="D92" s="824">
        <v>1.7E-5</v>
      </c>
      <c r="E92" s="825">
        <v>8500.07</v>
      </c>
      <c r="F92" s="825">
        <v>7629</v>
      </c>
      <c r="G92" s="825">
        <v>42234</v>
      </c>
      <c r="H92" s="825"/>
      <c r="I92" s="826">
        <v>794</v>
      </c>
      <c r="J92" s="826">
        <v>37011</v>
      </c>
      <c r="K92" s="826">
        <v>2893</v>
      </c>
      <c r="L92" s="825">
        <v>2656</v>
      </c>
      <c r="M92" s="825"/>
      <c r="N92" s="826">
        <v>1480</v>
      </c>
      <c r="O92" s="826">
        <v>13661</v>
      </c>
      <c r="P92" s="826">
        <v>0</v>
      </c>
      <c r="Q92" s="825">
        <v>582</v>
      </c>
      <c r="R92" s="825"/>
      <c r="S92" s="826">
        <v>11289</v>
      </c>
      <c r="T92" s="827">
        <v>685</v>
      </c>
      <c r="U92" s="827">
        <v>11973</v>
      </c>
    </row>
    <row r="93" spans="1:21" x14ac:dyDescent="0.25">
      <c r="A93" s="822">
        <v>91021</v>
      </c>
      <c r="B93" s="823" t="s">
        <v>2662</v>
      </c>
      <c r="C93" s="824">
        <v>8.6989999999999995E-4</v>
      </c>
      <c r="D93" s="824">
        <v>9.4979999999999999E-4</v>
      </c>
      <c r="E93" s="825">
        <v>366474.75</v>
      </c>
      <c r="F93" s="825">
        <v>426265</v>
      </c>
      <c r="G93" s="825">
        <v>1846219</v>
      </c>
      <c r="H93" s="825"/>
      <c r="I93" s="826">
        <v>34687</v>
      </c>
      <c r="J93" s="826">
        <v>1617877</v>
      </c>
      <c r="K93" s="826">
        <v>126450</v>
      </c>
      <c r="L93" s="825">
        <v>0</v>
      </c>
      <c r="M93" s="825"/>
      <c r="N93" s="826">
        <v>64694</v>
      </c>
      <c r="O93" s="826">
        <v>597150</v>
      </c>
      <c r="P93" s="826">
        <v>0</v>
      </c>
      <c r="Q93" s="825">
        <v>117733</v>
      </c>
      <c r="R93" s="825"/>
      <c r="S93" s="826">
        <v>493467</v>
      </c>
      <c r="T93" s="827">
        <v>-45954</v>
      </c>
      <c r="U93" s="827">
        <v>447513</v>
      </c>
    </row>
    <row r="94" spans="1:21" x14ac:dyDescent="0.25">
      <c r="A94" s="822">
        <v>91024</v>
      </c>
      <c r="B94" s="823" t="s">
        <v>2663</v>
      </c>
      <c r="C94" s="824">
        <v>6.6299999999999999E-5</v>
      </c>
      <c r="D94" s="824">
        <v>4.3800000000000001E-5</v>
      </c>
      <c r="E94" s="825">
        <v>26295.57</v>
      </c>
      <c r="F94" s="825">
        <v>19657</v>
      </c>
      <c r="G94" s="825">
        <v>140711</v>
      </c>
      <c r="H94" s="825"/>
      <c r="I94" s="826">
        <v>2644</v>
      </c>
      <c r="J94" s="826">
        <v>123308</v>
      </c>
      <c r="K94" s="826">
        <v>9637</v>
      </c>
      <c r="L94" s="825">
        <v>28363</v>
      </c>
      <c r="M94" s="825"/>
      <c r="N94" s="826">
        <v>4931</v>
      </c>
      <c r="O94" s="826">
        <v>45512</v>
      </c>
      <c r="P94" s="826">
        <v>0</v>
      </c>
      <c r="Q94" s="825">
        <v>0</v>
      </c>
      <c r="R94" s="825"/>
      <c r="S94" s="826">
        <v>37610</v>
      </c>
      <c r="T94" s="827">
        <v>9531</v>
      </c>
      <c r="U94" s="827">
        <v>47141</v>
      </c>
    </row>
    <row r="95" spans="1:21" x14ac:dyDescent="0.25">
      <c r="A95" s="822">
        <v>91026</v>
      </c>
      <c r="B95" s="823" t="s">
        <v>1258</v>
      </c>
      <c r="C95" s="824">
        <v>6.0900000000000003E-5</v>
      </c>
      <c r="D95" s="824">
        <v>5.4700000000000001E-5</v>
      </c>
      <c r="E95" s="825">
        <v>45660</v>
      </c>
      <c r="F95" s="825">
        <v>24549</v>
      </c>
      <c r="G95" s="825">
        <v>129250</v>
      </c>
      <c r="H95" s="825"/>
      <c r="I95" s="826">
        <v>2428</v>
      </c>
      <c r="J95" s="826">
        <v>113264</v>
      </c>
      <c r="K95" s="826">
        <v>8852</v>
      </c>
      <c r="L95" s="825">
        <v>43564</v>
      </c>
      <c r="M95" s="825"/>
      <c r="N95" s="826">
        <v>4529</v>
      </c>
      <c r="O95" s="826">
        <v>41805</v>
      </c>
      <c r="P95" s="826">
        <v>0</v>
      </c>
      <c r="Q95" s="825">
        <v>6237</v>
      </c>
      <c r="R95" s="825"/>
      <c r="S95" s="826">
        <v>34547</v>
      </c>
      <c r="T95" s="827">
        <v>10429</v>
      </c>
      <c r="U95" s="827">
        <v>44976</v>
      </c>
    </row>
    <row r="96" spans="1:21" x14ac:dyDescent="0.25">
      <c r="A96" s="822">
        <v>91027</v>
      </c>
      <c r="B96" s="823" t="s">
        <v>2664</v>
      </c>
      <c r="C96" s="824">
        <v>1.6099999999999998E-5</v>
      </c>
      <c r="D96" s="824">
        <v>1.6099999999999998E-5</v>
      </c>
      <c r="E96" s="825">
        <v>15581</v>
      </c>
      <c r="F96" s="825">
        <v>7226</v>
      </c>
      <c r="G96" s="825">
        <v>34170</v>
      </c>
      <c r="H96" s="825"/>
      <c r="I96" s="826">
        <v>642</v>
      </c>
      <c r="J96" s="826">
        <v>29943</v>
      </c>
      <c r="K96" s="826">
        <v>2340</v>
      </c>
      <c r="L96" s="825">
        <v>15162</v>
      </c>
      <c r="M96" s="825"/>
      <c r="N96" s="826">
        <v>1197</v>
      </c>
      <c r="O96" s="826">
        <v>11052</v>
      </c>
      <c r="P96" s="826">
        <v>0</v>
      </c>
      <c r="Q96" s="825">
        <v>0</v>
      </c>
      <c r="R96" s="825"/>
      <c r="S96" s="826">
        <v>9133</v>
      </c>
      <c r="T96" s="827">
        <v>5044</v>
      </c>
      <c r="U96" s="827">
        <v>14177</v>
      </c>
    </row>
    <row r="97" spans="1:21" x14ac:dyDescent="0.25">
      <c r="A97" s="822">
        <v>91032</v>
      </c>
      <c r="B97" s="823" t="s">
        <v>2665</v>
      </c>
      <c r="C97" s="824">
        <v>1.8600000000000001E-5</v>
      </c>
      <c r="D97" s="824">
        <v>2.12E-5</v>
      </c>
      <c r="E97" s="825">
        <v>14204.55</v>
      </c>
      <c r="F97" s="825">
        <v>9514</v>
      </c>
      <c r="G97" s="825">
        <v>39475</v>
      </c>
      <c r="H97" s="825"/>
      <c r="I97" s="826">
        <v>742</v>
      </c>
      <c r="J97" s="826">
        <v>34593</v>
      </c>
      <c r="K97" s="826">
        <v>2704</v>
      </c>
      <c r="L97" s="825">
        <v>14052</v>
      </c>
      <c r="M97" s="825"/>
      <c r="N97" s="826">
        <v>1383</v>
      </c>
      <c r="O97" s="826">
        <v>12768</v>
      </c>
      <c r="P97" s="826">
        <v>0</v>
      </c>
      <c r="Q97" s="825">
        <v>0</v>
      </c>
      <c r="R97" s="825"/>
      <c r="S97" s="826">
        <v>10551</v>
      </c>
      <c r="T97" s="827">
        <v>4978</v>
      </c>
      <c r="U97" s="827">
        <v>15529</v>
      </c>
    </row>
    <row r="98" spans="1:21" x14ac:dyDescent="0.25">
      <c r="A98" s="822">
        <v>91041</v>
      </c>
      <c r="B98" s="823" t="s">
        <v>2666</v>
      </c>
      <c r="C98" s="824">
        <v>4.3609999999999998E-4</v>
      </c>
      <c r="D98" s="824">
        <v>4.8910000000000002E-4</v>
      </c>
      <c r="E98" s="825">
        <v>143841.5</v>
      </c>
      <c r="F98" s="825">
        <v>219505</v>
      </c>
      <c r="G98" s="825">
        <v>925550</v>
      </c>
      <c r="H98" s="825"/>
      <c r="I98" s="826">
        <v>17389</v>
      </c>
      <c r="J98" s="826">
        <v>811077</v>
      </c>
      <c r="K98" s="826">
        <v>63392</v>
      </c>
      <c r="L98" s="825">
        <v>0</v>
      </c>
      <c r="M98" s="825"/>
      <c r="N98" s="826">
        <v>32432</v>
      </c>
      <c r="O98" s="826">
        <v>299364</v>
      </c>
      <c r="P98" s="826">
        <v>0</v>
      </c>
      <c r="Q98" s="825">
        <v>93669</v>
      </c>
      <c r="R98" s="825"/>
      <c r="S98" s="826">
        <v>247386</v>
      </c>
      <c r="T98" s="827">
        <v>-28115</v>
      </c>
      <c r="U98" s="827">
        <v>219271</v>
      </c>
    </row>
    <row r="99" spans="1:21" x14ac:dyDescent="0.25">
      <c r="A99" s="822">
        <v>91042</v>
      </c>
      <c r="B99" s="823" t="s">
        <v>2667</v>
      </c>
      <c r="C99" s="824">
        <v>2.062E-4</v>
      </c>
      <c r="D99" s="824">
        <v>2.1579999999999999E-4</v>
      </c>
      <c r="E99" s="825">
        <v>79476</v>
      </c>
      <c r="F99" s="825">
        <v>96850</v>
      </c>
      <c r="G99" s="825">
        <v>437625</v>
      </c>
      <c r="H99" s="825"/>
      <c r="I99" s="826">
        <v>8222</v>
      </c>
      <c r="J99" s="826">
        <v>383499</v>
      </c>
      <c r="K99" s="826">
        <v>29973</v>
      </c>
      <c r="L99" s="825">
        <v>241</v>
      </c>
      <c r="M99" s="825"/>
      <c r="N99" s="826">
        <v>15335</v>
      </c>
      <c r="O99" s="826">
        <v>141548</v>
      </c>
      <c r="P99" s="826">
        <v>0</v>
      </c>
      <c r="Q99" s="825">
        <v>9427</v>
      </c>
      <c r="R99" s="825"/>
      <c r="S99" s="826">
        <v>116971</v>
      </c>
      <c r="T99" s="827">
        <v>-2338</v>
      </c>
      <c r="U99" s="827">
        <v>114633</v>
      </c>
    </row>
    <row r="100" spans="1:21" x14ac:dyDescent="0.25">
      <c r="A100" s="822">
        <v>91047</v>
      </c>
      <c r="B100" s="823" t="s">
        <v>2668</v>
      </c>
      <c r="C100" s="824">
        <v>1.3200000000000001E-5</v>
      </c>
      <c r="D100" s="824">
        <v>1.29E-5</v>
      </c>
      <c r="E100" s="825">
        <v>17711.78</v>
      </c>
      <c r="F100" s="825">
        <v>5789</v>
      </c>
      <c r="G100" s="825">
        <v>28015</v>
      </c>
      <c r="H100" s="825"/>
      <c r="I100" s="826">
        <v>526.35</v>
      </c>
      <c r="J100" s="826">
        <v>24550</v>
      </c>
      <c r="K100" s="826">
        <v>1919</v>
      </c>
      <c r="L100" s="825">
        <v>17767</v>
      </c>
      <c r="M100" s="825"/>
      <c r="N100" s="826">
        <v>982</v>
      </c>
      <c r="O100" s="826">
        <v>9061</v>
      </c>
      <c r="P100" s="826">
        <v>0</v>
      </c>
      <c r="Q100" s="825">
        <v>0</v>
      </c>
      <c r="R100" s="825"/>
      <c r="S100" s="826">
        <v>7488</v>
      </c>
      <c r="T100" s="827">
        <v>5499</v>
      </c>
      <c r="U100" s="827">
        <v>12987</v>
      </c>
    </row>
    <row r="101" spans="1:21" x14ac:dyDescent="0.25">
      <c r="A101" s="822">
        <v>91051</v>
      </c>
      <c r="B101" s="823" t="s">
        <v>2669</v>
      </c>
      <c r="C101" s="824">
        <v>7.6600000000000005E-5</v>
      </c>
      <c r="D101" s="824">
        <v>8.14E-5</v>
      </c>
      <c r="E101" s="825">
        <v>31833</v>
      </c>
      <c r="F101" s="825">
        <v>36532</v>
      </c>
      <c r="G101" s="825">
        <v>162571</v>
      </c>
      <c r="H101" s="825"/>
      <c r="I101" s="826">
        <v>3054</v>
      </c>
      <c r="J101" s="826">
        <v>142464</v>
      </c>
      <c r="K101" s="826">
        <v>11135</v>
      </c>
      <c r="L101" s="825">
        <v>2509</v>
      </c>
      <c r="M101" s="825"/>
      <c r="N101" s="826">
        <v>5697</v>
      </c>
      <c r="O101" s="826">
        <v>52583</v>
      </c>
      <c r="P101" s="826">
        <v>0</v>
      </c>
      <c r="Q101" s="825">
        <v>2829</v>
      </c>
      <c r="R101" s="825"/>
      <c r="S101" s="826">
        <v>43453</v>
      </c>
      <c r="T101" s="827">
        <v>37</v>
      </c>
      <c r="U101" s="827">
        <v>43490</v>
      </c>
    </row>
    <row r="102" spans="1:21" x14ac:dyDescent="0.25">
      <c r="A102" s="822">
        <v>91057</v>
      </c>
      <c r="B102" s="823" t="s">
        <v>2670</v>
      </c>
      <c r="C102" s="824">
        <v>1.5E-5</v>
      </c>
      <c r="D102" s="824">
        <v>1.49E-5</v>
      </c>
      <c r="E102" s="825">
        <v>9524.76</v>
      </c>
      <c r="F102" s="825">
        <v>6687</v>
      </c>
      <c r="G102" s="825">
        <v>31835</v>
      </c>
      <c r="H102" s="825"/>
      <c r="I102" s="826">
        <v>598.125</v>
      </c>
      <c r="J102" s="826">
        <v>27897.63</v>
      </c>
      <c r="K102" s="826">
        <v>2180.415</v>
      </c>
      <c r="L102" s="825">
        <v>5494</v>
      </c>
      <c r="M102" s="825"/>
      <c r="N102" s="826">
        <v>1116</v>
      </c>
      <c r="O102" s="826">
        <v>10297</v>
      </c>
      <c r="P102" s="826">
        <v>0</v>
      </c>
      <c r="Q102" s="825">
        <v>0</v>
      </c>
      <c r="R102" s="825"/>
      <c r="S102" s="826">
        <v>8509</v>
      </c>
      <c r="T102" s="827">
        <v>1691</v>
      </c>
      <c r="U102" s="827">
        <v>10200</v>
      </c>
    </row>
    <row r="103" spans="1:21" x14ac:dyDescent="0.25">
      <c r="A103" s="822">
        <v>91061</v>
      </c>
      <c r="B103" s="823" t="s">
        <v>2671</v>
      </c>
      <c r="C103" s="824">
        <v>3.7730000000000001E-4</v>
      </c>
      <c r="D103" s="824">
        <v>3.322E-4</v>
      </c>
      <c r="E103" s="825">
        <v>141049.84</v>
      </c>
      <c r="F103" s="825">
        <v>149089</v>
      </c>
      <c r="G103" s="825">
        <v>800757</v>
      </c>
      <c r="H103" s="825"/>
      <c r="I103" s="826">
        <v>15045</v>
      </c>
      <c r="J103" s="826">
        <v>701718</v>
      </c>
      <c r="K103" s="826">
        <v>54845</v>
      </c>
      <c r="L103" s="825">
        <v>13223</v>
      </c>
      <c r="M103" s="825"/>
      <c r="N103" s="826">
        <v>28059</v>
      </c>
      <c r="O103" s="826">
        <v>259001</v>
      </c>
      <c r="P103" s="826">
        <v>0</v>
      </c>
      <c r="Q103" s="825">
        <v>46977</v>
      </c>
      <c r="R103" s="825"/>
      <c r="S103" s="826">
        <v>214031</v>
      </c>
      <c r="T103" s="827">
        <v>-15751</v>
      </c>
      <c r="U103" s="827">
        <v>198279</v>
      </c>
    </row>
    <row r="104" spans="1:21" x14ac:dyDescent="0.25">
      <c r="A104" s="822">
        <v>91067</v>
      </c>
      <c r="B104" s="823" t="s">
        <v>2672</v>
      </c>
      <c r="C104" s="824">
        <v>1.8499999999999999E-5</v>
      </c>
      <c r="D104" s="824">
        <v>1.7099999999999999E-5</v>
      </c>
      <c r="E104" s="825">
        <v>8476</v>
      </c>
      <c r="F104" s="825">
        <v>7674</v>
      </c>
      <c r="G104" s="825">
        <v>39263</v>
      </c>
      <c r="H104" s="825"/>
      <c r="I104" s="826">
        <v>737.6875</v>
      </c>
      <c r="J104" s="826">
        <v>34407</v>
      </c>
      <c r="K104" s="826">
        <v>2689</v>
      </c>
      <c r="L104" s="825">
        <v>3670</v>
      </c>
      <c r="M104" s="825"/>
      <c r="N104" s="826">
        <v>1376</v>
      </c>
      <c r="O104" s="826">
        <v>12699</v>
      </c>
      <c r="P104" s="826">
        <v>0</v>
      </c>
      <c r="Q104" s="825">
        <v>0</v>
      </c>
      <c r="R104" s="825"/>
      <c r="S104" s="826">
        <v>10494</v>
      </c>
      <c r="T104" s="827">
        <v>1258</v>
      </c>
      <c r="U104" s="827">
        <v>11752</v>
      </c>
    </row>
    <row r="105" spans="1:21" x14ac:dyDescent="0.25">
      <c r="A105" s="822">
        <v>91071</v>
      </c>
      <c r="B105" s="823" t="s">
        <v>2673</v>
      </c>
      <c r="C105" s="824">
        <v>2.4379999999999999E-4</v>
      </c>
      <c r="D105" s="824">
        <v>2.321E-4</v>
      </c>
      <c r="E105" s="825">
        <v>89648</v>
      </c>
      <c r="F105" s="825">
        <v>104165</v>
      </c>
      <c r="G105" s="825">
        <v>517425</v>
      </c>
      <c r="H105" s="825"/>
      <c r="I105" s="826">
        <v>9722</v>
      </c>
      <c r="J105" s="826">
        <v>453429</v>
      </c>
      <c r="K105" s="826">
        <v>35439</v>
      </c>
      <c r="L105" s="825">
        <v>16829.43</v>
      </c>
      <c r="M105" s="825"/>
      <c r="N105" s="826">
        <v>18131</v>
      </c>
      <c r="O105" s="826">
        <v>167358</v>
      </c>
      <c r="P105" s="826">
        <v>0</v>
      </c>
      <c r="Q105" s="825">
        <v>3799</v>
      </c>
      <c r="R105" s="825"/>
      <c r="S105" s="826">
        <v>138300</v>
      </c>
      <c r="T105" s="827">
        <v>7310</v>
      </c>
      <c r="U105" s="827">
        <v>145610</v>
      </c>
    </row>
    <row r="106" spans="1:21" x14ac:dyDescent="0.25">
      <c r="A106" s="822">
        <v>91077</v>
      </c>
      <c r="B106" s="823" t="s">
        <v>2674</v>
      </c>
      <c r="C106" s="824">
        <v>3.9999999999999998E-6</v>
      </c>
      <c r="D106" s="824">
        <v>4.7999999999999998E-6</v>
      </c>
      <c r="E106" s="825">
        <v>2964.42</v>
      </c>
      <c r="F106" s="825">
        <v>2154</v>
      </c>
      <c r="G106" s="825">
        <v>8489.34</v>
      </c>
      <c r="H106" s="825"/>
      <c r="I106" s="826">
        <v>159.5</v>
      </c>
      <c r="J106" s="826">
        <v>7439</v>
      </c>
      <c r="K106" s="826">
        <v>581</v>
      </c>
      <c r="L106" s="825">
        <v>1140</v>
      </c>
      <c r="M106" s="825"/>
      <c r="N106" s="826">
        <v>297</v>
      </c>
      <c r="O106" s="826">
        <v>2746</v>
      </c>
      <c r="P106" s="826">
        <v>0</v>
      </c>
      <c r="Q106" s="825">
        <v>103</v>
      </c>
      <c r="R106" s="825"/>
      <c r="S106" s="826">
        <v>2269</v>
      </c>
      <c r="T106" s="827">
        <v>294</v>
      </c>
      <c r="U106" s="827">
        <v>2563</v>
      </c>
    </row>
    <row r="107" spans="1:21" x14ac:dyDescent="0.25">
      <c r="A107" s="822">
        <v>91081</v>
      </c>
      <c r="B107" s="823" t="s">
        <v>2675</v>
      </c>
      <c r="C107" s="824">
        <v>3.6499999999999998E-4</v>
      </c>
      <c r="D107" s="824">
        <v>3.5750000000000002E-4</v>
      </c>
      <c r="E107" s="825">
        <v>146436</v>
      </c>
      <c r="F107" s="825">
        <v>160444</v>
      </c>
      <c r="G107" s="825">
        <v>774652</v>
      </c>
      <c r="H107" s="825"/>
      <c r="I107" s="826">
        <v>14554.375</v>
      </c>
      <c r="J107" s="826">
        <v>678842.33</v>
      </c>
      <c r="K107" s="826">
        <v>53057</v>
      </c>
      <c r="L107" s="825">
        <v>1642</v>
      </c>
      <c r="M107" s="825"/>
      <c r="N107" s="826">
        <v>27145</v>
      </c>
      <c r="O107" s="826">
        <v>250557</v>
      </c>
      <c r="P107" s="826">
        <v>0</v>
      </c>
      <c r="Q107" s="825">
        <v>27235</v>
      </c>
      <c r="R107" s="825"/>
      <c r="S107" s="826">
        <v>207053</v>
      </c>
      <c r="T107" s="827">
        <v>-13214</v>
      </c>
      <c r="U107" s="827">
        <v>193840</v>
      </c>
    </row>
    <row r="108" spans="1:21" x14ac:dyDescent="0.25">
      <c r="A108" s="822">
        <v>91091</v>
      </c>
      <c r="B108" s="823" t="s">
        <v>2676</v>
      </c>
      <c r="C108" s="824">
        <v>5.6380000000000004E-4</v>
      </c>
      <c r="D108" s="824">
        <v>5.3359999999999996E-4</v>
      </c>
      <c r="E108" s="825">
        <v>203382.8</v>
      </c>
      <c r="F108" s="825">
        <v>239476</v>
      </c>
      <c r="G108" s="825">
        <v>1196572</v>
      </c>
      <c r="H108" s="825"/>
      <c r="I108" s="826">
        <v>22482</v>
      </c>
      <c r="J108" s="826">
        <v>1048579</v>
      </c>
      <c r="K108" s="826">
        <v>81955</v>
      </c>
      <c r="L108" s="825">
        <v>0</v>
      </c>
      <c r="M108" s="825"/>
      <c r="N108" s="826">
        <v>41929</v>
      </c>
      <c r="O108" s="826">
        <v>387025</v>
      </c>
      <c r="P108" s="826">
        <v>0</v>
      </c>
      <c r="Q108" s="825">
        <v>54149</v>
      </c>
      <c r="R108" s="825"/>
      <c r="S108" s="826">
        <v>319826</v>
      </c>
      <c r="T108" s="827">
        <v>-22256</v>
      </c>
      <c r="U108" s="827">
        <v>297571</v>
      </c>
    </row>
    <row r="109" spans="1:21" x14ac:dyDescent="0.25">
      <c r="A109" s="822">
        <v>91101</v>
      </c>
      <c r="B109" s="823" t="s">
        <v>2677</v>
      </c>
      <c r="C109" s="824">
        <v>1.36685E-2</v>
      </c>
      <c r="D109" s="824">
        <v>1.3700499999999999E-2</v>
      </c>
      <c r="E109" s="825">
        <v>5218349</v>
      </c>
      <c r="F109" s="825">
        <v>6148702</v>
      </c>
      <c r="G109" s="825">
        <v>29009136</v>
      </c>
      <c r="H109" s="825"/>
      <c r="I109" s="826">
        <v>545031</v>
      </c>
      <c r="J109" s="826">
        <v>25421250</v>
      </c>
      <c r="K109" s="826">
        <v>1986867</v>
      </c>
      <c r="L109" s="825">
        <v>791280</v>
      </c>
      <c r="M109" s="825"/>
      <c r="N109" s="826">
        <v>1016513</v>
      </c>
      <c r="O109" s="826">
        <v>9382851</v>
      </c>
      <c r="P109" s="826">
        <v>0</v>
      </c>
      <c r="Q109" s="825">
        <v>337196</v>
      </c>
      <c r="R109" s="825"/>
      <c r="S109" s="826">
        <v>7753716</v>
      </c>
      <c r="T109" s="827">
        <v>232315</v>
      </c>
      <c r="U109" s="827">
        <v>7986031</v>
      </c>
    </row>
    <row r="110" spans="1:21" x14ac:dyDescent="0.25">
      <c r="A110" s="822">
        <v>91102</v>
      </c>
      <c r="B110" s="823" t="s">
        <v>2678</v>
      </c>
      <c r="C110" s="824">
        <v>3.034E-4</v>
      </c>
      <c r="D110" s="824">
        <v>2.834E-4</v>
      </c>
      <c r="E110" s="825">
        <v>133771</v>
      </c>
      <c r="F110" s="825">
        <v>127188</v>
      </c>
      <c r="G110" s="825">
        <v>643916</v>
      </c>
      <c r="H110" s="825"/>
      <c r="I110" s="826">
        <v>12098</v>
      </c>
      <c r="J110" s="826">
        <v>564276</v>
      </c>
      <c r="K110" s="826">
        <v>44103</v>
      </c>
      <c r="L110" s="825">
        <v>18534</v>
      </c>
      <c r="M110" s="825"/>
      <c r="N110" s="826">
        <v>22564</v>
      </c>
      <c r="O110" s="826">
        <v>208271</v>
      </c>
      <c r="P110" s="826">
        <v>0</v>
      </c>
      <c r="Q110" s="825">
        <v>52648</v>
      </c>
      <c r="R110" s="825"/>
      <c r="S110" s="826">
        <v>172109</v>
      </c>
      <c r="T110" s="827">
        <v>-13734</v>
      </c>
      <c r="U110" s="827">
        <v>158376</v>
      </c>
    </row>
    <row r="111" spans="1:21" x14ac:dyDescent="0.25">
      <c r="A111" s="822">
        <v>91104</v>
      </c>
      <c r="B111" s="823" t="s">
        <v>2679</v>
      </c>
      <c r="C111" s="824">
        <v>8.1999999999999994E-6</v>
      </c>
      <c r="D111" s="824">
        <v>9.2E-6</v>
      </c>
      <c r="E111" s="825">
        <v>5034.29</v>
      </c>
      <c r="F111" s="825">
        <v>4129</v>
      </c>
      <c r="G111" s="825">
        <v>17403</v>
      </c>
      <c r="H111" s="825"/>
      <c r="I111" s="826">
        <v>327</v>
      </c>
      <c r="J111" s="826">
        <v>15251</v>
      </c>
      <c r="K111" s="826">
        <v>1192</v>
      </c>
      <c r="L111" s="825">
        <v>993</v>
      </c>
      <c r="M111" s="825"/>
      <c r="N111" s="826">
        <v>610</v>
      </c>
      <c r="O111" s="826">
        <v>5629</v>
      </c>
      <c r="P111" s="826">
        <v>0</v>
      </c>
      <c r="Q111" s="825">
        <v>78</v>
      </c>
      <c r="R111" s="825"/>
      <c r="S111" s="826">
        <v>4652</v>
      </c>
      <c r="T111" s="827">
        <v>239</v>
      </c>
      <c r="U111" s="827">
        <v>4890</v>
      </c>
    </row>
    <row r="112" spans="1:21" x14ac:dyDescent="0.25">
      <c r="A112" s="822">
        <v>91107</v>
      </c>
      <c r="B112" s="823" t="s">
        <v>2680</v>
      </c>
      <c r="C112" s="824">
        <v>6.7899999999999997E-5</v>
      </c>
      <c r="D112" s="824">
        <v>6.3999999999999997E-5</v>
      </c>
      <c r="E112" s="825">
        <v>34872.559999999998</v>
      </c>
      <c r="F112" s="825">
        <v>28723</v>
      </c>
      <c r="G112" s="825">
        <v>144107</v>
      </c>
      <c r="H112" s="825"/>
      <c r="I112" s="826">
        <v>2708</v>
      </c>
      <c r="J112" s="826">
        <v>126283</v>
      </c>
      <c r="K112" s="826">
        <v>9870</v>
      </c>
      <c r="L112" s="825">
        <v>11761</v>
      </c>
      <c r="M112" s="825"/>
      <c r="N112" s="826">
        <v>5050</v>
      </c>
      <c r="O112" s="826">
        <v>46610</v>
      </c>
      <c r="P112" s="826">
        <v>0</v>
      </c>
      <c r="Q112" s="825">
        <v>0</v>
      </c>
      <c r="R112" s="825"/>
      <c r="S112" s="826">
        <v>38518</v>
      </c>
      <c r="T112" s="827">
        <v>3853</v>
      </c>
      <c r="U112" s="827">
        <v>42371</v>
      </c>
    </row>
    <row r="113" spans="1:21" x14ac:dyDescent="0.25">
      <c r="A113" s="822">
        <v>91108</v>
      </c>
      <c r="B113" s="823" t="s">
        <v>2681</v>
      </c>
      <c r="C113" s="824">
        <v>1.2622E-3</v>
      </c>
      <c r="D113" s="824">
        <v>1.2565E-3</v>
      </c>
      <c r="E113" s="825">
        <v>552346.72</v>
      </c>
      <c r="F113" s="825">
        <v>563910</v>
      </c>
      <c r="G113" s="825">
        <v>2678811</v>
      </c>
      <c r="H113" s="825"/>
      <c r="I113" s="826">
        <v>50330</v>
      </c>
      <c r="J113" s="826">
        <v>2347493</v>
      </c>
      <c r="K113" s="826">
        <v>183475</v>
      </c>
      <c r="L113" s="825">
        <v>83626</v>
      </c>
      <c r="M113" s="825"/>
      <c r="N113" s="826">
        <v>93869</v>
      </c>
      <c r="O113" s="826">
        <v>866447</v>
      </c>
      <c r="P113" s="826">
        <v>0</v>
      </c>
      <c r="Q113" s="825">
        <v>0</v>
      </c>
      <c r="R113" s="825"/>
      <c r="S113" s="826">
        <v>716007</v>
      </c>
      <c r="T113" s="827">
        <v>29649</v>
      </c>
      <c r="U113" s="827">
        <v>745656</v>
      </c>
    </row>
    <row r="114" spans="1:21" x14ac:dyDescent="0.25">
      <c r="A114" s="822">
        <v>91109</v>
      </c>
      <c r="B114" s="823" t="s">
        <v>2682</v>
      </c>
      <c r="C114" s="824">
        <v>9.2100000000000003E-5</v>
      </c>
      <c r="D114" s="824">
        <v>9.6600000000000003E-5</v>
      </c>
      <c r="E114" s="825">
        <v>40330</v>
      </c>
      <c r="F114" s="825">
        <v>43354</v>
      </c>
      <c r="G114" s="825">
        <v>195467</v>
      </c>
      <c r="H114" s="825"/>
      <c r="I114" s="826">
        <v>3672</v>
      </c>
      <c r="J114" s="826">
        <v>171291</v>
      </c>
      <c r="K114" s="826">
        <v>13388</v>
      </c>
      <c r="L114" s="825">
        <v>2200</v>
      </c>
      <c r="M114" s="825"/>
      <c r="N114" s="826">
        <v>6849</v>
      </c>
      <c r="O114" s="826">
        <v>63223</v>
      </c>
      <c r="P114" s="826">
        <v>0</v>
      </c>
      <c r="Q114" s="825">
        <v>1611</v>
      </c>
      <c r="R114" s="825"/>
      <c r="S114" s="826">
        <v>52245</v>
      </c>
      <c r="T114" s="827">
        <v>89</v>
      </c>
      <c r="U114" s="827">
        <v>52335</v>
      </c>
    </row>
    <row r="115" spans="1:21" x14ac:dyDescent="0.25">
      <c r="A115" s="822">
        <v>91111</v>
      </c>
      <c r="B115" s="823" t="s">
        <v>2683</v>
      </c>
      <c r="C115" s="824">
        <v>2.2359999999999999E-4</v>
      </c>
      <c r="D115" s="824">
        <v>2.2049999999999999E-4</v>
      </c>
      <c r="E115" s="825">
        <v>98685</v>
      </c>
      <c r="F115" s="825">
        <v>98959</v>
      </c>
      <c r="G115" s="825">
        <v>474554</v>
      </c>
      <c r="H115" s="825"/>
      <c r="I115" s="826">
        <v>8916</v>
      </c>
      <c r="J115" s="826">
        <v>415861</v>
      </c>
      <c r="K115" s="826">
        <v>32503</v>
      </c>
      <c r="L115" s="825">
        <v>26669</v>
      </c>
      <c r="M115" s="825"/>
      <c r="N115" s="826">
        <v>16629</v>
      </c>
      <c r="O115" s="826">
        <v>153492</v>
      </c>
      <c r="P115" s="826">
        <v>0</v>
      </c>
      <c r="Q115" s="825">
        <v>0</v>
      </c>
      <c r="R115" s="825"/>
      <c r="S115" s="826">
        <v>126841</v>
      </c>
      <c r="T115" s="827">
        <v>8870</v>
      </c>
      <c r="U115" s="827">
        <v>135711</v>
      </c>
    </row>
    <row r="116" spans="1:21" x14ac:dyDescent="0.25">
      <c r="A116" s="822">
        <v>91119</v>
      </c>
      <c r="B116" s="823" t="s">
        <v>1279</v>
      </c>
      <c r="C116" s="824">
        <v>0</v>
      </c>
      <c r="D116" s="824">
        <v>0</v>
      </c>
      <c r="E116" s="825">
        <v>0</v>
      </c>
      <c r="F116" s="825">
        <v>0</v>
      </c>
      <c r="G116" s="825">
        <v>0</v>
      </c>
      <c r="H116" s="825"/>
      <c r="I116" s="826">
        <v>0</v>
      </c>
      <c r="J116" s="826">
        <v>0</v>
      </c>
      <c r="K116" s="826">
        <v>0</v>
      </c>
      <c r="L116" s="825">
        <v>0</v>
      </c>
      <c r="M116" s="825"/>
      <c r="N116" s="826">
        <v>0</v>
      </c>
      <c r="O116" s="826">
        <v>0</v>
      </c>
      <c r="P116" s="826">
        <v>0</v>
      </c>
      <c r="Q116" s="825">
        <v>645424.66</v>
      </c>
      <c r="R116" s="825"/>
      <c r="S116" s="826">
        <v>0</v>
      </c>
      <c r="T116" s="827">
        <v>-324334</v>
      </c>
      <c r="U116" s="827">
        <v>-324334</v>
      </c>
    </row>
    <row r="117" spans="1:21" x14ac:dyDescent="0.25">
      <c r="A117" s="822">
        <v>91120</v>
      </c>
      <c r="B117" s="823" t="s">
        <v>2684</v>
      </c>
      <c r="C117" s="824">
        <v>1.184E-4</v>
      </c>
      <c r="D117" s="824">
        <v>1.161E-4</v>
      </c>
      <c r="E117" s="825">
        <v>42592.1</v>
      </c>
      <c r="F117" s="825">
        <v>52105</v>
      </c>
      <c r="G117" s="825">
        <v>251284</v>
      </c>
      <c r="H117" s="825"/>
      <c r="I117" s="826">
        <v>4721.2</v>
      </c>
      <c r="J117" s="826">
        <v>220205</v>
      </c>
      <c r="K117" s="826">
        <v>17211</v>
      </c>
      <c r="L117" s="825">
        <v>0</v>
      </c>
      <c r="M117" s="825"/>
      <c r="N117" s="826">
        <v>8805</v>
      </c>
      <c r="O117" s="826">
        <v>81277</v>
      </c>
      <c r="P117" s="826">
        <v>0</v>
      </c>
      <c r="Q117" s="825">
        <v>29635</v>
      </c>
      <c r="R117" s="825"/>
      <c r="S117" s="826">
        <v>67165</v>
      </c>
      <c r="T117" s="827">
        <v>-11244</v>
      </c>
      <c r="U117" s="827">
        <v>55921</v>
      </c>
    </row>
    <row r="118" spans="1:21" x14ac:dyDescent="0.25">
      <c r="A118" s="822">
        <v>91121</v>
      </c>
      <c r="B118" s="823" t="s">
        <v>2685</v>
      </c>
      <c r="C118" s="824">
        <v>9.7842999999999992E-3</v>
      </c>
      <c r="D118" s="824">
        <v>1.0167600000000001E-2</v>
      </c>
      <c r="E118" s="825">
        <v>3705845</v>
      </c>
      <c r="F118" s="825">
        <v>4563158</v>
      </c>
      <c r="G118" s="825">
        <v>20765562</v>
      </c>
      <c r="H118" s="825"/>
      <c r="I118" s="826">
        <v>390149</v>
      </c>
      <c r="J118" s="826">
        <v>18197252</v>
      </c>
      <c r="K118" s="826">
        <v>1422256</v>
      </c>
      <c r="L118" s="825">
        <v>0</v>
      </c>
      <c r="M118" s="825"/>
      <c r="N118" s="826">
        <v>727649</v>
      </c>
      <c r="O118" s="826">
        <v>6716511</v>
      </c>
      <c r="P118" s="826">
        <v>0</v>
      </c>
      <c r="Q118" s="825">
        <v>834506</v>
      </c>
      <c r="R118" s="825"/>
      <c r="S118" s="826">
        <v>5550330</v>
      </c>
      <c r="T118" s="827">
        <v>-296106</v>
      </c>
      <c r="U118" s="827">
        <v>5254224</v>
      </c>
    </row>
    <row r="119" spans="1:21" x14ac:dyDescent="0.25">
      <c r="A119" s="822">
        <v>91127</v>
      </c>
      <c r="B119" s="823" t="s">
        <v>2686</v>
      </c>
      <c r="C119" s="824">
        <v>2.8229999999999998E-4</v>
      </c>
      <c r="D119" s="824">
        <v>2.7680000000000001E-4</v>
      </c>
      <c r="E119" s="825">
        <v>136473</v>
      </c>
      <c r="F119" s="825">
        <v>124226</v>
      </c>
      <c r="G119" s="825">
        <v>599135</v>
      </c>
      <c r="H119" s="825"/>
      <c r="I119" s="826">
        <v>11257</v>
      </c>
      <c r="J119" s="826">
        <v>525033</v>
      </c>
      <c r="K119" s="826">
        <v>41035</v>
      </c>
      <c r="L119" s="825">
        <v>59704</v>
      </c>
      <c r="M119" s="825"/>
      <c r="N119" s="826">
        <v>20994</v>
      </c>
      <c r="O119" s="826">
        <v>193787</v>
      </c>
      <c r="P119" s="826">
        <v>0</v>
      </c>
      <c r="Q119" s="825">
        <v>0</v>
      </c>
      <c r="R119" s="825"/>
      <c r="S119" s="826">
        <v>160140</v>
      </c>
      <c r="T119" s="827">
        <v>22617</v>
      </c>
      <c r="U119" s="827">
        <v>182757</v>
      </c>
    </row>
    <row r="120" spans="1:21" x14ac:dyDescent="0.25">
      <c r="A120" s="822">
        <v>91128</v>
      </c>
      <c r="B120" s="823" t="s">
        <v>2687</v>
      </c>
      <c r="C120" s="824">
        <v>5.0929999999999997E-4</v>
      </c>
      <c r="D120" s="824">
        <v>5.042E-4</v>
      </c>
      <c r="E120" s="825">
        <v>208474</v>
      </c>
      <c r="F120" s="825">
        <v>226282</v>
      </c>
      <c r="G120" s="825">
        <v>1080905</v>
      </c>
      <c r="H120" s="825"/>
      <c r="I120" s="826">
        <v>20308</v>
      </c>
      <c r="J120" s="826">
        <v>947218</v>
      </c>
      <c r="K120" s="826">
        <v>74032</v>
      </c>
      <c r="L120" s="825">
        <v>10827</v>
      </c>
      <c r="M120" s="825"/>
      <c r="N120" s="826">
        <v>37876</v>
      </c>
      <c r="O120" s="826">
        <v>349613</v>
      </c>
      <c r="P120" s="826">
        <v>0</v>
      </c>
      <c r="Q120" s="825">
        <v>12589</v>
      </c>
      <c r="R120" s="825"/>
      <c r="S120" s="826">
        <v>288910</v>
      </c>
      <c r="T120" s="827">
        <v>-2677</v>
      </c>
      <c r="U120" s="827">
        <v>286233</v>
      </c>
    </row>
    <row r="121" spans="1:21" x14ac:dyDescent="0.25">
      <c r="A121" s="822">
        <v>91138</v>
      </c>
      <c r="B121" s="823" t="s">
        <v>2688</v>
      </c>
      <c r="C121" s="824">
        <v>6.2350000000000003E-4</v>
      </c>
      <c r="D121" s="824">
        <v>6.6279999999999996E-4</v>
      </c>
      <c r="E121" s="825">
        <v>190650</v>
      </c>
      <c r="F121" s="825">
        <v>297461</v>
      </c>
      <c r="G121" s="825">
        <v>1323276</v>
      </c>
      <c r="H121" s="825"/>
      <c r="I121" s="826">
        <v>24862.0625</v>
      </c>
      <c r="J121" s="826">
        <v>1159611</v>
      </c>
      <c r="K121" s="826">
        <v>90633</v>
      </c>
      <c r="L121" s="825">
        <v>0</v>
      </c>
      <c r="M121" s="825"/>
      <c r="N121" s="826">
        <v>46369</v>
      </c>
      <c r="O121" s="826">
        <v>428007</v>
      </c>
      <c r="P121" s="826">
        <v>0</v>
      </c>
      <c r="Q121" s="825">
        <v>111983</v>
      </c>
      <c r="R121" s="825"/>
      <c r="S121" s="826">
        <v>353692</v>
      </c>
      <c r="T121" s="827">
        <v>-35624</v>
      </c>
      <c r="U121" s="827">
        <v>318068</v>
      </c>
    </row>
    <row r="122" spans="1:21" x14ac:dyDescent="0.25">
      <c r="A122" s="822">
        <v>91141</v>
      </c>
      <c r="B122" s="823" t="s">
        <v>2689</v>
      </c>
      <c r="C122" s="824">
        <v>5.5679999999999998E-4</v>
      </c>
      <c r="D122" s="824">
        <v>6.2560000000000003E-4</v>
      </c>
      <c r="E122" s="825">
        <v>214309.96</v>
      </c>
      <c r="F122" s="825">
        <v>280766</v>
      </c>
      <c r="G122" s="825">
        <v>1181716</v>
      </c>
      <c r="H122" s="825"/>
      <c r="I122" s="826">
        <v>22202</v>
      </c>
      <c r="J122" s="826">
        <v>1035560</v>
      </c>
      <c r="K122" s="826">
        <v>80937</v>
      </c>
      <c r="L122" s="825">
        <v>0</v>
      </c>
      <c r="M122" s="825"/>
      <c r="N122" s="826">
        <v>41409</v>
      </c>
      <c r="O122" s="826">
        <v>382220</v>
      </c>
      <c r="P122" s="826">
        <v>0</v>
      </c>
      <c r="Q122" s="825">
        <v>106380</v>
      </c>
      <c r="R122" s="825"/>
      <c r="S122" s="826">
        <v>315855</v>
      </c>
      <c r="T122" s="827">
        <v>-35698</v>
      </c>
      <c r="U122" s="827">
        <v>280157</v>
      </c>
    </row>
    <row r="123" spans="1:21" x14ac:dyDescent="0.25">
      <c r="A123" s="822">
        <v>91147</v>
      </c>
      <c r="B123" s="823" t="s">
        <v>2690</v>
      </c>
      <c r="C123" s="824">
        <v>2.4199999999999999E-5</v>
      </c>
      <c r="D123" s="824">
        <v>2.1399999999999998E-5</v>
      </c>
      <c r="E123" s="825">
        <v>10371</v>
      </c>
      <c r="F123" s="825">
        <v>9604</v>
      </c>
      <c r="G123" s="825">
        <v>51361</v>
      </c>
      <c r="H123" s="825"/>
      <c r="I123" s="826">
        <v>965</v>
      </c>
      <c r="J123" s="826">
        <v>45008</v>
      </c>
      <c r="K123" s="826">
        <v>3518</v>
      </c>
      <c r="L123" s="825">
        <v>10859</v>
      </c>
      <c r="M123" s="825"/>
      <c r="N123" s="826">
        <v>1800</v>
      </c>
      <c r="O123" s="826">
        <v>16612</v>
      </c>
      <c r="P123" s="826">
        <v>0</v>
      </c>
      <c r="Q123" s="825">
        <v>0</v>
      </c>
      <c r="R123" s="825"/>
      <c r="S123" s="826">
        <v>13728</v>
      </c>
      <c r="T123" s="827">
        <v>3941</v>
      </c>
      <c r="U123" s="827">
        <v>17669</v>
      </c>
    </row>
    <row r="124" spans="1:21" x14ac:dyDescent="0.25">
      <c r="A124" s="822">
        <v>91151</v>
      </c>
      <c r="B124" s="823" t="s">
        <v>2691</v>
      </c>
      <c r="C124" s="824">
        <v>6.1180000000000002E-4</v>
      </c>
      <c r="D124" s="824">
        <v>6.4479999999999995E-4</v>
      </c>
      <c r="E124" s="825">
        <v>222681.43</v>
      </c>
      <c r="F124" s="825">
        <v>289382</v>
      </c>
      <c r="G124" s="825">
        <v>1298445</v>
      </c>
      <c r="H124" s="825"/>
      <c r="I124" s="826">
        <v>24396</v>
      </c>
      <c r="J124" s="826">
        <v>1137851</v>
      </c>
      <c r="K124" s="826">
        <v>88932</v>
      </c>
      <c r="L124" s="825">
        <v>10702</v>
      </c>
      <c r="M124" s="825"/>
      <c r="N124" s="826">
        <v>45499</v>
      </c>
      <c r="O124" s="826">
        <v>419975</v>
      </c>
      <c r="P124" s="826">
        <v>0</v>
      </c>
      <c r="Q124" s="825">
        <v>50740</v>
      </c>
      <c r="R124" s="825"/>
      <c r="S124" s="826">
        <v>347055</v>
      </c>
      <c r="T124" s="827">
        <v>-11759</v>
      </c>
      <c r="U124" s="827">
        <v>335296</v>
      </c>
    </row>
    <row r="125" spans="1:21" x14ac:dyDescent="0.25">
      <c r="A125" s="822">
        <v>91154</v>
      </c>
      <c r="B125" s="823" t="s">
        <v>2692</v>
      </c>
      <c r="C125" s="824">
        <v>1.9599999999999999E-5</v>
      </c>
      <c r="D125" s="824">
        <v>1.59E-5</v>
      </c>
      <c r="E125" s="825">
        <v>8048.64</v>
      </c>
      <c r="F125" s="825">
        <v>7136</v>
      </c>
      <c r="G125" s="825">
        <v>41598</v>
      </c>
      <c r="H125" s="825"/>
      <c r="I125" s="826">
        <v>781.55</v>
      </c>
      <c r="J125" s="826">
        <v>36453</v>
      </c>
      <c r="K125" s="826">
        <v>2849</v>
      </c>
      <c r="L125" s="825">
        <v>5846</v>
      </c>
      <c r="M125" s="825"/>
      <c r="N125" s="826">
        <v>1458</v>
      </c>
      <c r="O125" s="826">
        <v>13455</v>
      </c>
      <c r="P125" s="826">
        <v>0</v>
      </c>
      <c r="Q125" s="825">
        <v>0</v>
      </c>
      <c r="R125" s="825"/>
      <c r="S125" s="826">
        <v>11118</v>
      </c>
      <c r="T125" s="827">
        <v>2074</v>
      </c>
      <c r="U125" s="827">
        <v>13192</v>
      </c>
    </row>
    <row r="126" spans="1:21" x14ac:dyDescent="0.25">
      <c r="A126" s="822">
        <v>91161</v>
      </c>
      <c r="B126" s="823" t="s">
        <v>2693</v>
      </c>
      <c r="C126" s="824">
        <v>9.4599999999999996E-5</v>
      </c>
      <c r="D126" s="824">
        <v>1.0670000000000001E-4</v>
      </c>
      <c r="E126" s="825">
        <v>44114</v>
      </c>
      <c r="F126" s="825">
        <v>47886</v>
      </c>
      <c r="G126" s="825">
        <v>200773</v>
      </c>
      <c r="H126" s="825"/>
      <c r="I126" s="826">
        <v>3772</v>
      </c>
      <c r="J126" s="826">
        <v>175941</v>
      </c>
      <c r="K126" s="826">
        <v>13751</v>
      </c>
      <c r="L126" s="825">
        <v>7920</v>
      </c>
      <c r="M126" s="825"/>
      <c r="N126" s="826">
        <v>7035</v>
      </c>
      <c r="O126" s="826">
        <v>64939</v>
      </c>
      <c r="P126" s="826">
        <v>0</v>
      </c>
      <c r="Q126" s="825">
        <v>5006</v>
      </c>
      <c r="R126" s="825"/>
      <c r="S126" s="826">
        <v>53664</v>
      </c>
      <c r="T126" s="827">
        <v>881</v>
      </c>
      <c r="U126" s="827">
        <v>54545</v>
      </c>
    </row>
    <row r="127" spans="1:21" x14ac:dyDescent="0.25">
      <c r="A127" s="822">
        <v>91171</v>
      </c>
      <c r="B127" s="823" t="s">
        <v>2694</v>
      </c>
      <c r="C127" s="824">
        <v>2.5589999999999999E-4</v>
      </c>
      <c r="D127" s="824">
        <v>2.5240000000000001E-4</v>
      </c>
      <c r="E127" s="825">
        <v>90093.88</v>
      </c>
      <c r="F127" s="825">
        <v>113276</v>
      </c>
      <c r="G127" s="825">
        <v>543106</v>
      </c>
      <c r="H127" s="825"/>
      <c r="I127" s="826">
        <v>10204</v>
      </c>
      <c r="J127" s="826">
        <v>475934</v>
      </c>
      <c r="K127" s="826">
        <v>37198</v>
      </c>
      <c r="L127" s="825">
        <v>0</v>
      </c>
      <c r="M127" s="825"/>
      <c r="N127" s="826">
        <v>19031</v>
      </c>
      <c r="O127" s="826">
        <v>175665</v>
      </c>
      <c r="P127" s="826">
        <v>0</v>
      </c>
      <c r="Q127" s="825">
        <v>32510</v>
      </c>
      <c r="R127" s="825"/>
      <c r="S127" s="826">
        <v>145164</v>
      </c>
      <c r="T127" s="827">
        <v>-12018</v>
      </c>
      <c r="U127" s="827">
        <v>133146</v>
      </c>
    </row>
    <row r="128" spans="1:21" x14ac:dyDescent="0.25">
      <c r="A128" s="822">
        <v>91201</v>
      </c>
      <c r="B128" s="823" t="s">
        <v>2695</v>
      </c>
      <c r="C128" s="824">
        <v>2.3127999999999998E-3</v>
      </c>
      <c r="D128" s="824">
        <v>2.2309000000000001E-3</v>
      </c>
      <c r="E128" s="825">
        <v>868644</v>
      </c>
      <c r="F128" s="825">
        <v>1001215</v>
      </c>
      <c r="G128" s="825">
        <v>4908536</v>
      </c>
      <c r="H128" s="825"/>
      <c r="I128" s="826">
        <v>92222.9</v>
      </c>
      <c r="J128" s="826">
        <v>4301443</v>
      </c>
      <c r="K128" s="826">
        <v>336191</v>
      </c>
      <c r="L128" s="825">
        <v>65448</v>
      </c>
      <c r="M128" s="825"/>
      <c r="N128" s="826">
        <v>172001</v>
      </c>
      <c r="O128" s="826">
        <v>1587640</v>
      </c>
      <c r="P128" s="826">
        <v>0</v>
      </c>
      <c r="Q128" s="825">
        <v>21142</v>
      </c>
      <c r="R128" s="825"/>
      <c r="S128" s="826">
        <v>1311980</v>
      </c>
      <c r="T128" s="827">
        <v>19623</v>
      </c>
      <c r="U128" s="827">
        <v>1331603</v>
      </c>
    </row>
    <row r="129" spans="1:21" x14ac:dyDescent="0.25">
      <c r="A129" s="822">
        <v>91202</v>
      </c>
      <c r="B129" s="823" t="s">
        <v>2696</v>
      </c>
      <c r="C129" s="824">
        <v>1.897E-4</v>
      </c>
      <c r="D129" s="824">
        <v>1.7560000000000001E-4</v>
      </c>
      <c r="E129" s="825">
        <v>85259.9</v>
      </c>
      <c r="F129" s="825">
        <v>78808</v>
      </c>
      <c r="G129" s="825">
        <v>402607</v>
      </c>
      <c r="H129" s="825"/>
      <c r="I129" s="826">
        <v>7564</v>
      </c>
      <c r="J129" s="826">
        <v>352812</v>
      </c>
      <c r="K129" s="826">
        <v>27575</v>
      </c>
      <c r="L129" s="825">
        <v>29505</v>
      </c>
      <c r="M129" s="825"/>
      <c r="N129" s="826">
        <v>14108</v>
      </c>
      <c r="O129" s="826">
        <v>130221</v>
      </c>
      <c r="P129" s="826">
        <v>0</v>
      </c>
      <c r="Q129" s="825">
        <v>0</v>
      </c>
      <c r="R129" s="825"/>
      <c r="S129" s="826">
        <v>107611</v>
      </c>
      <c r="T129" s="827">
        <v>10216</v>
      </c>
      <c r="U129" s="827">
        <v>117827</v>
      </c>
    </row>
    <row r="130" spans="1:21" x14ac:dyDescent="0.25">
      <c r="A130" s="822">
        <v>91203</v>
      </c>
      <c r="B130" s="823" t="s">
        <v>2697</v>
      </c>
      <c r="C130" s="824">
        <v>2.4479999999999999E-4</v>
      </c>
      <c r="D130" s="824">
        <v>2.4909999999999998E-4</v>
      </c>
      <c r="E130" s="825">
        <v>123805</v>
      </c>
      <c r="F130" s="825">
        <v>111795</v>
      </c>
      <c r="G130" s="825">
        <v>519548</v>
      </c>
      <c r="H130" s="825"/>
      <c r="I130" s="826">
        <v>9761.4</v>
      </c>
      <c r="J130" s="826">
        <v>455289</v>
      </c>
      <c r="K130" s="826">
        <v>35584</v>
      </c>
      <c r="L130" s="825">
        <v>32505</v>
      </c>
      <c r="M130" s="825"/>
      <c r="N130" s="826">
        <v>18206</v>
      </c>
      <c r="O130" s="826">
        <v>168045</v>
      </c>
      <c r="P130" s="826">
        <v>0</v>
      </c>
      <c r="Q130" s="825">
        <v>0</v>
      </c>
      <c r="R130" s="825"/>
      <c r="S130" s="826">
        <v>138867</v>
      </c>
      <c r="T130" s="827">
        <v>11460</v>
      </c>
      <c r="U130" s="827">
        <v>150327</v>
      </c>
    </row>
    <row r="131" spans="1:21" x14ac:dyDescent="0.25">
      <c r="A131" s="822">
        <v>91206</v>
      </c>
      <c r="B131" s="823" t="s">
        <v>2698</v>
      </c>
      <c r="C131" s="824">
        <v>8.2129999999999996E-4</v>
      </c>
      <c r="D131" s="824">
        <v>8.1959999999999997E-4</v>
      </c>
      <c r="E131" s="825">
        <v>334673.01</v>
      </c>
      <c r="F131" s="825">
        <v>367832</v>
      </c>
      <c r="G131" s="825">
        <v>1743074</v>
      </c>
      <c r="H131" s="825"/>
      <c r="I131" s="826">
        <v>32749</v>
      </c>
      <c r="J131" s="826">
        <v>1527488</v>
      </c>
      <c r="K131" s="826">
        <v>119385</v>
      </c>
      <c r="L131" s="825">
        <v>21519</v>
      </c>
      <c r="M131" s="825"/>
      <c r="N131" s="826">
        <v>61079</v>
      </c>
      <c r="O131" s="826">
        <v>563788</v>
      </c>
      <c r="P131" s="826">
        <v>0</v>
      </c>
      <c r="Q131" s="825">
        <v>1526</v>
      </c>
      <c r="R131" s="825"/>
      <c r="S131" s="826">
        <v>465898</v>
      </c>
      <c r="T131" s="827">
        <v>10203</v>
      </c>
      <c r="U131" s="827">
        <v>476101</v>
      </c>
    </row>
    <row r="132" spans="1:21" x14ac:dyDescent="0.25">
      <c r="A132" s="822">
        <v>91208</v>
      </c>
      <c r="B132" s="823" t="s">
        <v>2699</v>
      </c>
      <c r="C132" s="824">
        <v>1.3699999999999999E-5</v>
      </c>
      <c r="D132" s="824">
        <v>1.2999999999999999E-5</v>
      </c>
      <c r="E132" s="825">
        <v>5593</v>
      </c>
      <c r="F132" s="825">
        <v>5834</v>
      </c>
      <c r="G132" s="825">
        <v>29076</v>
      </c>
      <c r="H132" s="825"/>
      <c r="I132" s="826">
        <v>546.28750000000002</v>
      </c>
      <c r="J132" s="826">
        <v>25480</v>
      </c>
      <c r="K132" s="826">
        <v>1991</v>
      </c>
      <c r="L132" s="825">
        <v>7123</v>
      </c>
      <c r="M132" s="825"/>
      <c r="N132" s="826">
        <v>1019</v>
      </c>
      <c r="O132" s="826">
        <v>9404</v>
      </c>
      <c r="P132" s="826">
        <v>0</v>
      </c>
      <c r="Q132" s="825">
        <v>0</v>
      </c>
      <c r="R132" s="825"/>
      <c r="S132" s="826">
        <v>7772</v>
      </c>
      <c r="T132" s="827">
        <v>3401</v>
      </c>
      <c r="U132" s="827">
        <v>11172</v>
      </c>
    </row>
    <row r="133" spans="1:21" x14ac:dyDescent="0.25">
      <c r="A133" s="822">
        <v>91211</v>
      </c>
      <c r="B133" s="823" t="s">
        <v>2700</v>
      </c>
      <c r="C133" s="824">
        <v>4.6789999999999999E-4</v>
      </c>
      <c r="D133" s="824">
        <v>4.6260000000000002E-4</v>
      </c>
      <c r="E133" s="825">
        <v>192012</v>
      </c>
      <c r="F133" s="825">
        <v>207612</v>
      </c>
      <c r="G133" s="825">
        <v>993041</v>
      </c>
      <c r="H133" s="825"/>
      <c r="I133" s="826">
        <v>18658</v>
      </c>
      <c r="J133" s="826">
        <v>870220</v>
      </c>
      <c r="K133" s="826">
        <v>68014</v>
      </c>
      <c r="L133" s="825">
        <v>5989</v>
      </c>
      <c r="M133" s="825"/>
      <c r="N133" s="826">
        <v>34797</v>
      </c>
      <c r="O133" s="826">
        <v>321194</v>
      </c>
      <c r="P133" s="826">
        <v>0</v>
      </c>
      <c r="Q133" s="825">
        <v>5137</v>
      </c>
      <c r="R133" s="825"/>
      <c r="S133" s="826">
        <v>265425</v>
      </c>
      <c r="T133" s="827">
        <v>568</v>
      </c>
      <c r="U133" s="827">
        <v>265993</v>
      </c>
    </row>
    <row r="134" spans="1:21" x14ac:dyDescent="0.25">
      <c r="A134" s="822">
        <v>91213</v>
      </c>
      <c r="B134" s="823" t="s">
        <v>2701</v>
      </c>
      <c r="C134" s="824">
        <v>3.57E-5</v>
      </c>
      <c r="D134" s="824">
        <v>3.5500000000000002E-5</v>
      </c>
      <c r="E134" s="825">
        <v>11312</v>
      </c>
      <c r="F134" s="825">
        <v>15932</v>
      </c>
      <c r="G134" s="825">
        <v>75767</v>
      </c>
      <c r="H134" s="825"/>
      <c r="I134" s="826">
        <v>1424</v>
      </c>
      <c r="J134" s="826">
        <v>66396</v>
      </c>
      <c r="K134" s="826">
        <v>5189</v>
      </c>
      <c r="L134" s="825">
        <v>0</v>
      </c>
      <c r="M134" s="825"/>
      <c r="N134" s="826">
        <v>2655</v>
      </c>
      <c r="O134" s="826">
        <v>24507</v>
      </c>
      <c r="P134" s="826">
        <v>0</v>
      </c>
      <c r="Q134" s="825">
        <v>4828</v>
      </c>
      <c r="R134" s="825"/>
      <c r="S134" s="826">
        <v>20252</v>
      </c>
      <c r="T134" s="827">
        <v>-1558</v>
      </c>
      <c r="U134" s="827">
        <v>18694</v>
      </c>
    </row>
    <row r="135" spans="1:21" x14ac:dyDescent="0.25">
      <c r="A135" s="822">
        <v>91214</v>
      </c>
      <c r="B135" s="823" t="s">
        <v>2702</v>
      </c>
      <c r="C135" s="824">
        <v>2.8200000000000001E-5</v>
      </c>
      <c r="D135" s="824">
        <v>2.6800000000000001E-5</v>
      </c>
      <c r="E135" s="825">
        <v>8297</v>
      </c>
      <c r="F135" s="825">
        <v>12028</v>
      </c>
      <c r="G135" s="825">
        <v>59850</v>
      </c>
      <c r="H135" s="825"/>
      <c r="I135" s="826">
        <v>1124</v>
      </c>
      <c r="J135" s="826">
        <v>52448</v>
      </c>
      <c r="K135" s="826">
        <v>4099</v>
      </c>
      <c r="L135" s="825">
        <v>2071</v>
      </c>
      <c r="M135" s="825"/>
      <c r="N135" s="826">
        <v>2097</v>
      </c>
      <c r="O135" s="826">
        <v>19358</v>
      </c>
      <c r="P135" s="826">
        <v>0</v>
      </c>
      <c r="Q135" s="825">
        <v>1863</v>
      </c>
      <c r="R135" s="825"/>
      <c r="S135" s="826">
        <v>15997</v>
      </c>
      <c r="T135" s="827">
        <v>289</v>
      </c>
      <c r="U135" s="827">
        <v>16286</v>
      </c>
    </row>
    <row r="136" spans="1:21" x14ac:dyDescent="0.25">
      <c r="A136" s="822">
        <v>91217</v>
      </c>
      <c r="B136" s="823" t="s">
        <v>2703</v>
      </c>
      <c r="C136" s="824">
        <v>2.6699999999999998E-5</v>
      </c>
      <c r="D136" s="824">
        <v>1.8700000000000001E-5</v>
      </c>
      <c r="E136" s="825">
        <v>15053.92</v>
      </c>
      <c r="F136" s="825">
        <v>8392</v>
      </c>
      <c r="G136" s="825">
        <v>56666</v>
      </c>
      <c r="H136" s="825"/>
      <c r="I136" s="826">
        <v>1065</v>
      </c>
      <c r="J136" s="826">
        <v>49658</v>
      </c>
      <c r="K136" s="826">
        <v>3881</v>
      </c>
      <c r="L136" s="825">
        <v>11622</v>
      </c>
      <c r="M136" s="825"/>
      <c r="N136" s="826">
        <v>1986</v>
      </c>
      <c r="O136" s="826">
        <v>18328</v>
      </c>
      <c r="P136" s="826">
        <v>0</v>
      </c>
      <c r="Q136" s="825">
        <v>0</v>
      </c>
      <c r="R136" s="825"/>
      <c r="S136" s="826">
        <v>15146</v>
      </c>
      <c r="T136" s="827">
        <v>3617</v>
      </c>
      <c r="U136" s="827">
        <v>18763</v>
      </c>
    </row>
    <row r="137" spans="1:21" x14ac:dyDescent="0.25">
      <c r="A137" s="822">
        <v>91221</v>
      </c>
      <c r="B137" s="823" t="s">
        <v>2704</v>
      </c>
      <c r="C137" s="824">
        <v>1.294E-4</v>
      </c>
      <c r="D137" s="824">
        <v>1.404E-4</v>
      </c>
      <c r="E137" s="825">
        <v>50416</v>
      </c>
      <c r="F137" s="825">
        <v>63011</v>
      </c>
      <c r="G137" s="825">
        <v>274630</v>
      </c>
      <c r="H137" s="825"/>
      <c r="I137" s="826">
        <v>5160</v>
      </c>
      <c r="J137" s="826">
        <v>240664</v>
      </c>
      <c r="K137" s="826">
        <v>18810</v>
      </c>
      <c r="L137" s="825">
        <v>7496</v>
      </c>
      <c r="M137" s="825"/>
      <c r="N137" s="826">
        <v>9623</v>
      </c>
      <c r="O137" s="826">
        <v>88828</v>
      </c>
      <c r="P137" s="826">
        <v>0</v>
      </c>
      <c r="Q137" s="825">
        <v>9810</v>
      </c>
      <c r="R137" s="825"/>
      <c r="S137" s="826">
        <v>73405</v>
      </c>
      <c r="T137" s="827">
        <v>1070</v>
      </c>
      <c r="U137" s="827">
        <v>74475</v>
      </c>
    </row>
    <row r="138" spans="1:21" x14ac:dyDescent="0.25">
      <c r="A138" s="822">
        <v>91231</v>
      </c>
      <c r="B138" s="823" t="s">
        <v>2705</v>
      </c>
      <c r="C138" s="824">
        <v>1.9957E-3</v>
      </c>
      <c r="D138" s="824">
        <v>2.0203999999999999E-3</v>
      </c>
      <c r="E138" s="825">
        <v>763104.33</v>
      </c>
      <c r="F138" s="825">
        <v>906743</v>
      </c>
      <c r="G138" s="825">
        <v>4235544</v>
      </c>
      <c r="H138" s="825"/>
      <c r="I138" s="826">
        <v>79579</v>
      </c>
      <c r="J138" s="826">
        <v>3711687</v>
      </c>
      <c r="K138" s="826">
        <v>290097</v>
      </c>
      <c r="L138" s="825">
        <v>21281.06</v>
      </c>
      <c r="M138" s="825"/>
      <c r="N138" s="826">
        <v>148418</v>
      </c>
      <c r="O138" s="826">
        <v>1369964</v>
      </c>
      <c r="P138" s="826">
        <v>0</v>
      </c>
      <c r="Q138" s="825">
        <v>85796</v>
      </c>
      <c r="R138" s="825"/>
      <c r="S138" s="826">
        <v>1132099</v>
      </c>
      <c r="T138" s="827">
        <v>-14080</v>
      </c>
      <c r="U138" s="827">
        <v>1118019</v>
      </c>
    </row>
    <row r="139" spans="1:21" x14ac:dyDescent="0.25">
      <c r="A139" s="822">
        <v>91233</v>
      </c>
      <c r="B139" s="823" t="s">
        <v>2706</v>
      </c>
      <c r="C139" s="824">
        <v>4.5599999999999997E-5</v>
      </c>
      <c r="D139" s="824">
        <v>4.3399999999999998E-5</v>
      </c>
      <c r="E139" s="825">
        <v>17053</v>
      </c>
      <c r="F139" s="825">
        <v>19478</v>
      </c>
      <c r="G139" s="825">
        <v>96778</v>
      </c>
      <c r="H139" s="825"/>
      <c r="I139" s="826">
        <v>1818.3</v>
      </c>
      <c r="J139" s="826">
        <v>84809</v>
      </c>
      <c r="K139" s="826">
        <v>6628</v>
      </c>
      <c r="L139" s="825">
        <v>8243</v>
      </c>
      <c r="M139" s="825"/>
      <c r="N139" s="826">
        <v>3391</v>
      </c>
      <c r="O139" s="826">
        <v>31302</v>
      </c>
      <c r="P139" s="826">
        <v>0</v>
      </c>
      <c r="Q139" s="825">
        <v>159</v>
      </c>
      <c r="R139" s="825"/>
      <c r="S139" s="826">
        <v>25867</v>
      </c>
      <c r="T139" s="827">
        <v>3163</v>
      </c>
      <c r="U139" s="827">
        <v>29031</v>
      </c>
    </row>
    <row r="140" spans="1:21" x14ac:dyDescent="0.25">
      <c r="A140" s="822">
        <v>91241</v>
      </c>
      <c r="B140" s="823" t="s">
        <v>2707</v>
      </c>
      <c r="C140" s="824">
        <v>3.68E-5</v>
      </c>
      <c r="D140" s="824">
        <v>4.0800000000000002E-5</v>
      </c>
      <c r="E140" s="825">
        <v>13967</v>
      </c>
      <c r="F140" s="825">
        <v>18311</v>
      </c>
      <c r="G140" s="825">
        <v>78102</v>
      </c>
      <c r="H140" s="825"/>
      <c r="I140" s="826">
        <v>1467.4</v>
      </c>
      <c r="J140" s="826">
        <v>68442</v>
      </c>
      <c r="K140" s="826">
        <v>5349</v>
      </c>
      <c r="L140" s="825">
        <v>0</v>
      </c>
      <c r="M140" s="825"/>
      <c r="N140" s="826">
        <v>2737</v>
      </c>
      <c r="O140" s="826">
        <v>25262</v>
      </c>
      <c r="P140" s="826">
        <v>0</v>
      </c>
      <c r="Q140" s="825">
        <v>6784</v>
      </c>
      <c r="R140" s="825"/>
      <c r="S140" s="826">
        <v>20875</v>
      </c>
      <c r="T140" s="827">
        <v>-2529</v>
      </c>
      <c r="U140" s="827">
        <v>18346</v>
      </c>
    </row>
    <row r="141" spans="1:21" x14ac:dyDescent="0.25">
      <c r="A141" s="822">
        <v>91251</v>
      </c>
      <c r="B141" s="823" t="s">
        <v>2708</v>
      </c>
      <c r="C141" s="824">
        <v>2.65E-5</v>
      </c>
      <c r="D141" s="824">
        <v>2.6699999999999998E-5</v>
      </c>
      <c r="E141" s="825">
        <v>9989</v>
      </c>
      <c r="F141" s="825">
        <v>11983</v>
      </c>
      <c r="G141" s="825">
        <v>56242</v>
      </c>
      <c r="H141" s="825"/>
      <c r="I141" s="826">
        <v>1056.6875</v>
      </c>
      <c r="J141" s="826">
        <v>49286</v>
      </c>
      <c r="K141" s="826">
        <v>3852</v>
      </c>
      <c r="L141" s="825">
        <v>4706</v>
      </c>
      <c r="M141" s="825"/>
      <c r="N141" s="826">
        <v>1971</v>
      </c>
      <c r="O141" s="826">
        <v>18191</v>
      </c>
      <c r="P141" s="826">
        <v>0</v>
      </c>
      <c r="Q141" s="825">
        <v>1236</v>
      </c>
      <c r="R141" s="825"/>
      <c r="S141" s="826">
        <v>15033</v>
      </c>
      <c r="T141" s="827">
        <v>2006</v>
      </c>
      <c r="U141" s="827">
        <v>17039</v>
      </c>
    </row>
    <row r="142" spans="1:21" x14ac:dyDescent="0.25">
      <c r="A142" s="822">
        <v>91261</v>
      </c>
      <c r="B142" s="823" t="s">
        <v>2709</v>
      </c>
      <c r="C142" s="824">
        <v>9.5000000000000005E-6</v>
      </c>
      <c r="D142" s="824">
        <v>8.8000000000000004E-6</v>
      </c>
      <c r="E142" s="825">
        <v>4130</v>
      </c>
      <c r="F142" s="825">
        <v>3949</v>
      </c>
      <c r="G142" s="825">
        <v>20162</v>
      </c>
      <c r="H142" s="825"/>
      <c r="I142" s="826">
        <v>378.8125</v>
      </c>
      <c r="J142" s="826">
        <v>17668</v>
      </c>
      <c r="K142" s="826">
        <v>1381</v>
      </c>
      <c r="L142" s="825">
        <v>2027</v>
      </c>
      <c r="M142" s="825"/>
      <c r="N142" s="826">
        <v>707</v>
      </c>
      <c r="O142" s="826">
        <v>6521</v>
      </c>
      <c r="P142" s="826">
        <v>0</v>
      </c>
      <c r="Q142" s="825">
        <v>0</v>
      </c>
      <c r="R142" s="825"/>
      <c r="S142" s="826">
        <v>5389</v>
      </c>
      <c r="T142" s="827">
        <v>729</v>
      </c>
      <c r="U142" s="827">
        <v>6118</v>
      </c>
    </row>
    <row r="143" spans="1:21" x14ac:dyDescent="0.25">
      <c r="A143" s="828">
        <v>91301</v>
      </c>
      <c r="B143" s="823" t="s">
        <v>2710</v>
      </c>
      <c r="C143" s="824">
        <v>7.7765000000000004E-3</v>
      </c>
      <c r="D143" s="824">
        <v>7.2360999999999997E-3</v>
      </c>
      <c r="E143" s="825">
        <v>2863288</v>
      </c>
      <c r="F143" s="825">
        <v>3247518</v>
      </c>
      <c r="G143" s="825">
        <v>16504338</v>
      </c>
      <c r="H143" s="825"/>
      <c r="I143" s="826">
        <v>310088</v>
      </c>
      <c r="J143" s="826">
        <v>14463061</v>
      </c>
      <c r="K143" s="826">
        <v>1130400</v>
      </c>
      <c r="L143" s="825">
        <v>26878</v>
      </c>
      <c r="M143" s="825"/>
      <c r="N143" s="826">
        <v>578331</v>
      </c>
      <c r="O143" s="826">
        <v>5338241</v>
      </c>
      <c r="P143" s="826">
        <v>0</v>
      </c>
      <c r="Q143" s="825">
        <v>184573</v>
      </c>
      <c r="R143" s="825"/>
      <c r="S143" s="826">
        <v>4411367</v>
      </c>
      <c r="T143" s="827">
        <v>-64544</v>
      </c>
      <c r="U143" s="827">
        <v>4346824</v>
      </c>
    </row>
    <row r="144" spans="1:21" x14ac:dyDescent="0.25">
      <c r="A144" s="828">
        <v>91302</v>
      </c>
      <c r="B144" s="823" t="s">
        <v>2711</v>
      </c>
      <c r="C144" s="824">
        <v>5.9190000000000002E-4</v>
      </c>
      <c r="D144" s="824">
        <v>5.8169999999999999E-4</v>
      </c>
      <c r="E144" s="825">
        <v>242052.32</v>
      </c>
      <c r="F144" s="825">
        <v>261063</v>
      </c>
      <c r="G144" s="825">
        <v>1256210</v>
      </c>
      <c r="H144" s="825"/>
      <c r="I144" s="826">
        <v>23602</v>
      </c>
      <c r="J144" s="826">
        <v>1100840</v>
      </c>
      <c r="K144" s="826">
        <v>86039</v>
      </c>
      <c r="L144" s="825">
        <v>53000</v>
      </c>
      <c r="M144" s="825"/>
      <c r="N144" s="826">
        <v>44019</v>
      </c>
      <c r="O144" s="826">
        <v>406314</v>
      </c>
      <c r="P144" s="826">
        <v>0</v>
      </c>
      <c r="Q144" s="825">
        <v>0</v>
      </c>
      <c r="R144" s="825"/>
      <c r="S144" s="826">
        <v>335767</v>
      </c>
      <c r="T144" s="827">
        <v>20102</v>
      </c>
      <c r="U144" s="827">
        <v>355869</v>
      </c>
    </row>
    <row r="145" spans="1:21" x14ac:dyDescent="0.25">
      <c r="A145" s="828">
        <v>91306</v>
      </c>
      <c r="B145" s="823" t="s">
        <v>2712</v>
      </c>
      <c r="C145" s="824">
        <v>1.6676E-3</v>
      </c>
      <c r="D145" s="824">
        <v>1.5539E-3</v>
      </c>
      <c r="E145" s="825">
        <v>693271</v>
      </c>
      <c r="F145" s="825">
        <v>697381</v>
      </c>
      <c r="G145" s="825">
        <v>3539206</v>
      </c>
      <c r="H145" s="825"/>
      <c r="I145" s="826">
        <v>66495.55</v>
      </c>
      <c r="J145" s="826">
        <v>3101473</v>
      </c>
      <c r="K145" s="826">
        <v>242404</v>
      </c>
      <c r="L145" s="825">
        <v>174697</v>
      </c>
      <c r="M145" s="825"/>
      <c r="N145" s="826">
        <v>124018</v>
      </c>
      <c r="O145" s="826">
        <v>1144737</v>
      </c>
      <c r="P145" s="826">
        <v>0</v>
      </c>
      <c r="Q145" s="825">
        <v>0</v>
      </c>
      <c r="R145" s="825"/>
      <c r="S145" s="826">
        <v>945978</v>
      </c>
      <c r="T145" s="827">
        <v>60990</v>
      </c>
      <c r="U145" s="827">
        <v>1006968</v>
      </c>
    </row>
    <row r="146" spans="1:21" x14ac:dyDescent="0.25">
      <c r="A146" s="822">
        <v>91308</v>
      </c>
      <c r="B146" s="823" t="s">
        <v>2713</v>
      </c>
      <c r="C146" s="824">
        <v>2.05E-4</v>
      </c>
      <c r="D146" s="824">
        <v>1.8650000000000001E-4</v>
      </c>
      <c r="E146" s="825">
        <v>71992.33</v>
      </c>
      <c r="F146" s="825">
        <v>83700</v>
      </c>
      <c r="G146" s="825">
        <v>435079</v>
      </c>
      <c r="H146" s="825"/>
      <c r="I146" s="826">
        <v>8174.375</v>
      </c>
      <c r="J146" s="826">
        <v>381267.61</v>
      </c>
      <c r="K146" s="826">
        <v>29799</v>
      </c>
      <c r="L146" s="825">
        <v>4790</v>
      </c>
      <c r="M146" s="825"/>
      <c r="N146" s="826">
        <v>15246</v>
      </c>
      <c r="O146" s="826">
        <v>140724</v>
      </c>
      <c r="P146" s="826">
        <v>0</v>
      </c>
      <c r="Q146" s="825">
        <v>3858</v>
      </c>
      <c r="R146" s="825"/>
      <c r="S146" s="826">
        <v>116290</v>
      </c>
      <c r="T146" s="827">
        <v>980</v>
      </c>
      <c r="U146" s="827">
        <v>117270</v>
      </c>
    </row>
    <row r="147" spans="1:21" x14ac:dyDescent="0.25">
      <c r="A147" s="822">
        <v>91311</v>
      </c>
      <c r="B147" s="823" t="s">
        <v>2714</v>
      </c>
      <c r="C147" s="824">
        <v>7.6649999999999999E-3</v>
      </c>
      <c r="D147" s="824">
        <v>7.9313999999999999E-3</v>
      </c>
      <c r="E147" s="825">
        <v>2915494</v>
      </c>
      <c r="F147" s="825">
        <v>3559565</v>
      </c>
      <c r="G147" s="825">
        <v>16267698</v>
      </c>
      <c r="H147" s="825"/>
      <c r="I147" s="826">
        <v>305642</v>
      </c>
      <c r="J147" s="826">
        <v>14255689</v>
      </c>
      <c r="K147" s="826">
        <v>1114192</v>
      </c>
      <c r="L147" s="825">
        <v>121391</v>
      </c>
      <c r="M147" s="825"/>
      <c r="N147" s="826">
        <v>570038</v>
      </c>
      <c r="O147" s="826">
        <v>5261700.57</v>
      </c>
      <c r="P147" s="826">
        <v>0</v>
      </c>
      <c r="Q147" s="825">
        <v>535505</v>
      </c>
      <c r="R147" s="825"/>
      <c r="S147" s="826">
        <v>4348117</v>
      </c>
      <c r="T147" s="827">
        <v>-145156</v>
      </c>
      <c r="U147" s="827">
        <v>4202961</v>
      </c>
    </row>
    <row r="148" spans="1:21" x14ac:dyDescent="0.25">
      <c r="A148" s="822">
        <v>91317</v>
      </c>
      <c r="B148" s="823" t="s">
        <v>2715</v>
      </c>
      <c r="C148" s="824">
        <v>9.0500000000000004E-5</v>
      </c>
      <c r="D148" s="824">
        <v>9.59E-5</v>
      </c>
      <c r="E148" s="825">
        <v>39328.85</v>
      </c>
      <c r="F148" s="825">
        <v>43039</v>
      </c>
      <c r="G148" s="825">
        <v>192071</v>
      </c>
      <c r="H148" s="825"/>
      <c r="I148" s="826">
        <v>3608.6875</v>
      </c>
      <c r="J148" s="826">
        <v>168316</v>
      </c>
      <c r="K148" s="826">
        <v>13155</v>
      </c>
      <c r="L148" s="825">
        <v>3623</v>
      </c>
      <c r="M148" s="825"/>
      <c r="N148" s="826">
        <v>6730</v>
      </c>
      <c r="O148" s="826">
        <v>62124</v>
      </c>
      <c r="P148" s="826">
        <v>0</v>
      </c>
      <c r="Q148" s="825">
        <v>2926</v>
      </c>
      <c r="R148" s="825"/>
      <c r="S148" s="826">
        <v>51338</v>
      </c>
      <c r="T148" s="827">
        <v>118</v>
      </c>
      <c r="U148" s="827">
        <v>51456</v>
      </c>
    </row>
    <row r="149" spans="1:21" x14ac:dyDescent="0.25">
      <c r="A149" s="822">
        <v>91321</v>
      </c>
      <c r="B149" s="823" t="s">
        <v>2716</v>
      </c>
      <c r="C149" s="824">
        <v>4.1999999999999998E-5</v>
      </c>
      <c r="D149" s="824">
        <v>3.1999999999999999E-5</v>
      </c>
      <c r="E149" s="825">
        <v>17123</v>
      </c>
      <c r="F149" s="825">
        <v>14361</v>
      </c>
      <c r="G149" s="825">
        <v>89138</v>
      </c>
      <c r="H149" s="825"/>
      <c r="I149" s="826">
        <v>1674.75</v>
      </c>
      <c r="J149" s="826">
        <v>78113</v>
      </c>
      <c r="K149" s="826">
        <v>6105</v>
      </c>
      <c r="L149" s="825">
        <v>6260</v>
      </c>
      <c r="M149" s="825"/>
      <c r="N149" s="826">
        <v>3123</v>
      </c>
      <c r="O149" s="826">
        <v>28831</v>
      </c>
      <c r="P149" s="826">
        <v>0</v>
      </c>
      <c r="Q149" s="825">
        <v>5826</v>
      </c>
      <c r="R149" s="825"/>
      <c r="S149" s="826">
        <v>23825</v>
      </c>
      <c r="T149" s="827">
        <v>-210</v>
      </c>
      <c r="U149" s="827">
        <v>23615</v>
      </c>
    </row>
    <row r="150" spans="1:21" x14ac:dyDescent="0.25">
      <c r="A150" s="822">
        <v>91327</v>
      </c>
      <c r="B150" s="823" t="s">
        <v>2717</v>
      </c>
      <c r="C150" s="824">
        <v>1.03E-5</v>
      </c>
      <c r="D150" s="824">
        <v>1.13E-5</v>
      </c>
      <c r="E150" s="825">
        <v>4112</v>
      </c>
      <c r="F150" s="825">
        <v>5071</v>
      </c>
      <c r="G150" s="825">
        <v>21860</v>
      </c>
      <c r="H150" s="825"/>
      <c r="I150" s="826">
        <v>410.71249999999998</v>
      </c>
      <c r="J150" s="826">
        <v>19156</v>
      </c>
      <c r="K150" s="826">
        <v>1497</v>
      </c>
      <c r="L150" s="825">
        <v>72</v>
      </c>
      <c r="M150" s="825"/>
      <c r="N150" s="826">
        <v>766</v>
      </c>
      <c r="O150" s="826">
        <v>7071</v>
      </c>
      <c r="P150" s="826">
        <v>0</v>
      </c>
      <c r="Q150" s="825">
        <v>1050</v>
      </c>
      <c r="R150" s="825"/>
      <c r="S150" s="826">
        <v>5843</v>
      </c>
      <c r="T150" s="827">
        <v>-275</v>
      </c>
      <c r="U150" s="827">
        <v>5568</v>
      </c>
    </row>
    <row r="151" spans="1:21" x14ac:dyDescent="0.25">
      <c r="A151" s="822">
        <v>91331</v>
      </c>
      <c r="B151" s="823" t="s">
        <v>2718</v>
      </c>
      <c r="C151" s="824">
        <v>2.8509999999999998E-3</v>
      </c>
      <c r="D151" s="824">
        <v>3.0317E-3</v>
      </c>
      <c r="E151" s="825">
        <v>1040695.76</v>
      </c>
      <c r="F151" s="825">
        <v>1360609</v>
      </c>
      <c r="G151" s="825">
        <v>6050777</v>
      </c>
      <c r="H151" s="825"/>
      <c r="I151" s="826">
        <v>113684</v>
      </c>
      <c r="J151" s="826">
        <v>5302410</v>
      </c>
      <c r="K151" s="826">
        <v>414424</v>
      </c>
      <c r="L151" s="825">
        <v>0</v>
      </c>
      <c r="M151" s="825"/>
      <c r="N151" s="826">
        <v>212026</v>
      </c>
      <c r="O151" s="826">
        <v>1957092</v>
      </c>
      <c r="P151" s="826">
        <v>0</v>
      </c>
      <c r="Q151" s="825">
        <v>459221</v>
      </c>
      <c r="R151" s="825"/>
      <c r="S151" s="826">
        <v>1617284</v>
      </c>
      <c r="T151" s="827">
        <v>-164462</v>
      </c>
      <c r="U151" s="827">
        <v>1452822</v>
      </c>
    </row>
    <row r="152" spans="1:21" x14ac:dyDescent="0.25">
      <c r="A152" s="822">
        <v>91341</v>
      </c>
      <c r="B152" s="823" t="s">
        <v>2719</v>
      </c>
      <c r="C152" s="824">
        <v>1.4399999999999999E-5</v>
      </c>
      <c r="D152" s="824">
        <v>2.1299999999999999E-5</v>
      </c>
      <c r="E152" s="825">
        <v>7639.09</v>
      </c>
      <c r="F152" s="825">
        <v>9559</v>
      </c>
      <c r="G152" s="825">
        <v>30562</v>
      </c>
      <c r="H152" s="825"/>
      <c r="I152" s="826">
        <v>574</v>
      </c>
      <c r="J152" s="826">
        <v>26782</v>
      </c>
      <c r="K152" s="826">
        <v>2093</v>
      </c>
      <c r="L152" s="825">
        <v>514</v>
      </c>
      <c r="M152" s="825"/>
      <c r="N152" s="826">
        <v>1071</v>
      </c>
      <c r="O152" s="826">
        <v>9885</v>
      </c>
      <c r="P152" s="826">
        <v>0</v>
      </c>
      <c r="Q152" s="825">
        <v>2374</v>
      </c>
      <c r="R152" s="825"/>
      <c r="S152" s="826">
        <v>8169</v>
      </c>
      <c r="T152" s="827">
        <v>-382</v>
      </c>
      <c r="U152" s="827">
        <v>7786</v>
      </c>
    </row>
    <row r="153" spans="1:21" x14ac:dyDescent="0.25">
      <c r="A153" s="822">
        <v>91401</v>
      </c>
      <c r="B153" s="823" t="s">
        <v>2720</v>
      </c>
      <c r="C153" s="824">
        <v>3.6841E-3</v>
      </c>
      <c r="D153" s="824">
        <v>3.5414999999999999E-3</v>
      </c>
      <c r="E153" s="825">
        <v>1403464.74</v>
      </c>
      <c r="F153" s="825">
        <v>1589404</v>
      </c>
      <c r="G153" s="825">
        <v>7818894</v>
      </c>
      <c r="H153" s="825"/>
      <c r="I153" s="826">
        <v>146903</v>
      </c>
      <c r="J153" s="826">
        <v>6851844</v>
      </c>
      <c r="K153" s="826">
        <v>535524</v>
      </c>
      <c r="L153" s="825">
        <v>30858</v>
      </c>
      <c r="M153" s="825"/>
      <c r="N153" s="826">
        <v>273983</v>
      </c>
      <c r="O153" s="826">
        <v>2528980</v>
      </c>
      <c r="P153" s="826">
        <v>0</v>
      </c>
      <c r="Q153" s="825">
        <v>11385</v>
      </c>
      <c r="R153" s="825"/>
      <c r="S153" s="826">
        <v>2089876</v>
      </c>
      <c r="T153" s="827">
        <v>10463</v>
      </c>
      <c r="U153" s="827">
        <v>2100338</v>
      </c>
    </row>
    <row r="154" spans="1:21" x14ac:dyDescent="0.25">
      <c r="A154" s="822">
        <v>91411</v>
      </c>
      <c r="B154" s="823" t="s">
        <v>2721</v>
      </c>
      <c r="C154" s="824">
        <v>3.5379999999999998E-4</v>
      </c>
      <c r="D154" s="824">
        <v>3.1189999999999999E-4</v>
      </c>
      <c r="E154" s="825">
        <v>141435.49</v>
      </c>
      <c r="F154" s="825">
        <v>139979</v>
      </c>
      <c r="G154" s="825">
        <v>750882</v>
      </c>
      <c r="H154" s="825"/>
      <c r="I154" s="826">
        <v>14108</v>
      </c>
      <c r="J154" s="826">
        <v>658012</v>
      </c>
      <c r="K154" s="826">
        <v>51429</v>
      </c>
      <c r="L154" s="825">
        <v>22528</v>
      </c>
      <c r="M154" s="825"/>
      <c r="N154" s="826">
        <v>26312</v>
      </c>
      <c r="O154" s="826">
        <v>242869</v>
      </c>
      <c r="P154" s="826">
        <v>0</v>
      </c>
      <c r="Q154" s="825">
        <v>2801.92</v>
      </c>
      <c r="R154" s="825"/>
      <c r="S154" s="826">
        <v>200700</v>
      </c>
      <c r="T154" s="827">
        <v>4720</v>
      </c>
      <c r="U154" s="827">
        <v>205420</v>
      </c>
    </row>
    <row r="155" spans="1:21" x14ac:dyDescent="0.25">
      <c r="A155" s="822">
        <v>91417</v>
      </c>
      <c r="B155" s="823" t="s">
        <v>2722</v>
      </c>
      <c r="C155" s="824">
        <v>9.9000000000000001E-6</v>
      </c>
      <c r="D155" s="824">
        <v>1.04E-5</v>
      </c>
      <c r="E155" s="825">
        <v>4800</v>
      </c>
      <c r="F155" s="825">
        <v>4667</v>
      </c>
      <c r="G155" s="825">
        <v>21011</v>
      </c>
      <c r="H155" s="825"/>
      <c r="I155" s="826">
        <v>394.76249999999999</v>
      </c>
      <c r="J155" s="826">
        <v>18412</v>
      </c>
      <c r="K155" s="826">
        <v>1439</v>
      </c>
      <c r="L155" s="825">
        <v>3686</v>
      </c>
      <c r="M155" s="825"/>
      <c r="N155" s="826">
        <v>736</v>
      </c>
      <c r="O155" s="826">
        <v>6796</v>
      </c>
      <c r="P155" s="826">
        <v>0</v>
      </c>
      <c r="Q155" s="825">
        <v>0</v>
      </c>
      <c r="R155" s="825"/>
      <c r="S155" s="826">
        <v>5616</v>
      </c>
      <c r="T155" s="827">
        <v>1711</v>
      </c>
      <c r="U155" s="827">
        <v>7327</v>
      </c>
    </row>
    <row r="156" spans="1:21" x14ac:dyDescent="0.25">
      <c r="A156" s="822">
        <v>91421</v>
      </c>
      <c r="B156" s="823" t="s">
        <v>2723</v>
      </c>
      <c r="C156" s="824">
        <v>7.0400000000000004E-5</v>
      </c>
      <c r="D156" s="824">
        <v>7.3399999999999995E-5</v>
      </c>
      <c r="E156" s="825">
        <v>30683</v>
      </c>
      <c r="F156" s="825">
        <v>32941</v>
      </c>
      <c r="G156" s="825">
        <v>149412</v>
      </c>
      <c r="H156" s="825"/>
      <c r="I156" s="826">
        <v>2807</v>
      </c>
      <c r="J156" s="826">
        <v>130933</v>
      </c>
      <c r="K156" s="826">
        <v>10233</v>
      </c>
      <c r="L156" s="825">
        <v>2567</v>
      </c>
      <c r="M156" s="825"/>
      <c r="N156" s="826">
        <v>5236</v>
      </c>
      <c r="O156" s="826">
        <v>48327</v>
      </c>
      <c r="P156" s="826">
        <v>0</v>
      </c>
      <c r="Q156" s="825">
        <v>4833</v>
      </c>
      <c r="R156" s="825"/>
      <c r="S156" s="826">
        <v>39936</v>
      </c>
      <c r="T156" s="827">
        <v>-400</v>
      </c>
      <c r="U156" s="827">
        <v>39536</v>
      </c>
    </row>
    <row r="157" spans="1:21" x14ac:dyDescent="0.25">
      <c r="A157" s="822">
        <v>91423</v>
      </c>
      <c r="B157" s="823" t="s">
        <v>2724</v>
      </c>
      <c r="C157" s="824">
        <v>3.8699999999999999E-5</v>
      </c>
      <c r="D157" s="824">
        <v>3.9499999999999998E-5</v>
      </c>
      <c r="E157" s="825">
        <v>17177.96</v>
      </c>
      <c r="F157" s="825">
        <v>17727</v>
      </c>
      <c r="G157" s="825">
        <v>82134</v>
      </c>
      <c r="H157" s="825"/>
      <c r="I157" s="826">
        <v>1543</v>
      </c>
      <c r="J157" s="826">
        <v>71976</v>
      </c>
      <c r="K157" s="826">
        <v>5625</v>
      </c>
      <c r="L157" s="825">
        <v>10132</v>
      </c>
      <c r="M157" s="825"/>
      <c r="N157" s="826">
        <v>2878</v>
      </c>
      <c r="O157" s="826">
        <v>26566</v>
      </c>
      <c r="P157" s="826">
        <v>0</v>
      </c>
      <c r="Q157" s="825">
        <v>4072</v>
      </c>
      <c r="R157" s="825"/>
      <c r="S157" s="826">
        <v>21953</v>
      </c>
      <c r="T157" s="827">
        <v>1493</v>
      </c>
      <c r="U157" s="827">
        <v>23446</v>
      </c>
    </row>
    <row r="158" spans="1:21" x14ac:dyDescent="0.25">
      <c r="A158" s="822">
        <v>91431</v>
      </c>
      <c r="B158" s="823" t="s">
        <v>2725</v>
      </c>
      <c r="C158" s="824">
        <v>1.417E-4</v>
      </c>
      <c r="D158" s="824">
        <v>1.606E-4</v>
      </c>
      <c r="E158" s="825">
        <v>68459</v>
      </c>
      <c r="F158" s="825">
        <v>72076</v>
      </c>
      <c r="G158" s="825">
        <v>300735</v>
      </c>
      <c r="H158" s="825"/>
      <c r="I158" s="826">
        <v>5650</v>
      </c>
      <c r="J158" s="826">
        <v>263540</v>
      </c>
      <c r="K158" s="826">
        <v>20598</v>
      </c>
      <c r="L158" s="825">
        <v>1741</v>
      </c>
      <c r="M158" s="825"/>
      <c r="N158" s="826">
        <v>10538</v>
      </c>
      <c r="O158" s="826">
        <v>97271</v>
      </c>
      <c r="P158" s="826">
        <v>0</v>
      </c>
      <c r="Q158" s="825">
        <v>2500</v>
      </c>
      <c r="R158" s="825"/>
      <c r="S158" s="826">
        <v>80382</v>
      </c>
      <c r="T158" s="827">
        <v>-116</v>
      </c>
      <c r="U158" s="827">
        <v>80266</v>
      </c>
    </row>
    <row r="159" spans="1:21" x14ac:dyDescent="0.25">
      <c r="A159" s="822">
        <v>91441</v>
      </c>
      <c r="B159" s="823" t="s">
        <v>2726</v>
      </c>
      <c r="C159" s="824">
        <v>7.3800000000000005E-4</v>
      </c>
      <c r="D159" s="824">
        <v>8.0199999999999998E-4</v>
      </c>
      <c r="E159" s="825">
        <v>243177.92</v>
      </c>
      <c r="F159" s="825">
        <v>359933</v>
      </c>
      <c r="G159" s="825">
        <v>1566283</v>
      </c>
      <c r="H159" s="825"/>
      <c r="I159" s="826">
        <v>29428</v>
      </c>
      <c r="J159" s="826">
        <v>1372563</v>
      </c>
      <c r="K159" s="826">
        <v>107276</v>
      </c>
      <c r="L159" s="825">
        <v>0</v>
      </c>
      <c r="M159" s="825"/>
      <c r="N159" s="826">
        <v>54884</v>
      </c>
      <c r="O159" s="826">
        <v>506606</v>
      </c>
      <c r="P159" s="826">
        <v>0</v>
      </c>
      <c r="Q159" s="825">
        <v>154968</v>
      </c>
      <c r="R159" s="825"/>
      <c r="S159" s="826">
        <v>418645</v>
      </c>
      <c r="T159" s="827">
        <v>-51667</v>
      </c>
      <c r="U159" s="827">
        <v>366977</v>
      </c>
    </row>
    <row r="160" spans="1:21" x14ac:dyDescent="0.25">
      <c r="A160" s="822">
        <v>91451</v>
      </c>
      <c r="B160" s="823" t="s">
        <v>2727</v>
      </c>
      <c r="C160" s="824">
        <v>1.5629000000000001E-3</v>
      </c>
      <c r="D160" s="824">
        <v>1.7028E-3</v>
      </c>
      <c r="E160" s="825">
        <v>596685</v>
      </c>
      <c r="F160" s="825">
        <v>764206</v>
      </c>
      <c r="G160" s="825">
        <v>3316997</v>
      </c>
      <c r="H160" s="825"/>
      <c r="I160" s="826">
        <v>62321</v>
      </c>
      <c r="J160" s="826">
        <v>2906747</v>
      </c>
      <c r="K160" s="826">
        <v>227185</v>
      </c>
      <c r="L160" s="825">
        <v>0</v>
      </c>
      <c r="M160" s="825"/>
      <c r="N160" s="826">
        <v>116231</v>
      </c>
      <c r="O160" s="826">
        <v>1072865</v>
      </c>
      <c r="P160" s="826">
        <v>0</v>
      </c>
      <c r="Q160" s="825">
        <v>204791</v>
      </c>
      <c r="R160" s="825"/>
      <c r="S160" s="826">
        <v>886585</v>
      </c>
      <c r="T160" s="827">
        <v>-69029</v>
      </c>
      <c r="U160" s="827">
        <v>817556</v>
      </c>
    </row>
    <row r="161" spans="1:21" x14ac:dyDescent="0.25">
      <c r="A161" s="822">
        <v>91457</v>
      </c>
      <c r="B161" s="823" t="s">
        <v>2728</v>
      </c>
      <c r="C161" s="824">
        <v>2.58E-5</v>
      </c>
      <c r="D161" s="824">
        <v>2.7500000000000001E-5</v>
      </c>
      <c r="E161" s="825">
        <v>28421</v>
      </c>
      <c r="F161" s="825">
        <v>12342</v>
      </c>
      <c r="G161" s="825">
        <v>54756</v>
      </c>
      <c r="H161" s="825"/>
      <c r="I161" s="826">
        <v>1029</v>
      </c>
      <c r="J161" s="826">
        <v>47984</v>
      </c>
      <c r="K161" s="826">
        <v>3750</v>
      </c>
      <c r="L161" s="825">
        <v>24288</v>
      </c>
      <c r="M161" s="825"/>
      <c r="N161" s="826">
        <v>1919</v>
      </c>
      <c r="O161" s="826">
        <v>17711</v>
      </c>
      <c r="P161" s="826">
        <v>0</v>
      </c>
      <c r="Q161" s="825">
        <v>0</v>
      </c>
      <c r="R161" s="825"/>
      <c r="S161" s="826">
        <v>14636</v>
      </c>
      <c r="T161" s="827">
        <v>7429</v>
      </c>
      <c r="U161" s="827">
        <v>22065</v>
      </c>
    </row>
    <row r="162" spans="1:21" x14ac:dyDescent="0.25">
      <c r="A162" s="822">
        <v>91461</v>
      </c>
      <c r="B162" s="823" t="s">
        <v>2729</v>
      </c>
      <c r="C162" s="824">
        <v>8.6999999999999997E-6</v>
      </c>
      <c r="D162" s="824">
        <v>6.3999999999999997E-6</v>
      </c>
      <c r="E162" s="825">
        <v>2697</v>
      </c>
      <c r="F162" s="825">
        <v>2872</v>
      </c>
      <c r="G162" s="825">
        <v>18464</v>
      </c>
      <c r="H162" s="825"/>
      <c r="I162" s="826">
        <v>347</v>
      </c>
      <c r="J162" s="826">
        <v>16181</v>
      </c>
      <c r="K162" s="826">
        <v>1265</v>
      </c>
      <c r="L162" s="825">
        <v>3156</v>
      </c>
      <c r="M162" s="825"/>
      <c r="N162" s="826">
        <v>647</v>
      </c>
      <c r="O162" s="826">
        <v>5972</v>
      </c>
      <c r="P162" s="826">
        <v>0</v>
      </c>
      <c r="Q162" s="825">
        <v>0</v>
      </c>
      <c r="R162" s="825"/>
      <c r="S162" s="826">
        <v>4935</v>
      </c>
      <c r="T162" s="827">
        <v>1104</v>
      </c>
      <c r="U162" s="827">
        <v>6039</v>
      </c>
    </row>
    <row r="163" spans="1:21" x14ac:dyDescent="0.25">
      <c r="A163" s="822">
        <v>91501</v>
      </c>
      <c r="B163" s="823" t="s">
        <v>2730</v>
      </c>
      <c r="C163" s="824">
        <v>5.1099999999999995E-4</v>
      </c>
      <c r="D163" s="824">
        <v>4.8660000000000001E-4</v>
      </c>
      <c r="E163" s="825">
        <v>207396</v>
      </c>
      <c r="F163" s="825">
        <v>218383</v>
      </c>
      <c r="G163" s="825">
        <v>1084513</v>
      </c>
      <c r="H163" s="825"/>
      <c r="I163" s="826">
        <v>20376</v>
      </c>
      <c r="J163" s="826">
        <v>950379</v>
      </c>
      <c r="K163" s="826">
        <v>74279</v>
      </c>
      <c r="L163" s="825">
        <v>41752</v>
      </c>
      <c r="M163" s="825"/>
      <c r="N163" s="826">
        <v>38003</v>
      </c>
      <c r="O163" s="826">
        <v>350780</v>
      </c>
      <c r="P163" s="826">
        <v>0</v>
      </c>
      <c r="Q163" s="825">
        <v>0</v>
      </c>
      <c r="R163" s="825"/>
      <c r="S163" s="826">
        <v>289874</v>
      </c>
      <c r="T163" s="827">
        <v>17322</v>
      </c>
      <c r="U163" s="827">
        <v>307197</v>
      </c>
    </row>
    <row r="164" spans="1:21" x14ac:dyDescent="0.25">
      <c r="A164" s="822">
        <v>91504</v>
      </c>
      <c r="B164" s="823" t="s">
        <v>2731</v>
      </c>
      <c r="C164" s="824">
        <v>1.0200000000000001E-5</v>
      </c>
      <c r="D164" s="824">
        <v>9.7999999999999993E-6</v>
      </c>
      <c r="E164" s="825">
        <v>5951</v>
      </c>
      <c r="F164" s="825">
        <v>4398</v>
      </c>
      <c r="G164" s="825">
        <v>21648</v>
      </c>
      <c r="H164" s="825"/>
      <c r="I164" s="826">
        <v>406.72500000000002</v>
      </c>
      <c r="J164" s="826">
        <v>18970</v>
      </c>
      <c r="K164" s="826">
        <v>1483</v>
      </c>
      <c r="L164" s="825">
        <v>6563</v>
      </c>
      <c r="M164" s="825"/>
      <c r="N164" s="826">
        <v>759</v>
      </c>
      <c r="O164" s="826">
        <v>7002</v>
      </c>
      <c r="P164" s="826">
        <v>0</v>
      </c>
      <c r="Q164" s="825">
        <v>0</v>
      </c>
      <c r="R164" s="825"/>
      <c r="S164" s="826">
        <v>5786</v>
      </c>
      <c r="T164" s="827">
        <v>2270</v>
      </c>
      <c r="U164" s="827">
        <v>8056</v>
      </c>
    </row>
    <row r="165" spans="1:21" x14ac:dyDescent="0.25">
      <c r="A165" s="822">
        <v>91601</v>
      </c>
      <c r="B165" s="823" t="s">
        <v>2732</v>
      </c>
      <c r="C165" s="824">
        <v>2.9077999999999999E-3</v>
      </c>
      <c r="D165" s="824">
        <v>2.5893000000000001E-3</v>
      </c>
      <c r="E165" s="825">
        <v>1153048.76</v>
      </c>
      <c r="F165" s="825">
        <v>1162062</v>
      </c>
      <c r="G165" s="825">
        <v>6171326</v>
      </c>
      <c r="H165" s="825"/>
      <c r="I165" s="826">
        <v>115949</v>
      </c>
      <c r="J165" s="826">
        <v>5408049</v>
      </c>
      <c r="K165" s="826">
        <v>422681</v>
      </c>
      <c r="L165" s="825">
        <v>254754</v>
      </c>
      <c r="M165" s="825"/>
      <c r="N165" s="826">
        <v>216250</v>
      </c>
      <c r="O165" s="826">
        <v>1996083</v>
      </c>
      <c r="P165" s="826">
        <v>0</v>
      </c>
      <c r="Q165" s="825">
        <v>0</v>
      </c>
      <c r="R165" s="825"/>
      <c r="S165" s="826">
        <v>1649505</v>
      </c>
      <c r="T165" s="827">
        <v>86224</v>
      </c>
      <c r="U165" s="827">
        <v>1735729</v>
      </c>
    </row>
    <row r="166" spans="1:21" x14ac:dyDescent="0.25">
      <c r="A166" s="822">
        <v>91604</v>
      </c>
      <c r="B166" s="823" t="s">
        <v>2733</v>
      </c>
      <c r="C166" s="824">
        <v>8.6799999999999996E-5</v>
      </c>
      <c r="D166" s="824">
        <v>8.5000000000000006E-5</v>
      </c>
      <c r="E166" s="825">
        <v>47160</v>
      </c>
      <c r="F166" s="825">
        <v>38147</v>
      </c>
      <c r="G166" s="825">
        <v>184219</v>
      </c>
      <c r="H166" s="825"/>
      <c r="I166" s="826">
        <v>3461</v>
      </c>
      <c r="J166" s="826">
        <v>161434</v>
      </c>
      <c r="K166" s="826">
        <v>12617</v>
      </c>
      <c r="L166" s="825">
        <v>17354</v>
      </c>
      <c r="M166" s="825"/>
      <c r="N166" s="826">
        <v>6455</v>
      </c>
      <c r="O166" s="826">
        <v>59585</v>
      </c>
      <c r="P166" s="826">
        <v>0</v>
      </c>
      <c r="Q166" s="825">
        <v>0</v>
      </c>
      <c r="R166" s="825"/>
      <c r="S166" s="826">
        <v>49239</v>
      </c>
      <c r="T166" s="827">
        <v>5419</v>
      </c>
      <c r="U166" s="827">
        <v>54658</v>
      </c>
    </row>
    <row r="167" spans="1:21" x14ac:dyDescent="0.25">
      <c r="A167" s="822">
        <v>91608</v>
      </c>
      <c r="B167" s="823" t="s">
        <v>2734</v>
      </c>
      <c r="C167" s="824">
        <v>1.208E-4</v>
      </c>
      <c r="D167" s="824">
        <v>1.178E-4</v>
      </c>
      <c r="E167" s="825">
        <v>33634</v>
      </c>
      <c r="F167" s="825">
        <v>52868</v>
      </c>
      <c r="G167" s="825">
        <v>256378</v>
      </c>
      <c r="H167" s="825"/>
      <c r="I167" s="826">
        <v>4817</v>
      </c>
      <c r="J167" s="826">
        <v>224669</v>
      </c>
      <c r="K167" s="826">
        <v>17560</v>
      </c>
      <c r="L167" s="825">
        <v>1751</v>
      </c>
      <c r="M167" s="825"/>
      <c r="N167" s="826">
        <v>8984</v>
      </c>
      <c r="O167" s="826">
        <v>82924</v>
      </c>
      <c r="P167" s="826">
        <v>0</v>
      </c>
      <c r="Q167" s="825">
        <v>42921</v>
      </c>
      <c r="R167" s="825"/>
      <c r="S167" s="826">
        <v>68526</v>
      </c>
      <c r="T167" s="827">
        <v>-13278</v>
      </c>
      <c r="U167" s="827">
        <v>55248</v>
      </c>
    </row>
    <row r="168" spans="1:21" x14ac:dyDescent="0.25">
      <c r="A168" s="822">
        <v>91611</v>
      </c>
      <c r="B168" s="823" t="s">
        <v>2735</v>
      </c>
      <c r="C168" s="824">
        <v>1.4345E-3</v>
      </c>
      <c r="D168" s="824">
        <v>1.3361E-3</v>
      </c>
      <c r="E168" s="825">
        <v>495192</v>
      </c>
      <c r="F168" s="825">
        <v>599634</v>
      </c>
      <c r="G168" s="825">
        <v>3044490</v>
      </c>
      <c r="H168" s="825"/>
      <c r="I168" s="826">
        <v>57201</v>
      </c>
      <c r="J168" s="826">
        <v>2667943</v>
      </c>
      <c r="K168" s="826">
        <v>208520</v>
      </c>
      <c r="L168" s="825">
        <v>36769</v>
      </c>
      <c r="M168" s="825"/>
      <c r="N168" s="826">
        <v>106682</v>
      </c>
      <c r="O168" s="826">
        <v>984724</v>
      </c>
      <c r="P168" s="826">
        <v>0</v>
      </c>
      <c r="Q168" s="825">
        <v>21938</v>
      </c>
      <c r="R168" s="825"/>
      <c r="S168" s="826">
        <v>813747</v>
      </c>
      <c r="T168" s="827">
        <v>11752</v>
      </c>
      <c r="U168" s="827">
        <v>825500</v>
      </c>
    </row>
    <row r="169" spans="1:21" x14ac:dyDescent="0.25">
      <c r="A169" s="822">
        <v>91621</v>
      </c>
      <c r="B169" s="823" t="s">
        <v>2736</v>
      </c>
      <c r="C169" s="824">
        <v>2.5240000000000001E-4</v>
      </c>
      <c r="D169" s="824">
        <v>2.6200000000000003E-4</v>
      </c>
      <c r="E169" s="825">
        <v>102644</v>
      </c>
      <c r="F169" s="825">
        <v>117584</v>
      </c>
      <c r="G169" s="825">
        <v>535677</v>
      </c>
      <c r="H169" s="825"/>
      <c r="I169" s="826">
        <v>10064</v>
      </c>
      <c r="J169" s="826">
        <v>469424</v>
      </c>
      <c r="K169" s="826">
        <v>36689</v>
      </c>
      <c r="L169" s="825">
        <v>20545</v>
      </c>
      <c r="M169" s="825"/>
      <c r="N169" s="826">
        <v>18771</v>
      </c>
      <c r="O169" s="826">
        <v>173262</v>
      </c>
      <c r="P169" s="826">
        <v>0</v>
      </c>
      <c r="Q169" s="825">
        <v>25591</v>
      </c>
      <c r="R169" s="825"/>
      <c r="S169" s="826">
        <v>143179</v>
      </c>
      <c r="T169" s="827">
        <v>-4085</v>
      </c>
      <c r="U169" s="827">
        <v>139094</v>
      </c>
    </row>
    <row r="170" spans="1:21" x14ac:dyDescent="0.25">
      <c r="A170" s="822">
        <v>91631</v>
      </c>
      <c r="B170" s="823" t="s">
        <v>2737</v>
      </c>
      <c r="C170" s="824">
        <v>5.3870000000000003E-4</v>
      </c>
      <c r="D170" s="824">
        <v>5.4830000000000005E-4</v>
      </c>
      <c r="E170" s="825">
        <v>189554.94</v>
      </c>
      <c r="F170" s="825">
        <v>246074</v>
      </c>
      <c r="G170" s="825">
        <v>1143302</v>
      </c>
      <c r="H170" s="825"/>
      <c r="I170" s="826">
        <v>21481</v>
      </c>
      <c r="J170" s="826">
        <v>1001897</v>
      </c>
      <c r="K170" s="826">
        <v>78306</v>
      </c>
      <c r="L170" s="825">
        <v>0</v>
      </c>
      <c r="M170" s="825"/>
      <c r="N170" s="826">
        <v>40063</v>
      </c>
      <c r="O170" s="826">
        <v>369795</v>
      </c>
      <c r="P170" s="826">
        <v>0</v>
      </c>
      <c r="Q170" s="825">
        <v>35292</v>
      </c>
      <c r="R170" s="825"/>
      <c r="S170" s="826">
        <v>305588</v>
      </c>
      <c r="T170" s="827">
        <v>-10001</v>
      </c>
      <c r="U170" s="827">
        <v>295587</v>
      </c>
    </row>
    <row r="171" spans="1:21" x14ac:dyDescent="0.25">
      <c r="A171" s="822">
        <v>91633</v>
      </c>
      <c r="B171" s="823" t="s">
        <v>2738</v>
      </c>
      <c r="C171" s="824">
        <v>2.3799999999999999E-5</v>
      </c>
      <c r="D171" s="824">
        <v>2.3200000000000001E-5</v>
      </c>
      <c r="E171" s="825">
        <v>11149</v>
      </c>
      <c r="F171" s="825">
        <v>10412</v>
      </c>
      <c r="G171" s="825">
        <v>50512</v>
      </c>
      <c r="H171" s="825"/>
      <c r="I171" s="826">
        <v>949.02499999999998</v>
      </c>
      <c r="J171" s="826">
        <v>44264</v>
      </c>
      <c r="K171" s="826">
        <v>3460</v>
      </c>
      <c r="L171" s="825">
        <v>1407</v>
      </c>
      <c r="M171" s="825"/>
      <c r="N171" s="826">
        <v>1770</v>
      </c>
      <c r="O171" s="826">
        <v>16338</v>
      </c>
      <c r="P171" s="826">
        <v>0</v>
      </c>
      <c r="Q171" s="825">
        <v>5064</v>
      </c>
      <c r="R171" s="825"/>
      <c r="S171" s="826">
        <v>13501</v>
      </c>
      <c r="T171" s="827">
        <v>-1485</v>
      </c>
      <c r="U171" s="827">
        <v>12016</v>
      </c>
    </row>
    <row r="172" spans="1:21" x14ac:dyDescent="0.25">
      <c r="A172" s="822">
        <v>91641</v>
      </c>
      <c r="B172" s="823" t="s">
        <v>2739</v>
      </c>
      <c r="C172" s="824">
        <v>2.742E-4</v>
      </c>
      <c r="D172" s="824">
        <v>3.1080000000000002E-4</v>
      </c>
      <c r="E172" s="825">
        <v>90324.84</v>
      </c>
      <c r="F172" s="825">
        <v>139485</v>
      </c>
      <c r="G172" s="825">
        <v>581944</v>
      </c>
      <c r="H172" s="825"/>
      <c r="I172" s="826">
        <v>10934</v>
      </c>
      <c r="J172" s="826">
        <v>509969</v>
      </c>
      <c r="K172" s="826">
        <v>39858</v>
      </c>
      <c r="L172" s="825">
        <v>0</v>
      </c>
      <c r="M172" s="825"/>
      <c r="N172" s="826">
        <v>20392</v>
      </c>
      <c r="O172" s="826">
        <v>188227</v>
      </c>
      <c r="P172" s="826">
        <v>0</v>
      </c>
      <c r="Q172" s="825">
        <v>73613</v>
      </c>
      <c r="R172" s="825"/>
      <c r="S172" s="826">
        <v>155545</v>
      </c>
      <c r="T172" s="827">
        <v>-24397</v>
      </c>
      <c r="U172" s="827">
        <v>131148</v>
      </c>
    </row>
    <row r="173" spans="1:21" x14ac:dyDescent="0.25">
      <c r="A173" s="822">
        <v>91651</v>
      </c>
      <c r="B173" s="823" t="s">
        <v>2740</v>
      </c>
      <c r="C173" s="824">
        <v>4.6099999999999998E-4</v>
      </c>
      <c r="D173" s="824">
        <v>4.797E-4</v>
      </c>
      <c r="E173" s="825">
        <v>182169.7</v>
      </c>
      <c r="F173" s="825">
        <v>215286</v>
      </c>
      <c r="G173" s="825">
        <v>978396</v>
      </c>
      <c r="H173" s="825"/>
      <c r="I173" s="826">
        <v>18382.375</v>
      </c>
      <c r="J173" s="826">
        <v>857387</v>
      </c>
      <c r="K173" s="826">
        <v>67011</v>
      </c>
      <c r="L173" s="825">
        <v>0</v>
      </c>
      <c r="M173" s="825"/>
      <c r="N173" s="826">
        <v>34284</v>
      </c>
      <c r="O173" s="826">
        <v>316457</v>
      </c>
      <c r="P173" s="826">
        <v>0</v>
      </c>
      <c r="Q173" s="825">
        <v>30276</v>
      </c>
      <c r="R173" s="825"/>
      <c r="S173" s="826">
        <v>261511</v>
      </c>
      <c r="T173" s="827">
        <v>-9842</v>
      </c>
      <c r="U173" s="827">
        <v>251669</v>
      </c>
    </row>
    <row r="174" spans="1:21" x14ac:dyDescent="0.25">
      <c r="A174" s="822">
        <v>91661</v>
      </c>
      <c r="B174" s="823" t="s">
        <v>2741</v>
      </c>
      <c r="C174" s="824">
        <v>1.6750000000000001E-4</v>
      </c>
      <c r="D174" s="824">
        <v>1.9149999999999999E-4</v>
      </c>
      <c r="E174" s="825">
        <v>50933.13</v>
      </c>
      <c r="F174" s="825">
        <v>85944</v>
      </c>
      <c r="G174" s="825">
        <v>355491</v>
      </c>
      <c r="H174" s="825"/>
      <c r="I174" s="826">
        <v>6679.0625</v>
      </c>
      <c r="J174" s="826">
        <v>311524</v>
      </c>
      <c r="K174" s="826">
        <v>24348</v>
      </c>
      <c r="L174" s="825">
        <v>0</v>
      </c>
      <c r="M174" s="825"/>
      <c r="N174" s="826">
        <v>12457</v>
      </c>
      <c r="O174" s="826">
        <v>114982</v>
      </c>
      <c r="P174" s="826">
        <v>0</v>
      </c>
      <c r="Q174" s="825">
        <v>40976</v>
      </c>
      <c r="R174" s="825"/>
      <c r="S174" s="826">
        <v>95018</v>
      </c>
      <c r="T174" s="827">
        <v>-12042</v>
      </c>
      <c r="U174" s="827">
        <v>82975</v>
      </c>
    </row>
    <row r="175" spans="1:21" x14ac:dyDescent="0.25">
      <c r="A175" s="822">
        <v>91671</v>
      </c>
      <c r="B175" s="823" t="s">
        <v>2742</v>
      </c>
      <c r="C175" s="824">
        <v>9.7600000000000001E-5</v>
      </c>
      <c r="D175" s="824">
        <v>9.0000000000000006E-5</v>
      </c>
      <c r="E175" s="825">
        <v>40599.14</v>
      </c>
      <c r="F175" s="825">
        <v>40391.46</v>
      </c>
      <c r="G175" s="825">
        <v>207140</v>
      </c>
      <c r="H175" s="825"/>
      <c r="I175" s="826">
        <v>3891.8</v>
      </c>
      <c r="J175" s="826">
        <v>181521</v>
      </c>
      <c r="K175" s="826">
        <v>14187</v>
      </c>
      <c r="L175" s="825">
        <v>17521</v>
      </c>
      <c r="M175" s="825"/>
      <c r="N175" s="826">
        <v>7258</v>
      </c>
      <c r="O175" s="826">
        <v>66998</v>
      </c>
      <c r="P175" s="826">
        <v>0</v>
      </c>
      <c r="Q175" s="825">
        <v>0</v>
      </c>
      <c r="R175" s="825"/>
      <c r="S175" s="826">
        <v>55365</v>
      </c>
      <c r="T175" s="827">
        <v>6024</v>
      </c>
      <c r="U175" s="827">
        <v>61390</v>
      </c>
    </row>
    <row r="176" spans="1:21" x14ac:dyDescent="0.25">
      <c r="A176" s="822">
        <v>91681</v>
      </c>
      <c r="B176" s="823" t="s">
        <v>2743</v>
      </c>
      <c r="C176" s="824">
        <v>4.7130000000000002E-4</v>
      </c>
      <c r="D176" s="824">
        <v>5.2590000000000004E-4</v>
      </c>
      <c r="E176" s="825">
        <v>361073.65</v>
      </c>
      <c r="F176" s="825">
        <v>236021</v>
      </c>
      <c r="G176" s="825">
        <v>1000256</v>
      </c>
      <c r="H176" s="825"/>
      <c r="I176" s="826">
        <v>18793</v>
      </c>
      <c r="J176" s="826">
        <v>876544</v>
      </c>
      <c r="K176" s="826">
        <v>68509</v>
      </c>
      <c r="L176" s="825">
        <v>196447</v>
      </c>
      <c r="M176" s="825"/>
      <c r="N176" s="826">
        <v>35050</v>
      </c>
      <c r="O176" s="826">
        <v>323528</v>
      </c>
      <c r="P176" s="826">
        <v>0</v>
      </c>
      <c r="Q176" s="825">
        <v>9078</v>
      </c>
      <c r="R176" s="825"/>
      <c r="S176" s="826">
        <v>267354</v>
      </c>
      <c r="T176" s="827">
        <v>55234</v>
      </c>
      <c r="U176" s="827">
        <v>322588</v>
      </c>
    </row>
    <row r="177" spans="1:21" x14ac:dyDescent="0.25">
      <c r="A177" s="822">
        <v>91691</v>
      </c>
      <c r="B177" s="823" t="s">
        <v>2744</v>
      </c>
      <c r="C177" s="824">
        <v>2.4199999999999999E-5</v>
      </c>
      <c r="D177" s="824">
        <v>1.8700000000000001E-5</v>
      </c>
      <c r="E177" s="825">
        <v>9114</v>
      </c>
      <c r="F177" s="825">
        <v>8392</v>
      </c>
      <c r="G177" s="825">
        <v>51361</v>
      </c>
      <c r="H177" s="825"/>
      <c r="I177" s="826">
        <v>965</v>
      </c>
      <c r="J177" s="826">
        <v>45008</v>
      </c>
      <c r="K177" s="826">
        <v>3518</v>
      </c>
      <c r="L177" s="825">
        <v>2449</v>
      </c>
      <c r="M177" s="825"/>
      <c r="N177" s="826">
        <v>1800</v>
      </c>
      <c r="O177" s="826">
        <v>16612</v>
      </c>
      <c r="P177" s="826">
        <v>0</v>
      </c>
      <c r="Q177" s="825">
        <v>801</v>
      </c>
      <c r="R177" s="825"/>
      <c r="S177" s="826">
        <v>13728</v>
      </c>
      <c r="T177" s="827">
        <v>383</v>
      </c>
      <c r="U177" s="827">
        <v>14111</v>
      </c>
    </row>
    <row r="178" spans="1:21" x14ac:dyDescent="0.25">
      <c r="A178" s="822">
        <v>91701</v>
      </c>
      <c r="B178" s="823" t="s">
        <v>2745</v>
      </c>
      <c r="C178" s="824">
        <v>1.0897000000000001E-3</v>
      </c>
      <c r="D178" s="824">
        <v>1.0575999999999999E-3</v>
      </c>
      <c r="E178" s="825">
        <v>448773</v>
      </c>
      <c r="F178" s="825">
        <v>474645</v>
      </c>
      <c r="G178" s="825">
        <v>2312708</v>
      </c>
      <c r="H178" s="825"/>
      <c r="I178" s="826">
        <v>43452</v>
      </c>
      <c r="J178" s="826">
        <v>2026670</v>
      </c>
      <c r="K178" s="826">
        <v>158400</v>
      </c>
      <c r="L178" s="825">
        <v>20132</v>
      </c>
      <c r="M178" s="825"/>
      <c r="N178" s="826">
        <v>81040</v>
      </c>
      <c r="O178" s="826">
        <v>748033</v>
      </c>
      <c r="P178" s="826">
        <v>0</v>
      </c>
      <c r="Q178" s="825">
        <v>13968</v>
      </c>
      <c r="R178" s="825"/>
      <c r="S178" s="826">
        <v>618153</v>
      </c>
      <c r="T178" s="827">
        <v>-1590</v>
      </c>
      <c r="U178" s="827">
        <v>616563</v>
      </c>
    </row>
    <row r="179" spans="1:21" x14ac:dyDescent="0.25">
      <c r="A179" s="822">
        <v>91704</v>
      </c>
      <c r="B179" s="823" t="s">
        <v>2746</v>
      </c>
      <c r="C179" s="824">
        <v>1.6699999999999999E-5</v>
      </c>
      <c r="D179" s="824">
        <v>1.66E-5</v>
      </c>
      <c r="E179" s="825">
        <v>6924</v>
      </c>
      <c r="F179" s="825">
        <v>7450</v>
      </c>
      <c r="G179" s="825">
        <v>35443</v>
      </c>
      <c r="H179" s="825"/>
      <c r="I179" s="826">
        <v>665.91250000000002</v>
      </c>
      <c r="J179" s="826">
        <v>31059</v>
      </c>
      <c r="K179" s="826">
        <v>2428</v>
      </c>
      <c r="L179" s="825">
        <v>1658</v>
      </c>
      <c r="M179" s="825"/>
      <c r="N179" s="826">
        <v>1242</v>
      </c>
      <c r="O179" s="826">
        <v>11464</v>
      </c>
      <c r="P179" s="826">
        <v>0</v>
      </c>
      <c r="Q179" s="825">
        <v>0</v>
      </c>
      <c r="R179" s="825"/>
      <c r="S179" s="826">
        <v>9473</v>
      </c>
      <c r="T179" s="827">
        <v>628</v>
      </c>
      <c r="U179" s="827">
        <v>10101</v>
      </c>
    </row>
    <row r="180" spans="1:21" x14ac:dyDescent="0.25">
      <c r="A180" s="822">
        <v>91706</v>
      </c>
      <c r="B180" s="823" t="s">
        <v>2747</v>
      </c>
      <c r="C180" s="824">
        <v>2.4279999999999999E-4</v>
      </c>
      <c r="D180" s="824">
        <v>2.565E-4</v>
      </c>
      <c r="E180" s="825">
        <v>104554</v>
      </c>
      <c r="F180" s="825">
        <v>115116</v>
      </c>
      <c r="G180" s="825">
        <v>515303</v>
      </c>
      <c r="H180" s="825"/>
      <c r="I180" s="826">
        <v>9681.65</v>
      </c>
      <c r="J180" s="826">
        <v>451570</v>
      </c>
      <c r="K180" s="826">
        <v>35294</v>
      </c>
      <c r="L180" s="825">
        <v>807</v>
      </c>
      <c r="M180" s="825"/>
      <c r="N180" s="826">
        <v>18057</v>
      </c>
      <c r="O180" s="826">
        <v>166672</v>
      </c>
      <c r="P180" s="826">
        <v>0</v>
      </c>
      <c r="Q180" s="825">
        <v>14823</v>
      </c>
      <c r="R180" s="825"/>
      <c r="S180" s="826">
        <v>137733</v>
      </c>
      <c r="T180" s="827">
        <v>-6265</v>
      </c>
      <c r="U180" s="827">
        <v>131468</v>
      </c>
    </row>
    <row r="181" spans="1:21" x14ac:dyDescent="0.25">
      <c r="A181" s="822">
        <v>91719</v>
      </c>
      <c r="B181" s="823" t="s">
        <v>2748</v>
      </c>
      <c r="C181" s="824">
        <v>4.9299999999999999E-5</v>
      </c>
      <c r="D181" s="824">
        <v>4.4199999999999997E-5</v>
      </c>
      <c r="E181" s="825">
        <v>15848</v>
      </c>
      <c r="F181" s="825">
        <v>19837</v>
      </c>
      <c r="G181" s="825">
        <v>104631</v>
      </c>
      <c r="H181" s="825"/>
      <c r="I181" s="826">
        <v>1966</v>
      </c>
      <c r="J181" s="826">
        <v>91690</v>
      </c>
      <c r="K181" s="826">
        <v>7166</v>
      </c>
      <c r="L181" s="825">
        <v>6810</v>
      </c>
      <c r="M181" s="825"/>
      <c r="N181" s="826">
        <v>3666</v>
      </c>
      <c r="O181" s="826">
        <v>33842</v>
      </c>
      <c r="P181" s="826">
        <v>0</v>
      </c>
      <c r="Q181" s="825">
        <v>3972</v>
      </c>
      <c r="R181" s="825"/>
      <c r="S181" s="826">
        <v>27966</v>
      </c>
      <c r="T181" s="827">
        <v>602</v>
      </c>
      <c r="U181" s="827">
        <v>28568</v>
      </c>
    </row>
    <row r="182" spans="1:21" x14ac:dyDescent="0.25">
      <c r="A182" s="822">
        <v>91801</v>
      </c>
      <c r="B182" s="823" t="s">
        <v>2749</v>
      </c>
      <c r="C182" s="824">
        <v>8.3853999999999995E-3</v>
      </c>
      <c r="D182" s="824">
        <v>8.1784000000000006E-3</v>
      </c>
      <c r="E182" s="825">
        <v>3229080.93</v>
      </c>
      <c r="F182" s="825">
        <v>3670417</v>
      </c>
      <c r="G182" s="825">
        <v>17796628</v>
      </c>
      <c r="H182" s="825"/>
      <c r="I182" s="826">
        <v>334368</v>
      </c>
      <c r="J182" s="826">
        <v>15595519</v>
      </c>
      <c r="K182" s="826">
        <v>1218910</v>
      </c>
      <c r="L182" s="825">
        <v>0</v>
      </c>
      <c r="M182" s="825"/>
      <c r="N182" s="826">
        <v>623614</v>
      </c>
      <c r="O182" s="826">
        <v>5756225</v>
      </c>
      <c r="P182" s="826">
        <v>0</v>
      </c>
      <c r="Q182" s="825">
        <v>122778</v>
      </c>
      <c r="R182" s="825"/>
      <c r="S182" s="826">
        <v>4756777</v>
      </c>
      <c r="T182" s="827">
        <v>-45736</v>
      </c>
      <c r="U182" s="827">
        <v>4711042</v>
      </c>
    </row>
    <row r="183" spans="1:21" x14ac:dyDescent="0.25">
      <c r="A183" s="822">
        <v>91804</v>
      </c>
      <c r="B183" s="823" t="s">
        <v>2750</v>
      </c>
      <c r="C183" s="824">
        <v>1.462E-4</v>
      </c>
      <c r="D183" s="824">
        <v>1.4349999999999999E-4</v>
      </c>
      <c r="E183" s="825">
        <v>90420.56</v>
      </c>
      <c r="F183" s="825">
        <v>64402</v>
      </c>
      <c r="G183" s="825">
        <v>310285</v>
      </c>
      <c r="H183" s="825"/>
      <c r="I183" s="826">
        <v>5830</v>
      </c>
      <c r="J183" s="826">
        <v>271909</v>
      </c>
      <c r="K183" s="826">
        <v>21252</v>
      </c>
      <c r="L183" s="825">
        <v>55024</v>
      </c>
      <c r="M183" s="825"/>
      <c r="N183" s="826">
        <v>10873</v>
      </c>
      <c r="O183" s="826">
        <v>100360</v>
      </c>
      <c r="P183" s="826">
        <v>0</v>
      </c>
      <c r="Q183" s="825">
        <v>0</v>
      </c>
      <c r="R183" s="825"/>
      <c r="S183" s="826">
        <v>82935</v>
      </c>
      <c r="T183" s="827">
        <v>18762</v>
      </c>
      <c r="U183" s="827">
        <v>101697</v>
      </c>
    </row>
    <row r="184" spans="1:21" x14ac:dyDescent="0.25">
      <c r="A184" s="822">
        <v>91811</v>
      </c>
      <c r="B184" s="823" t="s">
        <v>2751</v>
      </c>
      <c r="C184" s="824">
        <v>4.6454000000000001E-3</v>
      </c>
      <c r="D184" s="824">
        <v>5.0266E-3</v>
      </c>
      <c r="E184" s="825">
        <v>1763088</v>
      </c>
      <c r="F184" s="825">
        <v>2255908</v>
      </c>
      <c r="G184" s="825">
        <v>9859095</v>
      </c>
      <c r="H184" s="825"/>
      <c r="I184" s="826">
        <v>185235</v>
      </c>
      <c r="J184" s="826">
        <v>8639710</v>
      </c>
      <c r="K184" s="826">
        <v>675260</v>
      </c>
      <c r="L184" s="825">
        <v>0</v>
      </c>
      <c r="M184" s="825"/>
      <c r="N184" s="826">
        <v>345474</v>
      </c>
      <c r="O184" s="826">
        <v>3188872</v>
      </c>
      <c r="P184" s="826">
        <v>0</v>
      </c>
      <c r="Q184" s="825">
        <v>514506</v>
      </c>
      <c r="R184" s="825"/>
      <c r="S184" s="826">
        <v>2635191</v>
      </c>
      <c r="T184" s="827">
        <v>-157089</v>
      </c>
      <c r="U184" s="827">
        <v>2478102</v>
      </c>
    </row>
    <row r="185" spans="1:21" x14ac:dyDescent="0.25">
      <c r="A185" s="822">
        <v>91812</v>
      </c>
      <c r="B185" s="823" t="s">
        <v>2752</v>
      </c>
      <c r="C185" s="824">
        <v>5.8199999999999998E-5</v>
      </c>
      <c r="D185" s="824">
        <v>4.1499999999999999E-5</v>
      </c>
      <c r="E185" s="825">
        <v>24707</v>
      </c>
      <c r="F185" s="825">
        <v>18625</v>
      </c>
      <c r="G185" s="825">
        <v>123520</v>
      </c>
      <c r="H185" s="825"/>
      <c r="I185" s="826">
        <v>2320.7249999999999</v>
      </c>
      <c r="J185" s="826">
        <v>108243</v>
      </c>
      <c r="K185" s="826">
        <v>8460</v>
      </c>
      <c r="L185" s="825">
        <v>16587</v>
      </c>
      <c r="M185" s="825"/>
      <c r="N185" s="826">
        <v>4328</v>
      </c>
      <c r="O185" s="826">
        <v>39952</v>
      </c>
      <c r="P185" s="826">
        <v>0</v>
      </c>
      <c r="Q185" s="825">
        <v>0</v>
      </c>
      <c r="R185" s="825"/>
      <c r="S185" s="826">
        <v>33015</v>
      </c>
      <c r="T185" s="827">
        <v>5261</v>
      </c>
      <c r="U185" s="827">
        <v>38276</v>
      </c>
    </row>
    <row r="186" spans="1:21" x14ac:dyDescent="0.25">
      <c r="A186" s="822">
        <v>91813</v>
      </c>
      <c r="B186" s="823" t="s">
        <v>2753</v>
      </c>
      <c r="C186" s="824">
        <v>1.083E-4</v>
      </c>
      <c r="D186" s="824">
        <v>9.6100000000000005E-5</v>
      </c>
      <c r="E186" s="825">
        <v>43088.72</v>
      </c>
      <c r="F186" s="825">
        <v>43129</v>
      </c>
      <c r="G186" s="825">
        <v>229849</v>
      </c>
      <c r="H186" s="825"/>
      <c r="I186" s="826">
        <v>4318</v>
      </c>
      <c r="J186" s="826">
        <v>201421</v>
      </c>
      <c r="K186" s="826">
        <v>15743</v>
      </c>
      <c r="L186" s="825">
        <v>16214</v>
      </c>
      <c r="M186" s="825"/>
      <c r="N186" s="826">
        <v>8054</v>
      </c>
      <c r="O186" s="826">
        <v>74343</v>
      </c>
      <c r="P186" s="826">
        <v>0</v>
      </c>
      <c r="Q186" s="825">
        <v>5268</v>
      </c>
      <c r="R186" s="825"/>
      <c r="S186" s="826">
        <v>61435</v>
      </c>
      <c r="T186" s="827">
        <v>2581</v>
      </c>
      <c r="U186" s="827">
        <v>64016</v>
      </c>
    </row>
    <row r="187" spans="1:21" x14ac:dyDescent="0.25">
      <c r="A187" s="822">
        <v>91818</v>
      </c>
      <c r="B187" s="823" t="s">
        <v>2754</v>
      </c>
      <c r="C187" s="824">
        <v>3.8559999999999999E-4</v>
      </c>
      <c r="D187" s="824">
        <v>3.8890000000000002E-4</v>
      </c>
      <c r="E187" s="825">
        <v>416376</v>
      </c>
      <c r="F187" s="825">
        <v>174536</v>
      </c>
      <c r="G187" s="825">
        <v>818372</v>
      </c>
      <c r="H187" s="825"/>
      <c r="I187" s="826">
        <v>15375.8</v>
      </c>
      <c r="J187" s="826">
        <v>717155</v>
      </c>
      <c r="K187" s="826">
        <v>56051</v>
      </c>
      <c r="L187" s="825">
        <v>347266</v>
      </c>
      <c r="M187" s="825"/>
      <c r="N187" s="826">
        <v>28677</v>
      </c>
      <c r="O187" s="826">
        <v>264698</v>
      </c>
      <c r="P187" s="826">
        <v>0</v>
      </c>
      <c r="Q187" s="825">
        <v>10099</v>
      </c>
      <c r="R187" s="825"/>
      <c r="S187" s="826">
        <v>218739</v>
      </c>
      <c r="T187" s="827">
        <v>98677</v>
      </c>
      <c r="U187" s="827">
        <v>317416</v>
      </c>
    </row>
    <row r="188" spans="1:21" x14ac:dyDescent="0.25">
      <c r="A188" s="822">
        <v>91819</v>
      </c>
      <c r="B188" s="823" t="s">
        <v>2755</v>
      </c>
      <c r="C188" s="824">
        <v>2.8200000000000002E-4</v>
      </c>
      <c r="D188" s="824">
        <v>2.9609999999999999E-4</v>
      </c>
      <c r="E188" s="825">
        <v>118267.02</v>
      </c>
      <c r="F188" s="825">
        <v>132888</v>
      </c>
      <c r="G188" s="825">
        <v>598498</v>
      </c>
      <c r="H188" s="825"/>
      <c r="I188" s="826">
        <v>11245</v>
      </c>
      <c r="J188" s="826">
        <v>524475</v>
      </c>
      <c r="K188" s="826">
        <v>40992</v>
      </c>
      <c r="L188" s="825">
        <v>13743</v>
      </c>
      <c r="M188" s="825"/>
      <c r="N188" s="826">
        <v>20972</v>
      </c>
      <c r="O188" s="826">
        <v>193581</v>
      </c>
      <c r="P188" s="826">
        <v>0</v>
      </c>
      <c r="Q188" s="825">
        <v>11963</v>
      </c>
      <c r="R188" s="825"/>
      <c r="S188" s="826">
        <v>159970</v>
      </c>
      <c r="T188" s="827">
        <v>3219</v>
      </c>
      <c r="U188" s="827">
        <v>163189</v>
      </c>
    </row>
    <row r="189" spans="1:21" x14ac:dyDescent="0.25">
      <c r="A189" s="822">
        <v>91821</v>
      </c>
      <c r="B189" s="823" t="s">
        <v>2756</v>
      </c>
      <c r="C189" s="824">
        <v>1.63E-4</v>
      </c>
      <c r="D189" s="824">
        <v>1.5799999999999999E-4</v>
      </c>
      <c r="E189" s="825">
        <v>61732.91</v>
      </c>
      <c r="F189" s="825">
        <v>70909</v>
      </c>
      <c r="G189" s="825">
        <v>345941</v>
      </c>
      <c r="H189" s="825"/>
      <c r="I189" s="826">
        <v>6499.625</v>
      </c>
      <c r="J189" s="826">
        <v>303154</v>
      </c>
      <c r="K189" s="826">
        <v>23694</v>
      </c>
      <c r="L189" s="825">
        <v>4196</v>
      </c>
      <c r="M189" s="825"/>
      <c r="N189" s="826">
        <v>12122</v>
      </c>
      <c r="O189" s="826">
        <v>111893</v>
      </c>
      <c r="P189" s="826">
        <v>0</v>
      </c>
      <c r="Q189" s="825">
        <v>1501</v>
      </c>
      <c r="R189" s="825"/>
      <c r="S189" s="826">
        <v>92465</v>
      </c>
      <c r="T189" s="827">
        <v>1532</v>
      </c>
      <c r="U189" s="827">
        <v>93997</v>
      </c>
    </row>
    <row r="190" spans="1:21" x14ac:dyDescent="0.25">
      <c r="A190" s="822">
        <v>91831</v>
      </c>
      <c r="B190" s="823" t="s">
        <v>2757</v>
      </c>
      <c r="C190" s="824">
        <v>3.414E-4</v>
      </c>
      <c r="D190" s="824">
        <v>3.344E-4</v>
      </c>
      <c r="E190" s="825">
        <v>124107.91</v>
      </c>
      <c r="F190" s="825">
        <v>150077</v>
      </c>
      <c r="G190" s="825">
        <v>724565</v>
      </c>
      <c r="H190" s="825"/>
      <c r="I190" s="826">
        <v>13613</v>
      </c>
      <c r="J190" s="826">
        <v>634950</v>
      </c>
      <c r="K190" s="826">
        <v>49626</v>
      </c>
      <c r="L190" s="825">
        <v>12411</v>
      </c>
      <c r="M190" s="825"/>
      <c r="N190" s="826">
        <v>25390</v>
      </c>
      <c r="O190" s="826">
        <v>234357</v>
      </c>
      <c r="P190" s="826">
        <v>0</v>
      </c>
      <c r="Q190" s="825">
        <v>9146</v>
      </c>
      <c r="R190" s="825"/>
      <c r="S190" s="826">
        <v>193666</v>
      </c>
      <c r="T190" s="827">
        <v>2194</v>
      </c>
      <c r="U190" s="827">
        <v>195860</v>
      </c>
    </row>
    <row r="191" spans="1:21" x14ac:dyDescent="0.25">
      <c r="A191" s="822">
        <v>91841</v>
      </c>
      <c r="B191" s="823" t="s">
        <v>2758</v>
      </c>
      <c r="C191" s="824">
        <v>2.63E-4</v>
      </c>
      <c r="D191" s="824">
        <v>2.7290000000000002E-4</v>
      </c>
      <c r="E191" s="825">
        <v>112188.05</v>
      </c>
      <c r="F191" s="825">
        <v>122476</v>
      </c>
      <c r="G191" s="825">
        <v>558174</v>
      </c>
      <c r="H191" s="825"/>
      <c r="I191" s="826">
        <v>10487.125</v>
      </c>
      <c r="J191" s="826">
        <v>489138</v>
      </c>
      <c r="K191" s="826">
        <v>38230</v>
      </c>
      <c r="L191" s="825">
        <v>0</v>
      </c>
      <c r="M191" s="825"/>
      <c r="N191" s="826">
        <v>19559</v>
      </c>
      <c r="O191" s="826">
        <v>180538</v>
      </c>
      <c r="P191" s="826">
        <v>0</v>
      </c>
      <c r="Q191" s="825">
        <v>24859</v>
      </c>
      <c r="R191" s="825"/>
      <c r="S191" s="826">
        <v>149192</v>
      </c>
      <c r="T191" s="827">
        <v>-10148</v>
      </c>
      <c r="U191" s="827">
        <v>139044</v>
      </c>
    </row>
    <row r="192" spans="1:21" x14ac:dyDescent="0.25">
      <c r="A192" s="822">
        <v>91851</v>
      </c>
      <c r="B192" s="823" t="s">
        <v>2759</v>
      </c>
      <c r="C192" s="824">
        <v>7.2059999999999995E-4</v>
      </c>
      <c r="D192" s="824">
        <v>7.8410000000000003E-4</v>
      </c>
      <c r="E192" s="825">
        <v>289167</v>
      </c>
      <c r="F192" s="825">
        <v>351899</v>
      </c>
      <c r="G192" s="825">
        <v>1529355</v>
      </c>
      <c r="H192" s="825"/>
      <c r="I192" s="826">
        <v>28734</v>
      </c>
      <c r="J192" s="826">
        <v>1340202</v>
      </c>
      <c r="K192" s="826">
        <v>104747</v>
      </c>
      <c r="L192" s="825">
        <v>7182</v>
      </c>
      <c r="M192" s="825"/>
      <c r="N192" s="826">
        <v>53590</v>
      </c>
      <c r="O192" s="826">
        <v>494662</v>
      </c>
      <c r="P192" s="826">
        <v>0</v>
      </c>
      <c r="Q192" s="825">
        <v>62684</v>
      </c>
      <c r="R192" s="825"/>
      <c r="S192" s="826">
        <v>408774</v>
      </c>
      <c r="T192" s="827">
        <v>-14788</v>
      </c>
      <c r="U192" s="827">
        <v>393986</v>
      </c>
    </row>
    <row r="193" spans="1:21" x14ac:dyDescent="0.25">
      <c r="A193" s="822">
        <v>91861</v>
      </c>
      <c r="B193" s="823" t="s">
        <v>2760</v>
      </c>
      <c r="C193" s="824">
        <v>1.9899999999999999E-5</v>
      </c>
      <c r="D193" s="824">
        <v>1.8499999999999999E-5</v>
      </c>
      <c r="E193" s="825">
        <v>7958</v>
      </c>
      <c r="F193" s="825">
        <v>8303</v>
      </c>
      <c r="G193" s="825">
        <v>42234</v>
      </c>
      <c r="H193" s="825"/>
      <c r="I193" s="826">
        <v>794</v>
      </c>
      <c r="J193" s="826">
        <v>37011</v>
      </c>
      <c r="K193" s="826">
        <v>2893</v>
      </c>
      <c r="L193" s="825">
        <v>3091</v>
      </c>
      <c r="M193" s="825"/>
      <c r="N193" s="826">
        <v>1480</v>
      </c>
      <c r="O193" s="826">
        <v>13661</v>
      </c>
      <c r="P193" s="826">
        <v>0</v>
      </c>
      <c r="Q193" s="825">
        <v>221</v>
      </c>
      <c r="R193" s="825"/>
      <c r="S193" s="826">
        <v>11289</v>
      </c>
      <c r="T193" s="827">
        <v>930</v>
      </c>
      <c r="U193" s="827">
        <v>12219</v>
      </c>
    </row>
    <row r="194" spans="1:21" x14ac:dyDescent="0.25">
      <c r="A194" s="822">
        <v>91871</v>
      </c>
      <c r="B194" s="823" t="s">
        <v>2761</v>
      </c>
      <c r="C194" s="824">
        <v>1.2712000000000001E-3</v>
      </c>
      <c r="D194" s="824">
        <v>1.3523000000000001E-3</v>
      </c>
      <c r="E194" s="825">
        <v>508749.63</v>
      </c>
      <c r="F194" s="825">
        <v>606904</v>
      </c>
      <c r="G194" s="825">
        <v>2697912</v>
      </c>
      <c r="H194" s="825"/>
      <c r="I194" s="826">
        <v>50689</v>
      </c>
      <c r="J194" s="826">
        <v>2364231</v>
      </c>
      <c r="K194" s="826">
        <v>184783</v>
      </c>
      <c r="L194" s="825">
        <v>0</v>
      </c>
      <c r="M194" s="825"/>
      <c r="N194" s="826">
        <v>94538</v>
      </c>
      <c r="O194" s="826">
        <v>872625</v>
      </c>
      <c r="P194" s="826">
        <v>0</v>
      </c>
      <c r="Q194" s="825">
        <v>108234</v>
      </c>
      <c r="R194" s="825"/>
      <c r="S194" s="826">
        <v>721112</v>
      </c>
      <c r="T194" s="827">
        <v>-34437</v>
      </c>
      <c r="U194" s="827">
        <v>686676</v>
      </c>
    </row>
    <row r="195" spans="1:21" x14ac:dyDescent="0.25">
      <c r="A195" s="822">
        <v>91881</v>
      </c>
      <c r="B195" s="823" t="s">
        <v>2762</v>
      </c>
      <c r="C195" s="824">
        <v>1.01E-5</v>
      </c>
      <c r="D195" s="824">
        <v>2.1399999999999998E-5</v>
      </c>
      <c r="E195" s="825">
        <v>5881.13</v>
      </c>
      <c r="F195" s="825">
        <v>9604</v>
      </c>
      <c r="G195" s="825">
        <v>21436</v>
      </c>
      <c r="H195" s="825"/>
      <c r="I195" s="826">
        <v>402.73750000000001</v>
      </c>
      <c r="J195" s="826">
        <v>18784</v>
      </c>
      <c r="K195" s="826">
        <v>1468</v>
      </c>
      <c r="L195" s="825">
        <v>0</v>
      </c>
      <c r="M195" s="825"/>
      <c r="N195" s="826">
        <v>751</v>
      </c>
      <c r="O195" s="826">
        <v>6933</v>
      </c>
      <c r="P195" s="826">
        <v>0</v>
      </c>
      <c r="Q195" s="825">
        <v>14714</v>
      </c>
      <c r="R195" s="825"/>
      <c r="S195" s="826">
        <v>5729</v>
      </c>
      <c r="T195" s="827">
        <v>-5904</v>
      </c>
      <c r="U195" s="827">
        <v>-175</v>
      </c>
    </row>
    <row r="196" spans="1:21" x14ac:dyDescent="0.25">
      <c r="A196" s="822">
        <v>91901</v>
      </c>
      <c r="B196" s="823" t="s">
        <v>2763</v>
      </c>
      <c r="C196" s="824">
        <v>3.6564000000000002E-3</v>
      </c>
      <c r="D196" s="824">
        <v>3.4198000000000002E-3</v>
      </c>
      <c r="E196" s="825">
        <v>1388384.1</v>
      </c>
      <c r="F196" s="825">
        <v>1534786</v>
      </c>
      <c r="G196" s="825">
        <v>7760106</v>
      </c>
      <c r="H196" s="825"/>
      <c r="I196" s="826">
        <v>145799</v>
      </c>
      <c r="J196" s="826">
        <v>6800326</v>
      </c>
      <c r="K196" s="826">
        <v>531498</v>
      </c>
      <c r="L196" s="825">
        <v>147570</v>
      </c>
      <c r="M196" s="825"/>
      <c r="N196" s="826">
        <v>271923</v>
      </c>
      <c r="O196" s="826">
        <v>2509965</v>
      </c>
      <c r="P196" s="826">
        <v>0</v>
      </c>
      <c r="Q196" s="825">
        <v>0</v>
      </c>
      <c r="R196" s="825"/>
      <c r="S196" s="826">
        <v>2074162</v>
      </c>
      <c r="T196" s="827">
        <v>57850</v>
      </c>
      <c r="U196" s="827">
        <v>2132013</v>
      </c>
    </row>
    <row r="197" spans="1:21" x14ac:dyDescent="0.25">
      <c r="A197" s="822">
        <v>91903</v>
      </c>
      <c r="B197" s="823" t="s">
        <v>2764</v>
      </c>
      <c r="C197" s="824">
        <v>8.3999999999999992E-6</v>
      </c>
      <c r="D197" s="824">
        <v>9.5000000000000005E-6</v>
      </c>
      <c r="E197" s="825">
        <v>4422</v>
      </c>
      <c r="F197" s="825">
        <v>4264</v>
      </c>
      <c r="G197" s="825">
        <v>17828</v>
      </c>
      <c r="H197" s="825"/>
      <c r="I197" s="826">
        <v>334.95</v>
      </c>
      <c r="J197" s="826">
        <v>15623</v>
      </c>
      <c r="K197" s="826">
        <v>1221</v>
      </c>
      <c r="L197" s="825">
        <v>656</v>
      </c>
      <c r="M197" s="825"/>
      <c r="N197" s="826">
        <v>625</v>
      </c>
      <c r="O197" s="826">
        <v>5766</v>
      </c>
      <c r="P197" s="826">
        <v>0</v>
      </c>
      <c r="Q197" s="825">
        <v>6052</v>
      </c>
      <c r="R197" s="825"/>
      <c r="S197" s="826">
        <v>4765</v>
      </c>
      <c r="T197" s="827">
        <v>-2825</v>
      </c>
      <c r="U197" s="827">
        <v>1940</v>
      </c>
    </row>
    <row r="198" spans="1:21" x14ac:dyDescent="0.25">
      <c r="A198" s="822">
        <v>91904</v>
      </c>
      <c r="B198" s="823" t="s">
        <v>2765</v>
      </c>
      <c r="C198" s="824">
        <v>2.3300000000000001E-5</v>
      </c>
      <c r="D198" s="824">
        <v>1.1600000000000001E-5</v>
      </c>
      <c r="E198" s="825">
        <v>9195</v>
      </c>
      <c r="F198" s="825">
        <v>5206</v>
      </c>
      <c r="G198" s="825">
        <v>49450</v>
      </c>
      <c r="H198" s="825"/>
      <c r="I198" s="826">
        <v>929.08749999999998</v>
      </c>
      <c r="J198" s="826">
        <v>43334</v>
      </c>
      <c r="K198" s="826">
        <v>3387</v>
      </c>
      <c r="L198" s="825">
        <v>9161</v>
      </c>
      <c r="M198" s="825"/>
      <c r="N198" s="826">
        <v>1733</v>
      </c>
      <c r="O198" s="826">
        <v>15994</v>
      </c>
      <c r="P198" s="826">
        <v>0</v>
      </c>
      <c r="Q198" s="825">
        <v>0</v>
      </c>
      <c r="R198" s="825"/>
      <c r="S198" s="826">
        <v>13217</v>
      </c>
      <c r="T198" s="827">
        <v>3062</v>
      </c>
      <c r="U198" s="827">
        <v>16279</v>
      </c>
    </row>
    <row r="199" spans="1:21" x14ac:dyDescent="0.25">
      <c r="A199" s="822">
        <v>91908</v>
      </c>
      <c r="B199" s="823" t="s">
        <v>2766</v>
      </c>
      <c r="C199" s="824">
        <v>1.3699999999999999E-5</v>
      </c>
      <c r="D199" s="824">
        <v>1.73E-5</v>
      </c>
      <c r="E199" s="825">
        <v>3751.2</v>
      </c>
      <c r="F199" s="825">
        <v>7764</v>
      </c>
      <c r="G199" s="825">
        <v>29076</v>
      </c>
      <c r="H199" s="825"/>
      <c r="I199" s="826">
        <v>546.28750000000002</v>
      </c>
      <c r="J199" s="826">
        <v>25480</v>
      </c>
      <c r="K199" s="826">
        <v>1991</v>
      </c>
      <c r="L199" s="825">
        <v>1638</v>
      </c>
      <c r="M199" s="825"/>
      <c r="N199" s="826">
        <v>1019</v>
      </c>
      <c r="O199" s="826">
        <v>9404</v>
      </c>
      <c r="P199" s="826">
        <v>0</v>
      </c>
      <c r="Q199" s="825">
        <v>3446</v>
      </c>
      <c r="R199" s="825"/>
      <c r="S199" s="826">
        <v>7772</v>
      </c>
      <c r="T199" s="827">
        <v>-83</v>
      </c>
      <c r="U199" s="827">
        <v>7689</v>
      </c>
    </row>
    <row r="200" spans="1:21" x14ac:dyDescent="0.25">
      <c r="A200" s="822">
        <v>91911</v>
      </c>
      <c r="B200" s="823" t="s">
        <v>2767</v>
      </c>
      <c r="C200" s="824">
        <v>4.639E-4</v>
      </c>
      <c r="D200" s="824">
        <v>4.4079999999999998E-4</v>
      </c>
      <c r="E200" s="825">
        <v>186806.7</v>
      </c>
      <c r="F200" s="825">
        <v>197828</v>
      </c>
      <c r="G200" s="825">
        <v>984551</v>
      </c>
      <c r="H200" s="825"/>
      <c r="I200" s="826">
        <v>18498</v>
      </c>
      <c r="J200" s="826">
        <v>862781</v>
      </c>
      <c r="K200" s="826">
        <v>67433</v>
      </c>
      <c r="L200" s="825">
        <v>9361</v>
      </c>
      <c r="M200" s="825"/>
      <c r="N200" s="826">
        <v>34500</v>
      </c>
      <c r="O200" s="826">
        <v>318448</v>
      </c>
      <c r="P200" s="826">
        <v>0</v>
      </c>
      <c r="Q200" s="825">
        <v>8482</v>
      </c>
      <c r="R200" s="825"/>
      <c r="S200" s="826">
        <v>263156</v>
      </c>
      <c r="T200" s="827">
        <v>-1046</v>
      </c>
      <c r="U200" s="827">
        <v>262110</v>
      </c>
    </row>
    <row r="201" spans="1:21" x14ac:dyDescent="0.25">
      <c r="A201" s="822">
        <v>91917</v>
      </c>
      <c r="B201" s="823" t="s">
        <v>2768</v>
      </c>
      <c r="C201" s="824">
        <v>1.36E-5</v>
      </c>
      <c r="D201" s="824">
        <v>1.42E-5</v>
      </c>
      <c r="E201" s="825">
        <v>6743.42</v>
      </c>
      <c r="F201" s="825">
        <v>6373</v>
      </c>
      <c r="G201" s="825">
        <v>28864</v>
      </c>
      <c r="H201" s="825"/>
      <c r="I201" s="826">
        <v>542</v>
      </c>
      <c r="J201" s="826">
        <v>25294</v>
      </c>
      <c r="K201" s="826">
        <v>1977</v>
      </c>
      <c r="L201" s="825">
        <v>731</v>
      </c>
      <c r="M201" s="825"/>
      <c r="N201" s="826">
        <v>1011</v>
      </c>
      <c r="O201" s="826">
        <v>9336</v>
      </c>
      <c r="P201" s="826">
        <v>0</v>
      </c>
      <c r="Q201" s="825">
        <v>0</v>
      </c>
      <c r="R201" s="825"/>
      <c r="S201" s="826">
        <v>7715</v>
      </c>
      <c r="T201" s="827">
        <v>203</v>
      </c>
      <c r="U201" s="827">
        <v>7918</v>
      </c>
    </row>
    <row r="202" spans="1:21" x14ac:dyDescent="0.25">
      <c r="A202" s="822">
        <v>91921</v>
      </c>
      <c r="B202" s="823" t="s">
        <v>2769</v>
      </c>
      <c r="C202" s="824">
        <v>3.6600000000000001E-4</v>
      </c>
      <c r="D202" s="824">
        <v>3.4840000000000001E-4</v>
      </c>
      <c r="E202" s="825">
        <v>136994.49</v>
      </c>
      <c r="F202" s="825">
        <v>156360</v>
      </c>
      <c r="G202" s="825">
        <v>776774.61</v>
      </c>
      <c r="H202" s="825"/>
      <c r="I202" s="826">
        <v>14594.25</v>
      </c>
      <c r="J202" s="826">
        <v>680702</v>
      </c>
      <c r="K202" s="826">
        <v>53202</v>
      </c>
      <c r="L202" s="825">
        <v>0</v>
      </c>
      <c r="M202" s="825"/>
      <c r="N202" s="826">
        <v>27219</v>
      </c>
      <c r="O202" s="826">
        <v>251244</v>
      </c>
      <c r="P202" s="826">
        <v>0</v>
      </c>
      <c r="Q202" s="825">
        <v>12578</v>
      </c>
      <c r="R202" s="825"/>
      <c r="S202" s="826">
        <v>207620</v>
      </c>
      <c r="T202" s="827">
        <v>-4638</v>
      </c>
      <c r="U202" s="827">
        <v>202982</v>
      </c>
    </row>
    <row r="203" spans="1:21" x14ac:dyDescent="0.25">
      <c r="A203" s="822">
        <v>92001</v>
      </c>
      <c r="B203" s="823" t="s">
        <v>2770</v>
      </c>
      <c r="C203" s="824">
        <v>1.9604000000000002E-3</v>
      </c>
      <c r="D203" s="824">
        <v>1.7531000000000001E-3</v>
      </c>
      <c r="E203" s="825">
        <v>743048.49</v>
      </c>
      <c r="F203" s="825">
        <v>786781</v>
      </c>
      <c r="G203" s="825">
        <v>4160626</v>
      </c>
      <c r="H203" s="825"/>
      <c r="I203" s="826">
        <v>78171</v>
      </c>
      <c r="J203" s="826">
        <v>3646034</v>
      </c>
      <c r="K203" s="826">
        <v>284966</v>
      </c>
      <c r="L203" s="825">
        <v>65513</v>
      </c>
      <c r="M203" s="825"/>
      <c r="N203" s="826">
        <v>145793</v>
      </c>
      <c r="O203" s="826">
        <v>1345732</v>
      </c>
      <c r="P203" s="826">
        <v>0</v>
      </c>
      <c r="Q203" s="825">
        <v>52440.480000000003</v>
      </c>
      <c r="R203" s="825"/>
      <c r="S203" s="826">
        <v>1112074</v>
      </c>
      <c r="T203" s="827">
        <v>-9057</v>
      </c>
      <c r="U203" s="827">
        <v>1103017</v>
      </c>
    </row>
    <row r="204" spans="1:21" x14ac:dyDescent="0.25">
      <c r="A204" s="822">
        <v>92005</v>
      </c>
      <c r="B204" s="823" t="s">
        <v>2771</v>
      </c>
      <c r="C204" s="824">
        <v>4.6499999999999999E-5</v>
      </c>
      <c r="D204" s="824">
        <v>4.5800000000000002E-5</v>
      </c>
      <c r="E204" s="825">
        <v>20891.13</v>
      </c>
      <c r="F204" s="825">
        <v>20555</v>
      </c>
      <c r="G204" s="825">
        <v>98689</v>
      </c>
      <c r="H204" s="825"/>
      <c r="I204" s="826">
        <v>1854.1875</v>
      </c>
      <c r="J204" s="826">
        <v>86483</v>
      </c>
      <c r="K204" s="826">
        <v>6759</v>
      </c>
      <c r="L204" s="825">
        <v>2627</v>
      </c>
      <c r="M204" s="825"/>
      <c r="N204" s="826">
        <v>3458</v>
      </c>
      <c r="O204" s="826">
        <v>31920</v>
      </c>
      <c r="P204" s="826">
        <v>0</v>
      </c>
      <c r="Q204" s="825">
        <v>597</v>
      </c>
      <c r="R204" s="825"/>
      <c r="S204" s="826">
        <v>26378</v>
      </c>
      <c r="T204" s="827">
        <v>674</v>
      </c>
      <c r="U204" s="827">
        <v>27053</v>
      </c>
    </row>
    <row r="205" spans="1:21" x14ac:dyDescent="0.25">
      <c r="A205" s="822">
        <v>92011</v>
      </c>
      <c r="B205" s="823" t="s">
        <v>2772</v>
      </c>
      <c r="C205" s="824">
        <v>1.8660000000000001E-4</v>
      </c>
      <c r="D205" s="824">
        <v>1.8230000000000001E-4</v>
      </c>
      <c r="E205" s="825">
        <v>77716</v>
      </c>
      <c r="F205" s="825">
        <v>81815</v>
      </c>
      <c r="G205" s="825">
        <v>396028</v>
      </c>
      <c r="H205" s="825"/>
      <c r="I205" s="826">
        <v>7441</v>
      </c>
      <c r="J205" s="826">
        <v>347047</v>
      </c>
      <c r="K205" s="826">
        <v>27124</v>
      </c>
      <c r="L205" s="825">
        <v>17408</v>
      </c>
      <c r="M205" s="825"/>
      <c r="N205" s="826">
        <v>13877</v>
      </c>
      <c r="O205" s="826">
        <v>128093</v>
      </c>
      <c r="P205" s="826">
        <v>0</v>
      </c>
      <c r="Q205" s="825">
        <v>0</v>
      </c>
      <c r="R205" s="825"/>
      <c r="S205" s="826">
        <v>105852</v>
      </c>
      <c r="T205" s="827">
        <v>7783</v>
      </c>
      <c r="U205" s="827">
        <v>113635</v>
      </c>
    </row>
    <row r="206" spans="1:21" x14ac:dyDescent="0.25">
      <c r="A206" s="822">
        <v>92017</v>
      </c>
      <c r="B206" s="823" t="s">
        <v>2773</v>
      </c>
      <c r="C206" s="824">
        <v>3.5099999999999999E-5</v>
      </c>
      <c r="D206" s="824">
        <v>3.7100000000000001E-5</v>
      </c>
      <c r="E206" s="825">
        <v>14855.15</v>
      </c>
      <c r="F206" s="825">
        <v>16650</v>
      </c>
      <c r="G206" s="825">
        <v>74494</v>
      </c>
      <c r="H206" s="825"/>
      <c r="I206" s="826">
        <v>1400</v>
      </c>
      <c r="J206" s="826">
        <v>65280</v>
      </c>
      <c r="K206" s="826">
        <v>5102</v>
      </c>
      <c r="L206" s="825">
        <v>388</v>
      </c>
      <c r="M206" s="825"/>
      <c r="N206" s="826">
        <v>2610</v>
      </c>
      <c r="O206" s="826">
        <v>24095</v>
      </c>
      <c r="P206" s="826">
        <v>0</v>
      </c>
      <c r="Q206" s="825">
        <v>2160</v>
      </c>
      <c r="R206" s="825"/>
      <c r="S206" s="826">
        <v>19911</v>
      </c>
      <c r="T206" s="827">
        <v>-766</v>
      </c>
      <c r="U206" s="827">
        <v>19146</v>
      </c>
    </row>
    <row r="207" spans="1:21" x14ac:dyDescent="0.25">
      <c r="A207" s="822">
        <v>92021</v>
      </c>
      <c r="B207" s="823" t="s">
        <v>2774</v>
      </c>
      <c r="C207" s="824">
        <v>1.4249999999999999E-4</v>
      </c>
      <c r="D207" s="824">
        <v>9.8999999999999994E-5</v>
      </c>
      <c r="E207" s="825">
        <v>63077</v>
      </c>
      <c r="F207" s="825">
        <v>44431</v>
      </c>
      <c r="G207" s="825">
        <v>302433</v>
      </c>
      <c r="H207" s="825"/>
      <c r="I207" s="826">
        <v>5682.1875</v>
      </c>
      <c r="J207" s="826">
        <v>265027</v>
      </c>
      <c r="K207" s="826">
        <v>20714</v>
      </c>
      <c r="L207" s="825">
        <v>27119</v>
      </c>
      <c r="M207" s="825"/>
      <c r="N207" s="826">
        <v>10598</v>
      </c>
      <c r="O207" s="826">
        <v>97820</v>
      </c>
      <c r="P207" s="826">
        <v>0</v>
      </c>
      <c r="Q207" s="825">
        <v>18999</v>
      </c>
      <c r="R207" s="825"/>
      <c r="S207" s="826">
        <v>80836</v>
      </c>
      <c r="T207" s="827">
        <v>-831</v>
      </c>
      <c r="U207" s="827">
        <v>80004</v>
      </c>
    </row>
    <row r="208" spans="1:21" x14ac:dyDescent="0.25">
      <c r="A208" s="822">
        <v>92101</v>
      </c>
      <c r="B208" s="823" t="s">
        <v>2775</v>
      </c>
      <c r="C208" s="824">
        <v>8.6870000000000003E-4</v>
      </c>
      <c r="D208" s="824">
        <v>9.1750000000000002E-4</v>
      </c>
      <c r="E208" s="825">
        <v>332881</v>
      </c>
      <c r="F208" s="825">
        <v>411768</v>
      </c>
      <c r="G208" s="825">
        <v>1843672</v>
      </c>
      <c r="H208" s="825"/>
      <c r="I208" s="826">
        <v>34639</v>
      </c>
      <c r="J208" s="826">
        <v>1615645</v>
      </c>
      <c r="K208" s="826">
        <v>126275</v>
      </c>
      <c r="L208" s="825">
        <v>18519</v>
      </c>
      <c r="M208" s="825"/>
      <c r="N208" s="826">
        <v>64604</v>
      </c>
      <c r="O208" s="826">
        <v>596326</v>
      </c>
      <c r="P208" s="826">
        <v>0</v>
      </c>
      <c r="Q208" s="825">
        <v>45788</v>
      </c>
      <c r="R208" s="825"/>
      <c r="S208" s="826">
        <v>492787</v>
      </c>
      <c r="T208" s="827">
        <v>-2848</v>
      </c>
      <c r="U208" s="827">
        <v>489939</v>
      </c>
    </row>
    <row r="209" spans="1:21" x14ac:dyDescent="0.25">
      <c r="A209" s="822">
        <v>92104</v>
      </c>
      <c r="B209" s="823" t="s">
        <v>2776</v>
      </c>
      <c r="C209" s="824">
        <v>8.8000000000000004E-6</v>
      </c>
      <c r="D209" s="824">
        <v>8.1000000000000004E-6</v>
      </c>
      <c r="E209" s="825">
        <v>4596</v>
      </c>
      <c r="F209" s="825">
        <v>3635</v>
      </c>
      <c r="G209" s="825">
        <v>18677</v>
      </c>
      <c r="H209" s="825"/>
      <c r="I209" s="826">
        <v>351</v>
      </c>
      <c r="J209" s="826">
        <v>16367</v>
      </c>
      <c r="K209" s="826">
        <v>1279</v>
      </c>
      <c r="L209" s="825">
        <v>4163</v>
      </c>
      <c r="M209" s="825"/>
      <c r="N209" s="826">
        <v>654</v>
      </c>
      <c r="O209" s="826">
        <v>6041</v>
      </c>
      <c r="P209" s="826">
        <v>0</v>
      </c>
      <c r="Q209" s="825">
        <v>0</v>
      </c>
      <c r="R209" s="825"/>
      <c r="S209" s="826">
        <v>4992</v>
      </c>
      <c r="T209" s="827">
        <v>1637</v>
      </c>
      <c r="U209" s="827">
        <v>6629</v>
      </c>
    </row>
    <row r="210" spans="1:21" x14ac:dyDescent="0.25">
      <c r="A210" s="822">
        <v>92109</v>
      </c>
      <c r="B210" s="823" t="s">
        <v>2777</v>
      </c>
      <c r="C210" s="824">
        <v>1.7909999999999999E-4</v>
      </c>
      <c r="D210" s="824">
        <v>1.7310000000000001E-4</v>
      </c>
      <c r="E210" s="825">
        <v>70342</v>
      </c>
      <c r="F210" s="825">
        <v>77686</v>
      </c>
      <c r="G210" s="825">
        <v>380110</v>
      </c>
      <c r="H210" s="825"/>
      <c r="I210" s="826">
        <v>7142</v>
      </c>
      <c r="J210" s="826">
        <v>333098</v>
      </c>
      <c r="K210" s="826">
        <v>26034</v>
      </c>
      <c r="L210" s="825">
        <v>3189</v>
      </c>
      <c r="M210" s="825"/>
      <c r="N210" s="826">
        <v>13319</v>
      </c>
      <c r="O210" s="826">
        <v>122945</v>
      </c>
      <c r="P210" s="826">
        <v>0</v>
      </c>
      <c r="Q210" s="825">
        <v>19542</v>
      </c>
      <c r="R210" s="825"/>
      <c r="S210" s="826">
        <v>101598</v>
      </c>
      <c r="T210" s="827">
        <v>-5478</v>
      </c>
      <c r="U210" s="827">
        <v>96120</v>
      </c>
    </row>
    <row r="211" spans="1:21" x14ac:dyDescent="0.25">
      <c r="A211" s="822">
        <v>92111</v>
      </c>
      <c r="B211" s="823" t="s">
        <v>2778</v>
      </c>
      <c r="C211" s="824">
        <v>5.0009999999999996E-4</v>
      </c>
      <c r="D211" s="824">
        <v>5.3319999999999995E-4</v>
      </c>
      <c r="E211" s="825">
        <v>205690.42</v>
      </c>
      <c r="F211" s="825">
        <v>239297</v>
      </c>
      <c r="G211" s="825">
        <v>1061380</v>
      </c>
      <c r="H211" s="825"/>
      <c r="I211" s="826">
        <v>19941</v>
      </c>
      <c r="J211" s="826">
        <v>930107</v>
      </c>
      <c r="K211" s="826">
        <v>72695</v>
      </c>
      <c r="L211" s="825">
        <v>14524</v>
      </c>
      <c r="M211" s="825"/>
      <c r="N211" s="826">
        <v>37192</v>
      </c>
      <c r="O211" s="826">
        <v>343298</v>
      </c>
      <c r="P211" s="826">
        <v>0</v>
      </c>
      <c r="Q211" s="825">
        <v>17909</v>
      </c>
      <c r="R211" s="825"/>
      <c r="S211" s="826">
        <v>283691</v>
      </c>
      <c r="T211" s="827">
        <v>1816</v>
      </c>
      <c r="U211" s="827">
        <v>285507</v>
      </c>
    </row>
    <row r="212" spans="1:21" x14ac:dyDescent="0.25">
      <c r="A212" s="822">
        <v>92113</v>
      </c>
      <c r="B212" s="823" t="s">
        <v>2779</v>
      </c>
      <c r="C212" s="824">
        <v>2.2099999999999998E-5</v>
      </c>
      <c r="D212" s="824">
        <v>2.2900000000000001E-5</v>
      </c>
      <c r="E212" s="825">
        <v>27800</v>
      </c>
      <c r="F212" s="825">
        <v>10277</v>
      </c>
      <c r="G212" s="825">
        <v>46904</v>
      </c>
      <c r="H212" s="825"/>
      <c r="I212" s="826">
        <v>881.23749999999995</v>
      </c>
      <c r="J212" s="826">
        <v>41103</v>
      </c>
      <c r="K212" s="826">
        <v>3212</v>
      </c>
      <c r="L212" s="825">
        <v>25322</v>
      </c>
      <c r="M212" s="825"/>
      <c r="N212" s="826">
        <v>1644</v>
      </c>
      <c r="O212" s="826">
        <v>15171</v>
      </c>
      <c r="P212" s="826">
        <v>0</v>
      </c>
      <c r="Q212" s="825">
        <v>0</v>
      </c>
      <c r="R212" s="825"/>
      <c r="S212" s="826">
        <v>12537</v>
      </c>
      <c r="T212" s="827">
        <v>7718</v>
      </c>
      <c r="U212" s="827">
        <v>20255</v>
      </c>
    </row>
    <row r="213" spans="1:21" x14ac:dyDescent="0.25">
      <c r="A213" s="822">
        <v>92201</v>
      </c>
      <c r="B213" s="823" t="s">
        <v>2780</v>
      </c>
      <c r="C213" s="824">
        <v>1.0267E-3</v>
      </c>
      <c r="D213" s="824">
        <v>9.8930000000000003E-4</v>
      </c>
      <c r="E213" s="825">
        <v>411545</v>
      </c>
      <c r="F213" s="825">
        <v>443992</v>
      </c>
      <c r="G213" s="825">
        <v>2179001</v>
      </c>
      <c r="H213" s="825"/>
      <c r="I213" s="826">
        <v>40940</v>
      </c>
      <c r="J213" s="826">
        <v>1909500</v>
      </c>
      <c r="K213" s="826">
        <v>149242</v>
      </c>
      <c r="L213" s="825">
        <v>60698</v>
      </c>
      <c r="M213" s="825"/>
      <c r="N213" s="826">
        <v>76355</v>
      </c>
      <c r="O213" s="826">
        <v>704786</v>
      </c>
      <c r="P213" s="826">
        <v>0</v>
      </c>
      <c r="Q213" s="825">
        <v>0</v>
      </c>
      <c r="R213" s="825"/>
      <c r="S213" s="826">
        <v>582415</v>
      </c>
      <c r="T213" s="827">
        <v>23895</v>
      </c>
      <c r="U213" s="827">
        <v>606310</v>
      </c>
    </row>
    <row r="214" spans="1:21" x14ac:dyDescent="0.25">
      <c r="A214" s="822">
        <v>92301</v>
      </c>
      <c r="B214" s="823" t="s">
        <v>2781</v>
      </c>
      <c r="C214" s="824">
        <v>5.2411000000000003E-3</v>
      </c>
      <c r="D214" s="824">
        <v>5.0804999999999999E-3</v>
      </c>
      <c r="E214" s="825">
        <v>2094643.33</v>
      </c>
      <c r="F214" s="825">
        <v>2280098</v>
      </c>
      <c r="G214" s="825">
        <v>11123370</v>
      </c>
      <c r="H214" s="825"/>
      <c r="I214" s="826">
        <v>208989</v>
      </c>
      <c r="J214" s="826">
        <v>9747618</v>
      </c>
      <c r="K214" s="826">
        <v>761852</v>
      </c>
      <c r="L214" s="825">
        <v>77417</v>
      </c>
      <c r="M214" s="825"/>
      <c r="N214" s="826">
        <v>389775</v>
      </c>
      <c r="O214" s="826">
        <v>3597795</v>
      </c>
      <c r="P214" s="826">
        <v>0</v>
      </c>
      <c r="Q214" s="825">
        <v>16658.29</v>
      </c>
      <c r="R214" s="825"/>
      <c r="S214" s="826">
        <v>2973114</v>
      </c>
      <c r="T214" s="827">
        <v>15378</v>
      </c>
      <c r="U214" s="827">
        <v>2988491</v>
      </c>
    </row>
    <row r="215" spans="1:21" x14ac:dyDescent="0.25">
      <c r="A215" s="822">
        <v>92302</v>
      </c>
      <c r="B215" s="823" t="s">
        <v>2782</v>
      </c>
      <c r="C215" s="824">
        <v>3.168E-4</v>
      </c>
      <c r="D215" s="824">
        <v>2.9910000000000001E-4</v>
      </c>
      <c r="E215" s="825">
        <v>116637</v>
      </c>
      <c r="F215" s="825">
        <v>134234</v>
      </c>
      <c r="G215" s="825">
        <v>672356</v>
      </c>
      <c r="H215" s="825"/>
      <c r="I215" s="826">
        <v>12632.4</v>
      </c>
      <c r="J215" s="826">
        <v>589198</v>
      </c>
      <c r="K215" s="826">
        <v>46050</v>
      </c>
      <c r="L215" s="825">
        <v>0</v>
      </c>
      <c r="M215" s="825"/>
      <c r="N215" s="826">
        <v>23560</v>
      </c>
      <c r="O215" s="826">
        <v>217470</v>
      </c>
      <c r="P215" s="826">
        <v>0</v>
      </c>
      <c r="Q215" s="825">
        <v>9658</v>
      </c>
      <c r="R215" s="825"/>
      <c r="S215" s="826">
        <v>179711</v>
      </c>
      <c r="T215" s="827">
        <v>-3995</v>
      </c>
      <c r="U215" s="827">
        <v>175716</v>
      </c>
    </row>
    <row r="216" spans="1:21" x14ac:dyDescent="0.25">
      <c r="A216" s="822">
        <v>92311</v>
      </c>
      <c r="B216" s="823" t="s">
        <v>2783</v>
      </c>
      <c r="C216" s="824">
        <v>2.1857000000000001E-3</v>
      </c>
      <c r="D216" s="824">
        <v>2.1316E-3</v>
      </c>
      <c r="E216" s="825">
        <v>841005.71</v>
      </c>
      <c r="F216" s="825">
        <v>956649</v>
      </c>
      <c r="G216" s="825">
        <v>4638788</v>
      </c>
      <c r="H216" s="825"/>
      <c r="I216" s="826">
        <v>87155</v>
      </c>
      <c r="J216" s="826">
        <v>4065057</v>
      </c>
      <c r="K216" s="826">
        <v>317716</v>
      </c>
      <c r="L216" s="825">
        <v>0</v>
      </c>
      <c r="M216" s="825"/>
      <c r="N216" s="826">
        <v>162548</v>
      </c>
      <c r="O216" s="826">
        <v>1500391</v>
      </c>
      <c r="P216" s="826">
        <v>0</v>
      </c>
      <c r="Q216" s="825">
        <v>92864</v>
      </c>
      <c r="R216" s="825"/>
      <c r="S216" s="826">
        <v>1239880</v>
      </c>
      <c r="T216" s="827">
        <v>-38618</v>
      </c>
      <c r="U216" s="827">
        <v>1201261</v>
      </c>
    </row>
    <row r="217" spans="1:21" x14ac:dyDescent="0.25">
      <c r="A217" s="822">
        <v>92317</v>
      </c>
      <c r="B217" s="823" t="s">
        <v>2784</v>
      </c>
      <c r="C217" s="824">
        <v>2.9600000000000001E-5</v>
      </c>
      <c r="D217" s="824">
        <v>3.3300000000000003E-5</v>
      </c>
      <c r="E217" s="825">
        <v>20482</v>
      </c>
      <c r="F217" s="825">
        <v>14945</v>
      </c>
      <c r="G217" s="825">
        <v>62821</v>
      </c>
      <c r="H217" s="825"/>
      <c r="I217" s="826">
        <v>1180.3</v>
      </c>
      <c r="J217" s="826">
        <v>55051</v>
      </c>
      <c r="K217" s="826">
        <v>4303</v>
      </c>
      <c r="L217" s="825">
        <v>12749</v>
      </c>
      <c r="M217" s="825"/>
      <c r="N217" s="826">
        <v>2201</v>
      </c>
      <c r="O217" s="826">
        <v>20319</v>
      </c>
      <c r="P217" s="826">
        <v>0</v>
      </c>
      <c r="Q217" s="825">
        <v>0</v>
      </c>
      <c r="R217" s="825"/>
      <c r="S217" s="826">
        <v>16791</v>
      </c>
      <c r="T217" s="827">
        <v>4401</v>
      </c>
      <c r="U217" s="827">
        <v>21192</v>
      </c>
    </row>
    <row r="218" spans="1:21" x14ac:dyDescent="0.25">
      <c r="A218" s="822">
        <v>92321</v>
      </c>
      <c r="B218" s="823" t="s">
        <v>2785</v>
      </c>
      <c r="C218" s="824">
        <v>1.2218999999999999E-3</v>
      </c>
      <c r="D218" s="824">
        <v>1.1936E-3</v>
      </c>
      <c r="E218" s="825">
        <v>481504.52</v>
      </c>
      <c r="F218" s="825">
        <v>535681</v>
      </c>
      <c r="G218" s="825">
        <v>2593281</v>
      </c>
      <c r="H218" s="825"/>
      <c r="I218" s="826">
        <v>48723</v>
      </c>
      <c r="J218" s="826">
        <v>2272541</v>
      </c>
      <c r="K218" s="826">
        <v>177617</v>
      </c>
      <c r="L218" s="825">
        <v>61228</v>
      </c>
      <c r="M218" s="825"/>
      <c r="N218" s="826">
        <v>90871</v>
      </c>
      <c r="O218" s="826">
        <v>838783</v>
      </c>
      <c r="P218" s="826">
        <v>0</v>
      </c>
      <c r="Q218" s="825">
        <v>1343</v>
      </c>
      <c r="R218" s="825"/>
      <c r="S218" s="826">
        <v>693146</v>
      </c>
      <c r="T218" s="827">
        <v>25416</v>
      </c>
      <c r="U218" s="827">
        <v>718562</v>
      </c>
    </row>
    <row r="219" spans="1:21" x14ac:dyDescent="0.25">
      <c r="A219" s="822">
        <v>92327</v>
      </c>
      <c r="B219" s="823" t="s">
        <v>2786</v>
      </c>
      <c r="C219" s="824">
        <v>7.6000000000000001E-6</v>
      </c>
      <c r="D219" s="824">
        <v>7.7999999999999999E-6</v>
      </c>
      <c r="E219" s="825">
        <v>5004.42</v>
      </c>
      <c r="F219" s="825">
        <v>3501</v>
      </c>
      <c r="G219" s="825">
        <v>16130</v>
      </c>
      <c r="H219" s="825"/>
      <c r="I219" s="826">
        <v>303.05</v>
      </c>
      <c r="J219" s="826">
        <v>14135</v>
      </c>
      <c r="K219" s="826">
        <v>1105</v>
      </c>
      <c r="L219" s="825">
        <v>2630</v>
      </c>
      <c r="M219" s="825"/>
      <c r="N219" s="826">
        <v>565</v>
      </c>
      <c r="O219" s="826">
        <v>5217</v>
      </c>
      <c r="P219" s="826">
        <v>0</v>
      </c>
      <c r="Q219" s="825">
        <v>0</v>
      </c>
      <c r="R219" s="825"/>
      <c r="S219" s="826">
        <v>4311</v>
      </c>
      <c r="T219" s="827">
        <v>853</v>
      </c>
      <c r="U219" s="827">
        <v>5165</v>
      </c>
    </row>
    <row r="220" spans="1:21" x14ac:dyDescent="0.25">
      <c r="A220" s="822">
        <v>92331</v>
      </c>
      <c r="B220" s="823" t="s">
        <v>2787</v>
      </c>
      <c r="C220" s="824">
        <v>1.393E-4</v>
      </c>
      <c r="D220" s="824">
        <v>1.4789999999999999E-4</v>
      </c>
      <c r="E220" s="825">
        <v>54278.720000000001</v>
      </c>
      <c r="F220" s="825">
        <v>66377</v>
      </c>
      <c r="G220" s="825">
        <v>295641</v>
      </c>
      <c r="H220" s="825"/>
      <c r="I220" s="826">
        <v>5555</v>
      </c>
      <c r="J220" s="826">
        <v>259076</v>
      </c>
      <c r="K220" s="826">
        <v>20249</v>
      </c>
      <c r="L220" s="825">
        <v>3725</v>
      </c>
      <c r="M220" s="825"/>
      <c r="N220" s="826">
        <v>10360</v>
      </c>
      <c r="O220" s="826">
        <v>95624</v>
      </c>
      <c r="P220" s="826">
        <v>0</v>
      </c>
      <c r="Q220" s="825">
        <v>7047</v>
      </c>
      <c r="R220" s="825"/>
      <c r="S220" s="826">
        <v>79021</v>
      </c>
      <c r="T220" s="827">
        <v>-171</v>
      </c>
      <c r="U220" s="827">
        <v>78850</v>
      </c>
    </row>
    <row r="221" spans="1:21" x14ac:dyDescent="0.25">
      <c r="A221" s="822">
        <v>92341</v>
      </c>
      <c r="B221" s="823" t="s">
        <v>2788</v>
      </c>
      <c r="C221" s="824">
        <v>7.9000000000000006E-6</v>
      </c>
      <c r="D221" s="824">
        <v>6.3999999999999997E-6</v>
      </c>
      <c r="E221" s="825">
        <v>2572</v>
      </c>
      <c r="F221" s="825">
        <v>2872</v>
      </c>
      <c r="G221" s="825">
        <v>16766</v>
      </c>
      <c r="H221" s="825"/>
      <c r="I221" s="826">
        <v>315</v>
      </c>
      <c r="J221" s="826">
        <v>14693</v>
      </c>
      <c r="K221" s="826">
        <v>1148</v>
      </c>
      <c r="L221" s="825">
        <v>478</v>
      </c>
      <c r="M221" s="825"/>
      <c r="N221" s="826">
        <v>588</v>
      </c>
      <c r="O221" s="826">
        <v>5423</v>
      </c>
      <c r="P221" s="826">
        <v>0</v>
      </c>
      <c r="Q221" s="825">
        <v>3063</v>
      </c>
      <c r="R221" s="825"/>
      <c r="S221" s="826">
        <v>4481</v>
      </c>
      <c r="T221" s="827">
        <v>-913</v>
      </c>
      <c r="U221" s="827">
        <v>3568</v>
      </c>
    </row>
    <row r="222" spans="1:21" x14ac:dyDescent="0.25">
      <c r="A222" s="822">
        <v>92351</v>
      </c>
      <c r="B222" s="823" t="s">
        <v>2789</v>
      </c>
      <c r="C222" s="824">
        <v>1.95E-5</v>
      </c>
      <c r="D222" s="824">
        <v>2.8399999999999999E-5</v>
      </c>
      <c r="E222" s="825">
        <v>8512</v>
      </c>
      <c r="F222" s="825">
        <v>12746</v>
      </c>
      <c r="G222" s="825">
        <v>41386</v>
      </c>
      <c r="H222" s="825"/>
      <c r="I222" s="826">
        <v>777.5625</v>
      </c>
      <c r="J222" s="826">
        <v>36267</v>
      </c>
      <c r="K222" s="826">
        <v>2835</v>
      </c>
      <c r="L222" s="825">
        <v>1156.19</v>
      </c>
      <c r="M222" s="825"/>
      <c r="N222" s="826">
        <v>1450</v>
      </c>
      <c r="O222" s="826">
        <v>13386</v>
      </c>
      <c r="P222" s="826">
        <v>0</v>
      </c>
      <c r="Q222" s="825">
        <v>5799</v>
      </c>
      <c r="R222" s="825"/>
      <c r="S222" s="826">
        <v>11062</v>
      </c>
      <c r="T222" s="827">
        <v>-1052</v>
      </c>
      <c r="U222" s="827">
        <v>10010</v>
      </c>
    </row>
    <row r="223" spans="1:21" x14ac:dyDescent="0.25">
      <c r="A223" s="822">
        <v>92401</v>
      </c>
      <c r="B223" s="823" t="s">
        <v>2790</v>
      </c>
      <c r="C223" s="824">
        <v>2.7449000000000002E-3</v>
      </c>
      <c r="D223" s="824">
        <v>2.7921999999999999E-3</v>
      </c>
      <c r="E223" s="825">
        <v>1162719</v>
      </c>
      <c r="F223" s="825">
        <v>1253123</v>
      </c>
      <c r="G223" s="825">
        <v>5825597</v>
      </c>
      <c r="H223" s="825"/>
      <c r="I223" s="826">
        <v>109453</v>
      </c>
      <c r="J223" s="826">
        <v>5105080</v>
      </c>
      <c r="K223" s="826">
        <v>399001</v>
      </c>
      <c r="L223" s="825">
        <v>33227</v>
      </c>
      <c r="M223" s="825"/>
      <c r="N223" s="826">
        <v>204135</v>
      </c>
      <c r="O223" s="826">
        <v>1884259</v>
      </c>
      <c r="P223" s="826">
        <v>0</v>
      </c>
      <c r="Q223" s="825">
        <v>5343</v>
      </c>
      <c r="R223" s="825"/>
      <c r="S223" s="826">
        <v>1557097</v>
      </c>
      <c r="T223" s="827">
        <v>14486</v>
      </c>
      <c r="U223" s="827">
        <v>1571583</v>
      </c>
    </row>
    <row r="224" spans="1:21" x14ac:dyDescent="0.25">
      <c r="A224" s="822">
        <v>92403</v>
      </c>
      <c r="B224" s="823" t="s">
        <v>2791</v>
      </c>
      <c r="C224" s="824">
        <v>9.7999999999999993E-6</v>
      </c>
      <c r="D224" s="824">
        <v>1.59E-5</v>
      </c>
      <c r="E224" s="825">
        <v>5969</v>
      </c>
      <c r="F224" s="825">
        <v>7136</v>
      </c>
      <c r="G224" s="825">
        <v>20799</v>
      </c>
      <c r="H224" s="825"/>
      <c r="I224" s="826">
        <v>390.77499999999998</v>
      </c>
      <c r="J224" s="826">
        <v>18226</v>
      </c>
      <c r="K224" s="826">
        <v>1425</v>
      </c>
      <c r="L224" s="825">
        <v>564</v>
      </c>
      <c r="M224" s="825"/>
      <c r="N224" s="826">
        <v>729</v>
      </c>
      <c r="O224" s="826">
        <v>6727</v>
      </c>
      <c r="P224" s="826">
        <v>0</v>
      </c>
      <c r="Q224" s="825">
        <v>1764</v>
      </c>
      <c r="R224" s="825"/>
      <c r="S224" s="826">
        <v>5559</v>
      </c>
      <c r="T224" s="827">
        <v>-243</v>
      </c>
      <c r="U224" s="827">
        <v>5317</v>
      </c>
    </row>
    <row r="225" spans="1:21" x14ac:dyDescent="0.25">
      <c r="A225" s="822">
        <v>92411</v>
      </c>
      <c r="B225" s="823" t="s">
        <v>2792</v>
      </c>
      <c r="C225" s="824">
        <v>4.8030000000000002E-4</v>
      </c>
      <c r="D225" s="824">
        <v>5.2820000000000005E-4</v>
      </c>
      <c r="E225" s="825">
        <v>173749.71</v>
      </c>
      <c r="F225" s="825">
        <v>237053</v>
      </c>
      <c r="G225" s="825">
        <v>1019358</v>
      </c>
      <c r="H225" s="825"/>
      <c r="I225" s="826">
        <v>19152</v>
      </c>
      <c r="J225" s="826">
        <v>893282</v>
      </c>
      <c r="K225" s="826">
        <v>69817</v>
      </c>
      <c r="L225" s="825">
        <v>572</v>
      </c>
      <c r="M225" s="825"/>
      <c r="N225" s="826">
        <v>35719</v>
      </c>
      <c r="O225" s="826">
        <v>329706</v>
      </c>
      <c r="P225" s="826">
        <v>0</v>
      </c>
      <c r="Q225" s="825">
        <v>54750</v>
      </c>
      <c r="R225" s="825"/>
      <c r="S225" s="826">
        <v>272459</v>
      </c>
      <c r="T225" s="827">
        <v>-16396</v>
      </c>
      <c r="U225" s="827">
        <v>256063</v>
      </c>
    </row>
    <row r="226" spans="1:21" x14ac:dyDescent="0.25">
      <c r="A226" s="822">
        <v>92414</v>
      </c>
      <c r="B226" s="823" t="s">
        <v>1389</v>
      </c>
      <c r="C226" s="824">
        <v>0</v>
      </c>
      <c r="D226" s="824">
        <v>9.7999999999999993E-6</v>
      </c>
      <c r="E226" s="825">
        <v>0</v>
      </c>
      <c r="F226" s="825">
        <v>4398</v>
      </c>
      <c r="G226" s="825">
        <v>0</v>
      </c>
      <c r="H226" s="825"/>
      <c r="I226" s="826">
        <v>0</v>
      </c>
      <c r="J226" s="826">
        <v>0</v>
      </c>
      <c r="K226" s="826">
        <v>0</v>
      </c>
      <c r="L226" s="825">
        <v>0</v>
      </c>
      <c r="M226" s="825"/>
      <c r="N226" s="826">
        <v>0</v>
      </c>
      <c r="O226" s="826">
        <v>0</v>
      </c>
      <c r="P226" s="826">
        <v>0</v>
      </c>
      <c r="Q226" s="825">
        <v>8157</v>
      </c>
      <c r="R226" s="825"/>
      <c r="S226" s="826">
        <v>0</v>
      </c>
      <c r="T226" s="827">
        <v>-2445</v>
      </c>
      <c r="U226" s="827">
        <v>-2445</v>
      </c>
    </row>
    <row r="227" spans="1:21" x14ac:dyDescent="0.25">
      <c r="A227" s="822">
        <v>92417</v>
      </c>
      <c r="B227" s="823" t="s">
        <v>2793</v>
      </c>
      <c r="C227" s="824">
        <v>1.77E-5</v>
      </c>
      <c r="D227" s="824">
        <v>1.6699999999999999E-5</v>
      </c>
      <c r="E227" s="825">
        <v>5354.85</v>
      </c>
      <c r="F227" s="825">
        <v>7495</v>
      </c>
      <c r="G227" s="825">
        <v>37565</v>
      </c>
      <c r="H227" s="825"/>
      <c r="I227" s="826">
        <v>705.78750000000002</v>
      </c>
      <c r="J227" s="826">
        <v>32919</v>
      </c>
      <c r="K227" s="826">
        <v>2573</v>
      </c>
      <c r="L227" s="825">
        <v>0</v>
      </c>
      <c r="M227" s="825"/>
      <c r="N227" s="826">
        <v>1316</v>
      </c>
      <c r="O227" s="826">
        <v>12150</v>
      </c>
      <c r="P227" s="826">
        <v>0</v>
      </c>
      <c r="Q227" s="825">
        <v>1694</v>
      </c>
      <c r="R227" s="825"/>
      <c r="S227" s="826">
        <v>10041</v>
      </c>
      <c r="T227" s="827">
        <v>-509</v>
      </c>
      <c r="U227" s="827">
        <v>9531</v>
      </c>
    </row>
    <row r="228" spans="1:21" x14ac:dyDescent="0.25">
      <c r="A228" s="822">
        <v>92421</v>
      </c>
      <c r="B228" s="823" t="s">
        <v>2794</v>
      </c>
      <c r="C228" s="824">
        <v>9.0000000000000002E-6</v>
      </c>
      <c r="D228" s="824">
        <v>1.98E-5</v>
      </c>
      <c r="E228" s="825">
        <v>9114.76</v>
      </c>
      <c r="F228" s="825">
        <v>8886</v>
      </c>
      <c r="G228" s="825">
        <v>19101</v>
      </c>
      <c r="H228" s="825"/>
      <c r="I228" s="826">
        <v>358.875</v>
      </c>
      <c r="J228" s="826">
        <v>16739</v>
      </c>
      <c r="K228" s="826">
        <v>1308</v>
      </c>
      <c r="L228" s="825">
        <v>1510</v>
      </c>
      <c r="M228" s="825"/>
      <c r="N228" s="826">
        <v>669</v>
      </c>
      <c r="O228" s="826">
        <v>6178</v>
      </c>
      <c r="P228" s="826">
        <v>0</v>
      </c>
      <c r="Q228" s="825">
        <v>1551</v>
      </c>
      <c r="R228" s="825"/>
      <c r="S228" s="826">
        <v>5105</v>
      </c>
      <c r="T228" s="827">
        <v>261</v>
      </c>
      <c r="U228" s="827">
        <v>5366</v>
      </c>
    </row>
    <row r="229" spans="1:21" x14ac:dyDescent="0.25">
      <c r="A229" s="822">
        <v>92427</v>
      </c>
      <c r="B229" s="823" t="s">
        <v>2795</v>
      </c>
      <c r="C229" s="824">
        <v>6.9999999999999997E-7</v>
      </c>
      <c r="D229" s="824">
        <v>8.9999999999999996E-7</v>
      </c>
      <c r="E229" s="825">
        <v>1425.53</v>
      </c>
      <c r="F229" s="825">
        <v>404</v>
      </c>
      <c r="G229" s="825">
        <v>1486</v>
      </c>
      <c r="H229" s="825"/>
      <c r="I229" s="826">
        <v>28</v>
      </c>
      <c r="J229" s="826">
        <v>1302</v>
      </c>
      <c r="K229" s="826">
        <v>102</v>
      </c>
      <c r="L229" s="825">
        <v>1812</v>
      </c>
      <c r="M229" s="825"/>
      <c r="N229" s="826">
        <v>52</v>
      </c>
      <c r="O229" s="826">
        <v>481</v>
      </c>
      <c r="P229" s="826">
        <v>0</v>
      </c>
      <c r="Q229" s="825">
        <v>0</v>
      </c>
      <c r="R229" s="825"/>
      <c r="S229" s="826">
        <v>397</v>
      </c>
      <c r="T229" s="827">
        <v>636</v>
      </c>
      <c r="U229" s="827">
        <v>1033</v>
      </c>
    </row>
    <row r="230" spans="1:21" x14ac:dyDescent="0.25">
      <c r="A230" s="822">
        <v>92431</v>
      </c>
      <c r="B230" s="823" t="s">
        <v>2796</v>
      </c>
      <c r="C230" s="824">
        <v>1.8499999999999999E-5</v>
      </c>
      <c r="D230" s="824">
        <v>4.0800000000000002E-5</v>
      </c>
      <c r="E230" s="825">
        <v>17502.95</v>
      </c>
      <c r="F230" s="825">
        <v>18311</v>
      </c>
      <c r="G230" s="825">
        <v>39263</v>
      </c>
      <c r="H230" s="825"/>
      <c r="I230" s="826">
        <v>737.6875</v>
      </c>
      <c r="J230" s="826">
        <v>34407</v>
      </c>
      <c r="K230" s="826">
        <v>2689</v>
      </c>
      <c r="L230" s="825">
        <v>6093</v>
      </c>
      <c r="M230" s="825"/>
      <c r="N230" s="826">
        <v>1376</v>
      </c>
      <c r="O230" s="826">
        <v>12699</v>
      </c>
      <c r="P230" s="826">
        <v>0</v>
      </c>
      <c r="Q230" s="825">
        <v>5505</v>
      </c>
      <c r="R230" s="825"/>
      <c r="S230" s="826">
        <v>10494</v>
      </c>
      <c r="T230" s="827">
        <v>422</v>
      </c>
      <c r="U230" s="827">
        <v>10917</v>
      </c>
    </row>
    <row r="231" spans="1:21" x14ac:dyDescent="0.25">
      <c r="A231" s="822">
        <v>92441</v>
      </c>
      <c r="B231" s="823" t="s">
        <v>2797</v>
      </c>
      <c r="C231" s="824">
        <v>9.2299999999999994E-5</v>
      </c>
      <c r="D231" s="824">
        <v>1.0170000000000001E-4</v>
      </c>
      <c r="E231" s="825">
        <v>38127.360000000001</v>
      </c>
      <c r="F231" s="825">
        <v>45642</v>
      </c>
      <c r="G231" s="825">
        <v>195892</v>
      </c>
      <c r="H231" s="825"/>
      <c r="I231" s="826">
        <v>3680</v>
      </c>
      <c r="J231" s="826">
        <v>171663</v>
      </c>
      <c r="K231" s="826">
        <v>13417</v>
      </c>
      <c r="L231" s="825">
        <v>0</v>
      </c>
      <c r="M231" s="825"/>
      <c r="N231" s="826">
        <v>6864</v>
      </c>
      <c r="O231" s="826">
        <v>63360</v>
      </c>
      <c r="P231" s="826">
        <v>0</v>
      </c>
      <c r="Q231" s="825">
        <v>12688</v>
      </c>
      <c r="R231" s="825"/>
      <c r="S231" s="826">
        <v>52359</v>
      </c>
      <c r="T231" s="827">
        <v>-5069</v>
      </c>
      <c r="U231" s="827">
        <v>47290</v>
      </c>
    </row>
    <row r="232" spans="1:21" x14ac:dyDescent="0.25">
      <c r="A232" s="822">
        <v>92444</v>
      </c>
      <c r="B232" s="823" t="s">
        <v>2798</v>
      </c>
      <c r="C232" s="824">
        <v>1.9999999999999999E-6</v>
      </c>
      <c r="D232" s="824">
        <v>1.7999999999999999E-6</v>
      </c>
      <c r="E232" s="825">
        <v>1966</v>
      </c>
      <c r="F232" s="825">
        <v>808</v>
      </c>
      <c r="G232" s="825">
        <v>4244.67</v>
      </c>
      <c r="H232" s="825"/>
      <c r="I232" s="826">
        <v>79.75</v>
      </c>
      <c r="J232" s="826">
        <v>3720</v>
      </c>
      <c r="K232" s="826">
        <v>291</v>
      </c>
      <c r="L232" s="825">
        <v>2653</v>
      </c>
      <c r="M232" s="825"/>
      <c r="N232" s="826">
        <v>149</v>
      </c>
      <c r="O232" s="826">
        <v>1373</v>
      </c>
      <c r="P232" s="826">
        <v>0</v>
      </c>
      <c r="Q232" s="825">
        <v>0</v>
      </c>
      <c r="R232" s="825"/>
      <c r="S232" s="826">
        <v>1135</v>
      </c>
      <c r="T232" s="827">
        <v>971</v>
      </c>
      <c r="U232" s="827">
        <v>2106</v>
      </c>
    </row>
    <row r="233" spans="1:21" x14ac:dyDescent="0.25">
      <c r="A233" s="822">
        <v>92451</v>
      </c>
      <c r="B233" s="823" t="s">
        <v>2799</v>
      </c>
      <c r="C233" s="824">
        <v>1.4559999999999999E-4</v>
      </c>
      <c r="D233" s="824">
        <v>1.132E-4</v>
      </c>
      <c r="E233" s="825">
        <v>67281</v>
      </c>
      <c r="F233" s="825">
        <v>50803</v>
      </c>
      <c r="G233" s="825">
        <v>309012</v>
      </c>
      <c r="H233" s="825"/>
      <c r="I233" s="826">
        <v>5806</v>
      </c>
      <c r="J233" s="826">
        <v>270793</v>
      </c>
      <c r="K233" s="826">
        <v>21165</v>
      </c>
      <c r="L233" s="825">
        <v>36170</v>
      </c>
      <c r="M233" s="825"/>
      <c r="N233" s="826">
        <v>10828</v>
      </c>
      <c r="O233" s="826">
        <v>99948</v>
      </c>
      <c r="P233" s="826">
        <v>0</v>
      </c>
      <c r="Q233" s="825">
        <v>0</v>
      </c>
      <c r="R233" s="825"/>
      <c r="S233" s="826">
        <v>82594</v>
      </c>
      <c r="T233" s="827">
        <v>11273</v>
      </c>
      <c r="U233" s="827">
        <v>93868</v>
      </c>
    </row>
    <row r="234" spans="1:21" x14ac:dyDescent="0.25">
      <c r="A234" s="822">
        <v>92461</v>
      </c>
      <c r="B234" s="823" t="s">
        <v>2800</v>
      </c>
      <c r="C234" s="824">
        <v>7.2999999999999999E-5</v>
      </c>
      <c r="D234" s="824">
        <v>6.3499999999999999E-5</v>
      </c>
      <c r="E234" s="825">
        <v>36576</v>
      </c>
      <c r="F234" s="825">
        <v>28498</v>
      </c>
      <c r="G234" s="825">
        <v>154930</v>
      </c>
      <c r="H234" s="825"/>
      <c r="I234" s="826">
        <v>2910.875</v>
      </c>
      <c r="J234" s="826">
        <v>135768</v>
      </c>
      <c r="K234" s="826">
        <v>10611</v>
      </c>
      <c r="L234" s="825">
        <v>10353</v>
      </c>
      <c r="M234" s="825"/>
      <c r="N234" s="826">
        <v>5429</v>
      </c>
      <c r="O234" s="826">
        <v>50111</v>
      </c>
      <c r="P234" s="826">
        <v>0</v>
      </c>
      <c r="Q234" s="825">
        <v>7817</v>
      </c>
      <c r="R234" s="825"/>
      <c r="S234" s="826">
        <v>41411</v>
      </c>
      <c r="T234" s="827">
        <v>-170</v>
      </c>
      <c r="U234" s="827">
        <v>41240</v>
      </c>
    </row>
    <row r="235" spans="1:21" x14ac:dyDescent="0.25">
      <c r="A235" s="822">
        <v>92501</v>
      </c>
      <c r="B235" s="823" t="s">
        <v>2801</v>
      </c>
      <c r="C235" s="824">
        <v>3.8141E-3</v>
      </c>
      <c r="D235" s="824">
        <v>3.8955999999999999E-3</v>
      </c>
      <c r="E235" s="825">
        <v>1660692.83</v>
      </c>
      <c r="F235" s="825">
        <v>1748322</v>
      </c>
      <c r="G235" s="825">
        <v>8094798</v>
      </c>
      <c r="H235" s="825"/>
      <c r="I235" s="826">
        <v>152087</v>
      </c>
      <c r="J235" s="826">
        <v>7093623</v>
      </c>
      <c r="K235" s="826">
        <v>554421</v>
      </c>
      <c r="L235" s="825">
        <v>65347</v>
      </c>
      <c r="M235" s="825"/>
      <c r="N235" s="826">
        <v>283651</v>
      </c>
      <c r="O235" s="826">
        <v>2618219</v>
      </c>
      <c r="P235" s="826">
        <v>0</v>
      </c>
      <c r="Q235" s="825">
        <v>13995</v>
      </c>
      <c r="R235" s="825"/>
      <c r="S235" s="826">
        <v>2163621</v>
      </c>
      <c r="T235" s="827">
        <v>20802</v>
      </c>
      <c r="U235" s="827">
        <v>2184422</v>
      </c>
    </row>
    <row r="236" spans="1:21" x14ac:dyDescent="0.25">
      <c r="A236" s="822">
        <v>92502</v>
      </c>
      <c r="B236" s="823" t="s">
        <v>2802</v>
      </c>
      <c r="C236" s="824">
        <v>2.8799999999999999E-5</v>
      </c>
      <c r="D236" s="824">
        <v>2.1399999999999998E-5</v>
      </c>
      <c r="E236" s="825">
        <v>12881</v>
      </c>
      <c r="F236" s="825">
        <v>9604</v>
      </c>
      <c r="G236" s="825">
        <v>61123</v>
      </c>
      <c r="H236" s="825"/>
      <c r="I236" s="826">
        <v>1148</v>
      </c>
      <c r="J236" s="826">
        <v>53563</v>
      </c>
      <c r="K236" s="826">
        <v>4186</v>
      </c>
      <c r="L236" s="825">
        <v>4833</v>
      </c>
      <c r="M236" s="825"/>
      <c r="N236" s="826">
        <v>2142</v>
      </c>
      <c r="O236" s="826">
        <v>19770</v>
      </c>
      <c r="P236" s="826">
        <v>0</v>
      </c>
      <c r="Q236" s="825">
        <v>3509</v>
      </c>
      <c r="R236" s="825"/>
      <c r="S236" s="826">
        <v>16337</v>
      </c>
      <c r="T236" s="827">
        <v>-103</v>
      </c>
      <c r="U236" s="827">
        <v>16234</v>
      </c>
    </row>
    <row r="237" spans="1:21" x14ac:dyDescent="0.25">
      <c r="A237" s="822">
        <v>92504</v>
      </c>
      <c r="B237" s="823" t="s">
        <v>2803</v>
      </c>
      <c r="C237" s="824">
        <v>7.2799999999999994E-5</v>
      </c>
      <c r="D237" s="824">
        <v>7.3499999999999998E-5</v>
      </c>
      <c r="E237" s="825">
        <v>38689</v>
      </c>
      <c r="F237" s="825">
        <v>32986</v>
      </c>
      <c r="G237" s="825">
        <v>154506</v>
      </c>
      <c r="H237" s="825"/>
      <c r="I237" s="826">
        <v>2903</v>
      </c>
      <c r="J237" s="826">
        <v>135396</v>
      </c>
      <c r="K237" s="826">
        <v>10582</v>
      </c>
      <c r="L237" s="825">
        <v>18501</v>
      </c>
      <c r="M237" s="825"/>
      <c r="N237" s="826">
        <v>5414</v>
      </c>
      <c r="O237" s="826">
        <v>49974</v>
      </c>
      <c r="P237" s="826">
        <v>0</v>
      </c>
      <c r="Q237" s="825">
        <v>54</v>
      </c>
      <c r="R237" s="825"/>
      <c r="S237" s="826">
        <v>41297</v>
      </c>
      <c r="T237" s="827">
        <v>5906</v>
      </c>
      <c r="U237" s="827">
        <v>47203</v>
      </c>
    </row>
    <row r="238" spans="1:21" x14ac:dyDescent="0.25">
      <c r="A238" s="822">
        <v>92505</v>
      </c>
      <c r="B238" s="823" t="s">
        <v>2804</v>
      </c>
      <c r="C238" s="824">
        <v>1.8709999999999999E-4</v>
      </c>
      <c r="D238" s="824">
        <v>1.9699999999999999E-4</v>
      </c>
      <c r="E238" s="825">
        <v>106739.73</v>
      </c>
      <c r="F238" s="825">
        <v>88412</v>
      </c>
      <c r="G238" s="825">
        <v>397089</v>
      </c>
      <c r="H238" s="825"/>
      <c r="I238" s="826">
        <v>7461</v>
      </c>
      <c r="J238" s="826">
        <v>347976</v>
      </c>
      <c r="K238" s="826">
        <v>27197</v>
      </c>
      <c r="L238" s="825">
        <v>47178</v>
      </c>
      <c r="M238" s="825"/>
      <c r="N238" s="826">
        <v>13914</v>
      </c>
      <c r="O238" s="826">
        <v>128436</v>
      </c>
      <c r="P238" s="826">
        <v>0</v>
      </c>
      <c r="Q238" s="825">
        <v>0</v>
      </c>
      <c r="R238" s="825"/>
      <c r="S238" s="826">
        <v>106136</v>
      </c>
      <c r="T238" s="827">
        <v>16270</v>
      </c>
      <c r="U238" s="827">
        <v>122406</v>
      </c>
    </row>
    <row r="239" spans="1:21" x14ac:dyDescent="0.25">
      <c r="A239" s="822">
        <v>92506</v>
      </c>
      <c r="B239" s="823" t="s">
        <v>2805</v>
      </c>
      <c r="C239" s="824">
        <v>4.3699999999999998E-5</v>
      </c>
      <c r="D239" s="824">
        <v>3.8999999999999999E-5</v>
      </c>
      <c r="E239" s="825">
        <v>23626</v>
      </c>
      <c r="F239" s="825">
        <v>17503</v>
      </c>
      <c r="G239" s="825">
        <v>92746</v>
      </c>
      <c r="H239" s="825"/>
      <c r="I239" s="826">
        <v>1743</v>
      </c>
      <c r="J239" s="826">
        <v>81275</v>
      </c>
      <c r="K239" s="826">
        <v>6352</v>
      </c>
      <c r="L239" s="825">
        <v>17344</v>
      </c>
      <c r="M239" s="825"/>
      <c r="N239" s="826">
        <v>3250</v>
      </c>
      <c r="O239" s="826">
        <v>29998</v>
      </c>
      <c r="P239" s="826">
        <v>0</v>
      </c>
      <c r="Q239" s="825">
        <v>0</v>
      </c>
      <c r="R239" s="825"/>
      <c r="S239" s="826">
        <v>24790</v>
      </c>
      <c r="T239" s="827">
        <v>5809</v>
      </c>
      <c r="U239" s="827">
        <v>30599</v>
      </c>
    </row>
    <row r="240" spans="1:21" x14ac:dyDescent="0.25">
      <c r="A240" s="822">
        <v>92507</v>
      </c>
      <c r="B240" s="823" t="s">
        <v>2806</v>
      </c>
      <c r="C240" s="824">
        <v>7.6799999999999997E-5</v>
      </c>
      <c r="D240" s="824">
        <v>1.032E-4</v>
      </c>
      <c r="E240" s="825">
        <v>33480.47</v>
      </c>
      <c r="F240" s="825">
        <v>46316</v>
      </c>
      <c r="G240" s="825">
        <v>162995</v>
      </c>
      <c r="H240" s="825"/>
      <c r="I240" s="826">
        <v>3062</v>
      </c>
      <c r="J240" s="826">
        <v>142836</v>
      </c>
      <c r="K240" s="826">
        <v>11164</v>
      </c>
      <c r="L240" s="825">
        <v>348</v>
      </c>
      <c r="M240" s="825"/>
      <c r="N240" s="826">
        <v>5712</v>
      </c>
      <c r="O240" s="826">
        <v>52720</v>
      </c>
      <c r="P240" s="826">
        <v>0</v>
      </c>
      <c r="Q240" s="825">
        <v>22450</v>
      </c>
      <c r="R240" s="825"/>
      <c r="S240" s="826">
        <v>43566</v>
      </c>
      <c r="T240" s="827">
        <v>-8043</v>
      </c>
      <c r="U240" s="827">
        <v>35523</v>
      </c>
    </row>
    <row r="241" spans="1:21" x14ac:dyDescent="0.25">
      <c r="A241" s="822">
        <v>92508</v>
      </c>
      <c r="B241" s="823" t="s">
        <v>2807</v>
      </c>
      <c r="C241" s="824">
        <v>3.1930000000000001E-4</v>
      </c>
      <c r="D241" s="824">
        <v>3.2959999999999999E-4</v>
      </c>
      <c r="E241" s="825">
        <v>135945</v>
      </c>
      <c r="F241" s="825">
        <v>147923</v>
      </c>
      <c r="G241" s="825">
        <v>677662</v>
      </c>
      <c r="H241" s="825"/>
      <c r="I241" s="826">
        <v>12732</v>
      </c>
      <c r="J241" s="826">
        <v>593848</v>
      </c>
      <c r="K241" s="826">
        <v>46414</v>
      </c>
      <c r="L241" s="825">
        <v>7876</v>
      </c>
      <c r="M241" s="825"/>
      <c r="N241" s="826">
        <v>23746</v>
      </c>
      <c r="O241" s="826">
        <v>219186</v>
      </c>
      <c r="P241" s="826">
        <v>0</v>
      </c>
      <c r="Q241" s="825">
        <v>1898</v>
      </c>
      <c r="R241" s="825"/>
      <c r="S241" s="826">
        <v>181129</v>
      </c>
      <c r="T241" s="827">
        <v>3029</v>
      </c>
      <c r="U241" s="827">
        <v>184158</v>
      </c>
    </row>
    <row r="242" spans="1:21" x14ac:dyDescent="0.25">
      <c r="A242" s="822">
        <v>92509</v>
      </c>
      <c r="B242" s="823" t="s">
        <v>2808</v>
      </c>
      <c r="C242" s="824">
        <v>0</v>
      </c>
      <c r="D242" s="824">
        <v>2.1614E-3</v>
      </c>
      <c r="E242" s="825">
        <v>0</v>
      </c>
      <c r="F242" s="825">
        <v>970023</v>
      </c>
      <c r="G242" s="825">
        <v>0</v>
      </c>
      <c r="H242" s="825"/>
      <c r="I242" s="826">
        <v>0</v>
      </c>
      <c r="J242" s="826">
        <v>0</v>
      </c>
      <c r="K242" s="826">
        <v>0</v>
      </c>
      <c r="L242" s="825">
        <v>166634</v>
      </c>
      <c r="M242" s="825"/>
      <c r="N242" s="826">
        <v>0</v>
      </c>
      <c r="O242" s="826">
        <v>0</v>
      </c>
      <c r="P242" s="826">
        <v>0</v>
      </c>
      <c r="Q242" s="825">
        <v>1170867</v>
      </c>
      <c r="R242" s="825"/>
      <c r="S242" s="826">
        <v>0</v>
      </c>
      <c r="T242" s="827">
        <v>-223763</v>
      </c>
      <c r="U242" s="827">
        <v>-223763</v>
      </c>
    </row>
    <row r="243" spans="1:21" x14ac:dyDescent="0.25">
      <c r="A243" s="822">
        <v>92511</v>
      </c>
      <c r="B243" s="823" t="s">
        <v>2809</v>
      </c>
      <c r="C243" s="824">
        <v>3.4164E-3</v>
      </c>
      <c r="D243" s="824">
        <v>3.6713000000000002E-3</v>
      </c>
      <c r="E243" s="825">
        <v>1353009</v>
      </c>
      <c r="F243" s="825">
        <v>1647657</v>
      </c>
      <c r="G243" s="825">
        <v>7250745</v>
      </c>
      <c r="H243" s="825"/>
      <c r="I243" s="826">
        <v>136229</v>
      </c>
      <c r="J243" s="826">
        <v>6353964</v>
      </c>
      <c r="K243" s="826">
        <v>496611</v>
      </c>
      <c r="L243" s="825">
        <v>24415.31</v>
      </c>
      <c r="M243" s="825"/>
      <c r="N243" s="826">
        <v>254074</v>
      </c>
      <c r="O243" s="826">
        <v>2345215</v>
      </c>
      <c r="P243" s="826">
        <v>0</v>
      </c>
      <c r="Q243" s="825">
        <v>243809</v>
      </c>
      <c r="R243" s="825"/>
      <c r="S243" s="826">
        <v>1938018</v>
      </c>
      <c r="T243" s="827">
        <v>-57052</v>
      </c>
      <c r="U243" s="827">
        <v>1880965</v>
      </c>
    </row>
    <row r="244" spans="1:21" x14ac:dyDescent="0.25">
      <c r="A244" s="822">
        <v>92513</v>
      </c>
      <c r="B244" s="823" t="s">
        <v>2810</v>
      </c>
      <c r="C244" s="824">
        <v>3.9753000000000002E-3</v>
      </c>
      <c r="D244" s="824">
        <v>0</v>
      </c>
      <c r="E244" s="825">
        <v>1441013</v>
      </c>
      <c r="F244" s="825">
        <v>0</v>
      </c>
      <c r="G244" s="825">
        <v>8436918</v>
      </c>
      <c r="H244" s="825"/>
      <c r="I244" s="826">
        <v>158515</v>
      </c>
      <c r="J244" s="826">
        <v>7393430</v>
      </c>
      <c r="K244" s="826">
        <v>577854</v>
      </c>
      <c r="L244" s="825">
        <v>1999562</v>
      </c>
      <c r="M244" s="825"/>
      <c r="N244" s="826">
        <v>295639</v>
      </c>
      <c r="O244" s="826">
        <v>2728876</v>
      </c>
      <c r="P244" s="826">
        <v>0</v>
      </c>
      <c r="Q244" s="825">
        <v>0</v>
      </c>
      <c r="R244" s="825"/>
      <c r="S244" s="826">
        <v>2255064</v>
      </c>
      <c r="T244" s="827">
        <v>518021</v>
      </c>
      <c r="U244" s="827">
        <v>2773086</v>
      </c>
    </row>
    <row r="245" spans="1:21" x14ac:dyDescent="0.25">
      <c r="A245" s="822">
        <v>92521</v>
      </c>
      <c r="B245" s="823" t="s">
        <v>2811</v>
      </c>
      <c r="C245" s="824">
        <v>8.9800000000000001E-5</v>
      </c>
      <c r="D245" s="824">
        <v>9.59E-5</v>
      </c>
      <c r="E245" s="825">
        <v>32294.23</v>
      </c>
      <c r="F245" s="825">
        <v>43039</v>
      </c>
      <c r="G245" s="825">
        <v>190586</v>
      </c>
      <c r="H245" s="825"/>
      <c r="I245" s="826">
        <v>3581</v>
      </c>
      <c r="J245" s="826">
        <v>167014</v>
      </c>
      <c r="K245" s="826">
        <v>13053</v>
      </c>
      <c r="L245" s="825">
        <v>4908</v>
      </c>
      <c r="M245" s="825"/>
      <c r="N245" s="826">
        <v>6678</v>
      </c>
      <c r="O245" s="826">
        <v>61644</v>
      </c>
      <c r="P245" s="826">
        <v>0</v>
      </c>
      <c r="Q245" s="825">
        <v>9965</v>
      </c>
      <c r="R245" s="825"/>
      <c r="S245" s="826">
        <v>50941</v>
      </c>
      <c r="T245" s="827">
        <v>-1566</v>
      </c>
      <c r="U245" s="827">
        <v>49374</v>
      </c>
    </row>
    <row r="246" spans="1:21" x14ac:dyDescent="0.25">
      <c r="A246" s="822">
        <v>92531</v>
      </c>
      <c r="B246" s="823" t="s">
        <v>2812</v>
      </c>
      <c r="C246" s="824">
        <v>8.3779999999999998E-4</v>
      </c>
      <c r="D246" s="824">
        <v>9.3610000000000004E-4</v>
      </c>
      <c r="E246" s="825">
        <v>310253</v>
      </c>
      <c r="F246" s="825">
        <v>420116</v>
      </c>
      <c r="G246" s="825">
        <v>1778092</v>
      </c>
      <c r="H246" s="825"/>
      <c r="I246" s="826">
        <v>33407</v>
      </c>
      <c r="J246" s="826">
        <v>1558176</v>
      </c>
      <c r="K246" s="826">
        <v>121783</v>
      </c>
      <c r="L246" s="825">
        <v>0</v>
      </c>
      <c r="M246" s="825"/>
      <c r="N246" s="826">
        <v>62306</v>
      </c>
      <c r="O246" s="826">
        <v>575115</v>
      </c>
      <c r="P246" s="826">
        <v>0</v>
      </c>
      <c r="Q246" s="825">
        <v>169554</v>
      </c>
      <c r="R246" s="825"/>
      <c r="S246" s="826">
        <v>475258</v>
      </c>
      <c r="T246" s="827">
        <v>-58220</v>
      </c>
      <c r="U246" s="827">
        <v>417038</v>
      </c>
    </row>
    <row r="247" spans="1:21" x14ac:dyDescent="0.25">
      <c r="A247" s="822">
        <v>92541</v>
      </c>
      <c r="B247" s="823" t="s">
        <v>2813</v>
      </c>
      <c r="C247" s="824">
        <v>1.4300000000000001E-4</v>
      </c>
      <c r="D247" s="824">
        <v>1.2679999999999999E-4</v>
      </c>
      <c r="E247" s="825">
        <v>54919</v>
      </c>
      <c r="F247" s="825">
        <v>56907</v>
      </c>
      <c r="G247" s="825">
        <v>303494</v>
      </c>
      <c r="H247" s="825"/>
      <c r="I247" s="826">
        <v>5702.125</v>
      </c>
      <c r="J247" s="826">
        <v>265957</v>
      </c>
      <c r="K247" s="826">
        <v>20787</v>
      </c>
      <c r="L247" s="825">
        <v>11874</v>
      </c>
      <c r="M247" s="825"/>
      <c r="N247" s="826">
        <v>10635</v>
      </c>
      <c r="O247" s="826">
        <v>98163</v>
      </c>
      <c r="P247" s="826">
        <v>0</v>
      </c>
      <c r="Q247" s="825">
        <v>3822</v>
      </c>
      <c r="R247" s="825"/>
      <c r="S247" s="826">
        <v>81119</v>
      </c>
      <c r="T247" s="827">
        <v>3227</v>
      </c>
      <c r="U247" s="827">
        <v>84346</v>
      </c>
    </row>
    <row r="248" spans="1:21" x14ac:dyDescent="0.25">
      <c r="A248" s="822">
        <v>92551</v>
      </c>
      <c r="B248" s="823" t="s">
        <v>2814</v>
      </c>
      <c r="C248" s="824">
        <v>4.18E-5</v>
      </c>
      <c r="D248" s="824">
        <v>5.4799999999999997E-5</v>
      </c>
      <c r="E248" s="825">
        <v>16805.93</v>
      </c>
      <c r="F248" s="825">
        <v>24594</v>
      </c>
      <c r="G248" s="825">
        <v>88714</v>
      </c>
      <c r="H248" s="825"/>
      <c r="I248" s="826">
        <v>1666.7750000000001</v>
      </c>
      <c r="J248" s="826">
        <v>77741</v>
      </c>
      <c r="K248" s="826">
        <v>6076</v>
      </c>
      <c r="L248" s="825">
        <v>6834</v>
      </c>
      <c r="M248" s="825"/>
      <c r="N248" s="826">
        <v>3109</v>
      </c>
      <c r="O248" s="826">
        <v>28694</v>
      </c>
      <c r="P248" s="826">
        <v>0</v>
      </c>
      <c r="Q248" s="825">
        <v>11864</v>
      </c>
      <c r="R248" s="825"/>
      <c r="S248" s="826">
        <v>23712</v>
      </c>
      <c r="T248" s="827">
        <v>-71</v>
      </c>
      <c r="U248" s="827">
        <v>23641</v>
      </c>
    </row>
    <row r="249" spans="1:21" x14ac:dyDescent="0.25">
      <c r="A249" s="822">
        <v>92561</v>
      </c>
      <c r="B249" s="823" t="s">
        <v>2815</v>
      </c>
      <c r="C249" s="824">
        <v>2.2900000000000001E-5</v>
      </c>
      <c r="D249" s="824">
        <v>2.1800000000000001E-5</v>
      </c>
      <c r="E249" s="825">
        <v>12865.05</v>
      </c>
      <c r="F249" s="825">
        <v>9784</v>
      </c>
      <c r="G249" s="825">
        <v>48601</v>
      </c>
      <c r="H249" s="825"/>
      <c r="I249" s="826">
        <v>913.13750000000005</v>
      </c>
      <c r="J249" s="826">
        <v>42590</v>
      </c>
      <c r="K249" s="826">
        <v>3329</v>
      </c>
      <c r="L249" s="825">
        <v>7071</v>
      </c>
      <c r="M249" s="825"/>
      <c r="N249" s="826">
        <v>1703</v>
      </c>
      <c r="O249" s="826">
        <v>15720</v>
      </c>
      <c r="P249" s="826">
        <v>0</v>
      </c>
      <c r="Q249" s="825">
        <v>0</v>
      </c>
      <c r="R249" s="825"/>
      <c r="S249" s="826">
        <v>12990</v>
      </c>
      <c r="T249" s="827">
        <v>2451</v>
      </c>
      <c r="U249" s="827">
        <v>15442</v>
      </c>
    </row>
    <row r="250" spans="1:21" x14ac:dyDescent="0.25">
      <c r="A250" s="822">
        <v>92571</v>
      </c>
      <c r="B250" s="823" t="s">
        <v>2816</v>
      </c>
      <c r="C250" s="824">
        <v>3.1E-6</v>
      </c>
      <c r="D250" s="824">
        <v>3.8E-6</v>
      </c>
      <c r="E250" s="825">
        <v>6093</v>
      </c>
      <c r="F250" s="825">
        <v>1705</v>
      </c>
      <c r="G250" s="825">
        <v>6579</v>
      </c>
      <c r="H250" s="825"/>
      <c r="I250" s="826">
        <v>123.6125</v>
      </c>
      <c r="J250" s="826">
        <v>5766</v>
      </c>
      <c r="K250" s="826">
        <v>451</v>
      </c>
      <c r="L250" s="825">
        <v>4439</v>
      </c>
      <c r="M250" s="825"/>
      <c r="N250" s="826">
        <v>231</v>
      </c>
      <c r="O250" s="826">
        <v>2128</v>
      </c>
      <c r="P250" s="826">
        <v>0</v>
      </c>
      <c r="Q250" s="825">
        <v>200.99</v>
      </c>
      <c r="R250" s="825"/>
      <c r="S250" s="826">
        <v>1759</v>
      </c>
      <c r="T250" s="827">
        <v>1144</v>
      </c>
      <c r="U250" s="827">
        <v>2902</v>
      </c>
    </row>
    <row r="251" spans="1:21" x14ac:dyDescent="0.25">
      <c r="A251" s="822">
        <v>92601</v>
      </c>
      <c r="B251" s="823" t="s">
        <v>2817</v>
      </c>
      <c r="C251" s="824">
        <v>1.54185E-2</v>
      </c>
      <c r="D251" s="824">
        <v>1.5052899999999999E-2</v>
      </c>
      <c r="E251" s="825">
        <v>6115436</v>
      </c>
      <c r="F251" s="825">
        <v>6755651</v>
      </c>
      <c r="G251" s="825">
        <v>32723222</v>
      </c>
      <c r="H251" s="825"/>
      <c r="I251" s="826">
        <v>614813</v>
      </c>
      <c r="J251" s="826">
        <v>28675974</v>
      </c>
      <c r="K251" s="826">
        <v>2241249</v>
      </c>
      <c r="L251" s="825">
        <v>258399</v>
      </c>
      <c r="M251" s="825"/>
      <c r="N251" s="826">
        <v>1146658</v>
      </c>
      <c r="O251" s="826">
        <v>10584153</v>
      </c>
      <c r="P251" s="826">
        <v>0</v>
      </c>
      <c r="Q251" s="825">
        <v>0</v>
      </c>
      <c r="R251" s="825"/>
      <c r="S251" s="826">
        <v>8746437</v>
      </c>
      <c r="T251" s="827">
        <v>123589</v>
      </c>
      <c r="U251" s="827">
        <v>8870026</v>
      </c>
    </row>
    <row r="252" spans="1:21" x14ac:dyDescent="0.25">
      <c r="A252" s="822">
        <v>92602</v>
      </c>
      <c r="B252" s="823" t="s">
        <v>2818</v>
      </c>
      <c r="C252" s="824">
        <v>8.1999999999999994E-6</v>
      </c>
      <c r="D252" s="824">
        <v>8.3999999999999992E-6</v>
      </c>
      <c r="E252" s="825">
        <v>3297.75</v>
      </c>
      <c r="F252" s="825">
        <v>3770</v>
      </c>
      <c r="G252" s="825">
        <v>17403</v>
      </c>
      <c r="H252" s="825"/>
      <c r="I252" s="826">
        <v>327</v>
      </c>
      <c r="J252" s="826">
        <v>15251</v>
      </c>
      <c r="K252" s="826">
        <v>1192</v>
      </c>
      <c r="L252" s="825">
        <v>708.44</v>
      </c>
      <c r="M252" s="825"/>
      <c r="N252" s="826">
        <v>610</v>
      </c>
      <c r="O252" s="826">
        <v>5629</v>
      </c>
      <c r="P252" s="826">
        <v>0</v>
      </c>
      <c r="Q252" s="825">
        <v>1260</v>
      </c>
      <c r="R252" s="825"/>
      <c r="S252" s="826">
        <v>4652</v>
      </c>
      <c r="T252" s="827">
        <v>-75</v>
      </c>
      <c r="U252" s="827">
        <v>4577</v>
      </c>
    </row>
    <row r="253" spans="1:21" x14ac:dyDescent="0.25">
      <c r="A253" s="822">
        <v>92604</v>
      </c>
      <c r="B253" s="823" t="s">
        <v>2819</v>
      </c>
      <c r="C253" s="824">
        <v>3.4380000000000001E-4</v>
      </c>
      <c r="D253" s="824">
        <v>3.2019999999999998E-4</v>
      </c>
      <c r="E253" s="825">
        <v>164086</v>
      </c>
      <c r="F253" s="825">
        <v>143704</v>
      </c>
      <c r="G253" s="825">
        <v>729659</v>
      </c>
      <c r="H253" s="825"/>
      <c r="I253" s="826">
        <v>13709</v>
      </c>
      <c r="J253" s="826">
        <v>639414</v>
      </c>
      <c r="K253" s="826">
        <v>49975</v>
      </c>
      <c r="L253" s="825">
        <v>56939</v>
      </c>
      <c r="M253" s="825"/>
      <c r="N253" s="826">
        <v>25568</v>
      </c>
      <c r="O253" s="826">
        <v>236004</v>
      </c>
      <c r="P253" s="826">
        <v>0</v>
      </c>
      <c r="Q253" s="825">
        <v>0</v>
      </c>
      <c r="R253" s="825"/>
      <c r="S253" s="826">
        <v>195027</v>
      </c>
      <c r="T253" s="827">
        <v>20016</v>
      </c>
      <c r="U253" s="827">
        <v>215043</v>
      </c>
    </row>
    <row r="254" spans="1:21" x14ac:dyDescent="0.25">
      <c r="A254" s="822">
        <v>92607</v>
      </c>
      <c r="B254" s="823" t="s">
        <v>2820</v>
      </c>
      <c r="C254" s="824">
        <v>7.0400000000000004E-5</v>
      </c>
      <c r="D254" s="824">
        <v>7.4099999999999999E-5</v>
      </c>
      <c r="E254" s="825">
        <v>34300</v>
      </c>
      <c r="F254" s="825">
        <v>33256</v>
      </c>
      <c r="G254" s="825">
        <v>149412</v>
      </c>
      <c r="H254" s="825"/>
      <c r="I254" s="826">
        <v>2807</v>
      </c>
      <c r="J254" s="826">
        <v>130933</v>
      </c>
      <c r="K254" s="826">
        <v>10233</v>
      </c>
      <c r="L254" s="825">
        <v>9606</v>
      </c>
      <c r="M254" s="825"/>
      <c r="N254" s="826">
        <v>5236</v>
      </c>
      <c r="O254" s="826">
        <v>48327</v>
      </c>
      <c r="P254" s="826">
        <v>0</v>
      </c>
      <c r="Q254" s="825">
        <v>0</v>
      </c>
      <c r="R254" s="825"/>
      <c r="S254" s="826">
        <v>39936</v>
      </c>
      <c r="T254" s="827">
        <v>3862</v>
      </c>
      <c r="U254" s="827">
        <v>43798</v>
      </c>
    </row>
    <row r="255" spans="1:21" x14ac:dyDescent="0.25">
      <c r="A255" s="822">
        <v>92608</v>
      </c>
      <c r="B255" s="823" t="s">
        <v>2821</v>
      </c>
      <c r="C255" s="824">
        <v>0</v>
      </c>
      <c r="D255" s="824">
        <v>0</v>
      </c>
      <c r="E255" s="825">
        <v>0</v>
      </c>
      <c r="F255" s="825">
        <v>0</v>
      </c>
      <c r="G255" s="825">
        <v>0</v>
      </c>
      <c r="H255" s="825"/>
      <c r="I255" s="826">
        <v>0</v>
      </c>
      <c r="J255" s="826">
        <v>0</v>
      </c>
      <c r="K255" s="826">
        <v>0</v>
      </c>
      <c r="L255" s="825">
        <v>0</v>
      </c>
      <c r="M255" s="825"/>
      <c r="N255" s="826">
        <v>0</v>
      </c>
      <c r="O255" s="826">
        <v>0</v>
      </c>
      <c r="P255" s="826">
        <v>0</v>
      </c>
      <c r="Q255" s="825">
        <v>139807</v>
      </c>
      <c r="R255" s="825"/>
      <c r="S255" s="826">
        <v>0</v>
      </c>
      <c r="T255" s="827">
        <v>-69872</v>
      </c>
      <c r="U255" s="827">
        <v>-69872</v>
      </c>
    </row>
    <row r="256" spans="1:21" x14ac:dyDescent="0.25">
      <c r="A256" s="822">
        <v>92611</v>
      </c>
      <c r="B256" s="823" t="s">
        <v>2822</v>
      </c>
      <c r="C256" s="824">
        <v>1.3650799999999999E-2</v>
      </c>
      <c r="D256" s="824">
        <v>1.3731999999999999E-2</v>
      </c>
      <c r="E256" s="825">
        <v>5062641</v>
      </c>
      <c r="F256" s="825">
        <v>6162839</v>
      </c>
      <c r="G256" s="825">
        <v>28971571</v>
      </c>
      <c r="H256" s="825"/>
      <c r="I256" s="826">
        <v>544325.65</v>
      </c>
      <c r="J256" s="826">
        <v>25388331</v>
      </c>
      <c r="K256" s="826">
        <v>1984294</v>
      </c>
      <c r="L256" s="825">
        <v>20320</v>
      </c>
      <c r="M256" s="825"/>
      <c r="N256" s="826">
        <v>1015196</v>
      </c>
      <c r="O256" s="826">
        <v>9370701</v>
      </c>
      <c r="P256" s="826">
        <v>0</v>
      </c>
      <c r="Q256" s="825">
        <v>707501</v>
      </c>
      <c r="R256" s="825"/>
      <c r="S256" s="826">
        <v>7743676</v>
      </c>
      <c r="T256" s="827">
        <v>-194650</v>
      </c>
      <c r="U256" s="827">
        <v>7549026</v>
      </c>
    </row>
    <row r="257" spans="1:21" x14ac:dyDescent="0.25">
      <c r="A257" s="822">
        <v>92613</v>
      </c>
      <c r="B257" s="823" t="s">
        <v>2823</v>
      </c>
      <c r="C257" s="824">
        <v>2.81E-4</v>
      </c>
      <c r="D257" s="824">
        <v>2.9250000000000001E-4</v>
      </c>
      <c r="E257" s="825">
        <v>141183</v>
      </c>
      <c r="F257" s="825">
        <v>131272</v>
      </c>
      <c r="G257" s="825">
        <v>596376</v>
      </c>
      <c r="H257" s="825"/>
      <c r="I257" s="826">
        <v>11204.875</v>
      </c>
      <c r="J257" s="826">
        <v>522616</v>
      </c>
      <c r="K257" s="826">
        <v>40846</v>
      </c>
      <c r="L257" s="825">
        <v>119119</v>
      </c>
      <c r="M257" s="825"/>
      <c r="N257" s="826">
        <v>20898</v>
      </c>
      <c r="O257" s="826">
        <v>192895</v>
      </c>
      <c r="P257" s="826">
        <v>0</v>
      </c>
      <c r="Q257" s="825">
        <v>1892</v>
      </c>
      <c r="R257" s="825"/>
      <c r="S257" s="826">
        <v>159403</v>
      </c>
      <c r="T257" s="827">
        <v>39940</v>
      </c>
      <c r="U257" s="827">
        <v>199343</v>
      </c>
    </row>
    <row r="258" spans="1:21" x14ac:dyDescent="0.25">
      <c r="A258" s="822">
        <v>92614</v>
      </c>
      <c r="B258" s="823" t="s">
        <v>2824</v>
      </c>
      <c r="C258" s="824">
        <v>5.6468000000000004E-3</v>
      </c>
      <c r="D258" s="824">
        <v>5.6173999999999998E-3</v>
      </c>
      <c r="E258" s="825">
        <v>4370417</v>
      </c>
      <c r="F258" s="825">
        <v>2521055</v>
      </c>
      <c r="G258" s="825">
        <v>11984401</v>
      </c>
      <c r="H258" s="825"/>
      <c r="I258" s="826">
        <v>225166</v>
      </c>
      <c r="J258" s="826">
        <v>10502156</v>
      </c>
      <c r="K258" s="826">
        <v>820824</v>
      </c>
      <c r="L258" s="825">
        <v>3097959</v>
      </c>
      <c r="M258" s="825"/>
      <c r="N258" s="826">
        <v>419947</v>
      </c>
      <c r="O258" s="826">
        <v>3876291</v>
      </c>
      <c r="P258" s="826">
        <v>0</v>
      </c>
      <c r="Q258" s="825">
        <v>0</v>
      </c>
      <c r="R258" s="825"/>
      <c r="S258" s="826">
        <v>3203255</v>
      </c>
      <c r="T258" s="827">
        <v>970834</v>
      </c>
      <c r="U258" s="827">
        <v>4174089</v>
      </c>
    </row>
    <row r="259" spans="1:21" x14ac:dyDescent="0.25">
      <c r="A259" s="822">
        <v>92621</v>
      </c>
      <c r="B259" s="823" t="s">
        <v>2825</v>
      </c>
      <c r="C259" s="824">
        <v>3.2799999999999998E-5</v>
      </c>
      <c r="D259" s="824">
        <v>3.3099999999999998E-5</v>
      </c>
      <c r="E259" s="825">
        <v>12384</v>
      </c>
      <c r="F259" s="825">
        <v>14855</v>
      </c>
      <c r="G259" s="825">
        <v>69613</v>
      </c>
      <c r="H259" s="825"/>
      <c r="I259" s="826">
        <v>1308</v>
      </c>
      <c r="J259" s="826">
        <v>61003</v>
      </c>
      <c r="K259" s="826">
        <v>4768</v>
      </c>
      <c r="L259" s="825">
        <v>1351</v>
      </c>
      <c r="M259" s="825"/>
      <c r="N259" s="826">
        <v>2439</v>
      </c>
      <c r="O259" s="826">
        <v>22516</v>
      </c>
      <c r="P259" s="826">
        <v>0</v>
      </c>
      <c r="Q259" s="825">
        <v>3050</v>
      </c>
      <c r="R259" s="825"/>
      <c r="S259" s="826">
        <v>18606</v>
      </c>
      <c r="T259" s="827">
        <v>-800</v>
      </c>
      <c r="U259" s="827">
        <v>17806</v>
      </c>
    </row>
    <row r="260" spans="1:21" x14ac:dyDescent="0.25">
      <c r="A260" s="822">
        <v>92631</v>
      </c>
      <c r="B260" s="823" t="s">
        <v>2826</v>
      </c>
      <c r="C260" s="824">
        <v>1.0068E-3</v>
      </c>
      <c r="D260" s="824">
        <v>1.0248E-3</v>
      </c>
      <c r="E260" s="825">
        <v>343817.77</v>
      </c>
      <c r="F260" s="825">
        <v>459924</v>
      </c>
      <c r="G260" s="825">
        <v>2136767</v>
      </c>
      <c r="H260" s="825"/>
      <c r="I260" s="826">
        <v>40146.15</v>
      </c>
      <c r="J260" s="826">
        <v>1872489</v>
      </c>
      <c r="K260" s="826">
        <v>146349</v>
      </c>
      <c r="L260" s="825">
        <v>0</v>
      </c>
      <c r="M260" s="825"/>
      <c r="N260" s="826">
        <v>74875</v>
      </c>
      <c r="O260" s="826">
        <v>691126</v>
      </c>
      <c r="P260" s="826">
        <v>0</v>
      </c>
      <c r="Q260" s="825">
        <v>101284</v>
      </c>
      <c r="R260" s="825"/>
      <c r="S260" s="826">
        <v>571126</v>
      </c>
      <c r="T260" s="827">
        <v>-30677</v>
      </c>
      <c r="U260" s="827">
        <v>540449</v>
      </c>
    </row>
    <row r="261" spans="1:21" x14ac:dyDescent="0.25">
      <c r="A261" s="822">
        <v>92641</v>
      </c>
      <c r="B261" s="823" t="s">
        <v>2827</v>
      </c>
      <c r="C261" s="824">
        <v>1.03E-5</v>
      </c>
      <c r="D261" s="824">
        <v>1.0699999999999999E-5</v>
      </c>
      <c r="E261" s="825">
        <v>4921.7</v>
      </c>
      <c r="F261" s="825">
        <v>4802</v>
      </c>
      <c r="G261" s="825">
        <v>21860</v>
      </c>
      <c r="H261" s="825"/>
      <c r="I261" s="826">
        <v>410.71249999999998</v>
      </c>
      <c r="J261" s="826">
        <v>19156</v>
      </c>
      <c r="K261" s="826">
        <v>1497</v>
      </c>
      <c r="L261" s="825">
        <v>2730</v>
      </c>
      <c r="M261" s="825"/>
      <c r="N261" s="826">
        <v>766</v>
      </c>
      <c r="O261" s="826">
        <v>7071</v>
      </c>
      <c r="P261" s="826">
        <v>0</v>
      </c>
      <c r="Q261" s="825">
        <v>1900</v>
      </c>
      <c r="R261" s="825"/>
      <c r="S261" s="826">
        <v>5843</v>
      </c>
      <c r="T261" s="827">
        <v>-18</v>
      </c>
      <c r="U261" s="827">
        <v>5825</v>
      </c>
    </row>
    <row r="262" spans="1:21" x14ac:dyDescent="0.25">
      <c r="A262" s="822">
        <v>92651</v>
      </c>
      <c r="B262" s="823" t="s">
        <v>2828</v>
      </c>
      <c r="C262" s="824">
        <v>2.6000000000000001E-6</v>
      </c>
      <c r="D262" s="824">
        <v>2.3999999999999999E-6</v>
      </c>
      <c r="E262" s="825">
        <v>2706.64</v>
      </c>
      <c r="F262" s="825">
        <v>1077</v>
      </c>
      <c r="G262" s="825">
        <v>5518</v>
      </c>
      <c r="H262" s="825"/>
      <c r="I262" s="826">
        <v>103.675</v>
      </c>
      <c r="J262" s="826">
        <v>4836</v>
      </c>
      <c r="K262" s="826">
        <v>378</v>
      </c>
      <c r="L262" s="825">
        <v>2819</v>
      </c>
      <c r="M262" s="825"/>
      <c r="N262" s="826">
        <v>193</v>
      </c>
      <c r="O262" s="826">
        <v>1785</v>
      </c>
      <c r="P262" s="826">
        <v>0</v>
      </c>
      <c r="Q262" s="825">
        <v>0</v>
      </c>
      <c r="R262" s="825"/>
      <c r="S262" s="826">
        <v>1475</v>
      </c>
      <c r="T262" s="827">
        <v>953</v>
      </c>
      <c r="U262" s="827">
        <v>2428</v>
      </c>
    </row>
    <row r="263" spans="1:21" x14ac:dyDescent="0.25">
      <c r="A263" s="822">
        <v>92661</v>
      </c>
      <c r="B263" s="823" t="s">
        <v>2829</v>
      </c>
      <c r="C263" s="824">
        <v>6.6299999999999996E-4</v>
      </c>
      <c r="D263" s="824">
        <v>6.7860000000000001E-4</v>
      </c>
      <c r="E263" s="825">
        <v>505438</v>
      </c>
      <c r="F263" s="825">
        <v>304552</v>
      </c>
      <c r="G263" s="825">
        <v>1407108</v>
      </c>
      <c r="H263" s="825"/>
      <c r="I263" s="826">
        <v>26437.125</v>
      </c>
      <c r="J263" s="826">
        <v>1233075</v>
      </c>
      <c r="K263" s="826">
        <v>96374</v>
      </c>
      <c r="L263" s="825">
        <v>293360</v>
      </c>
      <c r="M263" s="825"/>
      <c r="N263" s="826">
        <v>49307</v>
      </c>
      <c r="O263" s="826">
        <v>455122</v>
      </c>
      <c r="P263" s="826">
        <v>0</v>
      </c>
      <c r="Q263" s="825">
        <v>33924</v>
      </c>
      <c r="R263" s="825"/>
      <c r="S263" s="826">
        <v>376099</v>
      </c>
      <c r="T263" s="827">
        <v>70124</v>
      </c>
      <c r="U263" s="827">
        <v>446224</v>
      </c>
    </row>
    <row r="264" spans="1:21" x14ac:dyDescent="0.25">
      <c r="A264" s="822">
        <v>92671</v>
      </c>
      <c r="B264" s="823" t="s">
        <v>2830</v>
      </c>
      <c r="C264" s="824">
        <v>2.9000000000000002E-6</v>
      </c>
      <c r="D264" s="824">
        <v>3.4999999999999999E-6</v>
      </c>
      <c r="E264" s="825">
        <v>4773.75</v>
      </c>
      <c r="F264" s="825">
        <v>1571</v>
      </c>
      <c r="G264" s="825">
        <v>6155</v>
      </c>
      <c r="H264" s="825"/>
      <c r="I264" s="826">
        <v>115.6375</v>
      </c>
      <c r="J264" s="826">
        <v>5394</v>
      </c>
      <c r="K264" s="826">
        <v>422</v>
      </c>
      <c r="L264" s="825">
        <v>4608</v>
      </c>
      <c r="M264" s="825"/>
      <c r="N264" s="826">
        <v>216</v>
      </c>
      <c r="O264" s="826">
        <v>1991</v>
      </c>
      <c r="P264" s="826">
        <v>0</v>
      </c>
      <c r="Q264" s="825">
        <v>0</v>
      </c>
      <c r="R264" s="825"/>
      <c r="S264" s="826">
        <v>1645</v>
      </c>
      <c r="T264" s="827">
        <v>1438</v>
      </c>
      <c r="U264" s="827">
        <v>3083</v>
      </c>
    </row>
    <row r="265" spans="1:21" x14ac:dyDescent="0.25">
      <c r="A265" s="822">
        <v>92681</v>
      </c>
      <c r="B265" s="823" t="s">
        <v>2831</v>
      </c>
      <c r="C265" s="824">
        <v>1.01E-5</v>
      </c>
      <c r="D265" s="824">
        <v>5.4E-6</v>
      </c>
      <c r="E265" s="825">
        <v>9614</v>
      </c>
      <c r="F265" s="825">
        <v>2423</v>
      </c>
      <c r="G265" s="825">
        <v>21436</v>
      </c>
      <c r="H265" s="825"/>
      <c r="I265" s="826">
        <v>402.73750000000001</v>
      </c>
      <c r="J265" s="826">
        <v>18784</v>
      </c>
      <c r="K265" s="826">
        <v>1468</v>
      </c>
      <c r="L265" s="825">
        <v>11040</v>
      </c>
      <c r="M265" s="825"/>
      <c r="N265" s="826">
        <v>751</v>
      </c>
      <c r="O265" s="826">
        <v>6933</v>
      </c>
      <c r="P265" s="826">
        <v>0</v>
      </c>
      <c r="Q265" s="825">
        <v>0</v>
      </c>
      <c r="R265" s="825"/>
      <c r="S265" s="826">
        <v>5729</v>
      </c>
      <c r="T265" s="827">
        <v>3452</v>
      </c>
      <c r="U265" s="827">
        <v>9181</v>
      </c>
    </row>
    <row r="266" spans="1:21" x14ac:dyDescent="0.25">
      <c r="A266" s="822">
        <v>92701</v>
      </c>
      <c r="B266" s="823" t="s">
        <v>2832</v>
      </c>
      <c r="C266" s="824">
        <v>2.9588000000000001E-3</v>
      </c>
      <c r="D266" s="824">
        <v>2.8249999999999998E-3</v>
      </c>
      <c r="E266" s="825">
        <v>1147170.26</v>
      </c>
      <c r="F266" s="825">
        <v>1267843</v>
      </c>
      <c r="G266" s="825">
        <v>6279565</v>
      </c>
      <c r="H266" s="825"/>
      <c r="I266" s="826">
        <v>117982</v>
      </c>
      <c r="J266" s="826">
        <v>5502901</v>
      </c>
      <c r="K266" s="826">
        <v>430094</v>
      </c>
      <c r="L266" s="825">
        <v>17190</v>
      </c>
      <c r="M266" s="825"/>
      <c r="N266" s="826">
        <v>220043</v>
      </c>
      <c r="O266" s="826">
        <v>2031092</v>
      </c>
      <c r="P266" s="826">
        <v>0</v>
      </c>
      <c r="Q266" s="825">
        <v>81579</v>
      </c>
      <c r="R266" s="825"/>
      <c r="S266" s="826">
        <v>1678436</v>
      </c>
      <c r="T266" s="827">
        <v>-34202</v>
      </c>
      <c r="U266" s="827">
        <v>1644234</v>
      </c>
    </row>
    <row r="267" spans="1:21" x14ac:dyDescent="0.25">
      <c r="A267" s="822">
        <v>92704</v>
      </c>
      <c r="B267" s="823" t="s">
        <v>2833</v>
      </c>
      <c r="C267" s="824">
        <v>4.7700000000000001E-5</v>
      </c>
      <c r="D267" s="824">
        <v>4.8000000000000001E-5</v>
      </c>
      <c r="E267" s="825">
        <v>17416.48</v>
      </c>
      <c r="F267" s="825">
        <v>21542</v>
      </c>
      <c r="G267" s="825">
        <v>101235</v>
      </c>
      <c r="H267" s="825"/>
      <c r="I267" s="826">
        <v>1902</v>
      </c>
      <c r="J267" s="826">
        <v>88714</v>
      </c>
      <c r="K267" s="826">
        <v>6934</v>
      </c>
      <c r="L267" s="825">
        <v>2418</v>
      </c>
      <c r="M267" s="825"/>
      <c r="N267" s="826">
        <v>3547</v>
      </c>
      <c r="O267" s="826">
        <v>32744</v>
      </c>
      <c r="P267" s="826">
        <v>0</v>
      </c>
      <c r="Q267" s="825">
        <v>1922</v>
      </c>
      <c r="R267" s="825"/>
      <c r="S267" s="826">
        <v>27059</v>
      </c>
      <c r="T267" s="827">
        <v>357</v>
      </c>
      <c r="U267" s="827">
        <v>27415</v>
      </c>
    </row>
    <row r="268" spans="1:21" x14ac:dyDescent="0.25">
      <c r="A268" s="822">
        <v>92801</v>
      </c>
      <c r="B268" s="823" t="s">
        <v>2834</v>
      </c>
      <c r="C268" s="824">
        <v>5.1701000000000004E-3</v>
      </c>
      <c r="D268" s="824">
        <v>5.1633E-3</v>
      </c>
      <c r="E268" s="825">
        <v>2172949.21</v>
      </c>
      <c r="F268" s="825">
        <v>2317258</v>
      </c>
      <c r="G268" s="825">
        <v>10972684</v>
      </c>
      <c r="H268" s="825"/>
      <c r="I268" s="826">
        <v>206158</v>
      </c>
      <c r="J268" s="826">
        <v>9615569</v>
      </c>
      <c r="K268" s="826">
        <v>751531</v>
      </c>
      <c r="L268" s="825">
        <v>219271</v>
      </c>
      <c r="M268" s="825"/>
      <c r="N268" s="826">
        <v>384495</v>
      </c>
      <c r="O268" s="826">
        <v>3549057</v>
      </c>
      <c r="P268" s="826">
        <v>0</v>
      </c>
      <c r="Q268" s="825">
        <v>0</v>
      </c>
      <c r="R268" s="825"/>
      <c r="S268" s="826">
        <v>2932837</v>
      </c>
      <c r="T268" s="827">
        <v>78433</v>
      </c>
      <c r="U268" s="827">
        <v>3011270</v>
      </c>
    </row>
    <row r="269" spans="1:21" x14ac:dyDescent="0.25">
      <c r="A269" s="822">
        <v>92802</v>
      </c>
      <c r="B269" s="823" t="s">
        <v>2835</v>
      </c>
      <c r="C269" s="824">
        <v>1.3410000000000001E-4</v>
      </c>
      <c r="D269" s="824">
        <v>1.4359999999999999E-4</v>
      </c>
      <c r="E269" s="825">
        <v>49243.25</v>
      </c>
      <c r="F269" s="825">
        <v>64447</v>
      </c>
      <c r="G269" s="825">
        <v>284605</v>
      </c>
      <c r="H269" s="825"/>
      <c r="I269" s="826">
        <v>5347</v>
      </c>
      <c r="J269" s="826">
        <v>249405</v>
      </c>
      <c r="K269" s="826">
        <v>19493</v>
      </c>
      <c r="L269" s="825">
        <v>0</v>
      </c>
      <c r="M269" s="825"/>
      <c r="N269" s="826">
        <v>9973</v>
      </c>
      <c r="O269" s="826">
        <v>92054</v>
      </c>
      <c r="P269" s="826">
        <v>0</v>
      </c>
      <c r="Q269" s="825">
        <v>17052</v>
      </c>
      <c r="R269" s="825"/>
      <c r="S269" s="826">
        <v>76071</v>
      </c>
      <c r="T269" s="827">
        <v>-5458</v>
      </c>
      <c r="U269" s="827">
        <v>70613</v>
      </c>
    </row>
    <row r="270" spans="1:21" x14ac:dyDescent="0.25">
      <c r="A270" s="822">
        <v>92804</v>
      </c>
      <c r="B270" s="823" t="s">
        <v>2836</v>
      </c>
      <c r="C270" s="824">
        <v>1.47E-4</v>
      </c>
      <c r="D270" s="824">
        <v>1.217E-4</v>
      </c>
      <c r="E270" s="825">
        <v>50468.480000000003</v>
      </c>
      <c r="F270" s="825">
        <v>54618</v>
      </c>
      <c r="G270" s="825">
        <v>311983</v>
      </c>
      <c r="H270" s="825"/>
      <c r="I270" s="826">
        <v>5861.625</v>
      </c>
      <c r="J270" s="826">
        <v>273397</v>
      </c>
      <c r="K270" s="826">
        <v>21368</v>
      </c>
      <c r="L270" s="825">
        <v>12672</v>
      </c>
      <c r="M270" s="825"/>
      <c r="N270" s="826">
        <v>10932</v>
      </c>
      <c r="O270" s="826">
        <v>100909</v>
      </c>
      <c r="P270" s="826">
        <v>0</v>
      </c>
      <c r="Q270" s="825">
        <v>2663</v>
      </c>
      <c r="R270" s="825"/>
      <c r="S270" s="826">
        <v>83389</v>
      </c>
      <c r="T270" s="827">
        <v>2604</v>
      </c>
      <c r="U270" s="827">
        <v>85992</v>
      </c>
    </row>
    <row r="271" spans="1:21" x14ac:dyDescent="0.25">
      <c r="A271" s="822">
        <v>92811</v>
      </c>
      <c r="B271" s="823" t="s">
        <v>2837</v>
      </c>
      <c r="C271" s="824">
        <v>9.8569999999999994E-4</v>
      </c>
      <c r="D271" s="824">
        <v>1.1405E-3</v>
      </c>
      <c r="E271" s="825">
        <v>390969</v>
      </c>
      <c r="F271" s="825">
        <v>511850</v>
      </c>
      <c r="G271" s="825">
        <v>2091986</v>
      </c>
      <c r="H271" s="825"/>
      <c r="I271" s="826">
        <v>39305</v>
      </c>
      <c r="J271" s="826">
        <v>1833246</v>
      </c>
      <c r="K271" s="826">
        <v>143282</v>
      </c>
      <c r="L271" s="825">
        <v>0</v>
      </c>
      <c r="M271" s="825"/>
      <c r="N271" s="826">
        <v>73306</v>
      </c>
      <c r="O271" s="826">
        <v>676642</v>
      </c>
      <c r="P271" s="826">
        <v>0</v>
      </c>
      <c r="Q271" s="825">
        <v>118839</v>
      </c>
      <c r="R271" s="825"/>
      <c r="S271" s="826">
        <v>559157</v>
      </c>
      <c r="T271" s="827">
        <v>-36047</v>
      </c>
      <c r="U271" s="827">
        <v>523110</v>
      </c>
    </row>
    <row r="272" spans="1:21" x14ac:dyDescent="0.25">
      <c r="A272" s="822">
        <v>92821</v>
      </c>
      <c r="B272" s="823" t="s">
        <v>2838</v>
      </c>
      <c r="C272" s="824">
        <v>1.0139999999999999E-3</v>
      </c>
      <c r="D272" s="824">
        <v>9.8010000000000002E-4</v>
      </c>
      <c r="E272" s="825">
        <v>411903</v>
      </c>
      <c r="F272" s="825">
        <v>439863</v>
      </c>
      <c r="G272" s="825">
        <v>2152047.69</v>
      </c>
      <c r="H272" s="825"/>
      <c r="I272" s="826">
        <v>40433.25</v>
      </c>
      <c r="J272" s="826">
        <v>1885880</v>
      </c>
      <c r="K272" s="826">
        <v>147396</v>
      </c>
      <c r="L272" s="825">
        <v>27408</v>
      </c>
      <c r="M272" s="825"/>
      <c r="N272" s="826">
        <v>75410</v>
      </c>
      <c r="O272" s="826">
        <v>696068</v>
      </c>
      <c r="P272" s="826">
        <v>0</v>
      </c>
      <c r="Q272" s="825">
        <v>0</v>
      </c>
      <c r="R272" s="825"/>
      <c r="S272" s="826">
        <v>575211</v>
      </c>
      <c r="T272" s="827">
        <v>8904</v>
      </c>
      <c r="U272" s="827">
        <v>584115</v>
      </c>
    </row>
    <row r="273" spans="1:21" x14ac:dyDescent="0.25">
      <c r="A273" s="822">
        <v>92831</v>
      </c>
      <c r="B273" s="823" t="s">
        <v>2839</v>
      </c>
      <c r="C273" s="824">
        <v>2.476E-4</v>
      </c>
      <c r="D273" s="824">
        <v>2.4049999999999999E-4</v>
      </c>
      <c r="E273" s="825">
        <v>117070.46</v>
      </c>
      <c r="F273" s="825">
        <v>107935</v>
      </c>
      <c r="G273" s="825">
        <v>525490</v>
      </c>
      <c r="H273" s="825"/>
      <c r="I273" s="826">
        <v>9873</v>
      </c>
      <c r="J273" s="826">
        <v>460497</v>
      </c>
      <c r="K273" s="826">
        <v>35991</v>
      </c>
      <c r="L273" s="825">
        <v>29199</v>
      </c>
      <c r="M273" s="825"/>
      <c r="N273" s="826">
        <v>18414</v>
      </c>
      <c r="O273" s="826">
        <v>169967</v>
      </c>
      <c r="P273" s="826">
        <v>0</v>
      </c>
      <c r="Q273" s="825">
        <v>0</v>
      </c>
      <c r="R273" s="825"/>
      <c r="S273" s="826">
        <v>140456</v>
      </c>
      <c r="T273" s="827">
        <v>10043</v>
      </c>
      <c r="U273" s="827">
        <v>150499</v>
      </c>
    </row>
    <row r="274" spans="1:21" x14ac:dyDescent="0.25">
      <c r="A274" s="822">
        <v>92841</v>
      </c>
      <c r="B274" s="823" t="s">
        <v>2840</v>
      </c>
      <c r="C274" s="824">
        <v>2.8160000000000001E-4</v>
      </c>
      <c r="D274" s="824">
        <v>2.7070000000000002E-4</v>
      </c>
      <c r="E274" s="825">
        <v>105224</v>
      </c>
      <c r="F274" s="825">
        <v>121489</v>
      </c>
      <c r="G274" s="825">
        <v>597650</v>
      </c>
      <c r="H274" s="825"/>
      <c r="I274" s="826">
        <v>11229</v>
      </c>
      <c r="J274" s="826">
        <v>523732</v>
      </c>
      <c r="K274" s="826">
        <v>40934</v>
      </c>
      <c r="L274" s="825">
        <v>11701.2</v>
      </c>
      <c r="M274" s="825"/>
      <c r="N274" s="826">
        <v>20942</v>
      </c>
      <c r="O274" s="826">
        <v>193307</v>
      </c>
      <c r="P274" s="826">
        <v>0</v>
      </c>
      <c r="Q274" s="825">
        <v>3120</v>
      </c>
      <c r="R274" s="825"/>
      <c r="S274" s="826">
        <v>159743</v>
      </c>
      <c r="T274" s="827">
        <v>5013</v>
      </c>
      <c r="U274" s="827">
        <v>164756</v>
      </c>
    </row>
    <row r="275" spans="1:21" x14ac:dyDescent="0.25">
      <c r="A275" s="822">
        <v>92851</v>
      </c>
      <c r="B275" s="823" t="s">
        <v>2841</v>
      </c>
      <c r="C275" s="824">
        <v>4.3909999999999999E-4</v>
      </c>
      <c r="D275" s="824">
        <v>4.6690000000000002E-4</v>
      </c>
      <c r="E275" s="825">
        <v>157592</v>
      </c>
      <c r="F275" s="825">
        <v>209542</v>
      </c>
      <c r="G275" s="825">
        <v>931917</v>
      </c>
      <c r="H275" s="825"/>
      <c r="I275" s="826">
        <v>17509</v>
      </c>
      <c r="J275" s="826">
        <v>816657</v>
      </c>
      <c r="K275" s="826">
        <v>63828</v>
      </c>
      <c r="L275" s="825">
        <v>0</v>
      </c>
      <c r="M275" s="825"/>
      <c r="N275" s="826">
        <v>32655</v>
      </c>
      <c r="O275" s="826">
        <v>301424</v>
      </c>
      <c r="P275" s="826">
        <v>0</v>
      </c>
      <c r="Q275" s="825">
        <v>92000</v>
      </c>
      <c r="R275" s="825"/>
      <c r="S275" s="826">
        <v>249088</v>
      </c>
      <c r="T275" s="827">
        <v>-34292</v>
      </c>
      <c r="U275" s="827">
        <v>214796</v>
      </c>
    </row>
    <row r="276" spans="1:21" x14ac:dyDescent="0.25">
      <c r="A276" s="822">
        <v>92861</v>
      </c>
      <c r="B276" s="823" t="s">
        <v>2842</v>
      </c>
      <c r="C276" s="824">
        <v>3.3629999999999999E-4</v>
      </c>
      <c r="D276" s="824">
        <v>3.7750000000000001E-4</v>
      </c>
      <c r="E276" s="825">
        <v>101705</v>
      </c>
      <c r="F276" s="825">
        <v>169420</v>
      </c>
      <c r="G276" s="825">
        <v>713741</v>
      </c>
      <c r="H276" s="825"/>
      <c r="I276" s="826">
        <v>13410</v>
      </c>
      <c r="J276" s="826">
        <v>625465</v>
      </c>
      <c r="K276" s="826">
        <v>48885</v>
      </c>
      <c r="L276" s="825">
        <v>0</v>
      </c>
      <c r="M276" s="825"/>
      <c r="N276" s="826">
        <v>25010</v>
      </c>
      <c r="O276" s="826">
        <v>230856</v>
      </c>
      <c r="P276" s="826">
        <v>0</v>
      </c>
      <c r="Q276" s="825">
        <v>96581</v>
      </c>
      <c r="R276" s="825"/>
      <c r="S276" s="826">
        <v>190773</v>
      </c>
      <c r="T276" s="827">
        <v>-32224</v>
      </c>
      <c r="U276" s="827">
        <v>158549</v>
      </c>
    </row>
    <row r="277" spans="1:21" x14ac:dyDescent="0.25">
      <c r="A277" s="822">
        <v>92901</v>
      </c>
      <c r="B277" s="823" t="s">
        <v>2843</v>
      </c>
      <c r="C277" s="824">
        <v>5.7581000000000004E-3</v>
      </c>
      <c r="D277" s="824">
        <v>5.7428999999999996E-3</v>
      </c>
      <c r="E277" s="825">
        <v>2270581</v>
      </c>
      <c r="F277" s="825">
        <v>2577379</v>
      </c>
      <c r="G277" s="825">
        <v>12220617</v>
      </c>
      <c r="H277" s="825"/>
      <c r="I277" s="826">
        <v>229604</v>
      </c>
      <c r="J277" s="826">
        <v>10709156</v>
      </c>
      <c r="K277" s="826">
        <v>837003</v>
      </c>
      <c r="L277" s="825">
        <v>108561</v>
      </c>
      <c r="M277" s="825"/>
      <c r="N277" s="826">
        <v>428224</v>
      </c>
      <c r="O277" s="826">
        <v>3952694</v>
      </c>
      <c r="P277" s="826">
        <v>0</v>
      </c>
      <c r="Q277" s="825">
        <v>69123</v>
      </c>
      <c r="R277" s="825"/>
      <c r="S277" s="826">
        <v>3266392</v>
      </c>
      <c r="T277" s="827">
        <v>24956</v>
      </c>
      <c r="U277" s="827">
        <v>3291348</v>
      </c>
    </row>
    <row r="278" spans="1:21" x14ac:dyDescent="0.25">
      <c r="A278" s="822">
        <v>92911</v>
      </c>
      <c r="B278" s="823" t="s">
        <v>2844</v>
      </c>
      <c r="C278" s="824">
        <v>1.9442999999999999E-3</v>
      </c>
      <c r="D278" s="824">
        <v>2.0665000000000002E-3</v>
      </c>
      <c r="E278" s="825">
        <v>811710.22</v>
      </c>
      <c r="F278" s="825">
        <v>927433</v>
      </c>
      <c r="G278" s="825">
        <v>4126456</v>
      </c>
      <c r="H278" s="825"/>
      <c r="I278" s="826">
        <v>77529</v>
      </c>
      <c r="J278" s="826">
        <v>3616091</v>
      </c>
      <c r="K278" s="826">
        <v>282625</v>
      </c>
      <c r="L278" s="825">
        <v>0</v>
      </c>
      <c r="M278" s="825"/>
      <c r="N278" s="826">
        <v>144596</v>
      </c>
      <c r="O278" s="826">
        <v>1334680</v>
      </c>
      <c r="P278" s="826">
        <v>0</v>
      </c>
      <c r="Q278" s="825">
        <v>175676</v>
      </c>
      <c r="R278" s="825"/>
      <c r="S278" s="826">
        <v>1102941</v>
      </c>
      <c r="T278" s="827">
        <v>-62151</v>
      </c>
      <c r="U278" s="827">
        <v>1040790</v>
      </c>
    </row>
    <row r="279" spans="1:21" x14ac:dyDescent="0.25">
      <c r="A279" s="822">
        <v>92913</v>
      </c>
      <c r="B279" s="823" t="s">
        <v>2845</v>
      </c>
      <c r="C279" s="824">
        <v>2.37E-5</v>
      </c>
      <c r="D279" s="824">
        <v>2.97E-5</v>
      </c>
      <c r="E279" s="825">
        <v>56296.04</v>
      </c>
      <c r="F279" s="825">
        <v>13329</v>
      </c>
      <c r="G279" s="825">
        <v>50299</v>
      </c>
      <c r="H279" s="825"/>
      <c r="I279" s="826">
        <v>945.03750000000002</v>
      </c>
      <c r="J279" s="826">
        <v>44078</v>
      </c>
      <c r="K279" s="826">
        <v>3445</v>
      </c>
      <c r="L279" s="825">
        <v>60788</v>
      </c>
      <c r="M279" s="825"/>
      <c r="N279" s="826">
        <v>1763</v>
      </c>
      <c r="O279" s="826">
        <v>16269</v>
      </c>
      <c r="P279" s="826">
        <v>0</v>
      </c>
      <c r="Q279" s="825">
        <v>4115</v>
      </c>
      <c r="R279" s="825"/>
      <c r="S279" s="826">
        <v>13444</v>
      </c>
      <c r="T279" s="827">
        <v>16266</v>
      </c>
      <c r="U279" s="827">
        <v>29711</v>
      </c>
    </row>
    <row r="280" spans="1:21" x14ac:dyDescent="0.25">
      <c r="A280" s="822">
        <v>92917</v>
      </c>
      <c r="B280" s="823" t="s">
        <v>2846</v>
      </c>
      <c r="C280" s="824">
        <v>2.0000000000000002E-5</v>
      </c>
      <c r="D280" s="824">
        <v>1.9599999999999999E-5</v>
      </c>
      <c r="E280" s="825">
        <v>15742</v>
      </c>
      <c r="F280" s="825">
        <v>8796</v>
      </c>
      <c r="G280" s="825">
        <v>42447</v>
      </c>
      <c r="H280" s="825"/>
      <c r="I280" s="826">
        <v>798</v>
      </c>
      <c r="J280" s="826">
        <v>37197</v>
      </c>
      <c r="K280" s="826">
        <v>2907</v>
      </c>
      <c r="L280" s="825">
        <v>14645</v>
      </c>
      <c r="M280" s="825"/>
      <c r="N280" s="826">
        <v>1487.38</v>
      </c>
      <c r="O280" s="826">
        <v>13729</v>
      </c>
      <c r="P280" s="826">
        <v>0</v>
      </c>
      <c r="Q280" s="825">
        <v>0</v>
      </c>
      <c r="R280" s="825"/>
      <c r="S280" s="826">
        <v>11345</v>
      </c>
      <c r="T280" s="827">
        <v>5366</v>
      </c>
      <c r="U280" s="827">
        <v>16711</v>
      </c>
    </row>
    <row r="281" spans="1:21" x14ac:dyDescent="0.25">
      <c r="A281" s="822">
        <v>92921</v>
      </c>
      <c r="B281" s="823" t="s">
        <v>2847</v>
      </c>
      <c r="C281" s="824">
        <v>6.2899999999999997E-5</v>
      </c>
      <c r="D281" s="824">
        <v>8.1500000000000002E-5</v>
      </c>
      <c r="E281" s="825">
        <v>34231</v>
      </c>
      <c r="F281" s="825">
        <v>36577</v>
      </c>
      <c r="G281" s="825">
        <v>133495</v>
      </c>
      <c r="H281" s="825"/>
      <c r="I281" s="826">
        <v>2508</v>
      </c>
      <c r="J281" s="826">
        <v>116984</v>
      </c>
      <c r="K281" s="826">
        <v>9143</v>
      </c>
      <c r="L281" s="825">
        <v>0</v>
      </c>
      <c r="M281" s="825"/>
      <c r="N281" s="826">
        <v>4678</v>
      </c>
      <c r="O281" s="826">
        <v>43178</v>
      </c>
      <c r="P281" s="826">
        <v>0</v>
      </c>
      <c r="Q281" s="825">
        <v>14056</v>
      </c>
      <c r="R281" s="825"/>
      <c r="S281" s="826">
        <v>35681</v>
      </c>
      <c r="T281" s="827">
        <v>-6225</v>
      </c>
      <c r="U281" s="827">
        <v>29456</v>
      </c>
    </row>
    <row r="282" spans="1:21" x14ac:dyDescent="0.25">
      <c r="A282" s="822">
        <v>92931</v>
      </c>
      <c r="B282" s="823" t="s">
        <v>2848</v>
      </c>
      <c r="C282" s="824">
        <v>2.5048000000000002E-3</v>
      </c>
      <c r="D282" s="824">
        <v>2.5463E-3</v>
      </c>
      <c r="E282" s="825">
        <v>948741</v>
      </c>
      <c r="F282" s="825">
        <v>1142764</v>
      </c>
      <c r="G282" s="825">
        <v>5316025</v>
      </c>
      <c r="H282" s="825"/>
      <c r="I282" s="826">
        <v>99879</v>
      </c>
      <c r="J282" s="826">
        <v>4658532</v>
      </c>
      <c r="K282" s="826">
        <v>364100</v>
      </c>
      <c r="L282" s="825">
        <v>15520</v>
      </c>
      <c r="M282" s="825"/>
      <c r="N282" s="826">
        <v>186279</v>
      </c>
      <c r="O282" s="826">
        <v>1719440</v>
      </c>
      <c r="P282" s="826">
        <v>0</v>
      </c>
      <c r="Q282" s="825">
        <v>116480</v>
      </c>
      <c r="R282" s="825"/>
      <c r="S282" s="826">
        <v>1420895</v>
      </c>
      <c r="T282" s="827">
        <v>-25186</v>
      </c>
      <c r="U282" s="827">
        <v>1395710</v>
      </c>
    </row>
    <row r="283" spans="1:21" x14ac:dyDescent="0.25">
      <c r="A283" s="822">
        <v>92941</v>
      </c>
      <c r="B283" s="823" t="s">
        <v>1445</v>
      </c>
      <c r="C283" s="824">
        <v>1.84E-5</v>
      </c>
      <c r="D283" s="824">
        <v>1.5999999999999999E-5</v>
      </c>
      <c r="E283" s="825">
        <v>7190</v>
      </c>
      <c r="F283" s="825">
        <v>7181</v>
      </c>
      <c r="G283" s="825">
        <v>39051</v>
      </c>
      <c r="H283" s="825"/>
      <c r="I283" s="826">
        <v>733.7</v>
      </c>
      <c r="J283" s="826">
        <v>34221</v>
      </c>
      <c r="K283" s="826">
        <v>2675</v>
      </c>
      <c r="L283" s="825">
        <v>10216</v>
      </c>
      <c r="M283" s="825"/>
      <c r="N283" s="826">
        <v>1368</v>
      </c>
      <c r="O283" s="826">
        <v>12631</v>
      </c>
      <c r="P283" s="826">
        <v>0</v>
      </c>
      <c r="Q283" s="825">
        <v>0</v>
      </c>
      <c r="R283" s="825"/>
      <c r="S283" s="826">
        <v>10438</v>
      </c>
      <c r="T283" s="827">
        <v>3605</v>
      </c>
      <c r="U283" s="827">
        <v>14042</v>
      </c>
    </row>
    <row r="284" spans="1:21" x14ac:dyDescent="0.25">
      <c r="A284" s="822">
        <v>93001</v>
      </c>
      <c r="B284" s="823" t="s">
        <v>2849</v>
      </c>
      <c r="C284" s="824">
        <v>2.2739000000000001E-3</v>
      </c>
      <c r="D284" s="824">
        <v>2.2177999999999998E-3</v>
      </c>
      <c r="E284" s="825">
        <v>863907.18</v>
      </c>
      <c r="F284" s="825">
        <v>995335</v>
      </c>
      <c r="G284" s="825">
        <v>4825978</v>
      </c>
      <c r="H284" s="825"/>
      <c r="I284" s="826">
        <v>90672</v>
      </c>
      <c r="J284" s="826">
        <v>4229095</v>
      </c>
      <c r="K284" s="826">
        <v>330536</v>
      </c>
      <c r="L284" s="825">
        <v>13531</v>
      </c>
      <c r="M284" s="825"/>
      <c r="N284" s="826">
        <v>169108</v>
      </c>
      <c r="O284" s="826">
        <v>1560937</v>
      </c>
      <c r="P284" s="826">
        <v>0</v>
      </c>
      <c r="Q284" s="825">
        <v>103635</v>
      </c>
      <c r="R284" s="825"/>
      <c r="S284" s="826">
        <v>1289913</v>
      </c>
      <c r="T284" s="827">
        <v>-40908</v>
      </c>
      <c r="U284" s="827">
        <v>1249005</v>
      </c>
    </row>
    <row r="285" spans="1:21" x14ac:dyDescent="0.25">
      <c r="A285" s="822">
        <v>93009</v>
      </c>
      <c r="B285" s="823" t="s">
        <v>2850</v>
      </c>
      <c r="C285" s="824">
        <v>1.5400000000000002E-5</v>
      </c>
      <c r="D285" s="824">
        <v>1.6399999999999999E-5</v>
      </c>
      <c r="E285" s="825">
        <v>4865</v>
      </c>
      <c r="F285" s="825">
        <v>7360</v>
      </c>
      <c r="G285" s="825">
        <v>32684</v>
      </c>
      <c r="H285" s="825"/>
      <c r="I285" s="826">
        <v>614</v>
      </c>
      <c r="J285" s="826">
        <v>28642</v>
      </c>
      <c r="K285" s="826">
        <v>2239</v>
      </c>
      <c r="L285" s="825">
        <v>0</v>
      </c>
      <c r="M285" s="825"/>
      <c r="N285" s="826">
        <v>1145</v>
      </c>
      <c r="O285" s="826">
        <v>10571</v>
      </c>
      <c r="P285" s="826">
        <v>0</v>
      </c>
      <c r="Q285" s="825">
        <v>4210</v>
      </c>
      <c r="R285" s="825"/>
      <c r="S285" s="826">
        <v>8736</v>
      </c>
      <c r="T285" s="827">
        <v>-1521</v>
      </c>
      <c r="U285" s="827">
        <v>7215</v>
      </c>
    </row>
    <row r="286" spans="1:21" x14ac:dyDescent="0.25">
      <c r="A286" s="822">
        <v>93011</v>
      </c>
      <c r="B286" s="823" t="s">
        <v>2851</v>
      </c>
      <c r="C286" s="824">
        <v>2.6160000000000002E-4</v>
      </c>
      <c r="D286" s="824">
        <v>2.9179999999999999E-4</v>
      </c>
      <c r="E286" s="825">
        <v>124242</v>
      </c>
      <c r="F286" s="825">
        <v>130958</v>
      </c>
      <c r="G286" s="825">
        <v>555203</v>
      </c>
      <c r="H286" s="825"/>
      <c r="I286" s="826">
        <v>10431</v>
      </c>
      <c r="J286" s="826">
        <v>486535</v>
      </c>
      <c r="K286" s="826">
        <v>38026</v>
      </c>
      <c r="L286" s="825">
        <v>2390</v>
      </c>
      <c r="M286" s="825"/>
      <c r="N286" s="826">
        <v>19455</v>
      </c>
      <c r="O286" s="826">
        <v>179577</v>
      </c>
      <c r="P286" s="826">
        <v>0</v>
      </c>
      <c r="Q286" s="825">
        <v>5043</v>
      </c>
      <c r="R286" s="825"/>
      <c r="S286" s="826">
        <v>148398</v>
      </c>
      <c r="T286" s="827">
        <v>-926</v>
      </c>
      <c r="U286" s="827">
        <v>147472</v>
      </c>
    </row>
    <row r="287" spans="1:21" x14ac:dyDescent="0.25">
      <c r="A287" s="822">
        <v>93021</v>
      </c>
      <c r="B287" s="823" t="s">
        <v>2852</v>
      </c>
      <c r="C287" s="824">
        <v>2.8900000000000001E-5</v>
      </c>
      <c r="D287" s="824">
        <v>3.7200000000000003E-5</v>
      </c>
      <c r="E287" s="825">
        <v>9086</v>
      </c>
      <c r="F287" s="825">
        <v>16695</v>
      </c>
      <c r="G287" s="825">
        <v>61335</v>
      </c>
      <c r="H287" s="825"/>
      <c r="I287" s="826">
        <v>1152.3875</v>
      </c>
      <c r="J287" s="826">
        <v>53749</v>
      </c>
      <c r="K287" s="826">
        <v>4201</v>
      </c>
      <c r="L287" s="825">
        <v>4054</v>
      </c>
      <c r="M287" s="825"/>
      <c r="N287" s="826">
        <v>2149</v>
      </c>
      <c r="O287" s="826">
        <v>19839</v>
      </c>
      <c r="P287" s="826">
        <v>0</v>
      </c>
      <c r="Q287" s="825">
        <v>6719</v>
      </c>
      <c r="R287" s="825"/>
      <c r="S287" s="826">
        <v>16394</v>
      </c>
      <c r="T287" s="827">
        <v>-87</v>
      </c>
      <c r="U287" s="827">
        <v>16307</v>
      </c>
    </row>
    <row r="288" spans="1:21" x14ac:dyDescent="0.25">
      <c r="A288" s="822">
        <v>93027</v>
      </c>
      <c r="B288" s="823" t="s">
        <v>2853</v>
      </c>
      <c r="C288" s="824">
        <v>1.6699999999999999E-5</v>
      </c>
      <c r="D288" s="824">
        <v>1.49E-5</v>
      </c>
      <c r="E288" s="825">
        <v>6777</v>
      </c>
      <c r="F288" s="825">
        <v>6687</v>
      </c>
      <c r="G288" s="825">
        <v>35443</v>
      </c>
      <c r="H288" s="825"/>
      <c r="I288" s="826">
        <v>665.91250000000002</v>
      </c>
      <c r="J288" s="826">
        <v>31059</v>
      </c>
      <c r="K288" s="826">
        <v>2428</v>
      </c>
      <c r="L288" s="825">
        <v>903</v>
      </c>
      <c r="M288" s="825"/>
      <c r="N288" s="826">
        <v>1242</v>
      </c>
      <c r="O288" s="826">
        <v>11464</v>
      </c>
      <c r="P288" s="826">
        <v>0</v>
      </c>
      <c r="Q288" s="825">
        <v>1496</v>
      </c>
      <c r="R288" s="825"/>
      <c r="S288" s="826">
        <v>9473</v>
      </c>
      <c r="T288" s="827">
        <v>-429</v>
      </c>
      <c r="U288" s="827">
        <v>9045</v>
      </c>
    </row>
    <row r="289" spans="1:21" x14ac:dyDescent="0.25">
      <c r="A289" s="822">
        <v>93031</v>
      </c>
      <c r="B289" s="823" t="s">
        <v>2854</v>
      </c>
      <c r="C289" s="824">
        <v>2.2399999999999999E-5</v>
      </c>
      <c r="D289" s="824">
        <v>1.4399999999999999E-5</v>
      </c>
      <c r="E289" s="825">
        <v>20149</v>
      </c>
      <c r="F289" s="825">
        <v>6463</v>
      </c>
      <c r="G289" s="825">
        <v>47540</v>
      </c>
      <c r="H289" s="825"/>
      <c r="I289" s="826">
        <v>893</v>
      </c>
      <c r="J289" s="826">
        <v>41660</v>
      </c>
      <c r="K289" s="826">
        <v>3256</v>
      </c>
      <c r="L289" s="825">
        <v>15165</v>
      </c>
      <c r="M289" s="825"/>
      <c r="N289" s="826">
        <v>1666</v>
      </c>
      <c r="O289" s="826">
        <v>15377</v>
      </c>
      <c r="P289" s="826">
        <v>0</v>
      </c>
      <c r="Q289" s="825">
        <v>444</v>
      </c>
      <c r="R289" s="825"/>
      <c r="S289" s="826">
        <v>12707</v>
      </c>
      <c r="T289" s="827">
        <v>3911</v>
      </c>
      <c r="U289" s="827">
        <v>16617</v>
      </c>
    </row>
    <row r="290" spans="1:21" x14ac:dyDescent="0.25">
      <c r="A290" s="822">
        <v>93101</v>
      </c>
      <c r="B290" s="823" t="s">
        <v>2855</v>
      </c>
      <c r="C290" s="824">
        <v>3.5771000000000002E-3</v>
      </c>
      <c r="D290" s="824">
        <v>3.2972000000000001E-3</v>
      </c>
      <c r="E290" s="825">
        <v>1332692</v>
      </c>
      <c r="F290" s="825">
        <v>1479764</v>
      </c>
      <c r="G290" s="825">
        <v>7591805</v>
      </c>
      <c r="H290" s="825"/>
      <c r="I290" s="826">
        <v>142637</v>
      </c>
      <c r="J290" s="826">
        <v>6652841</v>
      </c>
      <c r="K290" s="826">
        <v>519971</v>
      </c>
      <c r="L290" s="825">
        <v>172542</v>
      </c>
      <c r="M290" s="825"/>
      <c r="N290" s="826">
        <v>266025</v>
      </c>
      <c r="O290" s="826">
        <v>2455529</v>
      </c>
      <c r="P290" s="826">
        <v>0</v>
      </c>
      <c r="Q290" s="825">
        <v>0</v>
      </c>
      <c r="R290" s="825"/>
      <c r="S290" s="826">
        <v>2029178</v>
      </c>
      <c r="T290" s="827">
        <v>68285</v>
      </c>
      <c r="U290" s="827">
        <v>2097463</v>
      </c>
    </row>
    <row r="291" spans="1:21" x14ac:dyDescent="0.25">
      <c r="A291" s="822">
        <v>93103</v>
      </c>
      <c r="B291" s="823" t="s">
        <v>2123</v>
      </c>
      <c r="C291" s="824">
        <v>1.7200000000000001E-5</v>
      </c>
      <c r="D291" s="824">
        <v>0</v>
      </c>
      <c r="E291" s="825">
        <v>5178.82</v>
      </c>
      <c r="F291" s="825">
        <v>0</v>
      </c>
      <c r="G291" s="825">
        <v>36504</v>
      </c>
      <c r="H291" s="825"/>
      <c r="I291" s="826">
        <v>685.85</v>
      </c>
      <c r="J291" s="826">
        <v>31989</v>
      </c>
      <c r="K291" s="826">
        <v>2500</v>
      </c>
      <c r="L291" s="825">
        <v>9253</v>
      </c>
      <c r="M291" s="825"/>
      <c r="N291" s="826">
        <v>1279</v>
      </c>
      <c r="O291" s="826">
        <v>11807</v>
      </c>
      <c r="P291" s="826">
        <v>0</v>
      </c>
      <c r="Q291" s="825">
        <v>0</v>
      </c>
      <c r="R291" s="825"/>
      <c r="S291" s="826">
        <v>9757</v>
      </c>
      <c r="T291" s="827">
        <v>2535</v>
      </c>
      <c r="U291" s="827">
        <v>12292</v>
      </c>
    </row>
    <row r="292" spans="1:21" x14ac:dyDescent="0.25">
      <c r="A292" s="822">
        <v>93108</v>
      </c>
      <c r="B292" s="823" t="s">
        <v>2856</v>
      </c>
      <c r="C292" s="824">
        <v>2.5661999999999998E-3</v>
      </c>
      <c r="D292" s="824">
        <v>2.4540999999999999E-3</v>
      </c>
      <c r="E292" s="825">
        <v>1060595</v>
      </c>
      <c r="F292" s="825">
        <v>1101385</v>
      </c>
      <c r="G292" s="825">
        <v>5446336</v>
      </c>
      <c r="H292" s="825"/>
      <c r="I292" s="826">
        <v>102327</v>
      </c>
      <c r="J292" s="826">
        <v>4772727</v>
      </c>
      <c r="K292" s="826">
        <v>373025</v>
      </c>
      <c r="L292" s="825">
        <v>417043</v>
      </c>
      <c r="M292" s="825"/>
      <c r="N292" s="826">
        <v>190846</v>
      </c>
      <c r="O292" s="826">
        <v>1761589</v>
      </c>
      <c r="P292" s="826">
        <v>0</v>
      </c>
      <c r="Q292" s="825">
        <v>0</v>
      </c>
      <c r="R292" s="825"/>
      <c r="S292" s="826">
        <v>1455726</v>
      </c>
      <c r="T292" s="827">
        <v>180256</v>
      </c>
      <c r="U292" s="827">
        <v>1635982</v>
      </c>
    </row>
    <row r="293" spans="1:21" x14ac:dyDescent="0.25">
      <c r="A293" s="822">
        <v>93111</v>
      </c>
      <c r="B293" s="823" t="s">
        <v>2857</v>
      </c>
      <c r="C293" s="824">
        <v>7.08E-5</v>
      </c>
      <c r="D293" s="824">
        <v>7.3700000000000002E-5</v>
      </c>
      <c r="E293" s="825">
        <v>24671.1</v>
      </c>
      <c r="F293" s="825">
        <v>33076</v>
      </c>
      <c r="G293" s="825">
        <v>150261</v>
      </c>
      <c r="H293" s="825"/>
      <c r="I293" s="826">
        <v>2823.15</v>
      </c>
      <c r="J293" s="826">
        <v>131677</v>
      </c>
      <c r="K293" s="826">
        <v>10292</v>
      </c>
      <c r="L293" s="825">
        <v>0</v>
      </c>
      <c r="M293" s="825"/>
      <c r="N293" s="826">
        <v>5265</v>
      </c>
      <c r="O293" s="826">
        <v>48601</v>
      </c>
      <c r="P293" s="826">
        <v>0</v>
      </c>
      <c r="Q293" s="825">
        <v>10981</v>
      </c>
      <c r="R293" s="825"/>
      <c r="S293" s="826">
        <v>40163</v>
      </c>
      <c r="T293" s="827">
        <v>-3536</v>
      </c>
      <c r="U293" s="827">
        <v>36626</v>
      </c>
    </row>
    <row r="294" spans="1:21" x14ac:dyDescent="0.25">
      <c r="A294" s="822">
        <v>93121</v>
      </c>
      <c r="B294" s="823" t="s">
        <v>2858</v>
      </c>
      <c r="C294" s="824">
        <v>5.8900000000000002E-5</v>
      </c>
      <c r="D294" s="824">
        <v>7.4900000000000005E-5</v>
      </c>
      <c r="E294" s="825">
        <v>22115</v>
      </c>
      <c r="F294" s="825">
        <v>33615</v>
      </c>
      <c r="G294" s="825">
        <v>125006</v>
      </c>
      <c r="H294" s="825"/>
      <c r="I294" s="826">
        <v>2349</v>
      </c>
      <c r="J294" s="826">
        <v>109545</v>
      </c>
      <c r="K294" s="826">
        <v>8562</v>
      </c>
      <c r="L294" s="825">
        <v>0</v>
      </c>
      <c r="M294" s="825"/>
      <c r="N294" s="826">
        <v>4380</v>
      </c>
      <c r="O294" s="826">
        <v>40432</v>
      </c>
      <c r="P294" s="826">
        <v>0</v>
      </c>
      <c r="Q294" s="825">
        <v>13122</v>
      </c>
      <c r="R294" s="825"/>
      <c r="S294" s="826">
        <v>33412</v>
      </c>
      <c r="T294" s="827">
        <v>-4063</v>
      </c>
      <c r="U294" s="827">
        <v>29349</v>
      </c>
    </row>
    <row r="295" spans="1:21" x14ac:dyDescent="0.25">
      <c r="A295" s="822">
        <v>93127</v>
      </c>
      <c r="B295" s="823" t="s">
        <v>2859</v>
      </c>
      <c r="C295" s="824">
        <v>6.8000000000000001E-6</v>
      </c>
      <c r="D295" s="824">
        <v>7.7999999999999999E-6</v>
      </c>
      <c r="E295" s="825">
        <v>2815</v>
      </c>
      <c r="F295" s="825">
        <v>3501</v>
      </c>
      <c r="G295" s="825">
        <v>14432</v>
      </c>
      <c r="H295" s="825"/>
      <c r="I295" s="826">
        <v>271</v>
      </c>
      <c r="J295" s="826">
        <v>12647</v>
      </c>
      <c r="K295" s="826">
        <v>988</v>
      </c>
      <c r="L295" s="825">
        <v>0</v>
      </c>
      <c r="M295" s="825"/>
      <c r="N295" s="826">
        <v>506</v>
      </c>
      <c r="O295" s="826">
        <v>4668</v>
      </c>
      <c r="P295" s="826">
        <v>0</v>
      </c>
      <c r="Q295" s="825">
        <v>1132</v>
      </c>
      <c r="R295" s="825"/>
      <c r="S295" s="826">
        <v>3857</v>
      </c>
      <c r="T295" s="827">
        <v>-400</v>
      </c>
      <c r="U295" s="827">
        <v>3457</v>
      </c>
    </row>
    <row r="296" spans="1:21" x14ac:dyDescent="0.25">
      <c r="A296" s="822">
        <v>93131</v>
      </c>
      <c r="B296" s="823" t="s">
        <v>2860</v>
      </c>
      <c r="C296" s="824">
        <v>2.3939999999999999E-4</v>
      </c>
      <c r="D296" s="824">
        <v>2.3680000000000001E-4</v>
      </c>
      <c r="E296" s="825">
        <v>88660</v>
      </c>
      <c r="F296" s="825">
        <v>106274</v>
      </c>
      <c r="G296" s="825">
        <v>508087</v>
      </c>
      <c r="H296" s="825"/>
      <c r="I296" s="826">
        <v>9546</v>
      </c>
      <c r="J296" s="826">
        <v>445246</v>
      </c>
      <c r="K296" s="826">
        <v>34799</v>
      </c>
      <c r="L296" s="825">
        <v>13305</v>
      </c>
      <c r="M296" s="825"/>
      <c r="N296" s="826">
        <v>17804</v>
      </c>
      <c r="O296" s="826">
        <v>164338</v>
      </c>
      <c r="P296" s="826">
        <v>0</v>
      </c>
      <c r="Q296" s="825">
        <v>6369</v>
      </c>
      <c r="R296" s="825"/>
      <c r="S296" s="826">
        <v>135804</v>
      </c>
      <c r="T296" s="827">
        <v>3767</v>
      </c>
      <c r="U296" s="827">
        <v>139571</v>
      </c>
    </row>
    <row r="297" spans="1:21" x14ac:dyDescent="0.25">
      <c r="A297" s="822">
        <v>93137</v>
      </c>
      <c r="B297" s="823" t="s">
        <v>2861</v>
      </c>
      <c r="C297" s="824">
        <v>1.9E-6</v>
      </c>
      <c r="D297" s="824">
        <v>2.0999999999999998E-6</v>
      </c>
      <c r="E297" s="825">
        <v>1987</v>
      </c>
      <c r="F297" s="825">
        <v>942</v>
      </c>
      <c r="G297" s="825">
        <v>4032</v>
      </c>
      <c r="H297" s="825"/>
      <c r="I297" s="826">
        <v>75.762500000000003</v>
      </c>
      <c r="J297" s="826">
        <v>3534</v>
      </c>
      <c r="K297" s="826">
        <v>276</v>
      </c>
      <c r="L297" s="825">
        <v>1359</v>
      </c>
      <c r="M297" s="825"/>
      <c r="N297" s="826">
        <v>141</v>
      </c>
      <c r="O297" s="826">
        <v>1304</v>
      </c>
      <c r="P297" s="826">
        <v>0</v>
      </c>
      <c r="Q297" s="825">
        <v>0</v>
      </c>
      <c r="R297" s="825"/>
      <c r="S297" s="826">
        <v>1078</v>
      </c>
      <c r="T297" s="827">
        <v>401</v>
      </c>
      <c r="U297" s="827">
        <v>1479</v>
      </c>
    </row>
    <row r="298" spans="1:21" x14ac:dyDescent="0.25">
      <c r="A298" s="822">
        <v>93141</v>
      </c>
      <c r="B298" s="823" t="s">
        <v>2862</v>
      </c>
      <c r="C298" s="824">
        <v>4.5500000000000001E-5</v>
      </c>
      <c r="D298" s="824">
        <v>4.3399999999999998E-5</v>
      </c>
      <c r="E298" s="825">
        <v>16495.23</v>
      </c>
      <c r="F298" s="825">
        <v>19478</v>
      </c>
      <c r="G298" s="825">
        <v>96566</v>
      </c>
      <c r="H298" s="825"/>
      <c r="I298" s="826">
        <v>1814.3125</v>
      </c>
      <c r="J298" s="826">
        <v>84623</v>
      </c>
      <c r="K298" s="826">
        <v>6614</v>
      </c>
      <c r="L298" s="825">
        <v>4186.96</v>
      </c>
      <c r="M298" s="825"/>
      <c r="N298" s="826">
        <v>3384</v>
      </c>
      <c r="O298" s="826">
        <v>31234</v>
      </c>
      <c r="P298" s="826">
        <v>0</v>
      </c>
      <c r="Q298" s="825">
        <v>3505</v>
      </c>
      <c r="R298" s="825"/>
      <c r="S298" s="826">
        <v>25811</v>
      </c>
      <c r="T298" s="827">
        <v>920</v>
      </c>
      <c r="U298" s="827">
        <v>26731</v>
      </c>
    </row>
    <row r="299" spans="1:21" x14ac:dyDescent="0.25">
      <c r="A299" s="822">
        <v>93151</v>
      </c>
      <c r="B299" s="823" t="s">
        <v>2863</v>
      </c>
      <c r="C299" s="824">
        <v>3.6539999999999999E-4</v>
      </c>
      <c r="D299" s="824">
        <v>3.524E-4</v>
      </c>
      <c r="E299" s="825">
        <v>137522.13</v>
      </c>
      <c r="F299" s="825">
        <v>158155</v>
      </c>
      <c r="G299" s="825">
        <v>775501</v>
      </c>
      <c r="H299" s="825"/>
      <c r="I299" s="826">
        <v>14570</v>
      </c>
      <c r="J299" s="826">
        <v>679586</v>
      </c>
      <c r="K299" s="826">
        <v>53115</v>
      </c>
      <c r="L299" s="825">
        <v>5881</v>
      </c>
      <c r="M299" s="825"/>
      <c r="N299" s="826">
        <v>27174</v>
      </c>
      <c r="O299" s="826">
        <v>250832</v>
      </c>
      <c r="P299" s="826">
        <v>0</v>
      </c>
      <c r="Q299" s="825">
        <v>6297</v>
      </c>
      <c r="R299" s="825"/>
      <c r="S299" s="826">
        <v>207280</v>
      </c>
      <c r="T299" s="827">
        <v>-329</v>
      </c>
      <c r="U299" s="827">
        <v>206951</v>
      </c>
    </row>
    <row r="300" spans="1:21" x14ac:dyDescent="0.25">
      <c r="A300" s="822">
        <v>93157</v>
      </c>
      <c r="B300" s="823" t="s">
        <v>2864</v>
      </c>
      <c r="C300" s="824">
        <v>3.8E-6</v>
      </c>
      <c r="D300" s="824">
        <v>2.3999999999999999E-6</v>
      </c>
      <c r="E300" s="825">
        <v>4368.87</v>
      </c>
      <c r="F300" s="825">
        <v>1077</v>
      </c>
      <c r="G300" s="825">
        <v>8065</v>
      </c>
      <c r="H300" s="825"/>
      <c r="I300" s="826">
        <v>151.52500000000001</v>
      </c>
      <c r="J300" s="826">
        <v>7067</v>
      </c>
      <c r="K300" s="826">
        <v>552</v>
      </c>
      <c r="L300" s="825">
        <v>5676</v>
      </c>
      <c r="M300" s="825"/>
      <c r="N300" s="826">
        <v>283</v>
      </c>
      <c r="O300" s="826">
        <v>2609</v>
      </c>
      <c r="P300" s="826">
        <v>0</v>
      </c>
      <c r="Q300" s="825">
        <v>526</v>
      </c>
      <c r="R300" s="825"/>
      <c r="S300" s="826">
        <v>2156</v>
      </c>
      <c r="T300" s="827">
        <v>1938</v>
      </c>
      <c r="U300" s="827">
        <v>4094</v>
      </c>
    </row>
    <row r="301" spans="1:21" x14ac:dyDescent="0.25">
      <c r="A301" s="822">
        <v>93161</v>
      </c>
      <c r="B301" s="823" t="s">
        <v>2865</v>
      </c>
      <c r="C301" s="824">
        <v>6.2500000000000001E-5</v>
      </c>
      <c r="D301" s="824">
        <v>7.4400000000000006E-5</v>
      </c>
      <c r="E301" s="825">
        <v>37835</v>
      </c>
      <c r="F301" s="825">
        <v>33390</v>
      </c>
      <c r="G301" s="825">
        <v>132646</v>
      </c>
      <c r="H301" s="825"/>
      <c r="I301" s="826">
        <v>2492.1875</v>
      </c>
      <c r="J301" s="826">
        <v>116240</v>
      </c>
      <c r="K301" s="826">
        <v>9085.0625</v>
      </c>
      <c r="L301" s="825">
        <v>14075</v>
      </c>
      <c r="M301" s="825"/>
      <c r="N301" s="826">
        <v>4648.0625</v>
      </c>
      <c r="O301" s="826">
        <v>42903.625</v>
      </c>
      <c r="P301" s="826">
        <v>0</v>
      </c>
      <c r="Q301" s="825">
        <v>0</v>
      </c>
      <c r="R301" s="825"/>
      <c r="S301" s="826">
        <v>35454</v>
      </c>
      <c r="T301" s="827">
        <v>6018</v>
      </c>
      <c r="U301" s="827">
        <v>41472</v>
      </c>
    </row>
    <row r="302" spans="1:21" x14ac:dyDescent="0.25">
      <c r="A302" s="822">
        <v>93171</v>
      </c>
      <c r="B302" s="823" t="s">
        <v>2866</v>
      </c>
      <c r="C302" s="824">
        <v>5.8000000000000004E-6</v>
      </c>
      <c r="D302" s="824">
        <v>6.1999999999999999E-6</v>
      </c>
      <c r="E302" s="825">
        <v>3824</v>
      </c>
      <c r="F302" s="825">
        <v>2783</v>
      </c>
      <c r="G302" s="825">
        <v>12310</v>
      </c>
      <c r="H302" s="825"/>
      <c r="I302" s="826">
        <v>231.27500000000001</v>
      </c>
      <c r="J302" s="826">
        <v>10787</v>
      </c>
      <c r="K302" s="826">
        <v>843</v>
      </c>
      <c r="L302" s="825">
        <v>1752</v>
      </c>
      <c r="M302" s="825"/>
      <c r="N302" s="826">
        <v>431</v>
      </c>
      <c r="O302" s="826">
        <v>3981</v>
      </c>
      <c r="P302" s="826">
        <v>0</v>
      </c>
      <c r="Q302" s="825">
        <v>0</v>
      </c>
      <c r="R302" s="825"/>
      <c r="S302" s="826">
        <v>3290</v>
      </c>
      <c r="T302" s="827">
        <v>591</v>
      </c>
      <c r="U302" s="827">
        <v>3881</v>
      </c>
    </row>
    <row r="303" spans="1:21" x14ac:dyDescent="0.25">
      <c r="A303" s="822">
        <v>93181</v>
      </c>
      <c r="B303" s="823" t="s">
        <v>2867</v>
      </c>
      <c r="C303" s="824">
        <v>1.1E-5</v>
      </c>
      <c r="D303" s="824">
        <v>1.0499999999999999E-5</v>
      </c>
      <c r="E303" s="825">
        <v>4374</v>
      </c>
      <c r="F303" s="825">
        <v>4712</v>
      </c>
      <c r="G303" s="825">
        <v>23346</v>
      </c>
      <c r="H303" s="825"/>
      <c r="I303" s="826">
        <v>438.625</v>
      </c>
      <c r="J303" s="826">
        <v>20458</v>
      </c>
      <c r="K303" s="826">
        <v>1599</v>
      </c>
      <c r="L303" s="825">
        <v>743</v>
      </c>
      <c r="M303" s="825"/>
      <c r="N303" s="826">
        <v>818</v>
      </c>
      <c r="O303" s="826">
        <v>7551</v>
      </c>
      <c r="P303" s="826">
        <v>0</v>
      </c>
      <c r="Q303" s="825">
        <v>44</v>
      </c>
      <c r="R303" s="825"/>
      <c r="S303" s="826">
        <v>6240</v>
      </c>
      <c r="T303" s="827">
        <v>321</v>
      </c>
      <c r="U303" s="827">
        <v>6561</v>
      </c>
    </row>
    <row r="304" spans="1:21" x14ac:dyDescent="0.25">
      <c r="A304" s="822">
        <v>93191</v>
      </c>
      <c r="B304" s="823" t="s">
        <v>2868</v>
      </c>
      <c r="C304" s="824">
        <v>3.3000000000000003E-5</v>
      </c>
      <c r="D304" s="824">
        <v>3.65E-5</v>
      </c>
      <c r="E304" s="825">
        <v>16020</v>
      </c>
      <c r="F304" s="825">
        <v>16381</v>
      </c>
      <c r="G304" s="825">
        <v>70037</v>
      </c>
      <c r="H304" s="825"/>
      <c r="I304" s="826">
        <v>1315.875</v>
      </c>
      <c r="J304" s="826">
        <v>61375</v>
      </c>
      <c r="K304" s="826">
        <v>4797</v>
      </c>
      <c r="L304" s="825">
        <v>2648</v>
      </c>
      <c r="M304" s="825"/>
      <c r="N304" s="826">
        <v>2454</v>
      </c>
      <c r="O304" s="826">
        <v>22653</v>
      </c>
      <c r="P304" s="826">
        <v>0</v>
      </c>
      <c r="Q304" s="825">
        <v>1301.46</v>
      </c>
      <c r="R304" s="825"/>
      <c r="S304" s="826">
        <v>18720</v>
      </c>
      <c r="T304" s="827">
        <v>280</v>
      </c>
      <c r="U304" s="827">
        <v>19000</v>
      </c>
    </row>
    <row r="305" spans="1:21" x14ac:dyDescent="0.25">
      <c r="A305" s="822">
        <v>93201</v>
      </c>
      <c r="B305" s="823" t="s">
        <v>2869</v>
      </c>
      <c r="C305" s="824">
        <v>1.5819699999999999E-2</v>
      </c>
      <c r="D305" s="824">
        <v>1.50364E-2</v>
      </c>
      <c r="E305" s="825">
        <v>6525567</v>
      </c>
      <c r="F305" s="825">
        <v>6748246</v>
      </c>
      <c r="G305" s="825">
        <v>33574703</v>
      </c>
      <c r="H305" s="825"/>
      <c r="I305" s="826">
        <v>630811</v>
      </c>
      <c r="J305" s="826">
        <v>29422142</v>
      </c>
      <c r="K305" s="826">
        <v>2299567</v>
      </c>
      <c r="L305" s="825">
        <v>1259115</v>
      </c>
      <c r="M305" s="825"/>
      <c r="N305" s="826">
        <v>1176495</v>
      </c>
      <c r="O305" s="826">
        <v>10859560</v>
      </c>
      <c r="P305" s="826">
        <v>0</v>
      </c>
      <c r="Q305" s="825">
        <v>0</v>
      </c>
      <c r="R305" s="825"/>
      <c r="S305" s="826">
        <v>8974025</v>
      </c>
      <c r="T305" s="827">
        <v>449569</v>
      </c>
      <c r="U305" s="827">
        <v>9423595</v>
      </c>
    </row>
    <row r="306" spans="1:21" x14ac:dyDescent="0.25">
      <c r="A306" s="822">
        <v>93202</v>
      </c>
      <c r="B306" s="823" t="s">
        <v>2870</v>
      </c>
      <c r="C306" s="824">
        <v>0</v>
      </c>
      <c r="D306" s="824">
        <v>2.076E-4</v>
      </c>
      <c r="E306" s="825">
        <v>0</v>
      </c>
      <c r="F306" s="825">
        <v>93170</v>
      </c>
      <c r="G306" s="825">
        <v>0</v>
      </c>
      <c r="H306" s="825"/>
      <c r="I306" s="826">
        <v>0</v>
      </c>
      <c r="J306" s="826">
        <v>0</v>
      </c>
      <c r="K306" s="826">
        <v>0</v>
      </c>
      <c r="L306" s="825">
        <v>0</v>
      </c>
      <c r="M306" s="825"/>
      <c r="N306" s="826">
        <v>0</v>
      </c>
      <c r="O306" s="826">
        <v>0</v>
      </c>
      <c r="P306" s="826">
        <v>0</v>
      </c>
      <c r="Q306" s="825">
        <v>322063</v>
      </c>
      <c r="R306" s="825"/>
      <c r="S306" s="826">
        <v>0</v>
      </c>
      <c r="T306" s="827">
        <v>-109544</v>
      </c>
      <c r="U306" s="827">
        <v>-109544</v>
      </c>
    </row>
    <row r="307" spans="1:21" x14ac:dyDescent="0.25">
      <c r="A307" s="822">
        <v>93204</v>
      </c>
      <c r="B307" s="823" t="s">
        <v>2871</v>
      </c>
      <c r="C307" s="824">
        <v>2.9480000000000001E-4</v>
      </c>
      <c r="D307" s="824">
        <v>3.168E-4</v>
      </c>
      <c r="E307" s="825">
        <v>128269</v>
      </c>
      <c r="F307" s="825">
        <v>142178</v>
      </c>
      <c r="G307" s="825">
        <v>625664</v>
      </c>
      <c r="H307" s="825"/>
      <c r="I307" s="826">
        <v>11755.15</v>
      </c>
      <c r="J307" s="826">
        <v>548281</v>
      </c>
      <c r="K307" s="826">
        <v>42852</v>
      </c>
      <c r="L307" s="825">
        <v>6159</v>
      </c>
      <c r="M307" s="825"/>
      <c r="N307" s="826">
        <v>21924</v>
      </c>
      <c r="O307" s="826">
        <v>202368</v>
      </c>
      <c r="P307" s="826">
        <v>0</v>
      </c>
      <c r="Q307" s="825">
        <v>15903</v>
      </c>
      <c r="R307" s="825"/>
      <c r="S307" s="826">
        <v>167231</v>
      </c>
      <c r="T307" s="827">
        <v>-4266</v>
      </c>
      <c r="U307" s="827">
        <v>162965</v>
      </c>
    </row>
    <row r="308" spans="1:21" x14ac:dyDescent="0.25">
      <c r="A308" s="822">
        <v>93209</v>
      </c>
      <c r="B308" s="823" t="s">
        <v>2872</v>
      </c>
      <c r="C308" s="824">
        <v>4.5113999999999996E-3</v>
      </c>
      <c r="D308" s="824">
        <v>3.4578999999999999E-3</v>
      </c>
      <c r="E308" s="825">
        <v>1625225.44</v>
      </c>
      <c r="F308" s="825">
        <v>1551885</v>
      </c>
      <c r="G308" s="825">
        <v>9574702</v>
      </c>
      <c r="H308" s="825"/>
      <c r="I308" s="826">
        <v>179892</v>
      </c>
      <c r="J308" s="826">
        <v>8390491</v>
      </c>
      <c r="K308" s="826">
        <v>655782</v>
      </c>
      <c r="L308" s="825">
        <v>1306118</v>
      </c>
      <c r="M308" s="825"/>
      <c r="N308" s="826">
        <v>335508</v>
      </c>
      <c r="O308" s="826">
        <v>3096887</v>
      </c>
      <c r="P308" s="826">
        <v>0</v>
      </c>
      <c r="Q308" s="825">
        <v>0</v>
      </c>
      <c r="R308" s="825"/>
      <c r="S308" s="826">
        <v>2559177</v>
      </c>
      <c r="T308" s="827">
        <v>534418</v>
      </c>
      <c r="U308" s="827">
        <v>3093596</v>
      </c>
    </row>
    <row r="309" spans="1:21" x14ac:dyDescent="0.25">
      <c r="A309" s="822">
        <v>93211</v>
      </c>
      <c r="B309" s="823" t="s">
        <v>2873</v>
      </c>
      <c r="C309" s="824">
        <v>2.0456800000000001E-2</v>
      </c>
      <c r="D309" s="824">
        <v>2.1372599999999999E-2</v>
      </c>
      <c r="E309" s="825">
        <v>8152807</v>
      </c>
      <c r="F309" s="825">
        <v>9591895</v>
      </c>
      <c r="G309" s="825">
        <v>43416183</v>
      </c>
      <c r="H309" s="825"/>
      <c r="I309" s="826">
        <v>815714.9</v>
      </c>
      <c r="J309" s="826">
        <v>38046416</v>
      </c>
      <c r="K309" s="826">
        <v>2973621</v>
      </c>
      <c r="L309" s="825">
        <v>0</v>
      </c>
      <c r="M309" s="825"/>
      <c r="N309" s="826">
        <v>1521352</v>
      </c>
      <c r="O309" s="826">
        <v>14042734</v>
      </c>
      <c r="P309" s="826">
        <v>0</v>
      </c>
      <c r="Q309" s="825">
        <v>1405603</v>
      </c>
      <c r="R309" s="825"/>
      <c r="S309" s="826">
        <v>11604508</v>
      </c>
      <c r="T309" s="827">
        <v>-488705</v>
      </c>
      <c r="U309" s="827">
        <v>11115804</v>
      </c>
    </row>
    <row r="310" spans="1:21" x14ac:dyDescent="0.25">
      <c r="A310" s="822">
        <v>93212</v>
      </c>
      <c r="B310" s="823" t="s">
        <v>2874</v>
      </c>
      <c r="C310" s="824">
        <v>2.052E-4</v>
      </c>
      <c r="D310" s="824">
        <v>2.129E-4</v>
      </c>
      <c r="E310" s="825">
        <v>169265.99</v>
      </c>
      <c r="F310" s="825">
        <v>95548</v>
      </c>
      <c r="G310" s="825">
        <v>435503</v>
      </c>
      <c r="H310" s="825"/>
      <c r="I310" s="826">
        <v>8182.35</v>
      </c>
      <c r="J310" s="826">
        <v>381640</v>
      </c>
      <c r="K310" s="826">
        <v>29828</v>
      </c>
      <c r="L310" s="825">
        <v>106395</v>
      </c>
      <c r="M310" s="825"/>
      <c r="N310" s="826">
        <v>15261</v>
      </c>
      <c r="O310" s="826">
        <v>140861</v>
      </c>
      <c r="P310" s="826">
        <v>0</v>
      </c>
      <c r="Q310" s="825">
        <v>0</v>
      </c>
      <c r="R310" s="825"/>
      <c r="S310" s="826">
        <v>116404</v>
      </c>
      <c r="T310" s="827">
        <v>32351</v>
      </c>
      <c r="U310" s="827">
        <v>148755</v>
      </c>
    </row>
    <row r="311" spans="1:21" x14ac:dyDescent="0.25">
      <c r="A311" s="822">
        <v>93219</v>
      </c>
      <c r="B311" s="823" t="s">
        <v>2875</v>
      </c>
      <c r="C311" s="824">
        <v>2.286E-4</v>
      </c>
      <c r="D311" s="824">
        <v>2.41E-4</v>
      </c>
      <c r="E311" s="825">
        <v>96646.59</v>
      </c>
      <c r="F311" s="825">
        <v>108159</v>
      </c>
      <c r="G311" s="825">
        <v>485166</v>
      </c>
      <c r="H311" s="825"/>
      <c r="I311" s="826">
        <v>9115</v>
      </c>
      <c r="J311" s="826">
        <v>425160</v>
      </c>
      <c r="K311" s="826">
        <v>33230</v>
      </c>
      <c r="L311" s="825">
        <v>243</v>
      </c>
      <c r="M311" s="825"/>
      <c r="N311" s="826">
        <v>17001</v>
      </c>
      <c r="O311" s="826">
        <v>156924</v>
      </c>
      <c r="P311" s="826">
        <v>0</v>
      </c>
      <c r="Q311" s="825">
        <v>13406</v>
      </c>
      <c r="R311" s="825"/>
      <c r="S311" s="826">
        <v>129678</v>
      </c>
      <c r="T311" s="827">
        <v>-4190</v>
      </c>
      <c r="U311" s="827">
        <v>125487</v>
      </c>
    </row>
    <row r="312" spans="1:21" x14ac:dyDescent="0.25">
      <c r="A312" s="822">
        <v>93301</v>
      </c>
      <c r="B312" s="823" t="s">
        <v>2876</v>
      </c>
      <c r="C312" s="824">
        <v>2.5330999999999999E-3</v>
      </c>
      <c r="D312" s="824">
        <v>2.4084000000000002E-3</v>
      </c>
      <c r="E312" s="825">
        <v>1037164.56</v>
      </c>
      <c r="F312" s="825">
        <v>1080875</v>
      </c>
      <c r="G312" s="825">
        <v>5376087</v>
      </c>
      <c r="H312" s="825"/>
      <c r="I312" s="826">
        <v>101007</v>
      </c>
      <c r="J312" s="826">
        <v>4711166</v>
      </c>
      <c r="K312" s="826">
        <v>368214</v>
      </c>
      <c r="L312" s="825">
        <v>63934</v>
      </c>
      <c r="M312" s="825"/>
      <c r="N312" s="826">
        <v>188384</v>
      </c>
      <c r="O312" s="826">
        <v>1738867</v>
      </c>
      <c r="P312" s="826">
        <v>0</v>
      </c>
      <c r="Q312" s="825">
        <v>85549</v>
      </c>
      <c r="R312" s="825"/>
      <c r="S312" s="826">
        <v>1436949</v>
      </c>
      <c r="T312" s="827">
        <v>-17290</v>
      </c>
      <c r="U312" s="827">
        <v>1419659</v>
      </c>
    </row>
    <row r="313" spans="1:21" x14ac:dyDescent="0.25">
      <c r="A313" s="822">
        <v>93304</v>
      </c>
      <c r="B313" s="823" t="s">
        <v>2877</v>
      </c>
      <c r="C313" s="824">
        <v>3.4400000000000003E-5</v>
      </c>
      <c r="D313" s="824">
        <v>3.3399999999999999E-5</v>
      </c>
      <c r="E313" s="825">
        <v>16339</v>
      </c>
      <c r="F313" s="825">
        <v>14990</v>
      </c>
      <c r="G313" s="825">
        <v>73008</v>
      </c>
      <c r="H313" s="825"/>
      <c r="I313" s="826">
        <v>1371.7</v>
      </c>
      <c r="J313" s="826">
        <v>63979</v>
      </c>
      <c r="K313" s="826">
        <v>5000</v>
      </c>
      <c r="L313" s="825">
        <v>13604</v>
      </c>
      <c r="M313" s="825"/>
      <c r="N313" s="826">
        <v>2558</v>
      </c>
      <c r="O313" s="826">
        <v>23614</v>
      </c>
      <c r="P313" s="826">
        <v>0</v>
      </c>
      <c r="Q313" s="825">
        <v>0</v>
      </c>
      <c r="R313" s="825"/>
      <c r="S313" s="826">
        <v>19514</v>
      </c>
      <c r="T313" s="827">
        <v>4940</v>
      </c>
      <c r="U313" s="827">
        <v>24454</v>
      </c>
    </row>
    <row r="314" spans="1:21" x14ac:dyDescent="0.25">
      <c r="A314" s="822">
        <v>93305</v>
      </c>
      <c r="B314" s="823" t="s">
        <v>2878</v>
      </c>
      <c r="C314" s="824">
        <v>4.9400000000000001E-5</v>
      </c>
      <c r="D314" s="824">
        <v>5.13E-5</v>
      </c>
      <c r="E314" s="825">
        <v>18489</v>
      </c>
      <c r="F314" s="825">
        <v>23023</v>
      </c>
      <c r="G314" s="825">
        <v>104843</v>
      </c>
      <c r="H314" s="825"/>
      <c r="I314" s="826">
        <v>1969.825</v>
      </c>
      <c r="J314" s="826">
        <v>91876</v>
      </c>
      <c r="K314" s="826">
        <v>7181</v>
      </c>
      <c r="L314" s="825">
        <v>0</v>
      </c>
      <c r="M314" s="825"/>
      <c r="N314" s="826">
        <v>3674</v>
      </c>
      <c r="O314" s="826">
        <v>33911</v>
      </c>
      <c r="P314" s="826">
        <v>0</v>
      </c>
      <c r="Q314" s="825">
        <v>3536</v>
      </c>
      <c r="R314" s="825"/>
      <c r="S314" s="826">
        <v>28023</v>
      </c>
      <c r="T314" s="827">
        <v>-1124</v>
      </c>
      <c r="U314" s="827">
        <v>26899</v>
      </c>
    </row>
    <row r="315" spans="1:21" x14ac:dyDescent="0.25">
      <c r="A315" s="822">
        <v>93309</v>
      </c>
      <c r="B315" s="823" t="s">
        <v>2879</v>
      </c>
      <c r="C315" s="824">
        <v>1.716E-4</v>
      </c>
      <c r="D315" s="824">
        <v>1.5359999999999999E-4</v>
      </c>
      <c r="E315" s="825">
        <v>79731.47</v>
      </c>
      <c r="F315" s="825">
        <v>68935</v>
      </c>
      <c r="G315" s="825">
        <v>364193</v>
      </c>
      <c r="H315" s="825"/>
      <c r="I315" s="826">
        <v>6842.55</v>
      </c>
      <c r="J315" s="826">
        <v>319149</v>
      </c>
      <c r="K315" s="826">
        <v>24944</v>
      </c>
      <c r="L315" s="825">
        <v>23583</v>
      </c>
      <c r="M315" s="825"/>
      <c r="N315" s="826">
        <v>12762</v>
      </c>
      <c r="O315" s="826">
        <v>117796</v>
      </c>
      <c r="P315" s="826">
        <v>0</v>
      </c>
      <c r="Q315" s="825">
        <v>1972</v>
      </c>
      <c r="R315" s="825"/>
      <c r="S315" s="826">
        <v>97343</v>
      </c>
      <c r="T315" s="827">
        <v>5745</v>
      </c>
      <c r="U315" s="827">
        <v>103088</v>
      </c>
    </row>
    <row r="316" spans="1:21" x14ac:dyDescent="0.25">
      <c r="A316" s="822">
        <v>93311</v>
      </c>
      <c r="B316" s="823" t="s">
        <v>2880</v>
      </c>
      <c r="C316" s="824">
        <v>1.1567000000000001E-3</v>
      </c>
      <c r="D316" s="824">
        <v>1.2727000000000001E-3</v>
      </c>
      <c r="E316" s="825">
        <v>452858.55</v>
      </c>
      <c r="F316" s="825">
        <v>571180</v>
      </c>
      <c r="G316" s="825">
        <v>2454905</v>
      </c>
      <c r="H316" s="825"/>
      <c r="I316" s="826">
        <v>46123</v>
      </c>
      <c r="J316" s="826">
        <v>2151279</v>
      </c>
      <c r="K316" s="826">
        <v>168139</v>
      </c>
      <c r="L316" s="825">
        <v>0</v>
      </c>
      <c r="M316" s="825"/>
      <c r="N316" s="826">
        <v>86023</v>
      </c>
      <c r="O316" s="826">
        <v>794026</v>
      </c>
      <c r="P316" s="826">
        <v>0</v>
      </c>
      <c r="Q316" s="825">
        <v>121847</v>
      </c>
      <c r="R316" s="825"/>
      <c r="S316" s="826">
        <v>656160</v>
      </c>
      <c r="T316" s="827">
        <v>-38102</v>
      </c>
      <c r="U316" s="827">
        <v>618058</v>
      </c>
    </row>
    <row r="317" spans="1:21" x14ac:dyDescent="0.25">
      <c r="A317" s="822">
        <v>93317</v>
      </c>
      <c r="B317" s="823" t="s">
        <v>2881</v>
      </c>
      <c r="C317" s="824">
        <v>4.8099999999999997E-5</v>
      </c>
      <c r="D317" s="824">
        <v>4.6600000000000001E-5</v>
      </c>
      <c r="E317" s="825">
        <v>19409</v>
      </c>
      <c r="F317" s="825">
        <v>20914</v>
      </c>
      <c r="G317" s="825">
        <v>102084</v>
      </c>
      <c r="H317" s="825"/>
      <c r="I317" s="826">
        <v>1918</v>
      </c>
      <c r="J317" s="826">
        <v>89458</v>
      </c>
      <c r="K317" s="826">
        <v>6992</v>
      </c>
      <c r="L317" s="825">
        <v>606</v>
      </c>
      <c r="M317" s="825"/>
      <c r="N317" s="826">
        <v>3577</v>
      </c>
      <c r="O317" s="826">
        <v>33019</v>
      </c>
      <c r="P317" s="826">
        <v>0</v>
      </c>
      <c r="Q317" s="825">
        <v>557</v>
      </c>
      <c r="R317" s="825"/>
      <c r="S317" s="826">
        <v>27286</v>
      </c>
      <c r="T317" s="827">
        <v>-115</v>
      </c>
      <c r="U317" s="827">
        <v>27171</v>
      </c>
    </row>
    <row r="318" spans="1:21" x14ac:dyDescent="0.25">
      <c r="A318" s="822">
        <v>93321</v>
      </c>
      <c r="B318" s="823" t="s">
        <v>2882</v>
      </c>
      <c r="C318" s="824">
        <v>7.4706E-3</v>
      </c>
      <c r="D318" s="824">
        <v>7.7070000000000003E-3</v>
      </c>
      <c r="E318" s="825">
        <v>2840093.51</v>
      </c>
      <c r="F318" s="825">
        <v>3458855</v>
      </c>
      <c r="G318" s="825">
        <v>15855116</v>
      </c>
      <c r="H318" s="825"/>
      <c r="I318" s="826">
        <v>297890</v>
      </c>
      <c r="J318" s="826">
        <v>13894136</v>
      </c>
      <c r="K318" s="826">
        <v>1085934</v>
      </c>
      <c r="L318" s="825">
        <v>0</v>
      </c>
      <c r="M318" s="825"/>
      <c r="N318" s="826">
        <v>555581</v>
      </c>
      <c r="O318" s="826">
        <v>5128253</v>
      </c>
      <c r="P318" s="826">
        <v>0</v>
      </c>
      <c r="Q318" s="825">
        <v>746070</v>
      </c>
      <c r="R318" s="825"/>
      <c r="S318" s="826">
        <v>4237840</v>
      </c>
      <c r="T318" s="827">
        <v>-276901</v>
      </c>
      <c r="U318" s="827">
        <v>3960939</v>
      </c>
    </row>
    <row r="319" spans="1:21" x14ac:dyDescent="0.25">
      <c r="A319" s="822">
        <v>93323</v>
      </c>
      <c r="B319" s="823" t="s">
        <v>2883</v>
      </c>
      <c r="C319" s="824">
        <v>1.0200000000000001E-5</v>
      </c>
      <c r="D319" s="824">
        <v>1.4600000000000001E-5</v>
      </c>
      <c r="E319" s="825">
        <v>5325.71</v>
      </c>
      <c r="F319" s="825">
        <v>6552</v>
      </c>
      <c r="G319" s="825">
        <v>21648</v>
      </c>
      <c r="H319" s="825"/>
      <c r="I319" s="826">
        <v>406.72500000000002</v>
      </c>
      <c r="J319" s="826">
        <v>18970</v>
      </c>
      <c r="K319" s="826">
        <v>1483</v>
      </c>
      <c r="L319" s="825">
        <v>2836</v>
      </c>
      <c r="M319" s="825"/>
      <c r="N319" s="826">
        <v>759</v>
      </c>
      <c r="O319" s="826">
        <v>7002</v>
      </c>
      <c r="P319" s="826">
        <v>0</v>
      </c>
      <c r="Q319" s="825">
        <v>1485</v>
      </c>
      <c r="R319" s="825"/>
      <c r="S319" s="826">
        <v>5786</v>
      </c>
      <c r="T319" s="827">
        <v>784</v>
      </c>
      <c r="U319" s="827">
        <v>6570</v>
      </c>
    </row>
    <row r="320" spans="1:21" x14ac:dyDescent="0.25">
      <c r="A320" s="822">
        <v>93331</v>
      </c>
      <c r="B320" s="823" t="s">
        <v>2884</v>
      </c>
      <c r="C320" s="824">
        <v>1.3090000000000001E-4</v>
      </c>
      <c r="D320" s="824">
        <v>1.1909999999999999E-4</v>
      </c>
      <c r="E320" s="825">
        <v>46762.55</v>
      </c>
      <c r="F320" s="825">
        <v>53451</v>
      </c>
      <c r="G320" s="825">
        <v>277814</v>
      </c>
      <c r="H320" s="825"/>
      <c r="I320" s="826">
        <v>5220</v>
      </c>
      <c r="J320" s="826">
        <v>243453</v>
      </c>
      <c r="K320" s="826">
        <v>19028</v>
      </c>
      <c r="L320" s="825">
        <v>4668</v>
      </c>
      <c r="M320" s="825"/>
      <c r="N320" s="826">
        <v>9735</v>
      </c>
      <c r="O320" s="826">
        <v>89857</v>
      </c>
      <c r="P320" s="826">
        <v>0</v>
      </c>
      <c r="Q320" s="825">
        <v>9208</v>
      </c>
      <c r="R320" s="825"/>
      <c r="S320" s="826">
        <v>74256</v>
      </c>
      <c r="T320" s="827">
        <v>-1109</v>
      </c>
      <c r="U320" s="827">
        <v>73147</v>
      </c>
    </row>
    <row r="321" spans="1:21" x14ac:dyDescent="0.25">
      <c r="A321" s="822">
        <v>93333</v>
      </c>
      <c r="B321" s="823" t="s">
        <v>2885</v>
      </c>
      <c r="C321" s="824">
        <v>1.9990000000000001E-4</v>
      </c>
      <c r="D321" s="824">
        <v>2.1479999999999999E-4</v>
      </c>
      <c r="E321" s="825">
        <v>201284.12</v>
      </c>
      <c r="F321" s="825">
        <v>96401</v>
      </c>
      <c r="G321" s="825">
        <v>424255</v>
      </c>
      <c r="H321" s="825"/>
      <c r="I321" s="826">
        <v>7971</v>
      </c>
      <c r="J321" s="826">
        <v>371782</v>
      </c>
      <c r="K321" s="826">
        <v>29058</v>
      </c>
      <c r="L321" s="825">
        <v>178353</v>
      </c>
      <c r="M321" s="825"/>
      <c r="N321" s="826">
        <v>14866</v>
      </c>
      <c r="O321" s="826">
        <v>137223</v>
      </c>
      <c r="P321" s="826">
        <v>0</v>
      </c>
      <c r="Q321" s="825">
        <v>0</v>
      </c>
      <c r="R321" s="825"/>
      <c r="S321" s="826">
        <v>113397</v>
      </c>
      <c r="T321" s="827">
        <v>56479</v>
      </c>
      <c r="U321" s="827">
        <v>169876</v>
      </c>
    </row>
    <row r="322" spans="1:21" x14ac:dyDescent="0.25">
      <c r="A322" s="822">
        <v>93341</v>
      </c>
      <c r="B322" s="823" t="s">
        <v>2886</v>
      </c>
      <c r="C322" s="824">
        <v>2.73E-5</v>
      </c>
      <c r="D322" s="824">
        <v>2.6699999999999998E-5</v>
      </c>
      <c r="E322" s="825">
        <v>12881</v>
      </c>
      <c r="F322" s="825">
        <v>11983</v>
      </c>
      <c r="G322" s="825">
        <v>57940</v>
      </c>
      <c r="H322" s="825"/>
      <c r="I322" s="826">
        <v>1089</v>
      </c>
      <c r="J322" s="826">
        <v>50774</v>
      </c>
      <c r="K322" s="826">
        <v>3968</v>
      </c>
      <c r="L322" s="825">
        <v>2789</v>
      </c>
      <c r="M322" s="825"/>
      <c r="N322" s="826">
        <v>2030</v>
      </c>
      <c r="O322" s="826">
        <v>18740</v>
      </c>
      <c r="P322" s="826">
        <v>0</v>
      </c>
      <c r="Q322" s="825">
        <v>0</v>
      </c>
      <c r="R322" s="825"/>
      <c r="S322" s="826">
        <v>15486</v>
      </c>
      <c r="T322" s="827">
        <v>923</v>
      </c>
      <c r="U322" s="827">
        <v>16410</v>
      </c>
    </row>
    <row r="323" spans="1:21" x14ac:dyDescent="0.25">
      <c r="A323" s="822">
        <v>93351</v>
      </c>
      <c r="B323" s="823" t="s">
        <v>2887</v>
      </c>
      <c r="C323" s="824">
        <v>1.5999999999999999E-5</v>
      </c>
      <c r="D323" s="824">
        <v>5.4999999999999999E-6</v>
      </c>
      <c r="E323" s="825">
        <v>10006.02</v>
      </c>
      <c r="F323" s="825">
        <v>2468</v>
      </c>
      <c r="G323" s="825">
        <v>33957.360000000001</v>
      </c>
      <c r="H323" s="825"/>
      <c r="I323" s="826">
        <v>638</v>
      </c>
      <c r="J323" s="826">
        <v>29757</v>
      </c>
      <c r="K323" s="826">
        <v>2326</v>
      </c>
      <c r="L323" s="825">
        <v>8409</v>
      </c>
      <c r="M323" s="825"/>
      <c r="N323" s="826">
        <v>1190</v>
      </c>
      <c r="O323" s="826">
        <v>10983</v>
      </c>
      <c r="P323" s="826">
        <v>0</v>
      </c>
      <c r="Q323" s="825">
        <v>6601</v>
      </c>
      <c r="R323" s="825"/>
      <c r="S323" s="826">
        <v>9076</v>
      </c>
      <c r="T323" s="827">
        <v>-253</v>
      </c>
      <c r="U323" s="827">
        <v>8823</v>
      </c>
    </row>
    <row r="324" spans="1:21" x14ac:dyDescent="0.25">
      <c r="A324" s="822">
        <v>93401</v>
      </c>
      <c r="B324" s="823" t="s">
        <v>2888</v>
      </c>
      <c r="C324" s="824">
        <v>1.37997E-2</v>
      </c>
      <c r="D324" s="824">
        <v>1.4001899999999999E-2</v>
      </c>
      <c r="E324" s="825">
        <v>5646375</v>
      </c>
      <c r="F324" s="825">
        <v>6283969</v>
      </c>
      <c r="G324" s="825">
        <v>29287586</v>
      </c>
      <c r="H324" s="825"/>
      <c r="I324" s="826">
        <v>550263</v>
      </c>
      <c r="J324" s="826">
        <v>25665262</v>
      </c>
      <c r="K324" s="826">
        <v>2005938</v>
      </c>
      <c r="L324" s="825">
        <v>111475</v>
      </c>
      <c r="M324" s="825"/>
      <c r="N324" s="826">
        <v>1026270</v>
      </c>
      <c r="O324" s="826">
        <v>9472914</v>
      </c>
      <c r="P324" s="826">
        <v>0</v>
      </c>
      <c r="Q324" s="825">
        <v>309143</v>
      </c>
      <c r="R324" s="825"/>
      <c r="S324" s="826">
        <v>7828142</v>
      </c>
      <c r="T324" s="827">
        <v>-83612</v>
      </c>
      <c r="U324" s="827">
        <v>7744530</v>
      </c>
    </row>
    <row r="325" spans="1:21" x14ac:dyDescent="0.25">
      <c r="A325" s="822">
        <v>93402</v>
      </c>
      <c r="B325" s="823" t="s">
        <v>2889</v>
      </c>
      <c r="C325" s="824">
        <v>9.2999999999999997E-5</v>
      </c>
      <c r="D325" s="824">
        <v>9.4400000000000004E-5</v>
      </c>
      <c r="E325" s="825">
        <v>35918</v>
      </c>
      <c r="F325" s="825">
        <v>42366</v>
      </c>
      <c r="G325" s="825">
        <v>197377</v>
      </c>
      <c r="H325" s="825"/>
      <c r="I325" s="826">
        <v>3708.375</v>
      </c>
      <c r="J325" s="826">
        <v>172965</v>
      </c>
      <c r="K325" s="826">
        <v>13519</v>
      </c>
      <c r="L325" s="825">
        <v>9628</v>
      </c>
      <c r="M325" s="825"/>
      <c r="N325" s="826">
        <v>6916</v>
      </c>
      <c r="O325" s="826">
        <v>63841</v>
      </c>
      <c r="P325" s="826">
        <v>0</v>
      </c>
      <c r="Q325" s="825">
        <v>2607</v>
      </c>
      <c r="R325" s="825"/>
      <c r="S325" s="826">
        <v>52756</v>
      </c>
      <c r="T325" s="827">
        <v>3407</v>
      </c>
      <c r="U325" s="827">
        <v>56163</v>
      </c>
    </row>
    <row r="326" spans="1:21" x14ac:dyDescent="0.25">
      <c r="A326" s="822">
        <v>93406</v>
      </c>
      <c r="B326" s="823" t="s">
        <v>2890</v>
      </c>
      <c r="C326" s="824">
        <v>7.1170000000000001E-4</v>
      </c>
      <c r="D326" s="824">
        <v>7.0850000000000004E-4</v>
      </c>
      <c r="E326" s="825">
        <v>298926.93</v>
      </c>
      <c r="F326" s="825">
        <v>317971</v>
      </c>
      <c r="G326" s="825">
        <v>1510466</v>
      </c>
      <c r="H326" s="825"/>
      <c r="I326" s="826">
        <v>28379</v>
      </c>
      <c r="J326" s="826">
        <v>1323650</v>
      </c>
      <c r="K326" s="826">
        <v>103453</v>
      </c>
      <c r="L326" s="825">
        <v>45100</v>
      </c>
      <c r="M326" s="825"/>
      <c r="N326" s="826">
        <v>52928</v>
      </c>
      <c r="O326" s="826">
        <v>488552</v>
      </c>
      <c r="P326" s="826">
        <v>0</v>
      </c>
      <c r="Q326" s="825">
        <v>0</v>
      </c>
      <c r="R326" s="825"/>
      <c r="S326" s="826">
        <v>403725</v>
      </c>
      <c r="T326" s="827">
        <v>19044</v>
      </c>
      <c r="U326" s="827">
        <v>422769</v>
      </c>
    </row>
    <row r="327" spans="1:21" x14ac:dyDescent="0.25">
      <c r="A327" s="822">
        <v>93408</v>
      </c>
      <c r="B327" s="823" t="s">
        <v>2891</v>
      </c>
      <c r="C327" s="824">
        <v>1.8967999999999999E-3</v>
      </c>
      <c r="D327" s="824">
        <v>1.7309000000000001E-3</v>
      </c>
      <c r="E327" s="825">
        <v>0</v>
      </c>
      <c r="F327" s="825">
        <v>776818</v>
      </c>
      <c r="G327" s="825">
        <v>4025645</v>
      </c>
      <c r="H327" s="825"/>
      <c r="I327" s="826">
        <v>75635</v>
      </c>
      <c r="J327" s="826">
        <v>3527748</v>
      </c>
      <c r="K327" s="826">
        <v>275721</v>
      </c>
      <c r="L327" s="825">
        <v>321789</v>
      </c>
      <c r="M327" s="825"/>
      <c r="N327" s="826">
        <v>141063</v>
      </c>
      <c r="O327" s="826">
        <v>1302074</v>
      </c>
      <c r="P327" s="826">
        <v>0</v>
      </c>
      <c r="Q327" s="825">
        <v>529672</v>
      </c>
      <c r="R327" s="825"/>
      <c r="S327" s="826">
        <v>1075996</v>
      </c>
      <c r="T327" s="827">
        <v>10994</v>
      </c>
      <c r="U327" s="827">
        <v>1086990</v>
      </c>
    </row>
    <row r="328" spans="1:21" x14ac:dyDescent="0.25">
      <c r="A328" s="822">
        <v>93411</v>
      </c>
      <c r="B328" s="823" t="s">
        <v>2892</v>
      </c>
      <c r="C328" s="824">
        <v>1.73309E-2</v>
      </c>
      <c r="D328" s="824">
        <v>1.8002500000000001E-2</v>
      </c>
      <c r="E328" s="825">
        <v>7066227</v>
      </c>
      <c r="F328" s="825">
        <v>8079414</v>
      </c>
      <c r="G328" s="825">
        <v>36781976</v>
      </c>
      <c r="H328" s="825"/>
      <c r="I328" s="826">
        <v>691070</v>
      </c>
      <c r="J328" s="826">
        <v>32232736</v>
      </c>
      <c r="K328" s="826">
        <v>2519237</v>
      </c>
      <c r="L328" s="825">
        <v>0</v>
      </c>
      <c r="M328" s="825"/>
      <c r="N328" s="826">
        <v>1288882</v>
      </c>
      <c r="O328" s="826">
        <v>11896935</v>
      </c>
      <c r="P328" s="826">
        <v>0</v>
      </c>
      <c r="Q328" s="825">
        <v>963900</v>
      </c>
      <c r="R328" s="825"/>
      <c r="S328" s="826">
        <v>9831282</v>
      </c>
      <c r="T328" s="827">
        <v>-369146</v>
      </c>
      <c r="U328" s="827">
        <v>9462137</v>
      </c>
    </row>
    <row r="329" spans="1:21" x14ac:dyDescent="0.25">
      <c r="A329" s="822">
        <v>93413</v>
      </c>
      <c r="B329" s="823" t="s">
        <v>2893</v>
      </c>
      <c r="C329" s="824">
        <v>8.0130000000000002E-4</v>
      </c>
      <c r="D329" s="824">
        <v>8.6039999999999999E-4</v>
      </c>
      <c r="E329" s="825">
        <v>344103.62</v>
      </c>
      <c r="F329" s="825">
        <v>386142</v>
      </c>
      <c r="G329" s="825">
        <v>1700627</v>
      </c>
      <c r="H329" s="825"/>
      <c r="I329" s="826">
        <v>31952</v>
      </c>
      <c r="J329" s="826">
        <v>1490291</v>
      </c>
      <c r="K329" s="826">
        <v>116478</v>
      </c>
      <c r="L329" s="825">
        <v>0</v>
      </c>
      <c r="M329" s="825"/>
      <c r="N329" s="826">
        <v>59592</v>
      </c>
      <c r="O329" s="826">
        <v>550059</v>
      </c>
      <c r="P329" s="826">
        <v>0</v>
      </c>
      <c r="Q329" s="825">
        <v>52213</v>
      </c>
      <c r="R329" s="825"/>
      <c r="S329" s="826">
        <v>454553</v>
      </c>
      <c r="T329" s="827">
        <v>-17374</v>
      </c>
      <c r="U329" s="827">
        <v>437179</v>
      </c>
    </row>
    <row r="330" spans="1:21" x14ac:dyDescent="0.25">
      <c r="A330" s="822">
        <v>93417</v>
      </c>
      <c r="B330" s="823" t="s">
        <v>2894</v>
      </c>
      <c r="C330" s="824">
        <v>4.1130000000000002E-4</v>
      </c>
      <c r="D330" s="824">
        <v>4.2470000000000002E-4</v>
      </c>
      <c r="E330" s="825">
        <v>180699</v>
      </c>
      <c r="F330" s="825">
        <v>190603</v>
      </c>
      <c r="G330" s="825">
        <v>872916</v>
      </c>
      <c r="H330" s="825"/>
      <c r="I330" s="826">
        <v>16401</v>
      </c>
      <c r="J330" s="826">
        <v>764953</v>
      </c>
      <c r="K330" s="826">
        <v>59787</v>
      </c>
      <c r="L330" s="825">
        <v>29582</v>
      </c>
      <c r="M330" s="825"/>
      <c r="N330" s="826">
        <v>30588</v>
      </c>
      <c r="O330" s="826">
        <v>282340</v>
      </c>
      <c r="P330" s="826">
        <v>0</v>
      </c>
      <c r="Q330" s="825">
        <v>0</v>
      </c>
      <c r="R330" s="825"/>
      <c r="S330" s="826">
        <v>233318</v>
      </c>
      <c r="T330" s="827">
        <v>14150</v>
      </c>
      <c r="U330" s="827">
        <v>247468</v>
      </c>
    </row>
    <row r="331" spans="1:21" x14ac:dyDescent="0.25">
      <c r="A331" s="822">
        <v>93421</v>
      </c>
      <c r="B331" s="823" t="s">
        <v>2895</v>
      </c>
      <c r="C331" s="824">
        <v>2.1646E-3</v>
      </c>
      <c r="D331" s="824">
        <v>2.2629E-3</v>
      </c>
      <c r="E331" s="825">
        <v>806586</v>
      </c>
      <c r="F331" s="825">
        <v>1015576</v>
      </c>
      <c r="G331" s="825">
        <v>4594006</v>
      </c>
      <c r="H331" s="825"/>
      <c r="I331" s="826">
        <v>86313</v>
      </c>
      <c r="J331" s="826">
        <v>4025814</v>
      </c>
      <c r="K331" s="826">
        <v>314648</v>
      </c>
      <c r="L331" s="825">
        <v>0</v>
      </c>
      <c r="M331" s="825"/>
      <c r="N331" s="826">
        <v>160979</v>
      </c>
      <c r="O331" s="826">
        <v>1485907</v>
      </c>
      <c r="P331" s="826">
        <v>0</v>
      </c>
      <c r="Q331" s="825">
        <v>286111</v>
      </c>
      <c r="R331" s="825"/>
      <c r="S331" s="826">
        <v>1227910</v>
      </c>
      <c r="T331" s="827">
        <v>-103829</v>
      </c>
      <c r="U331" s="827">
        <v>1124081</v>
      </c>
    </row>
    <row r="332" spans="1:21" x14ac:dyDescent="0.25">
      <c r="A332" s="822">
        <v>93431</v>
      </c>
      <c r="B332" s="823" t="s">
        <v>2896</v>
      </c>
      <c r="C332" s="824">
        <v>1.127E-4</v>
      </c>
      <c r="D332" s="824">
        <v>1.3469999999999999E-4</v>
      </c>
      <c r="E332" s="825">
        <v>53588</v>
      </c>
      <c r="F332" s="825">
        <v>60453</v>
      </c>
      <c r="G332" s="825">
        <v>239187</v>
      </c>
      <c r="H332" s="825"/>
      <c r="I332" s="826">
        <v>4494</v>
      </c>
      <c r="J332" s="826">
        <v>209604</v>
      </c>
      <c r="K332" s="826">
        <v>16382</v>
      </c>
      <c r="L332" s="825">
        <v>1676</v>
      </c>
      <c r="M332" s="825"/>
      <c r="N332" s="826">
        <v>8381</v>
      </c>
      <c r="O332" s="826">
        <v>77364</v>
      </c>
      <c r="P332" s="826">
        <v>0</v>
      </c>
      <c r="Q332" s="825">
        <v>7450</v>
      </c>
      <c r="R332" s="825"/>
      <c r="S332" s="826">
        <v>63931</v>
      </c>
      <c r="T332" s="827">
        <v>-1211</v>
      </c>
      <c r="U332" s="827">
        <v>62721</v>
      </c>
    </row>
    <row r="333" spans="1:21" x14ac:dyDescent="0.25">
      <c r="A333" s="822">
        <v>93441</v>
      </c>
      <c r="B333" s="823" t="s">
        <v>2897</v>
      </c>
      <c r="C333" s="824">
        <v>1.4970000000000001E-4</v>
      </c>
      <c r="D333" s="824">
        <v>1.3239999999999999E-4</v>
      </c>
      <c r="E333" s="825">
        <v>71653</v>
      </c>
      <c r="F333" s="825">
        <v>59420</v>
      </c>
      <c r="G333" s="825">
        <v>317714</v>
      </c>
      <c r="H333" s="825"/>
      <c r="I333" s="826">
        <v>5969</v>
      </c>
      <c r="J333" s="826">
        <v>278418</v>
      </c>
      <c r="K333" s="826">
        <v>21761</v>
      </c>
      <c r="L333" s="825">
        <v>34771</v>
      </c>
      <c r="M333" s="825"/>
      <c r="N333" s="826">
        <v>11133</v>
      </c>
      <c r="O333" s="826">
        <v>102763</v>
      </c>
      <c r="P333" s="826">
        <v>0</v>
      </c>
      <c r="Q333" s="825">
        <v>0</v>
      </c>
      <c r="R333" s="825"/>
      <c r="S333" s="826">
        <v>84920</v>
      </c>
      <c r="T333" s="827">
        <v>12654</v>
      </c>
      <c r="U333" s="827">
        <v>97574</v>
      </c>
    </row>
    <row r="334" spans="1:21" x14ac:dyDescent="0.25">
      <c r="A334" s="822">
        <v>93442</v>
      </c>
      <c r="B334" s="823" t="s">
        <v>2898</v>
      </c>
      <c r="C334" s="824">
        <v>1.3540000000000001E-4</v>
      </c>
      <c r="D334" s="824">
        <v>1.7799999999999999E-4</v>
      </c>
      <c r="E334" s="825">
        <v>53217.95</v>
      </c>
      <c r="F334" s="825">
        <v>79885</v>
      </c>
      <c r="G334" s="825">
        <v>287364</v>
      </c>
      <c r="H334" s="825"/>
      <c r="I334" s="826">
        <v>5399</v>
      </c>
      <c r="J334" s="826">
        <v>251823</v>
      </c>
      <c r="K334" s="826">
        <v>19682</v>
      </c>
      <c r="L334" s="825">
        <v>6718</v>
      </c>
      <c r="M334" s="825"/>
      <c r="N334" s="826">
        <v>10070</v>
      </c>
      <c r="O334" s="826">
        <v>92946</v>
      </c>
      <c r="P334" s="826">
        <v>0</v>
      </c>
      <c r="Q334" s="825">
        <v>29938</v>
      </c>
      <c r="R334" s="825"/>
      <c r="S334" s="826">
        <v>76808</v>
      </c>
      <c r="T334" s="827">
        <v>-6567</v>
      </c>
      <c r="U334" s="827">
        <v>70241</v>
      </c>
    </row>
    <row r="335" spans="1:21" x14ac:dyDescent="0.25">
      <c r="A335" s="822">
        <v>93451</v>
      </c>
      <c r="B335" s="823" t="s">
        <v>2899</v>
      </c>
      <c r="C335" s="824">
        <v>7.6899999999999999E-5</v>
      </c>
      <c r="D335" s="824">
        <v>7.6699999999999994E-5</v>
      </c>
      <c r="E335" s="825">
        <v>41952.18</v>
      </c>
      <c r="F335" s="825">
        <v>34422</v>
      </c>
      <c r="G335" s="825">
        <v>163208</v>
      </c>
      <c r="H335" s="825"/>
      <c r="I335" s="826">
        <v>3066</v>
      </c>
      <c r="J335" s="826">
        <v>143022</v>
      </c>
      <c r="K335" s="826">
        <v>11178</v>
      </c>
      <c r="L335" s="825">
        <v>18732</v>
      </c>
      <c r="M335" s="825"/>
      <c r="N335" s="826">
        <v>5719</v>
      </c>
      <c r="O335" s="826">
        <v>52789</v>
      </c>
      <c r="P335" s="826">
        <v>0</v>
      </c>
      <c r="Q335" s="825">
        <v>2999</v>
      </c>
      <c r="R335" s="825"/>
      <c r="S335" s="826">
        <v>43623</v>
      </c>
      <c r="T335" s="827">
        <v>4342</v>
      </c>
      <c r="U335" s="827">
        <v>47965</v>
      </c>
    </row>
    <row r="336" spans="1:21" x14ac:dyDescent="0.25">
      <c r="A336" s="822">
        <v>93461</v>
      </c>
      <c r="B336" s="823" t="s">
        <v>2900</v>
      </c>
      <c r="C336" s="824">
        <v>1.7200000000000001E-5</v>
      </c>
      <c r="D336" s="824">
        <v>1.7200000000000001E-5</v>
      </c>
      <c r="E336" s="825">
        <v>7471</v>
      </c>
      <c r="F336" s="825">
        <v>7719</v>
      </c>
      <c r="G336" s="825">
        <v>36504</v>
      </c>
      <c r="H336" s="825"/>
      <c r="I336" s="826">
        <v>685.85</v>
      </c>
      <c r="J336" s="826">
        <v>31989</v>
      </c>
      <c r="K336" s="826">
        <v>2500</v>
      </c>
      <c r="L336" s="825">
        <v>695</v>
      </c>
      <c r="M336" s="825"/>
      <c r="N336" s="826">
        <v>1279</v>
      </c>
      <c r="O336" s="826">
        <v>11807</v>
      </c>
      <c r="P336" s="826">
        <v>0</v>
      </c>
      <c r="Q336" s="825">
        <v>0</v>
      </c>
      <c r="R336" s="825"/>
      <c r="S336" s="826">
        <v>9757</v>
      </c>
      <c r="T336" s="827">
        <v>226</v>
      </c>
      <c r="U336" s="827">
        <v>9983</v>
      </c>
    </row>
    <row r="337" spans="1:21" x14ac:dyDescent="0.25">
      <c r="A337" s="822">
        <v>93471</v>
      </c>
      <c r="B337" s="823" t="s">
        <v>2901</v>
      </c>
      <c r="C337" s="824">
        <v>1.1800000000000001E-5</v>
      </c>
      <c r="D337" s="824">
        <v>1.34E-5</v>
      </c>
      <c r="E337" s="825">
        <v>7905</v>
      </c>
      <c r="F337" s="825">
        <v>6014</v>
      </c>
      <c r="G337" s="825">
        <v>25044</v>
      </c>
      <c r="H337" s="825"/>
      <c r="I337" s="826">
        <v>471</v>
      </c>
      <c r="J337" s="826">
        <v>21946</v>
      </c>
      <c r="K337" s="826">
        <v>1715</v>
      </c>
      <c r="L337" s="825">
        <v>2187</v>
      </c>
      <c r="M337" s="825"/>
      <c r="N337" s="826">
        <v>878</v>
      </c>
      <c r="O337" s="826">
        <v>8100</v>
      </c>
      <c r="P337" s="826">
        <v>0</v>
      </c>
      <c r="Q337" s="825">
        <v>127</v>
      </c>
      <c r="R337" s="825"/>
      <c r="S337" s="826">
        <v>6694</v>
      </c>
      <c r="T337" s="827">
        <v>563</v>
      </c>
      <c r="U337" s="827">
        <v>7256</v>
      </c>
    </row>
    <row r="338" spans="1:21" x14ac:dyDescent="0.25">
      <c r="A338" s="822">
        <v>93501</v>
      </c>
      <c r="B338" s="823" t="s">
        <v>2902</v>
      </c>
      <c r="C338" s="824">
        <v>3.4039000000000001E-3</v>
      </c>
      <c r="D338" s="824">
        <v>3.4708E-3</v>
      </c>
      <c r="E338" s="825">
        <v>1347598.72</v>
      </c>
      <c r="F338" s="825">
        <v>1557674</v>
      </c>
      <c r="G338" s="825">
        <v>7224216</v>
      </c>
      <c r="H338" s="825"/>
      <c r="I338" s="826">
        <v>135731</v>
      </c>
      <c r="J338" s="826">
        <v>6330716</v>
      </c>
      <c r="K338" s="826">
        <v>494794</v>
      </c>
      <c r="L338" s="825">
        <v>165283</v>
      </c>
      <c r="M338" s="825"/>
      <c r="N338" s="826">
        <v>253145</v>
      </c>
      <c r="O338" s="826">
        <v>2336634</v>
      </c>
      <c r="P338" s="826">
        <v>0</v>
      </c>
      <c r="Q338" s="825">
        <v>77725</v>
      </c>
      <c r="R338" s="825"/>
      <c r="S338" s="826">
        <v>1930927</v>
      </c>
      <c r="T338" s="827">
        <v>52932</v>
      </c>
      <c r="U338" s="827">
        <v>1983859</v>
      </c>
    </row>
    <row r="339" spans="1:21" x14ac:dyDescent="0.25">
      <c r="A339" s="822">
        <v>93511</v>
      </c>
      <c r="B339" s="823" t="s">
        <v>2903</v>
      </c>
      <c r="C339" s="824">
        <v>9.8999999999999994E-5</v>
      </c>
      <c r="D339" s="824">
        <v>1.142E-4</v>
      </c>
      <c r="E339" s="825">
        <v>40720.79</v>
      </c>
      <c r="F339" s="825">
        <v>51252</v>
      </c>
      <c r="G339" s="825">
        <v>210111</v>
      </c>
      <c r="H339" s="825"/>
      <c r="I339" s="826">
        <v>3948</v>
      </c>
      <c r="J339" s="826">
        <v>184124</v>
      </c>
      <c r="K339" s="826">
        <v>14391</v>
      </c>
      <c r="L339" s="825">
        <v>5204</v>
      </c>
      <c r="M339" s="825"/>
      <c r="N339" s="826">
        <v>7363</v>
      </c>
      <c r="O339" s="826">
        <v>67959</v>
      </c>
      <c r="P339" s="826">
        <v>0</v>
      </c>
      <c r="Q339" s="825">
        <v>14645</v>
      </c>
      <c r="R339" s="825"/>
      <c r="S339" s="826">
        <v>56160</v>
      </c>
      <c r="T339" s="827">
        <v>-1792</v>
      </c>
      <c r="U339" s="827">
        <v>54368</v>
      </c>
    </row>
    <row r="340" spans="1:21" x14ac:dyDescent="0.25">
      <c r="A340" s="822">
        <v>93517</v>
      </c>
      <c r="B340" s="823" t="s">
        <v>2904</v>
      </c>
      <c r="C340" s="824">
        <v>6.4999999999999996E-6</v>
      </c>
      <c r="D340" s="824">
        <v>6.6000000000000003E-6</v>
      </c>
      <c r="E340" s="825">
        <v>4035.72</v>
      </c>
      <c r="F340" s="825">
        <v>2962</v>
      </c>
      <c r="G340" s="825">
        <v>13795</v>
      </c>
      <c r="H340" s="825"/>
      <c r="I340" s="826">
        <v>259.1875</v>
      </c>
      <c r="J340" s="826">
        <v>12089</v>
      </c>
      <c r="K340" s="826">
        <v>945</v>
      </c>
      <c r="L340" s="825">
        <v>3198</v>
      </c>
      <c r="M340" s="825"/>
      <c r="N340" s="826">
        <v>483</v>
      </c>
      <c r="O340" s="826">
        <v>4462</v>
      </c>
      <c r="P340" s="826">
        <v>0</v>
      </c>
      <c r="Q340" s="825">
        <v>1011</v>
      </c>
      <c r="R340" s="825"/>
      <c r="S340" s="826">
        <v>3687</v>
      </c>
      <c r="T340" s="827">
        <v>528</v>
      </c>
      <c r="U340" s="827">
        <v>4215</v>
      </c>
    </row>
    <row r="341" spans="1:21" x14ac:dyDescent="0.25">
      <c r="A341" s="822">
        <v>93521</v>
      </c>
      <c r="B341" s="823" t="s">
        <v>2905</v>
      </c>
      <c r="C341" s="824">
        <v>5.6389999999999999E-4</v>
      </c>
      <c r="D341" s="824">
        <v>4.75E-4</v>
      </c>
      <c r="E341" s="825">
        <v>183431</v>
      </c>
      <c r="F341" s="825">
        <v>213177.15</v>
      </c>
      <c r="G341" s="825">
        <v>1196785</v>
      </c>
      <c r="H341" s="825"/>
      <c r="I341" s="826">
        <v>22486</v>
      </c>
      <c r="J341" s="826">
        <v>1048765</v>
      </c>
      <c r="K341" s="826">
        <v>81969</v>
      </c>
      <c r="L341" s="825">
        <v>9662</v>
      </c>
      <c r="M341" s="825"/>
      <c r="N341" s="826">
        <v>41937</v>
      </c>
      <c r="O341" s="826">
        <v>387094</v>
      </c>
      <c r="P341" s="826">
        <v>0</v>
      </c>
      <c r="Q341" s="825">
        <v>10656</v>
      </c>
      <c r="R341" s="825"/>
      <c r="S341" s="826">
        <v>319883</v>
      </c>
      <c r="T341" s="827">
        <v>-2591</v>
      </c>
      <c r="U341" s="827">
        <v>317292</v>
      </c>
    </row>
    <row r="342" spans="1:21" x14ac:dyDescent="0.25">
      <c r="A342" s="822">
        <v>93527</v>
      </c>
      <c r="B342" s="823" t="s">
        <v>2906</v>
      </c>
      <c r="C342" s="824">
        <v>5.4E-6</v>
      </c>
      <c r="D342" s="824">
        <v>5.4E-6</v>
      </c>
      <c r="E342" s="825">
        <v>8301</v>
      </c>
      <c r="F342" s="825">
        <v>2423</v>
      </c>
      <c r="G342" s="825">
        <v>11461</v>
      </c>
      <c r="H342" s="825"/>
      <c r="I342" s="826">
        <v>215.32499999999999</v>
      </c>
      <c r="J342" s="826">
        <v>10043</v>
      </c>
      <c r="K342" s="826">
        <v>785</v>
      </c>
      <c r="L342" s="825">
        <v>11237</v>
      </c>
      <c r="M342" s="825"/>
      <c r="N342" s="826">
        <v>402</v>
      </c>
      <c r="O342" s="826">
        <v>3707</v>
      </c>
      <c r="P342" s="826">
        <v>0</v>
      </c>
      <c r="Q342" s="825">
        <v>0</v>
      </c>
      <c r="R342" s="825"/>
      <c r="S342" s="826">
        <v>3063</v>
      </c>
      <c r="T342" s="827">
        <v>3941</v>
      </c>
      <c r="U342" s="827">
        <v>7005</v>
      </c>
    </row>
    <row r="343" spans="1:21" x14ac:dyDescent="0.25">
      <c r="A343" s="822">
        <v>93531</v>
      </c>
      <c r="B343" s="823" t="s">
        <v>2907</v>
      </c>
      <c r="C343" s="824">
        <v>2.4000000000000001E-5</v>
      </c>
      <c r="D343" s="824">
        <v>2.4700000000000001E-5</v>
      </c>
      <c r="E343" s="825">
        <v>11692.23</v>
      </c>
      <c r="F343" s="825">
        <v>11085</v>
      </c>
      <c r="G343" s="825">
        <v>50936.04</v>
      </c>
      <c r="H343" s="825"/>
      <c r="I343" s="826">
        <v>957</v>
      </c>
      <c r="J343" s="826">
        <v>44636</v>
      </c>
      <c r="K343" s="826">
        <v>3489</v>
      </c>
      <c r="L343" s="825">
        <v>1068</v>
      </c>
      <c r="M343" s="825"/>
      <c r="N343" s="826">
        <v>1785</v>
      </c>
      <c r="O343" s="826">
        <v>16475</v>
      </c>
      <c r="P343" s="826">
        <v>0</v>
      </c>
      <c r="Q343" s="825">
        <v>2182</v>
      </c>
      <c r="R343" s="825"/>
      <c r="S343" s="826">
        <v>13614</v>
      </c>
      <c r="T343" s="827">
        <v>-801</v>
      </c>
      <c r="U343" s="827">
        <v>12814</v>
      </c>
    </row>
    <row r="344" spans="1:21" x14ac:dyDescent="0.25">
      <c r="A344" s="822">
        <v>93537</v>
      </c>
      <c r="B344" s="823" t="s">
        <v>2908</v>
      </c>
      <c r="C344" s="824">
        <v>1.17E-5</v>
      </c>
      <c r="D344" s="824">
        <v>1.13E-5</v>
      </c>
      <c r="E344" s="825">
        <v>3539</v>
      </c>
      <c r="F344" s="825">
        <v>5071</v>
      </c>
      <c r="G344" s="825">
        <v>24831</v>
      </c>
      <c r="H344" s="825"/>
      <c r="I344" s="826">
        <v>467</v>
      </c>
      <c r="J344" s="826">
        <v>21760</v>
      </c>
      <c r="K344" s="826">
        <v>1701</v>
      </c>
      <c r="L344" s="825">
        <v>0</v>
      </c>
      <c r="M344" s="825"/>
      <c r="N344" s="826">
        <v>870</v>
      </c>
      <c r="O344" s="826">
        <v>8032</v>
      </c>
      <c r="P344" s="826">
        <v>0</v>
      </c>
      <c r="Q344" s="825">
        <v>976</v>
      </c>
      <c r="R344" s="825"/>
      <c r="S344" s="826">
        <v>6637</v>
      </c>
      <c r="T344" s="827">
        <v>-276</v>
      </c>
      <c r="U344" s="827">
        <v>6361</v>
      </c>
    </row>
    <row r="345" spans="1:21" x14ac:dyDescent="0.25">
      <c r="A345" s="822">
        <v>93541</v>
      </c>
      <c r="B345" s="823" t="s">
        <v>2909</v>
      </c>
      <c r="C345" s="824">
        <v>1.061E-4</v>
      </c>
      <c r="D345" s="824">
        <v>1.069E-4</v>
      </c>
      <c r="E345" s="825">
        <v>43706</v>
      </c>
      <c r="F345" s="825">
        <v>47976</v>
      </c>
      <c r="G345" s="825">
        <v>225180</v>
      </c>
      <c r="H345" s="825"/>
      <c r="I345" s="826">
        <v>4231</v>
      </c>
      <c r="J345" s="826">
        <v>197329</v>
      </c>
      <c r="K345" s="826">
        <v>15423</v>
      </c>
      <c r="L345" s="825">
        <v>8559</v>
      </c>
      <c r="M345" s="825"/>
      <c r="N345" s="826">
        <v>7891</v>
      </c>
      <c r="O345" s="826">
        <v>72833</v>
      </c>
      <c r="P345" s="826">
        <v>0</v>
      </c>
      <c r="Q345" s="825">
        <v>1155</v>
      </c>
      <c r="R345" s="825"/>
      <c r="S345" s="826">
        <v>60187</v>
      </c>
      <c r="T345" s="827">
        <v>3927</v>
      </c>
      <c r="U345" s="827">
        <v>64114</v>
      </c>
    </row>
    <row r="346" spans="1:21" x14ac:dyDescent="0.25">
      <c r="A346" s="822">
        <v>93601</v>
      </c>
      <c r="B346" s="823" t="s">
        <v>2910</v>
      </c>
      <c r="C346" s="824">
        <v>1.1139899999999999E-2</v>
      </c>
      <c r="D346" s="824">
        <v>1.09906E-2</v>
      </c>
      <c r="E346" s="825">
        <v>4591072.71</v>
      </c>
      <c r="F346" s="825">
        <v>4932515</v>
      </c>
      <c r="G346" s="825">
        <v>23642600</v>
      </c>
      <c r="H346" s="825"/>
      <c r="I346" s="826">
        <v>444204</v>
      </c>
      <c r="J346" s="826">
        <v>20718454</v>
      </c>
      <c r="K346" s="826">
        <v>1619307</v>
      </c>
      <c r="L346" s="825">
        <v>88715</v>
      </c>
      <c r="M346" s="825"/>
      <c r="N346" s="826">
        <v>828463</v>
      </c>
      <c r="O346" s="826">
        <v>7647073</v>
      </c>
      <c r="P346" s="826">
        <v>0</v>
      </c>
      <c r="Q346" s="825">
        <v>158818</v>
      </c>
      <c r="R346" s="825"/>
      <c r="S346" s="826">
        <v>6319320</v>
      </c>
      <c r="T346" s="827">
        <v>-40519</v>
      </c>
      <c r="U346" s="827">
        <v>6278801</v>
      </c>
    </row>
    <row r="347" spans="1:21" x14ac:dyDescent="0.25">
      <c r="A347" s="822">
        <v>93602</v>
      </c>
      <c r="B347" s="823" t="s">
        <v>2911</v>
      </c>
      <c r="C347" s="824">
        <v>1.7200000000000001E-4</v>
      </c>
      <c r="D347" s="824">
        <v>1.873E-4</v>
      </c>
      <c r="E347" s="825">
        <v>65294.78</v>
      </c>
      <c r="F347" s="825">
        <v>84059</v>
      </c>
      <c r="G347" s="825">
        <v>365041.62</v>
      </c>
      <c r="H347" s="825"/>
      <c r="I347" s="826">
        <v>6858.5</v>
      </c>
      <c r="J347" s="826">
        <v>319893</v>
      </c>
      <c r="K347" s="826">
        <v>25002</v>
      </c>
      <c r="L347" s="825">
        <v>1192</v>
      </c>
      <c r="M347" s="825"/>
      <c r="N347" s="826">
        <v>12791</v>
      </c>
      <c r="O347" s="826">
        <v>118071</v>
      </c>
      <c r="P347" s="826">
        <v>0</v>
      </c>
      <c r="Q347" s="825">
        <v>14459</v>
      </c>
      <c r="R347" s="825"/>
      <c r="S347" s="826">
        <v>97570</v>
      </c>
      <c r="T347" s="827">
        <v>-3774</v>
      </c>
      <c r="U347" s="827">
        <v>93797</v>
      </c>
    </row>
    <row r="348" spans="1:21" x14ac:dyDescent="0.25">
      <c r="A348" s="822">
        <v>93609</v>
      </c>
      <c r="B348" s="823" t="s">
        <v>2912</v>
      </c>
      <c r="C348" s="824">
        <v>3.0569E-3</v>
      </c>
      <c r="D348" s="824">
        <v>2.777E-3</v>
      </c>
      <c r="E348" s="825">
        <v>1250738</v>
      </c>
      <c r="F348" s="825">
        <v>1246301</v>
      </c>
      <c r="G348" s="825">
        <v>6487766</v>
      </c>
      <c r="H348" s="825"/>
      <c r="I348" s="826">
        <v>121894</v>
      </c>
      <c r="J348" s="826">
        <v>5685351</v>
      </c>
      <c r="K348" s="826">
        <v>444354</v>
      </c>
      <c r="L348" s="825">
        <v>575194</v>
      </c>
      <c r="M348" s="825"/>
      <c r="N348" s="826">
        <v>227339</v>
      </c>
      <c r="O348" s="826">
        <v>2098433</v>
      </c>
      <c r="P348" s="826">
        <v>0</v>
      </c>
      <c r="Q348" s="825">
        <v>0</v>
      </c>
      <c r="R348" s="825"/>
      <c r="S348" s="826">
        <v>1734085</v>
      </c>
      <c r="T348" s="827">
        <v>238417</v>
      </c>
      <c r="U348" s="827">
        <v>1972502</v>
      </c>
    </row>
    <row r="349" spans="1:21" x14ac:dyDescent="0.25">
      <c r="A349" s="822">
        <v>93610</v>
      </c>
      <c r="B349" s="823" t="s">
        <v>2913</v>
      </c>
      <c r="C349" s="824">
        <v>6.4999999999999996E-6</v>
      </c>
      <c r="D349" s="824">
        <v>1.84E-5</v>
      </c>
      <c r="E349" s="825">
        <v>5057</v>
      </c>
      <c r="F349" s="825">
        <v>8258</v>
      </c>
      <c r="G349" s="825">
        <v>13795</v>
      </c>
      <c r="H349" s="825"/>
      <c r="I349" s="826">
        <v>259.1875</v>
      </c>
      <c r="J349" s="826">
        <v>12089</v>
      </c>
      <c r="K349" s="826">
        <v>945</v>
      </c>
      <c r="L349" s="825">
        <v>3285</v>
      </c>
      <c r="M349" s="825"/>
      <c r="N349" s="826">
        <v>483</v>
      </c>
      <c r="O349" s="826">
        <v>4462</v>
      </c>
      <c r="P349" s="826">
        <v>0</v>
      </c>
      <c r="Q349" s="825">
        <v>4553</v>
      </c>
      <c r="R349" s="825"/>
      <c r="S349" s="826">
        <v>3687</v>
      </c>
      <c r="T349" s="827">
        <v>154</v>
      </c>
      <c r="U349" s="827">
        <v>3842</v>
      </c>
    </row>
    <row r="350" spans="1:21" x14ac:dyDescent="0.25">
      <c r="A350" s="822">
        <v>93611</v>
      </c>
      <c r="B350" s="823" t="s">
        <v>2914</v>
      </c>
      <c r="C350" s="824">
        <v>6.9325000000000003E-3</v>
      </c>
      <c r="D350" s="824">
        <v>6.9034999999999999E-3</v>
      </c>
      <c r="E350" s="825">
        <v>2795516.27</v>
      </c>
      <c r="F350" s="825">
        <v>3098249</v>
      </c>
      <c r="G350" s="825">
        <v>14713087</v>
      </c>
      <c r="H350" s="825"/>
      <c r="I350" s="826">
        <v>276433</v>
      </c>
      <c r="J350" s="826">
        <v>12893355</v>
      </c>
      <c r="K350" s="826">
        <v>1007715</v>
      </c>
      <c r="L350" s="825">
        <v>0</v>
      </c>
      <c r="M350" s="825"/>
      <c r="N350" s="826">
        <v>515563</v>
      </c>
      <c r="O350" s="826">
        <v>4758870</v>
      </c>
      <c r="P350" s="826">
        <v>0</v>
      </c>
      <c r="Q350" s="825">
        <v>266414</v>
      </c>
      <c r="R350" s="825"/>
      <c r="S350" s="826">
        <v>3932592</v>
      </c>
      <c r="T350" s="827">
        <v>-113352</v>
      </c>
      <c r="U350" s="827">
        <v>3819240</v>
      </c>
    </row>
    <row r="351" spans="1:21" x14ac:dyDescent="0.25">
      <c r="A351" s="822">
        <v>93617</v>
      </c>
      <c r="B351" s="823" t="s">
        <v>2915</v>
      </c>
      <c r="C351" s="824">
        <v>9.5000000000000005E-5</v>
      </c>
      <c r="D351" s="824">
        <v>7.9200000000000001E-5</v>
      </c>
      <c r="E351" s="825">
        <v>46064</v>
      </c>
      <c r="F351" s="825">
        <v>35544</v>
      </c>
      <c r="G351" s="825">
        <v>201622</v>
      </c>
      <c r="H351" s="825"/>
      <c r="I351" s="826">
        <v>3788.125</v>
      </c>
      <c r="J351" s="826">
        <v>176685</v>
      </c>
      <c r="K351" s="826">
        <v>13809</v>
      </c>
      <c r="L351" s="825">
        <v>28939</v>
      </c>
      <c r="M351" s="825"/>
      <c r="N351" s="826">
        <v>7065</v>
      </c>
      <c r="O351" s="826">
        <v>65213.51</v>
      </c>
      <c r="P351" s="826">
        <v>0</v>
      </c>
      <c r="Q351" s="825">
        <v>0</v>
      </c>
      <c r="R351" s="825"/>
      <c r="S351" s="826">
        <v>53891</v>
      </c>
      <c r="T351" s="827">
        <v>10007</v>
      </c>
      <c r="U351" s="827">
        <v>63898</v>
      </c>
    </row>
    <row r="352" spans="1:21" x14ac:dyDescent="0.25">
      <c r="A352" s="822">
        <v>93618</v>
      </c>
      <c r="B352" s="823" t="s">
        <v>2916</v>
      </c>
      <c r="C352" s="824">
        <v>1.17E-5</v>
      </c>
      <c r="D352" s="824">
        <v>1.0200000000000001E-5</v>
      </c>
      <c r="E352" s="825">
        <v>22629</v>
      </c>
      <c r="F352" s="825">
        <v>4578</v>
      </c>
      <c r="G352" s="825">
        <v>24831</v>
      </c>
      <c r="H352" s="825"/>
      <c r="I352" s="826">
        <v>467</v>
      </c>
      <c r="J352" s="826">
        <v>21760</v>
      </c>
      <c r="K352" s="826">
        <v>1701</v>
      </c>
      <c r="L352" s="825">
        <v>27424</v>
      </c>
      <c r="M352" s="825"/>
      <c r="N352" s="826">
        <v>870</v>
      </c>
      <c r="O352" s="826">
        <v>8032</v>
      </c>
      <c r="P352" s="826">
        <v>0</v>
      </c>
      <c r="Q352" s="825">
        <v>0</v>
      </c>
      <c r="R352" s="825"/>
      <c r="S352" s="826">
        <v>6637</v>
      </c>
      <c r="T352" s="827">
        <v>8505</v>
      </c>
      <c r="U352" s="827">
        <v>15142</v>
      </c>
    </row>
    <row r="353" spans="1:21" x14ac:dyDescent="0.25">
      <c r="A353" s="822">
        <v>93621</v>
      </c>
      <c r="B353" s="823" t="s">
        <v>2917</v>
      </c>
      <c r="C353" s="824">
        <v>8.5320000000000003E-4</v>
      </c>
      <c r="D353" s="824">
        <v>9.5949999999999996E-4</v>
      </c>
      <c r="E353" s="825">
        <v>330203.31</v>
      </c>
      <c r="F353" s="825">
        <v>430618</v>
      </c>
      <c r="G353" s="825">
        <v>1810776</v>
      </c>
      <c r="H353" s="825"/>
      <c r="I353" s="826">
        <v>34021.35</v>
      </c>
      <c r="J353" s="826">
        <v>1586817</v>
      </c>
      <c r="K353" s="826">
        <v>124022</v>
      </c>
      <c r="L353" s="825">
        <v>0</v>
      </c>
      <c r="M353" s="825"/>
      <c r="N353" s="826">
        <v>63452</v>
      </c>
      <c r="O353" s="826">
        <v>585686</v>
      </c>
      <c r="P353" s="826">
        <v>0</v>
      </c>
      <c r="Q353" s="825">
        <v>118410</v>
      </c>
      <c r="R353" s="825"/>
      <c r="S353" s="826">
        <v>483994</v>
      </c>
      <c r="T353" s="827">
        <v>-38643</v>
      </c>
      <c r="U353" s="827">
        <v>445351</v>
      </c>
    </row>
    <row r="354" spans="1:21" x14ac:dyDescent="0.25">
      <c r="A354" s="822">
        <v>93623</v>
      </c>
      <c r="B354" s="823" t="s">
        <v>2918</v>
      </c>
      <c r="C354" s="824">
        <v>1.2500000000000001E-5</v>
      </c>
      <c r="D354" s="824">
        <v>1.24E-5</v>
      </c>
      <c r="E354" s="825">
        <v>8241</v>
      </c>
      <c r="F354" s="825">
        <v>5565</v>
      </c>
      <c r="G354" s="825">
        <v>26529.1875</v>
      </c>
      <c r="H354" s="825"/>
      <c r="I354" s="826">
        <v>498.4375</v>
      </c>
      <c r="J354" s="826">
        <v>23248</v>
      </c>
      <c r="K354" s="826">
        <v>1817</v>
      </c>
      <c r="L354" s="825">
        <v>4315</v>
      </c>
      <c r="M354" s="825"/>
      <c r="N354" s="826">
        <v>930</v>
      </c>
      <c r="O354" s="826">
        <v>8581</v>
      </c>
      <c r="P354" s="826">
        <v>0</v>
      </c>
      <c r="Q354" s="825">
        <v>2</v>
      </c>
      <c r="R354" s="825"/>
      <c r="S354" s="826">
        <v>7091</v>
      </c>
      <c r="T354" s="827">
        <v>1289</v>
      </c>
      <c r="U354" s="827">
        <v>8380</v>
      </c>
    </row>
    <row r="355" spans="1:21" x14ac:dyDescent="0.25">
      <c r="A355" s="822">
        <v>93631</v>
      </c>
      <c r="B355" s="823" t="s">
        <v>2919</v>
      </c>
      <c r="C355" s="824">
        <v>2.3440000000000001E-4</v>
      </c>
      <c r="D355" s="824">
        <v>2.3680000000000001E-4</v>
      </c>
      <c r="E355" s="825">
        <v>87285</v>
      </c>
      <c r="F355" s="825">
        <v>106274</v>
      </c>
      <c r="G355" s="825">
        <v>497475</v>
      </c>
      <c r="H355" s="825"/>
      <c r="I355" s="826">
        <v>9347</v>
      </c>
      <c r="J355" s="826">
        <v>435947</v>
      </c>
      <c r="K355" s="826">
        <v>34073</v>
      </c>
      <c r="L355" s="825">
        <v>874</v>
      </c>
      <c r="M355" s="825"/>
      <c r="N355" s="826">
        <v>17432</v>
      </c>
      <c r="O355" s="826">
        <v>160906</v>
      </c>
      <c r="P355" s="826">
        <v>0</v>
      </c>
      <c r="Q355" s="825">
        <v>17303</v>
      </c>
      <c r="R355" s="825"/>
      <c r="S355" s="826">
        <v>132968</v>
      </c>
      <c r="T355" s="827">
        <v>-4881</v>
      </c>
      <c r="U355" s="827">
        <v>128086</v>
      </c>
    </row>
    <row r="356" spans="1:21" x14ac:dyDescent="0.25">
      <c r="A356" s="822">
        <v>93641</v>
      </c>
      <c r="B356" s="823" t="s">
        <v>2920</v>
      </c>
      <c r="C356" s="824">
        <v>4.3550000000000001E-4</v>
      </c>
      <c r="D356" s="824">
        <v>4.3100000000000001E-4</v>
      </c>
      <c r="E356" s="825">
        <v>182885.7</v>
      </c>
      <c r="F356" s="825">
        <v>193430</v>
      </c>
      <c r="G356" s="825">
        <v>924277</v>
      </c>
      <c r="H356" s="825"/>
      <c r="I356" s="826">
        <v>17365.5625</v>
      </c>
      <c r="J356" s="826">
        <v>809961</v>
      </c>
      <c r="K356" s="826">
        <v>63305</v>
      </c>
      <c r="L356" s="825">
        <v>21571</v>
      </c>
      <c r="M356" s="825"/>
      <c r="N356" s="826">
        <v>32388</v>
      </c>
      <c r="O356" s="826">
        <v>298952</v>
      </c>
      <c r="P356" s="826">
        <v>0</v>
      </c>
      <c r="Q356" s="825">
        <v>0</v>
      </c>
      <c r="R356" s="825"/>
      <c r="S356" s="826">
        <v>247046</v>
      </c>
      <c r="T356" s="827">
        <v>7537</v>
      </c>
      <c r="U356" s="827">
        <v>254583</v>
      </c>
    </row>
    <row r="357" spans="1:21" x14ac:dyDescent="0.25">
      <c r="A357" s="822">
        <v>93647</v>
      </c>
      <c r="B357" s="823" t="s">
        <v>2921</v>
      </c>
      <c r="C357" s="824">
        <v>6.1E-6</v>
      </c>
      <c r="D357" s="824">
        <v>6.0000000000000002E-6</v>
      </c>
      <c r="E357" s="825">
        <v>7779</v>
      </c>
      <c r="F357" s="825">
        <v>2693</v>
      </c>
      <c r="G357" s="825">
        <v>12946</v>
      </c>
      <c r="H357" s="825"/>
      <c r="I357" s="826">
        <v>243.23750000000001</v>
      </c>
      <c r="J357" s="826">
        <v>11345</v>
      </c>
      <c r="K357" s="826">
        <v>887</v>
      </c>
      <c r="L357" s="825">
        <v>10457</v>
      </c>
      <c r="M357" s="825"/>
      <c r="N357" s="826">
        <v>454</v>
      </c>
      <c r="O357" s="826">
        <v>4187</v>
      </c>
      <c r="P357" s="826">
        <v>0</v>
      </c>
      <c r="Q357" s="825">
        <v>0</v>
      </c>
      <c r="R357" s="825"/>
      <c r="S357" s="826">
        <v>3460</v>
      </c>
      <c r="T357" s="827">
        <v>3397</v>
      </c>
      <c r="U357" s="827">
        <v>6857</v>
      </c>
    </row>
    <row r="358" spans="1:21" x14ac:dyDescent="0.25">
      <c r="A358" s="822">
        <v>93651</v>
      </c>
      <c r="B358" s="823" t="s">
        <v>2922</v>
      </c>
      <c r="C358" s="824">
        <v>4.282E-4</v>
      </c>
      <c r="D358" s="824">
        <v>4.216E-4</v>
      </c>
      <c r="E358" s="825">
        <v>158412.88</v>
      </c>
      <c r="F358" s="825">
        <v>189212</v>
      </c>
      <c r="G358" s="825">
        <v>908784</v>
      </c>
      <c r="H358" s="825"/>
      <c r="I358" s="826">
        <v>17074</v>
      </c>
      <c r="J358" s="826">
        <v>796384</v>
      </c>
      <c r="K358" s="826">
        <v>62244</v>
      </c>
      <c r="L358" s="825">
        <v>9033</v>
      </c>
      <c r="M358" s="825"/>
      <c r="N358" s="826">
        <v>31845</v>
      </c>
      <c r="O358" s="826">
        <v>293941</v>
      </c>
      <c r="P358" s="826">
        <v>0</v>
      </c>
      <c r="Q358" s="825">
        <v>11722</v>
      </c>
      <c r="R358" s="825"/>
      <c r="S358" s="826">
        <v>242905</v>
      </c>
      <c r="T358" s="827">
        <v>-139</v>
      </c>
      <c r="U358" s="827">
        <v>242766</v>
      </c>
    </row>
    <row r="359" spans="1:21" x14ac:dyDescent="0.25">
      <c r="A359" s="822">
        <v>93661</v>
      </c>
      <c r="B359" s="823" t="s">
        <v>2923</v>
      </c>
      <c r="C359" s="824">
        <v>1.3420000000000001E-4</v>
      </c>
      <c r="D359" s="824">
        <v>1.2750000000000001E-4</v>
      </c>
      <c r="E359" s="825">
        <v>60285</v>
      </c>
      <c r="F359" s="825">
        <v>57221</v>
      </c>
      <c r="G359" s="825">
        <v>284817</v>
      </c>
      <c r="H359" s="825"/>
      <c r="I359" s="826">
        <v>5351</v>
      </c>
      <c r="J359" s="826">
        <v>249591</v>
      </c>
      <c r="K359" s="826">
        <v>19507</v>
      </c>
      <c r="L359" s="825">
        <v>12174</v>
      </c>
      <c r="M359" s="825"/>
      <c r="N359" s="826">
        <v>9980</v>
      </c>
      <c r="O359" s="826">
        <v>92123</v>
      </c>
      <c r="P359" s="826">
        <v>0</v>
      </c>
      <c r="Q359" s="825">
        <v>0</v>
      </c>
      <c r="R359" s="825"/>
      <c r="S359" s="826">
        <v>76127</v>
      </c>
      <c r="T359" s="827">
        <v>3955</v>
      </c>
      <c r="U359" s="827">
        <v>80082</v>
      </c>
    </row>
    <row r="360" spans="1:21" x14ac:dyDescent="0.25">
      <c r="A360" s="822">
        <v>93671</v>
      </c>
      <c r="B360" s="823" t="s">
        <v>2924</v>
      </c>
      <c r="C360" s="824">
        <v>3.6900000000000002E-4</v>
      </c>
      <c r="D360" s="824">
        <v>3.5710000000000001E-4</v>
      </c>
      <c r="E360" s="825">
        <v>141320.09</v>
      </c>
      <c r="F360" s="825">
        <v>160264</v>
      </c>
      <c r="G360" s="825">
        <v>783142</v>
      </c>
      <c r="H360" s="825"/>
      <c r="I360" s="826">
        <v>14714</v>
      </c>
      <c r="J360" s="826">
        <v>686282</v>
      </c>
      <c r="K360" s="826">
        <v>53638</v>
      </c>
      <c r="L360" s="825">
        <v>67993</v>
      </c>
      <c r="M360" s="825"/>
      <c r="N360" s="826">
        <v>27442</v>
      </c>
      <c r="O360" s="826">
        <v>253303</v>
      </c>
      <c r="P360" s="826">
        <v>0</v>
      </c>
      <c r="Q360" s="825">
        <v>1836</v>
      </c>
      <c r="R360" s="825"/>
      <c r="S360" s="826">
        <v>209322</v>
      </c>
      <c r="T360" s="827">
        <v>28852</v>
      </c>
      <c r="U360" s="827">
        <v>238174</v>
      </c>
    </row>
    <row r="361" spans="1:21" x14ac:dyDescent="0.25">
      <c r="A361" s="822">
        <v>93677</v>
      </c>
      <c r="B361" s="823" t="s">
        <v>1522</v>
      </c>
      <c r="C361" s="824">
        <v>0</v>
      </c>
      <c r="D361" s="824">
        <v>0</v>
      </c>
      <c r="E361" s="825">
        <v>0</v>
      </c>
      <c r="F361" s="825">
        <v>0</v>
      </c>
      <c r="G361" s="825">
        <v>0</v>
      </c>
      <c r="H361" s="825"/>
      <c r="I361" s="826">
        <v>0</v>
      </c>
      <c r="J361" s="826">
        <v>0</v>
      </c>
      <c r="K361" s="826">
        <v>0</v>
      </c>
      <c r="L361" s="825">
        <v>0</v>
      </c>
      <c r="M361" s="825"/>
      <c r="N361" s="826">
        <v>0</v>
      </c>
      <c r="O361" s="826">
        <v>0</v>
      </c>
      <c r="P361" s="826">
        <v>0</v>
      </c>
      <c r="Q361" s="825">
        <v>1443</v>
      </c>
      <c r="R361" s="825"/>
      <c r="S361" s="826">
        <v>0</v>
      </c>
      <c r="T361" s="827">
        <v>-725</v>
      </c>
      <c r="U361" s="827">
        <v>-725</v>
      </c>
    </row>
    <row r="362" spans="1:21" x14ac:dyDescent="0.25">
      <c r="A362" s="822">
        <v>93681</v>
      </c>
      <c r="B362" s="823" t="s">
        <v>2925</v>
      </c>
      <c r="C362" s="824">
        <v>1.1010000000000001E-4</v>
      </c>
      <c r="D362" s="824">
        <v>1.2769999999999999E-4</v>
      </c>
      <c r="E362" s="825">
        <v>44347.75</v>
      </c>
      <c r="F362" s="825">
        <v>57311</v>
      </c>
      <c r="G362" s="825">
        <v>233669</v>
      </c>
      <c r="H362" s="825"/>
      <c r="I362" s="826">
        <v>4390</v>
      </c>
      <c r="J362" s="826">
        <v>204769</v>
      </c>
      <c r="K362" s="826">
        <v>16004</v>
      </c>
      <c r="L362" s="825">
        <v>409</v>
      </c>
      <c r="M362" s="825"/>
      <c r="N362" s="826">
        <v>8188</v>
      </c>
      <c r="O362" s="826">
        <v>75579</v>
      </c>
      <c r="P362" s="826">
        <v>0</v>
      </c>
      <c r="Q362" s="825">
        <v>17487</v>
      </c>
      <c r="R362" s="825"/>
      <c r="S362" s="826">
        <v>62456</v>
      </c>
      <c r="T362" s="827">
        <v>-6141</v>
      </c>
      <c r="U362" s="827">
        <v>56315</v>
      </c>
    </row>
    <row r="363" spans="1:21" x14ac:dyDescent="0.25">
      <c r="A363" s="822">
        <v>93691</v>
      </c>
      <c r="B363" s="823" t="s">
        <v>2926</v>
      </c>
      <c r="C363" s="824">
        <v>1.1251E-3</v>
      </c>
      <c r="D363" s="824">
        <v>1.1314999999999999E-3</v>
      </c>
      <c r="E363" s="825">
        <v>407119.95</v>
      </c>
      <c r="F363" s="825">
        <v>507810</v>
      </c>
      <c r="G363" s="825">
        <v>2387839</v>
      </c>
      <c r="H363" s="825"/>
      <c r="I363" s="826">
        <v>44863</v>
      </c>
      <c r="J363" s="826">
        <v>2092508</v>
      </c>
      <c r="K363" s="826">
        <v>163546</v>
      </c>
      <c r="L363" s="825">
        <v>0</v>
      </c>
      <c r="M363" s="825"/>
      <c r="N363" s="826">
        <v>83673</v>
      </c>
      <c r="O363" s="826">
        <v>772334</v>
      </c>
      <c r="P363" s="826">
        <v>0</v>
      </c>
      <c r="Q363" s="825">
        <v>90621</v>
      </c>
      <c r="R363" s="825"/>
      <c r="S363" s="826">
        <v>638234</v>
      </c>
      <c r="T363" s="827">
        <v>-28965</v>
      </c>
      <c r="U363" s="827">
        <v>609269</v>
      </c>
    </row>
    <row r="364" spans="1:21" x14ac:dyDescent="0.25">
      <c r="A364" s="822">
        <v>93701</v>
      </c>
      <c r="B364" s="823" t="s">
        <v>2927</v>
      </c>
      <c r="C364" s="824">
        <v>4.6200000000000001E-4</v>
      </c>
      <c r="D364" s="824">
        <v>4.7169999999999997E-4</v>
      </c>
      <c r="E364" s="825">
        <v>182681.63</v>
      </c>
      <c r="F364" s="825">
        <v>211696</v>
      </c>
      <c r="G364" s="825">
        <v>980518.77</v>
      </c>
      <c r="H364" s="825"/>
      <c r="I364" s="826">
        <v>18422.25</v>
      </c>
      <c r="J364" s="826">
        <v>859247</v>
      </c>
      <c r="K364" s="826">
        <v>67157</v>
      </c>
      <c r="L364" s="825">
        <v>13714</v>
      </c>
      <c r="M364" s="825"/>
      <c r="N364" s="826">
        <v>34358</v>
      </c>
      <c r="O364" s="826">
        <v>317144</v>
      </c>
      <c r="P364" s="826">
        <v>0</v>
      </c>
      <c r="Q364" s="825">
        <v>11063</v>
      </c>
      <c r="R364" s="825"/>
      <c r="S364" s="826">
        <v>262078</v>
      </c>
      <c r="T364" s="827">
        <v>2925</v>
      </c>
      <c r="U364" s="827">
        <v>265003</v>
      </c>
    </row>
    <row r="365" spans="1:21" x14ac:dyDescent="0.25">
      <c r="A365" s="822">
        <v>93704</v>
      </c>
      <c r="B365" s="823" t="s">
        <v>2928</v>
      </c>
      <c r="C365" s="824">
        <v>3.3000000000000002E-6</v>
      </c>
      <c r="D365" s="824">
        <v>3.3000000000000002E-6</v>
      </c>
      <c r="E365" s="825">
        <v>1805</v>
      </c>
      <c r="F365" s="825">
        <v>1481</v>
      </c>
      <c r="G365" s="825">
        <v>7004</v>
      </c>
      <c r="H365" s="825"/>
      <c r="I365" s="826">
        <v>131.58750000000001</v>
      </c>
      <c r="J365" s="826">
        <v>6137</v>
      </c>
      <c r="K365" s="826">
        <v>480</v>
      </c>
      <c r="L365" s="825">
        <v>430</v>
      </c>
      <c r="M365" s="825"/>
      <c r="N365" s="826">
        <v>245</v>
      </c>
      <c r="O365" s="826">
        <v>2265</v>
      </c>
      <c r="P365" s="826">
        <v>0</v>
      </c>
      <c r="Q365" s="825">
        <v>97.51</v>
      </c>
      <c r="R365" s="825"/>
      <c r="S365" s="826">
        <v>1872</v>
      </c>
      <c r="T365" s="827">
        <v>69</v>
      </c>
      <c r="U365" s="827">
        <v>1941</v>
      </c>
    </row>
    <row r="366" spans="1:21" x14ac:dyDescent="0.25">
      <c r="A366" s="822">
        <v>93801</v>
      </c>
      <c r="B366" s="823" t="s">
        <v>2929</v>
      </c>
      <c r="C366" s="824">
        <v>5.4180000000000005E-4</v>
      </c>
      <c r="D366" s="824">
        <v>4.4959999999999998E-4</v>
      </c>
      <c r="E366" s="825">
        <v>326497.91999999998</v>
      </c>
      <c r="F366" s="825">
        <v>201778</v>
      </c>
      <c r="G366" s="825">
        <v>1149881</v>
      </c>
      <c r="H366" s="825"/>
      <c r="I366" s="826">
        <v>21604</v>
      </c>
      <c r="J366" s="826">
        <v>1007662</v>
      </c>
      <c r="K366" s="826">
        <v>78757</v>
      </c>
      <c r="L366" s="825">
        <v>156479</v>
      </c>
      <c r="M366" s="825"/>
      <c r="N366" s="826">
        <v>40293</v>
      </c>
      <c r="O366" s="826">
        <v>371923</v>
      </c>
      <c r="P366" s="826">
        <v>0</v>
      </c>
      <c r="Q366" s="825">
        <v>2943</v>
      </c>
      <c r="R366" s="825"/>
      <c r="S366" s="826">
        <v>307346</v>
      </c>
      <c r="T366" s="827">
        <v>41370</v>
      </c>
      <c r="U366" s="827">
        <v>348716</v>
      </c>
    </row>
    <row r="367" spans="1:21" x14ac:dyDescent="0.25">
      <c r="A367" s="822">
        <v>93803</v>
      </c>
      <c r="B367" s="823" t="s">
        <v>2930</v>
      </c>
      <c r="C367" s="824">
        <v>1.4469999999999999E-4</v>
      </c>
      <c r="D367" s="824">
        <v>1.582E-4</v>
      </c>
      <c r="E367" s="825">
        <v>49766</v>
      </c>
      <c r="F367" s="825">
        <v>70999</v>
      </c>
      <c r="G367" s="825">
        <v>307102</v>
      </c>
      <c r="H367" s="825"/>
      <c r="I367" s="826">
        <v>5770</v>
      </c>
      <c r="J367" s="826">
        <v>269119</v>
      </c>
      <c r="K367" s="826">
        <v>21034</v>
      </c>
      <c r="L367" s="825">
        <v>0</v>
      </c>
      <c r="M367" s="825"/>
      <c r="N367" s="826">
        <v>10761</v>
      </c>
      <c r="O367" s="826">
        <v>99330</v>
      </c>
      <c r="P367" s="826">
        <v>0</v>
      </c>
      <c r="Q367" s="825">
        <v>34507</v>
      </c>
      <c r="R367" s="825"/>
      <c r="S367" s="826">
        <v>82084</v>
      </c>
      <c r="T367" s="827">
        <v>-12391</v>
      </c>
      <c r="U367" s="827">
        <v>69693</v>
      </c>
    </row>
    <row r="368" spans="1:21" x14ac:dyDescent="0.25">
      <c r="A368" s="822">
        <v>93806</v>
      </c>
      <c r="B368" s="823" t="s">
        <v>2931</v>
      </c>
      <c r="C368" s="824">
        <v>7.3700000000000002E-5</v>
      </c>
      <c r="D368" s="824">
        <v>7.7899999999999996E-5</v>
      </c>
      <c r="E368" s="825">
        <v>32242.28</v>
      </c>
      <c r="F368" s="825">
        <v>34961</v>
      </c>
      <c r="G368" s="825">
        <v>156416</v>
      </c>
      <c r="H368" s="825"/>
      <c r="I368" s="826">
        <v>2939</v>
      </c>
      <c r="J368" s="826">
        <v>137070</v>
      </c>
      <c r="K368" s="826">
        <v>10713</v>
      </c>
      <c r="L368" s="825">
        <v>1793</v>
      </c>
      <c r="M368" s="825"/>
      <c r="N368" s="826">
        <v>5481</v>
      </c>
      <c r="O368" s="826">
        <v>50592</v>
      </c>
      <c r="P368" s="826">
        <v>0</v>
      </c>
      <c r="Q368" s="825">
        <v>19837</v>
      </c>
      <c r="R368" s="825"/>
      <c r="S368" s="826">
        <v>41808</v>
      </c>
      <c r="T368" s="827">
        <v>-9153</v>
      </c>
      <c r="U368" s="827">
        <v>32655</v>
      </c>
    </row>
    <row r="369" spans="1:21" x14ac:dyDescent="0.25">
      <c r="A369" s="822">
        <v>93821</v>
      </c>
      <c r="B369" s="823" t="s">
        <v>2932</v>
      </c>
      <c r="C369" s="824">
        <v>5.7200000000000001E-5</v>
      </c>
      <c r="D369" s="824">
        <v>5.2899999999999998E-5</v>
      </c>
      <c r="E369" s="825">
        <v>45354.71</v>
      </c>
      <c r="F369" s="825">
        <v>23741</v>
      </c>
      <c r="G369" s="825">
        <v>121398</v>
      </c>
      <c r="H369" s="825"/>
      <c r="I369" s="826">
        <v>2280.85</v>
      </c>
      <c r="J369" s="826">
        <v>106383</v>
      </c>
      <c r="K369" s="826">
        <v>8315</v>
      </c>
      <c r="L369" s="825">
        <v>26142</v>
      </c>
      <c r="M369" s="825"/>
      <c r="N369" s="826">
        <v>4254</v>
      </c>
      <c r="O369" s="826">
        <v>39265</v>
      </c>
      <c r="P369" s="826">
        <v>0</v>
      </c>
      <c r="Q369" s="825">
        <v>0</v>
      </c>
      <c r="R369" s="825"/>
      <c r="S369" s="826">
        <v>32448</v>
      </c>
      <c r="T369" s="827">
        <v>7718</v>
      </c>
      <c r="U369" s="827">
        <v>40166</v>
      </c>
    </row>
    <row r="370" spans="1:21" x14ac:dyDescent="0.25">
      <c r="A370" s="822">
        <v>93901</v>
      </c>
      <c r="B370" s="823" t="s">
        <v>2933</v>
      </c>
      <c r="C370" s="824">
        <v>1.8059E-3</v>
      </c>
      <c r="D370" s="824">
        <v>1.7983999999999999E-3</v>
      </c>
      <c r="E370" s="825">
        <v>780735.88</v>
      </c>
      <c r="F370" s="825">
        <v>807111</v>
      </c>
      <c r="G370" s="825">
        <v>3832725</v>
      </c>
      <c r="H370" s="825"/>
      <c r="I370" s="826">
        <v>72010</v>
      </c>
      <c r="J370" s="826">
        <v>3358689</v>
      </c>
      <c r="K370" s="826">
        <v>262507</v>
      </c>
      <c r="L370" s="825">
        <v>66837</v>
      </c>
      <c r="M370" s="825"/>
      <c r="N370" s="826">
        <v>134303</v>
      </c>
      <c r="O370" s="826">
        <v>1239675</v>
      </c>
      <c r="P370" s="826">
        <v>0</v>
      </c>
      <c r="Q370" s="825">
        <v>0</v>
      </c>
      <c r="R370" s="825"/>
      <c r="S370" s="826">
        <v>1024431</v>
      </c>
      <c r="T370" s="827">
        <v>21679</v>
      </c>
      <c r="U370" s="827">
        <v>1046110</v>
      </c>
    </row>
    <row r="371" spans="1:21" x14ac:dyDescent="0.25">
      <c r="A371" s="822">
        <v>93904</v>
      </c>
      <c r="B371" s="823" t="s">
        <v>2934</v>
      </c>
      <c r="C371" s="824">
        <v>2.4700000000000001E-5</v>
      </c>
      <c r="D371" s="824">
        <v>2.5700000000000001E-5</v>
      </c>
      <c r="E371" s="825">
        <v>12993.06</v>
      </c>
      <c r="F371" s="825">
        <v>11534</v>
      </c>
      <c r="G371" s="825">
        <v>52422</v>
      </c>
      <c r="H371" s="825"/>
      <c r="I371" s="826">
        <v>984.91250000000002</v>
      </c>
      <c r="J371" s="826">
        <v>45938</v>
      </c>
      <c r="K371" s="826">
        <v>3590</v>
      </c>
      <c r="L371" s="825">
        <v>4911</v>
      </c>
      <c r="M371" s="825"/>
      <c r="N371" s="826">
        <v>1837</v>
      </c>
      <c r="O371" s="826">
        <v>16956</v>
      </c>
      <c r="P371" s="826">
        <v>0</v>
      </c>
      <c r="Q371" s="825">
        <v>56</v>
      </c>
      <c r="R371" s="825"/>
      <c r="S371" s="826">
        <v>14012</v>
      </c>
      <c r="T371" s="827">
        <v>1550</v>
      </c>
      <c r="U371" s="827">
        <v>15562</v>
      </c>
    </row>
    <row r="372" spans="1:21" x14ac:dyDescent="0.25">
      <c r="A372" s="822">
        <v>93906</v>
      </c>
      <c r="B372" s="823" t="s">
        <v>2935</v>
      </c>
      <c r="C372" s="824">
        <v>3.4513E-3</v>
      </c>
      <c r="D372" s="824">
        <v>3.4020000000000001E-3</v>
      </c>
      <c r="E372" s="825">
        <v>1324474.51</v>
      </c>
      <c r="F372" s="825">
        <v>1526797</v>
      </c>
      <c r="G372" s="825">
        <v>7324815</v>
      </c>
      <c r="H372" s="825"/>
      <c r="I372" s="826">
        <v>137621</v>
      </c>
      <c r="J372" s="826">
        <v>6418873</v>
      </c>
      <c r="K372" s="826">
        <v>501684</v>
      </c>
      <c r="L372" s="825">
        <v>30117</v>
      </c>
      <c r="M372" s="825"/>
      <c r="N372" s="826">
        <v>256670</v>
      </c>
      <c r="O372" s="826">
        <v>2369172</v>
      </c>
      <c r="P372" s="826">
        <v>0</v>
      </c>
      <c r="Q372" s="825">
        <v>185682</v>
      </c>
      <c r="R372" s="825"/>
      <c r="S372" s="826">
        <v>1957815</v>
      </c>
      <c r="T372" s="827">
        <v>-46065</v>
      </c>
      <c r="U372" s="827">
        <v>1911751</v>
      </c>
    </row>
    <row r="373" spans="1:21" x14ac:dyDescent="0.25">
      <c r="A373" s="822">
        <v>93908</v>
      </c>
      <c r="B373" s="823" t="s">
        <v>2936</v>
      </c>
      <c r="C373" s="824">
        <v>5.0239999999999996E-4</v>
      </c>
      <c r="D373" s="824">
        <v>5.1309999999999995E-4</v>
      </c>
      <c r="E373" s="825">
        <v>209823</v>
      </c>
      <c r="F373" s="825">
        <v>230276</v>
      </c>
      <c r="G373" s="825">
        <v>1066261</v>
      </c>
      <c r="H373" s="825"/>
      <c r="I373" s="826">
        <v>20033</v>
      </c>
      <c r="J373" s="826">
        <v>934385</v>
      </c>
      <c r="K373" s="826">
        <v>73029</v>
      </c>
      <c r="L373" s="825">
        <v>8428</v>
      </c>
      <c r="M373" s="825"/>
      <c r="N373" s="826">
        <v>37363</v>
      </c>
      <c r="O373" s="826">
        <v>344876</v>
      </c>
      <c r="P373" s="826">
        <v>0</v>
      </c>
      <c r="Q373" s="825">
        <v>25053</v>
      </c>
      <c r="R373" s="825"/>
      <c r="S373" s="826">
        <v>284996</v>
      </c>
      <c r="T373" s="827">
        <v>-4339</v>
      </c>
      <c r="U373" s="827">
        <v>280657</v>
      </c>
    </row>
    <row r="374" spans="1:21" x14ac:dyDescent="0.25">
      <c r="A374" s="822">
        <v>93910</v>
      </c>
      <c r="B374" s="823" t="s">
        <v>2937</v>
      </c>
      <c r="C374" s="824">
        <v>2.9129999999999998E-4</v>
      </c>
      <c r="D374" s="824">
        <v>2.8830000000000001E-4</v>
      </c>
      <c r="E374" s="825">
        <v>105004</v>
      </c>
      <c r="F374" s="825">
        <v>129387</v>
      </c>
      <c r="G374" s="825">
        <v>618236</v>
      </c>
      <c r="H374" s="825"/>
      <c r="I374" s="826">
        <v>11616</v>
      </c>
      <c r="J374" s="826">
        <v>541772</v>
      </c>
      <c r="K374" s="826">
        <v>42344</v>
      </c>
      <c r="L374" s="825">
        <v>0</v>
      </c>
      <c r="M374" s="825"/>
      <c r="N374" s="826">
        <v>21664</v>
      </c>
      <c r="O374" s="826">
        <v>199965</v>
      </c>
      <c r="P374" s="826">
        <v>0</v>
      </c>
      <c r="Q374" s="825">
        <v>27549</v>
      </c>
      <c r="R374" s="825"/>
      <c r="S374" s="826">
        <v>165245</v>
      </c>
      <c r="T374" s="827">
        <v>-10320</v>
      </c>
      <c r="U374" s="827">
        <v>154925</v>
      </c>
    </row>
    <row r="375" spans="1:21" x14ac:dyDescent="0.25">
      <c r="A375" s="822">
        <v>93911</v>
      </c>
      <c r="B375" s="823" t="s">
        <v>2938</v>
      </c>
      <c r="C375" s="824">
        <v>6.9890000000000002E-4</v>
      </c>
      <c r="D375" s="824">
        <v>7.1869999999999996E-4</v>
      </c>
      <c r="E375" s="825">
        <v>267489</v>
      </c>
      <c r="F375" s="825">
        <v>322548</v>
      </c>
      <c r="G375" s="825">
        <v>1483300</v>
      </c>
      <c r="H375" s="825"/>
      <c r="I375" s="826">
        <v>27869</v>
      </c>
      <c r="J375" s="826">
        <v>1299844</v>
      </c>
      <c r="K375" s="826">
        <v>101593</v>
      </c>
      <c r="L375" s="825">
        <v>21802</v>
      </c>
      <c r="M375" s="825"/>
      <c r="N375" s="826">
        <v>51976</v>
      </c>
      <c r="O375" s="826">
        <v>479765</v>
      </c>
      <c r="P375" s="826">
        <v>0</v>
      </c>
      <c r="Q375" s="825">
        <v>26554</v>
      </c>
      <c r="R375" s="825"/>
      <c r="S375" s="826">
        <v>396464</v>
      </c>
      <c r="T375" s="827">
        <v>1748</v>
      </c>
      <c r="U375" s="827">
        <v>398212</v>
      </c>
    </row>
    <row r="376" spans="1:21" x14ac:dyDescent="0.25">
      <c r="A376" s="822">
        <v>93913</v>
      </c>
      <c r="B376" s="823" t="s">
        <v>2939</v>
      </c>
      <c r="C376" s="824">
        <v>6.2600000000000004E-5</v>
      </c>
      <c r="D376" s="824">
        <v>5.5699999999999999E-5</v>
      </c>
      <c r="E376" s="825">
        <v>25969.759999999998</v>
      </c>
      <c r="F376" s="825">
        <v>24998</v>
      </c>
      <c r="G376" s="825">
        <v>132858</v>
      </c>
      <c r="H376" s="825"/>
      <c r="I376" s="826">
        <v>2496</v>
      </c>
      <c r="J376" s="826">
        <v>116426</v>
      </c>
      <c r="K376" s="826">
        <v>9100</v>
      </c>
      <c r="L376" s="825">
        <v>3917</v>
      </c>
      <c r="M376" s="825"/>
      <c r="N376" s="826">
        <v>4655</v>
      </c>
      <c r="O376" s="826">
        <v>42972</v>
      </c>
      <c r="P376" s="826">
        <v>0</v>
      </c>
      <c r="Q376" s="825">
        <v>1335</v>
      </c>
      <c r="R376" s="825"/>
      <c r="S376" s="826">
        <v>35511</v>
      </c>
      <c r="T376" s="827">
        <v>530</v>
      </c>
      <c r="U376" s="827">
        <v>36041</v>
      </c>
    </row>
    <row r="377" spans="1:21" x14ac:dyDescent="0.25">
      <c r="A377" s="822">
        <v>93914</v>
      </c>
      <c r="B377" s="823" t="s">
        <v>2940</v>
      </c>
      <c r="C377" s="824">
        <v>9.0999999999999993E-6</v>
      </c>
      <c r="D377" s="824">
        <v>1.0000000000000001E-5</v>
      </c>
      <c r="E377" s="825">
        <v>5837.72</v>
      </c>
      <c r="F377" s="825">
        <v>4488</v>
      </c>
      <c r="G377" s="825">
        <v>19313</v>
      </c>
      <c r="H377" s="825"/>
      <c r="I377" s="826">
        <v>363</v>
      </c>
      <c r="J377" s="826">
        <v>16925</v>
      </c>
      <c r="K377" s="826">
        <v>1323</v>
      </c>
      <c r="L377" s="825">
        <v>3108</v>
      </c>
      <c r="M377" s="825"/>
      <c r="N377" s="826">
        <v>677</v>
      </c>
      <c r="O377" s="826">
        <v>6247</v>
      </c>
      <c r="P377" s="826">
        <v>0</v>
      </c>
      <c r="Q377" s="825">
        <v>0</v>
      </c>
      <c r="R377" s="825"/>
      <c r="S377" s="826">
        <v>5162</v>
      </c>
      <c r="T377" s="827">
        <v>1124</v>
      </c>
      <c r="U377" s="827">
        <v>6287</v>
      </c>
    </row>
    <row r="378" spans="1:21" x14ac:dyDescent="0.25">
      <c r="A378" s="822">
        <v>93921</v>
      </c>
      <c r="B378" s="823" t="s">
        <v>2941</v>
      </c>
      <c r="C378" s="824">
        <v>2.7139999999999998E-4</v>
      </c>
      <c r="D378" s="824">
        <v>2.8130000000000001E-4</v>
      </c>
      <c r="E378" s="825">
        <v>109806.1</v>
      </c>
      <c r="F378" s="825">
        <v>126246</v>
      </c>
      <c r="G378" s="825">
        <v>576002</v>
      </c>
      <c r="H378" s="825"/>
      <c r="I378" s="826">
        <v>10822</v>
      </c>
      <c r="J378" s="826">
        <v>504761</v>
      </c>
      <c r="K378" s="826">
        <v>39451</v>
      </c>
      <c r="L378" s="825">
        <v>14895</v>
      </c>
      <c r="M378" s="825"/>
      <c r="N378" s="826">
        <v>20184</v>
      </c>
      <c r="O378" s="826">
        <v>186305</v>
      </c>
      <c r="P378" s="826">
        <v>0</v>
      </c>
      <c r="Q378" s="825">
        <v>6797</v>
      </c>
      <c r="R378" s="825"/>
      <c r="S378" s="826">
        <v>153957</v>
      </c>
      <c r="T378" s="827">
        <v>4443</v>
      </c>
      <c r="U378" s="827">
        <v>158400</v>
      </c>
    </row>
    <row r="379" spans="1:21" x14ac:dyDescent="0.25">
      <c r="A379" s="822">
        <v>93931</v>
      </c>
      <c r="B379" s="823" t="s">
        <v>2942</v>
      </c>
      <c r="C379" s="824">
        <v>5.2260000000000002E-4</v>
      </c>
      <c r="D379" s="824">
        <v>5.1309999999999995E-4</v>
      </c>
      <c r="E379" s="825">
        <v>190729</v>
      </c>
      <c r="F379" s="825">
        <v>230276</v>
      </c>
      <c r="G379" s="825">
        <v>1109132</v>
      </c>
      <c r="H379" s="825"/>
      <c r="I379" s="826">
        <v>20839</v>
      </c>
      <c r="J379" s="826">
        <v>971953</v>
      </c>
      <c r="K379" s="826">
        <v>75966</v>
      </c>
      <c r="L379" s="825">
        <v>197494</v>
      </c>
      <c r="M379" s="825"/>
      <c r="N379" s="826">
        <v>38865</v>
      </c>
      <c r="O379" s="826">
        <v>358743</v>
      </c>
      <c r="P379" s="826">
        <v>0</v>
      </c>
      <c r="Q379" s="825">
        <v>14064</v>
      </c>
      <c r="R379" s="825"/>
      <c r="S379" s="826">
        <v>296455</v>
      </c>
      <c r="T379" s="827">
        <v>86279</v>
      </c>
      <c r="U379" s="827">
        <v>382733</v>
      </c>
    </row>
    <row r="380" spans="1:21" x14ac:dyDescent="0.25">
      <c r="A380" s="822">
        <v>94001</v>
      </c>
      <c r="B380" s="823" t="s">
        <v>2943</v>
      </c>
      <c r="C380" s="824">
        <v>9.0240000000000003E-4</v>
      </c>
      <c r="D380" s="824">
        <v>8.1820000000000005E-4</v>
      </c>
      <c r="E380" s="825">
        <v>359460</v>
      </c>
      <c r="F380" s="825">
        <v>367203</v>
      </c>
      <c r="G380" s="825">
        <v>1915195</v>
      </c>
      <c r="H380" s="825"/>
      <c r="I380" s="826">
        <v>35983</v>
      </c>
      <c r="J380" s="826">
        <v>1678321</v>
      </c>
      <c r="K380" s="826">
        <v>131174</v>
      </c>
      <c r="L380" s="825">
        <v>36363</v>
      </c>
      <c r="M380" s="825"/>
      <c r="N380" s="826">
        <v>67111</v>
      </c>
      <c r="O380" s="826">
        <v>619460</v>
      </c>
      <c r="P380" s="826">
        <v>0</v>
      </c>
      <c r="Q380" s="825">
        <v>53646</v>
      </c>
      <c r="R380" s="825"/>
      <c r="S380" s="826">
        <v>511904</v>
      </c>
      <c r="T380" s="827">
        <v>-17058</v>
      </c>
      <c r="U380" s="827">
        <v>494846</v>
      </c>
    </row>
    <row r="381" spans="1:21" x14ac:dyDescent="0.25">
      <c r="A381" s="822">
        <v>94002</v>
      </c>
      <c r="B381" s="823" t="s">
        <v>2944</v>
      </c>
      <c r="C381" s="824">
        <v>7.6000000000000001E-6</v>
      </c>
      <c r="D381" s="824">
        <v>8.3000000000000002E-6</v>
      </c>
      <c r="E381" s="825">
        <v>4360</v>
      </c>
      <c r="F381" s="825">
        <v>3725</v>
      </c>
      <c r="G381" s="825">
        <v>16130</v>
      </c>
      <c r="H381" s="825"/>
      <c r="I381" s="826">
        <v>303.05</v>
      </c>
      <c r="J381" s="826">
        <v>14135</v>
      </c>
      <c r="K381" s="826">
        <v>1105</v>
      </c>
      <c r="L381" s="825">
        <v>867</v>
      </c>
      <c r="M381" s="825"/>
      <c r="N381" s="826">
        <v>565</v>
      </c>
      <c r="O381" s="826">
        <v>5217</v>
      </c>
      <c r="P381" s="826">
        <v>0</v>
      </c>
      <c r="Q381" s="825">
        <v>430</v>
      </c>
      <c r="R381" s="825"/>
      <c r="S381" s="826">
        <v>4311</v>
      </c>
      <c r="T381" s="827">
        <v>34</v>
      </c>
      <c r="U381" s="827">
        <v>4345</v>
      </c>
    </row>
    <row r="382" spans="1:21" x14ac:dyDescent="0.25">
      <c r="A382" s="822">
        <v>94004</v>
      </c>
      <c r="B382" s="823" t="s">
        <v>2945</v>
      </c>
      <c r="C382" s="824">
        <v>2.7999999999999999E-6</v>
      </c>
      <c r="D382" s="824">
        <v>2.2000000000000001E-6</v>
      </c>
      <c r="E382" s="825">
        <v>2638.89</v>
      </c>
      <c r="F382" s="825">
        <v>987</v>
      </c>
      <c r="G382" s="825">
        <v>5943</v>
      </c>
      <c r="H382" s="825"/>
      <c r="I382" s="826">
        <v>112</v>
      </c>
      <c r="J382" s="826">
        <v>5208</v>
      </c>
      <c r="K382" s="826">
        <v>407</v>
      </c>
      <c r="L382" s="825">
        <v>1506</v>
      </c>
      <c r="M382" s="825"/>
      <c r="N382" s="826">
        <v>208</v>
      </c>
      <c r="O382" s="826">
        <v>1922</v>
      </c>
      <c r="P382" s="826">
        <v>0</v>
      </c>
      <c r="Q382" s="825">
        <v>1224</v>
      </c>
      <c r="R382" s="825"/>
      <c r="S382" s="826">
        <v>1588</v>
      </c>
      <c r="T382" s="827">
        <v>-207</v>
      </c>
      <c r="U382" s="827">
        <v>1381</v>
      </c>
    </row>
    <row r="383" spans="1:21" x14ac:dyDescent="0.25">
      <c r="A383" s="822">
        <v>94005</v>
      </c>
      <c r="B383" s="823" t="s">
        <v>2946</v>
      </c>
      <c r="C383" s="824">
        <v>5.4999999999999999E-6</v>
      </c>
      <c r="D383" s="824">
        <v>6.2999999999999998E-6</v>
      </c>
      <c r="E383" s="825">
        <v>0</v>
      </c>
      <c r="F383" s="825">
        <v>2827</v>
      </c>
      <c r="G383" s="825">
        <v>11673</v>
      </c>
      <c r="H383" s="825"/>
      <c r="I383" s="826">
        <v>219.3125</v>
      </c>
      <c r="J383" s="826">
        <v>10229</v>
      </c>
      <c r="K383" s="826">
        <v>799</v>
      </c>
      <c r="L383" s="825">
        <v>0</v>
      </c>
      <c r="M383" s="825"/>
      <c r="N383" s="826">
        <v>409</v>
      </c>
      <c r="O383" s="826">
        <v>3776</v>
      </c>
      <c r="P383" s="826">
        <v>0</v>
      </c>
      <c r="Q383" s="825">
        <v>3798</v>
      </c>
      <c r="R383" s="825"/>
      <c r="S383" s="826">
        <v>3120</v>
      </c>
      <c r="T383" s="827">
        <v>-1174</v>
      </c>
      <c r="U383" s="827">
        <v>1946</v>
      </c>
    </row>
    <row r="384" spans="1:21" x14ac:dyDescent="0.25">
      <c r="A384" s="822">
        <v>94011</v>
      </c>
      <c r="B384" s="823" t="s">
        <v>2947</v>
      </c>
      <c r="C384" s="824">
        <v>2.5599999999999999E-5</v>
      </c>
      <c r="D384" s="824">
        <v>1.3900000000000001E-5</v>
      </c>
      <c r="E384" s="825">
        <v>8013.12</v>
      </c>
      <c r="F384" s="825">
        <v>6238</v>
      </c>
      <c r="G384" s="825">
        <v>54332</v>
      </c>
      <c r="H384" s="825"/>
      <c r="I384" s="826">
        <v>1020.8</v>
      </c>
      <c r="J384" s="826">
        <v>47612</v>
      </c>
      <c r="K384" s="826">
        <v>3721</v>
      </c>
      <c r="L384" s="825">
        <v>4341</v>
      </c>
      <c r="M384" s="825"/>
      <c r="N384" s="826">
        <v>1904</v>
      </c>
      <c r="O384" s="826">
        <v>17573</v>
      </c>
      <c r="P384" s="826">
        <v>0</v>
      </c>
      <c r="Q384" s="825">
        <v>1019</v>
      </c>
      <c r="R384" s="825"/>
      <c r="S384" s="826">
        <v>14522</v>
      </c>
      <c r="T384" s="827">
        <v>639</v>
      </c>
      <c r="U384" s="827">
        <v>15161</v>
      </c>
    </row>
    <row r="385" spans="1:21" x14ac:dyDescent="0.25">
      <c r="A385" s="822">
        <v>94021</v>
      </c>
      <c r="B385" s="823" t="s">
        <v>2948</v>
      </c>
      <c r="C385" s="824">
        <v>8.1699999999999994E-5</v>
      </c>
      <c r="D385" s="824">
        <v>7.6899999999999999E-5</v>
      </c>
      <c r="E385" s="825">
        <v>34891</v>
      </c>
      <c r="F385" s="825">
        <v>34512</v>
      </c>
      <c r="G385" s="825">
        <v>173395</v>
      </c>
      <c r="H385" s="825"/>
      <c r="I385" s="826">
        <v>3258</v>
      </c>
      <c r="J385" s="826">
        <v>151949</v>
      </c>
      <c r="K385" s="826">
        <v>11876</v>
      </c>
      <c r="L385" s="825">
        <v>14318</v>
      </c>
      <c r="M385" s="825"/>
      <c r="N385" s="826">
        <v>6076</v>
      </c>
      <c r="O385" s="826">
        <v>56084</v>
      </c>
      <c r="P385" s="826">
        <v>0</v>
      </c>
      <c r="Q385" s="825">
        <v>0</v>
      </c>
      <c r="R385" s="825"/>
      <c r="S385" s="826">
        <v>46346</v>
      </c>
      <c r="T385" s="827">
        <v>5712</v>
      </c>
      <c r="U385" s="827">
        <v>52058</v>
      </c>
    </row>
    <row r="386" spans="1:21" x14ac:dyDescent="0.25">
      <c r="A386" s="822">
        <v>94031</v>
      </c>
      <c r="B386" s="823" t="s">
        <v>2949</v>
      </c>
      <c r="C386" s="824">
        <v>8.1000000000000004E-6</v>
      </c>
      <c r="D386" s="824">
        <v>6.9E-6</v>
      </c>
      <c r="E386" s="825">
        <v>7705.65</v>
      </c>
      <c r="F386" s="825">
        <v>3097</v>
      </c>
      <c r="G386" s="825">
        <v>17191</v>
      </c>
      <c r="H386" s="825"/>
      <c r="I386" s="826">
        <v>322.98750000000001</v>
      </c>
      <c r="J386" s="826">
        <v>15065</v>
      </c>
      <c r="K386" s="826">
        <v>1177</v>
      </c>
      <c r="L386" s="825">
        <v>8044</v>
      </c>
      <c r="M386" s="825"/>
      <c r="N386" s="826">
        <v>602</v>
      </c>
      <c r="O386" s="826">
        <v>5560</v>
      </c>
      <c r="P386" s="826">
        <v>0</v>
      </c>
      <c r="Q386" s="825">
        <v>81.59</v>
      </c>
      <c r="R386" s="825"/>
      <c r="S386" s="826">
        <v>4595</v>
      </c>
      <c r="T386" s="827">
        <v>2417</v>
      </c>
      <c r="U386" s="827">
        <v>7012</v>
      </c>
    </row>
    <row r="387" spans="1:21" x14ac:dyDescent="0.25">
      <c r="A387" s="822">
        <v>94101</v>
      </c>
      <c r="B387" s="823" t="s">
        <v>2950</v>
      </c>
      <c r="C387" s="824">
        <v>1.85028E-2</v>
      </c>
      <c r="D387" s="824">
        <v>1.9464599999999999E-2</v>
      </c>
      <c r="E387" s="825">
        <v>7542806</v>
      </c>
      <c r="F387" s="825">
        <v>8735596</v>
      </c>
      <c r="G387" s="825">
        <v>39269140</v>
      </c>
      <c r="H387" s="825"/>
      <c r="I387" s="826">
        <v>737799.15</v>
      </c>
      <c r="J387" s="826">
        <v>34412285</v>
      </c>
      <c r="K387" s="826">
        <v>2689586</v>
      </c>
      <c r="L387" s="825">
        <v>420795</v>
      </c>
      <c r="M387" s="825"/>
      <c r="N387" s="826">
        <v>1376035</v>
      </c>
      <c r="O387" s="826">
        <v>12701395</v>
      </c>
      <c r="P387" s="826">
        <v>0</v>
      </c>
      <c r="Q387" s="825">
        <v>1094802</v>
      </c>
      <c r="R387" s="825"/>
      <c r="S387" s="826">
        <v>10496065</v>
      </c>
      <c r="T387" s="827">
        <v>-261265</v>
      </c>
      <c r="U387" s="827">
        <v>10234799</v>
      </c>
    </row>
    <row r="388" spans="1:21" x14ac:dyDescent="0.25">
      <c r="A388" s="822">
        <v>94102</v>
      </c>
      <c r="B388" s="823" t="s">
        <v>2951</v>
      </c>
      <c r="C388" s="824">
        <v>2.7569999999999998E-4</v>
      </c>
      <c r="D388" s="824">
        <v>2.7809999999999998E-4</v>
      </c>
      <c r="E388" s="825">
        <v>89848.97</v>
      </c>
      <c r="F388" s="825">
        <v>124810</v>
      </c>
      <c r="G388" s="825">
        <v>585128</v>
      </c>
      <c r="H388" s="825"/>
      <c r="I388" s="826">
        <v>10994</v>
      </c>
      <c r="J388" s="826">
        <v>512758</v>
      </c>
      <c r="K388" s="826">
        <v>40076</v>
      </c>
      <c r="L388" s="825">
        <v>5166</v>
      </c>
      <c r="M388" s="825"/>
      <c r="N388" s="826">
        <v>20504</v>
      </c>
      <c r="O388" s="826">
        <v>189256</v>
      </c>
      <c r="P388" s="826">
        <v>0</v>
      </c>
      <c r="Q388" s="825">
        <v>36634</v>
      </c>
      <c r="R388" s="825"/>
      <c r="S388" s="826">
        <v>156396</v>
      </c>
      <c r="T388" s="827">
        <v>-8485</v>
      </c>
      <c r="U388" s="827">
        <v>147911</v>
      </c>
    </row>
    <row r="389" spans="1:21" x14ac:dyDescent="0.25">
      <c r="A389" s="822">
        <v>94108</v>
      </c>
      <c r="B389" s="823" t="s">
        <v>2952</v>
      </c>
      <c r="C389" s="824">
        <v>3.1809999999999998E-4</v>
      </c>
      <c r="D389" s="824">
        <v>3.991E-4</v>
      </c>
      <c r="E389" s="825">
        <v>100948</v>
      </c>
      <c r="F389" s="825">
        <v>179114</v>
      </c>
      <c r="G389" s="825">
        <v>675115</v>
      </c>
      <c r="H389" s="825"/>
      <c r="I389" s="826">
        <v>12684</v>
      </c>
      <c r="J389" s="826">
        <v>591616</v>
      </c>
      <c r="K389" s="826">
        <v>46239</v>
      </c>
      <c r="L389" s="825">
        <v>0</v>
      </c>
      <c r="M389" s="825"/>
      <c r="N389" s="826">
        <v>23657</v>
      </c>
      <c r="O389" s="826">
        <v>218362</v>
      </c>
      <c r="P389" s="826">
        <v>0</v>
      </c>
      <c r="Q389" s="825">
        <v>121376</v>
      </c>
      <c r="R389" s="825"/>
      <c r="S389" s="826">
        <v>180448</v>
      </c>
      <c r="T389" s="827">
        <v>-40521</v>
      </c>
      <c r="U389" s="827">
        <v>139927</v>
      </c>
    </row>
    <row r="390" spans="1:21" x14ac:dyDescent="0.25">
      <c r="A390" s="822">
        <v>94109</v>
      </c>
      <c r="B390" s="823" t="s">
        <v>2953</v>
      </c>
      <c r="C390" s="824">
        <v>1.0399999999999999E-4</v>
      </c>
      <c r="D390" s="824">
        <v>1.359E-4</v>
      </c>
      <c r="E390" s="825">
        <v>30807.5</v>
      </c>
      <c r="F390" s="825">
        <v>60991</v>
      </c>
      <c r="G390" s="825">
        <v>220722.84</v>
      </c>
      <c r="H390" s="825"/>
      <c r="I390" s="826">
        <v>4147</v>
      </c>
      <c r="J390" s="826">
        <v>193424</v>
      </c>
      <c r="K390" s="826">
        <v>15118</v>
      </c>
      <c r="L390" s="825">
        <v>1600</v>
      </c>
      <c r="M390" s="825"/>
      <c r="N390" s="826">
        <v>7734</v>
      </c>
      <c r="O390" s="826">
        <v>71392</v>
      </c>
      <c r="P390" s="826">
        <v>0</v>
      </c>
      <c r="Q390" s="825">
        <v>33989</v>
      </c>
      <c r="R390" s="825"/>
      <c r="S390" s="826">
        <v>58996</v>
      </c>
      <c r="T390" s="827">
        <v>-8690</v>
      </c>
      <c r="U390" s="827">
        <v>50306</v>
      </c>
    </row>
    <row r="391" spans="1:21" x14ac:dyDescent="0.25">
      <c r="A391" s="822">
        <v>94111</v>
      </c>
      <c r="B391" s="823" t="s">
        <v>2954</v>
      </c>
      <c r="C391" s="824">
        <v>2.5623300000000002E-2</v>
      </c>
      <c r="D391" s="824">
        <v>2.7054000000000002E-2</v>
      </c>
      <c r="E391" s="825">
        <v>10028319</v>
      </c>
      <c r="F391" s="825">
        <v>12141673</v>
      </c>
      <c r="G391" s="825">
        <v>54381226</v>
      </c>
      <c r="H391" s="825"/>
      <c r="I391" s="826">
        <v>1021729</v>
      </c>
      <c r="J391" s="826">
        <v>47655290</v>
      </c>
      <c r="K391" s="826">
        <v>3724629</v>
      </c>
      <c r="L391" s="825">
        <v>15132</v>
      </c>
      <c r="M391" s="825"/>
      <c r="N391" s="826">
        <v>1905579</v>
      </c>
      <c r="O391" s="826">
        <v>17589319</v>
      </c>
      <c r="P391" s="826">
        <v>0</v>
      </c>
      <c r="Q391" s="825">
        <v>1552982</v>
      </c>
      <c r="R391" s="825"/>
      <c r="S391" s="826">
        <v>14535304</v>
      </c>
      <c r="T391" s="827">
        <v>-430419</v>
      </c>
      <c r="U391" s="827">
        <v>14104885</v>
      </c>
    </row>
    <row r="392" spans="1:21" x14ac:dyDescent="0.25">
      <c r="A392" s="822">
        <v>94112</v>
      </c>
      <c r="B392" s="823" t="s">
        <v>2955</v>
      </c>
      <c r="C392" s="824">
        <v>1.6530000000000001E-4</v>
      </c>
      <c r="D392" s="824">
        <v>1.6909999999999999E-4</v>
      </c>
      <c r="E392" s="825">
        <v>58678.14</v>
      </c>
      <c r="F392" s="825">
        <v>75891</v>
      </c>
      <c r="G392" s="825">
        <v>350822</v>
      </c>
      <c r="H392" s="825"/>
      <c r="I392" s="826">
        <v>6591</v>
      </c>
      <c r="J392" s="826">
        <v>307432</v>
      </c>
      <c r="K392" s="826">
        <v>24028</v>
      </c>
      <c r="L392" s="825">
        <v>0</v>
      </c>
      <c r="M392" s="825"/>
      <c r="N392" s="826">
        <v>12293</v>
      </c>
      <c r="O392" s="826">
        <v>113472</v>
      </c>
      <c r="P392" s="826">
        <v>0</v>
      </c>
      <c r="Q392" s="825">
        <v>20904</v>
      </c>
      <c r="R392" s="825"/>
      <c r="S392" s="826">
        <v>93770</v>
      </c>
      <c r="T392" s="827">
        <v>-7213</v>
      </c>
      <c r="U392" s="827">
        <v>86557</v>
      </c>
    </row>
    <row r="393" spans="1:21" x14ac:dyDescent="0.25">
      <c r="A393" s="822">
        <v>94117</v>
      </c>
      <c r="B393" s="823" t="s">
        <v>2956</v>
      </c>
      <c r="C393" s="824">
        <v>4.0709999999999997E-4</v>
      </c>
      <c r="D393" s="824">
        <v>4.17E-4</v>
      </c>
      <c r="E393" s="825">
        <v>162038</v>
      </c>
      <c r="F393" s="825">
        <v>187147</v>
      </c>
      <c r="G393" s="825">
        <v>864003</v>
      </c>
      <c r="H393" s="825"/>
      <c r="I393" s="826">
        <v>16233</v>
      </c>
      <c r="J393" s="826">
        <v>757142</v>
      </c>
      <c r="K393" s="826">
        <v>59176</v>
      </c>
      <c r="L393" s="825">
        <v>12662</v>
      </c>
      <c r="M393" s="825"/>
      <c r="N393" s="826">
        <v>30276</v>
      </c>
      <c r="O393" s="826">
        <v>279457</v>
      </c>
      <c r="P393" s="826">
        <v>0</v>
      </c>
      <c r="Q393" s="825">
        <v>9635</v>
      </c>
      <c r="R393" s="825"/>
      <c r="S393" s="826">
        <v>230935</v>
      </c>
      <c r="T393" s="827">
        <v>2033</v>
      </c>
      <c r="U393" s="827">
        <v>232968</v>
      </c>
    </row>
    <row r="394" spans="1:21" x14ac:dyDescent="0.25">
      <c r="A394" s="822">
        <v>94118</v>
      </c>
      <c r="B394" s="823" t="s">
        <v>2957</v>
      </c>
      <c r="C394" s="824">
        <v>1.63E-4</v>
      </c>
      <c r="D394" s="824">
        <v>1.918E-4</v>
      </c>
      <c r="E394" s="825">
        <v>53076</v>
      </c>
      <c r="F394" s="825">
        <v>86079</v>
      </c>
      <c r="G394" s="825">
        <v>345941</v>
      </c>
      <c r="H394" s="825"/>
      <c r="I394" s="826">
        <v>6499.625</v>
      </c>
      <c r="J394" s="826">
        <v>303154</v>
      </c>
      <c r="K394" s="826">
        <v>23694</v>
      </c>
      <c r="L394" s="825">
        <v>0</v>
      </c>
      <c r="M394" s="825"/>
      <c r="N394" s="826">
        <v>12122</v>
      </c>
      <c r="O394" s="826">
        <v>111893</v>
      </c>
      <c r="P394" s="826">
        <v>0</v>
      </c>
      <c r="Q394" s="825">
        <v>58615</v>
      </c>
      <c r="R394" s="825"/>
      <c r="S394" s="826">
        <v>92465</v>
      </c>
      <c r="T394" s="827">
        <v>-20217</v>
      </c>
      <c r="U394" s="827">
        <v>72248</v>
      </c>
    </row>
    <row r="395" spans="1:21" x14ac:dyDescent="0.25">
      <c r="A395" s="822">
        <v>94121</v>
      </c>
      <c r="B395" s="823" t="s">
        <v>2958</v>
      </c>
      <c r="C395" s="824">
        <v>1.12823E-2</v>
      </c>
      <c r="D395" s="824">
        <v>1.20112E-2</v>
      </c>
      <c r="E395" s="825">
        <v>4810509.83</v>
      </c>
      <c r="F395" s="825">
        <v>5390554</v>
      </c>
      <c r="G395" s="825">
        <v>23944820</v>
      </c>
      <c r="H395" s="825"/>
      <c r="I395" s="826">
        <v>449882</v>
      </c>
      <c r="J395" s="826">
        <v>20983295</v>
      </c>
      <c r="K395" s="826">
        <v>1640006</v>
      </c>
      <c r="L395" s="825">
        <v>42878</v>
      </c>
      <c r="M395" s="825"/>
      <c r="N395" s="826">
        <v>839053</v>
      </c>
      <c r="O395" s="826">
        <v>7744825</v>
      </c>
      <c r="P395" s="826">
        <v>0</v>
      </c>
      <c r="Q395" s="825">
        <v>429585</v>
      </c>
      <c r="R395" s="825"/>
      <c r="S395" s="826">
        <v>6400099</v>
      </c>
      <c r="T395" s="827">
        <v>-137554</v>
      </c>
      <c r="U395" s="827">
        <v>6262545</v>
      </c>
    </row>
    <row r="396" spans="1:21" x14ac:dyDescent="0.25">
      <c r="A396" s="822">
        <v>94127</v>
      </c>
      <c r="B396" s="823" t="s">
        <v>2959</v>
      </c>
      <c r="C396" s="824">
        <v>1.528E-4</v>
      </c>
      <c r="D396" s="824">
        <v>1.4530000000000001E-4</v>
      </c>
      <c r="E396" s="825">
        <v>61108</v>
      </c>
      <c r="F396" s="825">
        <v>65210</v>
      </c>
      <c r="G396" s="825">
        <v>324293</v>
      </c>
      <c r="H396" s="825"/>
      <c r="I396" s="826">
        <v>6092.9</v>
      </c>
      <c r="J396" s="826">
        <v>284184</v>
      </c>
      <c r="K396" s="826">
        <v>22211</v>
      </c>
      <c r="L396" s="825">
        <v>3883</v>
      </c>
      <c r="M396" s="825"/>
      <c r="N396" s="826">
        <v>11364</v>
      </c>
      <c r="O396" s="826">
        <v>104891</v>
      </c>
      <c r="P396" s="826">
        <v>0</v>
      </c>
      <c r="Q396" s="825">
        <v>617</v>
      </c>
      <c r="R396" s="825"/>
      <c r="S396" s="826">
        <v>86679</v>
      </c>
      <c r="T396" s="827">
        <v>1078</v>
      </c>
      <c r="U396" s="827">
        <v>87756</v>
      </c>
    </row>
    <row r="397" spans="1:21" x14ac:dyDescent="0.25">
      <c r="A397" s="822">
        <v>94131</v>
      </c>
      <c r="B397" s="823" t="s">
        <v>2960</v>
      </c>
      <c r="C397" s="824">
        <v>2.0049999999999999E-4</v>
      </c>
      <c r="D397" s="824">
        <v>2.0120000000000001E-4</v>
      </c>
      <c r="E397" s="825">
        <v>83859.38</v>
      </c>
      <c r="F397" s="825">
        <v>90297</v>
      </c>
      <c r="G397" s="825">
        <v>425528</v>
      </c>
      <c r="H397" s="825"/>
      <c r="I397" s="826">
        <v>7994.9375</v>
      </c>
      <c r="J397" s="826">
        <v>372898</v>
      </c>
      <c r="K397" s="826">
        <v>29145</v>
      </c>
      <c r="L397" s="825">
        <v>4546</v>
      </c>
      <c r="M397" s="825"/>
      <c r="N397" s="826">
        <v>14911</v>
      </c>
      <c r="O397" s="826">
        <v>137635</v>
      </c>
      <c r="P397" s="826">
        <v>0</v>
      </c>
      <c r="Q397" s="825">
        <v>1120</v>
      </c>
      <c r="R397" s="825"/>
      <c r="S397" s="826">
        <v>113737</v>
      </c>
      <c r="T397" s="827">
        <v>979</v>
      </c>
      <c r="U397" s="827">
        <v>114716</v>
      </c>
    </row>
    <row r="398" spans="1:21" x14ac:dyDescent="0.25">
      <c r="A398" s="822">
        <v>94151</v>
      </c>
      <c r="B398" s="823" t="s">
        <v>2961</v>
      </c>
      <c r="C398" s="824">
        <v>4.2870000000000001E-4</v>
      </c>
      <c r="D398" s="824">
        <v>4.0200000000000001E-4</v>
      </c>
      <c r="E398" s="825">
        <v>148093.01</v>
      </c>
      <c r="F398" s="825">
        <v>180415</v>
      </c>
      <c r="G398" s="825">
        <v>909845</v>
      </c>
      <c r="H398" s="825"/>
      <c r="I398" s="826">
        <v>17094</v>
      </c>
      <c r="J398" s="826">
        <v>797314</v>
      </c>
      <c r="K398" s="826">
        <v>62316</v>
      </c>
      <c r="L398" s="825">
        <v>0</v>
      </c>
      <c r="M398" s="825"/>
      <c r="N398" s="826">
        <v>31882</v>
      </c>
      <c r="O398" s="826">
        <v>294285</v>
      </c>
      <c r="P398" s="826">
        <v>0</v>
      </c>
      <c r="Q398" s="825">
        <v>19133</v>
      </c>
      <c r="R398" s="825"/>
      <c r="S398" s="826">
        <v>243188</v>
      </c>
      <c r="T398" s="827">
        <v>-6795</v>
      </c>
      <c r="U398" s="827">
        <v>236393</v>
      </c>
    </row>
    <row r="399" spans="1:21" x14ac:dyDescent="0.25">
      <c r="A399" s="822">
        <v>94157</v>
      </c>
      <c r="B399" s="823" t="s">
        <v>2962</v>
      </c>
      <c r="C399" s="824">
        <v>9.3999999999999998E-6</v>
      </c>
      <c r="D399" s="824">
        <v>8.1999999999999994E-6</v>
      </c>
      <c r="E399" s="825">
        <v>4973</v>
      </c>
      <c r="F399" s="825">
        <v>3680</v>
      </c>
      <c r="G399" s="825">
        <v>19950</v>
      </c>
      <c r="H399" s="825"/>
      <c r="I399" s="826">
        <v>374.82499999999999</v>
      </c>
      <c r="J399" s="826">
        <v>17483</v>
      </c>
      <c r="K399" s="826">
        <v>1366</v>
      </c>
      <c r="L399" s="825">
        <v>5150</v>
      </c>
      <c r="M399" s="825"/>
      <c r="N399" s="826">
        <v>699</v>
      </c>
      <c r="O399" s="826">
        <v>6453</v>
      </c>
      <c r="P399" s="826">
        <v>0</v>
      </c>
      <c r="Q399" s="825">
        <v>0</v>
      </c>
      <c r="R399" s="825"/>
      <c r="S399" s="826">
        <v>5332</v>
      </c>
      <c r="T399" s="827">
        <v>1947</v>
      </c>
      <c r="U399" s="827">
        <v>7280</v>
      </c>
    </row>
    <row r="400" spans="1:21" x14ac:dyDescent="0.25">
      <c r="A400" s="822">
        <v>94161</v>
      </c>
      <c r="B400" s="823" t="s">
        <v>2963</v>
      </c>
      <c r="C400" s="824">
        <v>5.7899999999999998E-5</v>
      </c>
      <c r="D400" s="824">
        <v>5.3000000000000001E-5</v>
      </c>
      <c r="E400" s="825">
        <v>21890.33</v>
      </c>
      <c r="F400" s="825">
        <v>23786</v>
      </c>
      <c r="G400" s="825">
        <v>122883</v>
      </c>
      <c r="H400" s="825"/>
      <c r="I400" s="826">
        <v>2309</v>
      </c>
      <c r="J400" s="826">
        <v>107685</v>
      </c>
      <c r="K400" s="826">
        <v>8416</v>
      </c>
      <c r="L400" s="825">
        <v>8543</v>
      </c>
      <c r="M400" s="825"/>
      <c r="N400" s="826">
        <v>4306</v>
      </c>
      <c r="O400" s="826">
        <v>39746</v>
      </c>
      <c r="P400" s="826">
        <v>0</v>
      </c>
      <c r="Q400" s="825">
        <v>0</v>
      </c>
      <c r="R400" s="825"/>
      <c r="S400" s="826">
        <v>32845</v>
      </c>
      <c r="T400" s="827">
        <v>3088</v>
      </c>
      <c r="U400" s="827">
        <v>35933</v>
      </c>
    </row>
    <row r="401" spans="1:21" x14ac:dyDescent="0.25">
      <c r="A401" s="822">
        <v>94168</v>
      </c>
      <c r="B401" s="823" t="s">
        <v>2964</v>
      </c>
      <c r="C401" s="824">
        <v>3.4E-5</v>
      </c>
      <c r="D401" s="824">
        <v>4.18E-5</v>
      </c>
      <c r="E401" s="825">
        <v>12127.4</v>
      </c>
      <c r="F401" s="825">
        <v>18760</v>
      </c>
      <c r="G401" s="825">
        <v>72159.39</v>
      </c>
      <c r="H401" s="825"/>
      <c r="I401" s="826">
        <v>1355.75</v>
      </c>
      <c r="J401" s="826">
        <v>63235</v>
      </c>
      <c r="K401" s="826">
        <v>4942</v>
      </c>
      <c r="L401" s="825">
        <v>0</v>
      </c>
      <c r="M401" s="825"/>
      <c r="N401" s="826">
        <v>2529</v>
      </c>
      <c r="O401" s="826">
        <v>23340</v>
      </c>
      <c r="P401" s="826">
        <v>0</v>
      </c>
      <c r="Q401" s="825">
        <v>13113</v>
      </c>
      <c r="R401" s="825"/>
      <c r="S401" s="826">
        <v>19287</v>
      </c>
      <c r="T401" s="827">
        <v>-4643</v>
      </c>
      <c r="U401" s="827">
        <v>14644</v>
      </c>
    </row>
    <row r="402" spans="1:21" x14ac:dyDescent="0.25">
      <c r="A402" s="822">
        <v>94171</v>
      </c>
      <c r="B402" s="823" t="s">
        <v>2965</v>
      </c>
      <c r="C402" s="824">
        <v>5.5000000000000002E-5</v>
      </c>
      <c r="D402" s="824">
        <v>5.1100000000000002E-5</v>
      </c>
      <c r="E402" s="825">
        <v>21113.95</v>
      </c>
      <c r="F402" s="825">
        <v>22933</v>
      </c>
      <c r="G402" s="825">
        <v>116728</v>
      </c>
      <c r="H402" s="825"/>
      <c r="I402" s="826">
        <v>2193.125</v>
      </c>
      <c r="J402" s="826">
        <v>102291.31</v>
      </c>
      <c r="K402" s="826">
        <v>7995</v>
      </c>
      <c r="L402" s="825">
        <v>6490</v>
      </c>
      <c r="M402" s="825"/>
      <c r="N402" s="826">
        <v>4090</v>
      </c>
      <c r="O402" s="826">
        <v>37755.19</v>
      </c>
      <c r="P402" s="826">
        <v>0</v>
      </c>
      <c r="Q402" s="825">
        <v>1733</v>
      </c>
      <c r="R402" s="825"/>
      <c r="S402" s="826">
        <v>31200</v>
      </c>
      <c r="T402" s="827">
        <v>1343</v>
      </c>
      <c r="U402" s="827">
        <v>32542</v>
      </c>
    </row>
    <row r="403" spans="1:21" x14ac:dyDescent="0.25">
      <c r="A403" s="822">
        <v>94172</v>
      </c>
      <c r="B403" s="823" t="s">
        <v>2966</v>
      </c>
      <c r="C403" s="824">
        <v>2.6699999999999998E-4</v>
      </c>
      <c r="D403" s="824">
        <v>3.1379999999999998E-4</v>
      </c>
      <c r="E403" s="825">
        <v>80979</v>
      </c>
      <c r="F403" s="825">
        <v>140832</v>
      </c>
      <c r="G403" s="825">
        <v>566663</v>
      </c>
      <c r="H403" s="825"/>
      <c r="I403" s="826">
        <v>10646.625</v>
      </c>
      <c r="J403" s="826">
        <v>496578</v>
      </c>
      <c r="K403" s="826">
        <v>38811</v>
      </c>
      <c r="L403" s="825">
        <v>0</v>
      </c>
      <c r="M403" s="825"/>
      <c r="N403" s="826">
        <v>19857</v>
      </c>
      <c r="O403" s="826">
        <v>183284</v>
      </c>
      <c r="P403" s="826">
        <v>0</v>
      </c>
      <c r="Q403" s="825">
        <v>98660</v>
      </c>
      <c r="R403" s="825"/>
      <c r="S403" s="826">
        <v>151461</v>
      </c>
      <c r="T403" s="827">
        <v>-34663</v>
      </c>
      <c r="U403" s="827">
        <v>116798</v>
      </c>
    </row>
    <row r="404" spans="1:21" x14ac:dyDescent="0.25">
      <c r="A404" s="822">
        <v>94201</v>
      </c>
      <c r="B404" s="823" t="s">
        <v>2967</v>
      </c>
      <c r="C404" s="824">
        <v>3.4813000000000001E-3</v>
      </c>
      <c r="D404" s="824">
        <v>3.4115E-3</v>
      </c>
      <c r="E404" s="825">
        <v>1407554</v>
      </c>
      <c r="F404" s="825">
        <v>1531061</v>
      </c>
      <c r="G404" s="825">
        <v>7388485</v>
      </c>
      <c r="H404" s="825"/>
      <c r="I404" s="826">
        <v>138817</v>
      </c>
      <c r="J404" s="826">
        <v>6474668</v>
      </c>
      <c r="K404" s="826">
        <v>506045</v>
      </c>
      <c r="L404" s="825">
        <v>56033</v>
      </c>
      <c r="M404" s="825"/>
      <c r="N404" s="826">
        <v>258901</v>
      </c>
      <c r="O404" s="826">
        <v>2389766</v>
      </c>
      <c r="P404" s="826">
        <v>0</v>
      </c>
      <c r="Q404" s="825">
        <v>3701</v>
      </c>
      <c r="R404" s="825"/>
      <c r="S404" s="826">
        <v>1974834</v>
      </c>
      <c r="T404" s="827">
        <v>16227</v>
      </c>
      <c r="U404" s="827">
        <v>1991060</v>
      </c>
    </row>
    <row r="405" spans="1:21" x14ac:dyDescent="0.25">
      <c r="A405" s="822">
        <v>94204</v>
      </c>
      <c r="B405" s="823" t="s">
        <v>2968</v>
      </c>
      <c r="C405" s="824">
        <v>2.4899999999999999E-5</v>
      </c>
      <c r="D405" s="824">
        <v>2.41E-5</v>
      </c>
      <c r="E405" s="825">
        <v>15446</v>
      </c>
      <c r="F405" s="825">
        <v>10816</v>
      </c>
      <c r="G405" s="825">
        <v>52846</v>
      </c>
      <c r="H405" s="825"/>
      <c r="I405" s="826">
        <v>993</v>
      </c>
      <c r="J405" s="826">
        <v>46310</v>
      </c>
      <c r="K405" s="826">
        <v>3619</v>
      </c>
      <c r="L405" s="825">
        <v>10811</v>
      </c>
      <c r="M405" s="825"/>
      <c r="N405" s="826">
        <v>1852</v>
      </c>
      <c r="O405" s="826">
        <v>17093</v>
      </c>
      <c r="P405" s="826">
        <v>0</v>
      </c>
      <c r="Q405" s="825">
        <v>0</v>
      </c>
      <c r="R405" s="825"/>
      <c r="S405" s="826">
        <v>14125</v>
      </c>
      <c r="T405" s="827">
        <v>3721</v>
      </c>
      <c r="U405" s="827">
        <v>17846</v>
      </c>
    </row>
    <row r="406" spans="1:21" x14ac:dyDescent="0.25">
      <c r="A406" s="822">
        <v>94205</v>
      </c>
      <c r="B406" s="823" t="s">
        <v>2969</v>
      </c>
      <c r="C406" s="824">
        <v>2.6100000000000001E-5</v>
      </c>
      <c r="D406" s="824">
        <v>2.6999999999999999E-5</v>
      </c>
      <c r="E406" s="825">
        <v>12435.88</v>
      </c>
      <c r="F406" s="825">
        <v>12117</v>
      </c>
      <c r="G406" s="825">
        <v>55393</v>
      </c>
      <c r="H406" s="825"/>
      <c r="I406" s="826">
        <v>1040.7375</v>
      </c>
      <c r="J406" s="826">
        <v>48542</v>
      </c>
      <c r="K406" s="826">
        <v>3794</v>
      </c>
      <c r="L406" s="825">
        <v>2432</v>
      </c>
      <c r="M406" s="825"/>
      <c r="N406" s="826">
        <v>1941</v>
      </c>
      <c r="O406" s="826">
        <v>17917</v>
      </c>
      <c r="P406" s="826">
        <v>0</v>
      </c>
      <c r="Q406" s="825">
        <v>6726</v>
      </c>
      <c r="R406" s="825"/>
      <c r="S406" s="826">
        <v>14806</v>
      </c>
      <c r="T406" s="827">
        <v>-2600</v>
      </c>
      <c r="U406" s="827">
        <v>12205</v>
      </c>
    </row>
    <row r="407" spans="1:21" x14ac:dyDescent="0.25">
      <c r="A407" s="822">
        <v>94209</v>
      </c>
      <c r="B407" s="823" t="s">
        <v>2970</v>
      </c>
      <c r="C407" s="824">
        <v>3.2909999999999998E-4</v>
      </c>
      <c r="D407" s="824">
        <v>3.5540000000000002E-4</v>
      </c>
      <c r="E407" s="825">
        <v>141050</v>
      </c>
      <c r="F407" s="825">
        <v>159501</v>
      </c>
      <c r="G407" s="825">
        <v>698460</v>
      </c>
      <c r="H407" s="825"/>
      <c r="I407" s="826">
        <v>13123</v>
      </c>
      <c r="J407" s="826">
        <v>612074</v>
      </c>
      <c r="K407" s="826">
        <v>47838</v>
      </c>
      <c r="L407" s="825">
        <v>24306</v>
      </c>
      <c r="M407" s="825"/>
      <c r="N407" s="826">
        <v>24475</v>
      </c>
      <c r="O407" s="826">
        <v>225913</v>
      </c>
      <c r="P407" s="826">
        <v>0</v>
      </c>
      <c r="Q407" s="825">
        <v>9712</v>
      </c>
      <c r="R407" s="825"/>
      <c r="S407" s="826">
        <v>186688</v>
      </c>
      <c r="T407" s="827">
        <v>6974</v>
      </c>
      <c r="U407" s="827">
        <v>193663</v>
      </c>
    </row>
    <row r="408" spans="1:21" x14ac:dyDescent="0.25">
      <c r="A408" s="822">
        <v>94211</v>
      </c>
      <c r="B408" s="823" t="s">
        <v>2971</v>
      </c>
      <c r="C408" s="824">
        <v>1.2400000000000001E-4</v>
      </c>
      <c r="D408" s="824">
        <v>1.217E-4</v>
      </c>
      <c r="E408" s="825">
        <v>49845.440000000002</v>
      </c>
      <c r="F408" s="825">
        <v>54618</v>
      </c>
      <c r="G408" s="825">
        <v>263170</v>
      </c>
      <c r="H408" s="825"/>
      <c r="I408" s="826">
        <v>4944.5</v>
      </c>
      <c r="J408" s="826">
        <v>230620</v>
      </c>
      <c r="K408" s="826">
        <v>18025</v>
      </c>
      <c r="L408" s="825">
        <v>334</v>
      </c>
      <c r="M408" s="825"/>
      <c r="N408" s="826">
        <v>9222</v>
      </c>
      <c r="O408" s="826">
        <v>85121</v>
      </c>
      <c r="P408" s="826">
        <v>0</v>
      </c>
      <c r="Q408" s="825">
        <v>30868</v>
      </c>
      <c r="R408" s="825"/>
      <c r="S408" s="826">
        <v>70341</v>
      </c>
      <c r="T408" s="827">
        <v>-13456</v>
      </c>
      <c r="U408" s="827">
        <v>56885</v>
      </c>
    </row>
    <row r="409" spans="1:21" x14ac:dyDescent="0.25">
      <c r="A409" s="822">
        <v>94221</v>
      </c>
      <c r="B409" s="823" t="s">
        <v>2972</v>
      </c>
      <c r="C409" s="824">
        <v>1.0705999999999999E-3</v>
      </c>
      <c r="D409" s="824">
        <v>1.1294E-3</v>
      </c>
      <c r="E409" s="825">
        <v>386218.22</v>
      </c>
      <c r="F409" s="825">
        <v>506868</v>
      </c>
      <c r="G409" s="825">
        <v>2272172</v>
      </c>
      <c r="H409" s="825"/>
      <c r="I409" s="826">
        <v>42690</v>
      </c>
      <c r="J409" s="826">
        <v>1991147</v>
      </c>
      <c r="K409" s="826">
        <v>155623</v>
      </c>
      <c r="L409" s="825">
        <v>98739</v>
      </c>
      <c r="M409" s="825"/>
      <c r="N409" s="826">
        <v>79619</v>
      </c>
      <c r="O409" s="826">
        <v>734922</v>
      </c>
      <c r="P409" s="826">
        <v>0</v>
      </c>
      <c r="Q409" s="825">
        <v>138383</v>
      </c>
      <c r="R409" s="825"/>
      <c r="S409" s="826">
        <v>607318</v>
      </c>
      <c r="T409" s="827">
        <v>-16318</v>
      </c>
      <c r="U409" s="827">
        <v>591000</v>
      </c>
    </row>
    <row r="410" spans="1:21" x14ac:dyDescent="0.25">
      <c r="A410" s="822">
        <v>94231</v>
      </c>
      <c r="B410" s="823" t="s">
        <v>2973</v>
      </c>
      <c r="C410" s="824">
        <v>2.1269999999999999E-4</v>
      </c>
      <c r="D410" s="824">
        <v>1.9469999999999999E-4</v>
      </c>
      <c r="E410" s="825">
        <v>77695.47</v>
      </c>
      <c r="F410" s="825">
        <v>87380</v>
      </c>
      <c r="G410" s="825">
        <v>451421</v>
      </c>
      <c r="H410" s="825"/>
      <c r="I410" s="826">
        <v>8481</v>
      </c>
      <c r="J410" s="826">
        <v>395588</v>
      </c>
      <c r="K410" s="826">
        <v>30918</v>
      </c>
      <c r="L410" s="825">
        <v>1986</v>
      </c>
      <c r="M410" s="825"/>
      <c r="N410" s="826">
        <v>15818</v>
      </c>
      <c r="O410" s="826">
        <v>146010</v>
      </c>
      <c r="P410" s="826">
        <v>0</v>
      </c>
      <c r="Q410" s="825">
        <v>11747</v>
      </c>
      <c r="R410" s="825"/>
      <c r="S410" s="826">
        <v>120658</v>
      </c>
      <c r="T410" s="827">
        <v>-4519</v>
      </c>
      <c r="U410" s="827">
        <v>116139</v>
      </c>
    </row>
    <row r="411" spans="1:21" x14ac:dyDescent="0.25">
      <c r="A411" s="822">
        <v>94241</v>
      </c>
      <c r="B411" s="823" t="s">
        <v>2974</v>
      </c>
      <c r="C411" s="824">
        <v>8.4099999999999998E-5</v>
      </c>
      <c r="D411" s="824">
        <v>8.4800000000000001E-5</v>
      </c>
      <c r="E411" s="825">
        <v>37415.33</v>
      </c>
      <c r="F411" s="825">
        <v>38058</v>
      </c>
      <c r="G411" s="825">
        <v>178488</v>
      </c>
      <c r="H411" s="825"/>
      <c r="I411" s="826">
        <v>3353</v>
      </c>
      <c r="J411" s="826">
        <v>156413</v>
      </c>
      <c r="K411" s="826">
        <v>12225</v>
      </c>
      <c r="L411" s="825">
        <v>3164</v>
      </c>
      <c r="M411" s="825"/>
      <c r="N411" s="826">
        <v>6254</v>
      </c>
      <c r="O411" s="826">
        <v>57731</v>
      </c>
      <c r="P411" s="826">
        <v>0</v>
      </c>
      <c r="Q411" s="825">
        <v>1327</v>
      </c>
      <c r="R411" s="825"/>
      <c r="S411" s="826">
        <v>47707</v>
      </c>
      <c r="T411" s="827">
        <v>664</v>
      </c>
      <c r="U411" s="827">
        <v>48372</v>
      </c>
    </row>
    <row r="412" spans="1:21" x14ac:dyDescent="0.25">
      <c r="A412" s="822">
        <v>94251</v>
      </c>
      <c r="B412" s="823" t="s">
        <v>2975</v>
      </c>
      <c r="C412" s="824">
        <v>1.4E-5</v>
      </c>
      <c r="D412" s="824">
        <v>2.37E-5</v>
      </c>
      <c r="E412" s="825">
        <v>7105.57</v>
      </c>
      <c r="F412" s="825">
        <v>10636</v>
      </c>
      <c r="G412" s="825">
        <v>29712.69</v>
      </c>
      <c r="H412" s="825"/>
      <c r="I412" s="826">
        <v>558.25</v>
      </c>
      <c r="J412" s="826">
        <v>26038</v>
      </c>
      <c r="K412" s="826">
        <v>2035</v>
      </c>
      <c r="L412" s="825">
        <v>0</v>
      </c>
      <c r="M412" s="825"/>
      <c r="N412" s="826">
        <v>1041</v>
      </c>
      <c r="O412" s="826">
        <v>9610</v>
      </c>
      <c r="P412" s="826">
        <v>0</v>
      </c>
      <c r="Q412" s="825">
        <v>9627</v>
      </c>
      <c r="R412" s="825"/>
      <c r="S412" s="826">
        <v>7942</v>
      </c>
      <c r="T412" s="827">
        <v>-3119</v>
      </c>
      <c r="U412" s="827">
        <v>4823</v>
      </c>
    </row>
    <row r="413" spans="1:21" x14ac:dyDescent="0.25">
      <c r="A413" s="822">
        <v>94261</v>
      </c>
      <c r="B413" s="823" t="s">
        <v>2976</v>
      </c>
      <c r="C413" s="824">
        <v>2.9499999999999999E-5</v>
      </c>
      <c r="D413" s="824">
        <v>1.66E-5</v>
      </c>
      <c r="E413" s="825">
        <v>13527</v>
      </c>
      <c r="F413" s="825">
        <v>7450</v>
      </c>
      <c r="G413" s="825">
        <v>62609</v>
      </c>
      <c r="H413" s="825"/>
      <c r="I413" s="826">
        <v>1176.3125</v>
      </c>
      <c r="J413" s="826">
        <v>54865</v>
      </c>
      <c r="K413" s="826">
        <v>4288</v>
      </c>
      <c r="L413" s="825">
        <v>12167</v>
      </c>
      <c r="M413" s="825"/>
      <c r="N413" s="826">
        <v>2194</v>
      </c>
      <c r="O413" s="826">
        <v>20251</v>
      </c>
      <c r="P413" s="826">
        <v>0</v>
      </c>
      <c r="Q413" s="825">
        <v>0</v>
      </c>
      <c r="R413" s="825"/>
      <c r="S413" s="826">
        <v>16734</v>
      </c>
      <c r="T413" s="827">
        <v>3736</v>
      </c>
      <c r="U413" s="827">
        <v>20471</v>
      </c>
    </row>
    <row r="414" spans="1:21" x14ac:dyDescent="0.25">
      <c r="A414" s="822">
        <v>94301</v>
      </c>
      <c r="B414" s="823" t="s">
        <v>2977</v>
      </c>
      <c r="C414" s="824">
        <v>6.0746999999999997E-3</v>
      </c>
      <c r="D414" s="824">
        <v>6.0625999999999996E-3</v>
      </c>
      <c r="E414" s="825">
        <v>2375298</v>
      </c>
      <c r="F414" s="825">
        <v>2720859</v>
      </c>
      <c r="G414" s="825">
        <v>12892548</v>
      </c>
      <c r="H414" s="825"/>
      <c r="I414" s="826">
        <v>242229</v>
      </c>
      <c r="J414" s="826">
        <v>11297982</v>
      </c>
      <c r="K414" s="826">
        <v>883024</v>
      </c>
      <c r="L414" s="825">
        <v>18885</v>
      </c>
      <c r="M414" s="825"/>
      <c r="N414" s="826">
        <v>451769</v>
      </c>
      <c r="O414" s="826">
        <v>4170026</v>
      </c>
      <c r="P414" s="826">
        <v>0</v>
      </c>
      <c r="Q414" s="825">
        <v>169326</v>
      </c>
      <c r="R414" s="825"/>
      <c r="S414" s="826">
        <v>3445989</v>
      </c>
      <c r="T414" s="827">
        <v>-41856</v>
      </c>
      <c r="U414" s="827">
        <v>3404133</v>
      </c>
    </row>
    <row r="415" spans="1:21" x14ac:dyDescent="0.25">
      <c r="A415" s="822">
        <v>94311</v>
      </c>
      <c r="B415" s="823" t="s">
        <v>2978</v>
      </c>
      <c r="C415" s="824">
        <v>7.4399999999999998E-4</v>
      </c>
      <c r="D415" s="824">
        <v>8.4360000000000001E-4</v>
      </c>
      <c r="E415" s="825">
        <v>317608</v>
      </c>
      <c r="F415" s="825">
        <v>378603</v>
      </c>
      <c r="G415" s="825">
        <v>1579017.24</v>
      </c>
      <c r="H415" s="825"/>
      <c r="I415" s="826">
        <v>29667</v>
      </c>
      <c r="J415" s="826">
        <v>1383722</v>
      </c>
      <c r="K415" s="826">
        <v>108149</v>
      </c>
      <c r="L415" s="825">
        <v>5590</v>
      </c>
      <c r="M415" s="825"/>
      <c r="N415" s="826">
        <v>55331</v>
      </c>
      <c r="O415" s="826">
        <v>510725</v>
      </c>
      <c r="P415" s="826">
        <v>0</v>
      </c>
      <c r="Q415" s="825">
        <v>74131</v>
      </c>
      <c r="R415" s="825"/>
      <c r="S415" s="826">
        <v>422048</v>
      </c>
      <c r="T415" s="827">
        <v>-19207</v>
      </c>
      <c r="U415" s="827">
        <v>402841</v>
      </c>
    </row>
    <row r="416" spans="1:21" x14ac:dyDescent="0.25">
      <c r="A416" s="822">
        <v>94313</v>
      </c>
      <c r="B416" s="823" t="s">
        <v>2979</v>
      </c>
      <c r="C416" s="824">
        <v>2.0299999999999999E-5</v>
      </c>
      <c r="D416" s="824">
        <v>1.8099999999999999E-5</v>
      </c>
      <c r="E416" s="825">
        <v>12274.81</v>
      </c>
      <c r="F416" s="825">
        <v>8123</v>
      </c>
      <c r="G416" s="825">
        <v>43083</v>
      </c>
      <c r="H416" s="825"/>
      <c r="I416" s="826">
        <v>809.46249999999998</v>
      </c>
      <c r="J416" s="826">
        <v>37755</v>
      </c>
      <c r="K416" s="826">
        <v>2951</v>
      </c>
      <c r="L416" s="825">
        <v>7808</v>
      </c>
      <c r="M416" s="825"/>
      <c r="N416" s="826">
        <v>1510</v>
      </c>
      <c r="O416" s="826">
        <v>13935</v>
      </c>
      <c r="P416" s="826">
        <v>0</v>
      </c>
      <c r="Q416" s="825">
        <v>0</v>
      </c>
      <c r="R416" s="825"/>
      <c r="S416" s="826">
        <v>11516</v>
      </c>
      <c r="T416" s="827">
        <v>2576</v>
      </c>
      <c r="U416" s="827">
        <v>14092</v>
      </c>
    </row>
    <row r="417" spans="1:21" x14ac:dyDescent="0.25">
      <c r="A417" s="822">
        <v>94317</v>
      </c>
      <c r="B417" s="823" t="s">
        <v>2980</v>
      </c>
      <c r="C417" s="824">
        <v>1.2099999999999999E-5</v>
      </c>
      <c r="D417" s="824">
        <v>1.15E-5</v>
      </c>
      <c r="E417" s="825">
        <v>8376.6</v>
      </c>
      <c r="F417" s="825">
        <v>5161</v>
      </c>
      <c r="G417" s="825">
        <v>25680</v>
      </c>
      <c r="H417" s="825"/>
      <c r="I417" s="826">
        <v>482</v>
      </c>
      <c r="J417" s="826">
        <v>22504</v>
      </c>
      <c r="K417" s="826">
        <v>1759</v>
      </c>
      <c r="L417" s="825">
        <v>6768</v>
      </c>
      <c r="M417" s="825"/>
      <c r="N417" s="826">
        <v>900</v>
      </c>
      <c r="O417" s="826">
        <v>8306</v>
      </c>
      <c r="P417" s="826">
        <v>0</v>
      </c>
      <c r="Q417" s="825">
        <v>0</v>
      </c>
      <c r="R417" s="825"/>
      <c r="S417" s="826">
        <v>6864</v>
      </c>
      <c r="T417" s="827">
        <v>2325</v>
      </c>
      <c r="U417" s="827">
        <v>9189</v>
      </c>
    </row>
    <row r="418" spans="1:21" x14ac:dyDescent="0.25">
      <c r="A418" s="822">
        <v>94321</v>
      </c>
      <c r="B418" s="823" t="s">
        <v>2981</v>
      </c>
      <c r="C418" s="824">
        <v>2.7070000000000002E-4</v>
      </c>
      <c r="D418" s="824">
        <v>2.7270000000000001E-4</v>
      </c>
      <c r="E418" s="825">
        <v>94893.09</v>
      </c>
      <c r="F418" s="825">
        <v>122386</v>
      </c>
      <c r="G418" s="825">
        <v>574516</v>
      </c>
      <c r="H418" s="825"/>
      <c r="I418" s="826">
        <v>10794</v>
      </c>
      <c r="J418" s="826">
        <v>503459</v>
      </c>
      <c r="K418" s="826">
        <v>39349</v>
      </c>
      <c r="L418" s="825">
        <v>3401</v>
      </c>
      <c r="M418" s="825"/>
      <c r="N418" s="826">
        <v>20132</v>
      </c>
      <c r="O418" s="826">
        <v>185824</v>
      </c>
      <c r="P418" s="826">
        <v>0</v>
      </c>
      <c r="Q418" s="825">
        <v>21015</v>
      </c>
      <c r="R418" s="825"/>
      <c r="S418" s="826">
        <v>153560</v>
      </c>
      <c r="T418" s="827">
        <v>-4393</v>
      </c>
      <c r="U418" s="827">
        <v>149167</v>
      </c>
    </row>
    <row r="419" spans="1:21" x14ac:dyDescent="0.25">
      <c r="A419" s="822">
        <v>94331</v>
      </c>
      <c r="B419" s="823" t="s">
        <v>2982</v>
      </c>
      <c r="C419" s="824">
        <v>1.517E-4</v>
      </c>
      <c r="D419" s="824">
        <v>1.7420000000000001E-4</v>
      </c>
      <c r="E419" s="825">
        <v>69883.19</v>
      </c>
      <c r="F419" s="825">
        <v>78180</v>
      </c>
      <c r="G419" s="825">
        <v>321958</v>
      </c>
      <c r="H419" s="825"/>
      <c r="I419" s="826">
        <v>6049</v>
      </c>
      <c r="J419" s="826">
        <v>282138</v>
      </c>
      <c r="K419" s="826">
        <v>22051</v>
      </c>
      <c r="L419" s="825">
        <v>13796</v>
      </c>
      <c r="M419" s="825"/>
      <c r="N419" s="826">
        <v>11282</v>
      </c>
      <c r="O419" s="826">
        <v>104136</v>
      </c>
      <c r="P419" s="826">
        <v>0</v>
      </c>
      <c r="Q419" s="825">
        <v>6234</v>
      </c>
      <c r="R419" s="825"/>
      <c r="S419" s="826">
        <v>86055</v>
      </c>
      <c r="T419" s="827">
        <v>4466</v>
      </c>
      <c r="U419" s="827">
        <v>90520</v>
      </c>
    </row>
    <row r="420" spans="1:21" x14ac:dyDescent="0.25">
      <c r="A420" s="822">
        <v>94341</v>
      </c>
      <c r="B420" s="823" t="s">
        <v>2983</v>
      </c>
      <c r="C420" s="824">
        <v>8.1000000000000004E-5</v>
      </c>
      <c r="D420" s="824">
        <v>8.8399999999999994E-5</v>
      </c>
      <c r="E420" s="825">
        <v>31929.82</v>
      </c>
      <c r="F420" s="825">
        <v>39673</v>
      </c>
      <c r="G420" s="825">
        <v>171909</v>
      </c>
      <c r="H420" s="825"/>
      <c r="I420" s="826">
        <v>3229.875</v>
      </c>
      <c r="J420" s="826">
        <v>150647</v>
      </c>
      <c r="K420" s="826">
        <v>11774</v>
      </c>
      <c r="L420" s="825">
        <v>513</v>
      </c>
      <c r="M420" s="825"/>
      <c r="N420" s="826">
        <v>6024</v>
      </c>
      <c r="O420" s="826">
        <v>55603</v>
      </c>
      <c r="P420" s="826">
        <v>0</v>
      </c>
      <c r="Q420" s="825">
        <v>8986</v>
      </c>
      <c r="R420" s="825"/>
      <c r="S420" s="826">
        <v>45949</v>
      </c>
      <c r="T420" s="827">
        <v>-3091</v>
      </c>
      <c r="U420" s="827">
        <v>42858</v>
      </c>
    </row>
    <row r="421" spans="1:21" x14ac:dyDescent="0.25">
      <c r="A421" s="822">
        <v>94347</v>
      </c>
      <c r="B421" s="823" t="s">
        <v>2984</v>
      </c>
      <c r="C421" s="824">
        <v>1.2300000000000001E-5</v>
      </c>
      <c r="D421" s="824">
        <v>1.31E-5</v>
      </c>
      <c r="E421" s="825">
        <v>6975</v>
      </c>
      <c r="F421" s="825">
        <v>5879</v>
      </c>
      <c r="G421" s="825">
        <v>26105</v>
      </c>
      <c r="H421" s="825"/>
      <c r="I421" s="826">
        <v>490</v>
      </c>
      <c r="J421" s="826">
        <v>22876</v>
      </c>
      <c r="K421" s="826">
        <v>1788</v>
      </c>
      <c r="L421" s="825">
        <v>3157</v>
      </c>
      <c r="M421" s="825"/>
      <c r="N421" s="826">
        <v>915</v>
      </c>
      <c r="O421" s="826">
        <v>8443</v>
      </c>
      <c r="P421" s="826">
        <v>0</v>
      </c>
      <c r="Q421" s="825">
        <v>0</v>
      </c>
      <c r="R421" s="825"/>
      <c r="S421" s="826">
        <v>6977</v>
      </c>
      <c r="T421" s="827">
        <v>1291</v>
      </c>
      <c r="U421" s="827">
        <v>8268</v>
      </c>
    </row>
    <row r="422" spans="1:21" x14ac:dyDescent="0.25">
      <c r="A422" s="822">
        <v>94351</v>
      </c>
      <c r="B422" s="823" t="s">
        <v>2985</v>
      </c>
      <c r="C422" s="824">
        <v>2.377E-4</v>
      </c>
      <c r="D422" s="824">
        <v>2.3049999999999999E-4</v>
      </c>
      <c r="E422" s="825">
        <v>90845.03</v>
      </c>
      <c r="F422" s="825">
        <v>103447</v>
      </c>
      <c r="G422" s="825">
        <v>504479</v>
      </c>
      <c r="H422" s="825"/>
      <c r="I422" s="826">
        <v>9478</v>
      </c>
      <c r="J422" s="826">
        <v>442084</v>
      </c>
      <c r="K422" s="826">
        <v>34552</v>
      </c>
      <c r="L422" s="825">
        <v>2466</v>
      </c>
      <c r="M422" s="825"/>
      <c r="N422" s="826">
        <v>17678</v>
      </c>
      <c r="O422" s="826">
        <v>163171</v>
      </c>
      <c r="P422" s="826">
        <v>0</v>
      </c>
      <c r="Q422" s="825">
        <v>4917</v>
      </c>
      <c r="R422" s="825"/>
      <c r="S422" s="826">
        <v>134840</v>
      </c>
      <c r="T422" s="827">
        <v>-1210</v>
      </c>
      <c r="U422" s="827">
        <v>133630</v>
      </c>
    </row>
    <row r="423" spans="1:21" x14ac:dyDescent="0.25">
      <c r="A423" s="822">
        <v>94401</v>
      </c>
      <c r="B423" s="823" t="s">
        <v>2986</v>
      </c>
      <c r="C423" s="824">
        <v>3.4548999999999999E-3</v>
      </c>
      <c r="D423" s="824">
        <v>3.3264000000000002E-3</v>
      </c>
      <c r="E423" s="825">
        <v>1346130.7</v>
      </c>
      <c r="F423" s="825">
        <v>1492868</v>
      </c>
      <c r="G423" s="825">
        <v>7332455</v>
      </c>
      <c r="H423" s="825"/>
      <c r="I423" s="826">
        <v>137764</v>
      </c>
      <c r="J423" s="826">
        <v>6425568</v>
      </c>
      <c r="K423" s="826">
        <v>502208</v>
      </c>
      <c r="L423" s="825">
        <v>30696</v>
      </c>
      <c r="M423" s="825"/>
      <c r="N423" s="826">
        <v>256937</v>
      </c>
      <c r="O423" s="826">
        <v>2371644</v>
      </c>
      <c r="P423" s="826">
        <v>0</v>
      </c>
      <c r="Q423" s="825">
        <v>635</v>
      </c>
      <c r="R423" s="825"/>
      <c r="S423" s="826">
        <v>1959858</v>
      </c>
      <c r="T423" s="827">
        <v>9582</v>
      </c>
      <c r="U423" s="827">
        <v>1969439</v>
      </c>
    </row>
    <row r="424" spans="1:21" x14ac:dyDescent="0.25">
      <c r="A424" s="822">
        <v>94402</v>
      </c>
      <c r="B424" s="823" t="s">
        <v>2987</v>
      </c>
      <c r="C424" s="824">
        <v>0</v>
      </c>
      <c r="D424" s="824">
        <v>0</v>
      </c>
      <c r="E424" s="825">
        <v>0</v>
      </c>
      <c r="F424" s="825">
        <v>0</v>
      </c>
      <c r="G424" s="825">
        <v>0</v>
      </c>
      <c r="H424" s="825"/>
      <c r="I424" s="826">
        <v>0</v>
      </c>
      <c r="J424" s="826">
        <v>0</v>
      </c>
      <c r="K424" s="826">
        <v>0</v>
      </c>
      <c r="L424" s="825">
        <v>0</v>
      </c>
      <c r="M424" s="825"/>
      <c r="N424" s="826">
        <v>0</v>
      </c>
      <c r="O424" s="826">
        <v>0</v>
      </c>
      <c r="P424" s="826">
        <v>0</v>
      </c>
      <c r="Q424" s="825">
        <v>2781798</v>
      </c>
      <c r="R424" s="825"/>
      <c r="S424" s="826">
        <v>0</v>
      </c>
      <c r="T424" s="827">
        <v>-1007431</v>
      </c>
      <c r="U424" s="827">
        <v>-1007431</v>
      </c>
    </row>
    <row r="425" spans="1:21" x14ac:dyDescent="0.25">
      <c r="A425" s="822">
        <v>94408</v>
      </c>
      <c r="B425" s="823" t="s">
        <v>2988</v>
      </c>
      <c r="C425" s="824">
        <v>4.0099999999999999E-5</v>
      </c>
      <c r="D425" s="824">
        <v>1.9000000000000001E-5</v>
      </c>
      <c r="E425" s="825">
        <v>13760</v>
      </c>
      <c r="F425" s="825">
        <v>8527</v>
      </c>
      <c r="G425" s="825">
        <v>85106</v>
      </c>
      <c r="H425" s="825"/>
      <c r="I425" s="826">
        <v>1599</v>
      </c>
      <c r="J425" s="826">
        <v>74580</v>
      </c>
      <c r="K425" s="826">
        <v>5829</v>
      </c>
      <c r="L425" s="825">
        <v>10369</v>
      </c>
      <c r="M425" s="825"/>
      <c r="N425" s="826">
        <v>2982</v>
      </c>
      <c r="O425" s="826">
        <v>27527</v>
      </c>
      <c r="P425" s="826">
        <v>0</v>
      </c>
      <c r="Q425" s="825">
        <v>3687</v>
      </c>
      <c r="R425" s="825"/>
      <c r="S425" s="826">
        <v>22747</v>
      </c>
      <c r="T425" s="827">
        <v>939</v>
      </c>
      <c r="U425" s="827">
        <v>23687</v>
      </c>
    </row>
    <row r="426" spans="1:21" x14ac:dyDescent="0.25">
      <c r="A426" s="822">
        <v>94411</v>
      </c>
      <c r="B426" s="823" t="s">
        <v>2989</v>
      </c>
      <c r="C426" s="824">
        <v>1.1592E-3</v>
      </c>
      <c r="D426" s="824">
        <v>1.1820999999999999E-3</v>
      </c>
      <c r="E426" s="825">
        <v>485425</v>
      </c>
      <c r="F426" s="825">
        <v>530519</v>
      </c>
      <c r="G426" s="825">
        <v>2460211</v>
      </c>
      <c r="H426" s="825"/>
      <c r="I426" s="826">
        <v>46223.1</v>
      </c>
      <c r="J426" s="826">
        <v>2155929</v>
      </c>
      <c r="K426" s="826">
        <v>168502</v>
      </c>
      <c r="L426" s="825">
        <v>19239</v>
      </c>
      <c r="M426" s="825"/>
      <c r="N426" s="826">
        <v>86209</v>
      </c>
      <c r="O426" s="826">
        <v>795742</v>
      </c>
      <c r="P426" s="826">
        <v>0</v>
      </c>
      <c r="Q426" s="825">
        <v>5607</v>
      </c>
      <c r="R426" s="825"/>
      <c r="S426" s="826">
        <v>657578</v>
      </c>
      <c r="T426" s="827">
        <v>5340</v>
      </c>
      <c r="U426" s="827">
        <v>662918</v>
      </c>
    </row>
    <row r="427" spans="1:21" x14ac:dyDescent="0.25">
      <c r="A427" s="822">
        <v>94412</v>
      </c>
      <c r="B427" s="823" t="s">
        <v>2990</v>
      </c>
      <c r="C427" s="824">
        <v>1.63E-5</v>
      </c>
      <c r="D427" s="824">
        <v>1.7200000000000001E-5</v>
      </c>
      <c r="E427" s="825">
        <v>13713</v>
      </c>
      <c r="F427" s="825">
        <v>7719</v>
      </c>
      <c r="G427" s="825">
        <v>34594</v>
      </c>
      <c r="H427" s="825"/>
      <c r="I427" s="826">
        <v>649.96249999999998</v>
      </c>
      <c r="J427" s="826">
        <v>30315</v>
      </c>
      <c r="K427" s="826">
        <v>2369</v>
      </c>
      <c r="L427" s="825">
        <v>13305</v>
      </c>
      <c r="M427" s="825"/>
      <c r="N427" s="826">
        <v>1212</v>
      </c>
      <c r="O427" s="826">
        <v>11189</v>
      </c>
      <c r="P427" s="826">
        <v>0</v>
      </c>
      <c r="Q427" s="825">
        <v>0</v>
      </c>
      <c r="R427" s="825"/>
      <c r="S427" s="826">
        <v>9246</v>
      </c>
      <c r="T427" s="827">
        <v>4869</v>
      </c>
      <c r="U427" s="827">
        <v>14116</v>
      </c>
    </row>
    <row r="428" spans="1:21" x14ac:dyDescent="0.25">
      <c r="A428" s="822">
        <v>94421</v>
      </c>
      <c r="B428" s="823" t="s">
        <v>2991</v>
      </c>
      <c r="C428" s="824">
        <v>1.6899999999999999E-4</v>
      </c>
      <c r="D428" s="824">
        <v>1.7149999999999999E-4</v>
      </c>
      <c r="E428" s="825">
        <v>68013</v>
      </c>
      <c r="F428" s="825">
        <v>76968</v>
      </c>
      <c r="G428" s="825">
        <v>358675</v>
      </c>
      <c r="H428" s="825"/>
      <c r="I428" s="826">
        <v>6739</v>
      </c>
      <c r="J428" s="826">
        <v>314313</v>
      </c>
      <c r="K428" s="826">
        <v>24566</v>
      </c>
      <c r="L428" s="825">
        <v>3528</v>
      </c>
      <c r="M428" s="825"/>
      <c r="N428" s="826">
        <v>12568</v>
      </c>
      <c r="O428" s="826">
        <v>116011</v>
      </c>
      <c r="P428" s="826">
        <v>0</v>
      </c>
      <c r="Q428" s="825">
        <v>12354</v>
      </c>
      <c r="R428" s="825"/>
      <c r="S428" s="826">
        <v>95868</v>
      </c>
      <c r="T428" s="827">
        <v>-4340</v>
      </c>
      <c r="U428" s="827">
        <v>91529</v>
      </c>
    </row>
    <row r="429" spans="1:21" x14ac:dyDescent="0.25">
      <c r="A429" s="822">
        <v>94427</v>
      </c>
      <c r="B429" s="823" t="s">
        <v>2992</v>
      </c>
      <c r="C429" s="824">
        <v>1.29E-5</v>
      </c>
      <c r="D429" s="824">
        <v>1.56E-5</v>
      </c>
      <c r="E429" s="825">
        <v>6501.51</v>
      </c>
      <c r="F429" s="825">
        <v>7001</v>
      </c>
      <c r="G429" s="825">
        <v>27378</v>
      </c>
      <c r="H429" s="825"/>
      <c r="I429" s="826">
        <v>514</v>
      </c>
      <c r="J429" s="826">
        <v>23992</v>
      </c>
      <c r="K429" s="826">
        <v>1875</v>
      </c>
      <c r="L429" s="825">
        <v>785</v>
      </c>
      <c r="M429" s="825"/>
      <c r="N429" s="826">
        <v>959</v>
      </c>
      <c r="O429" s="826">
        <v>8855</v>
      </c>
      <c r="P429" s="826">
        <v>0</v>
      </c>
      <c r="Q429" s="825">
        <v>709</v>
      </c>
      <c r="R429" s="825"/>
      <c r="S429" s="826">
        <v>7318</v>
      </c>
      <c r="T429" s="827">
        <v>47</v>
      </c>
      <c r="U429" s="827">
        <v>7365</v>
      </c>
    </row>
    <row r="430" spans="1:21" x14ac:dyDescent="0.25">
      <c r="A430" s="822">
        <v>94428</v>
      </c>
      <c r="B430" s="823" t="s">
        <v>2993</v>
      </c>
      <c r="C430" s="824">
        <v>7.4400000000000006E-5</v>
      </c>
      <c r="D430" s="824">
        <v>7.7799999999999994E-5</v>
      </c>
      <c r="E430" s="825">
        <v>33919</v>
      </c>
      <c r="F430" s="825">
        <v>34916</v>
      </c>
      <c r="G430" s="825">
        <v>157902</v>
      </c>
      <c r="H430" s="825"/>
      <c r="I430" s="826">
        <v>2967</v>
      </c>
      <c r="J430" s="826">
        <v>138372</v>
      </c>
      <c r="K430" s="826">
        <v>10815</v>
      </c>
      <c r="L430" s="825">
        <v>3518</v>
      </c>
      <c r="M430" s="825"/>
      <c r="N430" s="826">
        <v>5533</v>
      </c>
      <c r="O430" s="826">
        <v>51072</v>
      </c>
      <c r="P430" s="826">
        <v>0</v>
      </c>
      <c r="Q430" s="825">
        <v>0</v>
      </c>
      <c r="R430" s="825"/>
      <c r="S430" s="826">
        <v>42205</v>
      </c>
      <c r="T430" s="827">
        <v>1203</v>
      </c>
      <c r="U430" s="827">
        <v>43408</v>
      </c>
    </row>
    <row r="431" spans="1:21" x14ac:dyDescent="0.25">
      <c r="A431" s="822">
        <v>94431</v>
      </c>
      <c r="B431" s="823" t="s">
        <v>2994</v>
      </c>
      <c r="C431" s="824">
        <v>3.7589999999999998E-4</v>
      </c>
      <c r="D431" s="824">
        <v>3.6390000000000001E-4</v>
      </c>
      <c r="E431" s="825">
        <v>261746</v>
      </c>
      <c r="F431" s="825">
        <v>163316</v>
      </c>
      <c r="G431" s="825">
        <v>797786</v>
      </c>
      <c r="H431" s="825"/>
      <c r="I431" s="826">
        <v>14989</v>
      </c>
      <c r="J431" s="826">
        <v>699115</v>
      </c>
      <c r="K431" s="826">
        <v>54641</v>
      </c>
      <c r="L431" s="825">
        <v>140656</v>
      </c>
      <c r="M431" s="825"/>
      <c r="N431" s="826">
        <v>27955</v>
      </c>
      <c r="O431" s="826">
        <v>258040</v>
      </c>
      <c r="P431" s="826">
        <v>0</v>
      </c>
      <c r="Q431" s="825">
        <v>1228</v>
      </c>
      <c r="R431" s="825"/>
      <c r="S431" s="826">
        <v>213236</v>
      </c>
      <c r="T431" s="827">
        <v>40508</v>
      </c>
      <c r="U431" s="827">
        <v>253745</v>
      </c>
    </row>
    <row r="432" spans="1:21" x14ac:dyDescent="0.25">
      <c r="A432" s="822">
        <v>94437</v>
      </c>
      <c r="B432" s="823" t="s">
        <v>2995</v>
      </c>
      <c r="C432" s="824">
        <v>1.34E-5</v>
      </c>
      <c r="D432" s="824">
        <v>1.1600000000000001E-5</v>
      </c>
      <c r="E432" s="825">
        <v>11266</v>
      </c>
      <c r="F432" s="825">
        <v>5206</v>
      </c>
      <c r="G432" s="825">
        <v>28439</v>
      </c>
      <c r="H432" s="825"/>
      <c r="I432" s="826">
        <v>534</v>
      </c>
      <c r="J432" s="826">
        <v>24922</v>
      </c>
      <c r="K432" s="826">
        <v>1948</v>
      </c>
      <c r="L432" s="825">
        <v>12092</v>
      </c>
      <c r="M432" s="825"/>
      <c r="N432" s="826">
        <v>997</v>
      </c>
      <c r="O432" s="826">
        <v>9199</v>
      </c>
      <c r="P432" s="826">
        <v>0</v>
      </c>
      <c r="Q432" s="825">
        <v>0</v>
      </c>
      <c r="R432" s="825"/>
      <c r="S432" s="826">
        <v>7601</v>
      </c>
      <c r="T432" s="827">
        <v>4157</v>
      </c>
      <c r="U432" s="827">
        <v>11759</v>
      </c>
    </row>
    <row r="433" spans="1:21" x14ac:dyDescent="0.25">
      <c r="A433" s="822">
        <v>94501</v>
      </c>
      <c r="B433" s="823" t="s">
        <v>2996</v>
      </c>
      <c r="C433" s="824">
        <v>5.8474E-3</v>
      </c>
      <c r="D433" s="824">
        <v>5.5922999999999997E-3</v>
      </c>
      <c r="E433" s="825">
        <v>2261129.31</v>
      </c>
      <c r="F433" s="825">
        <v>2509791</v>
      </c>
      <c r="G433" s="825">
        <v>12410142</v>
      </c>
      <c r="H433" s="825"/>
      <c r="I433" s="826">
        <v>233165</v>
      </c>
      <c r="J433" s="826">
        <v>10875240</v>
      </c>
      <c r="K433" s="826">
        <v>849984</v>
      </c>
      <c r="L433" s="825">
        <v>248127</v>
      </c>
      <c r="M433" s="825"/>
      <c r="N433" s="826">
        <v>434865</v>
      </c>
      <c r="O433" s="826">
        <v>4013995</v>
      </c>
      <c r="P433" s="826">
        <v>0</v>
      </c>
      <c r="Q433" s="825">
        <v>0</v>
      </c>
      <c r="R433" s="825"/>
      <c r="S433" s="826">
        <v>3317049</v>
      </c>
      <c r="T433" s="827">
        <v>102688</v>
      </c>
      <c r="U433" s="827">
        <v>3419736</v>
      </c>
    </row>
    <row r="434" spans="1:21" x14ac:dyDescent="0.25">
      <c r="A434" s="822">
        <v>94511</v>
      </c>
      <c r="B434" s="823" t="s">
        <v>2997</v>
      </c>
      <c r="C434" s="824">
        <v>1.7432000000000001E-3</v>
      </c>
      <c r="D434" s="824">
        <v>1.7692999999999999E-3</v>
      </c>
      <c r="E434" s="825">
        <v>680925.99</v>
      </c>
      <c r="F434" s="825">
        <v>794051</v>
      </c>
      <c r="G434" s="825">
        <v>3699654</v>
      </c>
      <c r="H434" s="825"/>
      <c r="I434" s="826">
        <v>69510</v>
      </c>
      <c r="J434" s="826">
        <v>3242077</v>
      </c>
      <c r="K434" s="826">
        <v>253393</v>
      </c>
      <c r="L434" s="825">
        <v>224818</v>
      </c>
      <c r="M434" s="825"/>
      <c r="N434" s="826">
        <v>129640</v>
      </c>
      <c r="O434" s="826">
        <v>1196634</v>
      </c>
      <c r="P434" s="826">
        <v>0</v>
      </c>
      <c r="Q434" s="825">
        <v>42694</v>
      </c>
      <c r="R434" s="825"/>
      <c r="S434" s="826">
        <v>988863</v>
      </c>
      <c r="T434" s="827">
        <v>69976</v>
      </c>
      <c r="U434" s="827">
        <v>1058839</v>
      </c>
    </row>
    <row r="435" spans="1:21" x14ac:dyDescent="0.25">
      <c r="A435" s="822">
        <v>94512</v>
      </c>
      <c r="B435" s="823" t="s">
        <v>2998</v>
      </c>
      <c r="C435" s="824">
        <v>0</v>
      </c>
      <c r="D435" s="824">
        <v>0</v>
      </c>
      <c r="E435" s="825">
        <v>0</v>
      </c>
      <c r="F435" s="825">
        <v>0</v>
      </c>
      <c r="G435" s="825">
        <v>0</v>
      </c>
      <c r="H435" s="825"/>
      <c r="I435" s="826">
        <v>0</v>
      </c>
      <c r="J435" s="826">
        <v>0</v>
      </c>
      <c r="K435" s="826">
        <v>0</v>
      </c>
      <c r="L435" s="825">
        <v>0</v>
      </c>
      <c r="M435" s="825"/>
      <c r="N435" s="826">
        <v>0</v>
      </c>
      <c r="O435" s="826">
        <v>0</v>
      </c>
      <c r="P435" s="826">
        <v>0</v>
      </c>
      <c r="Q435" s="825">
        <v>217292</v>
      </c>
      <c r="R435" s="825"/>
      <c r="S435" s="826">
        <v>0</v>
      </c>
      <c r="T435" s="827">
        <v>-78713</v>
      </c>
      <c r="U435" s="827">
        <v>-78713</v>
      </c>
    </row>
    <row r="436" spans="1:21" x14ac:dyDescent="0.25">
      <c r="A436" s="822">
        <v>94517</v>
      </c>
      <c r="B436" s="823" t="s">
        <v>2999</v>
      </c>
      <c r="C436" s="824">
        <v>4.9599999999999999E-5</v>
      </c>
      <c r="D436" s="824">
        <v>4.9100000000000001E-5</v>
      </c>
      <c r="E436" s="825">
        <v>28272.959999999999</v>
      </c>
      <c r="F436" s="825">
        <v>22036</v>
      </c>
      <c r="G436" s="825">
        <v>105268</v>
      </c>
      <c r="H436" s="825"/>
      <c r="I436" s="826">
        <v>1977.8</v>
      </c>
      <c r="J436" s="826">
        <v>92248</v>
      </c>
      <c r="K436" s="826">
        <v>7210</v>
      </c>
      <c r="L436" s="825">
        <v>19501</v>
      </c>
      <c r="M436" s="825"/>
      <c r="N436" s="826">
        <v>3689</v>
      </c>
      <c r="O436" s="826">
        <v>34048</v>
      </c>
      <c r="P436" s="826">
        <v>0</v>
      </c>
      <c r="Q436" s="825">
        <v>0</v>
      </c>
      <c r="R436" s="825"/>
      <c r="S436" s="826">
        <v>28137</v>
      </c>
      <c r="T436" s="827">
        <v>7376</v>
      </c>
      <c r="U436" s="827">
        <v>35513</v>
      </c>
    </row>
    <row r="437" spans="1:21" x14ac:dyDescent="0.25">
      <c r="A437" s="822">
        <v>94521</v>
      </c>
      <c r="B437" s="823" t="s">
        <v>3000</v>
      </c>
      <c r="C437" s="824">
        <v>1.2410000000000001E-4</v>
      </c>
      <c r="D437" s="824">
        <v>1.6320000000000001E-4</v>
      </c>
      <c r="E437" s="825">
        <v>54157.59</v>
      </c>
      <c r="F437" s="825">
        <v>73243</v>
      </c>
      <c r="G437" s="825">
        <v>263382</v>
      </c>
      <c r="H437" s="825"/>
      <c r="I437" s="826">
        <v>4948</v>
      </c>
      <c r="J437" s="826">
        <v>230806</v>
      </c>
      <c r="K437" s="826">
        <v>18039</v>
      </c>
      <c r="L437" s="825">
        <v>5851</v>
      </c>
      <c r="M437" s="825"/>
      <c r="N437" s="826">
        <v>9229</v>
      </c>
      <c r="O437" s="826">
        <v>85189</v>
      </c>
      <c r="P437" s="826">
        <v>0</v>
      </c>
      <c r="Q437" s="825">
        <v>18701</v>
      </c>
      <c r="R437" s="825"/>
      <c r="S437" s="826">
        <v>70398</v>
      </c>
      <c r="T437" s="827">
        <v>-2526</v>
      </c>
      <c r="U437" s="827">
        <v>67872</v>
      </c>
    </row>
    <row r="438" spans="1:21" x14ac:dyDescent="0.25">
      <c r="A438" s="822">
        <v>94527</v>
      </c>
      <c r="B438" s="823" t="s">
        <v>3001</v>
      </c>
      <c r="C438" s="824">
        <v>6.3999999999999997E-6</v>
      </c>
      <c r="D438" s="824">
        <v>9.0000000000000002E-6</v>
      </c>
      <c r="E438" s="825">
        <v>0</v>
      </c>
      <c r="F438" s="825">
        <v>4039</v>
      </c>
      <c r="G438" s="825">
        <v>13583</v>
      </c>
      <c r="H438" s="825"/>
      <c r="I438" s="826">
        <v>255.2</v>
      </c>
      <c r="J438" s="826">
        <v>11903</v>
      </c>
      <c r="K438" s="826">
        <v>930</v>
      </c>
      <c r="L438" s="825">
        <v>477</v>
      </c>
      <c r="M438" s="825"/>
      <c r="N438" s="826">
        <v>476</v>
      </c>
      <c r="O438" s="826">
        <v>4393</v>
      </c>
      <c r="P438" s="826">
        <v>0</v>
      </c>
      <c r="Q438" s="825">
        <v>3557</v>
      </c>
      <c r="R438" s="825"/>
      <c r="S438" s="826">
        <v>3631</v>
      </c>
      <c r="T438" s="827">
        <v>-766</v>
      </c>
      <c r="U438" s="827">
        <v>2864</v>
      </c>
    </row>
    <row r="439" spans="1:21" x14ac:dyDescent="0.25">
      <c r="A439" s="822">
        <v>94531</v>
      </c>
      <c r="B439" s="823" t="s">
        <v>3002</v>
      </c>
      <c r="C439" s="824">
        <v>1.5500000000000001E-5</v>
      </c>
      <c r="D439" s="824">
        <v>1.66E-5</v>
      </c>
      <c r="E439" s="825">
        <v>9989</v>
      </c>
      <c r="F439" s="825">
        <v>7450</v>
      </c>
      <c r="G439" s="825">
        <v>32896</v>
      </c>
      <c r="H439" s="825"/>
      <c r="I439" s="826">
        <v>618.0625</v>
      </c>
      <c r="J439" s="826">
        <v>28828</v>
      </c>
      <c r="K439" s="826">
        <v>2253</v>
      </c>
      <c r="L439" s="825">
        <v>5256</v>
      </c>
      <c r="M439" s="825"/>
      <c r="N439" s="826">
        <v>1153</v>
      </c>
      <c r="O439" s="826">
        <v>10640</v>
      </c>
      <c r="P439" s="826">
        <v>0</v>
      </c>
      <c r="Q439" s="825">
        <v>0</v>
      </c>
      <c r="R439" s="825"/>
      <c r="S439" s="826">
        <v>8793</v>
      </c>
      <c r="T439" s="827">
        <v>1863</v>
      </c>
      <c r="U439" s="827">
        <v>10656</v>
      </c>
    </row>
    <row r="440" spans="1:21" x14ac:dyDescent="0.25">
      <c r="A440" s="822">
        <v>94532</v>
      </c>
      <c r="B440" s="823" t="s">
        <v>3003</v>
      </c>
      <c r="C440" s="824">
        <v>9.4099999999999997E-5</v>
      </c>
      <c r="D440" s="824">
        <v>1.155E-4</v>
      </c>
      <c r="E440" s="825">
        <v>41786.75</v>
      </c>
      <c r="F440" s="825">
        <v>51836</v>
      </c>
      <c r="G440" s="825">
        <v>199712</v>
      </c>
      <c r="H440" s="825"/>
      <c r="I440" s="826">
        <v>3752</v>
      </c>
      <c r="J440" s="826">
        <v>175011</v>
      </c>
      <c r="K440" s="826">
        <v>13678</v>
      </c>
      <c r="L440" s="825">
        <v>0</v>
      </c>
      <c r="M440" s="825"/>
      <c r="N440" s="826">
        <v>6998</v>
      </c>
      <c r="O440" s="826">
        <v>64596</v>
      </c>
      <c r="P440" s="826">
        <v>0</v>
      </c>
      <c r="Q440" s="825">
        <v>15319</v>
      </c>
      <c r="R440" s="825"/>
      <c r="S440" s="826">
        <v>53380</v>
      </c>
      <c r="T440" s="827">
        <v>-5410</v>
      </c>
      <c r="U440" s="827">
        <v>47970</v>
      </c>
    </row>
    <row r="441" spans="1:21" x14ac:dyDescent="0.25">
      <c r="A441" s="822">
        <v>94541</v>
      </c>
      <c r="B441" s="823" t="s">
        <v>3004</v>
      </c>
      <c r="C441" s="824">
        <v>2.9839999999999999E-4</v>
      </c>
      <c r="D441" s="824">
        <v>2.8739999999999999E-4</v>
      </c>
      <c r="E441" s="825">
        <v>104979.31</v>
      </c>
      <c r="F441" s="825">
        <v>128983</v>
      </c>
      <c r="G441" s="825">
        <v>633305</v>
      </c>
      <c r="H441" s="825"/>
      <c r="I441" s="826">
        <v>11899</v>
      </c>
      <c r="J441" s="826">
        <v>554977</v>
      </c>
      <c r="K441" s="826">
        <v>43376</v>
      </c>
      <c r="L441" s="825">
        <v>0</v>
      </c>
      <c r="M441" s="825"/>
      <c r="N441" s="826">
        <v>22192</v>
      </c>
      <c r="O441" s="826">
        <v>204839</v>
      </c>
      <c r="P441" s="826">
        <v>0</v>
      </c>
      <c r="Q441" s="825">
        <v>23573</v>
      </c>
      <c r="R441" s="825"/>
      <c r="S441" s="826">
        <v>169273</v>
      </c>
      <c r="T441" s="827">
        <v>-7692</v>
      </c>
      <c r="U441" s="827">
        <v>161581</v>
      </c>
    </row>
    <row r="442" spans="1:21" x14ac:dyDescent="0.25">
      <c r="A442" s="822">
        <v>94547</v>
      </c>
      <c r="B442" s="823" t="s">
        <v>3005</v>
      </c>
      <c r="C442" s="824">
        <v>1.24E-5</v>
      </c>
      <c r="D442" s="824">
        <v>1.3499999999999999E-5</v>
      </c>
      <c r="E442" s="825">
        <v>7369</v>
      </c>
      <c r="F442" s="825">
        <v>6059</v>
      </c>
      <c r="G442" s="825">
        <v>26317</v>
      </c>
      <c r="H442" s="825"/>
      <c r="I442" s="826">
        <v>494.45</v>
      </c>
      <c r="J442" s="826">
        <v>23062</v>
      </c>
      <c r="K442" s="826">
        <v>1802</v>
      </c>
      <c r="L442" s="825">
        <v>2133</v>
      </c>
      <c r="M442" s="825"/>
      <c r="N442" s="826">
        <v>922</v>
      </c>
      <c r="O442" s="826">
        <v>8512</v>
      </c>
      <c r="P442" s="826">
        <v>0</v>
      </c>
      <c r="Q442" s="825">
        <v>0</v>
      </c>
      <c r="R442" s="825"/>
      <c r="S442" s="826">
        <v>7034</v>
      </c>
      <c r="T442" s="827">
        <v>656</v>
      </c>
      <c r="U442" s="827">
        <v>7690</v>
      </c>
    </row>
    <row r="443" spans="1:21" x14ac:dyDescent="0.25">
      <c r="A443" s="822">
        <v>94551</v>
      </c>
      <c r="B443" s="823" t="s">
        <v>3006</v>
      </c>
      <c r="C443" s="824">
        <v>4.5899999999999998E-5</v>
      </c>
      <c r="D443" s="824">
        <v>3.0599999999999998E-5</v>
      </c>
      <c r="E443" s="825">
        <v>22107</v>
      </c>
      <c r="F443" s="825">
        <v>13733</v>
      </c>
      <c r="G443" s="825">
        <v>97415</v>
      </c>
      <c r="H443" s="825"/>
      <c r="I443" s="826">
        <v>1830</v>
      </c>
      <c r="J443" s="826">
        <v>85367</v>
      </c>
      <c r="K443" s="826">
        <v>6672</v>
      </c>
      <c r="L443" s="825">
        <v>14242</v>
      </c>
      <c r="M443" s="825"/>
      <c r="N443" s="826">
        <v>3414</v>
      </c>
      <c r="O443" s="826">
        <v>31508</v>
      </c>
      <c r="P443" s="826">
        <v>0</v>
      </c>
      <c r="Q443" s="825">
        <v>2442</v>
      </c>
      <c r="R443" s="825"/>
      <c r="S443" s="826">
        <v>26038</v>
      </c>
      <c r="T443" s="827">
        <v>3648</v>
      </c>
      <c r="U443" s="827">
        <v>29686</v>
      </c>
    </row>
    <row r="444" spans="1:21" x14ac:dyDescent="0.25">
      <c r="A444" s="822">
        <v>94601</v>
      </c>
      <c r="B444" s="823" t="s">
        <v>3007</v>
      </c>
      <c r="C444" s="824">
        <v>1.0011E-3</v>
      </c>
      <c r="D444" s="824">
        <v>9.7179999999999999E-4</v>
      </c>
      <c r="E444" s="825">
        <v>433754</v>
      </c>
      <c r="F444" s="825">
        <v>436138</v>
      </c>
      <c r="G444" s="825">
        <v>2124670</v>
      </c>
      <c r="H444" s="825"/>
      <c r="I444" s="826">
        <v>39919</v>
      </c>
      <c r="J444" s="826">
        <v>1861888</v>
      </c>
      <c r="K444" s="826">
        <v>145521</v>
      </c>
      <c r="L444" s="825">
        <v>36047</v>
      </c>
      <c r="M444" s="825"/>
      <c r="N444" s="826">
        <v>74451</v>
      </c>
      <c r="O444" s="826">
        <v>687213</v>
      </c>
      <c r="P444" s="826">
        <v>0</v>
      </c>
      <c r="Q444" s="825">
        <v>3381</v>
      </c>
      <c r="R444" s="825"/>
      <c r="S444" s="826">
        <v>567893</v>
      </c>
      <c r="T444" s="827">
        <v>8786</v>
      </c>
      <c r="U444" s="827">
        <v>576679</v>
      </c>
    </row>
    <row r="445" spans="1:21" x14ac:dyDescent="0.25">
      <c r="A445" s="822">
        <v>94604</v>
      </c>
      <c r="B445" s="823" t="s">
        <v>3008</v>
      </c>
      <c r="C445" s="824">
        <v>2.65E-5</v>
      </c>
      <c r="D445" s="824">
        <v>2.76E-5</v>
      </c>
      <c r="E445" s="825">
        <v>12705</v>
      </c>
      <c r="F445" s="825">
        <v>12387</v>
      </c>
      <c r="G445" s="825">
        <v>56242</v>
      </c>
      <c r="H445" s="825"/>
      <c r="I445" s="826">
        <v>1056.6875</v>
      </c>
      <c r="J445" s="826">
        <v>49286</v>
      </c>
      <c r="K445" s="826">
        <v>3852</v>
      </c>
      <c r="L445" s="825">
        <v>1065</v>
      </c>
      <c r="M445" s="825"/>
      <c r="N445" s="826">
        <v>1971</v>
      </c>
      <c r="O445" s="826">
        <v>18191</v>
      </c>
      <c r="P445" s="826">
        <v>0</v>
      </c>
      <c r="Q445" s="825">
        <v>52</v>
      </c>
      <c r="R445" s="825"/>
      <c r="S445" s="826">
        <v>15033</v>
      </c>
      <c r="T445" s="827">
        <v>272</v>
      </c>
      <c r="U445" s="827">
        <v>15304</v>
      </c>
    </row>
    <row r="446" spans="1:21" x14ac:dyDescent="0.25">
      <c r="A446" s="822">
        <v>94606</v>
      </c>
      <c r="B446" s="823" t="s">
        <v>3009</v>
      </c>
      <c r="C446" s="824">
        <v>2.6229999999999998E-4</v>
      </c>
      <c r="D446" s="824">
        <v>2.8610000000000002E-4</v>
      </c>
      <c r="E446" s="825">
        <v>101571</v>
      </c>
      <c r="F446" s="825">
        <v>128400</v>
      </c>
      <c r="G446" s="825">
        <v>556688</v>
      </c>
      <c r="H446" s="825"/>
      <c r="I446" s="826">
        <v>10459</v>
      </c>
      <c r="J446" s="826">
        <v>487837</v>
      </c>
      <c r="K446" s="826">
        <v>38128</v>
      </c>
      <c r="L446" s="825">
        <v>0</v>
      </c>
      <c r="M446" s="825"/>
      <c r="N446" s="826">
        <v>19507</v>
      </c>
      <c r="O446" s="826">
        <v>180058</v>
      </c>
      <c r="P446" s="826">
        <v>0</v>
      </c>
      <c r="Q446" s="825">
        <v>52213</v>
      </c>
      <c r="R446" s="825"/>
      <c r="S446" s="826">
        <v>148795</v>
      </c>
      <c r="T446" s="827">
        <v>-19437</v>
      </c>
      <c r="U446" s="827">
        <v>129358</v>
      </c>
    </row>
    <row r="447" spans="1:21" x14ac:dyDescent="0.25">
      <c r="A447" s="822">
        <v>94611</v>
      </c>
      <c r="B447" s="823" t="s">
        <v>3010</v>
      </c>
      <c r="C447" s="824">
        <v>4.4450000000000002E-4</v>
      </c>
      <c r="D447" s="824">
        <v>4.5360000000000002E-4</v>
      </c>
      <c r="E447" s="825">
        <v>189159.12</v>
      </c>
      <c r="F447" s="825">
        <v>203573</v>
      </c>
      <c r="G447" s="825">
        <v>943378</v>
      </c>
      <c r="H447" s="825"/>
      <c r="I447" s="826">
        <v>17724.4375</v>
      </c>
      <c r="J447" s="826">
        <v>826700</v>
      </c>
      <c r="K447" s="826">
        <v>64613</v>
      </c>
      <c r="L447" s="825">
        <v>3960</v>
      </c>
      <c r="M447" s="825"/>
      <c r="N447" s="826">
        <v>33057</v>
      </c>
      <c r="O447" s="826">
        <v>305131</v>
      </c>
      <c r="P447" s="826">
        <v>0</v>
      </c>
      <c r="Q447" s="825">
        <v>4915.3</v>
      </c>
      <c r="R447" s="825"/>
      <c r="S447" s="826">
        <v>252151</v>
      </c>
      <c r="T447" s="827">
        <v>-1078</v>
      </c>
      <c r="U447" s="827">
        <v>251074</v>
      </c>
    </row>
    <row r="448" spans="1:21" x14ac:dyDescent="0.25">
      <c r="A448" s="822">
        <v>94621</v>
      </c>
      <c r="B448" s="823" t="s">
        <v>3011</v>
      </c>
      <c r="C448" s="824">
        <v>1.3119999999999999E-4</v>
      </c>
      <c r="D448" s="824">
        <v>1.5200000000000001E-4</v>
      </c>
      <c r="E448" s="825">
        <v>64393.31</v>
      </c>
      <c r="F448" s="825">
        <v>68217</v>
      </c>
      <c r="G448" s="825">
        <v>278450</v>
      </c>
      <c r="H448" s="825"/>
      <c r="I448" s="826">
        <v>5232</v>
      </c>
      <c r="J448" s="826">
        <v>244011</v>
      </c>
      <c r="K448" s="826">
        <v>19071</v>
      </c>
      <c r="L448" s="825">
        <v>13237</v>
      </c>
      <c r="M448" s="825"/>
      <c r="N448" s="826">
        <v>9757</v>
      </c>
      <c r="O448" s="826">
        <v>90063</v>
      </c>
      <c r="P448" s="826">
        <v>0</v>
      </c>
      <c r="Q448" s="825">
        <v>19570</v>
      </c>
      <c r="R448" s="825"/>
      <c r="S448" s="826">
        <v>74426</v>
      </c>
      <c r="T448" s="827">
        <v>-3</v>
      </c>
      <c r="U448" s="827">
        <v>74422</v>
      </c>
    </row>
    <row r="449" spans="1:21" x14ac:dyDescent="0.25">
      <c r="A449" s="822">
        <v>94631</v>
      </c>
      <c r="B449" s="823" t="s">
        <v>3012</v>
      </c>
      <c r="C449" s="824">
        <v>3.9799999999999998E-5</v>
      </c>
      <c r="D449" s="824">
        <v>4.0299999999999997E-5</v>
      </c>
      <c r="E449" s="825">
        <v>19878.57</v>
      </c>
      <c r="F449" s="825">
        <v>18086</v>
      </c>
      <c r="G449" s="825">
        <v>84469</v>
      </c>
      <c r="H449" s="825"/>
      <c r="I449" s="826">
        <v>1587</v>
      </c>
      <c r="J449" s="826">
        <v>74022</v>
      </c>
      <c r="K449" s="826">
        <v>5785</v>
      </c>
      <c r="L449" s="825">
        <v>5170</v>
      </c>
      <c r="M449" s="825"/>
      <c r="N449" s="826">
        <v>2960</v>
      </c>
      <c r="O449" s="826">
        <v>27321</v>
      </c>
      <c r="P449" s="826">
        <v>0</v>
      </c>
      <c r="Q449" s="825">
        <v>0</v>
      </c>
      <c r="R449" s="825"/>
      <c r="S449" s="826">
        <v>22577</v>
      </c>
      <c r="T449" s="827">
        <v>1734</v>
      </c>
      <c r="U449" s="827">
        <v>24311</v>
      </c>
    </row>
    <row r="450" spans="1:21" x14ac:dyDescent="0.25">
      <c r="A450" s="822">
        <v>94641</v>
      </c>
      <c r="B450" s="823" t="s">
        <v>3013</v>
      </c>
      <c r="C450" s="824">
        <v>4.6999999999999999E-6</v>
      </c>
      <c r="D450" s="824">
        <v>4.6999999999999999E-6</v>
      </c>
      <c r="E450" s="825">
        <v>4524.25</v>
      </c>
      <c r="F450" s="825">
        <v>2109</v>
      </c>
      <c r="G450" s="825">
        <v>9975</v>
      </c>
      <c r="H450" s="825"/>
      <c r="I450" s="826">
        <v>187.41249999999999</v>
      </c>
      <c r="J450" s="826">
        <v>8741</v>
      </c>
      <c r="K450" s="826">
        <v>683</v>
      </c>
      <c r="L450" s="825">
        <v>4799</v>
      </c>
      <c r="M450" s="825"/>
      <c r="N450" s="826">
        <v>350</v>
      </c>
      <c r="O450" s="826">
        <v>3226</v>
      </c>
      <c r="P450" s="826">
        <v>0</v>
      </c>
      <c r="Q450" s="825">
        <v>0</v>
      </c>
      <c r="R450" s="825"/>
      <c r="S450" s="826">
        <v>2666</v>
      </c>
      <c r="T450" s="827">
        <v>1678</v>
      </c>
      <c r="U450" s="827">
        <v>4344</v>
      </c>
    </row>
    <row r="451" spans="1:21" x14ac:dyDescent="0.25">
      <c r="A451" s="822">
        <v>94701</v>
      </c>
      <c r="B451" s="823" t="s">
        <v>3014</v>
      </c>
      <c r="C451" s="824">
        <v>2.5636000000000001E-3</v>
      </c>
      <c r="D451" s="824">
        <v>2.6064999999999999E-3</v>
      </c>
      <c r="E451" s="825">
        <v>956457</v>
      </c>
      <c r="F451" s="825">
        <v>1169782</v>
      </c>
      <c r="G451" s="825">
        <v>5440818</v>
      </c>
      <c r="H451" s="825"/>
      <c r="I451" s="826">
        <v>102223.55</v>
      </c>
      <c r="J451" s="826">
        <v>4767891</v>
      </c>
      <c r="K451" s="826">
        <v>372647</v>
      </c>
      <c r="L451" s="825">
        <v>75767</v>
      </c>
      <c r="M451" s="825"/>
      <c r="N451" s="826">
        <v>190652</v>
      </c>
      <c r="O451" s="826">
        <v>1759804</v>
      </c>
      <c r="P451" s="826">
        <v>0</v>
      </c>
      <c r="Q451" s="825">
        <v>100921</v>
      </c>
      <c r="R451" s="825"/>
      <c r="S451" s="826">
        <v>1454251</v>
      </c>
      <c r="T451" s="827">
        <v>4371</v>
      </c>
      <c r="U451" s="827">
        <v>1458622</v>
      </c>
    </row>
    <row r="452" spans="1:21" x14ac:dyDescent="0.25">
      <c r="A452" s="822">
        <v>94704</v>
      </c>
      <c r="B452" s="823" t="s">
        <v>3015</v>
      </c>
      <c r="C452" s="824">
        <v>1.04E-5</v>
      </c>
      <c r="D452" s="824">
        <v>1.0900000000000001E-5</v>
      </c>
      <c r="E452" s="825">
        <v>4510</v>
      </c>
      <c r="F452" s="825">
        <v>4892</v>
      </c>
      <c r="G452" s="825">
        <v>22072</v>
      </c>
      <c r="H452" s="825"/>
      <c r="I452" s="826">
        <v>414.7</v>
      </c>
      <c r="J452" s="826">
        <v>19342</v>
      </c>
      <c r="K452" s="826">
        <v>1512</v>
      </c>
      <c r="L452" s="825">
        <v>147</v>
      </c>
      <c r="M452" s="825"/>
      <c r="N452" s="826">
        <v>773</v>
      </c>
      <c r="O452" s="826">
        <v>7139</v>
      </c>
      <c r="P452" s="826">
        <v>0</v>
      </c>
      <c r="Q452" s="825">
        <v>86</v>
      </c>
      <c r="R452" s="825"/>
      <c r="S452" s="826">
        <v>5900</v>
      </c>
      <c r="T452" s="827">
        <v>47</v>
      </c>
      <c r="U452" s="827">
        <v>5946</v>
      </c>
    </row>
    <row r="453" spans="1:21" x14ac:dyDescent="0.25">
      <c r="A453" s="822">
        <v>94711</v>
      </c>
      <c r="B453" s="823" t="s">
        <v>3016</v>
      </c>
      <c r="C453" s="824">
        <v>3.5110000000000002E-4</v>
      </c>
      <c r="D453" s="824">
        <v>3.5270000000000001E-4</v>
      </c>
      <c r="E453" s="825">
        <v>140447</v>
      </c>
      <c r="F453" s="825">
        <v>158290</v>
      </c>
      <c r="G453" s="825">
        <v>745152</v>
      </c>
      <c r="H453" s="825"/>
      <c r="I453" s="826">
        <v>14000</v>
      </c>
      <c r="J453" s="826">
        <v>652991</v>
      </c>
      <c r="K453" s="826">
        <v>51036</v>
      </c>
      <c r="L453" s="825">
        <v>14121</v>
      </c>
      <c r="M453" s="825"/>
      <c r="N453" s="826">
        <v>26111</v>
      </c>
      <c r="O453" s="826">
        <v>241015</v>
      </c>
      <c r="P453" s="826">
        <v>0</v>
      </c>
      <c r="Q453" s="825">
        <v>8957</v>
      </c>
      <c r="R453" s="825"/>
      <c r="S453" s="826">
        <v>199168</v>
      </c>
      <c r="T453" s="827">
        <v>1479</v>
      </c>
      <c r="U453" s="827">
        <v>200647</v>
      </c>
    </row>
    <row r="454" spans="1:21" x14ac:dyDescent="0.25">
      <c r="A454" s="822">
        <v>94801</v>
      </c>
      <c r="B454" s="823" t="s">
        <v>3017</v>
      </c>
      <c r="C454" s="824">
        <v>7.6539999999999996E-4</v>
      </c>
      <c r="D454" s="824">
        <v>7.425E-4</v>
      </c>
      <c r="E454" s="825">
        <v>315764</v>
      </c>
      <c r="F454" s="825">
        <v>333230</v>
      </c>
      <c r="G454" s="825">
        <v>1624435</v>
      </c>
      <c r="H454" s="825"/>
      <c r="I454" s="826">
        <v>30520</v>
      </c>
      <c r="J454" s="826">
        <v>1423523</v>
      </c>
      <c r="K454" s="826">
        <v>111259</v>
      </c>
      <c r="L454" s="825">
        <v>62992</v>
      </c>
      <c r="M454" s="825"/>
      <c r="N454" s="826">
        <v>56922</v>
      </c>
      <c r="O454" s="826">
        <v>525415</v>
      </c>
      <c r="P454" s="826">
        <v>0</v>
      </c>
      <c r="Q454" s="825">
        <v>0</v>
      </c>
      <c r="R454" s="825"/>
      <c r="S454" s="826">
        <v>434188</v>
      </c>
      <c r="T454" s="827">
        <v>22612</v>
      </c>
      <c r="U454" s="827">
        <v>456800</v>
      </c>
    </row>
    <row r="455" spans="1:21" x14ac:dyDescent="0.25">
      <c r="A455" s="822">
        <v>94804</v>
      </c>
      <c r="B455" s="823" t="s">
        <v>3018</v>
      </c>
      <c r="C455" s="824">
        <v>3.8E-6</v>
      </c>
      <c r="D455" s="824">
        <v>5.5999999999999997E-6</v>
      </c>
      <c r="E455" s="825">
        <v>2421</v>
      </c>
      <c r="F455" s="825">
        <v>2513</v>
      </c>
      <c r="G455" s="825">
        <v>8065</v>
      </c>
      <c r="H455" s="825"/>
      <c r="I455" s="826">
        <v>151.52500000000001</v>
      </c>
      <c r="J455" s="826">
        <v>7067</v>
      </c>
      <c r="K455" s="826">
        <v>552</v>
      </c>
      <c r="L455" s="825">
        <v>3516</v>
      </c>
      <c r="M455" s="825"/>
      <c r="N455" s="826">
        <v>283</v>
      </c>
      <c r="O455" s="826">
        <v>2609</v>
      </c>
      <c r="P455" s="826">
        <v>0</v>
      </c>
      <c r="Q455" s="825">
        <v>294</v>
      </c>
      <c r="R455" s="825"/>
      <c r="S455" s="826">
        <v>2156</v>
      </c>
      <c r="T455" s="827">
        <v>1680</v>
      </c>
      <c r="U455" s="827">
        <v>3836</v>
      </c>
    </row>
    <row r="456" spans="1:21" x14ac:dyDescent="0.25">
      <c r="A456" s="822">
        <v>94812</v>
      </c>
      <c r="B456" s="823" t="s">
        <v>3019</v>
      </c>
      <c r="C456" s="824">
        <v>3.3500000000000001E-5</v>
      </c>
      <c r="D456" s="824">
        <v>2.8200000000000001E-5</v>
      </c>
      <c r="E456" s="825">
        <v>17637</v>
      </c>
      <c r="F456" s="825">
        <v>12656</v>
      </c>
      <c r="G456" s="825">
        <v>71098</v>
      </c>
      <c r="H456" s="825"/>
      <c r="I456" s="826">
        <v>1335.8125</v>
      </c>
      <c r="J456" s="826">
        <v>62305</v>
      </c>
      <c r="K456" s="826">
        <v>4870</v>
      </c>
      <c r="L456" s="825">
        <v>10393</v>
      </c>
      <c r="M456" s="825"/>
      <c r="N456" s="826">
        <v>2491</v>
      </c>
      <c r="O456" s="826">
        <v>22996</v>
      </c>
      <c r="P456" s="826">
        <v>0</v>
      </c>
      <c r="Q456" s="825">
        <v>0</v>
      </c>
      <c r="R456" s="825"/>
      <c r="S456" s="826">
        <v>19004</v>
      </c>
      <c r="T456" s="827">
        <v>3222</v>
      </c>
      <c r="U456" s="827">
        <v>22225</v>
      </c>
    </row>
    <row r="457" spans="1:21" x14ac:dyDescent="0.25">
      <c r="A457" s="822">
        <v>94901</v>
      </c>
      <c r="B457" s="823" t="s">
        <v>3020</v>
      </c>
      <c r="C457" s="824">
        <v>7.0014999999999999E-3</v>
      </c>
      <c r="D457" s="824">
        <v>6.6921999999999997E-3</v>
      </c>
      <c r="E457" s="825">
        <v>2681224</v>
      </c>
      <c r="F457" s="825">
        <v>3003419</v>
      </c>
      <c r="G457" s="825">
        <v>14859529</v>
      </c>
      <c r="H457" s="825"/>
      <c r="I457" s="826">
        <v>279185</v>
      </c>
      <c r="J457" s="826">
        <v>13021684</v>
      </c>
      <c r="K457" s="826">
        <v>1017745</v>
      </c>
      <c r="L457" s="825">
        <v>28689</v>
      </c>
      <c r="M457" s="825"/>
      <c r="N457" s="826">
        <v>520695</v>
      </c>
      <c r="O457" s="826">
        <v>4806236</v>
      </c>
      <c r="P457" s="826">
        <v>0</v>
      </c>
      <c r="Q457" s="825">
        <v>82188</v>
      </c>
      <c r="R457" s="825"/>
      <c r="S457" s="826">
        <v>3971734</v>
      </c>
      <c r="T457" s="827">
        <v>-17216</v>
      </c>
      <c r="U457" s="827">
        <v>3954518</v>
      </c>
    </row>
    <row r="458" spans="1:21" x14ac:dyDescent="0.25">
      <c r="A458" s="822">
        <v>94908</v>
      </c>
      <c r="B458" s="823" t="s">
        <v>3021</v>
      </c>
      <c r="C458" s="824">
        <v>3.9799999999999998E-5</v>
      </c>
      <c r="D458" s="824">
        <v>4.2799999999999997E-5</v>
      </c>
      <c r="E458" s="825">
        <v>16384</v>
      </c>
      <c r="F458" s="825">
        <v>19208</v>
      </c>
      <c r="G458" s="825">
        <v>84469</v>
      </c>
      <c r="H458" s="825"/>
      <c r="I458" s="826">
        <v>1587</v>
      </c>
      <c r="J458" s="826">
        <v>74022</v>
      </c>
      <c r="K458" s="826">
        <v>5785</v>
      </c>
      <c r="L458" s="825">
        <v>0</v>
      </c>
      <c r="M458" s="825"/>
      <c r="N458" s="826">
        <v>2960</v>
      </c>
      <c r="O458" s="826">
        <v>27321</v>
      </c>
      <c r="P458" s="826">
        <v>0</v>
      </c>
      <c r="Q458" s="825">
        <v>5878</v>
      </c>
      <c r="R458" s="825"/>
      <c r="S458" s="826">
        <v>22577</v>
      </c>
      <c r="T458" s="827">
        <v>-2269</v>
      </c>
      <c r="U458" s="827">
        <v>20308</v>
      </c>
    </row>
    <row r="459" spans="1:21" x14ac:dyDescent="0.25">
      <c r="A459" s="822">
        <v>94911</v>
      </c>
      <c r="B459" s="823" t="s">
        <v>3022</v>
      </c>
      <c r="C459" s="824">
        <v>2.7745999999999999E-3</v>
      </c>
      <c r="D459" s="824">
        <v>2.8086000000000001E-3</v>
      </c>
      <c r="E459" s="825">
        <v>1108370.94</v>
      </c>
      <c r="F459" s="825">
        <v>1260483</v>
      </c>
      <c r="G459" s="825">
        <v>5888631</v>
      </c>
      <c r="H459" s="825"/>
      <c r="I459" s="826">
        <v>110637</v>
      </c>
      <c r="J459" s="826">
        <v>5160318</v>
      </c>
      <c r="K459" s="826">
        <v>403319</v>
      </c>
      <c r="L459" s="825">
        <v>7508</v>
      </c>
      <c r="M459" s="825"/>
      <c r="N459" s="826">
        <v>206344</v>
      </c>
      <c r="O459" s="826">
        <v>1904646</v>
      </c>
      <c r="P459" s="826">
        <v>0</v>
      </c>
      <c r="Q459" s="825">
        <v>58992</v>
      </c>
      <c r="R459" s="825"/>
      <c r="S459" s="826">
        <v>1573945</v>
      </c>
      <c r="T459" s="827">
        <v>-16182</v>
      </c>
      <c r="U459" s="827">
        <v>1557762</v>
      </c>
    </row>
    <row r="460" spans="1:21" x14ac:dyDescent="0.25">
      <c r="A460" s="822">
        <v>94917</v>
      </c>
      <c r="B460" s="823" t="s">
        <v>3023</v>
      </c>
      <c r="C460" s="824">
        <v>3.7400000000000001E-5</v>
      </c>
      <c r="D460" s="824">
        <v>4.0399999999999999E-5</v>
      </c>
      <c r="E460" s="825">
        <v>24113.03</v>
      </c>
      <c r="F460" s="825">
        <v>18131</v>
      </c>
      <c r="G460" s="825">
        <v>79375</v>
      </c>
      <c r="H460" s="825"/>
      <c r="I460" s="826">
        <v>1491.325</v>
      </c>
      <c r="J460" s="826">
        <v>69558</v>
      </c>
      <c r="K460" s="826">
        <v>5437</v>
      </c>
      <c r="L460" s="825">
        <v>14598</v>
      </c>
      <c r="M460" s="825"/>
      <c r="N460" s="826">
        <v>2781</v>
      </c>
      <c r="O460" s="826">
        <v>25674</v>
      </c>
      <c r="P460" s="826">
        <v>0</v>
      </c>
      <c r="Q460" s="825">
        <v>0</v>
      </c>
      <c r="R460" s="825"/>
      <c r="S460" s="826">
        <v>21216</v>
      </c>
      <c r="T460" s="827">
        <v>5296</v>
      </c>
      <c r="U460" s="827">
        <v>26512</v>
      </c>
    </row>
    <row r="461" spans="1:21" x14ac:dyDescent="0.25">
      <c r="A461" s="822">
        <v>94921</v>
      </c>
      <c r="B461" s="823" t="s">
        <v>3024</v>
      </c>
      <c r="C461" s="824">
        <v>3.7063E-3</v>
      </c>
      <c r="D461" s="824">
        <v>4.0699999999999998E-3</v>
      </c>
      <c r="E461" s="825">
        <v>1372917.85</v>
      </c>
      <c r="F461" s="825">
        <v>1826592</v>
      </c>
      <c r="G461" s="825">
        <v>7866010</v>
      </c>
      <c r="H461" s="825"/>
      <c r="I461" s="826">
        <v>147789</v>
      </c>
      <c r="J461" s="826">
        <v>6893132</v>
      </c>
      <c r="K461" s="826">
        <v>538751</v>
      </c>
      <c r="L461" s="825">
        <v>0</v>
      </c>
      <c r="M461" s="825"/>
      <c r="N461" s="826">
        <v>275634</v>
      </c>
      <c r="O461" s="826">
        <v>2544219</v>
      </c>
      <c r="P461" s="826">
        <v>0</v>
      </c>
      <c r="Q461" s="825">
        <v>505665</v>
      </c>
      <c r="R461" s="825"/>
      <c r="S461" s="826">
        <v>2102469</v>
      </c>
      <c r="T461" s="827">
        <v>-155426</v>
      </c>
      <c r="U461" s="827">
        <v>1947043</v>
      </c>
    </row>
    <row r="462" spans="1:21" x14ac:dyDescent="0.25">
      <c r="A462" s="822">
        <v>94923</v>
      </c>
      <c r="B462" s="823" t="s">
        <v>3025</v>
      </c>
      <c r="C462" s="824">
        <v>2.4499999999999999E-5</v>
      </c>
      <c r="D462" s="824">
        <v>2.9300000000000001E-5</v>
      </c>
      <c r="E462" s="825">
        <v>14094</v>
      </c>
      <c r="F462" s="825">
        <v>13150</v>
      </c>
      <c r="G462" s="825">
        <v>51997</v>
      </c>
      <c r="H462" s="825"/>
      <c r="I462" s="826">
        <v>976.9375</v>
      </c>
      <c r="J462" s="826">
        <v>45566</v>
      </c>
      <c r="K462" s="826">
        <v>3561</v>
      </c>
      <c r="L462" s="825">
        <v>1458</v>
      </c>
      <c r="M462" s="825"/>
      <c r="N462" s="826">
        <v>1822</v>
      </c>
      <c r="O462" s="826">
        <v>16818</v>
      </c>
      <c r="P462" s="826">
        <v>0</v>
      </c>
      <c r="Q462" s="825">
        <v>173</v>
      </c>
      <c r="R462" s="825"/>
      <c r="S462" s="826">
        <v>13898</v>
      </c>
      <c r="T462" s="827">
        <v>373</v>
      </c>
      <c r="U462" s="827">
        <v>14272</v>
      </c>
    </row>
    <row r="463" spans="1:21" x14ac:dyDescent="0.25">
      <c r="A463" s="822">
        <v>94927</v>
      </c>
      <c r="B463" s="823" t="s">
        <v>3026</v>
      </c>
      <c r="C463" s="824">
        <v>3.3899999999999997E-5</v>
      </c>
      <c r="D463" s="824">
        <v>3.2700000000000002E-5</v>
      </c>
      <c r="E463" s="825">
        <v>16597.12</v>
      </c>
      <c r="F463" s="825">
        <v>14676</v>
      </c>
      <c r="G463" s="825">
        <v>71947</v>
      </c>
      <c r="H463" s="825"/>
      <c r="I463" s="826">
        <v>1352</v>
      </c>
      <c r="J463" s="826">
        <v>63049</v>
      </c>
      <c r="K463" s="826">
        <v>4928</v>
      </c>
      <c r="L463" s="825">
        <v>3081</v>
      </c>
      <c r="M463" s="825"/>
      <c r="N463" s="826">
        <v>2521</v>
      </c>
      <c r="O463" s="826">
        <v>23271</v>
      </c>
      <c r="P463" s="826">
        <v>0</v>
      </c>
      <c r="Q463" s="825">
        <v>52</v>
      </c>
      <c r="R463" s="825"/>
      <c r="S463" s="826">
        <v>19230</v>
      </c>
      <c r="T463" s="827">
        <v>803</v>
      </c>
      <c r="U463" s="827">
        <v>20033</v>
      </c>
    </row>
    <row r="464" spans="1:21" x14ac:dyDescent="0.25">
      <c r="A464" s="822">
        <v>94931</v>
      </c>
      <c r="B464" s="823" t="s">
        <v>3027</v>
      </c>
      <c r="C464" s="824">
        <v>2.1130000000000001E-4</v>
      </c>
      <c r="D464" s="824">
        <v>2.4020000000000001E-4</v>
      </c>
      <c r="E464" s="825">
        <v>88195.43</v>
      </c>
      <c r="F464" s="825">
        <v>107800</v>
      </c>
      <c r="G464" s="825">
        <v>448449</v>
      </c>
      <c r="H464" s="825"/>
      <c r="I464" s="826">
        <v>8426</v>
      </c>
      <c r="J464" s="826">
        <v>392985</v>
      </c>
      <c r="K464" s="826">
        <v>30715</v>
      </c>
      <c r="L464" s="825">
        <v>0</v>
      </c>
      <c r="M464" s="825"/>
      <c r="N464" s="826">
        <v>15714</v>
      </c>
      <c r="O464" s="826">
        <v>145049</v>
      </c>
      <c r="P464" s="826">
        <v>0</v>
      </c>
      <c r="Q464" s="825">
        <v>23880</v>
      </c>
      <c r="R464" s="825"/>
      <c r="S464" s="826">
        <v>119864</v>
      </c>
      <c r="T464" s="827">
        <v>-8140</v>
      </c>
      <c r="U464" s="827">
        <v>111724</v>
      </c>
    </row>
    <row r="465" spans="1:21" x14ac:dyDescent="0.25">
      <c r="A465" s="822">
        <v>94941</v>
      </c>
      <c r="B465" s="823" t="s">
        <v>3028</v>
      </c>
      <c r="C465" s="824">
        <v>5.2959999999999997E-4</v>
      </c>
      <c r="D465" s="824">
        <v>5.0549999999999998E-4</v>
      </c>
      <c r="E465" s="825">
        <v>202001.05</v>
      </c>
      <c r="F465" s="825">
        <v>226865</v>
      </c>
      <c r="G465" s="825">
        <v>1123989</v>
      </c>
      <c r="H465" s="825"/>
      <c r="I465" s="826">
        <v>21117.8</v>
      </c>
      <c r="J465" s="826">
        <v>984972</v>
      </c>
      <c r="K465" s="826">
        <v>76983</v>
      </c>
      <c r="L465" s="825">
        <v>96457</v>
      </c>
      <c r="M465" s="825"/>
      <c r="N465" s="826">
        <v>39386</v>
      </c>
      <c r="O465" s="826">
        <v>363548</v>
      </c>
      <c r="P465" s="826">
        <v>0</v>
      </c>
      <c r="Q465" s="825">
        <v>0</v>
      </c>
      <c r="R465" s="825"/>
      <c r="S465" s="826">
        <v>300426</v>
      </c>
      <c r="T465" s="827">
        <v>42457</v>
      </c>
      <c r="U465" s="827">
        <v>342883</v>
      </c>
    </row>
    <row r="466" spans="1:21" x14ac:dyDescent="0.25">
      <c r="A466" s="822">
        <v>95001</v>
      </c>
      <c r="B466" s="823" t="s">
        <v>3029</v>
      </c>
      <c r="C466" s="824">
        <v>2.3779000000000001E-3</v>
      </c>
      <c r="D466" s="824">
        <v>2.3674E-3</v>
      </c>
      <c r="E466" s="825">
        <v>1026879.06</v>
      </c>
      <c r="F466" s="825">
        <v>1062475</v>
      </c>
      <c r="G466" s="825">
        <v>5046700</v>
      </c>
      <c r="H466" s="825"/>
      <c r="I466" s="826">
        <v>94819</v>
      </c>
      <c r="J466" s="826">
        <v>4422518</v>
      </c>
      <c r="K466" s="826">
        <v>345654</v>
      </c>
      <c r="L466" s="825">
        <v>86860</v>
      </c>
      <c r="M466" s="825"/>
      <c r="N466" s="826">
        <v>176842</v>
      </c>
      <c r="O466" s="826">
        <v>1632328</v>
      </c>
      <c r="P466" s="826">
        <v>0</v>
      </c>
      <c r="Q466" s="825">
        <v>8022</v>
      </c>
      <c r="R466" s="825"/>
      <c r="S466" s="826">
        <v>1348909</v>
      </c>
      <c r="T466" s="827">
        <v>22510</v>
      </c>
      <c r="U466" s="827">
        <v>1371419</v>
      </c>
    </row>
    <row r="467" spans="1:21" x14ac:dyDescent="0.25">
      <c r="A467" s="822">
        <v>95002</v>
      </c>
      <c r="B467" s="823" t="s">
        <v>3030</v>
      </c>
      <c r="C467" s="824">
        <v>2.0120000000000001E-4</v>
      </c>
      <c r="D467" s="824">
        <v>1.919E-4</v>
      </c>
      <c r="E467" s="825">
        <v>91760.39</v>
      </c>
      <c r="F467" s="825">
        <v>86124</v>
      </c>
      <c r="G467" s="825">
        <v>427014</v>
      </c>
      <c r="H467" s="825"/>
      <c r="I467" s="826">
        <v>8022.85</v>
      </c>
      <c r="J467" s="826">
        <v>374200</v>
      </c>
      <c r="K467" s="826">
        <v>29247</v>
      </c>
      <c r="L467" s="825">
        <v>17432</v>
      </c>
      <c r="M467" s="825"/>
      <c r="N467" s="826">
        <v>14963</v>
      </c>
      <c r="O467" s="826">
        <v>138115</v>
      </c>
      <c r="P467" s="826">
        <v>0</v>
      </c>
      <c r="Q467" s="825">
        <v>0</v>
      </c>
      <c r="R467" s="825"/>
      <c r="S467" s="826">
        <v>114135</v>
      </c>
      <c r="T467" s="827">
        <v>5391</v>
      </c>
      <c r="U467" s="827">
        <v>119526</v>
      </c>
    </row>
    <row r="468" spans="1:21" x14ac:dyDescent="0.25">
      <c r="A468" s="822">
        <v>95005</v>
      </c>
      <c r="B468" s="823" t="s">
        <v>3031</v>
      </c>
      <c r="C468" s="824">
        <v>2.3829999999999999E-4</v>
      </c>
      <c r="D468" s="824">
        <v>2.4499999999999999E-4</v>
      </c>
      <c r="E468" s="825">
        <v>102067</v>
      </c>
      <c r="F468" s="825">
        <v>109954.53</v>
      </c>
      <c r="G468" s="825">
        <v>505752</v>
      </c>
      <c r="H468" s="825"/>
      <c r="I468" s="826">
        <v>9502</v>
      </c>
      <c r="J468" s="826">
        <v>443200</v>
      </c>
      <c r="K468" s="826">
        <v>34640</v>
      </c>
      <c r="L468" s="825">
        <v>23207</v>
      </c>
      <c r="M468" s="825"/>
      <c r="N468" s="826">
        <v>17722</v>
      </c>
      <c r="O468" s="826">
        <v>163583</v>
      </c>
      <c r="P468" s="826">
        <v>0</v>
      </c>
      <c r="Q468" s="825">
        <v>399</v>
      </c>
      <c r="R468" s="825"/>
      <c r="S468" s="826">
        <v>135180</v>
      </c>
      <c r="T468" s="827">
        <v>9376</v>
      </c>
      <c r="U468" s="827">
        <v>144556</v>
      </c>
    </row>
    <row r="469" spans="1:21" x14ac:dyDescent="0.25">
      <c r="A469" s="822">
        <v>95008</v>
      </c>
      <c r="B469" s="823" t="s">
        <v>3032</v>
      </c>
      <c r="C469" s="824">
        <v>1.169E-4</v>
      </c>
      <c r="D469" s="824">
        <v>1.3669999999999999E-4</v>
      </c>
      <c r="E469" s="825">
        <v>50977.440000000002</v>
      </c>
      <c r="F469" s="825">
        <v>61350</v>
      </c>
      <c r="G469" s="825">
        <v>248101</v>
      </c>
      <c r="H469" s="825"/>
      <c r="I469" s="826">
        <v>4661</v>
      </c>
      <c r="J469" s="826">
        <v>217416</v>
      </c>
      <c r="K469" s="826">
        <v>16993</v>
      </c>
      <c r="L469" s="825">
        <v>21945</v>
      </c>
      <c r="M469" s="825"/>
      <c r="N469" s="826">
        <v>8694</v>
      </c>
      <c r="O469" s="826">
        <v>80247</v>
      </c>
      <c r="P469" s="826">
        <v>0</v>
      </c>
      <c r="Q469" s="825">
        <v>8420</v>
      </c>
      <c r="R469" s="825"/>
      <c r="S469" s="826">
        <v>66314</v>
      </c>
      <c r="T469" s="827">
        <v>7393</v>
      </c>
      <c r="U469" s="827">
        <v>73707</v>
      </c>
    </row>
    <row r="470" spans="1:21" x14ac:dyDescent="0.25">
      <c r="A470" s="822">
        <v>95009</v>
      </c>
      <c r="B470" s="823" t="s">
        <v>3033</v>
      </c>
      <c r="C470" s="824">
        <v>3.9902000000000002E-3</v>
      </c>
      <c r="D470" s="824">
        <v>3.614E-3</v>
      </c>
      <c r="E470" s="825">
        <v>1651705</v>
      </c>
      <c r="F470" s="825">
        <v>1621942</v>
      </c>
      <c r="G470" s="825">
        <v>8468541</v>
      </c>
      <c r="H470" s="825"/>
      <c r="I470" s="826">
        <v>159109</v>
      </c>
      <c r="J470" s="826">
        <v>7421142</v>
      </c>
      <c r="K470" s="826">
        <v>580019</v>
      </c>
      <c r="L470" s="825">
        <v>1306132</v>
      </c>
      <c r="M470" s="825"/>
      <c r="N470" s="826">
        <v>296747</v>
      </c>
      <c r="O470" s="826">
        <v>2739105</v>
      </c>
      <c r="P470" s="826">
        <v>0</v>
      </c>
      <c r="Q470" s="825">
        <v>0</v>
      </c>
      <c r="R470" s="825"/>
      <c r="S470" s="826">
        <v>2263517</v>
      </c>
      <c r="T470" s="827">
        <v>547444</v>
      </c>
      <c r="U470" s="827">
        <v>2810961</v>
      </c>
    </row>
    <row r="471" spans="1:21" x14ac:dyDescent="0.25">
      <c r="A471" s="822">
        <v>95011</v>
      </c>
      <c r="B471" s="823" t="s">
        <v>3034</v>
      </c>
      <c r="C471" s="824">
        <v>1.707E-4</v>
      </c>
      <c r="D471" s="824">
        <v>1.8760000000000001E-4</v>
      </c>
      <c r="E471" s="825">
        <v>71948</v>
      </c>
      <c r="F471" s="825">
        <v>84194</v>
      </c>
      <c r="G471" s="825">
        <v>362283</v>
      </c>
      <c r="H471" s="825"/>
      <c r="I471" s="826">
        <v>6807</v>
      </c>
      <c r="J471" s="826">
        <v>317475</v>
      </c>
      <c r="K471" s="826">
        <v>24813</v>
      </c>
      <c r="L471" s="825">
        <v>0</v>
      </c>
      <c r="M471" s="825"/>
      <c r="N471" s="826">
        <v>12695</v>
      </c>
      <c r="O471" s="826">
        <v>117178</v>
      </c>
      <c r="P471" s="826">
        <v>0</v>
      </c>
      <c r="Q471" s="825">
        <v>13568</v>
      </c>
      <c r="R471" s="825"/>
      <c r="S471" s="826">
        <v>96833</v>
      </c>
      <c r="T471" s="827">
        <v>-4659</v>
      </c>
      <c r="U471" s="827">
        <v>92174</v>
      </c>
    </row>
    <row r="472" spans="1:21" x14ac:dyDescent="0.25">
      <c r="A472" s="822">
        <v>95017</v>
      </c>
      <c r="B472" s="823" t="s">
        <v>3035</v>
      </c>
      <c r="C472" s="824">
        <v>3.5800000000000003E-5</v>
      </c>
      <c r="D472" s="824">
        <v>3.9900000000000001E-5</v>
      </c>
      <c r="E472" s="825">
        <v>21743.88</v>
      </c>
      <c r="F472" s="825">
        <v>17907</v>
      </c>
      <c r="G472" s="825">
        <v>75980</v>
      </c>
      <c r="H472" s="825"/>
      <c r="I472" s="826">
        <v>1427.5250000000001</v>
      </c>
      <c r="J472" s="826">
        <v>66582</v>
      </c>
      <c r="K472" s="826">
        <v>5204</v>
      </c>
      <c r="L472" s="825">
        <v>20942</v>
      </c>
      <c r="M472" s="825"/>
      <c r="N472" s="826">
        <v>2662</v>
      </c>
      <c r="O472" s="826">
        <v>24575</v>
      </c>
      <c r="P472" s="826">
        <v>0</v>
      </c>
      <c r="Q472" s="825">
        <v>0</v>
      </c>
      <c r="R472" s="825"/>
      <c r="S472" s="826">
        <v>20308</v>
      </c>
      <c r="T472" s="827">
        <v>7629</v>
      </c>
      <c r="U472" s="827">
        <v>27937</v>
      </c>
    </row>
    <row r="473" spans="1:21" x14ac:dyDescent="0.25">
      <c r="A473" s="822">
        <v>95101</v>
      </c>
      <c r="B473" s="823" t="s">
        <v>3036</v>
      </c>
      <c r="C473" s="824">
        <v>8.0955999999999997E-3</v>
      </c>
      <c r="D473" s="824">
        <v>7.8796000000000005E-3</v>
      </c>
      <c r="E473" s="825">
        <v>3063500.72</v>
      </c>
      <c r="F473" s="825">
        <v>3536317</v>
      </c>
      <c r="G473" s="825">
        <v>17181575</v>
      </c>
      <c r="H473" s="825"/>
      <c r="I473" s="826">
        <v>322812.05</v>
      </c>
      <c r="J473" s="826">
        <v>15056537</v>
      </c>
      <c r="K473" s="826">
        <v>1176785</v>
      </c>
      <c r="L473" s="825">
        <v>77016</v>
      </c>
      <c r="M473" s="825"/>
      <c r="N473" s="826">
        <v>602062</v>
      </c>
      <c r="O473" s="826">
        <v>5557289</v>
      </c>
      <c r="P473" s="826">
        <v>0</v>
      </c>
      <c r="Q473" s="825">
        <v>94065</v>
      </c>
      <c r="R473" s="825"/>
      <c r="S473" s="826">
        <v>4592383</v>
      </c>
      <c r="T473" s="827">
        <v>13084</v>
      </c>
      <c r="U473" s="827">
        <v>4605467</v>
      </c>
    </row>
    <row r="474" spans="1:21" x14ac:dyDescent="0.25">
      <c r="A474" s="822">
        <v>95103</v>
      </c>
      <c r="B474" s="823" t="s">
        <v>3037</v>
      </c>
      <c r="C474" s="824">
        <v>6.02E-5</v>
      </c>
      <c r="D474" s="824">
        <v>5.91E-5</v>
      </c>
      <c r="E474" s="825">
        <v>34084</v>
      </c>
      <c r="F474" s="825">
        <v>26524</v>
      </c>
      <c r="G474" s="825">
        <v>127765</v>
      </c>
      <c r="H474" s="825"/>
      <c r="I474" s="826">
        <v>2400.4749999999999</v>
      </c>
      <c r="J474" s="826">
        <v>111962</v>
      </c>
      <c r="K474" s="826">
        <v>8751</v>
      </c>
      <c r="L474" s="825">
        <v>41064</v>
      </c>
      <c r="M474" s="825"/>
      <c r="N474" s="826">
        <v>4477</v>
      </c>
      <c r="O474" s="826">
        <v>41325</v>
      </c>
      <c r="P474" s="826">
        <v>0</v>
      </c>
      <c r="Q474" s="825">
        <v>0</v>
      </c>
      <c r="R474" s="825"/>
      <c r="S474" s="826">
        <v>34150</v>
      </c>
      <c r="T474" s="827">
        <v>17815</v>
      </c>
      <c r="U474" s="827">
        <v>51965</v>
      </c>
    </row>
    <row r="475" spans="1:21" x14ac:dyDescent="0.25">
      <c r="A475" s="822">
        <v>95104</v>
      </c>
      <c r="B475" s="823" t="s">
        <v>3038</v>
      </c>
      <c r="C475" s="824">
        <v>1.011E-4</v>
      </c>
      <c r="D475" s="824">
        <v>1.022E-4</v>
      </c>
      <c r="E475" s="825">
        <v>48495.61</v>
      </c>
      <c r="F475" s="825">
        <v>45867</v>
      </c>
      <c r="G475" s="825">
        <v>214568</v>
      </c>
      <c r="H475" s="825"/>
      <c r="I475" s="826">
        <v>4031</v>
      </c>
      <c r="J475" s="826">
        <v>188030</v>
      </c>
      <c r="K475" s="826">
        <v>14696</v>
      </c>
      <c r="L475" s="825">
        <v>18344</v>
      </c>
      <c r="M475" s="825"/>
      <c r="N475" s="826">
        <v>7519</v>
      </c>
      <c r="O475" s="826">
        <v>69401</v>
      </c>
      <c r="P475" s="826">
        <v>0</v>
      </c>
      <c r="Q475" s="825">
        <v>0</v>
      </c>
      <c r="R475" s="825"/>
      <c r="S475" s="826">
        <v>57351</v>
      </c>
      <c r="T475" s="827">
        <v>6442</v>
      </c>
      <c r="U475" s="827">
        <v>63793</v>
      </c>
    </row>
    <row r="476" spans="1:21" x14ac:dyDescent="0.25">
      <c r="A476" s="822">
        <v>95105</v>
      </c>
      <c r="B476" s="823" t="s">
        <v>3039</v>
      </c>
      <c r="C476" s="824">
        <v>6.3700000000000003E-5</v>
      </c>
      <c r="D476" s="824">
        <v>6.2199999999999994E-5</v>
      </c>
      <c r="E476" s="825">
        <v>28734</v>
      </c>
      <c r="F476" s="825">
        <v>27915</v>
      </c>
      <c r="G476" s="825">
        <v>135193</v>
      </c>
      <c r="H476" s="825"/>
      <c r="I476" s="826">
        <v>2540</v>
      </c>
      <c r="J476" s="826">
        <v>118472</v>
      </c>
      <c r="K476" s="826">
        <v>9259</v>
      </c>
      <c r="L476" s="825">
        <v>9013</v>
      </c>
      <c r="M476" s="825"/>
      <c r="N476" s="826">
        <v>4737</v>
      </c>
      <c r="O476" s="826">
        <v>43727</v>
      </c>
      <c r="P476" s="826">
        <v>0</v>
      </c>
      <c r="Q476" s="825">
        <v>0</v>
      </c>
      <c r="R476" s="825"/>
      <c r="S476" s="826">
        <v>36135</v>
      </c>
      <c r="T476" s="827">
        <v>3391</v>
      </c>
      <c r="U476" s="827">
        <v>39526</v>
      </c>
    </row>
    <row r="477" spans="1:21" x14ac:dyDescent="0.25">
      <c r="A477" s="822">
        <v>95106</v>
      </c>
      <c r="B477" s="823" t="s">
        <v>3040</v>
      </c>
      <c r="C477" s="824">
        <v>1.3900000000000001E-5</v>
      </c>
      <c r="D477" s="824">
        <v>5.9000000000000003E-6</v>
      </c>
      <c r="E477" s="825">
        <v>4209.76</v>
      </c>
      <c r="F477" s="825">
        <v>2648</v>
      </c>
      <c r="G477" s="825">
        <v>29500</v>
      </c>
      <c r="H477" s="825"/>
      <c r="I477" s="826">
        <v>554</v>
      </c>
      <c r="J477" s="826">
        <v>25852</v>
      </c>
      <c r="K477" s="826">
        <v>2021</v>
      </c>
      <c r="L477" s="825">
        <v>7510</v>
      </c>
      <c r="M477" s="825"/>
      <c r="N477" s="826">
        <v>1034</v>
      </c>
      <c r="O477" s="826">
        <v>9542</v>
      </c>
      <c r="P477" s="826">
        <v>0</v>
      </c>
      <c r="Q477" s="825">
        <v>0</v>
      </c>
      <c r="R477" s="825"/>
      <c r="S477" s="826">
        <v>7885</v>
      </c>
      <c r="T477" s="827">
        <v>2593</v>
      </c>
      <c r="U477" s="827">
        <v>10478</v>
      </c>
    </row>
    <row r="478" spans="1:21" x14ac:dyDescent="0.25">
      <c r="A478" s="822">
        <v>95110</v>
      </c>
      <c r="B478" s="823" t="s">
        <v>3041</v>
      </c>
      <c r="C478" s="824">
        <v>4.4609000000000003E-3</v>
      </c>
      <c r="D478" s="824">
        <v>5.5170000000000002E-3</v>
      </c>
      <c r="E478" s="825">
        <v>1868606.24</v>
      </c>
      <c r="F478" s="825">
        <v>2475996</v>
      </c>
      <c r="G478" s="825">
        <v>9467524</v>
      </c>
      <c r="H478" s="825"/>
      <c r="I478" s="826">
        <v>177878</v>
      </c>
      <c r="J478" s="826">
        <v>8296569</v>
      </c>
      <c r="K478" s="826">
        <v>648441</v>
      </c>
      <c r="L478" s="825">
        <v>0</v>
      </c>
      <c r="M478" s="825"/>
      <c r="N478" s="826">
        <v>331753</v>
      </c>
      <c r="O478" s="826">
        <v>3062220</v>
      </c>
      <c r="P478" s="826">
        <v>0</v>
      </c>
      <c r="Q478" s="825">
        <v>1586204</v>
      </c>
      <c r="R478" s="825"/>
      <c r="S478" s="826">
        <v>2530530</v>
      </c>
      <c r="T478" s="827">
        <v>-606775</v>
      </c>
      <c r="U478" s="827">
        <v>1923756</v>
      </c>
    </row>
    <row r="479" spans="1:21" x14ac:dyDescent="0.25">
      <c r="A479" s="822">
        <v>95111</v>
      </c>
      <c r="B479" s="823" t="s">
        <v>3042</v>
      </c>
      <c r="C479" s="824">
        <v>1.0709000000000001E-3</v>
      </c>
      <c r="D479" s="824">
        <v>1.1418999999999999E-3</v>
      </c>
      <c r="E479" s="825">
        <v>392359.07</v>
      </c>
      <c r="F479" s="825">
        <v>512478</v>
      </c>
      <c r="G479" s="825">
        <v>2272809</v>
      </c>
      <c r="H479" s="825"/>
      <c r="I479" s="826">
        <v>42702</v>
      </c>
      <c r="J479" s="826">
        <v>1991705</v>
      </c>
      <c r="K479" s="826">
        <v>155667</v>
      </c>
      <c r="L479" s="825">
        <v>0</v>
      </c>
      <c r="M479" s="825"/>
      <c r="N479" s="826">
        <v>79642</v>
      </c>
      <c r="O479" s="826">
        <v>735128</v>
      </c>
      <c r="P479" s="826">
        <v>0</v>
      </c>
      <c r="Q479" s="825">
        <v>161003</v>
      </c>
      <c r="R479" s="825"/>
      <c r="S479" s="826">
        <v>607488</v>
      </c>
      <c r="T479" s="827">
        <v>-55722</v>
      </c>
      <c r="U479" s="827">
        <v>551766</v>
      </c>
    </row>
    <row r="480" spans="1:21" x14ac:dyDescent="0.25">
      <c r="A480" s="822">
        <v>95113</v>
      </c>
      <c r="B480" s="823" t="s">
        <v>3043</v>
      </c>
      <c r="C480" s="824">
        <v>4.7500000000000003E-5</v>
      </c>
      <c r="D480" s="824">
        <v>4.4299999999999999E-5</v>
      </c>
      <c r="E480" s="825">
        <v>62344</v>
      </c>
      <c r="F480" s="825">
        <v>19882</v>
      </c>
      <c r="G480" s="825">
        <v>100811</v>
      </c>
      <c r="H480" s="825"/>
      <c r="I480" s="826">
        <v>1894.0625</v>
      </c>
      <c r="J480" s="826">
        <v>88342</v>
      </c>
      <c r="K480" s="826">
        <v>6905</v>
      </c>
      <c r="L480" s="825">
        <v>69845</v>
      </c>
      <c r="M480" s="825"/>
      <c r="N480" s="826">
        <v>3533</v>
      </c>
      <c r="O480" s="826">
        <v>32607</v>
      </c>
      <c r="P480" s="826">
        <v>0</v>
      </c>
      <c r="Q480" s="825">
        <v>0</v>
      </c>
      <c r="R480" s="825"/>
      <c r="S480" s="826">
        <v>26945</v>
      </c>
      <c r="T480" s="827">
        <v>22543</v>
      </c>
      <c r="U480" s="827">
        <v>49489</v>
      </c>
    </row>
    <row r="481" spans="1:21" x14ac:dyDescent="0.25">
      <c r="A481" s="822">
        <v>95121</v>
      </c>
      <c r="B481" s="823" t="s">
        <v>3044</v>
      </c>
      <c r="C481" s="824">
        <v>4.9580000000000002E-4</v>
      </c>
      <c r="D481" s="824">
        <v>4.7540000000000001E-4</v>
      </c>
      <c r="E481" s="825">
        <v>201528.43</v>
      </c>
      <c r="F481" s="825">
        <v>213357</v>
      </c>
      <c r="G481" s="825">
        <v>1052254</v>
      </c>
      <c r="H481" s="825"/>
      <c r="I481" s="826">
        <v>19770</v>
      </c>
      <c r="J481" s="826">
        <v>922110</v>
      </c>
      <c r="K481" s="826">
        <v>72070</v>
      </c>
      <c r="L481" s="825">
        <v>18227</v>
      </c>
      <c r="M481" s="825"/>
      <c r="N481" s="826">
        <v>36872</v>
      </c>
      <c r="O481" s="826">
        <v>340346</v>
      </c>
      <c r="P481" s="826">
        <v>0</v>
      </c>
      <c r="Q481" s="825">
        <v>25446.13</v>
      </c>
      <c r="R481" s="825"/>
      <c r="S481" s="826">
        <v>281252</v>
      </c>
      <c r="T481" s="827">
        <v>-7200</v>
      </c>
      <c r="U481" s="827">
        <v>274052</v>
      </c>
    </row>
    <row r="482" spans="1:21" x14ac:dyDescent="0.25">
      <c r="A482" s="822">
        <v>95122</v>
      </c>
      <c r="B482" s="823" t="s">
        <v>3045</v>
      </c>
      <c r="C482" s="824">
        <v>2.7999999999999999E-6</v>
      </c>
      <c r="D482" s="824">
        <v>3.3000000000000002E-6</v>
      </c>
      <c r="E482" s="825">
        <v>2740.07</v>
      </c>
      <c r="F482" s="825">
        <v>1481</v>
      </c>
      <c r="G482" s="825">
        <v>5943</v>
      </c>
      <c r="H482" s="825"/>
      <c r="I482" s="826">
        <v>112</v>
      </c>
      <c r="J482" s="826">
        <v>5208</v>
      </c>
      <c r="K482" s="826">
        <v>407</v>
      </c>
      <c r="L482" s="825">
        <v>1558</v>
      </c>
      <c r="M482" s="825"/>
      <c r="N482" s="826">
        <v>208</v>
      </c>
      <c r="O482" s="826">
        <v>1922</v>
      </c>
      <c r="P482" s="826">
        <v>0</v>
      </c>
      <c r="Q482" s="825">
        <v>0</v>
      </c>
      <c r="R482" s="825"/>
      <c r="S482" s="826">
        <v>1588</v>
      </c>
      <c r="T482" s="827">
        <v>459</v>
      </c>
      <c r="U482" s="827">
        <v>2048</v>
      </c>
    </row>
    <row r="483" spans="1:21" x14ac:dyDescent="0.25">
      <c r="A483" s="822">
        <v>95123</v>
      </c>
      <c r="B483" s="823" t="s">
        <v>3046</v>
      </c>
      <c r="C483" s="824">
        <v>5.6700000000000003E-5</v>
      </c>
      <c r="D483" s="824">
        <v>5.1199999999999998E-5</v>
      </c>
      <c r="E483" s="825">
        <v>25666.18</v>
      </c>
      <c r="F483" s="825">
        <v>22978</v>
      </c>
      <c r="G483" s="825">
        <v>120336</v>
      </c>
      <c r="H483" s="825"/>
      <c r="I483" s="826">
        <v>2261</v>
      </c>
      <c r="J483" s="826">
        <v>105453</v>
      </c>
      <c r="K483" s="826">
        <v>8242</v>
      </c>
      <c r="L483" s="825">
        <v>8689</v>
      </c>
      <c r="M483" s="825"/>
      <c r="N483" s="826">
        <v>4217</v>
      </c>
      <c r="O483" s="826">
        <v>38922</v>
      </c>
      <c r="P483" s="826">
        <v>0</v>
      </c>
      <c r="Q483" s="825">
        <v>2933.26</v>
      </c>
      <c r="R483" s="825"/>
      <c r="S483" s="826">
        <v>32164</v>
      </c>
      <c r="T483" s="827">
        <v>1144</v>
      </c>
      <c r="U483" s="827">
        <v>33309</v>
      </c>
    </row>
    <row r="484" spans="1:21" x14ac:dyDescent="0.25">
      <c r="A484" s="822">
        <v>95131</v>
      </c>
      <c r="B484" s="823" t="s">
        <v>3047</v>
      </c>
      <c r="C484" s="824">
        <v>1.5451E-3</v>
      </c>
      <c r="D484" s="824">
        <v>1.4713E-3</v>
      </c>
      <c r="E484" s="825">
        <v>607661.46</v>
      </c>
      <c r="F484" s="825">
        <v>660311</v>
      </c>
      <c r="G484" s="825">
        <v>3279220</v>
      </c>
      <c r="H484" s="825"/>
      <c r="I484" s="826">
        <v>61611</v>
      </c>
      <c r="J484" s="826">
        <v>2873642</v>
      </c>
      <c r="K484" s="826">
        <v>224597</v>
      </c>
      <c r="L484" s="825">
        <v>53573</v>
      </c>
      <c r="M484" s="825"/>
      <c r="N484" s="826">
        <v>114908</v>
      </c>
      <c r="O484" s="826">
        <v>1060646</v>
      </c>
      <c r="P484" s="826">
        <v>0</v>
      </c>
      <c r="Q484" s="825">
        <v>1701</v>
      </c>
      <c r="R484" s="825"/>
      <c r="S484" s="826">
        <v>876487</v>
      </c>
      <c r="T484" s="827">
        <v>16429</v>
      </c>
      <c r="U484" s="827">
        <v>892916</v>
      </c>
    </row>
    <row r="485" spans="1:21" x14ac:dyDescent="0.25">
      <c r="A485" s="822">
        <v>95141</v>
      </c>
      <c r="B485" s="823" t="s">
        <v>3048</v>
      </c>
      <c r="C485" s="824">
        <v>3.1819999999999998E-4</v>
      </c>
      <c r="D485" s="824">
        <v>2.99E-4</v>
      </c>
      <c r="E485" s="825">
        <v>115455.16</v>
      </c>
      <c r="F485" s="825">
        <v>134189</v>
      </c>
      <c r="G485" s="825">
        <v>675327</v>
      </c>
      <c r="H485" s="825"/>
      <c r="I485" s="826">
        <v>12688</v>
      </c>
      <c r="J485" s="826">
        <v>591802</v>
      </c>
      <c r="K485" s="826">
        <v>46254</v>
      </c>
      <c r="L485" s="825">
        <v>2515.36</v>
      </c>
      <c r="M485" s="825"/>
      <c r="N485" s="826">
        <v>23664</v>
      </c>
      <c r="O485" s="826">
        <v>218431</v>
      </c>
      <c r="P485" s="826">
        <v>0</v>
      </c>
      <c r="Q485" s="825">
        <v>28114</v>
      </c>
      <c r="R485" s="825"/>
      <c r="S485" s="826">
        <v>180505</v>
      </c>
      <c r="T485" s="827">
        <v>-8530</v>
      </c>
      <c r="U485" s="827">
        <v>171975</v>
      </c>
    </row>
    <row r="486" spans="1:21" x14ac:dyDescent="0.25">
      <c r="A486" s="822">
        <v>95151</v>
      </c>
      <c r="B486" s="823" t="s">
        <v>3049</v>
      </c>
      <c r="C486" s="824">
        <v>1.158E-4</v>
      </c>
      <c r="D486" s="824">
        <v>1.05E-4</v>
      </c>
      <c r="E486" s="825">
        <v>39583.1</v>
      </c>
      <c r="F486" s="825">
        <v>47123.37</v>
      </c>
      <c r="G486" s="825">
        <v>245766</v>
      </c>
      <c r="H486" s="825"/>
      <c r="I486" s="826">
        <v>4618</v>
      </c>
      <c r="J486" s="826">
        <v>215370</v>
      </c>
      <c r="K486" s="826">
        <v>16833</v>
      </c>
      <c r="L486" s="825">
        <v>732.32</v>
      </c>
      <c r="M486" s="825"/>
      <c r="N486" s="826">
        <v>8612</v>
      </c>
      <c r="O486" s="826">
        <v>79492</v>
      </c>
      <c r="P486" s="826">
        <v>0</v>
      </c>
      <c r="Q486" s="825">
        <v>5502</v>
      </c>
      <c r="R486" s="825"/>
      <c r="S486" s="826">
        <v>65690</v>
      </c>
      <c r="T486" s="827">
        <v>-1532</v>
      </c>
      <c r="U486" s="827">
        <v>64158</v>
      </c>
    </row>
    <row r="487" spans="1:21" x14ac:dyDescent="0.25">
      <c r="A487" s="822">
        <v>95161</v>
      </c>
      <c r="B487" s="823" t="s">
        <v>3050</v>
      </c>
      <c r="C487" s="824">
        <v>7.4800000000000002E-5</v>
      </c>
      <c r="D487" s="824">
        <v>7.0599999999999995E-5</v>
      </c>
      <c r="E487" s="825">
        <v>34992</v>
      </c>
      <c r="F487" s="825">
        <v>31685</v>
      </c>
      <c r="G487" s="825">
        <v>158751</v>
      </c>
      <c r="H487" s="825"/>
      <c r="I487" s="826">
        <v>2982.65</v>
      </c>
      <c r="J487" s="826">
        <v>139116</v>
      </c>
      <c r="K487" s="826">
        <v>10873</v>
      </c>
      <c r="L487" s="825">
        <v>6290</v>
      </c>
      <c r="M487" s="825"/>
      <c r="N487" s="826">
        <v>5563</v>
      </c>
      <c r="O487" s="826">
        <v>51347</v>
      </c>
      <c r="P487" s="826">
        <v>0</v>
      </c>
      <c r="Q487" s="825">
        <v>2096</v>
      </c>
      <c r="R487" s="825"/>
      <c r="S487" s="826">
        <v>42432</v>
      </c>
      <c r="T487" s="827">
        <v>1046</v>
      </c>
      <c r="U487" s="827">
        <v>43477</v>
      </c>
    </row>
    <row r="488" spans="1:21" x14ac:dyDescent="0.25">
      <c r="A488" s="822">
        <v>95171</v>
      </c>
      <c r="B488" s="823" t="s">
        <v>3051</v>
      </c>
      <c r="C488" s="824">
        <v>1.2300000000000001E-4</v>
      </c>
      <c r="D488" s="824">
        <v>1.2740000000000001E-4</v>
      </c>
      <c r="E488" s="825">
        <v>48393.279999999999</v>
      </c>
      <c r="F488" s="825">
        <v>57176</v>
      </c>
      <c r="G488" s="825">
        <v>261047</v>
      </c>
      <c r="H488" s="825"/>
      <c r="I488" s="826">
        <v>4904.625</v>
      </c>
      <c r="J488" s="826">
        <v>228761</v>
      </c>
      <c r="K488" s="826">
        <v>17879</v>
      </c>
      <c r="L488" s="825">
        <v>10389</v>
      </c>
      <c r="M488" s="825"/>
      <c r="N488" s="826">
        <v>9147</v>
      </c>
      <c r="O488" s="826">
        <v>84434</v>
      </c>
      <c r="P488" s="826">
        <v>0</v>
      </c>
      <c r="Q488" s="825">
        <v>12793</v>
      </c>
      <c r="R488" s="825"/>
      <c r="S488" s="826">
        <v>69774</v>
      </c>
      <c r="T488" s="827">
        <v>-1741</v>
      </c>
      <c r="U488" s="827">
        <v>68033</v>
      </c>
    </row>
    <row r="489" spans="1:21" x14ac:dyDescent="0.25">
      <c r="A489" s="822">
        <v>95181</v>
      </c>
      <c r="B489" s="823" t="s">
        <v>3052</v>
      </c>
      <c r="C489" s="824">
        <v>7.7899999999999996E-5</v>
      </c>
      <c r="D489" s="824">
        <v>8.0400000000000003E-5</v>
      </c>
      <c r="E489" s="825">
        <v>26255</v>
      </c>
      <c r="F489" s="825">
        <v>36083</v>
      </c>
      <c r="G489" s="825">
        <v>165330</v>
      </c>
      <c r="H489" s="825"/>
      <c r="I489" s="826">
        <v>3106</v>
      </c>
      <c r="J489" s="826">
        <v>144882</v>
      </c>
      <c r="K489" s="826">
        <v>11324</v>
      </c>
      <c r="L489" s="825">
        <v>1657</v>
      </c>
      <c r="M489" s="825"/>
      <c r="N489" s="826">
        <v>5793</v>
      </c>
      <c r="O489" s="826">
        <v>53475</v>
      </c>
      <c r="P489" s="826">
        <v>0</v>
      </c>
      <c r="Q489" s="825">
        <v>6539</v>
      </c>
      <c r="R489" s="825"/>
      <c r="S489" s="826">
        <v>44190</v>
      </c>
      <c r="T489" s="827">
        <v>-1251</v>
      </c>
      <c r="U489" s="827">
        <v>42939</v>
      </c>
    </row>
    <row r="490" spans="1:21" x14ac:dyDescent="0.25">
      <c r="A490" s="822">
        <v>95191</v>
      </c>
      <c r="B490" s="823" t="s">
        <v>3053</v>
      </c>
      <c r="C490" s="824">
        <v>5.3999999999999998E-5</v>
      </c>
      <c r="D490" s="824">
        <v>7.9099999999999998E-5</v>
      </c>
      <c r="E490" s="825">
        <v>30331.53</v>
      </c>
      <c r="F490" s="825">
        <v>35500</v>
      </c>
      <c r="G490" s="825">
        <v>114606.09</v>
      </c>
      <c r="H490" s="825"/>
      <c r="I490" s="826">
        <v>2153.25</v>
      </c>
      <c r="J490" s="826">
        <v>100431</v>
      </c>
      <c r="K490" s="826">
        <v>7849</v>
      </c>
      <c r="L490" s="825">
        <v>12291</v>
      </c>
      <c r="M490" s="825"/>
      <c r="N490" s="826">
        <v>4016</v>
      </c>
      <c r="O490" s="826">
        <v>37069</v>
      </c>
      <c r="P490" s="826">
        <v>0</v>
      </c>
      <c r="Q490" s="825">
        <v>7144</v>
      </c>
      <c r="R490" s="825"/>
      <c r="S490" s="826">
        <v>30633</v>
      </c>
      <c r="T490" s="827">
        <v>3134</v>
      </c>
      <c r="U490" s="827">
        <v>33767</v>
      </c>
    </row>
    <row r="491" spans="1:21" x14ac:dyDescent="0.25">
      <c r="A491" s="822">
        <v>95201</v>
      </c>
      <c r="B491" s="823" t="s">
        <v>3054</v>
      </c>
      <c r="C491" s="824">
        <v>6.8329999999999997E-4</v>
      </c>
      <c r="D491" s="824">
        <v>6.3000000000000003E-4</v>
      </c>
      <c r="E491" s="825">
        <v>255294</v>
      </c>
      <c r="F491" s="825">
        <v>282740</v>
      </c>
      <c r="G491" s="825">
        <v>1450192</v>
      </c>
      <c r="H491" s="825"/>
      <c r="I491" s="826">
        <v>27247</v>
      </c>
      <c r="J491" s="826">
        <v>1270830</v>
      </c>
      <c r="K491" s="826">
        <v>99325</v>
      </c>
      <c r="L491" s="825">
        <v>8455</v>
      </c>
      <c r="M491" s="825"/>
      <c r="N491" s="826">
        <v>50816</v>
      </c>
      <c r="O491" s="826">
        <v>469057</v>
      </c>
      <c r="P491" s="826">
        <v>0</v>
      </c>
      <c r="Q491" s="825">
        <v>33064</v>
      </c>
      <c r="R491" s="825"/>
      <c r="S491" s="826">
        <v>387615</v>
      </c>
      <c r="T491" s="827">
        <v>-9716</v>
      </c>
      <c r="U491" s="827">
        <v>377899</v>
      </c>
    </row>
    <row r="492" spans="1:21" x14ac:dyDescent="0.25">
      <c r="A492" s="822">
        <v>95204</v>
      </c>
      <c r="B492" s="823" t="s">
        <v>3055</v>
      </c>
      <c r="C492" s="824">
        <v>1.1600000000000001E-5</v>
      </c>
      <c r="D492" s="824">
        <v>1.49E-5</v>
      </c>
      <c r="E492" s="825">
        <v>6020</v>
      </c>
      <c r="F492" s="825">
        <v>6687</v>
      </c>
      <c r="G492" s="825">
        <v>24619</v>
      </c>
      <c r="H492" s="825"/>
      <c r="I492" s="826">
        <v>462.55</v>
      </c>
      <c r="J492" s="826">
        <v>21574</v>
      </c>
      <c r="K492" s="826">
        <v>1686</v>
      </c>
      <c r="L492" s="825">
        <v>0</v>
      </c>
      <c r="M492" s="825"/>
      <c r="N492" s="826">
        <v>863</v>
      </c>
      <c r="O492" s="826">
        <v>7963</v>
      </c>
      <c r="P492" s="826">
        <v>0</v>
      </c>
      <c r="Q492" s="825">
        <v>1794</v>
      </c>
      <c r="R492" s="825"/>
      <c r="S492" s="826">
        <v>6580</v>
      </c>
      <c r="T492" s="827">
        <v>-651</v>
      </c>
      <c r="U492" s="827">
        <v>5930</v>
      </c>
    </row>
    <row r="493" spans="1:21" x14ac:dyDescent="0.25">
      <c r="A493" s="822">
        <v>95205</v>
      </c>
      <c r="B493" s="823" t="s">
        <v>3056</v>
      </c>
      <c r="C493" s="824">
        <v>4.7999999999999998E-6</v>
      </c>
      <c r="D493" s="824">
        <v>5.0000000000000004E-6</v>
      </c>
      <c r="E493" s="825">
        <v>2441</v>
      </c>
      <c r="F493" s="825">
        <v>2244</v>
      </c>
      <c r="G493" s="825">
        <v>10187</v>
      </c>
      <c r="H493" s="825"/>
      <c r="I493" s="826">
        <v>191</v>
      </c>
      <c r="J493" s="826">
        <v>8927</v>
      </c>
      <c r="K493" s="826">
        <v>698</v>
      </c>
      <c r="L493" s="825">
        <v>779</v>
      </c>
      <c r="M493" s="825"/>
      <c r="N493" s="826">
        <v>357</v>
      </c>
      <c r="O493" s="826">
        <v>3295</v>
      </c>
      <c r="P493" s="826">
        <v>0</v>
      </c>
      <c r="Q493" s="825">
        <v>0</v>
      </c>
      <c r="R493" s="825"/>
      <c r="S493" s="826">
        <v>2723</v>
      </c>
      <c r="T493" s="827">
        <v>284</v>
      </c>
      <c r="U493" s="827">
        <v>3007</v>
      </c>
    </row>
    <row r="494" spans="1:21" x14ac:dyDescent="0.25">
      <c r="A494" s="822">
        <v>95211</v>
      </c>
      <c r="B494" s="823" t="s">
        <v>3057</v>
      </c>
      <c r="C494" s="824">
        <v>9.2E-6</v>
      </c>
      <c r="D494" s="824">
        <v>5.9000000000000003E-6</v>
      </c>
      <c r="E494" s="825">
        <v>4005</v>
      </c>
      <c r="F494" s="825">
        <v>2648</v>
      </c>
      <c r="G494" s="825">
        <v>19525</v>
      </c>
      <c r="H494" s="825"/>
      <c r="I494" s="826">
        <v>366.85</v>
      </c>
      <c r="J494" s="826">
        <v>17111</v>
      </c>
      <c r="K494" s="826">
        <v>1337</v>
      </c>
      <c r="L494" s="825">
        <v>1964</v>
      </c>
      <c r="M494" s="825"/>
      <c r="N494" s="826">
        <v>684</v>
      </c>
      <c r="O494" s="826">
        <v>6315</v>
      </c>
      <c r="P494" s="826">
        <v>0</v>
      </c>
      <c r="Q494" s="825">
        <v>1957</v>
      </c>
      <c r="R494" s="825"/>
      <c r="S494" s="826">
        <v>5219</v>
      </c>
      <c r="T494" s="827">
        <v>-462</v>
      </c>
      <c r="U494" s="827">
        <v>4757</v>
      </c>
    </row>
    <row r="495" spans="1:21" x14ac:dyDescent="0.25">
      <c r="A495" s="822">
        <v>95221</v>
      </c>
      <c r="B495" s="823" t="s">
        <v>3058</v>
      </c>
      <c r="C495" s="824">
        <v>1.6900000000000001E-5</v>
      </c>
      <c r="D495" s="824">
        <v>4.5099999999999998E-5</v>
      </c>
      <c r="E495" s="825">
        <v>14058.05</v>
      </c>
      <c r="F495" s="825">
        <v>20241</v>
      </c>
      <c r="G495" s="825">
        <v>35867</v>
      </c>
      <c r="H495" s="825"/>
      <c r="I495" s="826">
        <v>673.88750000000005</v>
      </c>
      <c r="J495" s="826">
        <v>31431</v>
      </c>
      <c r="K495" s="826">
        <v>2457</v>
      </c>
      <c r="L495" s="825">
        <v>5443</v>
      </c>
      <c r="M495" s="825"/>
      <c r="N495" s="826">
        <v>1257</v>
      </c>
      <c r="O495" s="826">
        <v>11601</v>
      </c>
      <c r="P495" s="826">
        <v>0</v>
      </c>
      <c r="Q495" s="825">
        <v>16082</v>
      </c>
      <c r="R495" s="825"/>
      <c r="S495" s="826">
        <v>9587</v>
      </c>
      <c r="T495" s="827">
        <v>-2048</v>
      </c>
      <c r="U495" s="827">
        <v>7539</v>
      </c>
    </row>
    <row r="496" spans="1:21" x14ac:dyDescent="0.25">
      <c r="A496" s="822">
        <v>95301</v>
      </c>
      <c r="B496" s="823" t="s">
        <v>3059</v>
      </c>
      <c r="C496" s="824">
        <v>2.4063999999999999E-3</v>
      </c>
      <c r="D496" s="824">
        <v>2.3544E-3</v>
      </c>
      <c r="E496" s="825">
        <v>972446</v>
      </c>
      <c r="F496" s="825">
        <v>1056641</v>
      </c>
      <c r="G496" s="825">
        <v>5107187</v>
      </c>
      <c r="H496" s="825"/>
      <c r="I496" s="826">
        <v>95955.199999999997</v>
      </c>
      <c r="J496" s="826">
        <v>4475524</v>
      </c>
      <c r="K496" s="826">
        <v>349797</v>
      </c>
      <c r="L496" s="825">
        <v>72796</v>
      </c>
      <c r="M496" s="825"/>
      <c r="N496" s="826">
        <v>178962</v>
      </c>
      <c r="O496" s="826">
        <v>1651893</v>
      </c>
      <c r="P496" s="826">
        <v>0</v>
      </c>
      <c r="Q496" s="825">
        <v>22569</v>
      </c>
      <c r="R496" s="825"/>
      <c r="S496" s="826">
        <v>1365076</v>
      </c>
      <c r="T496" s="827">
        <v>13085</v>
      </c>
      <c r="U496" s="827">
        <v>1378161</v>
      </c>
    </row>
    <row r="497" spans="1:21" x14ac:dyDescent="0.25">
      <c r="A497" s="822">
        <v>95311</v>
      </c>
      <c r="B497" s="823" t="s">
        <v>3060</v>
      </c>
      <c r="C497" s="824">
        <v>2.6841999999999999E-3</v>
      </c>
      <c r="D497" s="824">
        <v>2.9946E-3</v>
      </c>
      <c r="E497" s="825">
        <v>1161820.17</v>
      </c>
      <c r="F497" s="825">
        <v>1343959</v>
      </c>
      <c r="G497" s="825">
        <v>5696772</v>
      </c>
      <c r="H497" s="825"/>
      <c r="I497" s="826">
        <v>107032</v>
      </c>
      <c r="J497" s="826">
        <v>4992188</v>
      </c>
      <c r="K497" s="826">
        <v>390178</v>
      </c>
      <c r="L497" s="825">
        <v>8404</v>
      </c>
      <c r="M497" s="825"/>
      <c r="N497" s="826">
        <v>199621</v>
      </c>
      <c r="O497" s="826">
        <v>1842591</v>
      </c>
      <c r="P497" s="826">
        <v>0</v>
      </c>
      <c r="Q497" s="825">
        <v>175770</v>
      </c>
      <c r="R497" s="825"/>
      <c r="S497" s="826">
        <v>1522663</v>
      </c>
      <c r="T497" s="827">
        <v>-55618</v>
      </c>
      <c r="U497" s="827">
        <v>1467045</v>
      </c>
    </row>
    <row r="498" spans="1:21" x14ac:dyDescent="0.25">
      <c r="A498" s="822">
        <v>95317</v>
      </c>
      <c r="B498" s="823" t="s">
        <v>3061</v>
      </c>
      <c r="C498" s="824">
        <v>5.1400000000000003E-5</v>
      </c>
      <c r="D498" s="824">
        <v>5.3900000000000002E-5</v>
      </c>
      <c r="E498" s="825">
        <v>25005</v>
      </c>
      <c r="F498" s="825">
        <v>24190</v>
      </c>
      <c r="G498" s="825">
        <v>109088</v>
      </c>
      <c r="H498" s="825"/>
      <c r="I498" s="826">
        <v>2050</v>
      </c>
      <c r="J498" s="826">
        <v>95596</v>
      </c>
      <c r="K498" s="826">
        <v>7472</v>
      </c>
      <c r="L498" s="825">
        <v>5874</v>
      </c>
      <c r="M498" s="825"/>
      <c r="N498" s="826">
        <v>3823</v>
      </c>
      <c r="O498" s="826">
        <v>35284</v>
      </c>
      <c r="P498" s="826">
        <v>0</v>
      </c>
      <c r="Q498" s="825">
        <v>75.62</v>
      </c>
      <c r="R498" s="825"/>
      <c r="S498" s="826">
        <v>29158</v>
      </c>
      <c r="T498" s="827">
        <v>1881</v>
      </c>
      <c r="U498" s="827">
        <v>31039</v>
      </c>
    </row>
    <row r="499" spans="1:21" x14ac:dyDescent="0.25">
      <c r="A499" s="822">
        <v>95321</v>
      </c>
      <c r="B499" s="823" t="s">
        <v>3062</v>
      </c>
      <c r="C499" s="824">
        <v>5.7000000000000003E-5</v>
      </c>
      <c r="D499" s="824">
        <v>5.6499999999999998E-5</v>
      </c>
      <c r="E499" s="825">
        <v>24286.95</v>
      </c>
      <c r="F499" s="825">
        <v>25357</v>
      </c>
      <c r="G499" s="825">
        <v>120973</v>
      </c>
      <c r="H499" s="825"/>
      <c r="I499" s="826">
        <v>2272.875</v>
      </c>
      <c r="J499" s="826">
        <v>106011</v>
      </c>
      <c r="K499" s="826">
        <v>8286</v>
      </c>
      <c r="L499" s="825">
        <v>4716</v>
      </c>
      <c r="M499" s="825"/>
      <c r="N499" s="826">
        <v>4239</v>
      </c>
      <c r="O499" s="826">
        <v>39128</v>
      </c>
      <c r="P499" s="826">
        <v>0</v>
      </c>
      <c r="Q499" s="825">
        <v>0</v>
      </c>
      <c r="R499" s="825"/>
      <c r="S499" s="826">
        <v>32334</v>
      </c>
      <c r="T499" s="827">
        <v>1628</v>
      </c>
      <c r="U499" s="827">
        <v>33963</v>
      </c>
    </row>
    <row r="500" spans="1:21" x14ac:dyDescent="0.25">
      <c r="A500" s="822">
        <v>95401</v>
      </c>
      <c r="B500" s="823" t="s">
        <v>3063</v>
      </c>
      <c r="C500" s="824">
        <v>2.9979999999999998E-3</v>
      </c>
      <c r="D500" s="824">
        <v>2.8663999999999999E-3</v>
      </c>
      <c r="E500" s="825">
        <v>1170186.01</v>
      </c>
      <c r="F500" s="825">
        <v>1286423</v>
      </c>
      <c r="G500" s="825">
        <v>6362760</v>
      </c>
      <c r="H500" s="825"/>
      <c r="I500" s="826">
        <v>119545</v>
      </c>
      <c r="J500" s="826">
        <v>5575806</v>
      </c>
      <c r="K500" s="826">
        <v>435792</v>
      </c>
      <c r="L500" s="825">
        <v>42759</v>
      </c>
      <c r="M500" s="825"/>
      <c r="N500" s="826">
        <v>222958</v>
      </c>
      <c r="O500" s="826">
        <v>2058001</v>
      </c>
      <c r="P500" s="826">
        <v>0</v>
      </c>
      <c r="Q500" s="825">
        <v>0</v>
      </c>
      <c r="R500" s="825"/>
      <c r="S500" s="826">
        <v>1700672</v>
      </c>
      <c r="T500" s="827">
        <v>15064</v>
      </c>
      <c r="U500" s="827">
        <v>1715737</v>
      </c>
    </row>
    <row r="501" spans="1:21" x14ac:dyDescent="0.25">
      <c r="A501" s="822">
        <v>95404</v>
      </c>
      <c r="B501" s="823" t="s">
        <v>3064</v>
      </c>
      <c r="C501" s="824">
        <v>4.9799999999999998E-5</v>
      </c>
      <c r="D501" s="824">
        <v>3.4999999999999997E-5</v>
      </c>
      <c r="E501" s="825">
        <v>17582</v>
      </c>
      <c r="F501" s="825">
        <v>15708</v>
      </c>
      <c r="G501" s="825">
        <v>105692</v>
      </c>
      <c r="H501" s="825"/>
      <c r="I501" s="826">
        <v>1986</v>
      </c>
      <c r="J501" s="826">
        <v>92620</v>
      </c>
      <c r="K501" s="826">
        <v>7239</v>
      </c>
      <c r="L501" s="825">
        <v>6596</v>
      </c>
      <c r="M501" s="825"/>
      <c r="N501" s="826">
        <v>3704</v>
      </c>
      <c r="O501" s="826">
        <v>34186</v>
      </c>
      <c r="P501" s="826">
        <v>0</v>
      </c>
      <c r="Q501" s="825">
        <v>0</v>
      </c>
      <c r="R501" s="825"/>
      <c r="S501" s="826">
        <v>28250</v>
      </c>
      <c r="T501" s="827">
        <v>1847</v>
      </c>
      <c r="U501" s="827">
        <v>30097</v>
      </c>
    </row>
    <row r="502" spans="1:21" x14ac:dyDescent="0.25">
      <c r="A502" s="822">
        <v>95405</v>
      </c>
      <c r="B502" s="823" t="s">
        <v>3065</v>
      </c>
      <c r="C502" s="824">
        <v>1.84E-5</v>
      </c>
      <c r="D502" s="824">
        <v>1.7E-5</v>
      </c>
      <c r="E502" s="825">
        <v>15271</v>
      </c>
      <c r="F502" s="825">
        <v>7629</v>
      </c>
      <c r="G502" s="825">
        <v>39051</v>
      </c>
      <c r="H502" s="825"/>
      <c r="I502" s="826">
        <v>733.7</v>
      </c>
      <c r="J502" s="826">
        <v>34221</v>
      </c>
      <c r="K502" s="826">
        <v>2675</v>
      </c>
      <c r="L502" s="825">
        <v>12414</v>
      </c>
      <c r="M502" s="825"/>
      <c r="N502" s="826">
        <v>1368</v>
      </c>
      <c r="O502" s="826">
        <v>12631</v>
      </c>
      <c r="P502" s="826">
        <v>0</v>
      </c>
      <c r="Q502" s="825">
        <v>0</v>
      </c>
      <c r="R502" s="825"/>
      <c r="S502" s="826">
        <v>10438</v>
      </c>
      <c r="T502" s="827">
        <v>3754</v>
      </c>
      <c r="U502" s="827">
        <v>14192</v>
      </c>
    </row>
    <row r="503" spans="1:21" x14ac:dyDescent="0.25">
      <c r="A503" s="822">
        <v>95411</v>
      </c>
      <c r="B503" s="823" t="s">
        <v>3066</v>
      </c>
      <c r="C503" s="824">
        <v>2.3272000000000002E-3</v>
      </c>
      <c r="D503" s="824">
        <v>2.3019E-3</v>
      </c>
      <c r="E503" s="825">
        <v>960134</v>
      </c>
      <c r="F503" s="825">
        <v>1033079</v>
      </c>
      <c r="G503" s="825">
        <v>4939098</v>
      </c>
      <c r="H503" s="825"/>
      <c r="I503" s="826">
        <v>92797.1</v>
      </c>
      <c r="J503" s="826">
        <v>4328224</v>
      </c>
      <c r="K503" s="826">
        <v>338284</v>
      </c>
      <c r="L503" s="825">
        <v>19324</v>
      </c>
      <c r="M503" s="825"/>
      <c r="N503" s="826">
        <v>173072</v>
      </c>
      <c r="O503" s="826">
        <v>1597525</v>
      </c>
      <c r="P503" s="826">
        <v>0</v>
      </c>
      <c r="Q503" s="825">
        <v>37438</v>
      </c>
      <c r="R503" s="825"/>
      <c r="S503" s="826">
        <v>1320148</v>
      </c>
      <c r="T503" s="827">
        <v>-13504</v>
      </c>
      <c r="U503" s="827">
        <v>1306644</v>
      </c>
    </row>
    <row r="504" spans="1:21" x14ac:dyDescent="0.25">
      <c r="A504" s="822">
        <v>95412</v>
      </c>
      <c r="B504" s="823" t="s">
        <v>3067</v>
      </c>
      <c r="C504" s="824">
        <v>0</v>
      </c>
      <c r="D504" s="824">
        <v>0</v>
      </c>
      <c r="E504" s="825">
        <v>0</v>
      </c>
      <c r="F504" s="825">
        <v>0</v>
      </c>
      <c r="G504" s="825">
        <v>0</v>
      </c>
      <c r="H504" s="825"/>
      <c r="I504" s="826">
        <v>0</v>
      </c>
      <c r="J504" s="826">
        <v>0</v>
      </c>
      <c r="K504" s="826">
        <v>0</v>
      </c>
      <c r="L504" s="825">
        <v>0</v>
      </c>
      <c r="M504" s="825"/>
      <c r="N504" s="826">
        <v>0</v>
      </c>
      <c r="O504" s="826">
        <v>0</v>
      </c>
      <c r="P504" s="826">
        <v>0</v>
      </c>
      <c r="Q504" s="825">
        <v>46349</v>
      </c>
      <c r="R504" s="825"/>
      <c r="S504" s="826">
        <v>0</v>
      </c>
      <c r="T504" s="827">
        <v>-18518</v>
      </c>
      <c r="U504" s="827">
        <v>-18518</v>
      </c>
    </row>
    <row r="505" spans="1:21" x14ac:dyDescent="0.25">
      <c r="A505" s="822">
        <v>95413</v>
      </c>
      <c r="B505" s="823" t="s">
        <v>3068</v>
      </c>
      <c r="C505" s="824">
        <v>2.945E-4</v>
      </c>
      <c r="D505" s="824">
        <v>2.9579999999999998E-4</v>
      </c>
      <c r="E505" s="825">
        <v>262975</v>
      </c>
      <c r="F505" s="825">
        <v>132753</v>
      </c>
      <c r="G505" s="825">
        <v>625028</v>
      </c>
      <c r="H505" s="825"/>
      <c r="I505" s="826">
        <v>11743.1875</v>
      </c>
      <c r="J505" s="826">
        <v>547723</v>
      </c>
      <c r="K505" s="826">
        <v>42809</v>
      </c>
      <c r="L505" s="825">
        <v>198118</v>
      </c>
      <c r="M505" s="825"/>
      <c r="N505" s="826">
        <v>21902</v>
      </c>
      <c r="O505" s="826">
        <v>202162</v>
      </c>
      <c r="P505" s="826">
        <v>0</v>
      </c>
      <c r="Q505" s="825">
        <v>18897.04</v>
      </c>
      <c r="R505" s="825"/>
      <c r="S505" s="826">
        <v>167061</v>
      </c>
      <c r="T505" s="827">
        <v>50061</v>
      </c>
      <c r="U505" s="827">
        <v>217122</v>
      </c>
    </row>
    <row r="506" spans="1:21" x14ac:dyDescent="0.25">
      <c r="A506" s="822">
        <v>95415</v>
      </c>
      <c r="B506" s="823" t="s">
        <v>3069</v>
      </c>
      <c r="C506" s="824">
        <v>7.9499999999999994E-5</v>
      </c>
      <c r="D506" s="824">
        <v>7.6600000000000005E-5</v>
      </c>
      <c r="E506" s="825">
        <v>28617</v>
      </c>
      <c r="F506" s="825">
        <v>34378</v>
      </c>
      <c r="G506" s="825">
        <v>168726</v>
      </c>
      <c r="H506" s="825"/>
      <c r="I506" s="826">
        <v>3170.0625</v>
      </c>
      <c r="J506" s="826">
        <v>147857</v>
      </c>
      <c r="K506" s="826">
        <v>11556</v>
      </c>
      <c r="L506" s="825">
        <v>10656.45</v>
      </c>
      <c r="M506" s="825"/>
      <c r="N506" s="826">
        <v>5912</v>
      </c>
      <c r="O506" s="826">
        <v>54573</v>
      </c>
      <c r="P506" s="826">
        <v>0</v>
      </c>
      <c r="Q506" s="825">
        <v>7763</v>
      </c>
      <c r="R506" s="825"/>
      <c r="S506" s="826">
        <v>45098</v>
      </c>
      <c r="T506" s="827">
        <v>2762</v>
      </c>
      <c r="U506" s="827">
        <v>47859</v>
      </c>
    </row>
    <row r="507" spans="1:21" x14ac:dyDescent="0.25">
      <c r="A507" s="822">
        <v>95421</v>
      </c>
      <c r="B507" s="823" t="s">
        <v>3070</v>
      </c>
      <c r="C507" s="824">
        <v>3.9100000000000002E-5</v>
      </c>
      <c r="D507" s="824">
        <v>5.1E-5</v>
      </c>
      <c r="E507" s="825">
        <v>15644</v>
      </c>
      <c r="F507" s="825">
        <v>22888</v>
      </c>
      <c r="G507" s="825">
        <v>82983</v>
      </c>
      <c r="H507" s="825"/>
      <c r="I507" s="826">
        <v>1559</v>
      </c>
      <c r="J507" s="826">
        <v>72720</v>
      </c>
      <c r="K507" s="826">
        <v>5684</v>
      </c>
      <c r="L507" s="825">
        <v>0</v>
      </c>
      <c r="M507" s="825"/>
      <c r="N507" s="826">
        <v>2908</v>
      </c>
      <c r="O507" s="826">
        <v>26841</v>
      </c>
      <c r="P507" s="826">
        <v>0</v>
      </c>
      <c r="Q507" s="825">
        <v>14322</v>
      </c>
      <c r="R507" s="825"/>
      <c r="S507" s="826">
        <v>22180</v>
      </c>
      <c r="T507" s="827">
        <v>-4969</v>
      </c>
      <c r="U507" s="827">
        <v>17211</v>
      </c>
    </row>
    <row r="508" spans="1:21" x14ac:dyDescent="0.25">
      <c r="A508" s="822">
        <v>95431</v>
      </c>
      <c r="B508" s="823" t="s">
        <v>3071</v>
      </c>
      <c r="C508" s="824">
        <v>1.8009999999999999E-4</v>
      </c>
      <c r="D508" s="824">
        <v>1.7249999999999999E-4</v>
      </c>
      <c r="E508" s="825">
        <v>59568.97</v>
      </c>
      <c r="F508" s="825">
        <v>77417</v>
      </c>
      <c r="G508" s="825">
        <v>382233</v>
      </c>
      <c r="H508" s="825"/>
      <c r="I508" s="826">
        <v>7181</v>
      </c>
      <c r="J508" s="826">
        <v>334958</v>
      </c>
      <c r="K508" s="826">
        <v>26180</v>
      </c>
      <c r="L508" s="825">
        <v>450</v>
      </c>
      <c r="M508" s="825"/>
      <c r="N508" s="826">
        <v>13394</v>
      </c>
      <c r="O508" s="826">
        <v>123631</v>
      </c>
      <c r="P508" s="826">
        <v>0</v>
      </c>
      <c r="Q508" s="825">
        <v>13081</v>
      </c>
      <c r="R508" s="825"/>
      <c r="S508" s="826">
        <v>102165</v>
      </c>
      <c r="T508" s="827">
        <v>-3706</v>
      </c>
      <c r="U508" s="827">
        <v>98459</v>
      </c>
    </row>
    <row r="509" spans="1:21" x14ac:dyDescent="0.25">
      <c r="A509" s="822">
        <v>95501</v>
      </c>
      <c r="B509" s="823" t="s">
        <v>3072</v>
      </c>
      <c r="C509" s="824">
        <v>4.7917999999999997E-3</v>
      </c>
      <c r="D509" s="824">
        <v>4.8338000000000001E-3</v>
      </c>
      <c r="E509" s="825">
        <v>1890954</v>
      </c>
      <c r="F509" s="825">
        <v>2169380</v>
      </c>
      <c r="G509" s="825">
        <v>10169805</v>
      </c>
      <c r="H509" s="825"/>
      <c r="I509" s="826">
        <v>191073</v>
      </c>
      <c r="J509" s="826">
        <v>8911991</v>
      </c>
      <c r="K509" s="826">
        <v>696541</v>
      </c>
      <c r="L509" s="825">
        <v>63710</v>
      </c>
      <c r="M509" s="825"/>
      <c r="N509" s="826">
        <v>356361</v>
      </c>
      <c r="O509" s="826">
        <v>3289369</v>
      </c>
      <c r="P509" s="826">
        <v>0</v>
      </c>
      <c r="Q509" s="825">
        <v>102347</v>
      </c>
      <c r="R509" s="825"/>
      <c r="S509" s="826">
        <v>2718240</v>
      </c>
      <c r="T509" s="827">
        <v>3939</v>
      </c>
      <c r="U509" s="827">
        <v>2722178</v>
      </c>
    </row>
    <row r="510" spans="1:21" x14ac:dyDescent="0.25">
      <c r="A510" s="822">
        <v>95504</v>
      </c>
      <c r="B510" s="823" t="s">
        <v>3073</v>
      </c>
      <c r="C510" s="824">
        <v>8.8999999999999995E-6</v>
      </c>
      <c r="D510" s="824">
        <v>1.2099999999999999E-5</v>
      </c>
      <c r="E510" s="825">
        <v>7171.2</v>
      </c>
      <c r="F510" s="825">
        <v>5430</v>
      </c>
      <c r="G510" s="825">
        <v>18889</v>
      </c>
      <c r="H510" s="825"/>
      <c r="I510" s="826">
        <v>354.88749999999999</v>
      </c>
      <c r="J510" s="826">
        <v>16553</v>
      </c>
      <c r="K510" s="826">
        <v>1294</v>
      </c>
      <c r="L510" s="825">
        <v>5463</v>
      </c>
      <c r="M510" s="825"/>
      <c r="N510" s="826">
        <v>662</v>
      </c>
      <c r="O510" s="826">
        <v>6109</v>
      </c>
      <c r="P510" s="826">
        <v>0</v>
      </c>
      <c r="Q510" s="825">
        <v>0</v>
      </c>
      <c r="R510" s="825"/>
      <c r="S510" s="826">
        <v>5049</v>
      </c>
      <c r="T510" s="827">
        <v>1872</v>
      </c>
      <c r="U510" s="827">
        <v>6921</v>
      </c>
    </row>
    <row r="511" spans="1:21" x14ac:dyDescent="0.25">
      <c r="A511" s="822">
        <v>95511</v>
      </c>
      <c r="B511" s="823" t="s">
        <v>3074</v>
      </c>
      <c r="C511" s="824">
        <v>9.6049999999999998E-4</v>
      </c>
      <c r="D511" s="824">
        <v>1.0989000000000001E-3</v>
      </c>
      <c r="E511" s="825">
        <v>413682.63</v>
      </c>
      <c r="F511" s="825">
        <v>493180</v>
      </c>
      <c r="G511" s="825">
        <v>2038503</v>
      </c>
      <c r="H511" s="825"/>
      <c r="I511" s="826">
        <v>38300</v>
      </c>
      <c r="J511" s="826">
        <v>1786378</v>
      </c>
      <c r="K511" s="826">
        <v>139619</v>
      </c>
      <c r="L511" s="825">
        <v>10807.69</v>
      </c>
      <c r="M511" s="825"/>
      <c r="N511" s="826">
        <v>71431</v>
      </c>
      <c r="O511" s="826">
        <v>659343</v>
      </c>
      <c r="P511" s="826">
        <v>0</v>
      </c>
      <c r="Q511" s="825">
        <v>71910</v>
      </c>
      <c r="R511" s="825"/>
      <c r="S511" s="826">
        <v>544862</v>
      </c>
      <c r="T511" s="827">
        <v>-14323</v>
      </c>
      <c r="U511" s="827">
        <v>530538</v>
      </c>
    </row>
    <row r="512" spans="1:21" x14ac:dyDescent="0.25">
      <c r="A512" s="822">
        <v>95513</v>
      </c>
      <c r="B512" s="823" t="s">
        <v>3075</v>
      </c>
      <c r="C512" s="824">
        <v>4.5500000000000001E-5</v>
      </c>
      <c r="D512" s="824">
        <v>4.4499999999999997E-5</v>
      </c>
      <c r="E512" s="825">
        <v>28270</v>
      </c>
      <c r="F512" s="825">
        <v>19971</v>
      </c>
      <c r="G512" s="825">
        <v>96566</v>
      </c>
      <c r="H512" s="825"/>
      <c r="I512" s="826">
        <v>1814.3125</v>
      </c>
      <c r="J512" s="826">
        <v>84623</v>
      </c>
      <c r="K512" s="826">
        <v>6614</v>
      </c>
      <c r="L512" s="825">
        <v>19516</v>
      </c>
      <c r="M512" s="825"/>
      <c r="N512" s="826">
        <v>3384</v>
      </c>
      <c r="O512" s="826">
        <v>31234</v>
      </c>
      <c r="P512" s="826">
        <v>0</v>
      </c>
      <c r="Q512" s="825">
        <v>0</v>
      </c>
      <c r="R512" s="825"/>
      <c r="S512" s="826">
        <v>25811</v>
      </c>
      <c r="T512" s="827">
        <v>6831</v>
      </c>
      <c r="U512" s="827">
        <v>32642</v>
      </c>
    </row>
    <row r="513" spans="1:21" x14ac:dyDescent="0.25">
      <c r="A513" s="822">
        <v>95517</v>
      </c>
      <c r="B513" s="823" t="s">
        <v>3076</v>
      </c>
      <c r="C513" s="824">
        <v>1.66E-5</v>
      </c>
      <c r="D513" s="824">
        <v>1.1399999999999999E-5</v>
      </c>
      <c r="E513" s="825">
        <v>13168.44</v>
      </c>
      <c r="F513" s="825">
        <v>5116</v>
      </c>
      <c r="G513" s="825">
        <v>35231</v>
      </c>
      <c r="H513" s="825"/>
      <c r="I513" s="826">
        <v>662</v>
      </c>
      <c r="J513" s="826">
        <v>30873</v>
      </c>
      <c r="K513" s="826">
        <v>2413</v>
      </c>
      <c r="L513" s="825">
        <v>13465</v>
      </c>
      <c r="M513" s="825"/>
      <c r="N513" s="826">
        <v>1235</v>
      </c>
      <c r="O513" s="826">
        <v>11395</v>
      </c>
      <c r="P513" s="826">
        <v>0</v>
      </c>
      <c r="Q513" s="825">
        <v>0</v>
      </c>
      <c r="R513" s="825"/>
      <c r="S513" s="826">
        <v>9417</v>
      </c>
      <c r="T513" s="827">
        <v>4330</v>
      </c>
      <c r="U513" s="827">
        <v>13747</v>
      </c>
    </row>
    <row r="514" spans="1:21" x14ac:dyDescent="0.25">
      <c r="A514" s="822">
        <v>95601</v>
      </c>
      <c r="B514" s="823" t="s">
        <v>3077</v>
      </c>
      <c r="C514" s="824">
        <v>2.6592999999999999E-3</v>
      </c>
      <c r="D514" s="824">
        <v>2.4567999999999999E-3</v>
      </c>
      <c r="E514" s="825">
        <v>1012937</v>
      </c>
      <c r="F514" s="825">
        <v>1102597</v>
      </c>
      <c r="G514" s="825">
        <v>5643925</v>
      </c>
      <c r="H514" s="825"/>
      <c r="I514" s="826">
        <v>106040</v>
      </c>
      <c r="J514" s="826">
        <v>4945878</v>
      </c>
      <c r="K514" s="826">
        <v>386559</v>
      </c>
      <c r="L514" s="825">
        <v>138057</v>
      </c>
      <c r="M514" s="825"/>
      <c r="N514" s="826">
        <v>197769</v>
      </c>
      <c r="O514" s="826">
        <v>1825498</v>
      </c>
      <c r="P514" s="826">
        <v>0</v>
      </c>
      <c r="Q514" s="825">
        <v>0</v>
      </c>
      <c r="R514" s="825"/>
      <c r="S514" s="826">
        <v>1508538</v>
      </c>
      <c r="T514" s="827">
        <v>52467</v>
      </c>
      <c r="U514" s="827">
        <v>1561006</v>
      </c>
    </row>
    <row r="515" spans="1:21" x14ac:dyDescent="0.25">
      <c r="A515" s="822">
        <v>95611</v>
      </c>
      <c r="B515" s="823" t="s">
        <v>3078</v>
      </c>
      <c r="C515" s="824">
        <v>3.9540000000000002E-4</v>
      </c>
      <c r="D515" s="824">
        <v>3.9500000000000001E-4</v>
      </c>
      <c r="E515" s="825">
        <v>162221</v>
      </c>
      <c r="F515" s="825">
        <v>177273.63</v>
      </c>
      <c r="G515" s="825">
        <v>839171</v>
      </c>
      <c r="H515" s="825"/>
      <c r="I515" s="826">
        <v>15767</v>
      </c>
      <c r="J515" s="826">
        <v>735382</v>
      </c>
      <c r="K515" s="826">
        <v>57476</v>
      </c>
      <c r="L515" s="825">
        <v>2750</v>
      </c>
      <c r="M515" s="825"/>
      <c r="N515" s="826">
        <v>29406</v>
      </c>
      <c r="O515" s="826">
        <v>271425</v>
      </c>
      <c r="P515" s="826">
        <v>0</v>
      </c>
      <c r="Q515" s="825">
        <v>5641</v>
      </c>
      <c r="R515" s="825"/>
      <c r="S515" s="826">
        <v>224298</v>
      </c>
      <c r="T515" s="827">
        <v>-610</v>
      </c>
      <c r="U515" s="827">
        <v>223688</v>
      </c>
    </row>
    <row r="516" spans="1:21" x14ac:dyDescent="0.25">
      <c r="A516" s="822">
        <v>95617</v>
      </c>
      <c r="B516" s="823" t="s">
        <v>3079</v>
      </c>
      <c r="C516" s="824">
        <v>1.6500000000000001E-5</v>
      </c>
      <c r="D516" s="824">
        <v>1.63E-5</v>
      </c>
      <c r="E516" s="825">
        <v>7075</v>
      </c>
      <c r="F516" s="825">
        <v>7315</v>
      </c>
      <c r="G516" s="825">
        <v>35019</v>
      </c>
      <c r="H516" s="825"/>
      <c r="I516" s="826">
        <v>657.9375</v>
      </c>
      <c r="J516" s="826">
        <v>30687</v>
      </c>
      <c r="K516" s="826">
        <v>2398</v>
      </c>
      <c r="L516" s="825">
        <v>338</v>
      </c>
      <c r="M516" s="825"/>
      <c r="N516" s="826">
        <v>1227</v>
      </c>
      <c r="O516" s="826">
        <v>11327</v>
      </c>
      <c r="P516" s="826">
        <v>0</v>
      </c>
      <c r="Q516" s="825">
        <v>2141</v>
      </c>
      <c r="R516" s="825"/>
      <c r="S516" s="826">
        <v>9360</v>
      </c>
      <c r="T516" s="827">
        <v>-777</v>
      </c>
      <c r="U516" s="827">
        <v>8583</v>
      </c>
    </row>
    <row r="517" spans="1:21" x14ac:dyDescent="0.25">
      <c r="A517" s="822">
        <v>95621</v>
      </c>
      <c r="B517" s="823" t="s">
        <v>3080</v>
      </c>
      <c r="C517" s="824">
        <v>4.8020000000000002E-4</v>
      </c>
      <c r="D517" s="824">
        <v>5.0210000000000001E-4</v>
      </c>
      <c r="E517" s="825">
        <v>211840</v>
      </c>
      <c r="F517" s="825">
        <v>225339</v>
      </c>
      <c r="G517" s="825">
        <v>1019145</v>
      </c>
      <c r="H517" s="825"/>
      <c r="I517" s="826">
        <v>19148</v>
      </c>
      <c r="J517" s="826">
        <v>893096</v>
      </c>
      <c r="K517" s="826">
        <v>69802</v>
      </c>
      <c r="L517" s="825">
        <v>6364.02</v>
      </c>
      <c r="M517" s="825"/>
      <c r="N517" s="826">
        <v>35712</v>
      </c>
      <c r="O517" s="826">
        <v>329637</v>
      </c>
      <c r="P517" s="826">
        <v>0</v>
      </c>
      <c r="Q517" s="825">
        <v>3443</v>
      </c>
      <c r="R517" s="825"/>
      <c r="S517" s="826">
        <v>272403</v>
      </c>
      <c r="T517" s="827">
        <v>2021</v>
      </c>
      <c r="U517" s="827">
        <v>274423</v>
      </c>
    </row>
    <row r="518" spans="1:21" x14ac:dyDescent="0.25">
      <c r="A518" s="822">
        <v>95701</v>
      </c>
      <c r="B518" s="823" t="s">
        <v>3081</v>
      </c>
      <c r="C518" s="824">
        <v>1.291E-3</v>
      </c>
      <c r="D518" s="824">
        <v>1.2436999999999999E-3</v>
      </c>
      <c r="E518" s="825">
        <v>517495</v>
      </c>
      <c r="F518" s="825">
        <v>558165</v>
      </c>
      <c r="G518" s="825">
        <v>2739934</v>
      </c>
      <c r="H518" s="825"/>
      <c r="I518" s="826">
        <v>51478.625</v>
      </c>
      <c r="J518" s="826">
        <v>2401056</v>
      </c>
      <c r="K518" s="826">
        <v>187661</v>
      </c>
      <c r="L518" s="825">
        <v>51877</v>
      </c>
      <c r="M518" s="825"/>
      <c r="N518" s="826">
        <v>96010</v>
      </c>
      <c r="O518" s="826">
        <v>886217</v>
      </c>
      <c r="P518" s="826">
        <v>0</v>
      </c>
      <c r="Q518" s="825">
        <v>0</v>
      </c>
      <c r="R518" s="825"/>
      <c r="S518" s="826">
        <v>732344</v>
      </c>
      <c r="T518" s="827">
        <v>20713</v>
      </c>
      <c r="U518" s="827">
        <v>753057</v>
      </c>
    </row>
    <row r="519" spans="1:21" x14ac:dyDescent="0.25">
      <c r="A519" s="822">
        <v>95711</v>
      </c>
      <c r="B519" s="823" t="s">
        <v>3082</v>
      </c>
      <c r="C519" s="824">
        <v>1.382E-4</v>
      </c>
      <c r="D519" s="824">
        <v>1.284E-4</v>
      </c>
      <c r="E519" s="825">
        <v>51439.57</v>
      </c>
      <c r="F519" s="825">
        <v>57625</v>
      </c>
      <c r="G519" s="825">
        <v>293307</v>
      </c>
      <c r="H519" s="825"/>
      <c r="I519" s="826">
        <v>5511</v>
      </c>
      <c r="J519" s="826">
        <v>257030</v>
      </c>
      <c r="K519" s="826">
        <v>20089</v>
      </c>
      <c r="L519" s="825">
        <v>9232</v>
      </c>
      <c r="M519" s="825"/>
      <c r="N519" s="826">
        <v>10278</v>
      </c>
      <c r="O519" s="826">
        <v>94868</v>
      </c>
      <c r="P519" s="826">
        <v>0</v>
      </c>
      <c r="Q519" s="825">
        <v>143</v>
      </c>
      <c r="R519" s="825"/>
      <c r="S519" s="826">
        <v>78397</v>
      </c>
      <c r="T519" s="827">
        <v>3104</v>
      </c>
      <c r="U519" s="827">
        <v>81500</v>
      </c>
    </row>
    <row r="520" spans="1:21" x14ac:dyDescent="0.25">
      <c r="A520" s="822">
        <v>95721</v>
      </c>
      <c r="B520" s="823" t="s">
        <v>3083</v>
      </c>
      <c r="C520" s="824">
        <v>6.6199999999999996E-5</v>
      </c>
      <c r="D520" s="824">
        <v>6.7199999999999994E-5</v>
      </c>
      <c r="E520" s="825">
        <v>22493.79</v>
      </c>
      <c r="F520" s="825">
        <v>30159</v>
      </c>
      <c r="G520" s="825">
        <v>140499</v>
      </c>
      <c r="H520" s="825"/>
      <c r="I520" s="826">
        <v>2640</v>
      </c>
      <c r="J520" s="826">
        <v>123122</v>
      </c>
      <c r="K520" s="826">
        <v>9623</v>
      </c>
      <c r="L520" s="825">
        <v>0</v>
      </c>
      <c r="M520" s="825"/>
      <c r="N520" s="826">
        <v>4923</v>
      </c>
      <c r="O520" s="826">
        <v>45444</v>
      </c>
      <c r="P520" s="826">
        <v>0</v>
      </c>
      <c r="Q520" s="825">
        <v>9473</v>
      </c>
      <c r="R520" s="825"/>
      <c r="S520" s="826">
        <v>37553</v>
      </c>
      <c r="T520" s="827">
        <v>-3665</v>
      </c>
      <c r="U520" s="827">
        <v>33888</v>
      </c>
    </row>
    <row r="521" spans="1:21" x14ac:dyDescent="0.25">
      <c r="A521" s="822">
        <v>95733</v>
      </c>
      <c r="B521" s="823" t="s">
        <v>3084</v>
      </c>
      <c r="C521" s="824">
        <v>1.56E-5</v>
      </c>
      <c r="D521" s="824">
        <v>1.63E-5</v>
      </c>
      <c r="E521" s="825">
        <v>6566</v>
      </c>
      <c r="F521" s="825">
        <v>7315</v>
      </c>
      <c r="G521" s="825">
        <v>33108</v>
      </c>
      <c r="H521" s="825"/>
      <c r="I521" s="826">
        <v>622</v>
      </c>
      <c r="J521" s="826">
        <v>29014</v>
      </c>
      <c r="K521" s="826">
        <v>2268</v>
      </c>
      <c r="L521" s="825">
        <v>926</v>
      </c>
      <c r="M521" s="825"/>
      <c r="N521" s="826">
        <v>1160</v>
      </c>
      <c r="O521" s="826">
        <v>10709</v>
      </c>
      <c r="P521" s="826">
        <v>0</v>
      </c>
      <c r="Q521" s="825">
        <v>259</v>
      </c>
      <c r="R521" s="825"/>
      <c r="S521" s="826">
        <v>8849</v>
      </c>
      <c r="T521" s="827">
        <v>277</v>
      </c>
      <c r="U521" s="827">
        <v>9127</v>
      </c>
    </row>
    <row r="522" spans="1:21" x14ac:dyDescent="0.25">
      <c r="A522" s="822">
        <v>95801</v>
      </c>
      <c r="B522" s="823" t="s">
        <v>3085</v>
      </c>
      <c r="C522" s="824">
        <v>8.9349999999999998E-4</v>
      </c>
      <c r="D522" s="824">
        <v>9.1810000000000004E-4</v>
      </c>
      <c r="E522" s="825">
        <v>383793.67</v>
      </c>
      <c r="F522" s="825">
        <v>412038</v>
      </c>
      <c r="G522" s="825">
        <v>1896306</v>
      </c>
      <c r="H522" s="825"/>
      <c r="I522" s="826">
        <v>35628</v>
      </c>
      <c r="J522" s="826">
        <v>1661769</v>
      </c>
      <c r="K522" s="826">
        <v>129880</v>
      </c>
      <c r="L522" s="825">
        <v>14615</v>
      </c>
      <c r="M522" s="825"/>
      <c r="N522" s="826">
        <v>66449</v>
      </c>
      <c r="O522" s="826">
        <v>613350</v>
      </c>
      <c r="P522" s="826">
        <v>0</v>
      </c>
      <c r="Q522" s="825">
        <v>8079</v>
      </c>
      <c r="R522" s="825"/>
      <c r="S522" s="826">
        <v>506855</v>
      </c>
      <c r="T522" s="827">
        <v>1206</v>
      </c>
      <c r="U522" s="827">
        <v>508061</v>
      </c>
    </row>
    <row r="523" spans="1:21" x14ac:dyDescent="0.25">
      <c r="A523" s="822">
        <v>95802</v>
      </c>
      <c r="B523" s="823" t="s">
        <v>3086</v>
      </c>
      <c r="C523" s="824">
        <v>6.8000000000000001E-6</v>
      </c>
      <c r="D523" s="824">
        <v>6.8000000000000001E-6</v>
      </c>
      <c r="E523" s="825">
        <v>4626.88</v>
      </c>
      <c r="F523" s="825">
        <v>3052</v>
      </c>
      <c r="G523" s="825">
        <v>14432</v>
      </c>
      <c r="H523" s="825"/>
      <c r="I523" s="826">
        <v>271</v>
      </c>
      <c r="J523" s="826">
        <v>12647</v>
      </c>
      <c r="K523" s="826">
        <v>988</v>
      </c>
      <c r="L523" s="825">
        <v>2741</v>
      </c>
      <c r="M523" s="825"/>
      <c r="N523" s="826">
        <v>506</v>
      </c>
      <c r="O523" s="826">
        <v>4668</v>
      </c>
      <c r="P523" s="826">
        <v>0</v>
      </c>
      <c r="Q523" s="825">
        <v>2509</v>
      </c>
      <c r="R523" s="825"/>
      <c r="S523" s="826">
        <v>3857</v>
      </c>
      <c r="T523" s="827">
        <v>-428</v>
      </c>
      <c r="U523" s="827">
        <v>3429</v>
      </c>
    </row>
    <row r="524" spans="1:21" x14ac:dyDescent="0.25">
      <c r="A524" s="822">
        <v>95804</v>
      </c>
      <c r="B524" s="823" t="s">
        <v>3087</v>
      </c>
      <c r="C524" s="824">
        <v>1.63E-5</v>
      </c>
      <c r="D524" s="824">
        <v>1.4399999999999999E-5</v>
      </c>
      <c r="E524" s="825">
        <v>6017.02</v>
      </c>
      <c r="F524" s="825">
        <v>6463</v>
      </c>
      <c r="G524" s="825">
        <v>34594</v>
      </c>
      <c r="H524" s="825"/>
      <c r="I524" s="826">
        <v>649.96249999999998</v>
      </c>
      <c r="J524" s="826">
        <v>30315</v>
      </c>
      <c r="K524" s="826">
        <v>2369</v>
      </c>
      <c r="L524" s="825">
        <v>3054</v>
      </c>
      <c r="M524" s="825"/>
      <c r="N524" s="826">
        <v>1212</v>
      </c>
      <c r="O524" s="826">
        <v>11189</v>
      </c>
      <c r="P524" s="826">
        <v>0</v>
      </c>
      <c r="Q524" s="825">
        <v>0</v>
      </c>
      <c r="R524" s="825"/>
      <c r="S524" s="826">
        <v>9246</v>
      </c>
      <c r="T524" s="827">
        <v>1187</v>
      </c>
      <c r="U524" s="827">
        <v>10434</v>
      </c>
    </row>
    <row r="525" spans="1:21" x14ac:dyDescent="0.25">
      <c r="A525" s="822">
        <v>95811</v>
      </c>
      <c r="B525" s="823" t="s">
        <v>3088</v>
      </c>
      <c r="C525" s="824">
        <v>5.3410000000000003E-4</v>
      </c>
      <c r="D525" s="824">
        <v>5.2459999999999996E-4</v>
      </c>
      <c r="E525" s="825">
        <v>215302.64</v>
      </c>
      <c r="F525" s="825">
        <v>235437</v>
      </c>
      <c r="G525" s="825">
        <v>1133539</v>
      </c>
      <c r="H525" s="825"/>
      <c r="I525" s="826">
        <v>21297</v>
      </c>
      <c r="J525" s="826">
        <v>993342</v>
      </c>
      <c r="K525" s="826">
        <v>77637</v>
      </c>
      <c r="L525" s="825">
        <v>2541</v>
      </c>
      <c r="M525" s="825"/>
      <c r="N525" s="826">
        <v>39720</v>
      </c>
      <c r="O525" s="826">
        <v>366637</v>
      </c>
      <c r="P525" s="826">
        <v>0</v>
      </c>
      <c r="Q525" s="825">
        <v>5345</v>
      </c>
      <c r="R525" s="825"/>
      <c r="S525" s="826">
        <v>302978</v>
      </c>
      <c r="T525" s="827">
        <v>-1032</v>
      </c>
      <c r="U525" s="827">
        <v>301947</v>
      </c>
    </row>
    <row r="526" spans="1:21" x14ac:dyDescent="0.25">
      <c r="A526" s="822">
        <v>95813</v>
      </c>
      <c r="B526" s="823" t="s">
        <v>3089</v>
      </c>
      <c r="C526" s="824">
        <v>4.4400000000000002E-5</v>
      </c>
      <c r="D526" s="824">
        <v>5.02E-5</v>
      </c>
      <c r="E526" s="825">
        <v>61209.42</v>
      </c>
      <c r="F526" s="825">
        <v>22529</v>
      </c>
      <c r="G526" s="825">
        <v>94232</v>
      </c>
      <c r="H526" s="825"/>
      <c r="I526" s="826">
        <v>1770.45</v>
      </c>
      <c r="J526" s="826">
        <v>82577</v>
      </c>
      <c r="K526" s="826">
        <v>6454</v>
      </c>
      <c r="L526" s="825">
        <v>51874</v>
      </c>
      <c r="M526" s="825"/>
      <c r="N526" s="826">
        <v>3302</v>
      </c>
      <c r="O526" s="826">
        <v>30479</v>
      </c>
      <c r="P526" s="826">
        <v>0</v>
      </c>
      <c r="Q526" s="825">
        <v>0</v>
      </c>
      <c r="R526" s="825"/>
      <c r="S526" s="826">
        <v>25187</v>
      </c>
      <c r="T526" s="827">
        <v>15540</v>
      </c>
      <c r="U526" s="827">
        <v>40727</v>
      </c>
    </row>
    <row r="527" spans="1:21" x14ac:dyDescent="0.25">
      <c r="A527" s="822">
        <v>95821</v>
      </c>
      <c r="B527" s="823" t="s">
        <v>3090</v>
      </c>
      <c r="C527" s="824">
        <v>1.7E-6</v>
      </c>
      <c r="D527" s="824">
        <v>1.5999999999999999E-6</v>
      </c>
      <c r="E527" s="825">
        <v>1922</v>
      </c>
      <c r="F527" s="825">
        <v>718</v>
      </c>
      <c r="G527" s="825">
        <v>3608</v>
      </c>
      <c r="H527" s="825"/>
      <c r="I527" s="826">
        <v>68</v>
      </c>
      <c r="J527" s="826">
        <v>3162</v>
      </c>
      <c r="K527" s="826">
        <v>247</v>
      </c>
      <c r="L527" s="825">
        <v>1916</v>
      </c>
      <c r="M527" s="825"/>
      <c r="N527" s="826">
        <v>126</v>
      </c>
      <c r="O527" s="826">
        <v>1167</v>
      </c>
      <c r="P527" s="826">
        <v>0</v>
      </c>
      <c r="Q527" s="825">
        <v>0</v>
      </c>
      <c r="R527" s="825"/>
      <c r="S527" s="826">
        <v>964</v>
      </c>
      <c r="T527" s="827">
        <v>623</v>
      </c>
      <c r="U527" s="827">
        <v>1587</v>
      </c>
    </row>
    <row r="528" spans="1:21" x14ac:dyDescent="0.25">
      <c r="A528" s="822">
        <v>95831</v>
      </c>
      <c r="B528" s="823" t="s">
        <v>3091</v>
      </c>
      <c r="C528" s="824">
        <v>1.36E-5</v>
      </c>
      <c r="D528" s="824">
        <v>1.9199999999999999E-5</v>
      </c>
      <c r="E528" s="825">
        <v>18920.61</v>
      </c>
      <c r="F528" s="825">
        <v>8617</v>
      </c>
      <c r="G528" s="825">
        <v>28864</v>
      </c>
      <c r="H528" s="825"/>
      <c r="I528" s="826">
        <v>542</v>
      </c>
      <c r="J528" s="826">
        <v>25294</v>
      </c>
      <c r="K528" s="826">
        <v>1977</v>
      </c>
      <c r="L528" s="825">
        <v>15027</v>
      </c>
      <c r="M528" s="825"/>
      <c r="N528" s="826">
        <v>1011</v>
      </c>
      <c r="O528" s="826">
        <v>9336</v>
      </c>
      <c r="P528" s="826">
        <v>0</v>
      </c>
      <c r="Q528" s="825">
        <v>0</v>
      </c>
      <c r="R528" s="825"/>
      <c r="S528" s="826">
        <v>7715</v>
      </c>
      <c r="T528" s="827">
        <v>4667</v>
      </c>
      <c r="U528" s="827">
        <v>12382</v>
      </c>
    </row>
    <row r="529" spans="1:21" x14ac:dyDescent="0.25">
      <c r="A529" s="822">
        <v>95841</v>
      </c>
      <c r="B529" s="823" t="s">
        <v>3092</v>
      </c>
      <c r="C529" s="824">
        <v>2.1100000000000001E-5</v>
      </c>
      <c r="D529" s="824">
        <v>2.0699999999999998E-5</v>
      </c>
      <c r="E529" s="825">
        <v>9619.65</v>
      </c>
      <c r="F529" s="825">
        <v>9290</v>
      </c>
      <c r="G529" s="825">
        <v>44781</v>
      </c>
      <c r="H529" s="825"/>
      <c r="I529" s="826">
        <v>841</v>
      </c>
      <c r="J529" s="826">
        <v>39243</v>
      </c>
      <c r="K529" s="826">
        <v>3067</v>
      </c>
      <c r="L529" s="825">
        <v>1840</v>
      </c>
      <c r="M529" s="825"/>
      <c r="N529" s="826">
        <v>1569</v>
      </c>
      <c r="O529" s="826">
        <v>14484</v>
      </c>
      <c r="P529" s="826">
        <v>0</v>
      </c>
      <c r="Q529" s="825">
        <v>0</v>
      </c>
      <c r="R529" s="825"/>
      <c r="S529" s="826">
        <v>11969</v>
      </c>
      <c r="T529" s="827">
        <v>601</v>
      </c>
      <c r="U529" s="827">
        <v>12570</v>
      </c>
    </row>
    <row r="530" spans="1:21" x14ac:dyDescent="0.25">
      <c r="A530" s="822">
        <v>95851</v>
      </c>
      <c r="B530" s="823" t="s">
        <v>3093</v>
      </c>
      <c r="C530" s="824">
        <v>1.3009999999999999E-4</v>
      </c>
      <c r="D530" s="824">
        <v>1.44E-4</v>
      </c>
      <c r="E530" s="825">
        <v>128218</v>
      </c>
      <c r="F530" s="825">
        <v>64626</v>
      </c>
      <c r="G530" s="825">
        <v>276116</v>
      </c>
      <c r="H530" s="825"/>
      <c r="I530" s="826">
        <v>5188</v>
      </c>
      <c r="J530" s="826">
        <v>241965</v>
      </c>
      <c r="K530" s="826">
        <v>18911</v>
      </c>
      <c r="L530" s="825">
        <v>90972</v>
      </c>
      <c r="M530" s="825"/>
      <c r="N530" s="826">
        <v>9675</v>
      </c>
      <c r="O530" s="826">
        <v>89308</v>
      </c>
      <c r="P530" s="826">
        <v>0</v>
      </c>
      <c r="Q530" s="825">
        <v>8402</v>
      </c>
      <c r="R530" s="825"/>
      <c r="S530" s="826">
        <v>73802</v>
      </c>
      <c r="T530" s="827">
        <v>23087</v>
      </c>
      <c r="U530" s="827">
        <v>96889</v>
      </c>
    </row>
    <row r="531" spans="1:21" x14ac:dyDescent="0.25">
      <c r="A531" s="822">
        <v>95853</v>
      </c>
      <c r="B531" s="823" t="s">
        <v>3094</v>
      </c>
      <c r="C531" s="824">
        <v>2.4000000000000001E-5</v>
      </c>
      <c r="D531" s="824">
        <v>2.44E-5</v>
      </c>
      <c r="E531" s="825">
        <v>14930</v>
      </c>
      <c r="F531" s="825">
        <v>10951</v>
      </c>
      <c r="G531" s="825">
        <v>50936.04</v>
      </c>
      <c r="H531" s="825"/>
      <c r="I531" s="826">
        <v>957</v>
      </c>
      <c r="J531" s="826">
        <v>44636</v>
      </c>
      <c r="K531" s="826">
        <v>3489</v>
      </c>
      <c r="L531" s="825">
        <v>8043</v>
      </c>
      <c r="M531" s="825"/>
      <c r="N531" s="826">
        <v>1785</v>
      </c>
      <c r="O531" s="826">
        <v>16475</v>
      </c>
      <c r="P531" s="826">
        <v>0</v>
      </c>
      <c r="Q531" s="825">
        <v>0</v>
      </c>
      <c r="R531" s="825"/>
      <c r="S531" s="826">
        <v>13614</v>
      </c>
      <c r="T531" s="827">
        <v>2790</v>
      </c>
      <c r="U531" s="827">
        <v>16405</v>
      </c>
    </row>
    <row r="532" spans="1:21" x14ac:dyDescent="0.25">
      <c r="A532" s="822">
        <v>95901</v>
      </c>
      <c r="B532" s="823" t="s">
        <v>3095</v>
      </c>
      <c r="C532" s="824">
        <v>1.8266999999999999E-3</v>
      </c>
      <c r="D532" s="824">
        <v>1.8056000000000001E-3</v>
      </c>
      <c r="E532" s="825">
        <v>722469.93</v>
      </c>
      <c r="F532" s="825">
        <v>810342</v>
      </c>
      <c r="G532" s="825">
        <v>3876869</v>
      </c>
      <c r="H532" s="825"/>
      <c r="I532" s="826">
        <v>72840</v>
      </c>
      <c r="J532" s="826">
        <v>3397373</v>
      </c>
      <c r="K532" s="826">
        <v>265531</v>
      </c>
      <c r="L532" s="825">
        <v>69258</v>
      </c>
      <c r="M532" s="825"/>
      <c r="N532" s="826">
        <v>135850</v>
      </c>
      <c r="O532" s="826">
        <v>1253953</v>
      </c>
      <c r="P532" s="826">
        <v>0</v>
      </c>
      <c r="Q532" s="825">
        <v>11402</v>
      </c>
      <c r="R532" s="825"/>
      <c r="S532" s="826">
        <v>1036230</v>
      </c>
      <c r="T532" s="827">
        <v>29652</v>
      </c>
      <c r="U532" s="827">
        <v>1065882</v>
      </c>
    </row>
    <row r="533" spans="1:21" x14ac:dyDescent="0.25">
      <c r="A533" s="822">
        <v>95908</v>
      </c>
      <c r="B533" s="823" t="s">
        <v>3096</v>
      </c>
      <c r="C533" s="824">
        <v>7.2000000000000002E-5</v>
      </c>
      <c r="D533" s="824">
        <v>6.6699999999999995E-5</v>
      </c>
      <c r="E533" s="825">
        <v>21165</v>
      </c>
      <c r="F533" s="825">
        <v>29935</v>
      </c>
      <c r="G533" s="825">
        <v>152808.12</v>
      </c>
      <c r="H533" s="825"/>
      <c r="I533" s="826">
        <v>2871</v>
      </c>
      <c r="J533" s="826">
        <v>133909</v>
      </c>
      <c r="K533" s="826">
        <v>10466</v>
      </c>
      <c r="L533" s="825">
        <v>0</v>
      </c>
      <c r="M533" s="825"/>
      <c r="N533" s="826">
        <v>5355</v>
      </c>
      <c r="O533" s="826">
        <v>49425</v>
      </c>
      <c r="P533" s="826">
        <v>0</v>
      </c>
      <c r="Q533" s="825">
        <v>24519</v>
      </c>
      <c r="R533" s="825"/>
      <c r="S533" s="826">
        <v>40843</v>
      </c>
      <c r="T533" s="827">
        <v>-9060</v>
      </c>
      <c r="U533" s="827">
        <v>31784</v>
      </c>
    </row>
    <row r="534" spans="1:21" x14ac:dyDescent="0.25">
      <c r="A534" s="822">
        <v>95911</v>
      </c>
      <c r="B534" s="823" t="s">
        <v>3097</v>
      </c>
      <c r="C534" s="824">
        <v>5.6979999999999997E-4</v>
      </c>
      <c r="D534" s="824">
        <v>6.2100000000000002E-4</v>
      </c>
      <c r="E534" s="825">
        <v>226533</v>
      </c>
      <c r="F534" s="825">
        <v>278701</v>
      </c>
      <c r="G534" s="825">
        <v>1209306</v>
      </c>
      <c r="H534" s="825"/>
      <c r="I534" s="826">
        <v>22721</v>
      </c>
      <c r="J534" s="826">
        <v>1059738</v>
      </c>
      <c r="K534" s="826">
        <v>82827</v>
      </c>
      <c r="L534" s="825">
        <v>4490</v>
      </c>
      <c r="M534" s="825"/>
      <c r="N534" s="826">
        <v>42375</v>
      </c>
      <c r="O534" s="826">
        <v>391144</v>
      </c>
      <c r="P534" s="826">
        <v>0</v>
      </c>
      <c r="Q534" s="825">
        <v>41660</v>
      </c>
      <c r="R534" s="825"/>
      <c r="S534" s="826">
        <v>323230</v>
      </c>
      <c r="T534" s="827">
        <v>-11084</v>
      </c>
      <c r="U534" s="827">
        <v>312146</v>
      </c>
    </row>
    <row r="535" spans="1:21" x14ac:dyDescent="0.25">
      <c r="A535" s="822">
        <v>95917</v>
      </c>
      <c r="B535" s="823" t="s">
        <v>3098</v>
      </c>
      <c r="C535" s="824">
        <v>2.2399999999999999E-5</v>
      </c>
      <c r="D535" s="824">
        <v>2.4499999999999999E-5</v>
      </c>
      <c r="E535" s="825">
        <v>9793</v>
      </c>
      <c r="F535" s="825">
        <v>10995</v>
      </c>
      <c r="G535" s="825">
        <v>47540</v>
      </c>
      <c r="H535" s="825"/>
      <c r="I535" s="826">
        <v>893</v>
      </c>
      <c r="J535" s="826">
        <v>41660</v>
      </c>
      <c r="K535" s="826">
        <v>3256</v>
      </c>
      <c r="L535" s="825">
        <v>4422</v>
      </c>
      <c r="M535" s="825"/>
      <c r="N535" s="826">
        <v>1666</v>
      </c>
      <c r="O535" s="826">
        <v>15377</v>
      </c>
      <c r="P535" s="826">
        <v>0</v>
      </c>
      <c r="Q535" s="825">
        <v>676</v>
      </c>
      <c r="R535" s="825"/>
      <c r="S535" s="826">
        <v>12707</v>
      </c>
      <c r="T535" s="827">
        <v>1747</v>
      </c>
      <c r="U535" s="827">
        <v>14453</v>
      </c>
    </row>
    <row r="536" spans="1:21" x14ac:dyDescent="0.25">
      <c r="A536" s="822">
        <v>95921</v>
      </c>
      <c r="B536" s="823" t="s">
        <v>3099</v>
      </c>
      <c r="C536" s="824">
        <v>4.4700000000000002E-5</v>
      </c>
      <c r="D536" s="824">
        <v>3.4600000000000001E-5</v>
      </c>
      <c r="E536" s="825">
        <v>16579.87</v>
      </c>
      <c r="F536" s="825">
        <v>15528</v>
      </c>
      <c r="G536" s="825">
        <v>94868</v>
      </c>
      <c r="H536" s="825"/>
      <c r="I536" s="826">
        <v>1782</v>
      </c>
      <c r="J536" s="826">
        <v>83135</v>
      </c>
      <c r="K536" s="826">
        <v>6498</v>
      </c>
      <c r="L536" s="825">
        <v>5096</v>
      </c>
      <c r="M536" s="825"/>
      <c r="N536" s="826">
        <v>3324</v>
      </c>
      <c r="O536" s="826">
        <v>30685</v>
      </c>
      <c r="P536" s="826">
        <v>0</v>
      </c>
      <c r="Q536" s="825">
        <v>1906</v>
      </c>
      <c r="R536" s="825"/>
      <c r="S536" s="826">
        <v>25357</v>
      </c>
      <c r="T536" s="827">
        <v>463</v>
      </c>
      <c r="U536" s="827">
        <v>25820</v>
      </c>
    </row>
    <row r="537" spans="1:21" x14ac:dyDescent="0.25">
      <c r="A537" s="822">
        <v>96001</v>
      </c>
      <c r="B537" s="823" t="s">
        <v>3100</v>
      </c>
      <c r="C537" s="824">
        <v>4.43519E-2</v>
      </c>
      <c r="D537" s="824">
        <v>4.41456E-2</v>
      </c>
      <c r="E537" s="825">
        <v>17742783</v>
      </c>
      <c r="F537" s="825">
        <v>19812280</v>
      </c>
      <c r="G537" s="825">
        <v>94129590</v>
      </c>
      <c r="H537" s="825"/>
      <c r="I537" s="826">
        <v>1768532</v>
      </c>
      <c r="J537" s="826">
        <v>82487526</v>
      </c>
      <c r="K537" s="826">
        <v>6447037</v>
      </c>
      <c r="L537" s="825">
        <v>2806449</v>
      </c>
      <c r="M537" s="825"/>
      <c r="N537" s="826">
        <v>3298406</v>
      </c>
      <c r="O537" s="826">
        <v>30445717</v>
      </c>
      <c r="P537" s="826">
        <v>0</v>
      </c>
      <c r="Q537" s="825">
        <v>282683</v>
      </c>
      <c r="R537" s="825"/>
      <c r="S537" s="826">
        <v>25159458</v>
      </c>
      <c r="T537" s="827">
        <v>1275874</v>
      </c>
      <c r="U537" s="827">
        <v>26435332</v>
      </c>
    </row>
    <row r="538" spans="1:21" x14ac:dyDescent="0.25">
      <c r="A538" s="822">
        <v>96003</v>
      </c>
      <c r="B538" s="823" t="s">
        <v>3101</v>
      </c>
      <c r="C538" s="824">
        <v>1.7309000000000001E-3</v>
      </c>
      <c r="D538" s="824">
        <v>1.7633E-3</v>
      </c>
      <c r="E538" s="825">
        <v>655848.02</v>
      </c>
      <c r="F538" s="825">
        <v>791358</v>
      </c>
      <c r="G538" s="825">
        <v>3673550</v>
      </c>
      <c r="H538" s="825"/>
      <c r="I538" s="826">
        <v>69020</v>
      </c>
      <c r="J538" s="826">
        <v>3219201</v>
      </c>
      <c r="K538" s="826">
        <v>251605</v>
      </c>
      <c r="L538" s="825">
        <v>4786</v>
      </c>
      <c r="M538" s="825"/>
      <c r="N538" s="826">
        <v>128725</v>
      </c>
      <c r="O538" s="826">
        <v>1188190</v>
      </c>
      <c r="P538" s="826">
        <v>0</v>
      </c>
      <c r="Q538" s="825">
        <v>112661</v>
      </c>
      <c r="R538" s="825"/>
      <c r="S538" s="826">
        <v>981886</v>
      </c>
      <c r="T538" s="827">
        <v>-39821</v>
      </c>
      <c r="U538" s="827">
        <v>942065</v>
      </c>
    </row>
    <row r="539" spans="1:21" x14ac:dyDescent="0.25">
      <c r="A539" s="822">
        <v>96004</v>
      </c>
      <c r="B539" s="823" t="s">
        <v>3102</v>
      </c>
      <c r="C539" s="824">
        <v>8.7699999999999996E-4</v>
      </c>
      <c r="D539" s="824">
        <v>8.208E-4</v>
      </c>
      <c r="E539" s="825">
        <v>400422.78</v>
      </c>
      <c r="F539" s="825">
        <v>368370</v>
      </c>
      <c r="G539" s="825">
        <v>1861288</v>
      </c>
      <c r="H539" s="825"/>
      <c r="I539" s="826">
        <v>34970.375</v>
      </c>
      <c r="J539" s="826">
        <v>1631081</v>
      </c>
      <c r="K539" s="826">
        <v>127482</v>
      </c>
      <c r="L539" s="825">
        <v>148722</v>
      </c>
      <c r="M539" s="825"/>
      <c r="N539" s="826">
        <v>65222</v>
      </c>
      <c r="O539" s="826">
        <v>602024</v>
      </c>
      <c r="P539" s="826">
        <v>0</v>
      </c>
      <c r="Q539" s="825">
        <v>0</v>
      </c>
      <c r="R539" s="825"/>
      <c r="S539" s="826">
        <v>497495</v>
      </c>
      <c r="T539" s="827">
        <v>52239</v>
      </c>
      <c r="U539" s="827">
        <v>549734</v>
      </c>
    </row>
    <row r="540" spans="1:21" x14ac:dyDescent="0.25">
      <c r="A540" s="822">
        <v>96005</v>
      </c>
      <c r="B540" s="823" t="s">
        <v>3103</v>
      </c>
      <c r="C540" s="824">
        <v>2.6457E-3</v>
      </c>
      <c r="D540" s="824">
        <v>2.6692E-3</v>
      </c>
      <c r="E540" s="825">
        <v>1120532</v>
      </c>
      <c r="F540" s="825">
        <v>1197921</v>
      </c>
      <c r="G540" s="825">
        <v>5615062</v>
      </c>
      <c r="H540" s="825"/>
      <c r="I540" s="826">
        <v>105497</v>
      </c>
      <c r="J540" s="826">
        <v>4920584</v>
      </c>
      <c r="K540" s="826">
        <v>384582</v>
      </c>
      <c r="L540" s="825">
        <v>345182</v>
      </c>
      <c r="M540" s="825"/>
      <c r="N540" s="826">
        <v>196758</v>
      </c>
      <c r="O540" s="826">
        <v>1816162</v>
      </c>
      <c r="P540" s="826">
        <v>0</v>
      </c>
      <c r="Q540" s="825">
        <v>0</v>
      </c>
      <c r="R540" s="825"/>
      <c r="S540" s="826">
        <v>1500824</v>
      </c>
      <c r="T540" s="827">
        <v>151849</v>
      </c>
      <c r="U540" s="827">
        <v>1652672</v>
      </c>
    </row>
    <row r="541" spans="1:21" x14ac:dyDescent="0.25">
      <c r="A541" s="822">
        <v>96008</v>
      </c>
      <c r="B541" s="823" t="s">
        <v>3104</v>
      </c>
      <c r="C541" s="824">
        <v>5.9388000000000002E-3</v>
      </c>
      <c r="D541" s="824">
        <v>5.4187000000000003E-3</v>
      </c>
      <c r="E541" s="825">
        <v>1816865.04</v>
      </c>
      <c r="F541" s="825">
        <v>2431880</v>
      </c>
      <c r="G541" s="825">
        <v>12604123</v>
      </c>
      <c r="H541" s="825"/>
      <c r="I541" s="826">
        <v>236809.65</v>
      </c>
      <c r="J541" s="826">
        <v>11045230</v>
      </c>
      <c r="K541" s="826">
        <v>863270</v>
      </c>
      <c r="L541" s="825">
        <v>0</v>
      </c>
      <c r="M541" s="825"/>
      <c r="N541" s="826">
        <v>441663</v>
      </c>
      <c r="O541" s="826">
        <v>4076737</v>
      </c>
      <c r="P541" s="826">
        <v>0</v>
      </c>
      <c r="Q541" s="825">
        <v>411808</v>
      </c>
      <c r="R541" s="825"/>
      <c r="S541" s="826">
        <v>3368897</v>
      </c>
      <c r="T541" s="827">
        <v>-148661</v>
      </c>
      <c r="U541" s="827">
        <v>3220236</v>
      </c>
    </row>
    <row r="542" spans="1:21" x14ac:dyDescent="0.25">
      <c r="A542" s="822">
        <v>96009</v>
      </c>
      <c r="B542" s="823" t="s">
        <v>3105</v>
      </c>
      <c r="C542" s="824">
        <v>3.5980000000000002E-4</v>
      </c>
      <c r="D542" s="824">
        <v>3.9110000000000002E-4</v>
      </c>
      <c r="E542" s="825">
        <v>164905</v>
      </c>
      <c r="F542" s="825">
        <v>175523</v>
      </c>
      <c r="G542" s="825">
        <v>763616</v>
      </c>
      <c r="H542" s="825"/>
      <c r="I542" s="826">
        <v>14347</v>
      </c>
      <c r="J542" s="826">
        <v>669171</v>
      </c>
      <c r="K542" s="826">
        <v>52301</v>
      </c>
      <c r="L542" s="825">
        <v>12534</v>
      </c>
      <c r="M542" s="825"/>
      <c r="N542" s="826">
        <v>26758</v>
      </c>
      <c r="O542" s="826">
        <v>246988</v>
      </c>
      <c r="P542" s="826">
        <v>0</v>
      </c>
      <c r="Q542" s="825">
        <v>3502</v>
      </c>
      <c r="R542" s="825"/>
      <c r="S542" s="826">
        <v>204103</v>
      </c>
      <c r="T542" s="827">
        <v>4895</v>
      </c>
      <c r="U542" s="827">
        <v>208999</v>
      </c>
    </row>
    <row r="543" spans="1:21" x14ac:dyDescent="0.25">
      <c r="A543" s="822">
        <v>96011</v>
      </c>
      <c r="B543" s="823" t="s">
        <v>3106</v>
      </c>
      <c r="C543" s="824">
        <v>6.0489000000000001E-2</v>
      </c>
      <c r="D543" s="824">
        <v>5.8946100000000001E-2</v>
      </c>
      <c r="E543" s="825">
        <v>23738140</v>
      </c>
      <c r="F543" s="825">
        <v>26454656</v>
      </c>
      <c r="G543" s="825">
        <v>128377922</v>
      </c>
      <c r="H543" s="825"/>
      <c r="I543" s="826">
        <v>2411999</v>
      </c>
      <c r="J543" s="826">
        <v>112499983</v>
      </c>
      <c r="K543" s="826">
        <v>8792742</v>
      </c>
      <c r="L543" s="825">
        <v>167249</v>
      </c>
      <c r="M543" s="825"/>
      <c r="N543" s="826">
        <v>4498506</v>
      </c>
      <c r="O543" s="826">
        <v>41523158</v>
      </c>
      <c r="P543" s="826">
        <v>0</v>
      </c>
      <c r="Q543" s="825">
        <v>70330</v>
      </c>
      <c r="R543" s="825"/>
      <c r="S543" s="826">
        <v>34313535</v>
      </c>
      <c r="T543" s="827">
        <v>40438</v>
      </c>
      <c r="U543" s="827">
        <v>34353973</v>
      </c>
    </row>
    <row r="544" spans="1:21" x14ac:dyDescent="0.25">
      <c r="A544" s="822">
        <v>96012</v>
      </c>
      <c r="B544" s="823" t="s">
        <v>3107</v>
      </c>
      <c r="C544" s="824">
        <v>2.4095000000000002E-3</v>
      </c>
      <c r="D544" s="824">
        <v>2.1905000000000002E-3</v>
      </c>
      <c r="E544" s="825">
        <v>930120</v>
      </c>
      <c r="F544" s="825">
        <v>983083</v>
      </c>
      <c r="G544" s="825">
        <v>5113766</v>
      </c>
      <c r="H544" s="825"/>
      <c r="I544" s="826">
        <v>96079</v>
      </c>
      <c r="J544" s="826">
        <v>4481289</v>
      </c>
      <c r="K544" s="826">
        <v>350247</v>
      </c>
      <c r="L544" s="825">
        <v>112910</v>
      </c>
      <c r="M544" s="825"/>
      <c r="N544" s="826">
        <v>179192</v>
      </c>
      <c r="O544" s="826">
        <v>1654021</v>
      </c>
      <c r="P544" s="826">
        <v>0</v>
      </c>
      <c r="Q544" s="825">
        <v>0</v>
      </c>
      <c r="R544" s="825"/>
      <c r="S544" s="826">
        <v>1366835</v>
      </c>
      <c r="T544" s="827">
        <v>35829</v>
      </c>
      <c r="U544" s="827">
        <v>1402664</v>
      </c>
    </row>
    <row r="545" spans="1:21" x14ac:dyDescent="0.25">
      <c r="A545" s="822">
        <v>96018</v>
      </c>
      <c r="B545" s="823" t="s">
        <v>3108</v>
      </c>
      <c r="C545" s="824">
        <v>3.6199999999999999E-5</v>
      </c>
      <c r="D545" s="824">
        <v>3.3599999999999997E-5</v>
      </c>
      <c r="E545" s="825">
        <v>13499</v>
      </c>
      <c r="F545" s="825">
        <v>15079</v>
      </c>
      <c r="G545" s="825">
        <v>76829</v>
      </c>
      <c r="H545" s="825"/>
      <c r="I545" s="826">
        <v>1443.4749999999999</v>
      </c>
      <c r="J545" s="826">
        <v>67326</v>
      </c>
      <c r="K545" s="826">
        <v>5262</v>
      </c>
      <c r="L545" s="825">
        <v>11396</v>
      </c>
      <c r="M545" s="825"/>
      <c r="N545" s="826">
        <v>2692</v>
      </c>
      <c r="O545" s="826">
        <v>24850</v>
      </c>
      <c r="P545" s="826">
        <v>0</v>
      </c>
      <c r="Q545" s="825">
        <v>0</v>
      </c>
      <c r="R545" s="825"/>
      <c r="S545" s="826">
        <v>20535</v>
      </c>
      <c r="T545" s="827">
        <v>5069</v>
      </c>
      <c r="U545" s="827">
        <v>25604</v>
      </c>
    </row>
    <row r="546" spans="1:21" x14ac:dyDescent="0.25">
      <c r="A546" s="822">
        <v>96021</v>
      </c>
      <c r="B546" s="823" t="s">
        <v>3109</v>
      </c>
      <c r="C546" s="824">
        <v>8.5829999999999999E-4</v>
      </c>
      <c r="D546" s="824">
        <v>8.8719999999999999E-4</v>
      </c>
      <c r="E546" s="825">
        <v>330918.43</v>
      </c>
      <c r="F546" s="825">
        <v>398170</v>
      </c>
      <c r="G546" s="825">
        <v>1821600</v>
      </c>
      <c r="H546" s="825"/>
      <c r="I546" s="826">
        <v>34225</v>
      </c>
      <c r="J546" s="826">
        <v>1596302</v>
      </c>
      <c r="K546" s="826">
        <v>124763</v>
      </c>
      <c r="L546" s="825">
        <v>50366</v>
      </c>
      <c r="M546" s="825"/>
      <c r="N546" s="826">
        <v>63831</v>
      </c>
      <c r="O546" s="826">
        <v>589187</v>
      </c>
      <c r="P546" s="826">
        <v>0</v>
      </c>
      <c r="Q546" s="825">
        <v>33170</v>
      </c>
      <c r="R546" s="825"/>
      <c r="S546" s="826">
        <v>486887</v>
      </c>
      <c r="T546" s="827">
        <v>9814</v>
      </c>
      <c r="U546" s="827">
        <v>496701</v>
      </c>
    </row>
    <row r="547" spans="1:21" x14ac:dyDescent="0.25">
      <c r="A547" s="822">
        <v>96031</v>
      </c>
      <c r="B547" s="823" t="s">
        <v>3110</v>
      </c>
      <c r="C547" s="824">
        <v>9.0189999999999997E-4</v>
      </c>
      <c r="D547" s="824">
        <v>8.116E-4</v>
      </c>
      <c r="E547" s="825">
        <v>268947</v>
      </c>
      <c r="F547" s="825">
        <v>364241</v>
      </c>
      <c r="G547" s="825">
        <v>1914134</v>
      </c>
      <c r="H547" s="825"/>
      <c r="I547" s="826">
        <v>35963</v>
      </c>
      <c r="J547" s="826">
        <v>1677391</v>
      </c>
      <c r="K547" s="826">
        <v>131101</v>
      </c>
      <c r="L547" s="825">
        <v>0</v>
      </c>
      <c r="M547" s="825"/>
      <c r="N547" s="826">
        <v>67073</v>
      </c>
      <c r="O547" s="826">
        <v>619116</v>
      </c>
      <c r="P547" s="826">
        <v>0</v>
      </c>
      <c r="Q547" s="825">
        <v>136310</v>
      </c>
      <c r="R547" s="825"/>
      <c r="S547" s="826">
        <v>511620</v>
      </c>
      <c r="T547" s="827">
        <v>-50978</v>
      </c>
      <c r="U547" s="827">
        <v>460642</v>
      </c>
    </row>
    <row r="548" spans="1:21" x14ac:dyDescent="0.25">
      <c r="A548" s="822">
        <v>96041</v>
      </c>
      <c r="B548" s="823" t="s">
        <v>3111</v>
      </c>
      <c r="C548" s="824">
        <v>1.7323E-3</v>
      </c>
      <c r="D548" s="824">
        <v>1.6793999999999999E-3</v>
      </c>
      <c r="E548" s="825">
        <v>616935</v>
      </c>
      <c r="F548" s="825">
        <v>753705</v>
      </c>
      <c r="G548" s="825">
        <v>3676521</v>
      </c>
      <c r="H548" s="825"/>
      <c r="I548" s="826">
        <v>69075</v>
      </c>
      <c r="J548" s="826">
        <v>3221804</v>
      </c>
      <c r="K548" s="826">
        <v>251809</v>
      </c>
      <c r="L548" s="825">
        <v>0</v>
      </c>
      <c r="M548" s="825"/>
      <c r="N548" s="826">
        <v>128829</v>
      </c>
      <c r="O548" s="826">
        <v>1189151</v>
      </c>
      <c r="P548" s="826">
        <v>0</v>
      </c>
      <c r="Q548" s="825">
        <v>127191</v>
      </c>
      <c r="R548" s="825"/>
      <c r="S548" s="826">
        <v>982680</v>
      </c>
      <c r="T548" s="827">
        <v>-45617</v>
      </c>
      <c r="U548" s="827">
        <v>937063</v>
      </c>
    </row>
    <row r="549" spans="1:21" x14ac:dyDescent="0.25">
      <c r="A549" s="822">
        <v>96051</v>
      </c>
      <c r="B549" s="823" t="s">
        <v>3112</v>
      </c>
      <c r="C549" s="824">
        <v>1.0258000000000001E-3</v>
      </c>
      <c r="D549" s="824">
        <v>1.0265999999999999E-3</v>
      </c>
      <c r="E549" s="825">
        <v>369762</v>
      </c>
      <c r="F549" s="825">
        <v>460732</v>
      </c>
      <c r="G549" s="825">
        <v>2177091</v>
      </c>
      <c r="H549" s="825"/>
      <c r="I549" s="826">
        <v>40904</v>
      </c>
      <c r="J549" s="826">
        <v>1907826</v>
      </c>
      <c r="K549" s="826">
        <v>149111</v>
      </c>
      <c r="L549" s="825">
        <v>0</v>
      </c>
      <c r="M549" s="825"/>
      <c r="N549" s="826">
        <v>76288</v>
      </c>
      <c r="O549" s="826">
        <v>704169</v>
      </c>
      <c r="P549" s="826">
        <v>0</v>
      </c>
      <c r="Q549" s="825">
        <v>94345</v>
      </c>
      <c r="R549" s="825"/>
      <c r="S549" s="826">
        <v>581905</v>
      </c>
      <c r="T549" s="827">
        <v>-32749</v>
      </c>
      <c r="U549" s="827">
        <v>549156</v>
      </c>
    </row>
    <row r="550" spans="1:21" x14ac:dyDescent="0.25">
      <c r="A550" s="822">
        <v>96061</v>
      </c>
      <c r="B550" s="823" t="s">
        <v>3113</v>
      </c>
      <c r="C550" s="824">
        <v>3.0800000000000001E-4</v>
      </c>
      <c r="D550" s="824">
        <v>3.1809999999999998E-4</v>
      </c>
      <c r="E550" s="825">
        <v>123610</v>
      </c>
      <c r="F550" s="825">
        <v>142761</v>
      </c>
      <c r="G550" s="825">
        <v>653679</v>
      </c>
      <c r="H550" s="825"/>
      <c r="I550" s="826">
        <v>12281.5</v>
      </c>
      <c r="J550" s="826">
        <v>572831</v>
      </c>
      <c r="K550" s="826">
        <v>44771</v>
      </c>
      <c r="L550" s="825">
        <v>2239</v>
      </c>
      <c r="M550" s="825"/>
      <c r="N550" s="826">
        <v>22906</v>
      </c>
      <c r="O550" s="826">
        <v>211429</v>
      </c>
      <c r="P550" s="826">
        <v>0</v>
      </c>
      <c r="Q550" s="825">
        <v>11106</v>
      </c>
      <c r="R550" s="825"/>
      <c r="S550" s="826">
        <v>174719</v>
      </c>
      <c r="T550" s="827">
        <v>-2865</v>
      </c>
      <c r="U550" s="827">
        <v>171854</v>
      </c>
    </row>
    <row r="551" spans="1:21" x14ac:dyDescent="0.25">
      <c r="A551" s="822">
        <v>96071</v>
      </c>
      <c r="B551" s="823" t="s">
        <v>3114</v>
      </c>
      <c r="C551" s="824">
        <v>1.1280999999999999E-3</v>
      </c>
      <c r="D551" s="824">
        <v>1.2979000000000001E-3</v>
      </c>
      <c r="E551" s="825">
        <v>475581.26</v>
      </c>
      <c r="F551" s="825">
        <v>582490</v>
      </c>
      <c r="G551" s="825">
        <v>2394206</v>
      </c>
      <c r="H551" s="825"/>
      <c r="I551" s="826">
        <v>44983</v>
      </c>
      <c r="J551" s="826">
        <v>2098088</v>
      </c>
      <c r="K551" s="826">
        <v>163982</v>
      </c>
      <c r="L551" s="825">
        <v>64300</v>
      </c>
      <c r="M551" s="825"/>
      <c r="N551" s="826">
        <v>83896</v>
      </c>
      <c r="O551" s="826">
        <v>774393</v>
      </c>
      <c r="P551" s="826">
        <v>0</v>
      </c>
      <c r="Q551" s="825">
        <v>103673</v>
      </c>
      <c r="R551" s="825"/>
      <c r="S551" s="826">
        <v>639936</v>
      </c>
      <c r="T551" s="827">
        <v>-9157</v>
      </c>
      <c r="U551" s="827">
        <v>630779</v>
      </c>
    </row>
    <row r="552" spans="1:21" x14ac:dyDescent="0.25">
      <c r="A552" s="822">
        <v>96081</v>
      </c>
      <c r="B552" s="823" t="s">
        <v>3115</v>
      </c>
      <c r="C552" s="824">
        <v>4.7820000000000002E-4</v>
      </c>
      <c r="D552" s="824">
        <v>4.3820000000000003E-4</v>
      </c>
      <c r="E552" s="825">
        <v>172267</v>
      </c>
      <c r="F552" s="825">
        <v>196662</v>
      </c>
      <c r="G552" s="825">
        <v>1014901</v>
      </c>
      <c r="H552" s="825"/>
      <c r="I552" s="826">
        <v>19068</v>
      </c>
      <c r="J552" s="826">
        <v>889376</v>
      </c>
      <c r="K552" s="826">
        <v>69512</v>
      </c>
      <c r="L552" s="825">
        <v>14379</v>
      </c>
      <c r="M552" s="825"/>
      <c r="N552" s="826">
        <v>35563</v>
      </c>
      <c r="O552" s="826">
        <v>328264</v>
      </c>
      <c r="P552" s="826">
        <v>0</v>
      </c>
      <c r="Q552" s="825">
        <v>6375</v>
      </c>
      <c r="R552" s="825"/>
      <c r="S552" s="826">
        <v>271268</v>
      </c>
      <c r="T552" s="827">
        <v>4406</v>
      </c>
      <c r="U552" s="827">
        <v>275674</v>
      </c>
    </row>
    <row r="553" spans="1:21" x14ac:dyDescent="0.25">
      <c r="A553" s="822">
        <v>96101</v>
      </c>
      <c r="B553" s="823" t="s">
        <v>3116</v>
      </c>
      <c r="C553" s="824">
        <v>7.5860000000000001E-4</v>
      </c>
      <c r="D553" s="824">
        <v>7.6990000000000001E-4</v>
      </c>
      <c r="E553" s="825">
        <v>313732</v>
      </c>
      <c r="F553" s="825">
        <v>345527</v>
      </c>
      <c r="G553" s="825">
        <v>1610003</v>
      </c>
      <c r="H553" s="825"/>
      <c r="I553" s="826">
        <v>30249</v>
      </c>
      <c r="J553" s="826">
        <v>1410876</v>
      </c>
      <c r="K553" s="826">
        <v>110271</v>
      </c>
      <c r="L553" s="825">
        <v>31021</v>
      </c>
      <c r="M553" s="825"/>
      <c r="N553" s="826">
        <v>56416</v>
      </c>
      <c r="O553" s="826">
        <v>520747</v>
      </c>
      <c r="P553" s="826">
        <v>0</v>
      </c>
      <c r="Q553" s="825">
        <v>4721</v>
      </c>
      <c r="R553" s="825"/>
      <c r="S553" s="826">
        <v>430330</v>
      </c>
      <c r="T553" s="827">
        <v>11900</v>
      </c>
      <c r="U553" s="827">
        <v>442230</v>
      </c>
    </row>
    <row r="554" spans="1:21" x14ac:dyDescent="0.25">
      <c r="A554" s="822">
        <v>96102</v>
      </c>
      <c r="B554" s="823" t="s">
        <v>3117</v>
      </c>
      <c r="C554" s="824">
        <v>1.42E-5</v>
      </c>
      <c r="D554" s="824">
        <v>1.3699999999999999E-5</v>
      </c>
      <c r="E554" s="825">
        <v>4769.91</v>
      </c>
      <c r="F554" s="825">
        <v>6148</v>
      </c>
      <c r="G554" s="825">
        <v>30137</v>
      </c>
      <c r="H554" s="825"/>
      <c r="I554" s="826">
        <v>566.22500000000002</v>
      </c>
      <c r="J554" s="826">
        <v>26410</v>
      </c>
      <c r="K554" s="826">
        <v>2064</v>
      </c>
      <c r="L554" s="825">
        <v>0</v>
      </c>
      <c r="M554" s="825"/>
      <c r="N554" s="826">
        <v>1056</v>
      </c>
      <c r="O554" s="826">
        <v>9748</v>
      </c>
      <c r="P554" s="826">
        <v>0</v>
      </c>
      <c r="Q554" s="825">
        <v>2903</v>
      </c>
      <c r="R554" s="825"/>
      <c r="S554" s="826">
        <v>8055</v>
      </c>
      <c r="T554" s="827">
        <v>-1101</v>
      </c>
      <c r="U554" s="827">
        <v>6954</v>
      </c>
    </row>
    <row r="555" spans="1:21" x14ac:dyDescent="0.25">
      <c r="A555" s="822">
        <v>96111</v>
      </c>
      <c r="B555" s="823" t="s">
        <v>3118</v>
      </c>
      <c r="C555" s="824">
        <v>1.6119999999999999E-4</v>
      </c>
      <c r="D555" s="824">
        <v>1.616E-4</v>
      </c>
      <c r="E555" s="825">
        <v>70991.37</v>
      </c>
      <c r="F555" s="825">
        <v>72525</v>
      </c>
      <c r="G555" s="825">
        <v>342120</v>
      </c>
      <c r="H555" s="825"/>
      <c r="I555" s="826">
        <v>6428</v>
      </c>
      <c r="J555" s="826">
        <v>299807</v>
      </c>
      <c r="K555" s="826">
        <v>23432</v>
      </c>
      <c r="L555" s="825">
        <v>16577</v>
      </c>
      <c r="M555" s="825"/>
      <c r="N555" s="826">
        <v>11988</v>
      </c>
      <c r="O555" s="826">
        <v>110657</v>
      </c>
      <c r="P555" s="826">
        <v>0</v>
      </c>
      <c r="Q555" s="825">
        <v>0</v>
      </c>
      <c r="R555" s="825"/>
      <c r="S555" s="826">
        <v>91444</v>
      </c>
      <c r="T555" s="827">
        <v>7175</v>
      </c>
      <c r="U555" s="827">
        <v>98618</v>
      </c>
    </row>
    <row r="556" spans="1:21" x14ac:dyDescent="0.25">
      <c r="A556" s="822">
        <v>96121</v>
      </c>
      <c r="B556" s="823" t="s">
        <v>3119</v>
      </c>
      <c r="C556" s="824">
        <v>2.2099999999999998E-5</v>
      </c>
      <c r="D556" s="824">
        <v>1.9199999999999999E-5</v>
      </c>
      <c r="E556" s="825">
        <v>7784.73</v>
      </c>
      <c r="F556" s="825">
        <v>8617</v>
      </c>
      <c r="G556" s="825">
        <v>46904</v>
      </c>
      <c r="H556" s="825"/>
      <c r="I556" s="826">
        <v>881.23749999999995</v>
      </c>
      <c r="J556" s="826">
        <v>41103</v>
      </c>
      <c r="K556" s="826">
        <v>3212</v>
      </c>
      <c r="L556" s="825">
        <v>535</v>
      </c>
      <c r="M556" s="825"/>
      <c r="N556" s="826">
        <v>1644</v>
      </c>
      <c r="O556" s="826">
        <v>15171</v>
      </c>
      <c r="P556" s="826">
        <v>0</v>
      </c>
      <c r="Q556" s="825">
        <v>1907</v>
      </c>
      <c r="R556" s="825"/>
      <c r="S556" s="826">
        <v>12537</v>
      </c>
      <c r="T556" s="827">
        <v>-758</v>
      </c>
      <c r="U556" s="827">
        <v>11779</v>
      </c>
    </row>
    <row r="557" spans="1:21" x14ac:dyDescent="0.25">
      <c r="A557" s="822">
        <v>96201</v>
      </c>
      <c r="B557" s="823" t="s">
        <v>3120</v>
      </c>
      <c r="C557" s="824">
        <v>1.2302999999999999E-3</v>
      </c>
      <c r="D557" s="824">
        <v>1.2474000000000001E-3</v>
      </c>
      <c r="E557" s="825">
        <v>481242.57</v>
      </c>
      <c r="F557" s="825">
        <v>559826</v>
      </c>
      <c r="G557" s="825">
        <v>2611109</v>
      </c>
      <c r="H557" s="825"/>
      <c r="I557" s="826">
        <v>49058</v>
      </c>
      <c r="J557" s="826">
        <v>2288164</v>
      </c>
      <c r="K557" s="826">
        <v>178838</v>
      </c>
      <c r="L557" s="825">
        <v>0</v>
      </c>
      <c r="M557" s="825"/>
      <c r="N557" s="826">
        <v>91496</v>
      </c>
      <c r="O557" s="826">
        <v>844549</v>
      </c>
      <c r="P557" s="826">
        <v>0</v>
      </c>
      <c r="Q557" s="825">
        <v>39692</v>
      </c>
      <c r="R557" s="825"/>
      <c r="S557" s="826">
        <v>697911</v>
      </c>
      <c r="T557" s="827">
        <v>-11921</v>
      </c>
      <c r="U557" s="827">
        <v>685990</v>
      </c>
    </row>
    <row r="558" spans="1:21" x14ac:dyDescent="0.25">
      <c r="A558" s="822">
        <v>96204</v>
      </c>
      <c r="B558" s="823" t="s">
        <v>3121</v>
      </c>
      <c r="C558" s="824">
        <v>1.5400000000000002E-5</v>
      </c>
      <c r="D558" s="824">
        <v>1.49E-5</v>
      </c>
      <c r="E558" s="825">
        <v>7656</v>
      </c>
      <c r="F558" s="825">
        <v>6687</v>
      </c>
      <c r="G558" s="825">
        <v>32684</v>
      </c>
      <c r="H558" s="825"/>
      <c r="I558" s="826">
        <v>614</v>
      </c>
      <c r="J558" s="826">
        <v>28642</v>
      </c>
      <c r="K558" s="826">
        <v>2239</v>
      </c>
      <c r="L558" s="825">
        <v>3853</v>
      </c>
      <c r="M558" s="825"/>
      <c r="N558" s="826">
        <v>1145</v>
      </c>
      <c r="O558" s="826">
        <v>10571</v>
      </c>
      <c r="P558" s="826">
        <v>0</v>
      </c>
      <c r="Q558" s="825">
        <v>0</v>
      </c>
      <c r="R558" s="825"/>
      <c r="S558" s="826">
        <v>8736</v>
      </c>
      <c r="T558" s="827">
        <v>1392</v>
      </c>
      <c r="U558" s="827">
        <v>10127</v>
      </c>
    </row>
    <row r="559" spans="1:21" x14ac:dyDescent="0.25">
      <c r="A559" s="822">
        <v>96211</v>
      </c>
      <c r="B559" s="823" t="s">
        <v>3122</v>
      </c>
      <c r="C559" s="824">
        <v>3.0700000000000001E-5</v>
      </c>
      <c r="D559" s="824">
        <v>2.7399999999999999E-5</v>
      </c>
      <c r="E559" s="825">
        <v>14055.49</v>
      </c>
      <c r="F559" s="825">
        <v>12297</v>
      </c>
      <c r="G559" s="825">
        <v>65156</v>
      </c>
      <c r="H559" s="825"/>
      <c r="I559" s="826">
        <v>1224</v>
      </c>
      <c r="J559" s="826">
        <v>57097</v>
      </c>
      <c r="K559" s="826">
        <v>4463</v>
      </c>
      <c r="L559" s="825">
        <v>5441</v>
      </c>
      <c r="M559" s="825"/>
      <c r="N559" s="826">
        <v>2283</v>
      </c>
      <c r="O559" s="826">
        <v>21074</v>
      </c>
      <c r="P559" s="826">
        <v>0</v>
      </c>
      <c r="Q559" s="825">
        <v>8968.93</v>
      </c>
      <c r="R559" s="825"/>
      <c r="S559" s="826">
        <v>17415</v>
      </c>
      <c r="T559" s="827">
        <v>-2857</v>
      </c>
      <c r="U559" s="827">
        <v>14558</v>
      </c>
    </row>
    <row r="560" spans="1:21" x14ac:dyDescent="0.25">
      <c r="A560" s="822">
        <v>96221</v>
      </c>
      <c r="B560" s="823" t="s">
        <v>3123</v>
      </c>
      <c r="C560" s="824">
        <v>2.287E-4</v>
      </c>
      <c r="D560" s="824">
        <v>2.3719999999999999E-4</v>
      </c>
      <c r="E560" s="825">
        <v>88753.9</v>
      </c>
      <c r="F560" s="825">
        <v>106454</v>
      </c>
      <c r="G560" s="825">
        <v>485378</v>
      </c>
      <c r="H560" s="825"/>
      <c r="I560" s="826">
        <v>9119</v>
      </c>
      <c r="J560" s="826">
        <v>425346</v>
      </c>
      <c r="K560" s="826">
        <v>33244</v>
      </c>
      <c r="L560" s="825">
        <v>4903</v>
      </c>
      <c r="M560" s="825"/>
      <c r="N560" s="826">
        <v>17008</v>
      </c>
      <c r="O560" s="826">
        <v>156993</v>
      </c>
      <c r="P560" s="826">
        <v>0</v>
      </c>
      <c r="Q560" s="825">
        <v>16105</v>
      </c>
      <c r="R560" s="825"/>
      <c r="S560" s="826">
        <v>129734</v>
      </c>
      <c r="T560" s="827">
        <v>-2405</v>
      </c>
      <c r="U560" s="827">
        <v>127329</v>
      </c>
    </row>
    <row r="561" spans="1:21" x14ac:dyDescent="0.25">
      <c r="A561" s="822">
        <v>96231</v>
      </c>
      <c r="B561" s="823" t="s">
        <v>3124</v>
      </c>
      <c r="C561" s="824">
        <v>1.145E-4</v>
      </c>
      <c r="D561" s="824">
        <v>1.2420000000000001E-4</v>
      </c>
      <c r="E561" s="825">
        <v>40508</v>
      </c>
      <c r="F561" s="825">
        <v>55740</v>
      </c>
      <c r="G561" s="825">
        <v>243007</v>
      </c>
      <c r="H561" s="825"/>
      <c r="I561" s="826">
        <v>4565.6875</v>
      </c>
      <c r="J561" s="826">
        <v>212952</v>
      </c>
      <c r="K561" s="826">
        <v>16644</v>
      </c>
      <c r="L561" s="825">
        <v>0</v>
      </c>
      <c r="M561" s="825"/>
      <c r="N561" s="826">
        <v>8515</v>
      </c>
      <c r="O561" s="826">
        <v>78599</v>
      </c>
      <c r="P561" s="826">
        <v>0</v>
      </c>
      <c r="Q561" s="825">
        <v>22692</v>
      </c>
      <c r="R561" s="825"/>
      <c r="S561" s="826">
        <v>64952</v>
      </c>
      <c r="T561" s="827">
        <v>-7733</v>
      </c>
      <c r="U561" s="827">
        <v>57219</v>
      </c>
    </row>
    <row r="562" spans="1:21" x14ac:dyDescent="0.25">
      <c r="A562" s="822">
        <v>96241</v>
      </c>
      <c r="B562" s="823" t="s">
        <v>3125</v>
      </c>
      <c r="C562" s="824">
        <v>4.6100000000000002E-5</v>
      </c>
      <c r="D562" s="824">
        <v>5.7000000000000003E-5</v>
      </c>
      <c r="E562" s="825">
        <v>18964.25</v>
      </c>
      <c r="F562" s="825">
        <v>25581</v>
      </c>
      <c r="G562" s="825">
        <v>97840</v>
      </c>
      <c r="H562" s="825"/>
      <c r="I562" s="826">
        <v>1838</v>
      </c>
      <c r="J562" s="826">
        <v>85739</v>
      </c>
      <c r="K562" s="826">
        <v>6701</v>
      </c>
      <c r="L562" s="825">
        <v>7866</v>
      </c>
      <c r="M562" s="825"/>
      <c r="N562" s="826">
        <v>3428</v>
      </c>
      <c r="O562" s="826">
        <v>31646</v>
      </c>
      <c r="P562" s="826">
        <v>0</v>
      </c>
      <c r="Q562" s="825">
        <v>5900</v>
      </c>
      <c r="R562" s="825"/>
      <c r="S562" s="826">
        <v>26151</v>
      </c>
      <c r="T562" s="827">
        <v>2187</v>
      </c>
      <c r="U562" s="827">
        <v>28338</v>
      </c>
    </row>
    <row r="563" spans="1:21" x14ac:dyDescent="0.25">
      <c r="A563" s="822">
        <v>96251</v>
      </c>
      <c r="B563" s="823" t="s">
        <v>3126</v>
      </c>
      <c r="C563" s="824">
        <v>7.7100000000000004E-5</v>
      </c>
      <c r="D563" s="824">
        <v>9.0699999999999996E-5</v>
      </c>
      <c r="E563" s="825">
        <v>29404.75</v>
      </c>
      <c r="F563" s="825">
        <v>40706</v>
      </c>
      <c r="G563" s="825">
        <v>163632</v>
      </c>
      <c r="H563" s="825"/>
      <c r="I563" s="826">
        <v>3074</v>
      </c>
      <c r="J563" s="826">
        <v>143394</v>
      </c>
      <c r="K563" s="826">
        <v>11207</v>
      </c>
      <c r="L563" s="825">
        <v>0</v>
      </c>
      <c r="M563" s="825"/>
      <c r="N563" s="826">
        <v>5734</v>
      </c>
      <c r="O563" s="826">
        <v>52926</v>
      </c>
      <c r="P563" s="826">
        <v>0</v>
      </c>
      <c r="Q563" s="825">
        <v>25538</v>
      </c>
      <c r="R563" s="825"/>
      <c r="S563" s="826">
        <v>43736</v>
      </c>
      <c r="T563" s="827">
        <v>-8652</v>
      </c>
      <c r="U563" s="827">
        <v>35085</v>
      </c>
    </row>
    <row r="564" spans="1:21" x14ac:dyDescent="0.25">
      <c r="A564" s="822">
        <v>96301</v>
      </c>
      <c r="B564" s="823" t="s">
        <v>3127</v>
      </c>
      <c r="C564" s="824">
        <v>4.3785999999999999E-3</v>
      </c>
      <c r="D564" s="824">
        <v>4.5367999999999997E-3</v>
      </c>
      <c r="E564" s="825">
        <v>1765529</v>
      </c>
      <c r="F564" s="825">
        <v>2036089</v>
      </c>
      <c r="G564" s="825">
        <v>9292856</v>
      </c>
      <c r="H564" s="825"/>
      <c r="I564" s="826">
        <v>174597</v>
      </c>
      <c r="J564" s="826">
        <v>8143504</v>
      </c>
      <c r="K564" s="826">
        <v>636478</v>
      </c>
      <c r="L564" s="825">
        <v>94185</v>
      </c>
      <c r="M564" s="825"/>
      <c r="N564" s="826">
        <v>325632</v>
      </c>
      <c r="O564" s="826">
        <v>3005725</v>
      </c>
      <c r="P564" s="826">
        <v>0</v>
      </c>
      <c r="Q564" s="825">
        <v>147101</v>
      </c>
      <c r="R564" s="825"/>
      <c r="S564" s="826">
        <v>2483844</v>
      </c>
      <c r="T564" s="827">
        <v>-12863</v>
      </c>
      <c r="U564" s="827">
        <v>2470981</v>
      </c>
    </row>
    <row r="565" spans="1:21" x14ac:dyDescent="0.25">
      <c r="A565" s="822">
        <v>96302</v>
      </c>
      <c r="B565" s="823" t="s">
        <v>3128</v>
      </c>
      <c r="C565" s="824">
        <v>1.9199999999999999E-5</v>
      </c>
      <c r="D565" s="824">
        <v>1.42E-5</v>
      </c>
      <c r="E565" s="825">
        <v>6636.09</v>
      </c>
      <c r="F565" s="825">
        <v>6373</v>
      </c>
      <c r="G565" s="825">
        <v>40749</v>
      </c>
      <c r="H565" s="825"/>
      <c r="I565" s="826">
        <v>766</v>
      </c>
      <c r="J565" s="826">
        <v>35709</v>
      </c>
      <c r="K565" s="826">
        <v>2791</v>
      </c>
      <c r="L565" s="825">
        <v>4449</v>
      </c>
      <c r="M565" s="825"/>
      <c r="N565" s="826">
        <v>1428</v>
      </c>
      <c r="O565" s="826">
        <v>13180</v>
      </c>
      <c r="P565" s="826">
        <v>0</v>
      </c>
      <c r="Q565" s="825">
        <v>0</v>
      </c>
      <c r="R565" s="825"/>
      <c r="S565" s="826">
        <v>10892</v>
      </c>
      <c r="T565" s="827">
        <v>1514</v>
      </c>
      <c r="U565" s="827">
        <v>12406</v>
      </c>
    </row>
    <row r="566" spans="1:21" x14ac:dyDescent="0.25">
      <c r="A566" s="822">
        <v>96304</v>
      </c>
      <c r="B566" s="823" t="s">
        <v>3129</v>
      </c>
      <c r="C566" s="824">
        <v>5.4599999999999999E-5</v>
      </c>
      <c r="D566" s="824">
        <v>5.24E-5</v>
      </c>
      <c r="E566" s="825">
        <v>25715.360000000001</v>
      </c>
      <c r="F566" s="825">
        <v>23517</v>
      </c>
      <c r="G566" s="825">
        <v>115879</v>
      </c>
      <c r="H566" s="825"/>
      <c r="I566" s="826">
        <v>2177</v>
      </c>
      <c r="J566" s="826">
        <v>101547</v>
      </c>
      <c r="K566" s="826">
        <v>7937</v>
      </c>
      <c r="L566" s="825">
        <v>7913</v>
      </c>
      <c r="M566" s="825"/>
      <c r="N566" s="826">
        <v>4061</v>
      </c>
      <c r="O566" s="826">
        <v>37481</v>
      </c>
      <c r="P566" s="826">
        <v>0</v>
      </c>
      <c r="Q566" s="825">
        <v>231</v>
      </c>
      <c r="R566" s="825"/>
      <c r="S566" s="826">
        <v>30973</v>
      </c>
      <c r="T566" s="827">
        <v>2329</v>
      </c>
      <c r="U566" s="827">
        <v>33302</v>
      </c>
    </row>
    <row r="567" spans="1:21" x14ac:dyDescent="0.25">
      <c r="A567" s="822">
        <v>96305</v>
      </c>
      <c r="B567" s="823" t="s">
        <v>3130</v>
      </c>
      <c r="C567" s="824">
        <v>4.8199999999999999E-5</v>
      </c>
      <c r="D567" s="824">
        <v>5.0399999999999999E-5</v>
      </c>
      <c r="E567" s="825">
        <v>28361</v>
      </c>
      <c r="F567" s="825">
        <v>22619</v>
      </c>
      <c r="G567" s="825">
        <v>102297</v>
      </c>
      <c r="H567" s="825"/>
      <c r="I567" s="826">
        <v>1921.9749999999999</v>
      </c>
      <c r="J567" s="826">
        <v>89644</v>
      </c>
      <c r="K567" s="826">
        <v>7006</v>
      </c>
      <c r="L567" s="825">
        <v>10711</v>
      </c>
      <c r="M567" s="825"/>
      <c r="N567" s="826">
        <v>3585</v>
      </c>
      <c r="O567" s="826">
        <v>33087</v>
      </c>
      <c r="P567" s="826">
        <v>0</v>
      </c>
      <c r="Q567" s="825">
        <v>0</v>
      </c>
      <c r="R567" s="825"/>
      <c r="S567" s="826">
        <v>27342</v>
      </c>
      <c r="T567" s="827">
        <v>3278</v>
      </c>
      <c r="U567" s="827">
        <v>30620</v>
      </c>
    </row>
    <row r="568" spans="1:21" x14ac:dyDescent="0.25">
      <c r="A568" s="822">
        <v>96310</v>
      </c>
      <c r="B568" s="823" t="s">
        <v>3131</v>
      </c>
      <c r="C568" s="824">
        <v>4.88E-5</v>
      </c>
      <c r="D568" s="824">
        <v>6.1299999999999999E-5</v>
      </c>
      <c r="E568" s="825">
        <v>23403</v>
      </c>
      <c r="F568" s="825">
        <v>27511</v>
      </c>
      <c r="G568" s="825">
        <v>103570</v>
      </c>
      <c r="H568" s="825"/>
      <c r="I568" s="826">
        <v>1945.9</v>
      </c>
      <c r="J568" s="826">
        <v>90760</v>
      </c>
      <c r="K568" s="826">
        <v>7094</v>
      </c>
      <c r="L568" s="825">
        <v>6056</v>
      </c>
      <c r="M568" s="825"/>
      <c r="N568" s="826">
        <v>3629</v>
      </c>
      <c r="O568" s="826">
        <v>33499</v>
      </c>
      <c r="P568" s="826">
        <v>0</v>
      </c>
      <c r="Q568" s="825">
        <v>4123</v>
      </c>
      <c r="R568" s="825"/>
      <c r="S568" s="826">
        <v>27683</v>
      </c>
      <c r="T568" s="827">
        <v>1701</v>
      </c>
      <c r="U568" s="827">
        <v>29384</v>
      </c>
    </row>
    <row r="569" spans="1:21" x14ac:dyDescent="0.25">
      <c r="A569" s="822">
        <v>96311</v>
      </c>
      <c r="B569" s="823" t="s">
        <v>3132</v>
      </c>
      <c r="C569" s="824">
        <v>1.4082999999999999E-3</v>
      </c>
      <c r="D569" s="824">
        <v>1.4383E-3</v>
      </c>
      <c r="E569" s="825">
        <v>512325.3</v>
      </c>
      <c r="F569" s="825">
        <v>645500</v>
      </c>
      <c r="G569" s="825">
        <v>2988884</v>
      </c>
      <c r="H569" s="825"/>
      <c r="I569" s="826">
        <v>56156</v>
      </c>
      <c r="J569" s="826">
        <v>2619215</v>
      </c>
      <c r="K569" s="826">
        <v>204712</v>
      </c>
      <c r="L569" s="825">
        <v>22194.47</v>
      </c>
      <c r="M569" s="825"/>
      <c r="N569" s="826">
        <v>104734</v>
      </c>
      <c r="O569" s="826">
        <v>966739</v>
      </c>
      <c r="P569" s="826">
        <v>0</v>
      </c>
      <c r="Q569" s="825">
        <v>96281</v>
      </c>
      <c r="R569" s="825"/>
      <c r="S569" s="826">
        <v>798885</v>
      </c>
      <c r="T569" s="827">
        <v>-16365</v>
      </c>
      <c r="U569" s="827">
        <v>782520</v>
      </c>
    </row>
    <row r="570" spans="1:21" x14ac:dyDescent="0.25">
      <c r="A570" s="822">
        <v>96312</v>
      </c>
      <c r="B570" s="823" t="s">
        <v>3133</v>
      </c>
      <c r="C570" s="824">
        <v>1.5999999999999999E-6</v>
      </c>
      <c r="D570" s="824">
        <v>4.7999999999999998E-6</v>
      </c>
      <c r="E570" s="825">
        <v>1992</v>
      </c>
      <c r="F570" s="825">
        <v>2154</v>
      </c>
      <c r="G570" s="825">
        <v>3396</v>
      </c>
      <c r="H570" s="825"/>
      <c r="I570" s="826">
        <v>63.8</v>
      </c>
      <c r="J570" s="826">
        <v>2976</v>
      </c>
      <c r="K570" s="826">
        <v>233</v>
      </c>
      <c r="L570" s="825">
        <v>51</v>
      </c>
      <c r="M570" s="825"/>
      <c r="N570" s="826">
        <v>119</v>
      </c>
      <c r="O570" s="826">
        <v>1098</v>
      </c>
      <c r="P570" s="826">
        <v>0</v>
      </c>
      <c r="Q570" s="825">
        <v>3416</v>
      </c>
      <c r="R570" s="825"/>
      <c r="S570" s="826">
        <v>908</v>
      </c>
      <c r="T570" s="827">
        <v>-1534</v>
      </c>
      <c r="U570" s="827">
        <v>-627</v>
      </c>
    </row>
    <row r="571" spans="1:21" x14ac:dyDescent="0.25">
      <c r="A571" s="822">
        <v>96318</v>
      </c>
      <c r="B571" s="823" t="s">
        <v>3134</v>
      </c>
      <c r="C571" s="824">
        <v>1.7782E-3</v>
      </c>
      <c r="D571" s="824">
        <v>0</v>
      </c>
      <c r="E571" s="825">
        <v>12089019</v>
      </c>
      <c r="F571" s="825">
        <v>0</v>
      </c>
      <c r="G571" s="825">
        <v>3773936</v>
      </c>
      <c r="H571" s="825"/>
      <c r="I571" s="826">
        <v>70906</v>
      </c>
      <c r="J571" s="826">
        <v>3307171</v>
      </c>
      <c r="K571" s="826">
        <v>258481</v>
      </c>
      <c r="L571" s="825">
        <v>9984043</v>
      </c>
      <c r="M571" s="825"/>
      <c r="N571" s="826">
        <v>132243</v>
      </c>
      <c r="O571" s="826">
        <v>1220660</v>
      </c>
      <c r="P571" s="826">
        <v>0</v>
      </c>
      <c r="Q571" s="825">
        <v>0</v>
      </c>
      <c r="R571" s="825"/>
      <c r="S571" s="826">
        <v>1008718</v>
      </c>
      <c r="T571" s="827">
        <v>2586540</v>
      </c>
      <c r="U571" s="827">
        <v>3595257</v>
      </c>
    </row>
    <row r="572" spans="1:21" x14ac:dyDescent="0.25">
      <c r="A572" s="822">
        <v>96321</v>
      </c>
      <c r="B572" s="823" t="s">
        <v>3135</v>
      </c>
      <c r="C572" s="824">
        <v>3.7400000000000001E-5</v>
      </c>
      <c r="D572" s="824">
        <v>3.9700000000000003E-5</v>
      </c>
      <c r="E572" s="825">
        <v>13314.68</v>
      </c>
      <c r="F572" s="825">
        <v>17817</v>
      </c>
      <c r="G572" s="825">
        <v>79375</v>
      </c>
      <c r="H572" s="825"/>
      <c r="I572" s="826">
        <v>1491.325</v>
      </c>
      <c r="J572" s="826">
        <v>69558</v>
      </c>
      <c r="K572" s="826">
        <v>5437</v>
      </c>
      <c r="L572" s="825">
        <v>837</v>
      </c>
      <c r="M572" s="825"/>
      <c r="N572" s="826">
        <v>2781</v>
      </c>
      <c r="O572" s="826">
        <v>25674</v>
      </c>
      <c r="P572" s="826">
        <v>0</v>
      </c>
      <c r="Q572" s="825">
        <v>3510</v>
      </c>
      <c r="R572" s="825"/>
      <c r="S572" s="826">
        <v>21216</v>
      </c>
      <c r="T572" s="827">
        <v>-764</v>
      </c>
      <c r="U572" s="827">
        <v>20452</v>
      </c>
    </row>
    <row r="573" spans="1:21" x14ac:dyDescent="0.25">
      <c r="A573" s="822">
        <v>96331</v>
      </c>
      <c r="B573" s="823" t="s">
        <v>3136</v>
      </c>
      <c r="C573" s="824">
        <v>7.1699999999999997E-4</v>
      </c>
      <c r="D573" s="824">
        <v>7.6110000000000001E-4</v>
      </c>
      <c r="E573" s="825">
        <v>265185</v>
      </c>
      <c r="F573" s="825">
        <v>341577</v>
      </c>
      <c r="G573" s="825">
        <v>1521714</v>
      </c>
      <c r="H573" s="825"/>
      <c r="I573" s="826">
        <v>28590.375</v>
      </c>
      <c r="J573" s="826">
        <v>1333507</v>
      </c>
      <c r="K573" s="826">
        <v>104224</v>
      </c>
      <c r="L573" s="825">
        <v>4814</v>
      </c>
      <c r="M573" s="825"/>
      <c r="N573" s="826">
        <v>53323</v>
      </c>
      <c r="O573" s="826">
        <v>492190</v>
      </c>
      <c r="P573" s="826">
        <v>0</v>
      </c>
      <c r="Q573" s="825">
        <v>66351</v>
      </c>
      <c r="R573" s="825"/>
      <c r="S573" s="826">
        <v>406732</v>
      </c>
      <c r="T573" s="827">
        <v>-20081</v>
      </c>
      <c r="U573" s="827">
        <v>386651</v>
      </c>
    </row>
    <row r="574" spans="1:21" x14ac:dyDescent="0.25">
      <c r="A574" s="822">
        <v>96341</v>
      </c>
      <c r="B574" s="823" t="s">
        <v>3137</v>
      </c>
      <c r="C574" s="824">
        <v>9.1600000000000004E-5</v>
      </c>
      <c r="D574" s="824">
        <v>8.0799999999999999E-5</v>
      </c>
      <c r="E574" s="825">
        <v>32432</v>
      </c>
      <c r="F574" s="825">
        <v>36263</v>
      </c>
      <c r="G574" s="825">
        <v>194406</v>
      </c>
      <c r="H574" s="825"/>
      <c r="I574" s="826">
        <v>3652.55</v>
      </c>
      <c r="J574" s="826">
        <v>170362</v>
      </c>
      <c r="K574" s="826">
        <v>13315</v>
      </c>
      <c r="L574" s="825">
        <v>13221</v>
      </c>
      <c r="M574" s="825"/>
      <c r="N574" s="826">
        <v>6812</v>
      </c>
      <c r="O574" s="826">
        <v>62880</v>
      </c>
      <c r="P574" s="826">
        <v>0</v>
      </c>
      <c r="Q574" s="825">
        <v>11187.78</v>
      </c>
      <c r="R574" s="825"/>
      <c r="S574" s="826">
        <v>51962</v>
      </c>
      <c r="T574" s="827">
        <v>-1095</v>
      </c>
      <c r="U574" s="827">
        <v>50867</v>
      </c>
    </row>
    <row r="575" spans="1:21" x14ac:dyDescent="0.25">
      <c r="A575" s="822">
        <v>96351</v>
      </c>
      <c r="B575" s="823" t="s">
        <v>3138</v>
      </c>
      <c r="C575" s="824">
        <v>1.0736000000000001E-3</v>
      </c>
      <c r="D575" s="824">
        <v>1.0939999999999999E-3</v>
      </c>
      <c r="E575" s="825">
        <v>419131</v>
      </c>
      <c r="F575" s="825">
        <v>490981</v>
      </c>
      <c r="G575" s="825">
        <v>2278539</v>
      </c>
      <c r="H575" s="825"/>
      <c r="I575" s="826">
        <v>42809.8</v>
      </c>
      <c r="J575" s="826">
        <v>1996726</v>
      </c>
      <c r="K575" s="826">
        <v>156060</v>
      </c>
      <c r="L575" s="825">
        <v>9467</v>
      </c>
      <c r="M575" s="825"/>
      <c r="N575" s="826">
        <v>79843</v>
      </c>
      <c r="O575" s="826">
        <v>736981</v>
      </c>
      <c r="P575" s="826">
        <v>0</v>
      </c>
      <c r="Q575" s="825">
        <v>28826</v>
      </c>
      <c r="R575" s="825"/>
      <c r="S575" s="826">
        <v>609020</v>
      </c>
      <c r="T575" s="827">
        <v>-3422</v>
      </c>
      <c r="U575" s="827">
        <v>605598</v>
      </c>
    </row>
    <row r="576" spans="1:21" x14ac:dyDescent="0.25">
      <c r="A576" s="822">
        <v>96361</v>
      </c>
      <c r="B576" s="823" t="s">
        <v>3139</v>
      </c>
      <c r="C576" s="824">
        <v>5.8900000000000002E-5</v>
      </c>
      <c r="D576" s="824">
        <v>4.8999999999999998E-5</v>
      </c>
      <c r="E576" s="825">
        <v>21511</v>
      </c>
      <c r="F576" s="825">
        <v>21991</v>
      </c>
      <c r="G576" s="825">
        <v>125006</v>
      </c>
      <c r="H576" s="825"/>
      <c r="I576" s="826">
        <v>2349</v>
      </c>
      <c r="J576" s="826">
        <v>109545</v>
      </c>
      <c r="K576" s="826">
        <v>8562</v>
      </c>
      <c r="L576" s="825">
        <v>5269</v>
      </c>
      <c r="M576" s="825"/>
      <c r="N576" s="826">
        <v>4380</v>
      </c>
      <c r="O576" s="826">
        <v>40432</v>
      </c>
      <c r="P576" s="826">
        <v>0</v>
      </c>
      <c r="Q576" s="825">
        <v>390</v>
      </c>
      <c r="R576" s="825"/>
      <c r="S576" s="826">
        <v>33412</v>
      </c>
      <c r="T576" s="827">
        <v>1728</v>
      </c>
      <c r="U576" s="827">
        <v>35140</v>
      </c>
    </row>
    <row r="577" spans="1:21" x14ac:dyDescent="0.25">
      <c r="A577" s="822">
        <v>96371</v>
      </c>
      <c r="B577" s="823" t="s">
        <v>3140</v>
      </c>
      <c r="C577" s="824">
        <v>1.6359999999999999E-4</v>
      </c>
      <c r="D577" s="824">
        <v>1.6760000000000001E-4</v>
      </c>
      <c r="E577" s="825">
        <v>62917</v>
      </c>
      <c r="F577" s="825">
        <v>75218</v>
      </c>
      <c r="G577" s="825">
        <v>347214</v>
      </c>
      <c r="H577" s="825"/>
      <c r="I577" s="826">
        <v>6524</v>
      </c>
      <c r="J577" s="826">
        <v>304270</v>
      </c>
      <c r="K577" s="826">
        <v>23781</v>
      </c>
      <c r="L577" s="825">
        <v>2683</v>
      </c>
      <c r="M577" s="825"/>
      <c r="N577" s="826">
        <v>12167</v>
      </c>
      <c r="O577" s="826">
        <v>112305</v>
      </c>
      <c r="P577" s="826">
        <v>0</v>
      </c>
      <c r="Q577" s="825">
        <v>7435</v>
      </c>
      <c r="R577" s="825"/>
      <c r="S577" s="826">
        <v>92805</v>
      </c>
      <c r="T577" s="827">
        <v>-750</v>
      </c>
      <c r="U577" s="827">
        <v>92055</v>
      </c>
    </row>
    <row r="578" spans="1:21" x14ac:dyDescent="0.25">
      <c r="A578" s="822">
        <v>96381</v>
      </c>
      <c r="B578" s="823" t="s">
        <v>3141</v>
      </c>
      <c r="C578" s="824">
        <v>3.26E-5</v>
      </c>
      <c r="D578" s="824">
        <v>2.9600000000000001E-5</v>
      </c>
      <c r="E578" s="825">
        <v>11485.45</v>
      </c>
      <c r="F578" s="825">
        <v>13284</v>
      </c>
      <c r="G578" s="825">
        <v>69188</v>
      </c>
      <c r="H578" s="825"/>
      <c r="I578" s="826">
        <v>1299.925</v>
      </c>
      <c r="J578" s="826">
        <v>60631</v>
      </c>
      <c r="K578" s="826">
        <v>4739</v>
      </c>
      <c r="L578" s="825">
        <v>99</v>
      </c>
      <c r="M578" s="825"/>
      <c r="N578" s="826">
        <v>2424</v>
      </c>
      <c r="O578" s="826">
        <v>22379</v>
      </c>
      <c r="P578" s="826">
        <v>0</v>
      </c>
      <c r="Q578" s="825">
        <v>3089</v>
      </c>
      <c r="R578" s="825"/>
      <c r="S578" s="826">
        <v>18493</v>
      </c>
      <c r="T578" s="827">
        <v>-1205</v>
      </c>
      <c r="U578" s="827">
        <v>17288</v>
      </c>
    </row>
    <row r="579" spans="1:21" x14ac:dyDescent="0.25">
      <c r="A579" s="822">
        <v>96391</v>
      </c>
      <c r="B579" s="823" t="s">
        <v>3142</v>
      </c>
      <c r="C579" s="824">
        <v>1.807E-4</v>
      </c>
      <c r="D579" s="824">
        <v>1.9450000000000001E-4</v>
      </c>
      <c r="E579" s="825">
        <v>66063</v>
      </c>
      <c r="F579" s="825">
        <v>87290</v>
      </c>
      <c r="G579" s="825">
        <v>383506</v>
      </c>
      <c r="H579" s="825"/>
      <c r="I579" s="826">
        <v>7205</v>
      </c>
      <c r="J579" s="826">
        <v>336073</v>
      </c>
      <c r="K579" s="826">
        <v>26267</v>
      </c>
      <c r="L579" s="825">
        <v>19760.7</v>
      </c>
      <c r="M579" s="825"/>
      <c r="N579" s="826">
        <v>13438</v>
      </c>
      <c r="O579" s="826">
        <v>124043</v>
      </c>
      <c r="P579" s="826">
        <v>0</v>
      </c>
      <c r="Q579" s="825">
        <v>26107</v>
      </c>
      <c r="R579" s="825"/>
      <c r="S579" s="826">
        <v>102506</v>
      </c>
      <c r="T579" s="827">
        <v>2012</v>
      </c>
      <c r="U579" s="827">
        <v>104518</v>
      </c>
    </row>
    <row r="580" spans="1:21" x14ac:dyDescent="0.25">
      <c r="A580" s="822">
        <v>96401</v>
      </c>
      <c r="B580" s="823" t="s">
        <v>3143</v>
      </c>
      <c r="C580" s="824">
        <v>4.5900000000000003E-3</v>
      </c>
      <c r="D580" s="824">
        <v>4.5434999999999998E-3</v>
      </c>
      <c r="E580" s="825">
        <v>1835552.26</v>
      </c>
      <c r="F580" s="825">
        <v>2039096</v>
      </c>
      <c r="G580" s="825">
        <v>9741518</v>
      </c>
      <c r="H580" s="825"/>
      <c r="I580" s="826">
        <v>183026.25</v>
      </c>
      <c r="J580" s="826">
        <v>8536675</v>
      </c>
      <c r="K580" s="826">
        <v>667206.99</v>
      </c>
      <c r="L580" s="825">
        <v>31898</v>
      </c>
      <c r="M580" s="825"/>
      <c r="N580" s="826">
        <v>341353.71</v>
      </c>
      <c r="O580" s="826">
        <v>3150842.22</v>
      </c>
      <c r="P580" s="826">
        <v>0</v>
      </c>
      <c r="Q580" s="825">
        <v>37434</v>
      </c>
      <c r="R580" s="825"/>
      <c r="S580" s="826">
        <v>2603764.71</v>
      </c>
      <c r="T580" s="827">
        <v>4298</v>
      </c>
      <c r="U580" s="827">
        <v>2608063</v>
      </c>
    </row>
    <row r="581" spans="1:21" x14ac:dyDescent="0.25">
      <c r="A581" s="822">
        <v>96404</v>
      </c>
      <c r="B581" s="823" t="s">
        <v>3144</v>
      </c>
      <c r="C581" s="824">
        <v>9.8800000000000003E-5</v>
      </c>
      <c r="D581" s="824">
        <v>8.92E-5</v>
      </c>
      <c r="E581" s="825">
        <v>49336.67</v>
      </c>
      <c r="F581" s="825">
        <v>40032</v>
      </c>
      <c r="G581" s="825">
        <v>209687</v>
      </c>
      <c r="H581" s="825"/>
      <c r="I581" s="826">
        <v>3939.65</v>
      </c>
      <c r="J581" s="826">
        <v>183752</v>
      </c>
      <c r="K581" s="826">
        <v>14362</v>
      </c>
      <c r="L581" s="825">
        <v>23586</v>
      </c>
      <c r="M581" s="825"/>
      <c r="N581" s="826">
        <v>7348</v>
      </c>
      <c r="O581" s="826">
        <v>67822</v>
      </c>
      <c r="P581" s="826">
        <v>0</v>
      </c>
      <c r="Q581" s="825">
        <v>0</v>
      </c>
      <c r="R581" s="825"/>
      <c r="S581" s="826">
        <v>56046</v>
      </c>
      <c r="T581" s="827">
        <v>7753</v>
      </c>
      <c r="U581" s="827">
        <v>63799</v>
      </c>
    </row>
    <row r="582" spans="1:21" x14ac:dyDescent="0.25">
      <c r="A582" s="822">
        <v>96405</v>
      </c>
      <c r="B582" s="823" t="s">
        <v>3145</v>
      </c>
      <c r="C582" s="824">
        <v>1.7760000000000001E-4</v>
      </c>
      <c r="D582" s="824">
        <v>1.942E-4</v>
      </c>
      <c r="E582" s="825">
        <v>83528</v>
      </c>
      <c r="F582" s="825">
        <v>87156</v>
      </c>
      <c r="G582" s="825">
        <v>376927</v>
      </c>
      <c r="H582" s="825"/>
      <c r="I582" s="826">
        <v>7081.8</v>
      </c>
      <c r="J582" s="826">
        <v>330308</v>
      </c>
      <c r="K582" s="826">
        <v>25816</v>
      </c>
      <c r="L582" s="825">
        <v>15838</v>
      </c>
      <c r="M582" s="825"/>
      <c r="N582" s="826">
        <v>13208</v>
      </c>
      <c r="O582" s="826">
        <v>121915</v>
      </c>
      <c r="P582" s="826">
        <v>0</v>
      </c>
      <c r="Q582" s="825">
        <v>2411</v>
      </c>
      <c r="R582" s="825"/>
      <c r="S582" s="826">
        <v>100747</v>
      </c>
      <c r="T582" s="827">
        <v>4565</v>
      </c>
      <c r="U582" s="827">
        <v>105312</v>
      </c>
    </row>
    <row r="583" spans="1:21" x14ac:dyDescent="0.25">
      <c r="A583" s="822">
        <v>96411</v>
      </c>
      <c r="B583" s="823" t="s">
        <v>3146</v>
      </c>
      <c r="C583" s="824">
        <v>5.66E-5</v>
      </c>
      <c r="D583" s="824">
        <v>6.6699999999999995E-5</v>
      </c>
      <c r="E583" s="825">
        <v>25222</v>
      </c>
      <c r="F583" s="825">
        <v>29935</v>
      </c>
      <c r="G583" s="825">
        <v>120124</v>
      </c>
      <c r="H583" s="825"/>
      <c r="I583" s="826">
        <v>2257</v>
      </c>
      <c r="J583" s="826">
        <v>105267</v>
      </c>
      <c r="K583" s="826">
        <v>8227</v>
      </c>
      <c r="L583" s="825">
        <v>8181</v>
      </c>
      <c r="M583" s="825"/>
      <c r="N583" s="826">
        <v>4209</v>
      </c>
      <c r="O583" s="826">
        <v>38854</v>
      </c>
      <c r="P583" s="826">
        <v>0</v>
      </c>
      <c r="Q583" s="825">
        <v>6127</v>
      </c>
      <c r="R583" s="825"/>
      <c r="S583" s="826">
        <v>32107</v>
      </c>
      <c r="T583" s="827">
        <v>778</v>
      </c>
      <c r="U583" s="827">
        <v>32885</v>
      </c>
    </row>
    <row r="584" spans="1:21" x14ac:dyDescent="0.25">
      <c r="A584" s="822">
        <v>96421</v>
      </c>
      <c r="B584" s="823" t="s">
        <v>3147</v>
      </c>
      <c r="C584" s="824">
        <v>4.2860000000000001E-4</v>
      </c>
      <c r="D584" s="824">
        <v>4.6069999999999998E-4</v>
      </c>
      <c r="E584" s="825">
        <v>149902.97</v>
      </c>
      <c r="F584" s="825">
        <v>206759</v>
      </c>
      <c r="G584" s="825">
        <v>909633</v>
      </c>
      <c r="H584" s="825"/>
      <c r="I584" s="826">
        <v>17090</v>
      </c>
      <c r="J584" s="826">
        <v>797128</v>
      </c>
      <c r="K584" s="826">
        <v>62302</v>
      </c>
      <c r="L584" s="825">
        <v>0</v>
      </c>
      <c r="M584" s="825"/>
      <c r="N584" s="826">
        <v>31875</v>
      </c>
      <c r="O584" s="826">
        <v>294216</v>
      </c>
      <c r="P584" s="826">
        <v>0</v>
      </c>
      <c r="Q584" s="825">
        <v>86301</v>
      </c>
      <c r="R584" s="825"/>
      <c r="S584" s="826">
        <v>243131</v>
      </c>
      <c r="T584" s="827">
        <v>-29627</v>
      </c>
      <c r="U584" s="827">
        <v>213504</v>
      </c>
    </row>
    <row r="585" spans="1:21" x14ac:dyDescent="0.25">
      <c r="A585" s="822">
        <v>96431</v>
      </c>
      <c r="B585" s="823" t="s">
        <v>3148</v>
      </c>
      <c r="C585" s="824">
        <v>5.6100000000000002E-5</v>
      </c>
      <c r="D585" s="824">
        <v>3.9400000000000002E-5</v>
      </c>
      <c r="E585" s="825">
        <v>22346.13</v>
      </c>
      <c r="F585" s="825">
        <v>17682</v>
      </c>
      <c r="G585" s="825">
        <v>119063</v>
      </c>
      <c r="H585" s="825"/>
      <c r="I585" s="826">
        <v>2237</v>
      </c>
      <c r="J585" s="826">
        <v>104337</v>
      </c>
      <c r="K585" s="826">
        <v>8155</v>
      </c>
      <c r="L585" s="825">
        <v>8471</v>
      </c>
      <c r="M585" s="825"/>
      <c r="N585" s="826">
        <v>4172</v>
      </c>
      <c r="O585" s="826">
        <v>38510</v>
      </c>
      <c r="P585" s="826">
        <v>0</v>
      </c>
      <c r="Q585" s="825">
        <v>4421</v>
      </c>
      <c r="R585" s="825"/>
      <c r="S585" s="826">
        <v>31824</v>
      </c>
      <c r="T585" s="827">
        <v>305</v>
      </c>
      <c r="U585" s="827">
        <v>32128</v>
      </c>
    </row>
    <row r="586" spans="1:21" x14ac:dyDescent="0.25">
      <c r="A586" s="822">
        <v>96441</v>
      </c>
      <c r="B586" s="823" t="s">
        <v>3149</v>
      </c>
      <c r="C586" s="824">
        <v>3.1199999999999999E-5</v>
      </c>
      <c r="D586" s="824">
        <v>3.9100000000000002E-5</v>
      </c>
      <c r="E586" s="825">
        <v>18068.97</v>
      </c>
      <c r="F586" s="825">
        <v>17548</v>
      </c>
      <c r="G586" s="825">
        <v>66217</v>
      </c>
      <c r="H586" s="825"/>
      <c r="I586" s="826">
        <v>1244</v>
      </c>
      <c r="J586" s="826">
        <v>58027</v>
      </c>
      <c r="K586" s="826">
        <v>4535</v>
      </c>
      <c r="L586" s="825">
        <v>6875</v>
      </c>
      <c r="M586" s="825"/>
      <c r="N586" s="826">
        <v>2320</v>
      </c>
      <c r="O586" s="826">
        <v>21417</v>
      </c>
      <c r="P586" s="826">
        <v>0</v>
      </c>
      <c r="Q586" s="825">
        <v>826</v>
      </c>
      <c r="R586" s="825"/>
      <c r="S586" s="826">
        <v>17699</v>
      </c>
      <c r="T586" s="827">
        <v>2052</v>
      </c>
      <c r="U586" s="827">
        <v>19751</v>
      </c>
    </row>
    <row r="587" spans="1:21" x14ac:dyDescent="0.25">
      <c r="A587" s="822">
        <v>96451</v>
      </c>
      <c r="B587" s="823" t="s">
        <v>3150</v>
      </c>
      <c r="C587" s="824">
        <v>1.38E-5</v>
      </c>
      <c r="D587" s="824">
        <v>8.8999999999999995E-6</v>
      </c>
      <c r="E587" s="825">
        <v>6880</v>
      </c>
      <c r="F587" s="825">
        <v>3994</v>
      </c>
      <c r="G587" s="825">
        <v>29288</v>
      </c>
      <c r="H587" s="825"/>
      <c r="I587" s="826">
        <v>550.27499999999998</v>
      </c>
      <c r="J587" s="826">
        <v>25666</v>
      </c>
      <c r="K587" s="826">
        <v>2006</v>
      </c>
      <c r="L587" s="825">
        <v>3611</v>
      </c>
      <c r="M587" s="825"/>
      <c r="N587" s="826">
        <v>1026</v>
      </c>
      <c r="O587" s="826">
        <v>9473</v>
      </c>
      <c r="P587" s="826">
        <v>0</v>
      </c>
      <c r="Q587" s="825">
        <v>2200</v>
      </c>
      <c r="R587" s="825"/>
      <c r="S587" s="826">
        <v>7828</v>
      </c>
      <c r="T587" s="827">
        <v>55</v>
      </c>
      <c r="U587" s="827">
        <v>7883</v>
      </c>
    </row>
    <row r="588" spans="1:21" x14ac:dyDescent="0.25">
      <c r="A588" s="822">
        <v>96461</v>
      </c>
      <c r="B588" s="823" t="s">
        <v>3151</v>
      </c>
      <c r="C588" s="824">
        <v>1.3410000000000001E-4</v>
      </c>
      <c r="D588" s="824">
        <v>1.6129999999999999E-4</v>
      </c>
      <c r="E588" s="825">
        <v>60539</v>
      </c>
      <c r="F588" s="825">
        <v>72390</v>
      </c>
      <c r="G588" s="825">
        <v>284605</v>
      </c>
      <c r="H588" s="825"/>
      <c r="I588" s="826">
        <v>5347</v>
      </c>
      <c r="J588" s="826">
        <v>249405</v>
      </c>
      <c r="K588" s="826">
        <v>19493</v>
      </c>
      <c r="L588" s="825">
        <v>8046</v>
      </c>
      <c r="M588" s="825"/>
      <c r="N588" s="826">
        <v>9973</v>
      </c>
      <c r="O588" s="826">
        <v>92054</v>
      </c>
      <c r="P588" s="826">
        <v>0</v>
      </c>
      <c r="Q588" s="825">
        <v>27042</v>
      </c>
      <c r="R588" s="825"/>
      <c r="S588" s="826">
        <v>76071</v>
      </c>
      <c r="T588" s="827">
        <v>-4548</v>
      </c>
      <c r="U588" s="827">
        <v>71523</v>
      </c>
    </row>
    <row r="589" spans="1:21" x14ac:dyDescent="0.25">
      <c r="A589" s="822">
        <v>96501</v>
      </c>
      <c r="B589" s="823" t="s">
        <v>3152</v>
      </c>
      <c r="C589" s="824">
        <v>1.4156999999999999E-2</v>
      </c>
      <c r="D589" s="824">
        <v>1.4844599999999999E-2</v>
      </c>
      <c r="E589" s="825">
        <v>5793175</v>
      </c>
      <c r="F589" s="825">
        <v>6662167</v>
      </c>
      <c r="G589" s="825">
        <v>30045897</v>
      </c>
      <c r="H589" s="825"/>
      <c r="I589" s="826">
        <v>564510</v>
      </c>
      <c r="J589" s="826">
        <v>26329783</v>
      </c>
      <c r="K589" s="826">
        <v>2057876</v>
      </c>
      <c r="L589" s="825">
        <v>597577</v>
      </c>
      <c r="M589" s="825"/>
      <c r="N589" s="826">
        <v>1052842</v>
      </c>
      <c r="O589" s="826">
        <v>9718186</v>
      </c>
      <c r="P589" s="826">
        <v>0</v>
      </c>
      <c r="Q589" s="825">
        <v>395352</v>
      </c>
      <c r="R589" s="825"/>
      <c r="S589" s="826">
        <v>8030827</v>
      </c>
      <c r="T589" s="827">
        <v>146416</v>
      </c>
      <c r="U589" s="827">
        <v>8177243</v>
      </c>
    </row>
    <row r="590" spans="1:21" x14ac:dyDescent="0.25">
      <c r="A590" s="822">
        <v>96502</v>
      </c>
      <c r="B590" s="823" t="s">
        <v>3153</v>
      </c>
      <c r="C590" s="824">
        <v>4.2309999999999998E-4</v>
      </c>
      <c r="D590" s="824">
        <v>3.9639999999999999E-4</v>
      </c>
      <c r="E590" s="825">
        <v>180923</v>
      </c>
      <c r="F590" s="825">
        <v>177902</v>
      </c>
      <c r="G590" s="825">
        <v>897960</v>
      </c>
      <c r="H590" s="825"/>
      <c r="I590" s="826">
        <v>16871</v>
      </c>
      <c r="J590" s="826">
        <v>786899</v>
      </c>
      <c r="K590" s="826">
        <v>61502</v>
      </c>
      <c r="L590" s="825">
        <v>58143</v>
      </c>
      <c r="M590" s="825"/>
      <c r="N590" s="826">
        <v>31466</v>
      </c>
      <c r="O590" s="826">
        <v>290440</v>
      </c>
      <c r="P590" s="826">
        <v>0</v>
      </c>
      <c r="Q590" s="825">
        <v>0</v>
      </c>
      <c r="R590" s="825"/>
      <c r="S590" s="826">
        <v>240012</v>
      </c>
      <c r="T590" s="827">
        <v>22314</v>
      </c>
      <c r="U590" s="827">
        <v>262325</v>
      </c>
    </row>
    <row r="591" spans="1:21" x14ac:dyDescent="0.25">
      <c r="A591" s="822">
        <v>96503</v>
      </c>
      <c r="B591" s="823" t="s">
        <v>3154</v>
      </c>
      <c r="C591" s="824">
        <v>3.3700000000000001E-4</v>
      </c>
      <c r="D591" s="824">
        <v>3.746E-4</v>
      </c>
      <c r="E591" s="825">
        <v>297528.38</v>
      </c>
      <c r="F591" s="825">
        <v>168118</v>
      </c>
      <c r="G591" s="825">
        <v>715227</v>
      </c>
      <c r="H591" s="825"/>
      <c r="I591" s="826">
        <v>13437.875</v>
      </c>
      <c r="J591" s="826">
        <v>626767</v>
      </c>
      <c r="K591" s="826">
        <v>48987</v>
      </c>
      <c r="L591" s="825">
        <v>200924</v>
      </c>
      <c r="M591" s="825"/>
      <c r="N591" s="826">
        <v>25062</v>
      </c>
      <c r="O591" s="826">
        <v>231336</v>
      </c>
      <c r="P591" s="826">
        <v>0</v>
      </c>
      <c r="Q591" s="825">
        <v>29898</v>
      </c>
      <c r="R591" s="825"/>
      <c r="S591" s="826">
        <v>191170</v>
      </c>
      <c r="T591" s="827">
        <v>46111</v>
      </c>
      <c r="U591" s="827">
        <v>237280</v>
      </c>
    </row>
    <row r="592" spans="1:21" x14ac:dyDescent="0.25">
      <c r="A592" s="822">
        <v>96504</v>
      </c>
      <c r="B592" s="823" t="s">
        <v>3155</v>
      </c>
      <c r="C592" s="824">
        <v>3.6039999999999998E-4</v>
      </c>
      <c r="D592" s="824">
        <v>3.7149999999999998E-4</v>
      </c>
      <c r="E592" s="825">
        <v>148639.46</v>
      </c>
      <c r="F592" s="825">
        <v>166727</v>
      </c>
      <c r="G592" s="825">
        <v>764890</v>
      </c>
      <c r="H592" s="825"/>
      <c r="I592" s="826">
        <v>14371</v>
      </c>
      <c r="J592" s="826">
        <v>670287</v>
      </c>
      <c r="K592" s="826">
        <v>52388</v>
      </c>
      <c r="L592" s="825">
        <v>11269</v>
      </c>
      <c r="M592" s="825"/>
      <c r="N592" s="826">
        <v>26803</v>
      </c>
      <c r="O592" s="826">
        <v>247399</v>
      </c>
      <c r="P592" s="826">
        <v>0</v>
      </c>
      <c r="Q592" s="825">
        <v>6125</v>
      </c>
      <c r="R592" s="825"/>
      <c r="S592" s="826">
        <v>204444</v>
      </c>
      <c r="T592" s="827">
        <v>2299</v>
      </c>
      <c r="U592" s="827">
        <v>206743</v>
      </c>
    </row>
    <row r="593" spans="1:21" x14ac:dyDescent="0.25">
      <c r="A593" s="822">
        <v>96507</v>
      </c>
      <c r="B593" s="823" t="s">
        <v>3156</v>
      </c>
      <c r="C593" s="824">
        <v>2.2604999999999999E-3</v>
      </c>
      <c r="D593" s="824">
        <v>2.1895999999999999E-3</v>
      </c>
      <c r="E593" s="825">
        <v>971182</v>
      </c>
      <c r="F593" s="825">
        <v>982679</v>
      </c>
      <c r="G593" s="825">
        <v>4797538</v>
      </c>
      <c r="H593" s="825"/>
      <c r="I593" s="826">
        <v>90137</v>
      </c>
      <c r="J593" s="826">
        <v>4204173</v>
      </c>
      <c r="K593" s="826">
        <v>328589</v>
      </c>
      <c r="L593" s="825">
        <v>180324</v>
      </c>
      <c r="M593" s="825"/>
      <c r="N593" s="826">
        <v>168111</v>
      </c>
      <c r="O593" s="826">
        <v>1551738</v>
      </c>
      <c r="P593" s="826">
        <v>0</v>
      </c>
      <c r="Q593" s="825">
        <v>0</v>
      </c>
      <c r="R593" s="825"/>
      <c r="S593" s="826">
        <v>1282312</v>
      </c>
      <c r="T593" s="827">
        <v>64566</v>
      </c>
      <c r="U593" s="827">
        <v>1346877</v>
      </c>
    </row>
    <row r="594" spans="1:21" x14ac:dyDescent="0.25">
      <c r="A594" s="822">
        <v>96508</v>
      </c>
      <c r="B594" s="823" t="s">
        <v>3157</v>
      </c>
      <c r="C594" s="824">
        <v>9.7999999999999993E-6</v>
      </c>
      <c r="D594" s="824">
        <v>1.03E-5</v>
      </c>
      <c r="E594" s="825">
        <v>9949</v>
      </c>
      <c r="F594" s="825">
        <v>4623</v>
      </c>
      <c r="G594" s="825">
        <v>20799</v>
      </c>
      <c r="H594" s="825"/>
      <c r="I594" s="826">
        <v>390.77499999999998</v>
      </c>
      <c r="J594" s="826">
        <v>18226</v>
      </c>
      <c r="K594" s="826">
        <v>1425</v>
      </c>
      <c r="L594" s="825">
        <v>9383</v>
      </c>
      <c r="M594" s="825"/>
      <c r="N594" s="826">
        <v>729</v>
      </c>
      <c r="O594" s="826">
        <v>6727</v>
      </c>
      <c r="P594" s="826">
        <v>0</v>
      </c>
      <c r="Q594" s="825">
        <v>0</v>
      </c>
      <c r="R594" s="825"/>
      <c r="S594" s="826">
        <v>5559</v>
      </c>
      <c r="T594" s="827">
        <v>3176</v>
      </c>
      <c r="U594" s="827">
        <v>8735</v>
      </c>
    </row>
    <row r="595" spans="1:21" x14ac:dyDescent="0.25">
      <c r="A595" s="822">
        <v>96511</v>
      </c>
      <c r="B595" s="823" t="s">
        <v>3158</v>
      </c>
      <c r="C595" s="824">
        <v>6.221E-4</v>
      </c>
      <c r="D595" s="824">
        <v>7.5080000000000004E-4</v>
      </c>
      <c r="E595" s="825">
        <v>244657.82</v>
      </c>
      <c r="F595" s="825">
        <v>336955</v>
      </c>
      <c r="G595" s="825">
        <v>1320305</v>
      </c>
      <c r="H595" s="825"/>
      <c r="I595" s="826">
        <v>24806</v>
      </c>
      <c r="J595" s="826">
        <v>1157008</v>
      </c>
      <c r="K595" s="826">
        <v>90429</v>
      </c>
      <c r="L595" s="825">
        <v>0</v>
      </c>
      <c r="M595" s="825"/>
      <c r="N595" s="826">
        <v>46265</v>
      </c>
      <c r="O595" s="826">
        <v>427046</v>
      </c>
      <c r="P595" s="826">
        <v>0</v>
      </c>
      <c r="Q595" s="825">
        <v>135169</v>
      </c>
      <c r="R595" s="825"/>
      <c r="S595" s="826">
        <v>352898</v>
      </c>
      <c r="T595" s="827">
        <v>-47382</v>
      </c>
      <c r="U595" s="827">
        <v>305516</v>
      </c>
    </row>
    <row r="596" spans="1:21" x14ac:dyDescent="0.25">
      <c r="A596" s="822">
        <v>96512</v>
      </c>
      <c r="B596" s="823" t="s">
        <v>3159</v>
      </c>
      <c r="C596" s="824">
        <v>1.7000000000000001E-4</v>
      </c>
      <c r="D596" s="824">
        <v>1.5550000000000001E-4</v>
      </c>
      <c r="E596" s="825">
        <v>63901</v>
      </c>
      <c r="F596" s="825">
        <v>69787</v>
      </c>
      <c r="G596" s="825">
        <v>360796.95</v>
      </c>
      <c r="H596" s="825"/>
      <c r="I596" s="826">
        <v>6779</v>
      </c>
      <c r="J596" s="826">
        <v>316173.14</v>
      </c>
      <c r="K596" s="826">
        <v>24711</v>
      </c>
      <c r="L596" s="825">
        <v>8267</v>
      </c>
      <c r="M596" s="825"/>
      <c r="N596" s="826">
        <v>12643</v>
      </c>
      <c r="O596" s="826">
        <v>116698</v>
      </c>
      <c r="P596" s="826">
        <v>0</v>
      </c>
      <c r="Q596" s="825">
        <v>0</v>
      </c>
      <c r="R596" s="825"/>
      <c r="S596" s="826">
        <v>96436</v>
      </c>
      <c r="T596" s="827">
        <v>2689</v>
      </c>
      <c r="U596" s="827">
        <v>99124</v>
      </c>
    </row>
    <row r="597" spans="1:21" x14ac:dyDescent="0.25">
      <c r="A597" s="822">
        <v>96519</v>
      </c>
      <c r="B597" s="823" t="s">
        <v>3160</v>
      </c>
      <c r="C597" s="824">
        <v>0</v>
      </c>
      <c r="D597" s="824">
        <v>1.7197E-3</v>
      </c>
      <c r="E597" s="825">
        <v>0</v>
      </c>
      <c r="F597" s="825">
        <v>771791</v>
      </c>
      <c r="G597" s="825">
        <v>0</v>
      </c>
      <c r="H597" s="825"/>
      <c r="I597" s="826">
        <v>0</v>
      </c>
      <c r="J597" s="826">
        <v>0</v>
      </c>
      <c r="K597" s="826">
        <v>0</v>
      </c>
      <c r="L597" s="825">
        <v>300924</v>
      </c>
      <c r="M597" s="825"/>
      <c r="N597" s="826">
        <v>0</v>
      </c>
      <c r="O597" s="826">
        <v>0</v>
      </c>
      <c r="P597" s="826">
        <v>0</v>
      </c>
      <c r="Q597" s="825">
        <v>931590</v>
      </c>
      <c r="R597" s="825"/>
      <c r="S597" s="826">
        <v>0</v>
      </c>
      <c r="T597" s="827">
        <v>-102954</v>
      </c>
      <c r="U597" s="827">
        <v>-102954</v>
      </c>
    </row>
    <row r="598" spans="1:21" x14ac:dyDescent="0.25">
      <c r="A598" s="822">
        <v>96521</v>
      </c>
      <c r="B598" s="823" t="s">
        <v>3161</v>
      </c>
      <c r="C598" s="824">
        <v>9.4240000000000003E-4</v>
      </c>
      <c r="D598" s="824">
        <v>9.0479999999999998E-4</v>
      </c>
      <c r="E598" s="825">
        <v>332666.64</v>
      </c>
      <c r="F598" s="825">
        <v>406069</v>
      </c>
      <c r="G598" s="825">
        <v>2000089</v>
      </c>
      <c r="H598" s="825"/>
      <c r="I598" s="826">
        <v>37578</v>
      </c>
      <c r="J598" s="826">
        <v>1752715</v>
      </c>
      <c r="K598" s="826">
        <v>136988</v>
      </c>
      <c r="L598" s="825">
        <v>46521</v>
      </c>
      <c r="M598" s="825"/>
      <c r="N598" s="826">
        <v>70085</v>
      </c>
      <c r="O598" s="826">
        <v>646918</v>
      </c>
      <c r="P598" s="826">
        <v>0</v>
      </c>
      <c r="Q598" s="825">
        <v>27885</v>
      </c>
      <c r="R598" s="825"/>
      <c r="S598" s="826">
        <v>534594</v>
      </c>
      <c r="T598" s="827">
        <v>8139</v>
      </c>
      <c r="U598" s="827">
        <v>542733</v>
      </c>
    </row>
    <row r="599" spans="1:21" x14ac:dyDescent="0.25">
      <c r="A599" s="822">
        <v>96531</v>
      </c>
      <c r="B599" s="823" t="s">
        <v>3162</v>
      </c>
      <c r="C599" s="824">
        <v>8.6088999999999992E-3</v>
      </c>
      <c r="D599" s="824">
        <v>9.1912000000000001E-3</v>
      </c>
      <c r="E599" s="825">
        <v>3504528.87</v>
      </c>
      <c r="F599" s="825">
        <v>4124955</v>
      </c>
      <c r="G599" s="825">
        <v>18270970</v>
      </c>
      <c r="H599" s="825"/>
      <c r="I599" s="826">
        <v>343280</v>
      </c>
      <c r="J599" s="826">
        <v>16011194</v>
      </c>
      <c r="K599" s="826">
        <v>1251398</v>
      </c>
      <c r="L599" s="825">
        <v>75559</v>
      </c>
      <c r="M599" s="825"/>
      <c r="N599" s="826">
        <v>640235</v>
      </c>
      <c r="O599" s="826">
        <v>5909648</v>
      </c>
      <c r="P599" s="826">
        <v>0</v>
      </c>
      <c r="Q599" s="825">
        <v>381680</v>
      </c>
      <c r="R599" s="825"/>
      <c r="S599" s="826">
        <v>4883562</v>
      </c>
      <c r="T599" s="827">
        <v>-81286</v>
      </c>
      <c r="U599" s="827">
        <v>4802276</v>
      </c>
    </row>
    <row r="600" spans="1:21" x14ac:dyDescent="0.25">
      <c r="A600" s="822">
        <v>96541</v>
      </c>
      <c r="B600" s="823" t="s">
        <v>3163</v>
      </c>
      <c r="C600" s="824">
        <v>3.3169999999999999E-4</v>
      </c>
      <c r="D600" s="824">
        <v>3.2759999999999999E-4</v>
      </c>
      <c r="E600" s="825">
        <v>136435.87</v>
      </c>
      <c r="F600" s="825">
        <v>147025</v>
      </c>
      <c r="G600" s="825">
        <v>703979</v>
      </c>
      <c r="H600" s="825"/>
      <c r="I600" s="826">
        <v>13227</v>
      </c>
      <c r="J600" s="826">
        <v>616910</v>
      </c>
      <c r="K600" s="826">
        <v>48216</v>
      </c>
      <c r="L600" s="825">
        <v>22779</v>
      </c>
      <c r="M600" s="825"/>
      <c r="N600" s="826">
        <v>24668</v>
      </c>
      <c r="O600" s="826">
        <v>227698</v>
      </c>
      <c r="P600" s="826">
        <v>0</v>
      </c>
      <c r="Q600" s="825">
        <v>0</v>
      </c>
      <c r="R600" s="825"/>
      <c r="S600" s="826">
        <v>188163</v>
      </c>
      <c r="T600" s="827">
        <v>10018</v>
      </c>
      <c r="U600" s="827">
        <v>198181</v>
      </c>
    </row>
    <row r="601" spans="1:21" x14ac:dyDescent="0.25">
      <c r="A601" s="822">
        <v>96601</v>
      </c>
      <c r="B601" s="823" t="s">
        <v>3164</v>
      </c>
      <c r="C601" s="824">
        <v>1.8416000000000001E-3</v>
      </c>
      <c r="D601" s="824">
        <v>1.8462999999999999E-3</v>
      </c>
      <c r="E601" s="825">
        <v>769874.79</v>
      </c>
      <c r="F601" s="825">
        <v>828608</v>
      </c>
      <c r="G601" s="825">
        <v>3908492</v>
      </c>
      <c r="H601" s="825"/>
      <c r="I601" s="826">
        <v>73433.8</v>
      </c>
      <c r="J601" s="826">
        <v>3425085</v>
      </c>
      <c r="K601" s="826">
        <v>267697</v>
      </c>
      <c r="L601" s="825">
        <v>58499</v>
      </c>
      <c r="M601" s="825"/>
      <c r="N601" s="826">
        <v>136958</v>
      </c>
      <c r="O601" s="826">
        <v>1264181</v>
      </c>
      <c r="P601" s="826">
        <v>0</v>
      </c>
      <c r="Q601" s="825">
        <v>6413</v>
      </c>
      <c r="R601" s="825"/>
      <c r="S601" s="826">
        <v>1044683</v>
      </c>
      <c r="T601" s="827">
        <v>25319</v>
      </c>
      <c r="U601" s="827">
        <v>1070002</v>
      </c>
    </row>
    <row r="602" spans="1:21" x14ac:dyDescent="0.25">
      <c r="A602" s="822">
        <v>96604</v>
      </c>
      <c r="B602" s="823" t="s">
        <v>3165</v>
      </c>
      <c r="C602" s="824">
        <v>7.9000000000000006E-6</v>
      </c>
      <c r="D602" s="824">
        <v>7.9000000000000006E-6</v>
      </c>
      <c r="E602" s="825">
        <v>4375</v>
      </c>
      <c r="F602" s="825">
        <v>3545</v>
      </c>
      <c r="G602" s="825">
        <v>16766</v>
      </c>
      <c r="H602" s="825"/>
      <c r="I602" s="826">
        <v>315</v>
      </c>
      <c r="J602" s="826">
        <v>14693</v>
      </c>
      <c r="K602" s="826">
        <v>1148</v>
      </c>
      <c r="L602" s="825">
        <v>1595</v>
      </c>
      <c r="M602" s="825"/>
      <c r="N602" s="826">
        <v>588</v>
      </c>
      <c r="O602" s="826">
        <v>5423</v>
      </c>
      <c r="P602" s="826">
        <v>0</v>
      </c>
      <c r="Q602" s="825">
        <v>108</v>
      </c>
      <c r="R602" s="825"/>
      <c r="S602" s="826">
        <v>4481</v>
      </c>
      <c r="T602" s="827">
        <v>545</v>
      </c>
      <c r="U602" s="827">
        <v>5027</v>
      </c>
    </row>
    <row r="603" spans="1:21" x14ac:dyDescent="0.25">
      <c r="A603" s="822">
        <v>96611</v>
      </c>
      <c r="B603" s="823" t="s">
        <v>3166</v>
      </c>
      <c r="C603" s="824">
        <v>3.29E-5</v>
      </c>
      <c r="D603" s="824">
        <v>2.9499999999999999E-5</v>
      </c>
      <c r="E603" s="825">
        <v>11899.8</v>
      </c>
      <c r="F603" s="825">
        <v>13239</v>
      </c>
      <c r="G603" s="825">
        <v>69825</v>
      </c>
      <c r="H603" s="825"/>
      <c r="I603" s="826">
        <v>1312</v>
      </c>
      <c r="J603" s="826">
        <v>61189</v>
      </c>
      <c r="K603" s="826">
        <v>4782</v>
      </c>
      <c r="L603" s="825">
        <v>2869</v>
      </c>
      <c r="M603" s="825"/>
      <c r="N603" s="826">
        <v>2447</v>
      </c>
      <c r="O603" s="826">
        <v>22584</v>
      </c>
      <c r="P603" s="826">
        <v>0</v>
      </c>
      <c r="Q603" s="825">
        <v>649</v>
      </c>
      <c r="R603" s="825"/>
      <c r="S603" s="826">
        <v>18663</v>
      </c>
      <c r="T603" s="827">
        <v>1079</v>
      </c>
      <c r="U603" s="827">
        <v>19742</v>
      </c>
    </row>
    <row r="604" spans="1:21" x14ac:dyDescent="0.25">
      <c r="A604" s="822">
        <v>96612</v>
      </c>
      <c r="B604" s="823" t="s">
        <v>3167</v>
      </c>
      <c r="C604" s="824">
        <v>6.3899999999999995E-5</v>
      </c>
      <c r="D604" s="824">
        <v>6.4399999999999993E-5</v>
      </c>
      <c r="E604" s="825">
        <v>30974</v>
      </c>
      <c r="F604" s="825">
        <v>28902</v>
      </c>
      <c r="G604" s="825">
        <v>135617</v>
      </c>
      <c r="H604" s="825"/>
      <c r="I604" s="826">
        <v>2548</v>
      </c>
      <c r="J604" s="826">
        <v>118844</v>
      </c>
      <c r="K604" s="826">
        <v>9289</v>
      </c>
      <c r="L604" s="825">
        <v>7363</v>
      </c>
      <c r="M604" s="825"/>
      <c r="N604" s="826">
        <v>4752</v>
      </c>
      <c r="O604" s="826">
        <v>43865</v>
      </c>
      <c r="P604" s="826">
        <v>0</v>
      </c>
      <c r="Q604" s="825">
        <v>1323</v>
      </c>
      <c r="R604" s="825"/>
      <c r="S604" s="826">
        <v>36248</v>
      </c>
      <c r="T604" s="827">
        <v>1615</v>
      </c>
      <c r="U604" s="827">
        <v>37864</v>
      </c>
    </row>
    <row r="605" spans="1:21" x14ac:dyDescent="0.25">
      <c r="A605" s="822">
        <v>96621</v>
      </c>
      <c r="B605" s="823" t="s">
        <v>3168</v>
      </c>
      <c r="C605" s="824">
        <v>2.65E-5</v>
      </c>
      <c r="D605" s="824">
        <v>3.6600000000000002E-5</v>
      </c>
      <c r="E605" s="825">
        <v>12593.01</v>
      </c>
      <c r="F605" s="825">
        <v>16426</v>
      </c>
      <c r="G605" s="825">
        <v>56242</v>
      </c>
      <c r="H605" s="825"/>
      <c r="I605" s="826">
        <v>1056.6875</v>
      </c>
      <c r="J605" s="826">
        <v>49286</v>
      </c>
      <c r="K605" s="826">
        <v>3852</v>
      </c>
      <c r="L605" s="825">
        <v>1133</v>
      </c>
      <c r="M605" s="825"/>
      <c r="N605" s="826">
        <v>1971</v>
      </c>
      <c r="O605" s="826">
        <v>18191</v>
      </c>
      <c r="P605" s="826">
        <v>0</v>
      </c>
      <c r="Q605" s="825">
        <v>7687</v>
      </c>
      <c r="R605" s="825"/>
      <c r="S605" s="826">
        <v>15033</v>
      </c>
      <c r="T605" s="827">
        <v>-2457</v>
      </c>
      <c r="U605" s="827">
        <v>12576</v>
      </c>
    </row>
    <row r="606" spans="1:21" x14ac:dyDescent="0.25">
      <c r="A606" s="822">
        <v>96631</v>
      </c>
      <c r="B606" s="823" t="s">
        <v>3169</v>
      </c>
      <c r="C606" s="824">
        <v>2.5899999999999999E-5</v>
      </c>
      <c r="D606" s="824">
        <v>2.5599999999999999E-5</v>
      </c>
      <c r="E606" s="825">
        <v>10253</v>
      </c>
      <c r="F606" s="825">
        <v>11489</v>
      </c>
      <c r="G606" s="825">
        <v>54968</v>
      </c>
      <c r="H606" s="825"/>
      <c r="I606" s="826">
        <v>1032.7625</v>
      </c>
      <c r="J606" s="826">
        <v>48170</v>
      </c>
      <c r="K606" s="826">
        <v>3765</v>
      </c>
      <c r="L606" s="825">
        <v>5664</v>
      </c>
      <c r="M606" s="825"/>
      <c r="N606" s="826">
        <v>1926</v>
      </c>
      <c r="O606" s="826">
        <v>17779</v>
      </c>
      <c r="P606" s="826">
        <v>0</v>
      </c>
      <c r="Q606" s="825">
        <v>154</v>
      </c>
      <c r="R606" s="825"/>
      <c r="S606" s="826">
        <v>14692</v>
      </c>
      <c r="T606" s="827">
        <v>2250</v>
      </c>
      <c r="U606" s="827">
        <v>16942</v>
      </c>
    </row>
    <row r="607" spans="1:21" x14ac:dyDescent="0.25">
      <c r="A607" s="822">
        <v>96641</v>
      </c>
      <c r="B607" s="823" t="s">
        <v>3170</v>
      </c>
      <c r="C607" s="824">
        <v>2.6999999999999999E-5</v>
      </c>
      <c r="D607" s="824">
        <v>2.7100000000000001E-5</v>
      </c>
      <c r="E607" s="825">
        <v>17201.89</v>
      </c>
      <c r="F607" s="825">
        <v>12162</v>
      </c>
      <c r="G607" s="825">
        <v>57303</v>
      </c>
      <c r="H607" s="825"/>
      <c r="I607" s="826">
        <v>1076.625</v>
      </c>
      <c r="J607" s="826">
        <v>50216</v>
      </c>
      <c r="K607" s="826">
        <v>3925</v>
      </c>
      <c r="L607" s="825">
        <v>10873</v>
      </c>
      <c r="M607" s="825"/>
      <c r="N607" s="826">
        <v>2008</v>
      </c>
      <c r="O607" s="826">
        <v>18534</v>
      </c>
      <c r="P607" s="826">
        <v>0</v>
      </c>
      <c r="Q607" s="825">
        <v>0</v>
      </c>
      <c r="R607" s="825"/>
      <c r="S607" s="826">
        <v>15316</v>
      </c>
      <c r="T607" s="827">
        <v>3846</v>
      </c>
      <c r="U607" s="827">
        <v>19162</v>
      </c>
    </row>
    <row r="608" spans="1:21" x14ac:dyDescent="0.25">
      <c r="A608" s="822">
        <v>96651</v>
      </c>
      <c r="B608" s="823" t="s">
        <v>3171</v>
      </c>
      <c r="C608" s="824">
        <v>1.9400000000000001E-5</v>
      </c>
      <c r="D608" s="824">
        <v>1.9300000000000002E-5</v>
      </c>
      <c r="E608" s="825">
        <v>8893</v>
      </c>
      <c r="F608" s="825">
        <v>8662</v>
      </c>
      <c r="G608" s="825">
        <v>41173</v>
      </c>
      <c r="H608" s="825"/>
      <c r="I608" s="826">
        <v>773.57500000000005</v>
      </c>
      <c r="J608" s="826">
        <v>36081</v>
      </c>
      <c r="K608" s="826">
        <v>2820</v>
      </c>
      <c r="L608" s="825">
        <v>781</v>
      </c>
      <c r="M608" s="825"/>
      <c r="N608" s="826">
        <v>1443</v>
      </c>
      <c r="O608" s="826">
        <v>13317</v>
      </c>
      <c r="P608" s="826">
        <v>0</v>
      </c>
      <c r="Q608" s="825">
        <v>2222</v>
      </c>
      <c r="R608" s="825"/>
      <c r="S608" s="826">
        <v>11005</v>
      </c>
      <c r="T608" s="827">
        <v>-715</v>
      </c>
      <c r="U608" s="827">
        <v>10290</v>
      </c>
    </row>
    <row r="609" spans="1:21" x14ac:dyDescent="0.25">
      <c r="A609" s="822">
        <v>96661</v>
      </c>
      <c r="B609" s="823" t="s">
        <v>3172</v>
      </c>
      <c r="C609" s="824">
        <v>1.9000000000000001E-5</v>
      </c>
      <c r="D609" s="824">
        <v>1.7200000000000001E-5</v>
      </c>
      <c r="E609" s="825">
        <v>9291.01</v>
      </c>
      <c r="F609" s="825">
        <v>7719</v>
      </c>
      <c r="G609" s="825">
        <v>40324</v>
      </c>
      <c r="H609" s="825"/>
      <c r="I609" s="826">
        <v>757.625</v>
      </c>
      <c r="J609" s="826">
        <v>35337</v>
      </c>
      <c r="K609" s="826">
        <v>2762</v>
      </c>
      <c r="L609" s="825">
        <v>6032</v>
      </c>
      <c r="M609" s="825"/>
      <c r="N609" s="826">
        <v>1413</v>
      </c>
      <c r="O609" s="826">
        <v>13043</v>
      </c>
      <c r="P609" s="826">
        <v>0</v>
      </c>
      <c r="Q609" s="825">
        <v>0</v>
      </c>
      <c r="R609" s="825"/>
      <c r="S609" s="826">
        <v>10778</v>
      </c>
      <c r="T609" s="827">
        <v>2137</v>
      </c>
      <c r="U609" s="827">
        <v>12915</v>
      </c>
    </row>
    <row r="610" spans="1:21" x14ac:dyDescent="0.25">
      <c r="A610" s="822">
        <v>96671</v>
      </c>
      <c r="B610" s="823" t="s">
        <v>3173</v>
      </c>
      <c r="C610" s="824">
        <v>1.5500000000000001E-5</v>
      </c>
      <c r="D610" s="824">
        <v>1.56E-5</v>
      </c>
      <c r="E610" s="825">
        <v>11958</v>
      </c>
      <c r="F610" s="825">
        <v>7001</v>
      </c>
      <c r="G610" s="825">
        <v>32896</v>
      </c>
      <c r="H610" s="825"/>
      <c r="I610" s="826">
        <v>618.0625</v>
      </c>
      <c r="J610" s="826">
        <v>28828</v>
      </c>
      <c r="K610" s="826">
        <v>2253</v>
      </c>
      <c r="L610" s="825">
        <v>11385</v>
      </c>
      <c r="M610" s="825"/>
      <c r="N610" s="826">
        <v>1153</v>
      </c>
      <c r="O610" s="826">
        <v>10640</v>
      </c>
      <c r="P610" s="826">
        <v>0</v>
      </c>
      <c r="Q610" s="825">
        <v>418</v>
      </c>
      <c r="R610" s="825"/>
      <c r="S610" s="826">
        <v>8793</v>
      </c>
      <c r="T610" s="827">
        <v>3409</v>
      </c>
      <c r="U610" s="827">
        <v>12201</v>
      </c>
    </row>
    <row r="611" spans="1:21" x14ac:dyDescent="0.25">
      <c r="A611" s="822">
        <v>96681</v>
      </c>
      <c r="B611" s="823" t="s">
        <v>3174</v>
      </c>
      <c r="C611" s="824">
        <v>3.4799999999999999E-5</v>
      </c>
      <c r="D611" s="824">
        <v>3.4700000000000003E-5</v>
      </c>
      <c r="E611" s="825">
        <v>22896</v>
      </c>
      <c r="F611" s="825">
        <v>15573</v>
      </c>
      <c r="G611" s="825">
        <v>73857</v>
      </c>
      <c r="H611" s="825"/>
      <c r="I611" s="826">
        <v>1388</v>
      </c>
      <c r="J611" s="826">
        <v>64723</v>
      </c>
      <c r="K611" s="826">
        <v>5059</v>
      </c>
      <c r="L611" s="825">
        <v>18633</v>
      </c>
      <c r="M611" s="825"/>
      <c r="N611" s="826">
        <v>2588</v>
      </c>
      <c r="O611" s="826">
        <v>23889</v>
      </c>
      <c r="P611" s="826">
        <v>0</v>
      </c>
      <c r="Q611" s="825">
        <v>1494</v>
      </c>
      <c r="R611" s="825"/>
      <c r="S611" s="826">
        <v>19741</v>
      </c>
      <c r="T611" s="827">
        <v>5200</v>
      </c>
      <c r="U611" s="827">
        <v>24941</v>
      </c>
    </row>
    <row r="612" spans="1:21" x14ac:dyDescent="0.25">
      <c r="A612" s="822">
        <v>96701</v>
      </c>
      <c r="B612" s="823" t="s">
        <v>3175</v>
      </c>
      <c r="C612" s="824">
        <v>7.7850000000000003E-3</v>
      </c>
      <c r="D612" s="824">
        <v>7.7803999999999998E-3</v>
      </c>
      <c r="E612" s="825">
        <v>3136203</v>
      </c>
      <c r="F612" s="825">
        <v>3491797</v>
      </c>
      <c r="G612" s="825">
        <v>16522378</v>
      </c>
      <c r="H612" s="825"/>
      <c r="I612" s="826">
        <v>310427</v>
      </c>
      <c r="J612" s="826">
        <v>14478870</v>
      </c>
      <c r="K612" s="826">
        <v>1131635</v>
      </c>
      <c r="L612" s="825">
        <v>289202</v>
      </c>
      <c r="M612" s="825"/>
      <c r="N612" s="826">
        <v>578963</v>
      </c>
      <c r="O612" s="826">
        <v>5344075.53</v>
      </c>
      <c r="P612" s="826">
        <v>0</v>
      </c>
      <c r="Q612" s="825">
        <v>79279</v>
      </c>
      <c r="R612" s="825"/>
      <c r="S612" s="826">
        <v>4416189</v>
      </c>
      <c r="T612" s="827">
        <v>74739</v>
      </c>
      <c r="U612" s="827">
        <v>4490928</v>
      </c>
    </row>
    <row r="613" spans="1:21" x14ac:dyDescent="0.25">
      <c r="A613" s="822">
        <v>96704</v>
      </c>
      <c r="B613" s="823" t="s">
        <v>3176</v>
      </c>
      <c r="C613" s="824">
        <v>1.5330000000000001E-4</v>
      </c>
      <c r="D613" s="824">
        <v>1.5919999999999999E-4</v>
      </c>
      <c r="E613" s="825">
        <v>71376</v>
      </c>
      <c r="F613" s="825">
        <v>71448</v>
      </c>
      <c r="G613" s="825">
        <v>325354</v>
      </c>
      <c r="H613" s="825"/>
      <c r="I613" s="826">
        <v>6113</v>
      </c>
      <c r="J613" s="826">
        <v>285114</v>
      </c>
      <c r="K613" s="826">
        <v>22284</v>
      </c>
      <c r="L613" s="825">
        <v>9181</v>
      </c>
      <c r="M613" s="825"/>
      <c r="N613" s="826">
        <v>11401</v>
      </c>
      <c r="O613" s="826">
        <v>105234</v>
      </c>
      <c r="P613" s="826">
        <v>0</v>
      </c>
      <c r="Q613" s="825">
        <v>0</v>
      </c>
      <c r="R613" s="825"/>
      <c r="S613" s="826">
        <v>86962</v>
      </c>
      <c r="T613" s="827">
        <v>3774</v>
      </c>
      <c r="U613" s="827">
        <v>90736</v>
      </c>
    </row>
    <row r="614" spans="1:21" x14ac:dyDescent="0.25">
      <c r="A614" s="822">
        <v>96708</v>
      </c>
      <c r="B614" s="823" t="s">
        <v>3177</v>
      </c>
      <c r="C614" s="824">
        <v>8.4590000000000002E-4</v>
      </c>
      <c r="D614" s="824">
        <v>9.8109999999999994E-4</v>
      </c>
      <c r="E614" s="825">
        <v>406277.09</v>
      </c>
      <c r="F614" s="825">
        <v>440312</v>
      </c>
      <c r="G614" s="825">
        <v>1795283</v>
      </c>
      <c r="H614" s="825"/>
      <c r="I614" s="826">
        <v>33730</v>
      </c>
      <c r="J614" s="826">
        <v>1573240</v>
      </c>
      <c r="K614" s="826">
        <v>122961</v>
      </c>
      <c r="L614" s="825">
        <v>54938</v>
      </c>
      <c r="M614" s="825"/>
      <c r="N614" s="826">
        <v>62909</v>
      </c>
      <c r="O614" s="826">
        <v>580675</v>
      </c>
      <c r="P614" s="826">
        <v>0</v>
      </c>
      <c r="Q614" s="825">
        <v>26851</v>
      </c>
      <c r="R614" s="825"/>
      <c r="S614" s="826">
        <v>479853</v>
      </c>
      <c r="T614" s="827">
        <v>14104</v>
      </c>
      <c r="U614" s="827">
        <v>493957</v>
      </c>
    </row>
    <row r="615" spans="1:21" x14ac:dyDescent="0.25">
      <c r="A615" s="822">
        <v>96711</v>
      </c>
      <c r="B615" s="823" t="s">
        <v>3178</v>
      </c>
      <c r="C615" s="824">
        <v>4.4140000000000004E-3</v>
      </c>
      <c r="D615" s="824">
        <v>4.2459999999999998E-3</v>
      </c>
      <c r="E615" s="825">
        <v>1606505</v>
      </c>
      <c r="F615" s="825">
        <v>1905579</v>
      </c>
      <c r="G615" s="825">
        <v>9367987</v>
      </c>
      <c r="H615" s="825"/>
      <c r="I615" s="826">
        <v>176008</v>
      </c>
      <c r="J615" s="826">
        <v>8209343</v>
      </c>
      <c r="K615" s="826">
        <v>641623</v>
      </c>
      <c r="L615" s="825">
        <v>20750</v>
      </c>
      <c r="M615" s="825"/>
      <c r="N615" s="826">
        <v>328265</v>
      </c>
      <c r="O615" s="826">
        <v>3030026</v>
      </c>
      <c r="P615" s="826">
        <v>0</v>
      </c>
      <c r="Q615" s="825">
        <v>348266</v>
      </c>
      <c r="R615" s="825"/>
      <c r="S615" s="826">
        <v>2503925</v>
      </c>
      <c r="T615" s="827">
        <v>-105928</v>
      </c>
      <c r="U615" s="827">
        <v>2397997</v>
      </c>
    </row>
    <row r="616" spans="1:21" x14ac:dyDescent="0.25">
      <c r="A616" s="822">
        <v>96721</v>
      </c>
      <c r="B616" s="823" t="s">
        <v>3179</v>
      </c>
      <c r="C616" s="824">
        <v>1.9780000000000001E-4</v>
      </c>
      <c r="D616" s="824">
        <v>2.5119999999999998E-4</v>
      </c>
      <c r="E616" s="825">
        <v>74367</v>
      </c>
      <c r="F616" s="825">
        <v>112737</v>
      </c>
      <c r="G616" s="825">
        <v>419798</v>
      </c>
      <c r="H616" s="825"/>
      <c r="I616" s="826">
        <v>7887</v>
      </c>
      <c r="J616" s="826">
        <v>367877</v>
      </c>
      <c r="K616" s="826">
        <v>28752</v>
      </c>
      <c r="L616" s="825">
        <v>10855</v>
      </c>
      <c r="M616" s="825"/>
      <c r="N616" s="826">
        <v>14710</v>
      </c>
      <c r="O616" s="826">
        <v>135781</v>
      </c>
      <c r="P616" s="826">
        <v>0</v>
      </c>
      <c r="Q616" s="825">
        <v>34469</v>
      </c>
      <c r="R616" s="825"/>
      <c r="S616" s="826">
        <v>112206</v>
      </c>
      <c r="T616" s="827">
        <v>-3553</v>
      </c>
      <c r="U616" s="827">
        <v>108653</v>
      </c>
    </row>
    <row r="617" spans="1:21" x14ac:dyDescent="0.25">
      <c r="A617" s="822">
        <v>96731</v>
      </c>
      <c r="B617" s="823" t="s">
        <v>3180</v>
      </c>
      <c r="C617" s="824">
        <v>1.5090000000000001E-4</v>
      </c>
      <c r="D617" s="824">
        <v>1.3420000000000001E-4</v>
      </c>
      <c r="E617" s="825">
        <v>65647</v>
      </c>
      <c r="F617" s="825">
        <v>60228</v>
      </c>
      <c r="G617" s="825">
        <v>320260</v>
      </c>
      <c r="H617" s="825"/>
      <c r="I617" s="826">
        <v>6017</v>
      </c>
      <c r="J617" s="826">
        <v>280650</v>
      </c>
      <c r="K617" s="826">
        <v>21935</v>
      </c>
      <c r="L617" s="825">
        <v>18052</v>
      </c>
      <c r="M617" s="825"/>
      <c r="N617" s="826">
        <v>11222</v>
      </c>
      <c r="O617" s="826">
        <v>103587</v>
      </c>
      <c r="P617" s="826">
        <v>0</v>
      </c>
      <c r="Q617" s="825">
        <v>12</v>
      </c>
      <c r="R617" s="825"/>
      <c r="S617" s="826">
        <v>85601</v>
      </c>
      <c r="T617" s="827">
        <v>5259</v>
      </c>
      <c r="U617" s="827">
        <v>90859</v>
      </c>
    </row>
    <row r="618" spans="1:21" x14ac:dyDescent="0.25">
      <c r="A618" s="822">
        <v>96733</v>
      </c>
      <c r="B618" s="823" t="s">
        <v>3181</v>
      </c>
      <c r="C618" s="824">
        <v>9.2E-6</v>
      </c>
      <c r="D618" s="824">
        <v>4.1999999999999996E-6</v>
      </c>
      <c r="E618" s="825">
        <v>5389.79</v>
      </c>
      <c r="F618" s="825">
        <v>1885</v>
      </c>
      <c r="G618" s="825">
        <v>19525</v>
      </c>
      <c r="H618" s="825"/>
      <c r="I618" s="826">
        <v>366.85</v>
      </c>
      <c r="J618" s="826">
        <v>17111</v>
      </c>
      <c r="K618" s="826">
        <v>1337</v>
      </c>
      <c r="L618" s="825">
        <v>6066</v>
      </c>
      <c r="M618" s="825"/>
      <c r="N618" s="826">
        <v>684</v>
      </c>
      <c r="O618" s="826">
        <v>6315</v>
      </c>
      <c r="P618" s="826">
        <v>0</v>
      </c>
      <c r="Q618" s="825">
        <v>1048</v>
      </c>
      <c r="R618" s="825"/>
      <c r="S618" s="826">
        <v>5219</v>
      </c>
      <c r="T618" s="827">
        <v>1707</v>
      </c>
      <c r="U618" s="827">
        <v>6925</v>
      </c>
    </row>
    <row r="619" spans="1:21" x14ac:dyDescent="0.25">
      <c r="A619" s="822">
        <v>96741</v>
      </c>
      <c r="B619" s="823" t="s">
        <v>3182</v>
      </c>
      <c r="C619" s="824">
        <v>9.2399999999999996E-5</v>
      </c>
      <c r="D619" s="824">
        <v>9.2899999999999995E-5</v>
      </c>
      <c r="E619" s="825">
        <v>36390</v>
      </c>
      <c r="F619" s="825">
        <v>41693</v>
      </c>
      <c r="G619" s="825">
        <v>196104</v>
      </c>
      <c r="H619" s="825"/>
      <c r="I619" s="826">
        <v>3684.45</v>
      </c>
      <c r="J619" s="826">
        <v>171849</v>
      </c>
      <c r="K619" s="826">
        <v>13431</v>
      </c>
      <c r="L619" s="825">
        <v>7135</v>
      </c>
      <c r="M619" s="825"/>
      <c r="N619" s="826">
        <v>6872</v>
      </c>
      <c r="O619" s="826">
        <v>63429</v>
      </c>
      <c r="P619" s="826">
        <v>0</v>
      </c>
      <c r="Q619" s="825">
        <v>1549</v>
      </c>
      <c r="R619" s="825"/>
      <c r="S619" s="826">
        <v>52416</v>
      </c>
      <c r="T619" s="827">
        <v>2530</v>
      </c>
      <c r="U619" s="827">
        <v>54946</v>
      </c>
    </row>
    <row r="620" spans="1:21" x14ac:dyDescent="0.25">
      <c r="A620" s="822">
        <v>96751</v>
      </c>
      <c r="B620" s="823" t="s">
        <v>3183</v>
      </c>
      <c r="C620" s="824">
        <v>2.6120000000000001E-4</v>
      </c>
      <c r="D620" s="824">
        <v>3.0909999999999998E-4</v>
      </c>
      <c r="E620" s="825">
        <v>103641</v>
      </c>
      <c r="F620" s="825">
        <v>138722</v>
      </c>
      <c r="G620" s="825">
        <v>554354</v>
      </c>
      <c r="H620" s="825"/>
      <c r="I620" s="826">
        <v>10415.35</v>
      </c>
      <c r="J620" s="826">
        <v>485791</v>
      </c>
      <c r="K620" s="826">
        <v>37968</v>
      </c>
      <c r="L620" s="825">
        <v>21728.81</v>
      </c>
      <c r="M620" s="825"/>
      <c r="N620" s="826">
        <v>19425</v>
      </c>
      <c r="O620" s="826">
        <v>179303</v>
      </c>
      <c r="P620" s="826">
        <v>0</v>
      </c>
      <c r="Q620" s="825">
        <v>37607</v>
      </c>
      <c r="R620" s="825"/>
      <c r="S620" s="826">
        <v>148171</v>
      </c>
      <c r="T620" s="827">
        <v>349</v>
      </c>
      <c r="U620" s="827">
        <v>148519</v>
      </c>
    </row>
    <row r="621" spans="1:21" x14ac:dyDescent="0.25">
      <c r="A621" s="822">
        <v>96801</v>
      </c>
      <c r="B621" s="823" t="s">
        <v>3184</v>
      </c>
      <c r="C621" s="824">
        <v>7.8463999999999999E-3</v>
      </c>
      <c r="D621" s="824">
        <v>7.0825000000000003E-3</v>
      </c>
      <c r="E621" s="825">
        <v>3035869.73</v>
      </c>
      <c r="F621" s="825">
        <v>3178584</v>
      </c>
      <c r="G621" s="825">
        <v>16652689</v>
      </c>
      <c r="H621" s="825"/>
      <c r="I621" s="826">
        <v>312875.2</v>
      </c>
      <c r="J621" s="826">
        <v>14593064</v>
      </c>
      <c r="K621" s="826">
        <v>1140561</v>
      </c>
      <c r="L621" s="825">
        <v>642631</v>
      </c>
      <c r="M621" s="825"/>
      <c r="N621" s="826">
        <v>583529</v>
      </c>
      <c r="O621" s="826">
        <v>5386224</v>
      </c>
      <c r="P621" s="826">
        <v>0</v>
      </c>
      <c r="Q621" s="825">
        <v>0</v>
      </c>
      <c r="R621" s="825"/>
      <c r="S621" s="826">
        <v>4451019</v>
      </c>
      <c r="T621" s="827">
        <v>235775</v>
      </c>
      <c r="U621" s="827">
        <v>4686794</v>
      </c>
    </row>
    <row r="622" spans="1:21" x14ac:dyDescent="0.25">
      <c r="A622" s="822">
        <v>96804</v>
      </c>
      <c r="B622" s="823" t="s">
        <v>3185</v>
      </c>
      <c r="C622" s="824">
        <v>2.4230000000000001E-4</v>
      </c>
      <c r="D622" s="824">
        <v>2.275E-4</v>
      </c>
      <c r="E622" s="825">
        <v>89702</v>
      </c>
      <c r="F622" s="825">
        <v>102101</v>
      </c>
      <c r="G622" s="825">
        <v>514242</v>
      </c>
      <c r="H622" s="825"/>
      <c r="I622" s="826">
        <v>9662</v>
      </c>
      <c r="J622" s="826">
        <v>450640</v>
      </c>
      <c r="K622" s="826">
        <v>35221</v>
      </c>
      <c r="L622" s="825">
        <v>4453</v>
      </c>
      <c r="M622" s="825"/>
      <c r="N622" s="826">
        <v>18020</v>
      </c>
      <c r="O622" s="826">
        <v>166329</v>
      </c>
      <c r="P622" s="826">
        <v>0</v>
      </c>
      <c r="Q622" s="825">
        <v>3167</v>
      </c>
      <c r="R622" s="825"/>
      <c r="S622" s="826">
        <v>137449</v>
      </c>
      <c r="T622" s="827">
        <v>1085</v>
      </c>
      <c r="U622" s="827">
        <v>138535</v>
      </c>
    </row>
    <row r="623" spans="1:21" x14ac:dyDescent="0.25">
      <c r="A623" s="822">
        <v>96808</v>
      </c>
      <c r="B623" s="823" t="s">
        <v>3186</v>
      </c>
      <c r="C623" s="824">
        <v>1.2882E-3</v>
      </c>
      <c r="D623" s="824">
        <v>1.1995E-3</v>
      </c>
      <c r="E623" s="825">
        <v>505072.35</v>
      </c>
      <c r="F623" s="825">
        <v>538328</v>
      </c>
      <c r="G623" s="825">
        <v>2733992</v>
      </c>
      <c r="H623" s="825"/>
      <c r="I623" s="826">
        <v>51367</v>
      </c>
      <c r="J623" s="826">
        <v>2395848</v>
      </c>
      <c r="K623" s="826">
        <v>187254</v>
      </c>
      <c r="L623" s="825">
        <v>67087</v>
      </c>
      <c r="M623" s="825"/>
      <c r="N623" s="826">
        <v>95802</v>
      </c>
      <c r="O623" s="826">
        <v>884295</v>
      </c>
      <c r="P623" s="826">
        <v>0</v>
      </c>
      <c r="Q623" s="825">
        <v>0</v>
      </c>
      <c r="R623" s="825"/>
      <c r="S623" s="826">
        <v>730756</v>
      </c>
      <c r="T623" s="827">
        <v>24558</v>
      </c>
      <c r="U623" s="827">
        <v>755313</v>
      </c>
    </row>
    <row r="624" spans="1:21" x14ac:dyDescent="0.25">
      <c r="A624" s="822">
        <v>96811</v>
      </c>
      <c r="B624" s="823" t="s">
        <v>3187</v>
      </c>
      <c r="C624" s="824">
        <v>5.9861999999999997E-3</v>
      </c>
      <c r="D624" s="824">
        <v>6.0393000000000001E-3</v>
      </c>
      <c r="E624" s="825">
        <v>2443568.73</v>
      </c>
      <c r="F624" s="825">
        <v>2710402</v>
      </c>
      <c r="G624" s="825">
        <v>12704722</v>
      </c>
      <c r="H624" s="825"/>
      <c r="I624" s="826">
        <v>238700</v>
      </c>
      <c r="J624" s="826">
        <v>11133386</v>
      </c>
      <c r="K624" s="826">
        <v>870160</v>
      </c>
      <c r="L624" s="825">
        <v>0</v>
      </c>
      <c r="M624" s="825"/>
      <c r="N624" s="826">
        <v>445188</v>
      </c>
      <c r="O624" s="826">
        <v>4109275</v>
      </c>
      <c r="P624" s="826">
        <v>0</v>
      </c>
      <c r="Q624" s="825">
        <v>86222</v>
      </c>
      <c r="R624" s="825"/>
      <c r="S624" s="826">
        <v>3395786</v>
      </c>
      <c r="T624" s="827">
        <v>-32722</v>
      </c>
      <c r="U624" s="827">
        <v>3363064</v>
      </c>
    </row>
    <row r="625" spans="1:21" x14ac:dyDescent="0.25">
      <c r="A625" s="822">
        <v>96821</v>
      </c>
      <c r="B625" s="823" t="s">
        <v>3188</v>
      </c>
      <c r="C625" s="824">
        <v>1.3630999999999999E-3</v>
      </c>
      <c r="D625" s="824">
        <v>1.4808E-3</v>
      </c>
      <c r="E625" s="825">
        <v>518291.4</v>
      </c>
      <c r="F625" s="825">
        <v>664574</v>
      </c>
      <c r="G625" s="825">
        <v>2892955</v>
      </c>
      <c r="H625" s="825"/>
      <c r="I625" s="826">
        <v>54354</v>
      </c>
      <c r="J625" s="826">
        <v>2535151</v>
      </c>
      <c r="K625" s="826">
        <v>198142</v>
      </c>
      <c r="L625" s="825">
        <v>0</v>
      </c>
      <c r="M625" s="825"/>
      <c r="N625" s="826">
        <v>101372</v>
      </c>
      <c r="O625" s="826">
        <v>935711</v>
      </c>
      <c r="P625" s="826">
        <v>0</v>
      </c>
      <c r="Q625" s="825">
        <v>153131</v>
      </c>
      <c r="R625" s="825"/>
      <c r="S625" s="826">
        <v>773244</v>
      </c>
      <c r="T625" s="827">
        <v>-47603</v>
      </c>
      <c r="U625" s="827">
        <v>725641</v>
      </c>
    </row>
    <row r="626" spans="1:21" x14ac:dyDescent="0.25">
      <c r="A626" s="822">
        <v>96831</v>
      </c>
      <c r="B626" s="823" t="s">
        <v>3189</v>
      </c>
      <c r="C626" s="824">
        <v>9.2400000000000002E-4</v>
      </c>
      <c r="D626" s="824">
        <v>8.3830000000000005E-4</v>
      </c>
      <c r="E626" s="825">
        <v>353922</v>
      </c>
      <c r="F626" s="825">
        <v>376224</v>
      </c>
      <c r="G626" s="825">
        <v>1961037.54</v>
      </c>
      <c r="H626" s="825"/>
      <c r="I626" s="826">
        <v>36844.5</v>
      </c>
      <c r="J626" s="826">
        <v>1718494</v>
      </c>
      <c r="K626" s="826">
        <v>134314</v>
      </c>
      <c r="L626" s="825">
        <v>56487</v>
      </c>
      <c r="M626" s="825"/>
      <c r="N626" s="826">
        <v>68717</v>
      </c>
      <c r="O626" s="826">
        <v>634287</v>
      </c>
      <c r="P626" s="826">
        <v>0</v>
      </c>
      <c r="Q626" s="825">
        <v>0</v>
      </c>
      <c r="R626" s="825"/>
      <c r="S626" s="826">
        <v>524157</v>
      </c>
      <c r="T626" s="827">
        <v>19257</v>
      </c>
      <c r="U626" s="827">
        <v>543413</v>
      </c>
    </row>
    <row r="627" spans="1:21" x14ac:dyDescent="0.25">
      <c r="A627" s="822">
        <v>96901</v>
      </c>
      <c r="B627" s="823" t="s">
        <v>3190</v>
      </c>
      <c r="C627" s="824">
        <v>8.1610000000000005E-4</v>
      </c>
      <c r="D627" s="824">
        <v>7.6599999999999997E-4</v>
      </c>
      <c r="E627" s="825">
        <v>326581.33</v>
      </c>
      <c r="F627" s="825">
        <v>343776</v>
      </c>
      <c r="G627" s="825">
        <v>1732038</v>
      </c>
      <c r="H627" s="825"/>
      <c r="I627" s="826">
        <v>32542</v>
      </c>
      <c r="J627" s="826">
        <v>1517817</v>
      </c>
      <c r="K627" s="826">
        <v>118629</v>
      </c>
      <c r="L627" s="825">
        <v>46444</v>
      </c>
      <c r="M627" s="825"/>
      <c r="N627" s="826">
        <v>60693</v>
      </c>
      <c r="O627" s="826">
        <v>560218</v>
      </c>
      <c r="P627" s="826">
        <v>0</v>
      </c>
      <c r="Q627" s="825">
        <v>0</v>
      </c>
      <c r="R627" s="825"/>
      <c r="S627" s="826">
        <v>462948</v>
      </c>
      <c r="T627" s="827">
        <v>15281</v>
      </c>
      <c r="U627" s="827">
        <v>478229</v>
      </c>
    </row>
    <row r="628" spans="1:21" x14ac:dyDescent="0.25">
      <c r="A628" s="822">
        <v>96911</v>
      </c>
      <c r="B628" s="823" t="s">
        <v>3191</v>
      </c>
      <c r="C628" s="824">
        <v>3.7000000000000002E-6</v>
      </c>
      <c r="D628" s="824">
        <v>1.15E-5</v>
      </c>
      <c r="E628" s="825">
        <v>2162.39</v>
      </c>
      <c r="F628" s="825">
        <v>5161</v>
      </c>
      <c r="G628" s="825">
        <v>7853</v>
      </c>
      <c r="H628" s="825"/>
      <c r="I628" s="826">
        <v>147.53749999999999</v>
      </c>
      <c r="J628" s="826">
        <v>6881</v>
      </c>
      <c r="K628" s="826">
        <v>538</v>
      </c>
      <c r="L628" s="825">
        <v>3997</v>
      </c>
      <c r="M628" s="825"/>
      <c r="N628" s="826">
        <v>275</v>
      </c>
      <c r="O628" s="826">
        <v>2540</v>
      </c>
      <c r="P628" s="826">
        <v>0</v>
      </c>
      <c r="Q628" s="825">
        <v>3716</v>
      </c>
      <c r="R628" s="825"/>
      <c r="S628" s="826">
        <v>2099</v>
      </c>
      <c r="T628" s="827">
        <v>571</v>
      </c>
      <c r="U628" s="827">
        <v>2669</v>
      </c>
    </row>
    <row r="629" spans="1:21" x14ac:dyDescent="0.25">
      <c r="A629" s="822">
        <v>96912</v>
      </c>
      <c r="B629" s="823" t="s">
        <v>3192</v>
      </c>
      <c r="C629" s="824">
        <v>6.0999999999999999E-5</v>
      </c>
      <c r="D629" s="824">
        <v>5.5899999999999997E-5</v>
      </c>
      <c r="E629" s="825">
        <v>20331.63</v>
      </c>
      <c r="F629" s="825">
        <v>25088</v>
      </c>
      <c r="G629" s="825">
        <v>129462</v>
      </c>
      <c r="H629" s="825"/>
      <c r="I629" s="826">
        <v>2432.375</v>
      </c>
      <c r="J629" s="826">
        <v>113450</v>
      </c>
      <c r="K629" s="826">
        <v>8867</v>
      </c>
      <c r="L629" s="825">
        <v>7641</v>
      </c>
      <c r="M629" s="825"/>
      <c r="N629" s="826">
        <v>4537</v>
      </c>
      <c r="O629" s="826">
        <v>41874</v>
      </c>
      <c r="P629" s="826">
        <v>0</v>
      </c>
      <c r="Q629" s="825">
        <v>1013</v>
      </c>
      <c r="R629" s="825"/>
      <c r="S629" s="826">
        <v>34603</v>
      </c>
      <c r="T629" s="827">
        <v>3054</v>
      </c>
      <c r="U629" s="827">
        <v>37657</v>
      </c>
    </row>
    <row r="630" spans="1:21" x14ac:dyDescent="0.25">
      <c r="A630" s="822">
        <v>96918</v>
      </c>
      <c r="B630" s="823" t="s">
        <v>3193</v>
      </c>
      <c r="C630" s="824">
        <v>4.0500000000000002E-5</v>
      </c>
      <c r="D630" s="824">
        <v>4.5099999999999998E-5</v>
      </c>
      <c r="E630" s="825">
        <v>18289.97</v>
      </c>
      <c r="F630" s="825">
        <v>20241</v>
      </c>
      <c r="G630" s="825">
        <v>85955</v>
      </c>
      <c r="H630" s="825"/>
      <c r="I630" s="826">
        <v>1614.9375</v>
      </c>
      <c r="J630" s="826">
        <v>75324</v>
      </c>
      <c r="K630" s="826">
        <v>5887</v>
      </c>
      <c r="L630" s="825">
        <v>12921</v>
      </c>
      <c r="M630" s="825"/>
      <c r="N630" s="826">
        <v>3012</v>
      </c>
      <c r="O630" s="826">
        <v>27802</v>
      </c>
      <c r="P630" s="826">
        <v>0</v>
      </c>
      <c r="Q630" s="825">
        <v>1194</v>
      </c>
      <c r="R630" s="825"/>
      <c r="S630" s="826">
        <v>22974</v>
      </c>
      <c r="T630" s="827">
        <v>5498</v>
      </c>
      <c r="U630" s="827">
        <v>28472</v>
      </c>
    </row>
    <row r="631" spans="1:21" x14ac:dyDescent="0.25">
      <c r="A631" s="822">
        <v>97001</v>
      </c>
      <c r="B631" s="823" t="s">
        <v>3194</v>
      </c>
      <c r="C631" s="824">
        <v>1.3641E-3</v>
      </c>
      <c r="D631" s="824">
        <v>1.3221999999999999E-3</v>
      </c>
      <c r="E631" s="825">
        <v>636605</v>
      </c>
      <c r="F631" s="825">
        <v>593395</v>
      </c>
      <c r="G631" s="825">
        <v>2895077</v>
      </c>
      <c r="H631" s="825"/>
      <c r="I631" s="826">
        <v>54393</v>
      </c>
      <c r="J631" s="826">
        <v>2537010</v>
      </c>
      <c r="K631" s="826">
        <v>198287</v>
      </c>
      <c r="L631" s="825">
        <v>107093</v>
      </c>
      <c r="M631" s="825"/>
      <c r="N631" s="826">
        <v>101447</v>
      </c>
      <c r="O631" s="826">
        <v>936397</v>
      </c>
      <c r="P631" s="826">
        <v>0</v>
      </c>
      <c r="Q631" s="825">
        <v>23162</v>
      </c>
      <c r="R631" s="825"/>
      <c r="S631" s="826">
        <v>773812</v>
      </c>
      <c r="T631" s="827">
        <v>18430</v>
      </c>
      <c r="U631" s="827">
        <v>792241</v>
      </c>
    </row>
    <row r="632" spans="1:21" x14ac:dyDescent="0.25">
      <c r="A632" s="822">
        <v>97002</v>
      </c>
      <c r="B632" s="823" t="s">
        <v>3195</v>
      </c>
      <c r="C632" s="824">
        <v>4.6589999999999999E-4</v>
      </c>
      <c r="D632" s="824">
        <v>3.9229999999999999E-4</v>
      </c>
      <c r="E632" s="825">
        <v>151526.06</v>
      </c>
      <c r="F632" s="825">
        <v>176062</v>
      </c>
      <c r="G632" s="825">
        <v>988796</v>
      </c>
      <c r="H632" s="825"/>
      <c r="I632" s="826">
        <v>18578</v>
      </c>
      <c r="J632" s="826">
        <v>866500</v>
      </c>
      <c r="K632" s="826">
        <v>67724</v>
      </c>
      <c r="L632" s="825">
        <v>28607</v>
      </c>
      <c r="M632" s="825"/>
      <c r="N632" s="826">
        <v>34649</v>
      </c>
      <c r="O632" s="826">
        <v>319821</v>
      </c>
      <c r="P632" s="826">
        <v>0</v>
      </c>
      <c r="Q632" s="825">
        <v>0</v>
      </c>
      <c r="R632" s="825"/>
      <c r="S632" s="826">
        <v>264291</v>
      </c>
      <c r="T632" s="827">
        <v>11776</v>
      </c>
      <c r="U632" s="827">
        <v>276066</v>
      </c>
    </row>
    <row r="633" spans="1:21" x14ac:dyDescent="0.25">
      <c r="A633" s="822">
        <v>97004</v>
      </c>
      <c r="B633" s="823" t="s">
        <v>3196</v>
      </c>
      <c r="C633" s="824">
        <v>1.0900000000000001E-5</v>
      </c>
      <c r="D633" s="824">
        <v>1.47E-5</v>
      </c>
      <c r="E633" s="825">
        <v>7359.36</v>
      </c>
      <c r="F633" s="825">
        <v>6597</v>
      </c>
      <c r="G633" s="825">
        <v>23133</v>
      </c>
      <c r="H633" s="825"/>
      <c r="I633" s="826">
        <v>435</v>
      </c>
      <c r="J633" s="826">
        <v>20272</v>
      </c>
      <c r="K633" s="826">
        <v>1584</v>
      </c>
      <c r="L633" s="825">
        <v>3251</v>
      </c>
      <c r="M633" s="825"/>
      <c r="N633" s="826">
        <v>811</v>
      </c>
      <c r="O633" s="826">
        <v>7482</v>
      </c>
      <c r="P633" s="826">
        <v>0</v>
      </c>
      <c r="Q633" s="825">
        <v>0</v>
      </c>
      <c r="R633" s="825"/>
      <c r="S633" s="826">
        <v>6183</v>
      </c>
      <c r="T633" s="827">
        <v>1295</v>
      </c>
      <c r="U633" s="827">
        <v>7478</v>
      </c>
    </row>
    <row r="634" spans="1:21" x14ac:dyDescent="0.25">
      <c r="A634" s="822">
        <v>97005</v>
      </c>
      <c r="B634" s="823" t="s">
        <v>3197</v>
      </c>
      <c r="C634" s="824">
        <v>1.42E-5</v>
      </c>
      <c r="D634" s="824">
        <v>2.3799999999999999E-5</v>
      </c>
      <c r="E634" s="825">
        <v>10552.87</v>
      </c>
      <c r="F634" s="825">
        <v>10681</v>
      </c>
      <c r="G634" s="825">
        <v>30137</v>
      </c>
      <c r="H634" s="825"/>
      <c r="I634" s="826">
        <v>566.22500000000002</v>
      </c>
      <c r="J634" s="826">
        <v>26410</v>
      </c>
      <c r="K634" s="826">
        <v>2064</v>
      </c>
      <c r="L634" s="825">
        <v>3091</v>
      </c>
      <c r="M634" s="825"/>
      <c r="N634" s="826">
        <v>1056</v>
      </c>
      <c r="O634" s="826">
        <v>9748</v>
      </c>
      <c r="P634" s="826">
        <v>0</v>
      </c>
      <c r="Q634" s="825">
        <v>2036</v>
      </c>
      <c r="R634" s="825"/>
      <c r="S634" s="826">
        <v>8055</v>
      </c>
      <c r="T634" s="827">
        <v>428</v>
      </c>
      <c r="U634" s="827">
        <v>8483</v>
      </c>
    </row>
    <row r="635" spans="1:21" x14ac:dyDescent="0.25">
      <c r="A635" s="822">
        <v>97008</v>
      </c>
      <c r="B635" s="823" t="s">
        <v>3198</v>
      </c>
      <c r="C635" s="824">
        <v>2.7530000000000002E-4</v>
      </c>
      <c r="D635" s="824">
        <v>2.6959999999999999E-4</v>
      </c>
      <c r="E635" s="825">
        <v>107270.37</v>
      </c>
      <c r="F635" s="825">
        <v>120995</v>
      </c>
      <c r="G635" s="825">
        <v>584279</v>
      </c>
      <c r="H635" s="825"/>
      <c r="I635" s="826">
        <v>10978</v>
      </c>
      <c r="J635" s="826">
        <v>512015</v>
      </c>
      <c r="K635" s="826">
        <v>40018</v>
      </c>
      <c r="L635" s="825">
        <v>14688</v>
      </c>
      <c r="M635" s="825"/>
      <c r="N635" s="826">
        <v>20474</v>
      </c>
      <c r="O635" s="826">
        <v>188982</v>
      </c>
      <c r="P635" s="826">
        <v>0</v>
      </c>
      <c r="Q635" s="825">
        <v>4604</v>
      </c>
      <c r="R635" s="825"/>
      <c r="S635" s="826">
        <v>156169</v>
      </c>
      <c r="T635" s="827">
        <v>5904</v>
      </c>
      <c r="U635" s="827">
        <v>162074</v>
      </c>
    </row>
    <row r="636" spans="1:21" x14ac:dyDescent="0.25">
      <c r="A636" s="822">
        <v>97010</v>
      </c>
      <c r="B636" s="823" t="s">
        <v>3199</v>
      </c>
      <c r="C636" s="824">
        <v>0</v>
      </c>
      <c r="D636" s="824">
        <v>0</v>
      </c>
      <c r="E636" s="825">
        <v>0</v>
      </c>
      <c r="F636" s="825">
        <v>0</v>
      </c>
      <c r="G636" s="825">
        <v>0</v>
      </c>
      <c r="H636" s="825"/>
      <c r="I636" s="826">
        <v>0</v>
      </c>
      <c r="J636" s="826">
        <v>0</v>
      </c>
      <c r="K636" s="826">
        <v>0</v>
      </c>
      <c r="L636" s="825">
        <v>0</v>
      </c>
      <c r="M636" s="825"/>
      <c r="N636" s="826">
        <v>0</v>
      </c>
      <c r="O636" s="826">
        <v>0</v>
      </c>
      <c r="P636" s="826">
        <v>0</v>
      </c>
      <c r="Q636" s="825">
        <v>3339356</v>
      </c>
      <c r="R636" s="825"/>
      <c r="S636" s="826">
        <v>0</v>
      </c>
      <c r="T636" s="827">
        <v>-1282454</v>
      </c>
      <c r="U636" s="827">
        <v>-1282454</v>
      </c>
    </row>
    <row r="637" spans="1:21" x14ac:dyDescent="0.25">
      <c r="A637" s="822">
        <v>97011</v>
      </c>
      <c r="B637" s="823" t="s">
        <v>3200</v>
      </c>
      <c r="C637" s="824">
        <v>1.9522999999999999E-3</v>
      </c>
      <c r="D637" s="824">
        <v>2.0471E-3</v>
      </c>
      <c r="E637" s="825">
        <v>745774</v>
      </c>
      <c r="F637" s="825">
        <v>918726</v>
      </c>
      <c r="G637" s="825">
        <v>4143435</v>
      </c>
      <c r="H637" s="825"/>
      <c r="I637" s="826">
        <v>77848</v>
      </c>
      <c r="J637" s="826">
        <v>3630970</v>
      </c>
      <c r="K637" s="826">
        <v>283788</v>
      </c>
      <c r="L637" s="825">
        <v>0</v>
      </c>
      <c r="M637" s="825"/>
      <c r="N637" s="826">
        <v>145191</v>
      </c>
      <c r="O637" s="826">
        <v>1340172</v>
      </c>
      <c r="P637" s="826">
        <v>0</v>
      </c>
      <c r="Q637" s="825">
        <v>128959</v>
      </c>
      <c r="R637" s="825"/>
      <c r="S637" s="826">
        <v>1107479</v>
      </c>
      <c r="T637" s="827">
        <v>-38250</v>
      </c>
      <c r="U637" s="827">
        <v>1069229</v>
      </c>
    </row>
    <row r="638" spans="1:21" x14ac:dyDescent="0.25">
      <c r="A638" s="822">
        <v>97012</v>
      </c>
      <c r="B638" s="823" t="s">
        <v>3201</v>
      </c>
      <c r="C638" s="824">
        <v>2.4499999999999999E-5</v>
      </c>
      <c r="D638" s="824">
        <v>2.4199999999999999E-5</v>
      </c>
      <c r="E638" s="825">
        <v>14173.02</v>
      </c>
      <c r="F638" s="825">
        <v>10861</v>
      </c>
      <c r="G638" s="825">
        <v>51997</v>
      </c>
      <c r="H638" s="825"/>
      <c r="I638" s="826">
        <v>976.9375</v>
      </c>
      <c r="J638" s="826">
        <v>45566</v>
      </c>
      <c r="K638" s="826">
        <v>3561</v>
      </c>
      <c r="L638" s="825">
        <v>3417</v>
      </c>
      <c r="M638" s="825"/>
      <c r="N638" s="826">
        <v>1822</v>
      </c>
      <c r="O638" s="826">
        <v>16818</v>
      </c>
      <c r="P638" s="826">
        <v>0</v>
      </c>
      <c r="Q638" s="825">
        <v>1887</v>
      </c>
      <c r="R638" s="825"/>
      <c r="S638" s="826">
        <v>13898</v>
      </c>
      <c r="T638" s="827">
        <v>148</v>
      </c>
      <c r="U638" s="827">
        <v>14046</v>
      </c>
    </row>
    <row r="639" spans="1:21" x14ac:dyDescent="0.25">
      <c r="A639" s="822">
        <v>97013</v>
      </c>
      <c r="B639" s="823" t="s">
        <v>3202</v>
      </c>
      <c r="C639" s="824">
        <v>2.0699999999999998E-5</v>
      </c>
      <c r="D639" s="824">
        <v>1.1399999999999999E-5</v>
      </c>
      <c r="E639" s="825">
        <v>8196.81</v>
      </c>
      <c r="F639" s="825">
        <v>5116</v>
      </c>
      <c r="G639" s="825">
        <v>43932</v>
      </c>
      <c r="H639" s="825"/>
      <c r="I639" s="826">
        <v>825</v>
      </c>
      <c r="J639" s="826">
        <v>38499</v>
      </c>
      <c r="K639" s="826">
        <v>3009</v>
      </c>
      <c r="L639" s="825">
        <v>7733</v>
      </c>
      <c r="M639" s="825"/>
      <c r="N639" s="826">
        <v>1539</v>
      </c>
      <c r="O639" s="826">
        <v>14210</v>
      </c>
      <c r="P639" s="826">
        <v>0</v>
      </c>
      <c r="Q639" s="825">
        <v>866</v>
      </c>
      <c r="R639" s="825"/>
      <c r="S639" s="826">
        <v>11742</v>
      </c>
      <c r="T639" s="827">
        <v>1850</v>
      </c>
      <c r="U639" s="827">
        <v>13592</v>
      </c>
    </row>
    <row r="640" spans="1:21" x14ac:dyDescent="0.25">
      <c r="A640" s="822">
        <v>97015</v>
      </c>
      <c r="B640" s="823" t="s">
        <v>3203</v>
      </c>
      <c r="C640" s="824">
        <v>5.3699999999999997E-5</v>
      </c>
      <c r="D640" s="824">
        <v>4.7700000000000001E-5</v>
      </c>
      <c r="E640" s="825">
        <v>21900.080000000002</v>
      </c>
      <c r="F640" s="825">
        <v>21407</v>
      </c>
      <c r="G640" s="825">
        <v>113969</v>
      </c>
      <c r="H640" s="825"/>
      <c r="I640" s="826">
        <v>2141</v>
      </c>
      <c r="J640" s="826">
        <v>99874</v>
      </c>
      <c r="K640" s="826">
        <v>7806</v>
      </c>
      <c r="L640" s="825">
        <v>6681</v>
      </c>
      <c r="M640" s="825"/>
      <c r="N640" s="826">
        <v>3994</v>
      </c>
      <c r="O640" s="826">
        <v>36863</v>
      </c>
      <c r="P640" s="826">
        <v>0</v>
      </c>
      <c r="Q640" s="825">
        <v>1588</v>
      </c>
      <c r="R640" s="825"/>
      <c r="S640" s="826">
        <v>30462</v>
      </c>
      <c r="T640" s="827">
        <v>1274</v>
      </c>
      <c r="U640" s="827">
        <v>31737</v>
      </c>
    </row>
    <row r="641" spans="1:21" x14ac:dyDescent="0.25">
      <c r="A641" s="822">
        <v>97018</v>
      </c>
      <c r="B641" s="823" t="s">
        <v>3204</v>
      </c>
      <c r="C641" s="824">
        <v>9.3999999999999998E-6</v>
      </c>
      <c r="D641" s="824">
        <v>9.5000000000000005E-6</v>
      </c>
      <c r="E641" s="825">
        <v>7336</v>
      </c>
      <c r="F641" s="825">
        <v>4264</v>
      </c>
      <c r="G641" s="825">
        <v>19950</v>
      </c>
      <c r="H641" s="825"/>
      <c r="I641" s="826">
        <v>374.82499999999999</v>
      </c>
      <c r="J641" s="826">
        <v>17483</v>
      </c>
      <c r="K641" s="826">
        <v>1366</v>
      </c>
      <c r="L641" s="825">
        <v>6124</v>
      </c>
      <c r="M641" s="825"/>
      <c r="N641" s="826">
        <v>699</v>
      </c>
      <c r="O641" s="826">
        <v>6453</v>
      </c>
      <c r="P641" s="826">
        <v>0</v>
      </c>
      <c r="Q641" s="825">
        <v>0</v>
      </c>
      <c r="R641" s="825"/>
      <c r="S641" s="826">
        <v>5332</v>
      </c>
      <c r="T641" s="827">
        <v>2103</v>
      </c>
      <c r="U641" s="827">
        <v>7435</v>
      </c>
    </row>
    <row r="642" spans="1:21" x14ac:dyDescent="0.25">
      <c r="A642" s="822">
        <v>97101</v>
      </c>
      <c r="B642" s="823" t="s">
        <v>3205</v>
      </c>
      <c r="C642" s="824">
        <v>2.6029E-3</v>
      </c>
      <c r="D642" s="824">
        <v>2.5864999999999998E-3</v>
      </c>
      <c r="E642" s="825">
        <v>1065744</v>
      </c>
      <c r="F642" s="825">
        <v>1160806</v>
      </c>
      <c r="G642" s="825">
        <v>5524226</v>
      </c>
      <c r="H642" s="825"/>
      <c r="I642" s="826">
        <v>103791</v>
      </c>
      <c r="J642" s="826">
        <v>4840983</v>
      </c>
      <c r="K642" s="826">
        <v>378360</v>
      </c>
      <c r="L642" s="825">
        <v>28605</v>
      </c>
      <c r="M642" s="825"/>
      <c r="N642" s="826">
        <v>193575</v>
      </c>
      <c r="O642" s="826">
        <v>1786782</v>
      </c>
      <c r="P642" s="826">
        <v>0</v>
      </c>
      <c r="Q642" s="825">
        <v>13944</v>
      </c>
      <c r="R642" s="825"/>
      <c r="S642" s="826">
        <v>1476544</v>
      </c>
      <c r="T642" s="827">
        <v>2643</v>
      </c>
      <c r="U642" s="827">
        <v>1479187</v>
      </c>
    </row>
    <row r="643" spans="1:21" x14ac:dyDescent="0.25">
      <c r="A643" s="822">
        <v>97104</v>
      </c>
      <c r="B643" s="823" t="s">
        <v>3206</v>
      </c>
      <c r="C643" s="824">
        <v>5.6799999999999998E-5</v>
      </c>
      <c r="D643" s="824">
        <v>5.2099999999999999E-5</v>
      </c>
      <c r="E643" s="825">
        <v>26203</v>
      </c>
      <c r="F643" s="825">
        <v>23382</v>
      </c>
      <c r="G643" s="825">
        <v>120549</v>
      </c>
      <c r="H643" s="825"/>
      <c r="I643" s="826">
        <v>2264.9</v>
      </c>
      <c r="J643" s="826">
        <v>105639</v>
      </c>
      <c r="K643" s="826">
        <v>8257</v>
      </c>
      <c r="L643" s="825">
        <v>15710</v>
      </c>
      <c r="M643" s="825"/>
      <c r="N643" s="826">
        <v>4224</v>
      </c>
      <c r="O643" s="826">
        <v>38991</v>
      </c>
      <c r="P643" s="826">
        <v>0</v>
      </c>
      <c r="Q643" s="825">
        <v>0</v>
      </c>
      <c r="R643" s="825"/>
      <c r="S643" s="826">
        <v>32221</v>
      </c>
      <c r="T643" s="827">
        <v>5708</v>
      </c>
      <c r="U643" s="827">
        <v>37929</v>
      </c>
    </row>
    <row r="644" spans="1:21" x14ac:dyDescent="0.25">
      <c r="A644" s="822">
        <v>97111</v>
      </c>
      <c r="B644" s="823" t="s">
        <v>3207</v>
      </c>
      <c r="C644" s="824">
        <v>2.7099999999999997E-4</v>
      </c>
      <c r="D644" s="824">
        <v>2.5099999999999998E-4</v>
      </c>
      <c r="E644" s="825">
        <v>99518.98</v>
      </c>
      <c r="F644" s="825">
        <v>112647</v>
      </c>
      <c r="G644" s="825">
        <v>575153</v>
      </c>
      <c r="H644" s="825"/>
      <c r="I644" s="826">
        <v>10806</v>
      </c>
      <c r="J644" s="826">
        <v>504017</v>
      </c>
      <c r="K644" s="826">
        <v>39393</v>
      </c>
      <c r="L644" s="825">
        <v>14654</v>
      </c>
      <c r="M644" s="825"/>
      <c r="N644" s="826">
        <v>20154</v>
      </c>
      <c r="O644" s="826">
        <v>186030</v>
      </c>
      <c r="P644" s="826">
        <v>0</v>
      </c>
      <c r="Q644" s="825">
        <v>17411</v>
      </c>
      <c r="R644" s="825"/>
      <c r="S644" s="826">
        <v>153730</v>
      </c>
      <c r="T644" s="827">
        <v>858</v>
      </c>
      <c r="U644" s="827">
        <v>154588</v>
      </c>
    </row>
    <row r="645" spans="1:21" x14ac:dyDescent="0.25">
      <c r="A645" s="822">
        <v>97121</v>
      </c>
      <c r="B645" s="823" t="s">
        <v>3208</v>
      </c>
      <c r="C645" s="824">
        <v>1.2070000000000001E-4</v>
      </c>
      <c r="D645" s="824">
        <v>1.495E-4</v>
      </c>
      <c r="E645" s="825">
        <v>55081</v>
      </c>
      <c r="F645" s="825">
        <v>67095</v>
      </c>
      <c r="G645" s="825">
        <v>256166</v>
      </c>
      <c r="H645" s="825"/>
      <c r="I645" s="826">
        <v>4813</v>
      </c>
      <c r="J645" s="826">
        <v>224483</v>
      </c>
      <c r="K645" s="826">
        <v>17545</v>
      </c>
      <c r="L645" s="825">
        <v>0</v>
      </c>
      <c r="M645" s="825"/>
      <c r="N645" s="826">
        <v>8976</v>
      </c>
      <c r="O645" s="826">
        <v>82855</v>
      </c>
      <c r="P645" s="826">
        <v>0</v>
      </c>
      <c r="Q645" s="825">
        <v>14541</v>
      </c>
      <c r="R645" s="825"/>
      <c r="S645" s="826">
        <v>68469</v>
      </c>
      <c r="T645" s="827">
        <v>-4515</v>
      </c>
      <c r="U645" s="827">
        <v>63954</v>
      </c>
    </row>
    <row r="646" spans="1:21" x14ac:dyDescent="0.25">
      <c r="A646" s="822">
        <v>97131</v>
      </c>
      <c r="B646" s="823" t="s">
        <v>3209</v>
      </c>
      <c r="C646" s="824">
        <v>6.2969999999999996E-4</v>
      </c>
      <c r="D646" s="824">
        <v>5.9650000000000002E-4</v>
      </c>
      <c r="E646" s="825">
        <v>232414</v>
      </c>
      <c r="F646" s="825">
        <v>267706</v>
      </c>
      <c r="G646" s="825">
        <v>1336434</v>
      </c>
      <c r="H646" s="825"/>
      <c r="I646" s="826">
        <v>25109</v>
      </c>
      <c r="J646" s="826">
        <v>1171143</v>
      </c>
      <c r="K646" s="826">
        <v>91534</v>
      </c>
      <c r="L646" s="825">
        <v>6841</v>
      </c>
      <c r="M646" s="825"/>
      <c r="N646" s="826">
        <v>46830</v>
      </c>
      <c r="O646" s="826">
        <v>432263</v>
      </c>
      <c r="P646" s="826">
        <v>0</v>
      </c>
      <c r="Q646" s="825">
        <v>3274</v>
      </c>
      <c r="R646" s="825"/>
      <c r="S646" s="826">
        <v>357209</v>
      </c>
      <c r="T646" s="827">
        <v>1535</v>
      </c>
      <c r="U646" s="827">
        <v>358745</v>
      </c>
    </row>
    <row r="647" spans="1:21" x14ac:dyDescent="0.25">
      <c r="A647" s="822">
        <v>97201</v>
      </c>
      <c r="B647" s="823" t="s">
        <v>3210</v>
      </c>
      <c r="C647" s="824">
        <v>4.9439999999999998E-4</v>
      </c>
      <c r="D647" s="824">
        <v>4.7249999999999999E-4</v>
      </c>
      <c r="E647" s="825">
        <v>214121.60000000001</v>
      </c>
      <c r="F647" s="825">
        <v>212055</v>
      </c>
      <c r="G647" s="825">
        <v>1049282</v>
      </c>
      <c r="H647" s="825"/>
      <c r="I647" s="826">
        <v>19714.2</v>
      </c>
      <c r="J647" s="826">
        <v>919506</v>
      </c>
      <c r="K647" s="826">
        <v>71866</v>
      </c>
      <c r="L647" s="825">
        <v>22797</v>
      </c>
      <c r="M647" s="825"/>
      <c r="N647" s="826">
        <v>36768</v>
      </c>
      <c r="O647" s="826">
        <v>339385</v>
      </c>
      <c r="P647" s="826">
        <v>0</v>
      </c>
      <c r="Q647" s="825">
        <v>3773</v>
      </c>
      <c r="R647" s="825"/>
      <c r="S647" s="826">
        <v>280458</v>
      </c>
      <c r="T647" s="827">
        <v>4235</v>
      </c>
      <c r="U647" s="827">
        <v>284693</v>
      </c>
    </row>
    <row r="648" spans="1:21" x14ac:dyDescent="0.25">
      <c r="A648" s="822">
        <v>97211</v>
      </c>
      <c r="B648" s="823" t="s">
        <v>3211</v>
      </c>
      <c r="C648" s="824">
        <v>1.4119999999999999E-4</v>
      </c>
      <c r="D648" s="824">
        <v>1.7689999999999999E-4</v>
      </c>
      <c r="E648" s="825">
        <v>62098</v>
      </c>
      <c r="F648" s="825">
        <v>79392</v>
      </c>
      <c r="G648" s="825">
        <v>299674</v>
      </c>
      <c r="H648" s="825"/>
      <c r="I648" s="826">
        <v>5630</v>
      </c>
      <c r="J648" s="826">
        <v>262610</v>
      </c>
      <c r="K648" s="826">
        <v>20525</v>
      </c>
      <c r="L648" s="825">
        <v>3573</v>
      </c>
      <c r="M648" s="825"/>
      <c r="N648" s="826">
        <v>10501</v>
      </c>
      <c r="O648" s="826">
        <v>96928</v>
      </c>
      <c r="P648" s="826">
        <v>0</v>
      </c>
      <c r="Q648" s="825">
        <v>16466</v>
      </c>
      <c r="R648" s="825"/>
      <c r="S648" s="826">
        <v>80098</v>
      </c>
      <c r="T648" s="827">
        <v>-3079</v>
      </c>
      <c r="U648" s="827">
        <v>77020</v>
      </c>
    </row>
    <row r="649" spans="1:21" x14ac:dyDescent="0.25">
      <c r="A649" s="822">
        <v>97213</v>
      </c>
      <c r="B649" s="823" t="s">
        <v>3212</v>
      </c>
      <c r="C649" s="824">
        <v>3.8300000000000003E-5</v>
      </c>
      <c r="D649" s="824">
        <v>4.0800000000000002E-5</v>
      </c>
      <c r="E649" s="825">
        <v>16615</v>
      </c>
      <c r="F649" s="825">
        <v>18311</v>
      </c>
      <c r="G649" s="825">
        <v>81285</v>
      </c>
      <c r="H649" s="825"/>
      <c r="I649" s="826">
        <v>1527</v>
      </c>
      <c r="J649" s="826">
        <v>71232</v>
      </c>
      <c r="K649" s="826">
        <v>5567</v>
      </c>
      <c r="L649" s="825">
        <v>1545</v>
      </c>
      <c r="M649" s="825"/>
      <c r="N649" s="826">
        <v>2848</v>
      </c>
      <c r="O649" s="826">
        <v>26291</v>
      </c>
      <c r="P649" s="826">
        <v>0</v>
      </c>
      <c r="Q649" s="825">
        <v>668</v>
      </c>
      <c r="R649" s="825"/>
      <c r="S649" s="826">
        <v>21726</v>
      </c>
      <c r="T649" s="827">
        <v>577</v>
      </c>
      <c r="U649" s="827">
        <v>22303</v>
      </c>
    </row>
    <row r="650" spans="1:21" x14ac:dyDescent="0.25">
      <c r="A650" s="822">
        <v>97217</v>
      </c>
      <c r="B650" s="823" t="s">
        <v>3213</v>
      </c>
      <c r="C650" s="824">
        <v>4.8999999999999997E-6</v>
      </c>
      <c r="D650" s="824">
        <v>5.0000000000000004E-6</v>
      </c>
      <c r="E650" s="825">
        <v>6185</v>
      </c>
      <c r="F650" s="825">
        <v>2244</v>
      </c>
      <c r="G650" s="825">
        <v>10399</v>
      </c>
      <c r="H650" s="825"/>
      <c r="I650" s="826">
        <v>195.38749999999999</v>
      </c>
      <c r="J650" s="826">
        <v>9113</v>
      </c>
      <c r="K650" s="826">
        <v>712</v>
      </c>
      <c r="L650" s="825">
        <v>6975</v>
      </c>
      <c r="M650" s="825"/>
      <c r="N650" s="826">
        <v>364</v>
      </c>
      <c r="O650" s="826">
        <v>3364</v>
      </c>
      <c r="P650" s="826">
        <v>0</v>
      </c>
      <c r="Q650" s="825">
        <v>0</v>
      </c>
      <c r="R650" s="825"/>
      <c r="S650" s="826">
        <v>2780</v>
      </c>
      <c r="T650" s="827">
        <v>2381</v>
      </c>
      <c r="U650" s="827">
        <v>5160</v>
      </c>
    </row>
    <row r="651" spans="1:21" x14ac:dyDescent="0.25">
      <c r="A651" s="822">
        <v>97221</v>
      </c>
      <c r="B651" s="823" t="s">
        <v>3214</v>
      </c>
      <c r="C651" s="824">
        <v>6.1999999999999999E-6</v>
      </c>
      <c r="D651" s="824">
        <v>6.2999999999999998E-6</v>
      </c>
      <c r="E651" s="825">
        <v>6603.27</v>
      </c>
      <c r="F651" s="825">
        <v>2827</v>
      </c>
      <c r="G651" s="825">
        <v>13158</v>
      </c>
      <c r="H651" s="825"/>
      <c r="I651" s="826">
        <v>247.22499999999999</v>
      </c>
      <c r="J651" s="826">
        <v>11531</v>
      </c>
      <c r="K651" s="826">
        <v>901</v>
      </c>
      <c r="L651" s="825">
        <v>5895</v>
      </c>
      <c r="M651" s="825"/>
      <c r="N651" s="826">
        <v>461</v>
      </c>
      <c r="O651" s="826">
        <v>4256</v>
      </c>
      <c r="P651" s="826">
        <v>0</v>
      </c>
      <c r="Q651" s="825">
        <v>0</v>
      </c>
      <c r="R651" s="825"/>
      <c r="S651" s="826">
        <v>3517</v>
      </c>
      <c r="T651" s="827">
        <v>2057</v>
      </c>
      <c r="U651" s="827">
        <v>5574</v>
      </c>
    </row>
    <row r="652" spans="1:21" x14ac:dyDescent="0.25">
      <c r="A652" s="822">
        <v>97301</v>
      </c>
      <c r="B652" s="823" t="s">
        <v>3215</v>
      </c>
      <c r="C652" s="824">
        <v>2.5742E-3</v>
      </c>
      <c r="D652" s="824">
        <v>2.6905000000000002E-3</v>
      </c>
      <c r="E652" s="825">
        <v>1080031</v>
      </c>
      <c r="F652" s="825">
        <v>1207480</v>
      </c>
      <c r="G652" s="825">
        <v>5463315</v>
      </c>
      <c r="H652" s="825"/>
      <c r="I652" s="826">
        <v>102646</v>
      </c>
      <c r="J652" s="826">
        <v>4787605</v>
      </c>
      <c r="K652" s="826">
        <v>374188</v>
      </c>
      <c r="L652" s="825">
        <v>36738</v>
      </c>
      <c r="M652" s="825"/>
      <c r="N652" s="826">
        <v>191441</v>
      </c>
      <c r="O652" s="826">
        <v>1767080</v>
      </c>
      <c r="P652" s="826">
        <v>0</v>
      </c>
      <c r="Q652" s="825">
        <v>62348</v>
      </c>
      <c r="R652" s="825"/>
      <c r="S652" s="826">
        <v>1460264</v>
      </c>
      <c r="T652" s="827">
        <v>-7105</v>
      </c>
      <c r="U652" s="827">
        <v>1453159</v>
      </c>
    </row>
    <row r="653" spans="1:21" x14ac:dyDescent="0.25">
      <c r="A653" s="822">
        <v>97304</v>
      </c>
      <c r="B653" s="823" t="s">
        <v>3216</v>
      </c>
      <c r="C653" s="824">
        <v>1.7600000000000001E-5</v>
      </c>
      <c r="D653" s="824">
        <v>1.8499999999999999E-5</v>
      </c>
      <c r="E653" s="825">
        <v>11928</v>
      </c>
      <c r="F653" s="825">
        <v>8303</v>
      </c>
      <c r="G653" s="825">
        <v>37353</v>
      </c>
      <c r="H653" s="825"/>
      <c r="I653" s="826">
        <v>702</v>
      </c>
      <c r="J653" s="826">
        <v>32733</v>
      </c>
      <c r="K653" s="826">
        <v>2558</v>
      </c>
      <c r="L653" s="825">
        <v>7244</v>
      </c>
      <c r="M653" s="825"/>
      <c r="N653" s="826">
        <v>1309</v>
      </c>
      <c r="O653" s="826">
        <v>12082</v>
      </c>
      <c r="P653" s="826">
        <v>0</v>
      </c>
      <c r="Q653" s="825">
        <v>0</v>
      </c>
      <c r="R653" s="825"/>
      <c r="S653" s="826">
        <v>9984</v>
      </c>
      <c r="T653" s="827">
        <v>2504</v>
      </c>
      <c r="U653" s="827">
        <v>12488</v>
      </c>
    </row>
    <row r="654" spans="1:21" x14ac:dyDescent="0.25">
      <c r="A654" s="822">
        <v>97311</v>
      </c>
      <c r="B654" s="823" t="s">
        <v>3217</v>
      </c>
      <c r="C654" s="824">
        <v>9.5E-4</v>
      </c>
      <c r="D654" s="824">
        <v>1.0311000000000001E-3</v>
      </c>
      <c r="E654" s="825">
        <v>367318</v>
      </c>
      <c r="F654" s="825">
        <v>462751</v>
      </c>
      <c r="G654" s="825">
        <v>2016218.25</v>
      </c>
      <c r="H654" s="825"/>
      <c r="I654" s="826">
        <v>37881.25</v>
      </c>
      <c r="J654" s="826">
        <v>1766849.9</v>
      </c>
      <c r="K654" s="826">
        <v>138093</v>
      </c>
      <c r="L654" s="825">
        <v>0</v>
      </c>
      <c r="M654" s="825"/>
      <c r="N654" s="826">
        <v>70650.55</v>
      </c>
      <c r="O654" s="826">
        <v>652135.1</v>
      </c>
      <c r="P654" s="826">
        <v>0</v>
      </c>
      <c r="Q654" s="825">
        <v>97758</v>
      </c>
      <c r="R654" s="825"/>
      <c r="S654" s="826">
        <v>538906</v>
      </c>
      <c r="T654" s="827">
        <v>-33821</v>
      </c>
      <c r="U654" s="827">
        <v>505085</v>
      </c>
    </row>
    <row r="655" spans="1:21" x14ac:dyDescent="0.25">
      <c r="A655" s="822">
        <v>97401</v>
      </c>
      <c r="B655" s="823" t="s">
        <v>3218</v>
      </c>
      <c r="C655" s="824">
        <v>6.9633000000000004E-3</v>
      </c>
      <c r="D655" s="824">
        <v>6.9844E-3</v>
      </c>
      <c r="E655" s="825">
        <v>2848907</v>
      </c>
      <c r="F655" s="825">
        <v>3134557</v>
      </c>
      <c r="G655" s="825">
        <v>14778455</v>
      </c>
      <c r="H655" s="825"/>
      <c r="I655" s="826">
        <v>277662</v>
      </c>
      <c r="J655" s="826">
        <v>12950638</v>
      </c>
      <c r="K655" s="826">
        <v>1012192</v>
      </c>
      <c r="L655" s="825">
        <v>0</v>
      </c>
      <c r="M655" s="825"/>
      <c r="N655" s="826">
        <v>517854</v>
      </c>
      <c r="O655" s="826">
        <v>4780013</v>
      </c>
      <c r="P655" s="826">
        <v>0</v>
      </c>
      <c r="Q655" s="825">
        <v>142656</v>
      </c>
      <c r="R655" s="825"/>
      <c r="S655" s="826">
        <v>3950064</v>
      </c>
      <c r="T655" s="827">
        <v>-59462</v>
      </c>
      <c r="U655" s="827">
        <v>3890602</v>
      </c>
    </row>
    <row r="656" spans="1:21" x14ac:dyDescent="0.25">
      <c r="A656" s="822">
        <v>97402</v>
      </c>
      <c r="B656" s="823" t="s">
        <v>3219</v>
      </c>
      <c r="C656" s="824">
        <v>4.4700000000000002E-5</v>
      </c>
      <c r="D656" s="824">
        <v>2.3799999999999999E-5</v>
      </c>
      <c r="E656" s="825">
        <v>21076.7</v>
      </c>
      <c r="F656" s="825">
        <v>10681</v>
      </c>
      <c r="G656" s="825">
        <v>94868</v>
      </c>
      <c r="H656" s="825"/>
      <c r="I656" s="826">
        <v>1782</v>
      </c>
      <c r="J656" s="826">
        <v>83135</v>
      </c>
      <c r="K656" s="826">
        <v>6498</v>
      </c>
      <c r="L656" s="825">
        <v>15050</v>
      </c>
      <c r="M656" s="825"/>
      <c r="N656" s="826">
        <v>3324</v>
      </c>
      <c r="O656" s="826">
        <v>30685</v>
      </c>
      <c r="P656" s="826">
        <v>0</v>
      </c>
      <c r="Q656" s="825">
        <v>0</v>
      </c>
      <c r="R656" s="825"/>
      <c r="S656" s="826">
        <v>25357</v>
      </c>
      <c r="T656" s="827">
        <v>4096</v>
      </c>
      <c r="U656" s="827">
        <v>29453</v>
      </c>
    </row>
    <row r="657" spans="1:21" x14ac:dyDescent="0.25">
      <c r="A657" s="822">
        <v>97404</v>
      </c>
      <c r="B657" s="823" t="s">
        <v>3220</v>
      </c>
      <c r="C657" s="824">
        <v>2.1049999999999999E-4</v>
      </c>
      <c r="D657" s="824">
        <v>2.1249999999999999E-4</v>
      </c>
      <c r="E657" s="825">
        <v>73915</v>
      </c>
      <c r="F657" s="825">
        <v>95369</v>
      </c>
      <c r="G657" s="825">
        <v>446752</v>
      </c>
      <c r="H657" s="825"/>
      <c r="I657" s="826">
        <v>8393.6875</v>
      </c>
      <c r="J657" s="826">
        <v>391497</v>
      </c>
      <c r="K657" s="826">
        <v>30598</v>
      </c>
      <c r="L657" s="825">
        <v>1976</v>
      </c>
      <c r="M657" s="825"/>
      <c r="N657" s="826">
        <v>15655</v>
      </c>
      <c r="O657" s="826">
        <v>144499</v>
      </c>
      <c r="P657" s="826">
        <v>0</v>
      </c>
      <c r="Q657" s="825">
        <v>16111</v>
      </c>
      <c r="R657" s="825"/>
      <c r="S657" s="826">
        <v>119410</v>
      </c>
      <c r="T657" s="827">
        <v>-3656</v>
      </c>
      <c r="U657" s="827">
        <v>115754</v>
      </c>
    </row>
    <row r="658" spans="1:21" x14ac:dyDescent="0.25">
      <c r="A658" s="822">
        <v>97405</v>
      </c>
      <c r="B658" s="823" t="s">
        <v>3221</v>
      </c>
      <c r="C658" s="824">
        <v>1.087E-4</v>
      </c>
      <c r="D658" s="824">
        <v>1.081E-4</v>
      </c>
      <c r="E658" s="825">
        <v>55456</v>
      </c>
      <c r="F658" s="825">
        <v>48515</v>
      </c>
      <c r="G658" s="825">
        <v>230698</v>
      </c>
      <c r="H658" s="825"/>
      <c r="I658" s="826">
        <v>4334</v>
      </c>
      <c r="J658" s="826">
        <v>202165</v>
      </c>
      <c r="K658" s="826">
        <v>15801</v>
      </c>
      <c r="L658" s="825">
        <v>20704</v>
      </c>
      <c r="M658" s="825"/>
      <c r="N658" s="826">
        <v>8084</v>
      </c>
      <c r="O658" s="826">
        <v>74618</v>
      </c>
      <c r="P658" s="826">
        <v>0</v>
      </c>
      <c r="Q658" s="825">
        <v>9828.61</v>
      </c>
      <c r="R658" s="825"/>
      <c r="S658" s="826">
        <v>61662</v>
      </c>
      <c r="T658" s="827">
        <v>1556</v>
      </c>
      <c r="U658" s="827">
        <v>63218</v>
      </c>
    </row>
    <row r="659" spans="1:21" x14ac:dyDescent="0.25">
      <c r="A659" s="822">
        <v>97408</v>
      </c>
      <c r="B659" s="823" t="s">
        <v>3222</v>
      </c>
      <c r="C659" s="824">
        <v>4.9299999999999999E-5</v>
      </c>
      <c r="D659" s="824">
        <v>5.1199999999999998E-5</v>
      </c>
      <c r="E659" s="825">
        <v>28028</v>
      </c>
      <c r="F659" s="825">
        <v>22978</v>
      </c>
      <c r="G659" s="825">
        <v>104631</v>
      </c>
      <c r="H659" s="825"/>
      <c r="I659" s="826">
        <v>1966</v>
      </c>
      <c r="J659" s="826">
        <v>91690</v>
      </c>
      <c r="K659" s="826">
        <v>7166</v>
      </c>
      <c r="L659" s="825">
        <v>7585</v>
      </c>
      <c r="M659" s="825"/>
      <c r="N659" s="826">
        <v>3666</v>
      </c>
      <c r="O659" s="826">
        <v>33842</v>
      </c>
      <c r="P659" s="826">
        <v>0</v>
      </c>
      <c r="Q659" s="825">
        <v>0</v>
      </c>
      <c r="R659" s="825"/>
      <c r="S659" s="826">
        <v>27966</v>
      </c>
      <c r="T659" s="827">
        <v>2375</v>
      </c>
      <c r="U659" s="827">
        <v>30341</v>
      </c>
    </row>
    <row r="660" spans="1:21" x14ac:dyDescent="0.25">
      <c r="A660" s="822">
        <v>97411</v>
      </c>
      <c r="B660" s="823" t="s">
        <v>3223</v>
      </c>
      <c r="C660" s="824">
        <v>6.7269000000000001E-3</v>
      </c>
      <c r="D660" s="824">
        <v>7.0987000000000003E-3</v>
      </c>
      <c r="E660" s="825">
        <v>2531536.58</v>
      </c>
      <c r="F660" s="825">
        <v>3185854</v>
      </c>
      <c r="G660" s="825">
        <v>14276735</v>
      </c>
      <c r="H660" s="825"/>
      <c r="I660" s="826">
        <v>268235</v>
      </c>
      <c r="J660" s="826">
        <v>12510971</v>
      </c>
      <c r="K660" s="826">
        <v>977829</v>
      </c>
      <c r="L660" s="825">
        <v>0</v>
      </c>
      <c r="M660" s="825"/>
      <c r="N660" s="826">
        <v>500273</v>
      </c>
      <c r="O660" s="826">
        <v>4617734</v>
      </c>
      <c r="P660" s="826">
        <v>0</v>
      </c>
      <c r="Q660" s="825">
        <v>854591</v>
      </c>
      <c r="R660" s="825"/>
      <c r="S660" s="826">
        <v>3815962</v>
      </c>
      <c r="T660" s="827">
        <v>-289319</v>
      </c>
      <c r="U660" s="827">
        <v>3526643</v>
      </c>
    </row>
    <row r="661" spans="1:21" x14ac:dyDescent="0.25">
      <c r="A661" s="822">
        <v>97412</v>
      </c>
      <c r="B661" s="823" t="s">
        <v>3224</v>
      </c>
      <c r="C661" s="824">
        <v>4.424E-3</v>
      </c>
      <c r="D661" s="824">
        <v>4.1891999999999997E-3</v>
      </c>
      <c r="E661" s="825">
        <v>1763682</v>
      </c>
      <c r="F661" s="825">
        <v>1880088</v>
      </c>
      <c r="G661" s="825">
        <v>9389210</v>
      </c>
      <c r="H661" s="825"/>
      <c r="I661" s="826">
        <v>176407</v>
      </c>
      <c r="J661" s="826">
        <v>8227941</v>
      </c>
      <c r="K661" s="826">
        <v>643077</v>
      </c>
      <c r="L661" s="825">
        <v>158642</v>
      </c>
      <c r="M661" s="825"/>
      <c r="N661" s="826">
        <v>329008</v>
      </c>
      <c r="O661" s="826">
        <v>3036890</v>
      </c>
      <c r="P661" s="826">
        <v>0</v>
      </c>
      <c r="Q661" s="825">
        <v>0</v>
      </c>
      <c r="R661" s="825"/>
      <c r="S661" s="826">
        <v>2509598</v>
      </c>
      <c r="T661" s="827">
        <v>54211</v>
      </c>
      <c r="U661" s="827">
        <v>2563810</v>
      </c>
    </row>
    <row r="662" spans="1:21" x14ac:dyDescent="0.25">
      <c r="A662" s="822">
        <v>97413</v>
      </c>
      <c r="B662" s="823" t="s">
        <v>3225</v>
      </c>
      <c r="C662" s="824">
        <v>2.7910000000000001E-4</v>
      </c>
      <c r="D662" s="824">
        <v>2.9320000000000003E-4</v>
      </c>
      <c r="E662" s="825">
        <v>126701.6</v>
      </c>
      <c r="F662" s="825">
        <v>131586</v>
      </c>
      <c r="G662" s="825">
        <v>592344</v>
      </c>
      <c r="H662" s="825"/>
      <c r="I662" s="826">
        <v>11129</v>
      </c>
      <c r="J662" s="826">
        <v>519082</v>
      </c>
      <c r="K662" s="826">
        <v>40570</v>
      </c>
      <c r="L662" s="825">
        <v>1832</v>
      </c>
      <c r="M662" s="825"/>
      <c r="N662" s="826">
        <v>20756</v>
      </c>
      <c r="O662" s="826">
        <v>191590</v>
      </c>
      <c r="P662" s="826">
        <v>0</v>
      </c>
      <c r="Q662" s="825">
        <v>10212</v>
      </c>
      <c r="R662" s="825"/>
      <c r="S662" s="826">
        <v>158325</v>
      </c>
      <c r="T662" s="827">
        <v>-4433</v>
      </c>
      <c r="U662" s="827">
        <v>153891</v>
      </c>
    </row>
    <row r="663" spans="1:21" x14ac:dyDescent="0.25">
      <c r="A663" s="822">
        <v>97421</v>
      </c>
      <c r="B663" s="823" t="s">
        <v>3226</v>
      </c>
      <c r="C663" s="824">
        <v>4.1120000000000002E-4</v>
      </c>
      <c r="D663" s="824">
        <v>4.1140000000000003E-4</v>
      </c>
      <c r="E663" s="825">
        <v>162265</v>
      </c>
      <c r="F663" s="825">
        <v>184634</v>
      </c>
      <c r="G663" s="825">
        <v>872704</v>
      </c>
      <c r="H663" s="825"/>
      <c r="I663" s="826">
        <v>16397</v>
      </c>
      <c r="J663" s="826">
        <v>764767</v>
      </c>
      <c r="K663" s="826">
        <v>59772</v>
      </c>
      <c r="L663" s="825">
        <v>0</v>
      </c>
      <c r="M663" s="825"/>
      <c r="N663" s="826">
        <v>30581</v>
      </c>
      <c r="O663" s="826">
        <v>282272</v>
      </c>
      <c r="P663" s="826">
        <v>0</v>
      </c>
      <c r="Q663" s="825">
        <v>40232</v>
      </c>
      <c r="R663" s="825"/>
      <c r="S663" s="826">
        <v>233261</v>
      </c>
      <c r="T663" s="827">
        <v>-16104</v>
      </c>
      <c r="U663" s="827">
        <v>217157</v>
      </c>
    </row>
    <row r="664" spans="1:21" x14ac:dyDescent="0.25">
      <c r="A664" s="822">
        <v>97423</v>
      </c>
      <c r="B664" s="823" t="s">
        <v>3227</v>
      </c>
      <c r="C664" s="824">
        <v>4.5800000000000002E-5</v>
      </c>
      <c r="D664" s="824">
        <v>4.5300000000000003E-5</v>
      </c>
      <c r="E664" s="825">
        <v>37545</v>
      </c>
      <c r="F664" s="825">
        <v>20330</v>
      </c>
      <c r="G664" s="825">
        <v>97203</v>
      </c>
      <c r="H664" s="825"/>
      <c r="I664" s="826">
        <v>1826.2750000000001</v>
      </c>
      <c r="J664" s="826">
        <v>85181</v>
      </c>
      <c r="K664" s="826">
        <v>6658</v>
      </c>
      <c r="L664" s="825">
        <v>26530</v>
      </c>
      <c r="M664" s="825"/>
      <c r="N664" s="826">
        <v>3406</v>
      </c>
      <c r="O664" s="826">
        <v>31440</v>
      </c>
      <c r="P664" s="826">
        <v>0</v>
      </c>
      <c r="Q664" s="825">
        <v>0</v>
      </c>
      <c r="R664" s="825"/>
      <c r="S664" s="826">
        <v>25981</v>
      </c>
      <c r="T664" s="827">
        <v>8002</v>
      </c>
      <c r="U664" s="827">
        <v>33982</v>
      </c>
    </row>
    <row r="665" spans="1:21" x14ac:dyDescent="0.25">
      <c r="A665" s="822">
        <v>97431</v>
      </c>
      <c r="B665" s="823" t="s">
        <v>3228</v>
      </c>
      <c r="C665" s="824">
        <v>8.5199999999999997E-5</v>
      </c>
      <c r="D665" s="824">
        <v>8.7700000000000004E-5</v>
      </c>
      <c r="E665" s="825">
        <v>38446.49</v>
      </c>
      <c r="F665" s="825">
        <v>39359</v>
      </c>
      <c r="G665" s="825">
        <v>180823</v>
      </c>
      <c r="H665" s="825"/>
      <c r="I665" s="826">
        <v>3397.35</v>
      </c>
      <c r="J665" s="826">
        <v>158459</v>
      </c>
      <c r="K665" s="826">
        <v>12385</v>
      </c>
      <c r="L665" s="825">
        <v>2882</v>
      </c>
      <c r="M665" s="825"/>
      <c r="N665" s="826">
        <v>6336</v>
      </c>
      <c r="O665" s="826">
        <v>58486</v>
      </c>
      <c r="P665" s="826">
        <v>0</v>
      </c>
      <c r="Q665" s="825">
        <v>0</v>
      </c>
      <c r="R665" s="825"/>
      <c r="S665" s="826">
        <v>48331</v>
      </c>
      <c r="T665" s="827">
        <v>909</v>
      </c>
      <c r="U665" s="827">
        <v>49241</v>
      </c>
    </row>
    <row r="666" spans="1:21" x14ac:dyDescent="0.25">
      <c r="A666" s="822">
        <v>97441</v>
      </c>
      <c r="B666" s="823" t="s">
        <v>3229</v>
      </c>
      <c r="C666" s="824">
        <v>7.0500000000000006E-5</v>
      </c>
      <c r="D666" s="824">
        <v>6.8700000000000003E-5</v>
      </c>
      <c r="E666" s="825">
        <v>23079</v>
      </c>
      <c r="F666" s="825">
        <v>30832</v>
      </c>
      <c r="G666" s="825">
        <v>149625</v>
      </c>
      <c r="H666" s="825"/>
      <c r="I666" s="826">
        <v>2811</v>
      </c>
      <c r="J666" s="826">
        <v>131119</v>
      </c>
      <c r="K666" s="826">
        <v>10248</v>
      </c>
      <c r="L666" s="825">
        <v>406</v>
      </c>
      <c r="M666" s="825"/>
      <c r="N666" s="826">
        <v>5243</v>
      </c>
      <c r="O666" s="826">
        <v>48395</v>
      </c>
      <c r="P666" s="826">
        <v>0</v>
      </c>
      <c r="Q666" s="825">
        <v>4997</v>
      </c>
      <c r="R666" s="825"/>
      <c r="S666" s="826">
        <v>39992</v>
      </c>
      <c r="T666" s="827">
        <v>-1212</v>
      </c>
      <c r="U666" s="827">
        <v>38780</v>
      </c>
    </row>
    <row r="667" spans="1:21" x14ac:dyDescent="0.25">
      <c r="A667" s="822">
        <v>97451</v>
      </c>
      <c r="B667" s="823" t="s">
        <v>3230</v>
      </c>
      <c r="C667" s="824">
        <v>6.1039999999999998E-4</v>
      </c>
      <c r="D667" s="824">
        <v>5.1670000000000004E-4</v>
      </c>
      <c r="E667" s="825">
        <v>212065</v>
      </c>
      <c r="F667" s="825">
        <v>231892</v>
      </c>
      <c r="G667" s="825">
        <v>1295473</v>
      </c>
      <c r="H667" s="825"/>
      <c r="I667" s="826">
        <v>24339.7</v>
      </c>
      <c r="J667" s="826">
        <v>1135248</v>
      </c>
      <c r="K667" s="826">
        <v>88728</v>
      </c>
      <c r="L667" s="825">
        <v>30041</v>
      </c>
      <c r="M667" s="825"/>
      <c r="N667" s="826">
        <v>45395</v>
      </c>
      <c r="O667" s="826">
        <v>419014</v>
      </c>
      <c r="P667" s="826">
        <v>0</v>
      </c>
      <c r="Q667" s="825">
        <v>5880</v>
      </c>
      <c r="R667" s="825"/>
      <c r="S667" s="826">
        <v>346261</v>
      </c>
      <c r="T667" s="827">
        <v>8187</v>
      </c>
      <c r="U667" s="827">
        <v>354448</v>
      </c>
    </row>
    <row r="668" spans="1:21" x14ac:dyDescent="0.25">
      <c r="A668" s="822">
        <v>97461</v>
      </c>
      <c r="B668" s="823" t="s">
        <v>3231</v>
      </c>
      <c r="C668" s="824">
        <v>5.1869999999999998E-4</v>
      </c>
      <c r="D668" s="824">
        <v>5.3859999999999997E-4</v>
      </c>
      <c r="E668" s="825">
        <v>202230</v>
      </c>
      <c r="F668" s="825">
        <v>241720</v>
      </c>
      <c r="G668" s="825">
        <v>1100855</v>
      </c>
      <c r="H668" s="825"/>
      <c r="I668" s="826">
        <v>20683</v>
      </c>
      <c r="J668" s="826">
        <v>964700</v>
      </c>
      <c r="K668" s="826">
        <v>75399</v>
      </c>
      <c r="L668" s="825">
        <v>4454</v>
      </c>
      <c r="M668" s="825"/>
      <c r="N668" s="826">
        <v>38575</v>
      </c>
      <c r="O668" s="826">
        <v>356066</v>
      </c>
      <c r="P668" s="826">
        <v>0</v>
      </c>
      <c r="Q668" s="825">
        <v>46078</v>
      </c>
      <c r="R668" s="825"/>
      <c r="S668" s="826">
        <v>294242</v>
      </c>
      <c r="T668" s="827">
        <v>-12231</v>
      </c>
      <c r="U668" s="827">
        <v>282012</v>
      </c>
    </row>
    <row r="669" spans="1:21" x14ac:dyDescent="0.25">
      <c r="A669" s="822">
        <v>97463</v>
      </c>
      <c r="B669" s="823" t="s">
        <v>3232</v>
      </c>
      <c r="C669" s="824">
        <v>5.0099999999999998E-5</v>
      </c>
      <c r="D669" s="824">
        <v>5.6400000000000002E-5</v>
      </c>
      <c r="E669" s="825">
        <v>17390</v>
      </c>
      <c r="F669" s="825">
        <v>25312</v>
      </c>
      <c r="G669" s="825">
        <v>106329</v>
      </c>
      <c r="H669" s="825"/>
      <c r="I669" s="826">
        <v>1998</v>
      </c>
      <c r="J669" s="826">
        <v>93178</v>
      </c>
      <c r="K669" s="826">
        <v>7283</v>
      </c>
      <c r="L669" s="825">
        <v>2539</v>
      </c>
      <c r="M669" s="825"/>
      <c r="N669" s="826">
        <v>3726</v>
      </c>
      <c r="O669" s="826">
        <v>34392</v>
      </c>
      <c r="P669" s="826">
        <v>0</v>
      </c>
      <c r="Q669" s="825">
        <v>5965</v>
      </c>
      <c r="R669" s="825"/>
      <c r="S669" s="826">
        <v>28420</v>
      </c>
      <c r="T669" s="827">
        <v>-427</v>
      </c>
      <c r="U669" s="827">
        <v>27993</v>
      </c>
    </row>
    <row r="670" spans="1:21" x14ac:dyDescent="0.25">
      <c r="A670" s="822">
        <v>97471</v>
      </c>
      <c r="B670" s="823" t="s">
        <v>3233</v>
      </c>
      <c r="C670" s="824">
        <v>1.27E-5</v>
      </c>
      <c r="D670" s="824">
        <v>1.31E-5</v>
      </c>
      <c r="E670" s="825">
        <v>8483.43</v>
      </c>
      <c r="F670" s="825">
        <v>5879</v>
      </c>
      <c r="G670" s="825">
        <v>26954</v>
      </c>
      <c r="H670" s="825"/>
      <c r="I670" s="826">
        <v>506.41250000000002</v>
      </c>
      <c r="J670" s="826">
        <v>23620</v>
      </c>
      <c r="K670" s="826">
        <v>1846</v>
      </c>
      <c r="L670" s="825">
        <v>5163</v>
      </c>
      <c r="M670" s="825"/>
      <c r="N670" s="826">
        <v>944</v>
      </c>
      <c r="O670" s="826">
        <v>8718</v>
      </c>
      <c r="P670" s="826">
        <v>0</v>
      </c>
      <c r="Q670" s="825">
        <v>0</v>
      </c>
      <c r="R670" s="825"/>
      <c r="S670" s="826">
        <v>7204</v>
      </c>
      <c r="T670" s="827">
        <v>1775</v>
      </c>
      <c r="U670" s="827">
        <v>8980</v>
      </c>
    </row>
    <row r="671" spans="1:21" x14ac:dyDescent="0.25">
      <c r="A671" s="822">
        <v>97481</v>
      </c>
      <c r="B671" s="823" t="s">
        <v>3234</v>
      </c>
      <c r="C671" s="824">
        <v>1.63E-5</v>
      </c>
      <c r="D671" s="824">
        <v>1.13E-5</v>
      </c>
      <c r="E671" s="825">
        <v>5817.26</v>
      </c>
      <c r="F671" s="825">
        <v>5071</v>
      </c>
      <c r="G671" s="825">
        <v>34594</v>
      </c>
      <c r="H671" s="825"/>
      <c r="I671" s="826">
        <v>649.96249999999998</v>
      </c>
      <c r="J671" s="826">
        <v>30315</v>
      </c>
      <c r="K671" s="826">
        <v>2369</v>
      </c>
      <c r="L671" s="825">
        <v>5965</v>
      </c>
      <c r="M671" s="825"/>
      <c r="N671" s="826">
        <v>1212</v>
      </c>
      <c r="O671" s="826">
        <v>11189</v>
      </c>
      <c r="P671" s="826">
        <v>0</v>
      </c>
      <c r="Q671" s="825">
        <v>0</v>
      </c>
      <c r="R671" s="825"/>
      <c r="S671" s="826">
        <v>9246</v>
      </c>
      <c r="T671" s="827">
        <v>2373</v>
      </c>
      <c r="U671" s="827">
        <v>11619</v>
      </c>
    </row>
    <row r="672" spans="1:21" x14ac:dyDescent="0.25">
      <c r="A672" s="822">
        <v>97491</v>
      </c>
      <c r="B672" s="823" t="s">
        <v>3235</v>
      </c>
      <c r="C672" s="824">
        <v>0</v>
      </c>
      <c r="D672" s="824">
        <v>0</v>
      </c>
      <c r="E672" s="825">
        <v>0</v>
      </c>
      <c r="F672" s="825">
        <v>0</v>
      </c>
      <c r="G672" s="825">
        <v>0</v>
      </c>
      <c r="H672" s="825"/>
      <c r="I672" s="826">
        <v>0</v>
      </c>
      <c r="J672" s="826">
        <v>0</v>
      </c>
      <c r="K672" s="826">
        <v>0</v>
      </c>
      <c r="L672" s="825">
        <v>0</v>
      </c>
      <c r="M672" s="825"/>
      <c r="N672" s="826">
        <v>0</v>
      </c>
      <c r="O672" s="826">
        <v>0</v>
      </c>
      <c r="P672" s="826">
        <v>0</v>
      </c>
      <c r="Q672" s="825">
        <v>12790</v>
      </c>
      <c r="R672" s="825"/>
      <c r="S672" s="826">
        <v>0</v>
      </c>
      <c r="T672" s="827">
        <v>-4941</v>
      </c>
      <c r="U672" s="827">
        <v>-4941</v>
      </c>
    </row>
    <row r="673" spans="1:21" x14ac:dyDescent="0.25">
      <c r="A673" s="822">
        <v>97501</v>
      </c>
      <c r="B673" s="823" t="s">
        <v>3236</v>
      </c>
      <c r="C673" s="824">
        <v>9.6730000000000004E-4</v>
      </c>
      <c r="D673" s="824">
        <v>9.7659999999999999E-4</v>
      </c>
      <c r="E673" s="825">
        <v>413876.56</v>
      </c>
      <c r="F673" s="825">
        <v>438292</v>
      </c>
      <c r="G673" s="825">
        <v>2052935</v>
      </c>
      <c r="H673" s="825"/>
      <c r="I673" s="826">
        <v>38571</v>
      </c>
      <c r="J673" s="826">
        <v>1799025</v>
      </c>
      <c r="K673" s="826">
        <v>140608</v>
      </c>
      <c r="L673" s="825">
        <v>45898</v>
      </c>
      <c r="M673" s="825"/>
      <c r="N673" s="826">
        <v>71937</v>
      </c>
      <c r="O673" s="826">
        <v>664011</v>
      </c>
      <c r="P673" s="826">
        <v>0</v>
      </c>
      <c r="Q673" s="825">
        <v>0</v>
      </c>
      <c r="R673" s="825"/>
      <c r="S673" s="826">
        <v>548719</v>
      </c>
      <c r="T673" s="827">
        <v>19873</v>
      </c>
      <c r="U673" s="827">
        <v>568592</v>
      </c>
    </row>
    <row r="674" spans="1:21" x14ac:dyDescent="0.25">
      <c r="A674" s="822">
        <v>97511</v>
      </c>
      <c r="B674" s="823" t="s">
        <v>3237</v>
      </c>
      <c r="C674" s="824">
        <v>2.3220000000000001E-4</v>
      </c>
      <c r="D674" s="824">
        <v>2.1719999999999999E-4</v>
      </c>
      <c r="E674" s="825">
        <v>97777.06</v>
      </c>
      <c r="F674" s="825">
        <v>97478</v>
      </c>
      <c r="G674" s="825">
        <v>492806</v>
      </c>
      <c r="H674" s="825"/>
      <c r="I674" s="826">
        <v>9259</v>
      </c>
      <c r="J674" s="826">
        <v>431855</v>
      </c>
      <c r="K674" s="826">
        <v>33753</v>
      </c>
      <c r="L674" s="825">
        <v>10778</v>
      </c>
      <c r="M674" s="825"/>
      <c r="N674" s="826">
        <v>17268</v>
      </c>
      <c r="O674" s="826">
        <v>159396</v>
      </c>
      <c r="P674" s="826">
        <v>0</v>
      </c>
      <c r="Q674" s="825">
        <v>1307</v>
      </c>
      <c r="R674" s="825"/>
      <c r="S674" s="826">
        <v>131720</v>
      </c>
      <c r="T674" s="827">
        <v>2532</v>
      </c>
      <c r="U674" s="827">
        <v>134252</v>
      </c>
    </row>
    <row r="675" spans="1:21" x14ac:dyDescent="0.25">
      <c r="A675" s="822">
        <v>97521</v>
      </c>
      <c r="B675" s="823" t="s">
        <v>3238</v>
      </c>
      <c r="C675" s="824">
        <v>1.293E-4</v>
      </c>
      <c r="D675" s="824">
        <v>1.404E-4</v>
      </c>
      <c r="E675" s="825">
        <v>48146.35</v>
      </c>
      <c r="F675" s="825">
        <v>63011</v>
      </c>
      <c r="G675" s="825">
        <v>274418</v>
      </c>
      <c r="H675" s="825"/>
      <c r="I675" s="826">
        <v>5156</v>
      </c>
      <c r="J675" s="826">
        <v>240478</v>
      </c>
      <c r="K675" s="826">
        <v>18795</v>
      </c>
      <c r="L675" s="825">
        <v>4401.88</v>
      </c>
      <c r="M675" s="825"/>
      <c r="N675" s="826">
        <v>9616</v>
      </c>
      <c r="O675" s="826">
        <v>88759</v>
      </c>
      <c r="P675" s="826">
        <v>0</v>
      </c>
      <c r="Q675" s="825">
        <v>17530</v>
      </c>
      <c r="R675" s="825"/>
      <c r="S675" s="826">
        <v>73348</v>
      </c>
      <c r="T675" s="827">
        <v>-3048</v>
      </c>
      <c r="U675" s="827">
        <v>70299</v>
      </c>
    </row>
    <row r="676" spans="1:21" x14ac:dyDescent="0.25">
      <c r="A676" s="822">
        <v>97531</v>
      </c>
      <c r="B676" s="823" t="s">
        <v>3239</v>
      </c>
      <c r="C676" s="824">
        <v>3.6300000000000001E-5</v>
      </c>
      <c r="D676" s="824">
        <v>3.5099999999999999E-5</v>
      </c>
      <c r="E676" s="825">
        <v>18182</v>
      </c>
      <c r="F676" s="825">
        <v>15753</v>
      </c>
      <c r="G676" s="825">
        <v>77041</v>
      </c>
      <c r="H676" s="825"/>
      <c r="I676" s="826">
        <v>1447</v>
      </c>
      <c r="J676" s="826">
        <v>67512</v>
      </c>
      <c r="K676" s="826">
        <v>5277</v>
      </c>
      <c r="L676" s="825">
        <v>3234</v>
      </c>
      <c r="M676" s="825"/>
      <c r="N676" s="826">
        <v>2700</v>
      </c>
      <c r="O676" s="826">
        <v>24918</v>
      </c>
      <c r="P676" s="826">
        <v>0</v>
      </c>
      <c r="Q676" s="825">
        <v>14595</v>
      </c>
      <c r="R676" s="825"/>
      <c r="S676" s="826">
        <v>20592</v>
      </c>
      <c r="T676" s="827">
        <v>-4705</v>
      </c>
      <c r="U676" s="827">
        <v>15887</v>
      </c>
    </row>
    <row r="677" spans="1:21" x14ac:dyDescent="0.25">
      <c r="A677" s="822">
        <v>97601</v>
      </c>
      <c r="B677" s="823" t="s">
        <v>3240</v>
      </c>
      <c r="C677" s="824">
        <v>4.7808E-3</v>
      </c>
      <c r="D677" s="824">
        <v>4.8238999999999999E-3</v>
      </c>
      <c r="E677" s="825">
        <v>1911818</v>
      </c>
      <c r="F677" s="825">
        <v>2164937</v>
      </c>
      <c r="G677" s="825">
        <v>10146459</v>
      </c>
      <c r="H677" s="825"/>
      <c r="I677" s="826">
        <v>190634.4</v>
      </c>
      <c r="J677" s="826">
        <v>8891533</v>
      </c>
      <c r="K677" s="826">
        <v>694942</v>
      </c>
      <c r="L677" s="825">
        <v>0</v>
      </c>
      <c r="M677" s="825"/>
      <c r="N677" s="826">
        <v>355543</v>
      </c>
      <c r="O677" s="826">
        <v>3281818</v>
      </c>
      <c r="P677" s="826">
        <v>0</v>
      </c>
      <c r="Q677" s="825">
        <v>137509</v>
      </c>
      <c r="R677" s="825"/>
      <c r="S677" s="826">
        <v>2712000</v>
      </c>
      <c r="T677" s="827">
        <v>-46067</v>
      </c>
      <c r="U677" s="827">
        <v>2665933</v>
      </c>
    </row>
    <row r="678" spans="1:21" x14ac:dyDescent="0.25">
      <c r="A678" s="822">
        <v>97607</v>
      </c>
      <c r="B678" s="823" t="s">
        <v>3241</v>
      </c>
      <c r="C678" s="824">
        <v>1.9199999999999999E-5</v>
      </c>
      <c r="D678" s="824">
        <v>2.27E-5</v>
      </c>
      <c r="E678" s="825">
        <v>13222.63</v>
      </c>
      <c r="F678" s="825">
        <v>10188</v>
      </c>
      <c r="G678" s="825">
        <v>40749</v>
      </c>
      <c r="H678" s="825"/>
      <c r="I678" s="826">
        <v>766</v>
      </c>
      <c r="J678" s="826">
        <v>35709</v>
      </c>
      <c r="K678" s="826">
        <v>2791</v>
      </c>
      <c r="L678" s="825">
        <v>8819</v>
      </c>
      <c r="M678" s="825"/>
      <c r="N678" s="826">
        <v>1428</v>
      </c>
      <c r="O678" s="826">
        <v>13180</v>
      </c>
      <c r="P678" s="826">
        <v>0</v>
      </c>
      <c r="Q678" s="825">
        <v>0</v>
      </c>
      <c r="R678" s="825"/>
      <c r="S678" s="826">
        <v>10892</v>
      </c>
      <c r="T678" s="827">
        <v>3435</v>
      </c>
      <c r="U678" s="827">
        <v>14327</v>
      </c>
    </row>
    <row r="679" spans="1:21" x14ac:dyDescent="0.25">
      <c r="A679" s="822">
        <v>97611</v>
      </c>
      <c r="B679" s="823" t="s">
        <v>3242</v>
      </c>
      <c r="C679" s="824">
        <v>2.5750999999999999E-3</v>
      </c>
      <c r="D679" s="824">
        <v>2.7582000000000001E-3</v>
      </c>
      <c r="E679" s="825">
        <v>984035.03</v>
      </c>
      <c r="F679" s="825">
        <v>1237864</v>
      </c>
      <c r="G679" s="825">
        <v>5465225</v>
      </c>
      <c r="H679" s="825"/>
      <c r="I679" s="826">
        <v>102682</v>
      </c>
      <c r="J679" s="826">
        <v>4789279</v>
      </c>
      <c r="K679" s="826">
        <v>374319</v>
      </c>
      <c r="L679" s="825">
        <v>0</v>
      </c>
      <c r="M679" s="825"/>
      <c r="N679" s="826">
        <v>191508</v>
      </c>
      <c r="O679" s="826">
        <v>1767698</v>
      </c>
      <c r="P679" s="826">
        <v>0</v>
      </c>
      <c r="Q679" s="825">
        <v>281180</v>
      </c>
      <c r="R679" s="825"/>
      <c r="S679" s="826">
        <v>1460774</v>
      </c>
      <c r="T679" s="827">
        <v>-93860</v>
      </c>
      <c r="U679" s="827">
        <v>1366915</v>
      </c>
    </row>
    <row r="680" spans="1:21" x14ac:dyDescent="0.25">
      <c r="A680" s="822">
        <v>97613</v>
      </c>
      <c r="B680" s="823" t="s">
        <v>3243</v>
      </c>
      <c r="C680" s="824">
        <v>1.2459999999999999E-4</v>
      </c>
      <c r="D680" s="824">
        <v>1.21E-4</v>
      </c>
      <c r="E680" s="825">
        <v>55529.85</v>
      </c>
      <c r="F680" s="825">
        <v>54304</v>
      </c>
      <c r="G680" s="825">
        <v>264443</v>
      </c>
      <c r="H680" s="825"/>
      <c r="I680" s="826">
        <v>4968</v>
      </c>
      <c r="J680" s="826">
        <v>231736</v>
      </c>
      <c r="K680" s="826">
        <v>18112</v>
      </c>
      <c r="L680" s="825">
        <v>5357</v>
      </c>
      <c r="M680" s="825"/>
      <c r="N680" s="826">
        <v>9266</v>
      </c>
      <c r="O680" s="826">
        <v>85533</v>
      </c>
      <c r="P680" s="826">
        <v>0</v>
      </c>
      <c r="Q680" s="825">
        <v>5319</v>
      </c>
      <c r="R680" s="825"/>
      <c r="S680" s="826">
        <v>70682</v>
      </c>
      <c r="T680" s="827">
        <v>-505</v>
      </c>
      <c r="U680" s="827">
        <v>70177</v>
      </c>
    </row>
    <row r="681" spans="1:21" x14ac:dyDescent="0.25">
      <c r="A681" s="822">
        <v>97621</v>
      </c>
      <c r="B681" s="823" t="s">
        <v>3244</v>
      </c>
      <c r="C681" s="824">
        <v>4.7429999999999998E-4</v>
      </c>
      <c r="D681" s="824">
        <v>5.1290000000000005E-4</v>
      </c>
      <c r="E681" s="825">
        <v>166598.32</v>
      </c>
      <c r="F681" s="825">
        <v>230186</v>
      </c>
      <c r="G681" s="825">
        <v>1006623</v>
      </c>
      <c r="H681" s="825"/>
      <c r="I681" s="826">
        <v>18913</v>
      </c>
      <c r="J681" s="826">
        <v>882123</v>
      </c>
      <c r="K681" s="826">
        <v>68945</v>
      </c>
      <c r="L681" s="825">
        <v>24561</v>
      </c>
      <c r="M681" s="825"/>
      <c r="N681" s="826">
        <v>35273</v>
      </c>
      <c r="O681" s="826">
        <v>325587</v>
      </c>
      <c r="P681" s="826">
        <v>0</v>
      </c>
      <c r="Q681" s="825">
        <v>43510</v>
      </c>
      <c r="R681" s="825"/>
      <c r="S681" s="826">
        <v>269056</v>
      </c>
      <c r="T681" s="827">
        <v>-2547</v>
      </c>
      <c r="U681" s="827">
        <v>266509</v>
      </c>
    </row>
    <row r="682" spans="1:21" x14ac:dyDescent="0.25">
      <c r="A682" s="822">
        <v>97623</v>
      </c>
      <c r="B682" s="823" t="s">
        <v>3245</v>
      </c>
      <c r="C682" s="824">
        <v>2.9200000000000002E-5</v>
      </c>
      <c r="D682" s="824">
        <v>3.0000000000000001E-5</v>
      </c>
      <c r="E682" s="825">
        <v>14038</v>
      </c>
      <c r="F682" s="825">
        <v>13463.82</v>
      </c>
      <c r="G682" s="825">
        <v>61972</v>
      </c>
      <c r="H682" s="825"/>
      <c r="I682" s="826">
        <v>1164</v>
      </c>
      <c r="J682" s="826">
        <v>54307</v>
      </c>
      <c r="K682" s="826">
        <v>4245</v>
      </c>
      <c r="L682" s="825">
        <v>10193</v>
      </c>
      <c r="M682" s="825"/>
      <c r="N682" s="826">
        <v>2172</v>
      </c>
      <c r="O682" s="826">
        <v>20045</v>
      </c>
      <c r="P682" s="826">
        <v>0</v>
      </c>
      <c r="Q682" s="825">
        <v>0</v>
      </c>
      <c r="R682" s="825"/>
      <c r="S682" s="826">
        <v>16564</v>
      </c>
      <c r="T682" s="827">
        <v>3688</v>
      </c>
      <c r="U682" s="827">
        <v>20252</v>
      </c>
    </row>
    <row r="683" spans="1:21" x14ac:dyDescent="0.25">
      <c r="A683" s="822">
        <v>97627</v>
      </c>
      <c r="B683" s="823" t="s">
        <v>3246</v>
      </c>
      <c r="C683" s="824">
        <v>1.0200000000000001E-5</v>
      </c>
      <c r="D683" s="824">
        <v>9.0999999999999993E-6</v>
      </c>
      <c r="E683" s="825">
        <v>4150</v>
      </c>
      <c r="F683" s="825">
        <v>4084</v>
      </c>
      <c r="G683" s="825">
        <v>21648</v>
      </c>
      <c r="H683" s="825"/>
      <c r="I683" s="826">
        <v>406.72500000000002</v>
      </c>
      <c r="J683" s="826">
        <v>18970</v>
      </c>
      <c r="K683" s="826">
        <v>1483</v>
      </c>
      <c r="L683" s="825">
        <v>942</v>
      </c>
      <c r="M683" s="825"/>
      <c r="N683" s="826">
        <v>759</v>
      </c>
      <c r="O683" s="826">
        <v>7002</v>
      </c>
      <c r="P683" s="826">
        <v>0</v>
      </c>
      <c r="Q683" s="825">
        <v>1562</v>
      </c>
      <c r="R683" s="825"/>
      <c r="S683" s="826">
        <v>5786</v>
      </c>
      <c r="T683" s="827">
        <v>-217</v>
      </c>
      <c r="U683" s="827">
        <v>5570</v>
      </c>
    </row>
    <row r="684" spans="1:21" x14ac:dyDescent="0.25">
      <c r="A684" s="822">
        <v>97631</v>
      </c>
      <c r="B684" s="823" t="s">
        <v>3247</v>
      </c>
      <c r="C684" s="824">
        <v>2.009E-4</v>
      </c>
      <c r="D684" s="824">
        <v>1.7239999999999999E-4</v>
      </c>
      <c r="E684" s="825">
        <v>69843.56</v>
      </c>
      <c r="F684" s="825">
        <v>77372</v>
      </c>
      <c r="G684" s="825">
        <v>426377</v>
      </c>
      <c r="H684" s="825"/>
      <c r="I684" s="826">
        <v>8011</v>
      </c>
      <c r="J684" s="826">
        <v>373642</v>
      </c>
      <c r="K684" s="826">
        <v>29203</v>
      </c>
      <c r="L684" s="825">
        <v>14802</v>
      </c>
      <c r="M684" s="825"/>
      <c r="N684" s="826">
        <v>14941</v>
      </c>
      <c r="O684" s="826">
        <v>137909</v>
      </c>
      <c r="P684" s="826">
        <v>0</v>
      </c>
      <c r="Q684" s="825">
        <v>0</v>
      </c>
      <c r="R684" s="825"/>
      <c r="S684" s="826">
        <v>113964</v>
      </c>
      <c r="T684" s="827">
        <v>5491</v>
      </c>
      <c r="U684" s="827">
        <v>119456</v>
      </c>
    </row>
    <row r="685" spans="1:21" x14ac:dyDescent="0.25">
      <c r="A685" s="822">
        <v>97637</v>
      </c>
      <c r="B685" s="823" t="s">
        <v>3248</v>
      </c>
      <c r="C685" s="824">
        <v>4.7999999999999998E-6</v>
      </c>
      <c r="D685" s="824">
        <v>6.1999999999999999E-6</v>
      </c>
      <c r="E685" s="825">
        <v>2878</v>
      </c>
      <c r="F685" s="825">
        <v>2783</v>
      </c>
      <c r="G685" s="825">
        <v>10187</v>
      </c>
      <c r="H685" s="825"/>
      <c r="I685" s="826">
        <v>191</v>
      </c>
      <c r="J685" s="826">
        <v>8927</v>
      </c>
      <c r="K685" s="826">
        <v>698</v>
      </c>
      <c r="L685" s="825">
        <v>655</v>
      </c>
      <c r="M685" s="825"/>
      <c r="N685" s="826">
        <v>357</v>
      </c>
      <c r="O685" s="826">
        <v>3295</v>
      </c>
      <c r="P685" s="826">
        <v>0</v>
      </c>
      <c r="Q685" s="825">
        <v>40</v>
      </c>
      <c r="R685" s="825"/>
      <c r="S685" s="826">
        <v>2723</v>
      </c>
      <c r="T685" s="827">
        <v>244</v>
      </c>
      <c r="U685" s="827">
        <v>2967</v>
      </c>
    </row>
    <row r="686" spans="1:21" x14ac:dyDescent="0.25">
      <c r="A686" s="822">
        <v>97641</v>
      </c>
      <c r="B686" s="823" t="s">
        <v>3249</v>
      </c>
      <c r="C686" s="824">
        <v>6.9999999999999994E-5</v>
      </c>
      <c r="D686" s="824">
        <v>5.3900000000000002E-5</v>
      </c>
      <c r="E686" s="825">
        <v>31635</v>
      </c>
      <c r="F686" s="825">
        <v>24190</v>
      </c>
      <c r="G686" s="825">
        <v>148563</v>
      </c>
      <c r="H686" s="825"/>
      <c r="I686" s="826">
        <v>2791</v>
      </c>
      <c r="J686" s="826">
        <v>130189</v>
      </c>
      <c r="K686" s="826">
        <v>10175</v>
      </c>
      <c r="L686" s="825">
        <v>15548</v>
      </c>
      <c r="M686" s="825"/>
      <c r="N686" s="826">
        <v>5205.83</v>
      </c>
      <c r="O686" s="826">
        <v>48052.06</v>
      </c>
      <c r="P686" s="826">
        <v>0</v>
      </c>
      <c r="Q686" s="825">
        <v>5807</v>
      </c>
      <c r="R686" s="825"/>
      <c r="S686" s="826">
        <v>39709</v>
      </c>
      <c r="T686" s="827">
        <v>1546</v>
      </c>
      <c r="U686" s="827">
        <v>41255</v>
      </c>
    </row>
    <row r="687" spans="1:21" x14ac:dyDescent="0.25">
      <c r="A687" s="822">
        <v>97651</v>
      </c>
      <c r="B687" s="823" t="s">
        <v>3250</v>
      </c>
      <c r="C687" s="824">
        <v>5.1579999999999996E-4</v>
      </c>
      <c r="D687" s="824">
        <v>5.4140000000000004E-4</v>
      </c>
      <c r="E687" s="825">
        <v>190593.37</v>
      </c>
      <c r="F687" s="825">
        <v>242977</v>
      </c>
      <c r="G687" s="825">
        <v>1094700</v>
      </c>
      <c r="H687" s="825"/>
      <c r="I687" s="826">
        <v>20568</v>
      </c>
      <c r="J687" s="826">
        <v>959307</v>
      </c>
      <c r="K687" s="826">
        <v>74977</v>
      </c>
      <c r="L687" s="825">
        <v>4062</v>
      </c>
      <c r="M687" s="825"/>
      <c r="N687" s="826">
        <v>38360</v>
      </c>
      <c r="O687" s="826">
        <v>354075</v>
      </c>
      <c r="P687" s="826">
        <v>0</v>
      </c>
      <c r="Q687" s="825">
        <v>51828</v>
      </c>
      <c r="R687" s="825"/>
      <c r="S687" s="826">
        <v>292597</v>
      </c>
      <c r="T687" s="827">
        <v>-17066</v>
      </c>
      <c r="U687" s="827">
        <v>275532</v>
      </c>
    </row>
    <row r="688" spans="1:21" x14ac:dyDescent="0.25">
      <c r="A688" s="822">
        <v>97661</v>
      </c>
      <c r="B688" s="823" t="s">
        <v>3251</v>
      </c>
      <c r="C688" s="824">
        <v>4.3900000000000003E-5</v>
      </c>
      <c r="D688" s="824">
        <v>3.1999999999999999E-5</v>
      </c>
      <c r="E688" s="825">
        <v>18869</v>
      </c>
      <c r="F688" s="825">
        <v>14361</v>
      </c>
      <c r="G688" s="825">
        <v>93171</v>
      </c>
      <c r="H688" s="825"/>
      <c r="I688" s="826">
        <v>1751</v>
      </c>
      <c r="J688" s="826">
        <v>81647</v>
      </c>
      <c r="K688" s="826">
        <v>6381</v>
      </c>
      <c r="L688" s="825">
        <v>12364</v>
      </c>
      <c r="M688" s="825"/>
      <c r="N688" s="826">
        <v>3265</v>
      </c>
      <c r="O688" s="826">
        <v>30136</v>
      </c>
      <c r="P688" s="826">
        <v>0</v>
      </c>
      <c r="Q688" s="825">
        <v>2964</v>
      </c>
      <c r="R688" s="825"/>
      <c r="S688" s="826">
        <v>24903</v>
      </c>
      <c r="T688" s="827">
        <v>3435</v>
      </c>
      <c r="U688" s="827">
        <v>28338</v>
      </c>
    </row>
    <row r="689" spans="1:21" x14ac:dyDescent="0.25">
      <c r="A689" s="822">
        <v>97701</v>
      </c>
      <c r="B689" s="823" t="s">
        <v>3252</v>
      </c>
      <c r="C689" s="824">
        <v>2.5081000000000001E-3</v>
      </c>
      <c r="D689" s="824">
        <v>2.4424999999999998E-3</v>
      </c>
      <c r="E689" s="825">
        <v>1011242</v>
      </c>
      <c r="F689" s="825">
        <v>1096179</v>
      </c>
      <c r="G689" s="825">
        <v>5323028</v>
      </c>
      <c r="H689" s="825"/>
      <c r="I689" s="826">
        <v>100010</v>
      </c>
      <c r="J689" s="826">
        <v>4664670</v>
      </c>
      <c r="K689" s="826">
        <v>364580</v>
      </c>
      <c r="L689" s="825">
        <v>31450</v>
      </c>
      <c r="M689" s="825"/>
      <c r="N689" s="826">
        <v>186525</v>
      </c>
      <c r="O689" s="826">
        <v>1721705</v>
      </c>
      <c r="P689" s="826">
        <v>0</v>
      </c>
      <c r="Q689" s="825">
        <v>17434</v>
      </c>
      <c r="R689" s="825"/>
      <c r="S689" s="826">
        <v>1422767</v>
      </c>
      <c r="T689" s="827">
        <v>529</v>
      </c>
      <c r="U689" s="827">
        <v>1423296</v>
      </c>
    </row>
    <row r="690" spans="1:21" x14ac:dyDescent="0.25">
      <c r="A690" s="822">
        <v>97705</v>
      </c>
      <c r="B690" s="823" t="s">
        <v>3253</v>
      </c>
      <c r="C690" s="824">
        <v>6.41E-5</v>
      </c>
      <c r="D690" s="824">
        <v>5.1700000000000003E-5</v>
      </c>
      <c r="E690" s="825">
        <v>21949.45</v>
      </c>
      <c r="F690" s="825">
        <v>23203</v>
      </c>
      <c r="G690" s="825">
        <v>136042</v>
      </c>
      <c r="H690" s="825"/>
      <c r="I690" s="826">
        <v>2556</v>
      </c>
      <c r="J690" s="826">
        <v>119216</v>
      </c>
      <c r="K690" s="826">
        <v>9318</v>
      </c>
      <c r="L690" s="825">
        <v>9600</v>
      </c>
      <c r="M690" s="825"/>
      <c r="N690" s="826">
        <v>4767</v>
      </c>
      <c r="O690" s="826">
        <v>44002</v>
      </c>
      <c r="P690" s="826">
        <v>0</v>
      </c>
      <c r="Q690" s="825">
        <v>3526</v>
      </c>
      <c r="R690" s="825"/>
      <c r="S690" s="826">
        <v>36362</v>
      </c>
      <c r="T690" s="827">
        <v>2791</v>
      </c>
      <c r="U690" s="827">
        <v>39153</v>
      </c>
    </row>
    <row r="691" spans="1:21" x14ac:dyDescent="0.25">
      <c r="A691" s="822">
        <v>97711</v>
      </c>
      <c r="B691" s="823" t="s">
        <v>3254</v>
      </c>
      <c r="C691" s="824">
        <v>9.3789999999999998E-4</v>
      </c>
      <c r="D691" s="824">
        <v>9.6489999999999998E-4</v>
      </c>
      <c r="E691" s="825">
        <v>373399.85</v>
      </c>
      <c r="F691" s="825">
        <v>433041</v>
      </c>
      <c r="G691" s="825">
        <v>1990538</v>
      </c>
      <c r="H691" s="825"/>
      <c r="I691" s="826">
        <v>37399</v>
      </c>
      <c r="J691" s="826">
        <v>1744346</v>
      </c>
      <c r="K691" s="826">
        <v>136334</v>
      </c>
      <c r="L691" s="825">
        <v>18485</v>
      </c>
      <c r="M691" s="825"/>
      <c r="N691" s="826">
        <v>69751</v>
      </c>
      <c r="O691" s="826">
        <v>643829</v>
      </c>
      <c r="P691" s="826">
        <v>0</v>
      </c>
      <c r="Q691" s="825">
        <v>24399</v>
      </c>
      <c r="R691" s="825"/>
      <c r="S691" s="826">
        <v>532042</v>
      </c>
      <c r="T691" s="827">
        <v>2197</v>
      </c>
      <c r="U691" s="827">
        <v>534239</v>
      </c>
    </row>
    <row r="692" spans="1:21" x14ac:dyDescent="0.25">
      <c r="A692" s="822">
        <v>97713</v>
      </c>
      <c r="B692" s="823" t="s">
        <v>3255</v>
      </c>
      <c r="C692" s="824">
        <v>5.3699999999999997E-5</v>
      </c>
      <c r="D692" s="824">
        <v>5.5600000000000003E-5</v>
      </c>
      <c r="E692" s="825">
        <v>17632.46</v>
      </c>
      <c r="F692" s="825">
        <v>24953</v>
      </c>
      <c r="G692" s="825">
        <v>113969</v>
      </c>
      <c r="H692" s="825"/>
      <c r="I692" s="826">
        <v>2141</v>
      </c>
      <c r="J692" s="826">
        <v>99874</v>
      </c>
      <c r="K692" s="826">
        <v>7806</v>
      </c>
      <c r="L692" s="825">
        <v>1862.64</v>
      </c>
      <c r="M692" s="825"/>
      <c r="N692" s="826">
        <v>3994</v>
      </c>
      <c r="O692" s="826">
        <v>36863</v>
      </c>
      <c r="P692" s="826">
        <v>0</v>
      </c>
      <c r="Q692" s="825">
        <v>10607</v>
      </c>
      <c r="R692" s="825"/>
      <c r="S692" s="826">
        <v>30462</v>
      </c>
      <c r="T692" s="827">
        <v>-2389</v>
      </c>
      <c r="U692" s="827">
        <v>28073</v>
      </c>
    </row>
    <row r="693" spans="1:21" x14ac:dyDescent="0.25">
      <c r="A693" s="822">
        <v>97717</v>
      </c>
      <c r="B693" s="823" t="s">
        <v>3256</v>
      </c>
      <c r="C693" s="824">
        <v>7.5000000000000002E-6</v>
      </c>
      <c r="D693" s="824">
        <v>6.6000000000000003E-6</v>
      </c>
      <c r="E693" s="825">
        <v>4301.63</v>
      </c>
      <c r="F693" s="825">
        <v>2962</v>
      </c>
      <c r="G693" s="825">
        <v>15918</v>
      </c>
      <c r="H693" s="825"/>
      <c r="I693" s="826">
        <v>299.0625</v>
      </c>
      <c r="J693" s="826">
        <v>13949</v>
      </c>
      <c r="K693" s="826">
        <v>1090.2075</v>
      </c>
      <c r="L693" s="825">
        <v>1454</v>
      </c>
      <c r="M693" s="825"/>
      <c r="N693" s="826">
        <v>558</v>
      </c>
      <c r="O693" s="826">
        <v>5148</v>
      </c>
      <c r="P693" s="826">
        <v>0</v>
      </c>
      <c r="Q693" s="825">
        <v>3295</v>
      </c>
      <c r="R693" s="825"/>
      <c r="S693" s="826">
        <v>4255</v>
      </c>
      <c r="T693" s="827">
        <v>-1145</v>
      </c>
      <c r="U693" s="827">
        <v>3109</v>
      </c>
    </row>
    <row r="694" spans="1:21" x14ac:dyDescent="0.25">
      <c r="A694" s="822">
        <v>97721</v>
      </c>
      <c r="B694" s="823" t="s">
        <v>3257</v>
      </c>
      <c r="C694" s="824">
        <v>5.7249999999999998E-4</v>
      </c>
      <c r="D694" s="824">
        <v>5.2689999999999996E-4</v>
      </c>
      <c r="E694" s="825">
        <v>224528</v>
      </c>
      <c r="F694" s="825">
        <v>236470</v>
      </c>
      <c r="G694" s="825">
        <v>1215037</v>
      </c>
      <c r="H694" s="825"/>
      <c r="I694" s="826">
        <v>22828.4375</v>
      </c>
      <c r="J694" s="826">
        <v>1064760</v>
      </c>
      <c r="K694" s="826">
        <v>83219</v>
      </c>
      <c r="L694" s="825">
        <v>19505</v>
      </c>
      <c r="M694" s="825"/>
      <c r="N694" s="826">
        <v>42576</v>
      </c>
      <c r="O694" s="826">
        <v>392997</v>
      </c>
      <c r="P694" s="826">
        <v>0</v>
      </c>
      <c r="Q694" s="825">
        <v>36721</v>
      </c>
      <c r="R694" s="825"/>
      <c r="S694" s="826">
        <v>324762</v>
      </c>
      <c r="T694" s="827">
        <v>-7125</v>
      </c>
      <c r="U694" s="827">
        <v>317637</v>
      </c>
    </row>
    <row r="695" spans="1:21" x14ac:dyDescent="0.25">
      <c r="A695" s="822">
        <v>97727</v>
      </c>
      <c r="B695" s="823" t="s">
        <v>3258</v>
      </c>
      <c r="C695" s="824">
        <v>2.37E-5</v>
      </c>
      <c r="D695" s="824">
        <v>2.5299999999999998E-5</v>
      </c>
      <c r="E695" s="825">
        <v>9369</v>
      </c>
      <c r="F695" s="825">
        <v>11354</v>
      </c>
      <c r="G695" s="825">
        <v>50299</v>
      </c>
      <c r="H695" s="825"/>
      <c r="I695" s="826">
        <v>945.03750000000002</v>
      </c>
      <c r="J695" s="826">
        <v>44078</v>
      </c>
      <c r="K695" s="826">
        <v>3445</v>
      </c>
      <c r="L695" s="825">
        <v>0</v>
      </c>
      <c r="M695" s="825"/>
      <c r="N695" s="826">
        <v>1763</v>
      </c>
      <c r="O695" s="826">
        <v>16269</v>
      </c>
      <c r="P695" s="826">
        <v>0</v>
      </c>
      <c r="Q695" s="825">
        <v>3253</v>
      </c>
      <c r="R695" s="825"/>
      <c r="S695" s="826">
        <v>13444</v>
      </c>
      <c r="T695" s="827">
        <v>-1207</v>
      </c>
      <c r="U695" s="827">
        <v>12237</v>
      </c>
    </row>
    <row r="696" spans="1:21" x14ac:dyDescent="0.25">
      <c r="A696" s="822">
        <v>97731</v>
      </c>
      <c r="B696" s="823" t="s">
        <v>3259</v>
      </c>
      <c r="C696" s="824">
        <v>3.7100000000000001E-5</v>
      </c>
      <c r="D696" s="824">
        <v>3.3599999999999997E-5</v>
      </c>
      <c r="E696" s="825">
        <v>17225.91</v>
      </c>
      <c r="F696" s="825">
        <v>15079</v>
      </c>
      <c r="G696" s="825">
        <v>78739</v>
      </c>
      <c r="H696" s="825"/>
      <c r="I696" s="826">
        <v>1479</v>
      </c>
      <c r="J696" s="826">
        <v>69000</v>
      </c>
      <c r="K696" s="826">
        <v>5393</v>
      </c>
      <c r="L696" s="825">
        <v>8501</v>
      </c>
      <c r="M696" s="825"/>
      <c r="N696" s="826">
        <v>2759</v>
      </c>
      <c r="O696" s="826">
        <v>25468</v>
      </c>
      <c r="P696" s="826">
        <v>0</v>
      </c>
      <c r="Q696" s="825">
        <v>0</v>
      </c>
      <c r="R696" s="825"/>
      <c r="S696" s="826">
        <v>21046</v>
      </c>
      <c r="T696" s="827">
        <v>2797</v>
      </c>
      <c r="U696" s="827">
        <v>23843</v>
      </c>
    </row>
    <row r="697" spans="1:21" x14ac:dyDescent="0.25">
      <c r="A697" s="822">
        <v>97801</v>
      </c>
      <c r="B697" s="823" t="s">
        <v>3260</v>
      </c>
      <c r="C697" s="824">
        <v>7.3343000000000002E-3</v>
      </c>
      <c r="D697" s="824">
        <v>7.4117999999999996E-3</v>
      </c>
      <c r="E697" s="825">
        <v>2930302</v>
      </c>
      <c r="F697" s="825">
        <v>3326371</v>
      </c>
      <c r="G697" s="825">
        <v>15565842</v>
      </c>
      <c r="H697" s="825"/>
      <c r="I697" s="826">
        <v>292455</v>
      </c>
      <c r="J697" s="826">
        <v>13640639</v>
      </c>
      <c r="K697" s="826">
        <v>1066121</v>
      </c>
      <c r="L697" s="825">
        <v>55808</v>
      </c>
      <c r="M697" s="825"/>
      <c r="N697" s="826">
        <v>545445</v>
      </c>
      <c r="O697" s="826">
        <v>5034689</v>
      </c>
      <c r="P697" s="826">
        <v>0</v>
      </c>
      <c r="Q697" s="825">
        <v>191858</v>
      </c>
      <c r="R697" s="825"/>
      <c r="S697" s="826">
        <v>4160521</v>
      </c>
      <c r="T697" s="827">
        <v>-29463</v>
      </c>
      <c r="U697" s="827">
        <v>4131058</v>
      </c>
    </row>
    <row r="698" spans="1:21" x14ac:dyDescent="0.25">
      <c r="A698" s="822">
        <v>97802</v>
      </c>
      <c r="B698" s="823" t="s">
        <v>3261</v>
      </c>
      <c r="C698" s="824">
        <v>1.8120000000000001E-4</v>
      </c>
      <c r="D698" s="824">
        <v>1.8599999999999999E-4</v>
      </c>
      <c r="E698" s="825">
        <v>74111</v>
      </c>
      <c r="F698" s="825">
        <v>83476</v>
      </c>
      <c r="G698" s="825">
        <v>384567</v>
      </c>
      <c r="H698" s="825"/>
      <c r="I698" s="826">
        <v>7225.35</v>
      </c>
      <c r="J698" s="826">
        <v>337003</v>
      </c>
      <c r="K698" s="826">
        <v>26339</v>
      </c>
      <c r="L698" s="825">
        <v>19490</v>
      </c>
      <c r="M698" s="825"/>
      <c r="N698" s="826">
        <v>13476</v>
      </c>
      <c r="O698" s="826">
        <v>124386</v>
      </c>
      <c r="P698" s="826">
        <v>0</v>
      </c>
      <c r="Q698" s="825">
        <v>22046</v>
      </c>
      <c r="R698" s="825"/>
      <c r="S698" s="826">
        <v>102789</v>
      </c>
      <c r="T698" s="827">
        <v>2255</v>
      </c>
      <c r="U698" s="827">
        <v>105045</v>
      </c>
    </row>
    <row r="699" spans="1:21" x14ac:dyDescent="0.25">
      <c r="A699" s="822">
        <v>97803</v>
      </c>
      <c r="B699" s="823" t="s">
        <v>3262</v>
      </c>
      <c r="C699" s="824">
        <v>7.9099999999999998E-5</v>
      </c>
      <c r="D699" s="824">
        <v>7.6600000000000005E-5</v>
      </c>
      <c r="E699" s="825">
        <v>33622</v>
      </c>
      <c r="F699" s="825">
        <v>34378</v>
      </c>
      <c r="G699" s="825">
        <v>167877</v>
      </c>
      <c r="H699" s="825"/>
      <c r="I699" s="826">
        <v>3154</v>
      </c>
      <c r="J699" s="826">
        <v>147114</v>
      </c>
      <c r="K699" s="826">
        <v>11498</v>
      </c>
      <c r="L699" s="825">
        <v>9364</v>
      </c>
      <c r="M699" s="825"/>
      <c r="N699" s="826">
        <v>5883</v>
      </c>
      <c r="O699" s="826">
        <v>54299</v>
      </c>
      <c r="P699" s="826">
        <v>0</v>
      </c>
      <c r="Q699" s="825">
        <v>2358</v>
      </c>
      <c r="R699" s="825"/>
      <c r="S699" s="826">
        <v>44871</v>
      </c>
      <c r="T699" s="827">
        <v>3329</v>
      </c>
      <c r="U699" s="827">
        <v>48200</v>
      </c>
    </row>
    <row r="700" spans="1:21" x14ac:dyDescent="0.25">
      <c r="A700" s="822">
        <v>97805</v>
      </c>
      <c r="B700" s="823" t="s">
        <v>3263</v>
      </c>
      <c r="C700" s="824">
        <v>8.2600000000000002E-5</v>
      </c>
      <c r="D700" s="824">
        <v>6.7700000000000006E-5</v>
      </c>
      <c r="E700" s="825">
        <v>34033</v>
      </c>
      <c r="F700" s="825">
        <v>30383</v>
      </c>
      <c r="G700" s="825">
        <v>175305</v>
      </c>
      <c r="H700" s="825"/>
      <c r="I700" s="826">
        <v>3294</v>
      </c>
      <c r="J700" s="826">
        <v>153623</v>
      </c>
      <c r="K700" s="826">
        <v>12007</v>
      </c>
      <c r="L700" s="825">
        <v>13426</v>
      </c>
      <c r="M700" s="825"/>
      <c r="N700" s="826">
        <v>6143</v>
      </c>
      <c r="O700" s="826">
        <v>56701</v>
      </c>
      <c r="P700" s="826">
        <v>0</v>
      </c>
      <c r="Q700" s="825">
        <v>453.72</v>
      </c>
      <c r="R700" s="825"/>
      <c r="S700" s="826">
        <v>46856</v>
      </c>
      <c r="T700" s="827">
        <v>3757</v>
      </c>
      <c r="U700" s="827">
        <v>50613</v>
      </c>
    </row>
    <row r="701" spans="1:21" x14ac:dyDescent="0.25">
      <c r="A701" s="822">
        <v>97811</v>
      </c>
      <c r="B701" s="823" t="s">
        <v>3264</v>
      </c>
      <c r="C701" s="824">
        <v>2.4088E-3</v>
      </c>
      <c r="D701" s="824">
        <v>2.5788E-3</v>
      </c>
      <c r="E701" s="825">
        <v>950193</v>
      </c>
      <c r="F701" s="825">
        <v>1157350</v>
      </c>
      <c r="G701" s="825">
        <v>5112281</v>
      </c>
      <c r="H701" s="825"/>
      <c r="I701" s="826">
        <v>96050.9</v>
      </c>
      <c r="J701" s="826">
        <v>4479987</v>
      </c>
      <c r="K701" s="826">
        <v>350146</v>
      </c>
      <c r="L701" s="825">
        <v>0</v>
      </c>
      <c r="M701" s="825"/>
      <c r="N701" s="826">
        <v>179140</v>
      </c>
      <c r="O701" s="826">
        <v>1653540</v>
      </c>
      <c r="P701" s="826">
        <v>0</v>
      </c>
      <c r="Q701" s="825">
        <v>235946</v>
      </c>
      <c r="R701" s="825"/>
      <c r="S701" s="826">
        <v>1366438</v>
      </c>
      <c r="T701" s="827">
        <v>-72994</v>
      </c>
      <c r="U701" s="827">
        <v>1293444</v>
      </c>
    </row>
    <row r="702" spans="1:21" x14ac:dyDescent="0.25">
      <c r="A702" s="822">
        <v>97817</v>
      </c>
      <c r="B702" s="823" t="s">
        <v>3265</v>
      </c>
      <c r="C702" s="824">
        <v>3.9999999999999998E-6</v>
      </c>
      <c r="D702" s="824">
        <v>7.0999999999999998E-6</v>
      </c>
      <c r="E702" s="825">
        <v>7287</v>
      </c>
      <c r="F702" s="825">
        <v>3186</v>
      </c>
      <c r="G702" s="825">
        <v>8489.34</v>
      </c>
      <c r="H702" s="825"/>
      <c r="I702" s="826">
        <v>159.5</v>
      </c>
      <c r="J702" s="826">
        <v>7439</v>
      </c>
      <c r="K702" s="826">
        <v>581</v>
      </c>
      <c r="L702" s="825">
        <v>4157</v>
      </c>
      <c r="M702" s="825"/>
      <c r="N702" s="826">
        <v>297</v>
      </c>
      <c r="O702" s="826">
        <v>2746</v>
      </c>
      <c r="P702" s="826">
        <v>0</v>
      </c>
      <c r="Q702" s="825">
        <v>3747</v>
      </c>
      <c r="R702" s="825"/>
      <c r="S702" s="826">
        <v>2269</v>
      </c>
      <c r="T702" s="827">
        <v>78</v>
      </c>
      <c r="U702" s="827">
        <v>2347</v>
      </c>
    </row>
    <row r="703" spans="1:21" x14ac:dyDescent="0.25">
      <c r="A703" s="822">
        <v>97818</v>
      </c>
      <c r="B703" s="823" t="s">
        <v>3266</v>
      </c>
      <c r="C703" s="824">
        <v>2.12E-5</v>
      </c>
      <c r="D703" s="824">
        <v>8.3999999999999992E-6</v>
      </c>
      <c r="E703" s="825">
        <v>8690</v>
      </c>
      <c r="F703" s="825">
        <v>3770</v>
      </c>
      <c r="G703" s="825">
        <v>44994</v>
      </c>
      <c r="H703" s="825"/>
      <c r="I703" s="826">
        <v>845.35</v>
      </c>
      <c r="J703" s="826">
        <v>39429</v>
      </c>
      <c r="K703" s="826">
        <v>3082</v>
      </c>
      <c r="L703" s="825">
        <v>8112</v>
      </c>
      <c r="M703" s="825"/>
      <c r="N703" s="826">
        <v>1577</v>
      </c>
      <c r="O703" s="826">
        <v>14553</v>
      </c>
      <c r="P703" s="826">
        <v>0</v>
      </c>
      <c r="Q703" s="825">
        <v>4294.42</v>
      </c>
      <c r="R703" s="825"/>
      <c r="S703" s="826">
        <v>12026</v>
      </c>
      <c r="T703" s="827">
        <v>58</v>
      </c>
      <c r="U703" s="827">
        <v>12084</v>
      </c>
    </row>
    <row r="704" spans="1:21" x14ac:dyDescent="0.25">
      <c r="A704" s="822">
        <v>97821</v>
      </c>
      <c r="B704" s="823" t="s">
        <v>3267</v>
      </c>
      <c r="C704" s="824">
        <v>1.1620000000000001E-4</v>
      </c>
      <c r="D704" s="824">
        <v>1.3329999999999999E-4</v>
      </c>
      <c r="E704" s="825">
        <v>52013.57</v>
      </c>
      <c r="F704" s="825">
        <v>59824</v>
      </c>
      <c r="G704" s="825">
        <v>246615</v>
      </c>
      <c r="H704" s="825"/>
      <c r="I704" s="826">
        <v>4633</v>
      </c>
      <c r="J704" s="826">
        <v>216114</v>
      </c>
      <c r="K704" s="826">
        <v>16891</v>
      </c>
      <c r="L704" s="825">
        <v>0</v>
      </c>
      <c r="M704" s="825"/>
      <c r="N704" s="826">
        <v>8642</v>
      </c>
      <c r="O704" s="826">
        <v>79766</v>
      </c>
      <c r="P704" s="826">
        <v>0</v>
      </c>
      <c r="Q704" s="825">
        <v>26909</v>
      </c>
      <c r="R704" s="825"/>
      <c r="S704" s="826">
        <v>65917</v>
      </c>
      <c r="T704" s="827">
        <v>-10681</v>
      </c>
      <c r="U704" s="827">
        <v>55236</v>
      </c>
    </row>
    <row r="705" spans="1:21" x14ac:dyDescent="0.25">
      <c r="A705" s="822">
        <v>97823</v>
      </c>
      <c r="B705" s="823" t="s">
        <v>3268</v>
      </c>
      <c r="C705" s="824">
        <v>2.4600000000000002E-5</v>
      </c>
      <c r="D705" s="824">
        <v>2.58E-5</v>
      </c>
      <c r="E705" s="825">
        <v>11852</v>
      </c>
      <c r="F705" s="825">
        <v>11579</v>
      </c>
      <c r="G705" s="825">
        <v>52209</v>
      </c>
      <c r="H705" s="825"/>
      <c r="I705" s="826">
        <v>981</v>
      </c>
      <c r="J705" s="826">
        <v>45752</v>
      </c>
      <c r="K705" s="826">
        <v>3576</v>
      </c>
      <c r="L705" s="825">
        <v>926</v>
      </c>
      <c r="M705" s="825"/>
      <c r="N705" s="826">
        <v>1829</v>
      </c>
      <c r="O705" s="826">
        <v>16887</v>
      </c>
      <c r="P705" s="826">
        <v>0</v>
      </c>
      <c r="Q705" s="825">
        <v>1188</v>
      </c>
      <c r="R705" s="825"/>
      <c r="S705" s="826">
        <v>13955</v>
      </c>
      <c r="T705" s="827">
        <v>-338</v>
      </c>
      <c r="U705" s="827">
        <v>13616</v>
      </c>
    </row>
    <row r="706" spans="1:21" x14ac:dyDescent="0.25">
      <c r="A706" s="822">
        <v>97831</v>
      </c>
      <c r="B706" s="823" t="s">
        <v>3269</v>
      </c>
      <c r="C706" s="824">
        <v>1.482E-4</v>
      </c>
      <c r="D706" s="824">
        <v>1.5860000000000001E-4</v>
      </c>
      <c r="E706" s="825">
        <v>66463</v>
      </c>
      <c r="F706" s="825">
        <v>71179</v>
      </c>
      <c r="G706" s="825">
        <v>314530</v>
      </c>
      <c r="H706" s="825"/>
      <c r="I706" s="826">
        <v>5909</v>
      </c>
      <c r="J706" s="826">
        <v>275629</v>
      </c>
      <c r="K706" s="826">
        <v>21543</v>
      </c>
      <c r="L706" s="825">
        <v>0</v>
      </c>
      <c r="M706" s="825"/>
      <c r="N706" s="826">
        <v>11021</v>
      </c>
      <c r="O706" s="826">
        <v>101733</v>
      </c>
      <c r="P706" s="826">
        <v>0</v>
      </c>
      <c r="Q706" s="825">
        <v>14308</v>
      </c>
      <c r="R706" s="825"/>
      <c r="S706" s="826">
        <v>84069</v>
      </c>
      <c r="T706" s="827">
        <v>-5891</v>
      </c>
      <c r="U706" s="827">
        <v>78179</v>
      </c>
    </row>
    <row r="707" spans="1:21" x14ac:dyDescent="0.25">
      <c r="A707" s="822">
        <v>97837</v>
      </c>
      <c r="B707" s="823" t="s">
        <v>3270</v>
      </c>
      <c r="C707" s="824">
        <v>8.8000000000000004E-6</v>
      </c>
      <c r="D707" s="824">
        <v>1.3699999999999999E-5</v>
      </c>
      <c r="E707" s="825">
        <v>6597.01</v>
      </c>
      <c r="F707" s="825">
        <v>6148</v>
      </c>
      <c r="G707" s="825">
        <v>18677</v>
      </c>
      <c r="H707" s="825"/>
      <c r="I707" s="826">
        <v>351</v>
      </c>
      <c r="J707" s="826">
        <v>16367</v>
      </c>
      <c r="K707" s="826">
        <v>1279</v>
      </c>
      <c r="L707" s="825">
        <v>2093</v>
      </c>
      <c r="M707" s="825"/>
      <c r="N707" s="826">
        <v>654</v>
      </c>
      <c r="O707" s="826">
        <v>6041</v>
      </c>
      <c r="P707" s="826">
        <v>0</v>
      </c>
      <c r="Q707" s="825">
        <v>289</v>
      </c>
      <c r="R707" s="825"/>
      <c r="S707" s="826">
        <v>4992</v>
      </c>
      <c r="T707" s="827">
        <v>751</v>
      </c>
      <c r="U707" s="827">
        <v>5743</v>
      </c>
    </row>
    <row r="708" spans="1:21" x14ac:dyDescent="0.25">
      <c r="A708" s="822">
        <v>97840</v>
      </c>
      <c r="B708" s="823" t="s">
        <v>3271</v>
      </c>
      <c r="C708" s="824">
        <v>1.403E-4</v>
      </c>
      <c r="D708" s="824">
        <v>1.4799999999999999E-4</v>
      </c>
      <c r="E708" s="825">
        <v>98734.69</v>
      </c>
      <c r="F708" s="825">
        <v>66422</v>
      </c>
      <c r="G708" s="825">
        <v>297764</v>
      </c>
      <c r="H708" s="825"/>
      <c r="I708" s="826">
        <v>5594</v>
      </c>
      <c r="J708" s="826">
        <v>260936</v>
      </c>
      <c r="K708" s="826">
        <v>20394</v>
      </c>
      <c r="L708" s="825">
        <v>64083</v>
      </c>
      <c r="M708" s="825"/>
      <c r="N708" s="826">
        <v>10434</v>
      </c>
      <c r="O708" s="826">
        <v>96310</v>
      </c>
      <c r="P708" s="826">
        <v>0</v>
      </c>
      <c r="Q708" s="825">
        <v>1938</v>
      </c>
      <c r="R708" s="825"/>
      <c r="S708" s="826">
        <v>79588</v>
      </c>
      <c r="T708" s="827">
        <v>19035</v>
      </c>
      <c r="U708" s="827">
        <v>98623</v>
      </c>
    </row>
    <row r="709" spans="1:21" x14ac:dyDescent="0.25">
      <c r="A709" s="822">
        <v>97841</v>
      </c>
      <c r="B709" s="823" t="s">
        <v>3272</v>
      </c>
      <c r="C709" s="824">
        <v>1.45E-5</v>
      </c>
      <c r="D709" s="824">
        <v>1.5699999999999999E-5</v>
      </c>
      <c r="E709" s="825">
        <v>6090.83</v>
      </c>
      <c r="F709" s="825">
        <v>7046</v>
      </c>
      <c r="G709" s="825">
        <v>30774</v>
      </c>
      <c r="H709" s="825"/>
      <c r="I709" s="826">
        <v>578.1875</v>
      </c>
      <c r="J709" s="826">
        <v>26968</v>
      </c>
      <c r="K709" s="826">
        <v>2108</v>
      </c>
      <c r="L709" s="825">
        <v>636</v>
      </c>
      <c r="M709" s="825"/>
      <c r="N709" s="826">
        <v>1078</v>
      </c>
      <c r="O709" s="826">
        <v>9954</v>
      </c>
      <c r="P709" s="826">
        <v>0</v>
      </c>
      <c r="Q709" s="825">
        <v>8091</v>
      </c>
      <c r="R709" s="825"/>
      <c r="S709" s="826">
        <v>8225</v>
      </c>
      <c r="T709" s="827">
        <v>-3707</v>
      </c>
      <c r="U709" s="827">
        <v>4519</v>
      </c>
    </row>
    <row r="710" spans="1:21" x14ac:dyDescent="0.25">
      <c r="A710" s="822">
        <v>97847</v>
      </c>
      <c r="B710" s="823" t="s">
        <v>3273</v>
      </c>
      <c r="C710" s="824">
        <v>2.2000000000000001E-6</v>
      </c>
      <c r="D710" s="824">
        <v>2.7E-6</v>
      </c>
      <c r="E710" s="825">
        <v>1834</v>
      </c>
      <c r="F710" s="825">
        <v>1212</v>
      </c>
      <c r="G710" s="825">
        <v>4669</v>
      </c>
      <c r="H710" s="825"/>
      <c r="I710" s="826">
        <v>88</v>
      </c>
      <c r="J710" s="826">
        <v>4092</v>
      </c>
      <c r="K710" s="826">
        <v>320</v>
      </c>
      <c r="L710" s="825">
        <v>650</v>
      </c>
      <c r="M710" s="825"/>
      <c r="N710" s="826">
        <v>164</v>
      </c>
      <c r="O710" s="826">
        <v>1510</v>
      </c>
      <c r="P710" s="826">
        <v>0</v>
      </c>
      <c r="Q710" s="825">
        <v>145</v>
      </c>
      <c r="R710" s="825"/>
      <c r="S710" s="826">
        <v>1248</v>
      </c>
      <c r="T710" s="827">
        <v>113</v>
      </c>
      <c r="U710" s="827">
        <v>1361</v>
      </c>
    </row>
    <row r="711" spans="1:21" x14ac:dyDescent="0.25">
      <c r="A711" s="822">
        <v>97851</v>
      </c>
      <c r="B711" s="823" t="s">
        <v>3274</v>
      </c>
      <c r="C711" s="824">
        <v>2.7460000000000001E-4</v>
      </c>
      <c r="D711" s="824">
        <v>2.7E-4</v>
      </c>
      <c r="E711" s="825">
        <v>101247</v>
      </c>
      <c r="F711" s="825">
        <v>121174.38</v>
      </c>
      <c r="G711" s="825">
        <v>582793</v>
      </c>
      <c r="H711" s="825"/>
      <c r="I711" s="826">
        <v>10950</v>
      </c>
      <c r="J711" s="826">
        <v>510713</v>
      </c>
      <c r="K711" s="826">
        <v>39916</v>
      </c>
      <c r="L711" s="825">
        <v>2911</v>
      </c>
      <c r="M711" s="825"/>
      <c r="N711" s="826">
        <v>20422</v>
      </c>
      <c r="O711" s="826">
        <v>188501</v>
      </c>
      <c r="P711" s="826">
        <v>0</v>
      </c>
      <c r="Q711" s="825">
        <v>8317</v>
      </c>
      <c r="R711" s="825"/>
      <c r="S711" s="826">
        <v>155772</v>
      </c>
      <c r="T711" s="827">
        <v>-838</v>
      </c>
      <c r="U711" s="827">
        <v>154934</v>
      </c>
    </row>
    <row r="712" spans="1:21" x14ac:dyDescent="0.25">
      <c r="A712" s="822">
        <v>97853</v>
      </c>
      <c r="B712" s="823" t="s">
        <v>3275</v>
      </c>
      <c r="C712" s="824">
        <v>9.1600000000000004E-5</v>
      </c>
      <c r="D712" s="824">
        <v>1.114E-4</v>
      </c>
      <c r="E712" s="825">
        <v>34607</v>
      </c>
      <c r="F712" s="825">
        <v>49996</v>
      </c>
      <c r="G712" s="825">
        <v>194406</v>
      </c>
      <c r="H712" s="825"/>
      <c r="I712" s="826">
        <v>3652.55</v>
      </c>
      <c r="J712" s="826">
        <v>170362</v>
      </c>
      <c r="K712" s="826">
        <v>13315</v>
      </c>
      <c r="L712" s="825">
        <v>6323</v>
      </c>
      <c r="M712" s="825"/>
      <c r="N712" s="826">
        <v>6812</v>
      </c>
      <c r="O712" s="826">
        <v>62880</v>
      </c>
      <c r="P712" s="826">
        <v>0</v>
      </c>
      <c r="Q712" s="825">
        <v>13159</v>
      </c>
      <c r="R712" s="825"/>
      <c r="S712" s="826">
        <v>51962</v>
      </c>
      <c r="T712" s="827">
        <v>-826</v>
      </c>
      <c r="U712" s="827">
        <v>51136</v>
      </c>
    </row>
    <row r="713" spans="1:21" x14ac:dyDescent="0.25">
      <c r="A713" s="822">
        <v>97861</v>
      </c>
      <c r="B713" s="823" t="s">
        <v>3276</v>
      </c>
      <c r="C713" s="824">
        <v>6.8499999999999998E-5</v>
      </c>
      <c r="D713" s="824">
        <v>6.6799999999999997E-5</v>
      </c>
      <c r="E713" s="825">
        <v>25466</v>
      </c>
      <c r="F713" s="825">
        <v>29979</v>
      </c>
      <c r="G713" s="825">
        <v>145380</v>
      </c>
      <c r="H713" s="825"/>
      <c r="I713" s="826">
        <v>2731.4375</v>
      </c>
      <c r="J713" s="826">
        <v>127399</v>
      </c>
      <c r="K713" s="826">
        <v>9957</v>
      </c>
      <c r="L713" s="825">
        <v>2745</v>
      </c>
      <c r="M713" s="825"/>
      <c r="N713" s="826">
        <v>5094</v>
      </c>
      <c r="O713" s="826">
        <v>47022</v>
      </c>
      <c r="P713" s="826">
        <v>0</v>
      </c>
      <c r="Q713" s="825">
        <v>8154</v>
      </c>
      <c r="R713" s="825"/>
      <c r="S713" s="826">
        <v>38858</v>
      </c>
      <c r="T713" s="827">
        <v>-2826</v>
      </c>
      <c r="U713" s="827">
        <v>36032</v>
      </c>
    </row>
    <row r="714" spans="1:21" x14ac:dyDescent="0.25">
      <c r="A714" s="822">
        <v>97871</v>
      </c>
      <c r="B714" s="823" t="s">
        <v>3277</v>
      </c>
      <c r="C714" s="824">
        <v>3.1500000000000001E-4</v>
      </c>
      <c r="D714" s="824">
        <v>3.1530000000000002E-4</v>
      </c>
      <c r="E714" s="825">
        <v>247766</v>
      </c>
      <c r="F714" s="825">
        <v>141505</v>
      </c>
      <c r="G714" s="825">
        <v>668536</v>
      </c>
      <c r="H714" s="825"/>
      <c r="I714" s="826">
        <v>12560.625</v>
      </c>
      <c r="J714" s="826">
        <v>585850.23</v>
      </c>
      <c r="K714" s="826">
        <v>45789</v>
      </c>
      <c r="L714" s="825">
        <v>173467</v>
      </c>
      <c r="M714" s="825"/>
      <c r="N714" s="826">
        <v>23426</v>
      </c>
      <c r="O714" s="826">
        <v>216234</v>
      </c>
      <c r="P714" s="826">
        <v>0</v>
      </c>
      <c r="Q714" s="825">
        <v>0</v>
      </c>
      <c r="R714" s="825"/>
      <c r="S714" s="826">
        <v>178690</v>
      </c>
      <c r="T714" s="827">
        <v>54798</v>
      </c>
      <c r="U714" s="827">
        <v>233488</v>
      </c>
    </row>
    <row r="715" spans="1:21" x14ac:dyDescent="0.25">
      <c r="A715" s="822">
        <v>97877</v>
      </c>
      <c r="B715" s="823" t="s">
        <v>3278</v>
      </c>
      <c r="C715" s="824">
        <v>2.2000000000000001E-6</v>
      </c>
      <c r="D715" s="824">
        <v>2.6000000000000001E-6</v>
      </c>
      <c r="E715" s="825">
        <v>1917</v>
      </c>
      <c r="F715" s="825">
        <v>1167</v>
      </c>
      <c r="G715" s="825">
        <v>4669</v>
      </c>
      <c r="H715" s="825"/>
      <c r="I715" s="826">
        <v>88</v>
      </c>
      <c r="J715" s="826">
        <v>4092</v>
      </c>
      <c r="K715" s="826">
        <v>320</v>
      </c>
      <c r="L715" s="825">
        <v>1306</v>
      </c>
      <c r="M715" s="825"/>
      <c r="N715" s="826">
        <v>164</v>
      </c>
      <c r="O715" s="826">
        <v>1510</v>
      </c>
      <c r="P715" s="826">
        <v>0</v>
      </c>
      <c r="Q715" s="825">
        <v>0</v>
      </c>
      <c r="R715" s="825"/>
      <c r="S715" s="826">
        <v>1248</v>
      </c>
      <c r="T715" s="827">
        <v>452</v>
      </c>
      <c r="U715" s="827">
        <v>1700</v>
      </c>
    </row>
    <row r="716" spans="1:21" x14ac:dyDescent="0.25">
      <c r="A716" s="822">
        <v>97901</v>
      </c>
      <c r="B716" s="823" t="s">
        <v>3279</v>
      </c>
      <c r="C716" s="824">
        <v>4.3616999999999996E-3</v>
      </c>
      <c r="D716" s="824">
        <v>4.2928000000000003E-3</v>
      </c>
      <c r="E716" s="825">
        <v>1721465.11</v>
      </c>
      <c r="F716" s="825">
        <v>1926583</v>
      </c>
      <c r="G716" s="825">
        <v>9256989</v>
      </c>
      <c r="H716" s="825"/>
      <c r="I716" s="826">
        <v>173923</v>
      </c>
      <c r="J716" s="826">
        <v>8112073</v>
      </c>
      <c r="K716" s="826">
        <v>634021</v>
      </c>
      <c r="L716" s="825">
        <v>76379</v>
      </c>
      <c r="M716" s="825"/>
      <c r="N716" s="826">
        <v>324375</v>
      </c>
      <c r="O716" s="826">
        <v>2994124</v>
      </c>
      <c r="P716" s="826">
        <v>0</v>
      </c>
      <c r="Q716" s="825">
        <v>20062</v>
      </c>
      <c r="R716" s="825"/>
      <c r="S716" s="826">
        <v>2474257</v>
      </c>
      <c r="T716" s="827">
        <v>24654</v>
      </c>
      <c r="U716" s="827">
        <v>2498911</v>
      </c>
    </row>
    <row r="717" spans="1:21" x14ac:dyDescent="0.25">
      <c r="A717" s="822">
        <v>97911</v>
      </c>
      <c r="B717" s="823" t="s">
        <v>3280</v>
      </c>
      <c r="C717" s="824">
        <v>1.3190000000000001E-3</v>
      </c>
      <c r="D717" s="824">
        <v>1.4008E-3</v>
      </c>
      <c r="E717" s="825">
        <v>549902</v>
      </c>
      <c r="F717" s="825">
        <v>628671</v>
      </c>
      <c r="G717" s="825">
        <v>2799360</v>
      </c>
      <c r="H717" s="825"/>
      <c r="I717" s="826">
        <v>52595.125</v>
      </c>
      <c r="J717" s="826">
        <v>2453132</v>
      </c>
      <c r="K717" s="826">
        <v>191731</v>
      </c>
      <c r="L717" s="825">
        <v>50935</v>
      </c>
      <c r="M717" s="825"/>
      <c r="N717" s="826">
        <v>98093</v>
      </c>
      <c r="O717" s="826">
        <v>905438</v>
      </c>
      <c r="P717" s="826">
        <v>0</v>
      </c>
      <c r="Q717" s="825">
        <v>38377</v>
      </c>
      <c r="R717" s="825"/>
      <c r="S717" s="826">
        <v>748228</v>
      </c>
      <c r="T717" s="827">
        <v>10404</v>
      </c>
      <c r="U717" s="827">
        <v>758632</v>
      </c>
    </row>
    <row r="718" spans="1:21" x14ac:dyDescent="0.25">
      <c r="A718" s="822">
        <v>97913</v>
      </c>
      <c r="B718" s="823" t="s">
        <v>3281</v>
      </c>
      <c r="C718" s="824">
        <v>3.7400000000000001E-5</v>
      </c>
      <c r="D718" s="824">
        <v>3.7700000000000002E-5</v>
      </c>
      <c r="E718" s="825">
        <v>23994.67</v>
      </c>
      <c r="F718" s="825">
        <v>16920</v>
      </c>
      <c r="G718" s="825">
        <v>79375</v>
      </c>
      <c r="H718" s="825"/>
      <c r="I718" s="826">
        <v>1491.325</v>
      </c>
      <c r="J718" s="826">
        <v>69558</v>
      </c>
      <c r="K718" s="826">
        <v>5437</v>
      </c>
      <c r="L718" s="825">
        <v>11163</v>
      </c>
      <c r="M718" s="825"/>
      <c r="N718" s="826">
        <v>2781</v>
      </c>
      <c r="O718" s="826">
        <v>25674</v>
      </c>
      <c r="P718" s="826">
        <v>0</v>
      </c>
      <c r="Q718" s="825">
        <v>0</v>
      </c>
      <c r="R718" s="825"/>
      <c r="S718" s="826">
        <v>21216</v>
      </c>
      <c r="T718" s="827">
        <v>3404</v>
      </c>
      <c r="U718" s="827">
        <v>24620</v>
      </c>
    </row>
    <row r="719" spans="1:21" x14ac:dyDescent="0.25">
      <c r="A719" s="822">
        <v>97917</v>
      </c>
      <c r="B719" s="823" t="s">
        <v>3282</v>
      </c>
      <c r="C719" s="824">
        <v>1.98E-5</v>
      </c>
      <c r="D719" s="824">
        <v>2.0599999999999999E-5</v>
      </c>
      <c r="E719" s="825">
        <v>11950</v>
      </c>
      <c r="F719" s="825">
        <v>9245</v>
      </c>
      <c r="G719" s="825">
        <v>42022</v>
      </c>
      <c r="H719" s="825"/>
      <c r="I719" s="826">
        <v>789.52499999999998</v>
      </c>
      <c r="J719" s="826">
        <v>36825</v>
      </c>
      <c r="K719" s="826">
        <v>2878</v>
      </c>
      <c r="L719" s="825">
        <v>6195</v>
      </c>
      <c r="M719" s="825"/>
      <c r="N719" s="826">
        <v>1473</v>
      </c>
      <c r="O719" s="826">
        <v>13592</v>
      </c>
      <c r="P719" s="826">
        <v>0</v>
      </c>
      <c r="Q719" s="825">
        <v>0</v>
      </c>
      <c r="R719" s="825"/>
      <c r="S719" s="826">
        <v>11232</v>
      </c>
      <c r="T719" s="827">
        <v>2211</v>
      </c>
      <c r="U719" s="827">
        <v>13443</v>
      </c>
    </row>
    <row r="720" spans="1:21" x14ac:dyDescent="0.25">
      <c r="A720" s="822">
        <v>97921</v>
      </c>
      <c r="B720" s="823" t="s">
        <v>3283</v>
      </c>
      <c r="C720" s="824">
        <v>2.2169999999999999E-4</v>
      </c>
      <c r="D720" s="824">
        <v>2.3599999999999999E-4</v>
      </c>
      <c r="E720" s="825">
        <v>93980.13</v>
      </c>
      <c r="F720" s="825">
        <v>105915</v>
      </c>
      <c r="G720" s="825">
        <v>470522</v>
      </c>
      <c r="H720" s="825"/>
      <c r="I720" s="826">
        <v>8840</v>
      </c>
      <c r="J720" s="826">
        <v>412327</v>
      </c>
      <c r="K720" s="826">
        <v>32227</v>
      </c>
      <c r="L720" s="825">
        <v>17914</v>
      </c>
      <c r="M720" s="825"/>
      <c r="N720" s="826">
        <v>16488</v>
      </c>
      <c r="O720" s="826">
        <v>152188</v>
      </c>
      <c r="P720" s="826">
        <v>0</v>
      </c>
      <c r="Q720" s="825">
        <v>8707</v>
      </c>
      <c r="R720" s="825"/>
      <c r="S720" s="826">
        <v>125764</v>
      </c>
      <c r="T720" s="827">
        <v>3320</v>
      </c>
      <c r="U720" s="827">
        <v>129084</v>
      </c>
    </row>
    <row r="721" spans="1:21" x14ac:dyDescent="0.25">
      <c r="A721" s="822">
        <v>97931</v>
      </c>
      <c r="B721" s="823" t="s">
        <v>3284</v>
      </c>
      <c r="C721" s="824">
        <v>6.1600000000000007E-5</v>
      </c>
      <c r="D721" s="824">
        <v>6.7999999999999999E-5</v>
      </c>
      <c r="E721" s="825">
        <v>26190.6</v>
      </c>
      <c r="F721" s="825">
        <v>30518</v>
      </c>
      <c r="G721" s="825">
        <v>130736</v>
      </c>
      <c r="H721" s="825"/>
      <c r="I721" s="826">
        <v>2456</v>
      </c>
      <c r="J721" s="826">
        <v>114566</v>
      </c>
      <c r="K721" s="826">
        <v>8954</v>
      </c>
      <c r="L721" s="825">
        <v>19564</v>
      </c>
      <c r="M721" s="825"/>
      <c r="N721" s="826">
        <v>4581</v>
      </c>
      <c r="O721" s="826">
        <v>42286</v>
      </c>
      <c r="P721" s="826">
        <v>0</v>
      </c>
      <c r="Q721" s="825">
        <v>13697</v>
      </c>
      <c r="R721" s="825"/>
      <c r="S721" s="826">
        <v>34944</v>
      </c>
      <c r="T721" s="827">
        <v>733</v>
      </c>
      <c r="U721" s="827">
        <v>35677</v>
      </c>
    </row>
    <row r="722" spans="1:21" x14ac:dyDescent="0.25">
      <c r="A722" s="822">
        <v>97941</v>
      </c>
      <c r="B722" s="823" t="s">
        <v>3285</v>
      </c>
      <c r="C722" s="824">
        <v>2.3330000000000001E-4</v>
      </c>
      <c r="D722" s="824">
        <v>2.3120000000000001E-4</v>
      </c>
      <c r="E722" s="825">
        <v>99201.06</v>
      </c>
      <c r="F722" s="825">
        <v>103761</v>
      </c>
      <c r="G722" s="825">
        <v>495141</v>
      </c>
      <c r="H722" s="825"/>
      <c r="I722" s="826">
        <v>9303</v>
      </c>
      <c r="J722" s="826">
        <v>433901</v>
      </c>
      <c r="K722" s="826">
        <v>33913</v>
      </c>
      <c r="L722" s="825">
        <v>27337</v>
      </c>
      <c r="M722" s="825"/>
      <c r="N722" s="826">
        <v>17350</v>
      </c>
      <c r="O722" s="826">
        <v>160151</v>
      </c>
      <c r="P722" s="826">
        <v>0</v>
      </c>
      <c r="Q722" s="825">
        <v>299</v>
      </c>
      <c r="R722" s="825"/>
      <c r="S722" s="826">
        <v>132344</v>
      </c>
      <c r="T722" s="827">
        <v>9188</v>
      </c>
      <c r="U722" s="827">
        <v>141532</v>
      </c>
    </row>
    <row r="723" spans="1:21" x14ac:dyDescent="0.25">
      <c r="A723" s="822">
        <v>97947</v>
      </c>
      <c r="B723" s="823" t="s">
        <v>3286</v>
      </c>
      <c r="C723" s="824">
        <v>1.5500000000000001E-5</v>
      </c>
      <c r="D723" s="824">
        <v>1.1199999999999999E-5</v>
      </c>
      <c r="E723" s="825">
        <v>11155</v>
      </c>
      <c r="F723" s="825">
        <v>5026</v>
      </c>
      <c r="G723" s="825">
        <v>32896</v>
      </c>
      <c r="H723" s="825"/>
      <c r="I723" s="826">
        <v>618.0625</v>
      </c>
      <c r="J723" s="826">
        <v>28828</v>
      </c>
      <c r="K723" s="826">
        <v>2253</v>
      </c>
      <c r="L723" s="825">
        <v>9195</v>
      </c>
      <c r="M723" s="825"/>
      <c r="N723" s="826">
        <v>1153</v>
      </c>
      <c r="O723" s="826">
        <v>10640</v>
      </c>
      <c r="P723" s="826">
        <v>0</v>
      </c>
      <c r="Q723" s="825">
        <v>615</v>
      </c>
      <c r="R723" s="825"/>
      <c r="S723" s="826">
        <v>8793</v>
      </c>
      <c r="T723" s="827">
        <v>2366</v>
      </c>
      <c r="U723" s="827">
        <v>11159</v>
      </c>
    </row>
    <row r="724" spans="1:21" x14ac:dyDescent="0.25">
      <c r="A724" s="822">
        <v>97948</v>
      </c>
      <c r="B724" s="823" t="s">
        <v>3287</v>
      </c>
      <c r="C724" s="824">
        <v>3.5200000000000002E-5</v>
      </c>
      <c r="D724" s="824">
        <v>3.43E-5</v>
      </c>
      <c r="E724" s="825">
        <v>13688</v>
      </c>
      <c r="F724" s="825">
        <v>15394</v>
      </c>
      <c r="G724" s="825">
        <v>74706</v>
      </c>
      <c r="H724" s="825"/>
      <c r="I724" s="826">
        <v>1404</v>
      </c>
      <c r="J724" s="826">
        <v>65466</v>
      </c>
      <c r="K724" s="826">
        <v>5117</v>
      </c>
      <c r="L724" s="825">
        <v>3029</v>
      </c>
      <c r="M724" s="825"/>
      <c r="N724" s="826">
        <v>2618</v>
      </c>
      <c r="O724" s="826">
        <v>24163</v>
      </c>
      <c r="P724" s="826">
        <v>0</v>
      </c>
      <c r="Q724" s="825">
        <v>138</v>
      </c>
      <c r="R724" s="825"/>
      <c r="S724" s="826">
        <v>19968</v>
      </c>
      <c r="T724" s="827">
        <v>1084</v>
      </c>
      <c r="U724" s="827">
        <v>21052</v>
      </c>
    </row>
    <row r="725" spans="1:21" x14ac:dyDescent="0.25">
      <c r="A725" s="822">
        <v>97951</v>
      </c>
      <c r="B725" s="823" t="s">
        <v>3288</v>
      </c>
      <c r="C725" s="824">
        <v>1.2497000000000001E-3</v>
      </c>
      <c r="D725" s="824">
        <v>1.2842000000000001E-3</v>
      </c>
      <c r="E725" s="825">
        <v>544314.75</v>
      </c>
      <c r="F725" s="825">
        <v>576341</v>
      </c>
      <c r="G725" s="825">
        <v>2652282</v>
      </c>
      <c r="H725" s="825"/>
      <c r="I725" s="826">
        <v>49832</v>
      </c>
      <c r="J725" s="826">
        <v>2324245</v>
      </c>
      <c r="K725" s="826">
        <v>181658</v>
      </c>
      <c r="L725" s="825">
        <v>21304</v>
      </c>
      <c r="M725" s="825"/>
      <c r="N725" s="826">
        <v>92939</v>
      </c>
      <c r="O725" s="826">
        <v>857867</v>
      </c>
      <c r="P725" s="826">
        <v>0</v>
      </c>
      <c r="Q725" s="825">
        <v>14204.62</v>
      </c>
      <c r="R725" s="825"/>
      <c r="S725" s="826">
        <v>708916</v>
      </c>
      <c r="T725" s="827">
        <v>-103</v>
      </c>
      <c r="U725" s="827">
        <v>708813</v>
      </c>
    </row>
    <row r="726" spans="1:21" x14ac:dyDescent="0.25">
      <c r="A726" s="822">
        <v>97957</v>
      </c>
      <c r="B726" s="823" t="s">
        <v>3289</v>
      </c>
      <c r="C726" s="824">
        <v>1.9599999999999999E-5</v>
      </c>
      <c r="D726" s="824">
        <v>1.9899999999999999E-5</v>
      </c>
      <c r="E726" s="825">
        <v>11054</v>
      </c>
      <c r="F726" s="825">
        <v>8931</v>
      </c>
      <c r="G726" s="825">
        <v>41598</v>
      </c>
      <c r="H726" s="825"/>
      <c r="I726" s="826">
        <v>781.55</v>
      </c>
      <c r="J726" s="826">
        <v>36453</v>
      </c>
      <c r="K726" s="826">
        <v>2849</v>
      </c>
      <c r="L726" s="825">
        <v>2215</v>
      </c>
      <c r="M726" s="825"/>
      <c r="N726" s="826">
        <v>1458</v>
      </c>
      <c r="O726" s="826">
        <v>13455</v>
      </c>
      <c r="P726" s="826">
        <v>0</v>
      </c>
      <c r="Q726" s="825">
        <v>1781</v>
      </c>
      <c r="R726" s="825"/>
      <c r="S726" s="826">
        <v>11118</v>
      </c>
      <c r="T726" s="827">
        <v>-84</v>
      </c>
      <c r="U726" s="827">
        <v>11035</v>
      </c>
    </row>
    <row r="727" spans="1:21" x14ac:dyDescent="0.25">
      <c r="A727" s="822">
        <v>98001</v>
      </c>
      <c r="B727" s="823" t="s">
        <v>3290</v>
      </c>
      <c r="C727" s="824">
        <v>4.9659999999999999E-3</v>
      </c>
      <c r="D727" s="824">
        <v>4.9379999999999997E-3</v>
      </c>
      <c r="E727" s="825">
        <v>2027252.35</v>
      </c>
      <c r="F727" s="825">
        <v>2216145</v>
      </c>
      <c r="G727" s="825">
        <v>10539516</v>
      </c>
      <c r="H727" s="825"/>
      <c r="I727" s="826">
        <v>198019.25</v>
      </c>
      <c r="J727" s="826">
        <v>9235975</v>
      </c>
      <c r="K727" s="826">
        <v>721863</v>
      </c>
      <c r="L727" s="825">
        <v>119593</v>
      </c>
      <c r="M727" s="825"/>
      <c r="N727" s="826">
        <v>369316</v>
      </c>
      <c r="O727" s="826">
        <v>3408950</v>
      </c>
      <c r="P727" s="826">
        <v>0</v>
      </c>
      <c r="Q727" s="825">
        <v>0</v>
      </c>
      <c r="R727" s="825"/>
      <c r="S727" s="826">
        <v>2817058</v>
      </c>
      <c r="T727" s="827">
        <v>52585</v>
      </c>
      <c r="U727" s="827">
        <v>2869642</v>
      </c>
    </row>
    <row r="728" spans="1:21" x14ac:dyDescent="0.25">
      <c r="A728" s="822">
        <v>98002</v>
      </c>
      <c r="B728" s="823" t="s">
        <v>3291</v>
      </c>
      <c r="C728" s="824">
        <v>7.3000000000000004E-6</v>
      </c>
      <c r="D728" s="824">
        <v>7.1999999999999997E-6</v>
      </c>
      <c r="E728" s="825">
        <v>3645</v>
      </c>
      <c r="F728" s="825">
        <v>3231</v>
      </c>
      <c r="G728" s="825">
        <v>15493</v>
      </c>
      <c r="H728" s="825"/>
      <c r="I728" s="826">
        <v>291</v>
      </c>
      <c r="J728" s="826">
        <v>13577</v>
      </c>
      <c r="K728" s="826">
        <v>1061</v>
      </c>
      <c r="L728" s="825">
        <v>799</v>
      </c>
      <c r="M728" s="825"/>
      <c r="N728" s="826">
        <v>543</v>
      </c>
      <c r="O728" s="826">
        <v>5011</v>
      </c>
      <c r="P728" s="826">
        <v>0</v>
      </c>
      <c r="Q728" s="825">
        <v>13050</v>
      </c>
      <c r="R728" s="825"/>
      <c r="S728" s="826">
        <v>4141</v>
      </c>
      <c r="T728" s="827">
        <v>-6329</v>
      </c>
      <c r="U728" s="827">
        <v>-2188</v>
      </c>
    </row>
    <row r="729" spans="1:21" x14ac:dyDescent="0.25">
      <c r="A729" s="822">
        <v>98003</v>
      </c>
      <c r="B729" s="823" t="s">
        <v>3292</v>
      </c>
      <c r="C729" s="824">
        <v>8.1600000000000005E-5</v>
      </c>
      <c r="D729" s="824">
        <v>6.8100000000000002E-5</v>
      </c>
      <c r="E729" s="825">
        <v>60648.32</v>
      </c>
      <c r="F729" s="825">
        <v>30563</v>
      </c>
      <c r="G729" s="825">
        <v>173183</v>
      </c>
      <c r="H729" s="825"/>
      <c r="I729" s="826">
        <v>3253.8</v>
      </c>
      <c r="J729" s="826">
        <v>151763</v>
      </c>
      <c r="K729" s="826">
        <v>11861</v>
      </c>
      <c r="L729" s="825">
        <v>41565</v>
      </c>
      <c r="M729" s="825"/>
      <c r="N729" s="826">
        <v>6069</v>
      </c>
      <c r="O729" s="826">
        <v>56015</v>
      </c>
      <c r="P729" s="826">
        <v>0</v>
      </c>
      <c r="Q729" s="825">
        <v>0</v>
      </c>
      <c r="R729" s="825"/>
      <c r="S729" s="826">
        <v>46289</v>
      </c>
      <c r="T729" s="827">
        <v>12223</v>
      </c>
      <c r="U729" s="827">
        <v>58512</v>
      </c>
    </row>
    <row r="730" spans="1:21" x14ac:dyDescent="0.25">
      <c r="A730" s="822">
        <v>98004</v>
      </c>
      <c r="B730" s="823" t="s">
        <v>3293</v>
      </c>
      <c r="C730" s="824">
        <v>1.209E-4</v>
      </c>
      <c r="D730" s="824">
        <v>1.2630000000000001E-4</v>
      </c>
      <c r="E730" s="825">
        <v>71693</v>
      </c>
      <c r="F730" s="825">
        <v>56683</v>
      </c>
      <c r="G730" s="825">
        <v>256590</v>
      </c>
      <c r="H730" s="825"/>
      <c r="I730" s="826">
        <v>4821</v>
      </c>
      <c r="J730" s="826">
        <v>224855</v>
      </c>
      <c r="K730" s="826">
        <v>17574</v>
      </c>
      <c r="L730" s="825">
        <v>29242</v>
      </c>
      <c r="M730" s="825"/>
      <c r="N730" s="826">
        <v>8991</v>
      </c>
      <c r="O730" s="826">
        <v>82993</v>
      </c>
      <c r="P730" s="826">
        <v>0</v>
      </c>
      <c r="Q730" s="825">
        <v>0</v>
      </c>
      <c r="R730" s="825"/>
      <c r="S730" s="826">
        <v>68583</v>
      </c>
      <c r="T730" s="827">
        <v>9885</v>
      </c>
      <c r="U730" s="827">
        <v>78468</v>
      </c>
    </row>
    <row r="731" spans="1:21" x14ac:dyDescent="0.25">
      <c r="A731" s="822">
        <v>98008</v>
      </c>
      <c r="B731" s="823" t="s">
        <v>3294</v>
      </c>
      <c r="C731" s="824">
        <v>7.7999999999999999E-6</v>
      </c>
      <c r="D731" s="824">
        <v>8.3000000000000002E-6</v>
      </c>
      <c r="E731" s="825">
        <v>3014</v>
      </c>
      <c r="F731" s="825">
        <v>3725</v>
      </c>
      <c r="G731" s="825">
        <v>16554</v>
      </c>
      <c r="H731" s="825"/>
      <c r="I731" s="826">
        <v>311</v>
      </c>
      <c r="J731" s="826">
        <v>14507</v>
      </c>
      <c r="K731" s="826">
        <v>1134</v>
      </c>
      <c r="L731" s="825">
        <v>0</v>
      </c>
      <c r="M731" s="825"/>
      <c r="N731" s="826">
        <v>580</v>
      </c>
      <c r="O731" s="826">
        <v>5354</v>
      </c>
      <c r="P731" s="826">
        <v>0</v>
      </c>
      <c r="Q731" s="825">
        <v>1300</v>
      </c>
      <c r="R731" s="825"/>
      <c r="S731" s="826">
        <v>4425</v>
      </c>
      <c r="T731" s="827">
        <v>-496</v>
      </c>
      <c r="U731" s="827">
        <v>3929</v>
      </c>
    </row>
    <row r="732" spans="1:21" x14ac:dyDescent="0.25">
      <c r="A732" s="822">
        <v>98011</v>
      </c>
      <c r="B732" s="823" t="s">
        <v>3295</v>
      </c>
      <c r="C732" s="824">
        <v>3.1795E-3</v>
      </c>
      <c r="D732" s="824">
        <v>3.5899E-3</v>
      </c>
      <c r="E732" s="825">
        <v>1249396</v>
      </c>
      <c r="F732" s="825">
        <v>1611126</v>
      </c>
      <c r="G732" s="825">
        <v>6747964</v>
      </c>
      <c r="H732" s="825"/>
      <c r="I732" s="826">
        <v>126783</v>
      </c>
      <c r="J732" s="826">
        <v>5913368</v>
      </c>
      <c r="K732" s="826">
        <v>462175</v>
      </c>
      <c r="L732" s="825">
        <v>0</v>
      </c>
      <c r="M732" s="825"/>
      <c r="N732" s="826">
        <v>236456</v>
      </c>
      <c r="O732" s="826">
        <v>2182593</v>
      </c>
      <c r="P732" s="826">
        <v>0</v>
      </c>
      <c r="Q732" s="825">
        <v>424125</v>
      </c>
      <c r="R732" s="825"/>
      <c r="S732" s="826">
        <v>1803632</v>
      </c>
      <c r="T732" s="827">
        <v>-139309</v>
      </c>
      <c r="U732" s="827">
        <v>1664322</v>
      </c>
    </row>
    <row r="733" spans="1:21" x14ac:dyDescent="0.25">
      <c r="A733" s="822">
        <v>98013</v>
      </c>
      <c r="B733" s="823" t="s">
        <v>3296</v>
      </c>
      <c r="C733" s="824">
        <v>1.426E-4</v>
      </c>
      <c r="D733" s="824">
        <v>1.427E-4</v>
      </c>
      <c r="E733" s="825">
        <v>126822.16</v>
      </c>
      <c r="F733" s="825">
        <v>64043</v>
      </c>
      <c r="G733" s="825">
        <v>302645</v>
      </c>
      <c r="H733" s="825"/>
      <c r="I733" s="826">
        <v>5686</v>
      </c>
      <c r="J733" s="826">
        <v>265213</v>
      </c>
      <c r="K733" s="826">
        <v>20728</v>
      </c>
      <c r="L733" s="825">
        <v>97343</v>
      </c>
      <c r="M733" s="825"/>
      <c r="N733" s="826">
        <v>10605</v>
      </c>
      <c r="O733" s="826">
        <v>97889</v>
      </c>
      <c r="P733" s="826">
        <v>0</v>
      </c>
      <c r="Q733" s="825">
        <v>4167</v>
      </c>
      <c r="R733" s="825"/>
      <c r="S733" s="826">
        <v>80893</v>
      </c>
      <c r="T733" s="827">
        <v>27256</v>
      </c>
      <c r="U733" s="827">
        <v>108149</v>
      </c>
    </row>
    <row r="734" spans="1:21" x14ac:dyDescent="0.25">
      <c r="A734" s="822">
        <v>98021</v>
      </c>
      <c r="B734" s="823" t="s">
        <v>3297</v>
      </c>
      <c r="C734" s="824">
        <v>7.5099999999999996E-5</v>
      </c>
      <c r="D734" s="824">
        <v>7.4099999999999999E-5</v>
      </c>
      <c r="E734" s="825">
        <v>28245.75</v>
      </c>
      <c r="F734" s="825">
        <v>33256</v>
      </c>
      <c r="G734" s="825">
        <v>159387</v>
      </c>
      <c r="H734" s="825"/>
      <c r="I734" s="826">
        <v>2995</v>
      </c>
      <c r="J734" s="826">
        <v>139674</v>
      </c>
      <c r="K734" s="826">
        <v>10917</v>
      </c>
      <c r="L734" s="825">
        <v>20868</v>
      </c>
      <c r="M734" s="825"/>
      <c r="N734" s="826">
        <v>5585</v>
      </c>
      <c r="O734" s="826">
        <v>51553</v>
      </c>
      <c r="P734" s="826">
        <v>0</v>
      </c>
      <c r="Q734" s="825">
        <v>1894</v>
      </c>
      <c r="R734" s="825"/>
      <c r="S734" s="826">
        <v>42602</v>
      </c>
      <c r="T734" s="827">
        <v>6826</v>
      </c>
      <c r="U734" s="827">
        <v>49428</v>
      </c>
    </row>
    <row r="735" spans="1:21" x14ac:dyDescent="0.25">
      <c r="A735" s="822">
        <v>98023</v>
      </c>
      <c r="B735" s="823" t="s">
        <v>3298</v>
      </c>
      <c r="C735" s="824">
        <v>1.45E-5</v>
      </c>
      <c r="D735" s="824">
        <v>2.1500000000000001E-5</v>
      </c>
      <c r="E735" s="825">
        <v>6210.57</v>
      </c>
      <c r="F735" s="825">
        <v>9649</v>
      </c>
      <c r="G735" s="825">
        <v>30774</v>
      </c>
      <c r="H735" s="825"/>
      <c r="I735" s="826">
        <v>578.1875</v>
      </c>
      <c r="J735" s="826">
        <v>26968</v>
      </c>
      <c r="K735" s="826">
        <v>2108</v>
      </c>
      <c r="L735" s="825">
        <v>0</v>
      </c>
      <c r="M735" s="825"/>
      <c r="N735" s="826">
        <v>1078</v>
      </c>
      <c r="O735" s="826">
        <v>9954</v>
      </c>
      <c r="P735" s="826">
        <v>0</v>
      </c>
      <c r="Q735" s="825">
        <v>7858</v>
      </c>
      <c r="R735" s="825"/>
      <c r="S735" s="826">
        <v>8225</v>
      </c>
      <c r="T735" s="827">
        <v>-2638</v>
      </c>
      <c r="U735" s="827">
        <v>5587</v>
      </c>
    </row>
    <row r="736" spans="1:21" x14ac:dyDescent="0.25">
      <c r="A736" s="822">
        <v>98031</v>
      </c>
      <c r="B736" s="823" t="s">
        <v>3299</v>
      </c>
      <c r="C736" s="824">
        <v>1.5530000000000001E-4</v>
      </c>
      <c r="D736" s="824">
        <v>1.7009999999999999E-4</v>
      </c>
      <c r="E736" s="825">
        <v>66785.13</v>
      </c>
      <c r="F736" s="825">
        <v>76340</v>
      </c>
      <c r="G736" s="825">
        <v>329599</v>
      </c>
      <c r="H736" s="825"/>
      <c r="I736" s="826">
        <v>6193</v>
      </c>
      <c r="J736" s="826">
        <v>288833</v>
      </c>
      <c r="K736" s="826">
        <v>22575</v>
      </c>
      <c r="L736" s="825">
        <v>7207</v>
      </c>
      <c r="M736" s="825"/>
      <c r="N736" s="826">
        <v>11550</v>
      </c>
      <c r="O736" s="826">
        <v>106607</v>
      </c>
      <c r="P736" s="826">
        <v>0</v>
      </c>
      <c r="Q736" s="825">
        <v>8978</v>
      </c>
      <c r="R736" s="825"/>
      <c r="S736" s="826">
        <v>88097</v>
      </c>
      <c r="T736" s="827">
        <v>-569</v>
      </c>
      <c r="U736" s="827">
        <v>87528</v>
      </c>
    </row>
    <row r="737" spans="1:21" x14ac:dyDescent="0.25">
      <c r="A737" s="822">
        <v>98041</v>
      </c>
      <c r="B737" s="823" t="s">
        <v>3300</v>
      </c>
      <c r="C737" s="824">
        <v>1.6559999999999999E-4</v>
      </c>
      <c r="D737" s="824">
        <v>1.438E-4</v>
      </c>
      <c r="E737" s="825">
        <v>62577.35</v>
      </c>
      <c r="F737" s="825">
        <v>64537</v>
      </c>
      <c r="G737" s="825">
        <v>351459</v>
      </c>
      <c r="H737" s="825"/>
      <c r="I737" s="826">
        <v>6603</v>
      </c>
      <c r="J737" s="826">
        <v>307990</v>
      </c>
      <c r="K737" s="826">
        <v>24072</v>
      </c>
      <c r="L737" s="825">
        <v>7422</v>
      </c>
      <c r="M737" s="825"/>
      <c r="N737" s="826">
        <v>12316</v>
      </c>
      <c r="O737" s="826">
        <v>113677</v>
      </c>
      <c r="P737" s="826">
        <v>0</v>
      </c>
      <c r="Q737" s="825">
        <v>9673</v>
      </c>
      <c r="R737" s="825"/>
      <c r="S737" s="826">
        <v>93940</v>
      </c>
      <c r="T737" s="827">
        <v>-1971</v>
      </c>
      <c r="U737" s="827">
        <v>91969</v>
      </c>
    </row>
    <row r="738" spans="1:21" x14ac:dyDescent="0.25">
      <c r="A738" s="822">
        <v>98051</v>
      </c>
      <c r="B738" s="823" t="s">
        <v>3301</v>
      </c>
      <c r="C738" s="824">
        <v>3.0019999999999998E-4</v>
      </c>
      <c r="D738" s="824">
        <v>2.699E-4</v>
      </c>
      <c r="E738" s="825">
        <v>123086</v>
      </c>
      <c r="F738" s="825">
        <v>121130</v>
      </c>
      <c r="G738" s="825">
        <v>637125</v>
      </c>
      <c r="H738" s="825"/>
      <c r="I738" s="826">
        <v>11970</v>
      </c>
      <c r="J738" s="826">
        <v>558325</v>
      </c>
      <c r="K738" s="826">
        <v>43637</v>
      </c>
      <c r="L738" s="825">
        <v>31222</v>
      </c>
      <c r="M738" s="825"/>
      <c r="N738" s="826">
        <v>22326</v>
      </c>
      <c r="O738" s="826">
        <v>206075</v>
      </c>
      <c r="P738" s="826">
        <v>0</v>
      </c>
      <c r="Q738" s="825">
        <v>229</v>
      </c>
      <c r="R738" s="825"/>
      <c r="S738" s="826">
        <v>170294</v>
      </c>
      <c r="T738" s="827">
        <v>9416</v>
      </c>
      <c r="U738" s="827">
        <v>179711</v>
      </c>
    </row>
    <row r="739" spans="1:21" x14ac:dyDescent="0.25">
      <c r="A739" s="822">
        <v>98061</v>
      </c>
      <c r="B739" s="823" t="s">
        <v>3302</v>
      </c>
      <c r="C739" s="824">
        <v>9.9099999999999996E-5</v>
      </c>
      <c r="D739" s="824">
        <v>1.3410000000000001E-4</v>
      </c>
      <c r="E739" s="825">
        <v>42535.31</v>
      </c>
      <c r="F739" s="825">
        <v>60183</v>
      </c>
      <c r="G739" s="825">
        <v>210323</v>
      </c>
      <c r="H739" s="825"/>
      <c r="I739" s="826">
        <v>3952</v>
      </c>
      <c r="J739" s="826">
        <v>184310</v>
      </c>
      <c r="K739" s="826">
        <v>14405</v>
      </c>
      <c r="L739" s="825">
        <v>0</v>
      </c>
      <c r="M739" s="825"/>
      <c r="N739" s="826">
        <v>7370</v>
      </c>
      <c r="O739" s="826">
        <v>68028</v>
      </c>
      <c r="P739" s="826">
        <v>0</v>
      </c>
      <c r="Q739" s="825">
        <v>24647</v>
      </c>
      <c r="R739" s="825"/>
      <c r="S739" s="826">
        <v>56216</v>
      </c>
      <c r="T739" s="827">
        <v>-7215</v>
      </c>
      <c r="U739" s="827">
        <v>49002</v>
      </c>
    </row>
    <row r="740" spans="1:21" x14ac:dyDescent="0.25">
      <c r="A740" s="822">
        <v>98071</v>
      </c>
      <c r="B740" s="823" t="s">
        <v>3303</v>
      </c>
      <c r="C740" s="824">
        <v>3.4400000000000003E-5</v>
      </c>
      <c r="D740" s="824">
        <v>3.2299999999999999E-5</v>
      </c>
      <c r="E740" s="825">
        <v>24294.65</v>
      </c>
      <c r="F740" s="825">
        <v>14496</v>
      </c>
      <c r="G740" s="825">
        <v>73008</v>
      </c>
      <c r="H740" s="825"/>
      <c r="I740" s="826">
        <v>1371.7</v>
      </c>
      <c r="J740" s="826">
        <v>63979</v>
      </c>
      <c r="K740" s="826">
        <v>5000</v>
      </c>
      <c r="L740" s="825">
        <v>9217</v>
      </c>
      <c r="M740" s="825"/>
      <c r="N740" s="826">
        <v>2558</v>
      </c>
      <c r="O740" s="826">
        <v>23614</v>
      </c>
      <c r="P740" s="826">
        <v>0</v>
      </c>
      <c r="Q740" s="825">
        <v>1859</v>
      </c>
      <c r="R740" s="825"/>
      <c r="S740" s="826">
        <v>19514</v>
      </c>
      <c r="T740" s="827">
        <v>1734</v>
      </c>
      <c r="U740" s="827">
        <v>21248</v>
      </c>
    </row>
    <row r="741" spans="1:21" x14ac:dyDescent="0.25">
      <c r="A741" s="822">
        <v>98081</v>
      </c>
      <c r="B741" s="823" t="s">
        <v>3304</v>
      </c>
      <c r="C741" s="824">
        <v>1.9400000000000001E-5</v>
      </c>
      <c r="D741" s="824">
        <v>2.0999999999999999E-5</v>
      </c>
      <c r="E741" s="825">
        <v>6798</v>
      </c>
      <c r="F741" s="825">
        <v>9425</v>
      </c>
      <c r="G741" s="825">
        <v>41173</v>
      </c>
      <c r="H741" s="825"/>
      <c r="I741" s="826">
        <v>773.57500000000005</v>
      </c>
      <c r="J741" s="826">
        <v>36081</v>
      </c>
      <c r="K741" s="826">
        <v>2820</v>
      </c>
      <c r="L741" s="825">
        <v>0</v>
      </c>
      <c r="M741" s="825"/>
      <c r="N741" s="826">
        <v>1443</v>
      </c>
      <c r="O741" s="826">
        <v>13317</v>
      </c>
      <c r="P741" s="826">
        <v>0</v>
      </c>
      <c r="Q741" s="825">
        <v>4336</v>
      </c>
      <c r="R741" s="825"/>
      <c r="S741" s="826">
        <v>11005</v>
      </c>
      <c r="T741" s="827">
        <v>-1542</v>
      </c>
      <c r="U741" s="827">
        <v>9463</v>
      </c>
    </row>
    <row r="742" spans="1:21" x14ac:dyDescent="0.25">
      <c r="A742" s="822">
        <v>98091</v>
      </c>
      <c r="B742" s="823" t="s">
        <v>3305</v>
      </c>
      <c r="C742" s="824">
        <v>5.0899999999999997E-5</v>
      </c>
      <c r="D742" s="824">
        <v>5.49E-5</v>
      </c>
      <c r="E742" s="825">
        <v>23937.15</v>
      </c>
      <c r="F742" s="825">
        <v>24639</v>
      </c>
      <c r="G742" s="825">
        <v>108027</v>
      </c>
      <c r="H742" s="825"/>
      <c r="I742" s="826">
        <v>2030</v>
      </c>
      <c r="J742" s="826">
        <v>94666</v>
      </c>
      <c r="K742" s="826">
        <v>7399</v>
      </c>
      <c r="L742" s="825">
        <v>1196</v>
      </c>
      <c r="M742" s="825"/>
      <c r="N742" s="826">
        <v>3785</v>
      </c>
      <c r="O742" s="826">
        <v>34941</v>
      </c>
      <c r="P742" s="826">
        <v>0</v>
      </c>
      <c r="Q742" s="825">
        <v>1622</v>
      </c>
      <c r="R742" s="825"/>
      <c r="S742" s="826">
        <v>28874</v>
      </c>
      <c r="T742" s="827">
        <v>-412</v>
      </c>
      <c r="U742" s="827">
        <v>28462</v>
      </c>
    </row>
    <row r="743" spans="1:21" x14ac:dyDescent="0.25">
      <c r="A743" s="822">
        <v>98101</v>
      </c>
      <c r="B743" s="823" t="s">
        <v>3306</v>
      </c>
      <c r="C743" s="824">
        <v>2.7642999999999999E-3</v>
      </c>
      <c r="D743" s="824">
        <v>2.7445E-3</v>
      </c>
      <c r="E743" s="825">
        <v>1093303.25</v>
      </c>
      <c r="F743" s="825">
        <v>1231715</v>
      </c>
      <c r="G743" s="825">
        <v>5866771</v>
      </c>
      <c r="H743" s="825"/>
      <c r="I743" s="826">
        <v>110226</v>
      </c>
      <c r="J743" s="826">
        <v>5141161</v>
      </c>
      <c r="K743" s="826">
        <v>401821</v>
      </c>
      <c r="L743" s="825">
        <v>61462</v>
      </c>
      <c r="M743" s="825"/>
      <c r="N743" s="826">
        <v>205578</v>
      </c>
      <c r="O743" s="826">
        <v>1897576</v>
      </c>
      <c r="P743" s="826">
        <v>0</v>
      </c>
      <c r="Q743" s="825">
        <v>23820</v>
      </c>
      <c r="R743" s="825"/>
      <c r="S743" s="826">
        <v>1568102</v>
      </c>
      <c r="T743" s="827">
        <v>17983</v>
      </c>
      <c r="U743" s="827">
        <v>1586085</v>
      </c>
    </row>
    <row r="744" spans="1:21" x14ac:dyDescent="0.25">
      <c r="A744" s="822">
        <v>98102</v>
      </c>
      <c r="B744" s="823" t="s">
        <v>3307</v>
      </c>
      <c r="C744" s="824">
        <v>1.683E-4</v>
      </c>
      <c r="D744" s="824">
        <v>1.7259999999999999E-4</v>
      </c>
      <c r="E744" s="825">
        <v>69015</v>
      </c>
      <c r="F744" s="825">
        <v>77462</v>
      </c>
      <c r="G744" s="825">
        <v>357189</v>
      </c>
      <c r="H744" s="825"/>
      <c r="I744" s="826">
        <v>6711</v>
      </c>
      <c r="J744" s="826">
        <v>313011</v>
      </c>
      <c r="K744" s="826">
        <v>24464</v>
      </c>
      <c r="L744" s="825">
        <v>0</v>
      </c>
      <c r="M744" s="825"/>
      <c r="N744" s="826">
        <v>12516</v>
      </c>
      <c r="O744" s="826">
        <v>115531</v>
      </c>
      <c r="P744" s="826">
        <v>0</v>
      </c>
      <c r="Q744" s="825">
        <v>10404</v>
      </c>
      <c r="R744" s="825"/>
      <c r="S744" s="826">
        <v>95471</v>
      </c>
      <c r="T744" s="827">
        <v>-3682</v>
      </c>
      <c r="U744" s="827">
        <v>91789</v>
      </c>
    </row>
    <row r="745" spans="1:21" x14ac:dyDescent="0.25">
      <c r="A745" s="822">
        <v>98103</v>
      </c>
      <c r="B745" s="823" t="s">
        <v>3308</v>
      </c>
      <c r="C745" s="824">
        <v>5.3600000000000002E-4</v>
      </c>
      <c r="D745" s="824">
        <v>5.7140000000000001E-4</v>
      </c>
      <c r="E745" s="825">
        <v>233081</v>
      </c>
      <c r="F745" s="825">
        <v>256441</v>
      </c>
      <c r="G745" s="825">
        <v>1137571.56</v>
      </c>
      <c r="H745" s="825"/>
      <c r="I745" s="826">
        <v>21373</v>
      </c>
      <c r="J745" s="826">
        <v>996875</v>
      </c>
      <c r="K745" s="826">
        <v>77913</v>
      </c>
      <c r="L745" s="825">
        <v>0</v>
      </c>
      <c r="M745" s="825"/>
      <c r="N745" s="826">
        <v>39862</v>
      </c>
      <c r="O745" s="826">
        <v>367941</v>
      </c>
      <c r="P745" s="826">
        <v>0</v>
      </c>
      <c r="Q745" s="825">
        <v>46538</v>
      </c>
      <c r="R745" s="825"/>
      <c r="S745" s="826">
        <v>304056</v>
      </c>
      <c r="T745" s="827">
        <v>-19483</v>
      </c>
      <c r="U745" s="827">
        <v>284573</v>
      </c>
    </row>
    <row r="746" spans="1:21" x14ac:dyDescent="0.25">
      <c r="A746" s="822">
        <v>98107</v>
      </c>
      <c r="B746" s="823" t="s">
        <v>3309</v>
      </c>
      <c r="C746" s="824">
        <v>1.08E-5</v>
      </c>
      <c r="D746" s="824">
        <v>1.15E-5</v>
      </c>
      <c r="E746" s="825">
        <v>8652</v>
      </c>
      <c r="F746" s="825">
        <v>5161</v>
      </c>
      <c r="G746" s="825">
        <v>22921</v>
      </c>
      <c r="H746" s="825"/>
      <c r="I746" s="826">
        <v>430.65</v>
      </c>
      <c r="J746" s="826">
        <v>20086</v>
      </c>
      <c r="K746" s="826">
        <v>1570</v>
      </c>
      <c r="L746" s="825">
        <v>7420</v>
      </c>
      <c r="M746" s="825"/>
      <c r="N746" s="826">
        <v>803</v>
      </c>
      <c r="O746" s="826">
        <v>7414</v>
      </c>
      <c r="P746" s="826">
        <v>0</v>
      </c>
      <c r="Q746" s="825">
        <v>0</v>
      </c>
      <c r="R746" s="825"/>
      <c r="S746" s="826">
        <v>6127</v>
      </c>
      <c r="T746" s="827">
        <v>2610</v>
      </c>
      <c r="U746" s="827">
        <v>8737</v>
      </c>
    </row>
    <row r="747" spans="1:21" x14ac:dyDescent="0.25">
      <c r="A747" s="822">
        <v>98109</v>
      </c>
      <c r="B747" s="823" t="s">
        <v>3310</v>
      </c>
      <c r="C747" s="824">
        <v>1.4660000000000001E-4</v>
      </c>
      <c r="D747" s="824">
        <v>2.0680000000000001E-4</v>
      </c>
      <c r="E747" s="825">
        <v>66395.14</v>
      </c>
      <c r="F747" s="825">
        <v>92811</v>
      </c>
      <c r="G747" s="825">
        <v>311134</v>
      </c>
      <c r="H747" s="825"/>
      <c r="I747" s="826">
        <v>5846</v>
      </c>
      <c r="J747" s="826">
        <v>272653</v>
      </c>
      <c r="K747" s="826">
        <v>21310</v>
      </c>
      <c r="L747" s="825">
        <v>3018</v>
      </c>
      <c r="M747" s="825"/>
      <c r="N747" s="826">
        <v>10902</v>
      </c>
      <c r="O747" s="826">
        <v>100635</v>
      </c>
      <c r="P747" s="826">
        <v>0</v>
      </c>
      <c r="Q747" s="825">
        <v>35765</v>
      </c>
      <c r="R747" s="825"/>
      <c r="S747" s="826">
        <v>83162</v>
      </c>
      <c r="T747" s="827">
        <v>-10144</v>
      </c>
      <c r="U747" s="827">
        <v>73018</v>
      </c>
    </row>
    <row r="748" spans="1:21" x14ac:dyDescent="0.25">
      <c r="A748" s="822">
        <v>98111</v>
      </c>
      <c r="B748" s="823" t="s">
        <v>3311</v>
      </c>
      <c r="C748" s="824">
        <v>1.0191E-3</v>
      </c>
      <c r="D748" s="824">
        <v>1.0443E-3</v>
      </c>
      <c r="E748" s="825">
        <v>380231</v>
      </c>
      <c r="F748" s="825">
        <v>468676</v>
      </c>
      <c r="G748" s="825">
        <v>2162872</v>
      </c>
      <c r="H748" s="825"/>
      <c r="I748" s="826">
        <v>40637</v>
      </c>
      <c r="J748" s="826">
        <v>1895365</v>
      </c>
      <c r="K748" s="826">
        <v>148137</v>
      </c>
      <c r="L748" s="825">
        <v>0</v>
      </c>
      <c r="M748" s="825"/>
      <c r="N748" s="826">
        <v>75789</v>
      </c>
      <c r="O748" s="826">
        <v>699569</v>
      </c>
      <c r="P748" s="826">
        <v>0</v>
      </c>
      <c r="Q748" s="825">
        <v>50975</v>
      </c>
      <c r="R748" s="825"/>
      <c r="S748" s="826">
        <v>578104</v>
      </c>
      <c r="T748" s="827">
        <v>-14078</v>
      </c>
      <c r="U748" s="827">
        <v>564026</v>
      </c>
    </row>
    <row r="749" spans="1:21" x14ac:dyDescent="0.25">
      <c r="A749" s="822">
        <v>98113</v>
      </c>
      <c r="B749" s="823" t="s">
        <v>3312</v>
      </c>
      <c r="C749" s="824">
        <v>3.8999999999999999E-5</v>
      </c>
      <c r="D749" s="824">
        <v>4.1399999999999997E-5</v>
      </c>
      <c r="E749" s="825">
        <v>20070.23</v>
      </c>
      <c r="F749" s="825">
        <v>18580</v>
      </c>
      <c r="G749" s="825">
        <v>82771</v>
      </c>
      <c r="H749" s="825"/>
      <c r="I749" s="826">
        <v>1555.125</v>
      </c>
      <c r="J749" s="826">
        <v>72534</v>
      </c>
      <c r="K749" s="826">
        <v>5669</v>
      </c>
      <c r="L749" s="825">
        <v>8069</v>
      </c>
      <c r="M749" s="825"/>
      <c r="N749" s="826">
        <v>2900</v>
      </c>
      <c r="O749" s="826">
        <v>26772</v>
      </c>
      <c r="P749" s="826">
        <v>0</v>
      </c>
      <c r="Q749" s="825">
        <v>0</v>
      </c>
      <c r="R749" s="825"/>
      <c r="S749" s="826">
        <v>22123</v>
      </c>
      <c r="T749" s="827">
        <v>2983</v>
      </c>
      <c r="U749" s="827">
        <v>25107</v>
      </c>
    </row>
    <row r="750" spans="1:21" x14ac:dyDescent="0.25">
      <c r="A750" s="822">
        <v>98121</v>
      </c>
      <c r="B750" s="823" t="s">
        <v>3313</v>
      </c>
      <c r="C750" s="824">
        <v>2.2910000000000001E-4</v>
      </c>
      <c r="D750" s="824">
        <v>2.0689999999999999E-4</v>
      </c>
      <c r="E750" s="825">
        <v>79942.31</v>
      </c>
      <c r="F750" s="825">
        <v>92855</v>
      </c>
      <c r="G750" s="825">
        <v>486227</v>
      </c>
      <c r="H750" s="825"/>
      <c r="I750" s="826">
        <v>9135</v>
      </c>
      <c r="J750" s="826">
        <v>426090</v>
      </c>
      <c r="K750" s="826">
        <v>33302</v>
      </c>
      <c r="L750" s="825">
        <v>3951</v>
      </c>
      <c r="M750" s="825"/>
      <c r="N750" s="826">
        <v>17038</v>
      </c>
      <c r="O750" s="826">
        <v>157268</v>
      </c>
      <c r="P750" s="826">
        <v>0</v>
      </c>
      <c r="Q750" s="825">
        <v>6313</v>
      </c>
      <c r="R750" s="825"/>
      <c r="S750" s="826">
        <v>129961</v>
      </c>
      <c r="T750" s="827">
        <v>-421</v>
      </c>
      <c r="U750" s="827">
        <v>129540</v>
      </c>
    </row>
    <row r="751" spans="1:21" x14ac:dyDescent="0.25">
      <c r="A751" s="822">
        <v>98131</v>
      </c>
      <c r="B751" s="823" t="s">
        <v>3314</v>
      </c>
      <c r="C751" s="824">
        <v>2.9569999999999998E-4</v>
      </c>
      <c r="D751" s="824">
        <v>3.0610000000000001E-4</v>
      </c>
      <c r="E751" s="825">
        <v>112056</v>
      </c>
      <c r="F751" s="825">
        <v>137376</v>
      </c>
      <c r="G751" s="825">
        <v>627574</v>
      </c>
      <c r="H751" s="825"/>
      <c r="I751" s="826">
        <v>11791</v>
      </c>
      <c r="J751" s="826">
        <v>549955</v>
      </c>
      <c r="K751" s="826">
        <v>42983</v>
      </c>
      <c r="L751" s="825">
        <v>0</v>
      </c>
      <c r="M751" s="825"/>
      <c r="N751" s="826">
        <v>21991</v>
      </c>
      <c r="O751" s="826">
        <v>202986</v>
      </c>
      <c r="P751" s="826">
        <v>0</v>
      </c>
      <c r="Q751" s="825">
        <v>44899</v>
      </c>
      <c r="R751" s="825"/>
      <c r="S751" s="826">
        <v>167741</v>
      </c>
      <c r="T751" s="827">
        <v>-17153</v>
      </c>
      <c r="U751" s="827">
        <v>150589</v>
      </c>
    </row>
    <row r="752" spans="1:21" x14ac:dyDescent="0.25">
      <c r="A752" s="822">
        <v>98141</v>
      </c>
      <c r="B752" s="823" t="s">
        <v>3315</v>
      </c>
      <c r="C752" s="824">
        <v>2.9030000000000001E-4</v>
      </c>
      <c r="D752" s="824">
        <v>3.033E-4</v>
      </c>
      <c r="E752" s="825">
        <v>104128</v>
      </c>
      <c r="F752" s="825">
        <v>136119</v>
      </c>
      <c r="G752" s="825">
        <v>616114</v>
      </c>
      <c r="H752" s="825"/>
      <c r="I752" s="826">
        <v>11576</v>
      </c>
      <c r="J752" s="826">
        <v>539912</v>
      </c>
      <c r="K752" s="826">
        <v>42198</v>
      </c>
      <c r="L752" s="825">
        <v>1495</v>
      </c>
      <c r="M752" s="825"/>
      <c r="N752" s="826">
        <v>21589</v>
      </c>
      <c r="O752" s="826">
        <v>199279</v>
      </c>
      <c r="P752" s="826">
        <v>0</v>
      </c>
      <c r="Q752" s="825">
        <v>35601</v>
      </c>
      <c r="R752" s="825"/>
      <c r="S752" s="826">
        <v>164678</v>
      </c>
      <c r="T752" s="827">
        <v>-12695</v>
      </c>
      <c r="U752" s="827">
        <v>151983</v>
      </c>
    </row>
    <row r="753" spans="1:21" x14ac:dyDescent="0.25">
      <c r="A753" s="822">
        <v>98147</v>
      </c>
      <c r="B753" s="823" t="s">
        <v>3316</v>
      </c>
      <c r="C753" s="824">
        <v>1.29E-5</v>
      </c>
      <c r="D753" s="824">
        <v>1.03E-5</v>
      </c>
      <c r="E753" s="825">
        <v>8826</v>
      </c>
      <c r="F753" s="825">
        <v>4623</v>
      </c>
      <c r="G753" s="825">
        <v>27378</v>
      </c>
      <c r="H753" s="825"/>
      <c r="I753" s="826">
        <v>514</v>
      </c>
      <c r="J753" s="826">
        <v>23992</v>
      </c>
      <c r="K753" s="826">
        <v>1875</v>
      </c>
      <c r="L753" s="825">
        <v>7556</v>
      </c>
      <c r="M753" s="825"/>
      <c r="N753" s="826">
        <v>959</v>
      </c>
      <c r="O753" s="826">
        <v>8855</v>
      </c>
      <c r="P753" s="826">
        <v>0</v>
      </c>
      <c r="Q753" s="825">
        <v>0</v>
      </c>
      <c r="R753" s="825"/>
      <c r="S753" s="826">
        <v>7318</v>
      </c>
      <c r="T753" s="827">
        <v>2501</v>
      </c>
      <c r="U753" s="827">
        <v>9819</v>
      </c>
    </row>
    <row r="754" spans="1:21" x14ac:dyDescent="0.25">
      <c r="A754" s="822">
        <v>98161</v>
      </c>
      <c r="B754" s="823" t="s">
        <v>3317</v>
      </c>
      <c r="C754" s="824">
        <v>7.4000000000000003E-6</v>
      </c>
      <c r="D754" s="824">
        <v>7.6000000000000001E-6</v>
      </c>
      <c r="E754" s="825">
        <v>4425</v>
      </c>
      <c r="F754" s="825">
        <v>3411</v>
      </c>
      <c r="G754" s="825">
        <v>15705</v>
      </c>
      <c r="H754" s="825"/>
      <c r="I754" s="826">
        <v>295.07499999999999</v>
      </c>
      <c r="J754" s="826">
        <v>13763</v>
      </c>
      <c r="K754" s="826">
        <v>1076</v>
      </c>
      <c r="L754" s="825">
        <v>2152</v>
      </c>
      <c r="M754" s="825"/>
      <c r="N754" s="826">
        <v>550</v>
      </c>
      <c r="O754" s="826">
        <v>5080</v>
      </c>
      <c r="P754" s="826">
        <v>0</v>
      </c>
      <c r="Q754" s="825">
        <v>0</v>
      </c>
      <c r="R754" s="825"/>
      <c r="S754" s="826">
        <v>4198</v>
      </c>
      <c r="T754" s="827">
        <v>752</v>
      </c>
      <c r="U754" s="827">
        <v>4950</v>
      </c>
    </row>
    <row r="755" spans="1:21" x14ac:dyDescent="0.25">
      <c r="A755" s="822">
        <v>98201</v>
      </c>
      <c r="B755" s="823" t="s">
        <v>3318</v>
      </c>
      <c r="C755" s="824">
        <v>3.0368999999999999E-3</v>
      </c>
      <c r="D755" s="824">
        <v>3.0019999999999999E-3</v>
      </c>
      <c r="E755" s="825">
        <v>1202574.5</v>
      </c>
      <c r="F755" s="825">
        <v>1347280</v>
      </c>
      <c r="G755" s="825">
        <v>6445319</v>
      </c>
      <c r="H755" s="825"/>
      <c r="I755" s="826">
        <v>121096</v>
      </c>
      <c r="J755" s="826">
        <v>5648154</v>
      </c>
      <c r="K755" s="826">
        <v>441447</v>
      </c>
      <c r="L755" s="825">
        <v>0</v>
      </c>
      <c r="M755" s="825"/>
      <c r="N755" s="826">
        <v>225851</v>
      </c>
      <c r="O755" s="826">
        <v>2084704</v>
      </c>
      <c r="P755" s="826">
        <v>0</v>
      </c>
      <c r="Q755" s="825">
        <v>60876</v>
      </c>
      <c r="R755" s="825"/>
      <c r="S755" s="826">
        <v>1722739</v>
      </c>
      <c r="T755" s="827">
        <v>-21268</v>
      </c>
      <c r="U755" s="827">
        <v>1701471</v>
      </c>
    </row>
    <row r="756" spans="1:21" x14ac:dyDescent="0.25">
      <c r="A756" s="822">
        <v>98205</v>
      </c>
      <c r="B756" s="823" t="s">
        <v>3319</v>
      </c>
      <c r="C756" s="824">
        <v>5.13E-5</v>
      </c>
      <c r="D756" s="824">
        <v>5.02E-5</v>
      </c>
      <c r="E756" s="825">
        <v>23400</v>
      </c>
      <c r="F756" s="825">
        <v>22529</v>
      </c>
      <c r="G756" s="825">
        <v>108876</v>
      </c>
      <c r="H756" s="825"/>
      <c r="I756" s="826">
        <v>2046</v>
      </c>
      <c r="J756" s="826">
        <v>95410</v>
      </c>
      <c r="K756" s="826">
        <v>7457</v>
      </c>
      <c r="L756" s="825">
        <v>2803</v>
      </c>
      <c r="M756" s="825"/>
      <c r="N756" s="826">
        <v>3815</v>
      </c>
      <c r="O756" s="826">
        <v>35215</v>
      </c>
      <c r="P756" s="826">
        <v>0</v>
      </c>
      <c r="Q756" s="825">
        <v>1718</v>
      </c>
      <c r="R756" s="825"/>
      <c r="S756" s="826">
        <v>29101</v>
      </c>
      <c r="T756" s="827">
        <v>209</v>
      </c>
      <c r="U756" s="827">
        <v>29310</v>
      </c>
    </row>
    <row r="757" spans="1:21" x14ac:dyDescent="0.25">
      <c r="A757" s="822">
        <v>98211</v>
      </c>
      <c r="B757" s="823" t="s">
        <v>3320</v>
      </c>
      <c r="C757" s="824">
        <v>9.1609999999999999E-4</v>
      </c>
      <c r="D757" s="824">
        <v>9.4729999999999999E-4</v>
      </c>
      <c r="E757" s="825">
        <v>316266.55</v>
      </c>
      <c r="F757" s="825">
        <v>425143</v>
      </c>
      <c r="G757" s="825">
        <v>1944271</v>
      </c>
      <c r="H757" s="825"/>
      <c r="I757" s="826">
        <v>36529</v>
      </c>
      <c r="J757" s="826">
        <v>1703801</v>
      </c>
      <c r="K757" s="826">
        <v>133165</v>
      </c>
      <c r="L757" s="825">
        <v>0</v>
      </c>
      <c r="M757" s="825"/>
      <c r="N757" s="826">
        <v>68129</v>
      </c>
      <c r="O757" s="826">
        <v>628864</v>
      </c>
      <c r="P757" s="826">
        <v>0</v>
      </c>
      <c r="Q757" s="825">
        <v>112970</v>
      </c>
      <c r="R757" s="825"/>
      <c r="S757" s="826">
        <v>519675</v>
      </c>
      <c r="T757" s="827">
        <v>-35337</v>
      </c>
      <c r="U757" s="827">
        <v>484338</v>
      </c>
    </row>
    <row r="758" spans="1:21" x14ac:dyDescent="0.25">
      <c r="A758" s="822">
        <v>98218</v>
      </c>
      <c r="B758" s="823" t="s">
        <v>3321</v>
      </c>
      <c r="C758" s="824">
        <v>1.0200000000000001E-5</v>
      </c>
      <c r="D758" s="824">
        <v>1.08E-5</v>
      </c>
      <c r="E758" s="825">
        <v>4407.67</v>
      </c>
      <c r="F758" s="825">
        <v>4847</v>
      </c>
      <c r="G758" s="825">
        <v>21648</v>
      </c>
      <c r="H758" s="825"/>
      <c r="I758" s="826">
        <v>406.72500000000002</v>
      </c>
      <c r="J758" s="826">
        <v>18970</v>
      </c>
      <c r="K758" s="826">
        <v>1483</v>
      </c>
      <c r="L758" s="825">
        <v>0</v>
      </c>
      <c r="M758" s="825"/>
      <c r="N758" s="826">
        <v>759</v>
      </c>
      <c r="O758" s="826">
        <v>7002</v>
      </c>
      <c r="P758" s="826">
        <v>0</v>
      </c>
      <c r="Q758" s="825">
        <v>1864</v>
      </c>
      <c r="R758" s="825"/>
      <c r="S758" s="826">
        <v>5786</v>
      </c>
      <c r="T758" s="827">
        <v>-792</v>
      </c>
      <c r="U758" s="827">
        <v>4994</v>
      </c>
    </row>
    <row r="759" spans="1:21" x14ac:dyDescent="0.25">
      <c r="A759" s="822">
        <v>98221</v>
      </c>
      <c r="B759" s="823" t="s">
        <v>3322</v>
      </c>
      <c r="C759" s="824">
        <v>1.6799999999999998E-5</v>
      </c>
      <c r="D759" s="824">
        <v>1.5999999999999999E-5</v>
      </c>
      <c r="E759" s="825">
        <v>9584.15</v>
      </c>
      <c r="F759" s="825">
        <v>7181</v>
      </c>
      <c r="G759" s="825">
        <v>35655</v>
      </c>
      <c r="H759" s="825"/>
      <c r="I759" s="826">
        <v>669.9</v>
      </c>
      <c r="J759" s="826">
        <v>31245</v>
      </c>
      <c r="K759" s="826">
        <v>2442</v>
      </c>
      <c r="L759" s="825">
        <v>3240</v>
      </c>
      <c r="M759" s="825"/>
      <c r="N759" s="826">
        <v>1249</v>
      </c>
      <c r="O759" s="826">
        <v>11532</v>
      </c>
      <c r="P759" s="826">
        <v>0</v>
      </c>
      <c r="Q759" s="825">
        <v>0</v>
      </c>
      <c r="R759" s="825"/>
      <c r="S759" s="826">
        <v>9530</v>
      </c>
      <c r="T759" s="827">
        <v>905</v>
      </c>
      <c r="U759" s="827">
        <v>10435</v>
      </c>
    </row>
    <row r="760" spans="1:21" x14ac:dyDescent="0.25">
      <c r="A760" s="822">
        <v>98231</v>
      </c>
      <c r="B760" s="823" t="s">
        <v>3323</v>
      </c>
      <c r="C760" s="824">
        <v>3.1999999999999999E-5</v>
      </c>
      <c r="D760" s="824">
        <v>3.7400000000000001E-5</v>
      </c>
      <c r="E760" s="825">
        <v>13931.16</v>
      </c>
      <c r="F760" s="825">
        <v>16785</v>
      </c>
      <c r="G760" s="825">
        <v>67914.720000000001</v>
      </c>
      <c r="H760" s="825"/>
      <c r="I760" s="826">
        <v>1276</v>
      </c>
      <c r="J760" s="826">
        <v>59515</v>
      </c>
      <c r="K760" s="826">
        <v>4652</v>
      </c>
      <c r="L760" s="825">
        <v>2641</v>
      </c>
      <c r="M760" s="825"/>
      <c r="N760" s="826">
        <v>2380</v>
      </c>
      <c r="O760" s="826">
        <v>21967</v>
      </c>
      <c r="P760" s="826">
        <v>0</v>
      </c>
      <c r="Q760" s="825">
        <v>7471</v>
      </c>
      <c r="R760" s="825"/>
      <c r="S760" s="826">
        <v>18153</v>
      </c>
      <c r="T760" s="827">
        <v>-2254</v>
      </c>
      <c r="U760" s="827">
        <v>15898</v>
      </c>
    </row>
    <row r="761" spans="1:21" x14ac:dyDescent="0.25">
      <c r="A761" s="822">
        <v>98237</v>
      </c>
      <c r="B761" s="823" t="s">
        <v>3324</v>
      </c>
      <c r="C761" s="824">
        <v>2.7E-6</v>
      </c>
      <c r="D761" s="824">
        <v>2.9000000000000002E-6</v>
      </c>
      <c r="E761" s="825">
        <v>2767</v>
      </c>
      <c r="F761" s="825">
        <v>1302</v>
      </c>
      <c r="G761" s="825">
        <v>5730</v>
      </c>
      <c r="H761" s="825"/>
      <c r="I761" s="826">
        <v>107.66249999999999</v>
      </c>
      <c r="J761" s="826">
        <v>5022</v>
      </c>
      <c r="K761" s="826">
        <v>392</v>
      </c>
      <c r="L761" s="825">
        <v>2342</v>
      </c>
      <c r="M761" s="825"/>
      <c r="N761" s="826">
        <v>201</v>
      </c>
      <c r="O761" s="826">
        <v>1853</v>
      </c>
      <c r="P761" s="826">
        <v>0</v>
      </c>
      <c r="Q761" s="825">
        <v>0</v>
      </c>
      <c r="R761" s="825"/>
      <c r="S761" s="826">
        <v>1532</v>
      </c>
      <c r="T761" s="827">
        <v>795</v>
      </c>
      <c r="U761" s="827">
        <v>2326</v>
      </c>
    </row>
    <row r="762" spans="1:21" x14ac:dyDescent="0.25">
      <c r="A762" s="822">
        <v>98241</v>
      </c>
      <c r="B762" s="823" t="s">
        <v>3325</v>
      </c>
      <c r="C762" s="824">
        <v>1.98E-5</v>
      </c>
      <c r="D762" s="824">
        <v>1.0200000000000001E-5</v>
      </c>
      <c r="E762" s="825">
        <v>7741</v>
      </c>
      <c r="F762" s="825">
        <v>4578</v>
      </c>
      <c r="G762" s="825">
        <v>42022</v>
      </c>
      <c r="H762" s="825"/>
      <c r="I762" s="826">
        <v>789.52499999999998</v>
      </c>
      <c r="J762" s="826">
        <v>36825</v>
      </c>
      <c r="K762" s="826">
        <v>2878</v>
      </c>
      <c r="L762" s="825">
        <v>8690</v>
      </c>
      <c r="M762" s="825"/>
      <c r="N762" s="826">
        <v>1473</v>
      </c>
      <c r="O762" s="826">
        <v>13592</v>
      </c>
      <c r="P762" s="826">
        <v>0</v>
      </c>
      <c r="Q762" s="825">
        <v>331</v>
      </c>
      <c r="R762" s="825"/>
      <c r="S762" s="826">
        <v>11232</v>
      </c>
      <c r="T762" s="827">
        <v>3061</v>
      </c>
      <c r="U762" s="827">
        <v>14293</v>
      </c>
    </row>
    <row r="763" spans="1:21" x14ac:dyDescent="0.25">
      <c r="A763" s="822">
        <v>98251</v>
      </c>
      <c r="B763" s="823" t="s">
        <v>3326</v>
      </c>
      <c r="C763" s="824">
        <v>3.1E-6</v>
      </c>
      <c r="D763" s="824">
        <v>3.1E-6</v>
      </c>
      <c r="E763" s="825">
        <v>1870</v>
      </c>
      <c r="F763" s="825">
        <v>1391</v>
      </c>
      <c r="G763" s="825">
        <v>6579</v>
      </c>
      <c r="H763" s="825"/>
      <c r="I763" s="826">
        <v>123.6125</v>
      </c>
      <c r="J763" s="826">
        <v>5766</v>
      </c>
      <c r="K763" s="826">
        <v>451</v>
      </c>
      <c r="L763" s="825">
        <v>1191</v>
      </c>
      <c r="M763" s="825"/>
      <c r="N763" s="826">
        <v>231</v>
      </c>
      <c r="O763" s="826">
        <v>2128</v>
      </c>
      <c r="P763" s="826">
        <v>0</v>
      </c>
      <c r="Q763" s="825">
        <v>0</v>
      </c>
      <c r="R763" s="825"/>
      <c r="S763" s="826">
        <v>1759</v>
      </c>
      <c r="T763" s="827">
        <v>412</v>
      </c>
      <c r="U763" s="827">
        <v>2171</v>
      </c>
    </row>
    <row r="764" spans="1:21" x14ac:dyDescent="0.25">
      <c r="A764" s="822">
        <v>98261</v>
      </c>
      <c r="B764" s="823" t="s">
        <v>3327</v>
      </c>
      <c r="C764" s="824">
        <v>2.97E-5</v>
      </c>
      <c r="D764" s="824">
        <v>4.3099999999999997E-5</v>
      </c>
      <c r="E764" s="825">
        <v>12989.23</v>
      </c>
      <c r="F764" s="825">
        <v>19343</v>
      </c>
      <c r="G764" s="825">
        <v>63033</v>
      </c>
      <c r="H764" s="825"/>
      <c r="I764" s="826">
        <v>1184</v>
      </c>
      <c r="J764" s="826">
        <v>55237</v>
      </c>
      <c r="K764" s="826">
        <v>4317</v>
      </c>
      <c r="L764" s="825">
        <v>4504</v>
      </c>
      <c r="M764" s="825"/>
      <c r="N764" s="826">
        <v>2209</v>
      </c>
      <c r="O764" s="826">
        <v>20388</v>
      </c>
      <c r="P764" s="826">
        <v>0</v>
      </c>
      <c r="Q764" s="825">
        <v>6643</v>
      </c>
      <c r="R764" s="825"/>
      <c r="S764" s="826">
        <v>16848</v>
      </c>
      <c r="T764" s="827">
        <v>-118</v>
      </c>
      <c r="U764" s="827">
        <v>16730</v>
      </c>
    </row>
    <row r="765" spans="1:21" x14ac:dyDescent="0.25">
      <c r="A765" s="822">
        <v>98271</v>
      </c>
      <c r="B765" s="823" t="s">
        <v>3328</v>
      </c>
      <c r="C765" s="824">
        <v>4.5000000000000001E-6</v>
      </c>
      <c r="D765" s="824">
        <v>3.4000000000000001E-6</v>
      </c>
      <c r="E765" s="825">
        <v>3055</v>
      </c>
      <c r="F765" s="825">
        <v>1526</v>
      </c>
      <c r="G765" s="825">
        <v>9551</v>
      </c>
      <c r="H765" s="825"/>
      <c r="I765" s="826">
        <v>179.4375</v>
      </c>
      <c r="J765" s="826">
        <v>8369</v>
      </c>
      <c r="K765" s="826">
        <v>654</v>
      </c>
      <c r="L765" s="825">
        <v>3951</v>
      </c>
      <c r="M765" s="825"/>
      <c r="N765" s="826">
        <v>335</v>
      </c>
      <c r="O765" s="826">
        <v>3089</v>
      </c>
      <c r="P765" s="826">
        <v>0</v>
      </c>
      <c r="Q765" s="825">
        <v>0</v>
      </c>
      <c r="R765" s="825"/>
      <c r="S765" s="826">
        <v>2553</v>
      </c>
      <c r="T765" s="827">
        <v>1392</v>
      </c>
      <c r="U765" s="827">
        <v>3945</v>
      </c>
    </row>
    <row r="766" spans="1:21" x14ac:dyDescent="0.25">
      <c r="A766" s="822">
        <v>98301</v>
      </c>
      <c r="B766" s="823" t="s">
        <v>3329</v>
      </c>
      <c r="C766" s="824">
        <v>1.7776999999999999E-3</v>
      </c>
      <c r="D766" s="824">
        <v>1.7478999999999999E-3</v>
      </c>
      <c r="E766" s="825">
        <v>735954</v>
      </c>
      <c r="F766" s="825">
        <v>784447</v>
      </c>
      <c r="G766" s="825">
        <v>3772875</v>
      </c>
      <c r="H766" s="825"/>
      <c r="I766" s="826">
        <v>70886</v>
      </c>
      <c r="J766" s="826">
        <v>3306241</v>
      </c>
      <c r="K766" s="826">
        <v>258408</v>
      </c>
      <c r="L766" s="825">
        <v>76085</v>
      </c>
      <c r="M766" s="825"/>
      <c r="N766" s="826">
        <v>132206</v>
      </c>
      <c r="O766" s="826">
        <v>1220316</v>
      </c>
      <c r="P766" s="826">
        <v>0</v>
      </c>
      <c r="Q766" s="825">
        <v>15711</v>
      </c>
      <c r="R766" s="825"/>
      <c r="S766" s="826">
        <v>1008434</v>
      </c>
      <c r="T766" s="827">
        <v>17172</v>
      </c>
      <c r="U766" s="827">
        <v>1025606</v>
      </c>
    </row>
    <row r="767" spans="1:21" x14ac:dyDescent="0.25">
      <c r="A767" s="822">
        <v>98304</v>
      </c>
      <c r="B767" s="823" t="s">
        <v>3330</v>
      </c>
      <c r="C767" s="824">
        <v>2.2900000000000001E-5</v>
      </c>
      <c r="D767" s="824">
        <v>2.4499999999999999E-5</v>
      </c>
      <c r="E767" s="825">
        <v>11386</v>
      </c>
      <c r="F767" s="825">
        <v>10995</v>
      </c>
      <c r="G767" s="825">
        <v>48601</v>
      </c>
      <c r="H767" s="825"/>
      <c r="I767" s="826">
        <v>913.13750000000005</v>
      </c>
      <c r="J767" s="826">
        <v>42590</v>
      </c>
      <c r="K767" s="826">
        <v>3329</v>
      </c>
      <c r="L767" s="825">
        <v>1590</v>
      </c>
      <c r="M767" s="825"/>
      <c r="N767" s="826">
        <v>1703</v>
      </c>
      <c r="O767" s="826">
        <v>15720</v>
      </c>
      <c r="P767" s="826">
        <v>0</v>
      </c>
      <c r="Q767" s="825">
        <v>0</v>
      </c>
      <c r="R767" s="825"/>
      <c r="S767" s="826">
        <v>12990</v>
      </c>
      <c r="T767" s="827">
        <v>514</v>
      </c>
      <c r="U767" s="827">
        <v>13504</v>
      </c>
    </row>
    <row r="768" spans="1:21" x14ac:dyDescent="0.25">
      <c r="A768" s="822">
        <v>98308</v>
      </c>
      <c r="B768" s="823" t="s">
        <v>3331</v>
      </c>
      <c r="C768" s="824">
        <v>2.55E-5</v>
      </c>
      <c r="D768" s="824">
        <v>2.5000000000000001E-5</v>
      </c>
      <c r="E768" s="825">
        <v>13855</v>
      </c>
      <c r="F768" s="825">
        <v>11219.85</v>
      </c>
      <c r="G768" s="825">
        <v>54120</v>
      </c>
      <c r="H768" s="825"/>
      <c r="I768" s="826">
        <v>1016.8125</v>
      </c>
      <c r="J768" s="826">
        <v>47426</v>
      </c>
      <c r="K768" s="826">
        <v>3707</v>
      </c>
      <c r="L768" s="825">
        <v>7689</v>
      </c>
      <c r="M768" s="825"/>
      <c r="N768" s="826">
        <v>1896</v>
      </c>
      <c r="O768" s="826">
        <v>17505</v>
      </c>
      <c r="P768" s="826">
        <v>0</v>
      </c>
      <c r="Q768" s="825">
        <v>0</v>
      </c>
      <c r="R768" s="825"/>
      <c r="S768" s="826">
        <v>14465</v>
      </c>
      <c r="T768" s="827">
        <v>2796</v>
      </c>
      <c r="U768" s="827">
        <v>17261</v>
      </c>
    </row>
    <row r="769" spans="1:21" x14ac:dyDescent="0.25">
      <c r="A769" s="822">
        <v>98311</v>
      </c>
      <c r="B769" s="823" t="s">
        <v>3332</v>
      </c>
      <c r="C769" s="824">
        <v>1.1441999999999999E-3</v>
      </c>
      <c r="D769" s="824">
        <v>1.1704E-3</v>
      </c>
      <c r="E769" s="825">
        <v>413994</v>
      </c>
      <c r="F769" s="825">
        <v>525268</v>
      </c>
      <c r="G769" s="825">
        <v>2428376</v>
      </c>
      <c r="H769" s="825"/>
      <c r="I769" s="826">
        <v>45625</v>
      </c>
      <c r="J769" s="826">
        <v>2128031</v>
      </c>
      <c r="K769" s="826">
        <v>166322</v>
      </c>
      <c r="L769" s="825">
        <v>25434</v>
      </c>
      <c r="M769" s="825"/>
      <c r="N769" s="826">
        <v>85093</v>
      </c>
      <c r="O769" s="826">
        <v>785445</v>
      </c>
      <c r="P769" s="826">
        <v>0</v>
      </c>
      <c r="Q769" s="825">
        <v>70361</v>
      </c>
      <c r="R769" s="825"/>
      <c r="S769" s="826">
        <v>649069</v>
      </c>
      <c r="T769" s="827">
        <v>-6523</v>
      </c>
      <c r="U769" s="827">
        <v>642547</v>
      </c>
    </row>
    <row r="770" spans="1:21" x14ac:dyDescent="0.25">
      <c r="A770" s="822">
        <v>98313</v>
      </c>
      <c r="B770" s="823" t="s">
        <v>3333</v>
      </c>
      <c r="C770" s="824">
        <v>2.4240000000000001E-4</v>
      </c>
      <c r="D770" s="824">
        <v>2.3589999999999999E-4</v>
      </c>
      <c r="E770" s="825">
        <v>227095.51</v>
      </c>
      <c r="F770" s="825">
        <v>105871</v>
      </c>
      <c r="G770" s="825">
        <v>514454</v>
      </c>
      <c r="H770" s="825"/>
      <c r="I770" s="826">
        <v>9666</v>
      </c>
      <c r="J770" s="826">
        <v>450826</v>
      </c>
      <c r="K770" s="826">
        <v>35236</v>
      </c>
      <c r="L770" s="825">
        <v>166298</v>
      </c>
      <c r="M770" s="825"/>
      <c r="N770" s="826">
        <v>18027</v>
      </c>
      <c r="O770" s="826">
        <v>166397</v>
      </c>
      <c r="P770" s="826">
        <v>0</v>
      </c>
      <c r="Q770" s="825">
        <v>119.4</v>
      </c>
      <c r="R770" s="825"/>
      <c r="S770" s="826">
        <v>137506</v>
      </c>
      <c r="T770" s="827">
        <v>48906</v>
      </c>
      <c r="U770" s="827">
        <v>186412</v>
      </c>
    </row>
    <row r="771" spans="1:21" x14ac:dyDescent="0.25">
      <c r="A771" s="822">
        <v>98321</v>
      </c>
      <c r="B771" s="823" t="s">
        <v>3334</v>
      </c>
      <c r="C771" s="824">
        <v>2.1399999999999998E-5</v>
      </c>
      <c r="D771" s="824">
        <v>2.9E-5</v>
      </c>
      <c r="E771" s="825">
        <v>9180.25</v>
      </c>
      <c r="F771" s="825">
        <v>13015</v>
      </c>
      <c r="G771" s="825">
        <v>45418</v>
      </c>
      <c r="H771" s="825"/>
      <c r="I771" s="826">
        <v>853</v>
      </c>
      <c r="J771" s="826">
        <v>39801</v>
      </c>
      <c r="K771" s="826">
        <v>3111</v>
      </c>
      <c r="L771" s="825">
        <v>3126</v>
      </c>
      <c r="M771" s="825"/>
      <c r="N771" s="826">
        <v>1591</v>
      </c>
      <c r="O771" s="826">
        <v>14690</v>
      </c>
      <c r="P771" s="826">
        <v>0</v>
      </c>
      <c r="Q771" s="825">
        <v>4186</v>
      </c>
      <c r="R771" s="825"/>
      <c r="S771" s="826">
        <v>12140</v>
      </c>
      <c r="T771" s="827">
        <v>451</v>
      </c>
      <c r="U771" s="827">
        <v>12591</v>
      </c>
    </row>
    <row r="772" spans="1:21" x14ac:dyDescent="0.25">
      <c r="A772" s="822">
        <v>98331</v>
      </c>
      <c r="B772" s="823" t="s">
        <v>3335</v>
      </c>
      <c r="C772" s="824">
        <v>1.03E-5</v>
      </c>
      <c r="D772" s="824">
        <v>9.7999999999999993E-6</v>
      </c>
      <c r="E772" s="825">
        <v>5903.22</v>
      </c>
      <c r="F772" s="825">
        <v>4398</v>
      </c>
      <c r="G772" s="825">
        <v>21860</v>
      </c>
      <c r="H772" s="825"/>
      <c r="I772" s="826">
        <v>410.71249999999998</v>
      </c>
      <c r="J772" s="826">
        <v>19156</v>
      </c>
      <c r="K772" s="826">
        <v>1497</v>
      </c>
      <c r="L772" s="825">
        <v>2778</v>
      </c>
      <c r="M772" s="825"/>
      <c r="N772" s="826">
        <v>766</v>
      </c>
      <c r="O772" s="826">
        <v>7071</v>
      </c>
      <c r="P772" s="826">
        <v>0</v>
      </c>
      <c r="Q772" s="825">
        <v>264.67</v>
      </c>
      <c r="R772" s="825"/>
      <c r="S772" s="826">
        <v>5843</v>
      </c>
      <c r="T772" s="827">
        <v>700</v>
      </c>
      <c r="U772" s="827">
        <v>6542</v>
      </c>
    </row>
    <row r="773" spans="1:21" x14ac:dyDescent="0.25">
      <c r="A773" s="822">
        <v>98401</v>
      </c>
      <c r="B773" s="823" t="s">
        <v>3336</v>
      </c>
      <c r="C773" s="824">
        <v>2.7567999999999998E-3</v>
      </c>
      <c r="D773" s="824">
        <v>2.8057999999999998E-3</v>
      </c>
      <c r="E773" s="825">
        <v>1156444.24</v>
      </c>
      <c r="F773" s="825">
        <v>1259226</v>
      </c>
      <c r="G773" s="825">
        <v>5850853</v>
      </c>
      <c r="H773" s="825"/>
      <c r="I773" s="826">
        <v>109927.4</v>
      </c>
      <c r="J773" s="826">
        <v>5127212</v>
      </c>
      <c r="K773" s="826">
        <v>400731</v>
      </c>
      <c r="L773" s="825">
        <v>92083</v>
      </c>
      <c r="M773" s="825"/>
      <c r="N773" s="826">
        <v>205020</v>
      </c>
      <c r="O773" s="826">
        <v>1892427</v>
      </c>
      <c r="P773" s="826">
        <v>0</v>
      </c>
      <c r="Q773" s="825">
        <v>8491</v>
      </c>
      <c r="R773" s="825"/>
      <c r="S773" s="826">
        <v>1563847</v>
      </c>
      <c r="T773" s="827">
        <v>31358</v>
      </c>
      <c r="U773" s="827">
        <v>1595205</v>
      </c>
    </row>
    <row r="774" spans="1:21" x14ac:dyDescent="0.25">
      <c r="A774" s="822">
        <v>98411</v>
      </c>
      <c r="B774" s="823" t="s">
        <v>3337</v>
      </c>
      <c r="C774" s="824">
        <v>2.0076999999999998E-3</v>
      </c>
      <c r="D774" s="824">
        <v>1.9907000000000002E-3</v>
      </c>
      <c r="E774" s="825">
        <v>792048.89</v>
      </c>
      <c r="F774" s="825">
        <v>893414</v>
      </c>
      <c r="G774" s="825">
        <v>4261012</v>
      </c>
      <c r="H774" s="825"/>
      <c r="I774" s="826">
        <v>80057</v>
      </c>
      <c r="J774" s="826">
        <v>3734005</v>
      </c>
      <c r="K774" s="826">
        <v>291841</v>
      </c>
      <c r="L774" s="825">
        <v>8012</v>
      </c>
      <c r="M774" s="825"/>
      <c r="N774" s="826">
        <v>149311</v>
      </c>
      <c r="O774" s="826">
        <v>1378202</v>
      </c>
      <c r="P774" s="826">
        <v>0</v>
      </c>
      <c r="Q774" s="825">
        <v>35211</v>
      </c>
      <c r="R774" s="825"/>
      <c r="S774" s="826">
        <v>1138906</v>
      </c>
      <c r="T774" s="827">
        <v>-6790</v>
      </c>
      <c r="U774" s="827">
        <v>1132116</v>
      </c>
    </row>
    <row r="775" spans="1:21" x14ac:dyDescent="0.25">
      <c r="A775" s="822">
        <v>98417</v>
      </c>
      <c r="B775" s="823" t="s">
        <v>3338</v>
      </c>
      <c r="C775" s="824">
        <v>2.4899999999999999E-5</v>
      </c>
      <c r="D775" s="824">
        <v>2.6400000000000001E-5</v>
      </c>
      <c r="E775" s="825">
        <v>12734.51</v>
      </c>
      <c r="F775" s="825">
        <v>11848</v>
      </c>
      <c r="G775" s="825">
        <v>52846</v>
      </c>
      <c r="H775" s="825"/>
      <c r="I775" s="826">
        <v>993</v>
      </c>
      <c r="J775" s="826">
        <v>46310</v>
      </c>
      <c r="K775" s="826">
        <v>3619</v>
      </c>
      <c r="L775" s="825">
        <v>1318</v>
      </c>
      <c r="M775" s="825"/>
      <c r="N775" s="826">
        <v>1852</v>
      </c>
      <c r="O775" s="826">
        <v>17093</v>
      </c>
      <c r="P775" s="826">
        <v>0</v>
      </c>
      <c r="Q775" s="825">
        <v>852</v>
      </c>
      <c r="R775" s="825"/>
      <c r="S775" s="826">
        <v>14125</v>
      </c>
      <c r="T775" s="827">
        <v>-72</v>
      </c>
      <c r="U775" s="827">
        <v>14053</v>
      </c>
    </row>
    <row r="776" spans="1:21" x14ac:dyDescent="0.25">
      <c r="A776" s="822">
        <v>98421</v>
      </c>
      <c r="B776" s="823" t="s">
        <v>3339</v>
      </c>
      <c r="C776" s="824">
        <v>1.0840000000000001E-4</v>
      </c>
      <c r="D776" s="824">
        <v>1.021E-4</v>
      </c>
      <c r="E776" s="825">
        <v>40835</v>
      </c>
      <c r="F776" s="825">
        <v>45822</v>
      </c>
      <c r="G776" s="825">
        <v>230061</v>
      </c>
      <c r="H776" s="825"/>
      <c r="I776" s="826">
        <v>4322.45</v>
      </c>
      <c r="J776" s="826">
        <v>201607</v>
      </c>
      <c r="K776" s="826">
        <v>15757</v>
      </c>
      <c r="L776" s="825">
        <v>7887</v>
      </c>
      <c r="M776" s="825"/>
      <c r="N776" s="826">
        <v>8062</v>
      </c>
      <c r="O776" s="826">
        <v>74412</v>
      </c>
      <c r="P776" s="826">
        <v>0</v>
      </c>
      <c r="Q776" s="825">
        <v>1282</v>
      </c>
      <c r="R776" s="825"/>
      <c r="S776" s="826">
        <v>61492</v>
      </c>
      <c r="T776" s="827">
        <v>2111</v>
      </c>
      <c r="U776" s="827">
        <v>63603</v>
      </c>
    </row>
    <row r="777" spans="1:21" x14ac:dyDescent="0.25">
      <c r="A777" s="822">
        <v>98427</v>
      </c>
      <c r="B777" s="823" t="s">
        <v>3340</v>
      </c>
      <c r="C777" s="824">
        <v>4.6E-6</v>
      </c>
      <c r="D777" s="824">
        <v>5.2000000000000002E-6</v>
      </c>
      <c r="E777" s="825">
        <v>2927.04</v>
      </c>
      <c r="F777" s="825">
        <v>2334</v>
      </c>
      <c r="G777" s="825">
        <v>9763</v>
      </c>
      <c r="H777" s="825"/>
      <c r="I777" s="826">
        <v>183.42500000000001</v>
      </c>
      <c r="J777" s="826">
        <v>8555</v>
      </c>
      <c r="K777" s="826">
        <v>669</v>
      </c>
      <c r="L777" s="825">
        <v>946</v>
      </c>
      <c r="M777" s="825"/>
      <c r="N777" s="826">
        <v>342</v>
      </c>
      <c r="O777" s="826">
        <v>3158</v>
      </c>
      <c r="P777" s="826">
        <v>0</v>
      </c>
      <c r="Q777" s="825">
        <v>0</v>
      </c>
      <c r="R777" s="825"/>
      <c r="S777" s="826">
        <v>2609</v>
      </c>
      <c r="T777" s="827">
        <v>309</v>
      </c>
      <c r="U777" s="827">
        <v>2918</v>
      </c>
    </row>
    <row r="778" spans="1:21" x14ac:dyDescent="0.25">
      <c r="A778" s="822">
        <v>98431</v>
      </c>
      <c r="B778" s="823" t="s">
        <v>3341</v>
      </c>
      <c r="C778" s="824">
        <v>2.0010000000000001E-4</v>
      </c>
      <c r="D778" s="824">
        <v>2.0560000000000001E-4</v>
      </c>
      <c r="E778" s="825">
        <v>68369</v>
      </c>
      <c r="F778" s="825">
        <v>92272</v>
      </c>
      <c r="G778" s="825">
        <v>424679</v>
      </c>
      <c r="H778" s="825"/>
      <c r="I778" s="826">
        <v>7979</v>
      </c>
      <c r="J778" s="826">
        <v>372154</v>
      </c>
      <c r="K778" s="826">
        <v>29087</v>
      </c>
      <c r="L778" s="825">
        <v>2505</v>
      </c>
      <c r="M778" s="825"/>
      <c r="N778" s="826">
        <v>14881</v>
      </c>
      <c r="O778" s="826">
        <v>137360</v>
      </c>
      <c r="P778" s="826">
        <v>0</v>
      </c>
      <c r="Q778" s="825">
        <v>22555</v>
      </c>
      <c r="R778" s="825"/>
      <c r="S778" s="826">
        <v>113511</v>
      </c>
      <c r="T778" s="827">
        <v>-5398</v>
      </c>
      <c r="U778" s="827">
        <v>108113</v>
      </c>
    </row>
    <row r="779" spans="1:21" x14ac:dyDescent="0.25">
      <c r="A779" s="822">
        <v>98441</v>
      </c>
      <c r="B779" s="823" t="s">
        <v>3342</v>
      </c>
      <c r="C779" s="824">
        <v>9.1000000000000003E-5</v>
      </c>
      <c r="D779" s="824">
        <v>1.039E-4</v>
      </c>
      <c r="E779" s="825">
        <v>33724.18</v>
      </c>
      <c r="F779" s="825">
        <v>46630</v>
      </c>
      <c r="G779" s="825">
        <v>193132</v>
      </c>
      <c r="H779" s="825"/>
      <c r="I779" s="826">
        <v>3628.625</v>
      </c>
      <c r="J779" s="826">
        <v>169246</v>
      </c>
      <c r="K779" s="826">
        <v>13228</v>
      </c>
      <c r="L779" s="825">
        <v>1146</v>
      </c>
      <c r="M779" s="825"/>
      <c r="N779" s="826">
        <v>6768</v>
      </c>
      <c r="O779" s="826">
        <v>62468</v>
      </c>
      <c r="P779" s="826">
        <v>0</v>
      </c>
      <c r="Q779" s="825">
        <v>21657</v>
      </c>
      <c r="R779" s="825"/>
      <c r="S779" s="826">
        <v>51621</v>
      </c>
      <c r="T779" s="827">
        <v>-6156</v>
      </c>
      <c r="U779" s="827">
        <v>45466</v>
      </c>
    </row>
    <row r="780" spans="1:21" x14ac:dyDescent="0.25">
      <c r="A780" s="822">
        <v>98451</v>
      </c>
      <c r="B780" s="823" t="s">
        <v>3343</v>
      </c>
      <c r="C780" s="824">
        <v>5.6199999999999997E-5</v>
      </c>
      <c r="D780" s="824">
        <v>6.0300000000000002E-5</v>
      </c>
      <c r="E780" s="825">
        <v>24173</v>
      </c>
      <c r="F780" s="825">
        <v>27062</v>
      </c>
      <c r="G780" s="825">
        <v>119275</v>
      </c>
      <c r="H780" s="825"/>
      <c r="I780" s="826">
        <v>2240.9749999999999</v>
      </c>
      <c r="J780" s="826">
        <v>104523</v>
      </c>
      <c r="K780" s="826">
        <v>8169</v>
      </c>
      <c r="L780" s="825">
        <v>0</v>
      </c>
      <c r="M780" s="825"/>
      <c r="N780" s="826">
        <v>4180</v>
      </c>
      <c r="O780" s="826">
        <v>38579</v>
      </c>
      <c r="P780" s="826">
        <v>0</v>
      </c>
      <c r="Q780" s="825">
        <v>2135</v>
      </c>
      <c r="R780" s="825"/>
      <c r="S780" s="826">
        <v>31881</v>
      </c>
      <c r="T780" s="827">
        <v>-657</v>
      </c>
      <c r="U780" s="827">
        <v>31223</v>
      </c>
    </row>
    <row r="781" spans="1:21" x14ac:dyDescent="0.25">
      <c r="A781" s="822">
        <v>98481</v>
      </c>
      <c r="B781" s="823" t="s">
        <v>3344</v>
      </c>
      <c r="C781" s="824">
        <v>6.7700000000000006E-5</v>
      </c>
      <c r="D781" s="824">
        <v>6.2500000000000001E-5</v>
      </c>
      <c r="E781" s="825">
        <v>21741.83</v>
      </c>
      <c r="F781" s="825">
        <v>28049.625</v>
      </c>
      <c r="G781" s="825">
        <v>143682</v>
      </c>
      <c r="H781" s="825"/>
      <c r="I781" s="826">
        <v>2700</v>
      </c>
      <c r="J781" s="826">
        <v>125911</v>
      </c>
      <c r="K781" s="826">
        <v>9841</v>
      </c>
      <c r="L781" s="825">
        <v>3106</v>
      </c>
      <c r="M781" s="825"/>
      <c r="N781" s="826">
        <v>5035</v>
      </c>
      <c r="O781" s="826">
        <v>46473</v>
      </c>
      <c r="P781" s="826">
        <v>0</v>
      </c>
      <c r="Q781" s="825">
        <v>2045</v>
      </c>
      <c r="R781" s="825"/>
      <c r="S781" s="826">
        <v>38404</v>
      </c>
      <c r="T781" s="827">
        <v>1029</v>
      </c>
      <c r="U781" s="827">
        <v>39434</v>
      </c>
    </row>
    <row r="782" spans="1:21" x14ac:dyDescent="0.25">
      <c r="A782" s="822">
        <v>98501</v>
      </c>
      <c r="B782" s="823" t="s">
        <v>3345</v>
      </c>
      <c r="C782" s="824">
        <v>1.5690999999999999E-3</v>
      </c>
      <c r="D782" s="824">
        <v>1.5471E-3</v>
      </c>
      <c r="E782" s="825">
        <v>684836.9</v>
      </c>
      <c r="F782" s="825">
        <v>694329</v>
      </c>
      <c r="G782" s="825">
        <v>3330156</v>
      </c>
      <c r="H782" s="825"/>
      <c r="I782" s="826">
        <v>62568</v>
      </c>
      <c r="J782" s="826">
        <v>2918278</v>
      </c>
      <c r="K782" s="826">
        <v>228086</v>
      </c>
      <c r="L782" s="825">
        <v>44212</v>
      </c>
      <c r="M782" s="825"/>
      <c r="N782" s="826">
        <v>116692</v>
      </c>
      <c r="O782" s="826">
        <v>1077121</v>
      </c>
      <c r="P782" s="826">
        <v>0</v>
      </c>
      <c r="Q782" s="825">
        <v>5894</v>
      </c>
      <c r="R782" s="825"/>
      <c r="S782" s="826">
        <v>890102</v>
      </c>
      <c r="T782" s="827">
        <v>8576</v>
      </c>
      <c r="U782" s="827">
        <v>898678</v>
      </c>
    </row>
    <row r="783" spans="1:21" x14ac:dyDescent="0.25">
      <c r="A783" s="822">
        <v>98511</v>
      </c>
      <c r="B783" s="823" t="s">
        <v>3346</v>
      </c>
      <c r="C783" s="824">
        <v>4.5800000000000002E-5</v>
      </c>
      <c r="D783" s="824">
        <v>3.96E-5</v>
      </c>
      <c r="E783" s="825">
        <v>20253.45</v>
      </c>
      <c r="F783" s="825">
        <v>17772</v>
      </c>
      <c r="G783" s="825">
        <v>97203</v>
      </c>
      <c r="H783" s="825"/>
      <c r="I783" s="826">
        <v>1826.2750000000001</v>
      </c>
      <c r="J783" s="826">
        <v>85181</v>
      </c>
      <c r="K783" s="826">
        <v>6658</v>
      </c>
      <c r="L783" s="825">
        <v>4485</v>
      </c>
      <c r="M783" s="825"/>
      <c r="N783" s="826">
        <v>3406</v>
      </c>
      <c r="O783" s="826">
        <v>31440</v>
      </c>
      <c r="P783" s="826">
        <v>0</v>
      </c>
      <c r="Q783" s="825">
        <v>23108</v>
      </c>
      <c r="R783" s="825"/>
      <c r="S783" s="826">
        <v>25981</v>
      </c>
      <c r="T783" s="827">
        <v>-10027</v>
      </c>
      <c r="U783" s="827">
        <v>15954</v>
      </c>
    </row>
    <row r="784" spans="1:21" x14ac:dyDescent="0.25">
      <c r="A784" s="822">
        <v>98517</v>
      </c>
      <c r="B784" s="823" t="s">
        <v>3347</v>
      </c>
      <c r="C784" s="824">
        <v>2.6000000000000001E-6</v>
      </c>
      <c r="D784" s="824">
        <v>3.3000000000000002E-6</v>
      </c>
      <c r="E784" s="825">
        <v>2175</v>
      </c>
      <c r="F784" s="825">
        <v>1481</v>
      </c>
      <c r="G784" s="825">
        <v>5518</v>
      </c>
      <c r="H784" s="825"/>
      <c r="I784" s="826">
        <v>103.675</v>
      </c>
      <c r="J784" s="826">
        <v>4836</v>
      </c>
      <c r="K784" s="826">
        <v>378</v>
      </c>
      <c r="L784" s="825">
        <v>1036</v>
      </c>
      <c r="M784" s="825"/>
      <c r="N784" s="826">
        <v>193</v>
      </c>
      <c r="O784" s="826">
        <v>1785</v>
      </c>
      <c r="P784" s="826">
        <v>0</v>
      </c>
      <c r="Q784" s="825">
        <v>0</v>
      </c>
      <c r="R784" s="825"/>
      <c r="S784" s="826">
        <v>1475</v>
      </c>
      <c r="T784" s="827">
        <v>354</v>
      </c>
      <c r="U784" s="827">
        <v>1829</v>
      </c>
    </row>
    <row r="785" spans="1:21" x14ac:dyDescent="0.25">
      <c r="A785" s="822">
        <v>98521</v>
      </c>
      <c r="B785" s="823" t="s">
        <v>3348</v>
      </c>
      <c r="C785" s="824">
        <v>5.7059999999999999E-4</v>
      </c>
      <c r="D785" s="824">
        <v>6.3980000000000005E-4</v>
      </c>
      <c r="E785" s="825">
        <v>223042</v>
      </c>
      <c r="F785" s="825">
        <v>287138</v>
      </c>
      <c r="G785" s="825">
        <v>1211004</v>
      </c>
      <c r="H785" s="825"/>
      <c r="I785" s="826">
        <v>22753</v>
      </c>
      <c r="J785" s="826">
        <v>1061226</v>
      </c>
      <c r="K785" s="826">
        <v>82943</v>
      </c>
      <c r="L785" s="825">
        <v>0</v>
      </c>
      <c r="M785" s="825"/>
      <c r="N785" s="826">
        <v>42435</v>
      </c>
      <c r="O785" s="826">
        <v>391693</v>
      </c>
      <c r="P785" s="826">
        <v>0</v>
      </c>
      <c r="Q785" s="825">
        <v>62867</v>
      </c>
      <c r="R785" s="825"/>
      <c r="S785" s="826">
        <v>323684</v>
      </c>
      <c r="T785" s="827">
        <v>-18900</v>
      </c>
      <c r="U785" s="827">
        <v>304784</v>
      </c>
    </row>
    <row r="786" spans="1:21" x14ac:dyDescent="0.25">
      <c r="A786" s="822">
        <v>98601</v>
      </c>
      <c r="B786" s="823" t="s">
        <v>3349</v>
      </c>
      <c r="C786" s="824">
        <v>3.5065999999999999E-3</v>
      </c>
      <c r="D786" s="824">
        <v>3.3880999999999998E-3</v>
      </c>
      <c r="E786" s="825">
        <v>1331350</v>
      </c>
      <c r="F786" s="825">
        <v>1520559</v>
      </c>
      <c r="G786" s="825">
        <v>7442180</v>
      </c>
      <c r="H786" s="825"/>
      <c r="I786" s="826">
        <v>139826</v>
      </c>
      <c r="J786" s="826">
        <v>6521722</v>
      </c>
      <c r="K786" s="826">
        <v>509723</v>
      </c>
      <c r="L786" s="825">
        <v>0</v>
      </c>
      <c r="M786" s="825"/>
      <c r="N786" s="826">
        <v>260782</v>
      </c>
      <c r="O786" s="826">
        <v>2407134</v>
      </c>
      <c r="P786" s="826">
        <v>0</v>
      </c>
      <c r="Q786" s="825">
        <v>160211</v>
      </c>
      <c r="R786" s="825"/>
      <c r="S786" s="826">
        <v>1989185</v>
      </c>
      <c r="T786" s="827">
        <v>-63543</v>
      </c>
      <c r="U786" s="827">
        <v>1925643</v>
      </c>
    </row>
    <row r="787" spans="1:21" x14ac:dyDescent="0.25">
      <c r="A787" s="822">
        <v>98604</v>
      </c>
      <c r="B787" s="823" t="s">
        <v>3350</v>
      </c>
      <c r="C787" s="824">
        <v>1.59E-5</v>
      </c>
      <c r="D787" s="824">
        <v>0</v>
      </c>
      <c r="E787" s="825">
        <v>5854</v>
      </c>
      <c r="F787" s="825">
        <v>0</v>
      </c>
      <c r="G787" s="825">
        <v>33745</v>
      </c>
      <c r="H787" s="825"/>
      <c r="I787" s="826">
        <v>634</v>
      </c>
      <c r="J787" s="826">
        <v>29571</v>
      </c>
      <c r="K787" s="826">
        <v>2311</v>
      </c>
      <c r="L787" s="825">
        <v>8069</v>
      </c>
      <c r="M787" s="825"/>
      <c r="N787" s="826">
        <v>1182</v>
      </c>
      <c r="O787" s="826">
        <v>10915</v>
      </c>
      <c r="P787" s="826">
        <v>0</v>
      </c>
      <c r="Q787" s="825">
        <v>0</v>
      </c>
      <c r="R787" s="825"/>
      <c r="S787" s="826">
        <v>9020</v>
      </c>
      <c r="T787" s="827">
        <v>2090</v>
      </c>
      <c r="U787" s="827">
        <v>11110</v>
      </c>
    </row>
    <row r="788" spans="1:21" x14ac:dyDescent="0.25">
      <c r="A788" s="822">
        <v>98607</v>
      </c>
      <c r="B788" s="823" t="s">
        <v>3351</v>
      </c>
      <c r="C788" s="824">
        <v>5.9000000000000003E-6</v>
      </c>
      <c r="D788" s="824">
        <v>6.0000000000000002E-6</v>
      </c>
      <c r="E788" s="825">
        <v>2400</v>
      </c>
      <c r="F788" s="825">
        <v>2693</v>
      </c>
      <c r="G788" s="825">
        <v>12522</v>
      </c>
      <c r="H788" s="825"/>
      <c r="I788" s="826">
        <v>235</v>
      </c>
      <c r="J788" s="826">
        <v>10973</v>
      </c>
      <c r="K788" s="826">
        <v>858</v>
      </c>
      <c r="L788" s="825">
        <v>0</v>
      </c>
      <c r="M788" s="825"/>
      <c r="N788" s="826">
        <v>439</v>
      </c>
      <c r="O788" s="826">
        <v>4050</v>
      </c>
      <c r="P788" s="826">
        <v>0</v>
      </c>
      <c r="Q788" s="825">
        <v>2348</v>
      </c>
      <c r="R788" s="825"/>
      <c r="S788" s="826">
        <v>3347</v>
      </c>
      <c r="T788" s="827">
        <v>-874</v>
      </c>
      <c r="U788" s="827">
        <v>2473</v>
      </c>
    </row>
    <row r="789" spans="1:21" x14ac:dyDescent="0.25">
      <c r="A789" s="822">
        <v>98608</v>
      </c>
      <c r="B789" s="823" t="s">
        <v>3352</v>
      </c>
      <c r="C789" s="824">
        <v>4.2299999999999998E-5</v>
      </c>
      <c r="D789" s="824">
        <v>5.4500000000000003E-5</v>
      </c>
      <c r="E789" s="825">
        <v>16593</v>
      </c>
      <c r="F789" s="825">
        <v>24459</v>
      </c>
      <c r="G789" s="825">
        <v>89775</v>
      </c>
      <c r="H789" s="825"/>
      <c r="I789" s="826">
        <v>1687</v>
      </c>
      <c r="J789" s="826">
        <v>78671</v>
      </c>
      <c r="K789" s="826">
        <v>6149</v>
      </c>
      <c r="L789" s="825">
        <v>6369</v>
      </c>
      <c r="M789" s="825"/>
      <c r="N789" s="826">
        <v>3146</v>
      </c>
      <c r="O789" s="826">
        <v>29037</v>
      </c>
      <c r="P789" s="826">
        <v>0</v>
      </c>
      <c r="Q789" s="825">
        <v>7247</v>
      </c>
      <c r="R789" s="825"/>
      <c r="S789" s="826">
        <v>23995</v>
      </c>
      <c r="T789" s="827">
        <v>566</v>
      </c>
      <c r="U789" s="827">
        <v>24562</v>
      </c>
    </row>
    <row r="790" spans="1:21" x14ac:dyDescent="0.25">
      <c r="A790" s="822">
        <v>98611</v>
      </c>
      <c r="B790" s="823" t="s">
        <v>3353</v>
      </c>
      <c r="C790" s="824">
        <v>8.6700000000000007E-5</v>
      </c>
      <c r="D790" s="824">
        <v>1.2129999999999999E-4</v>
      </c>
      <c r="E790" s="825">
        <v>43078</v>
      </c>
      <c r="F790" s="825">
        <v>54439</v>
      </c>
      <c r="G790" s="825">
        <v>184006</v>
      </c>
      <c r="H790" s="825"/>
      <c r="I790" s="826">
        <v>3457</v>
      </c>
      <c r="J790" s="826">
        <v>161248</v>
      </c>
      <c r="K790" s="826">
        <v>12603</v>
      </c>
      <c r="L790" s="825">
        <v>4723</v>
      </c>
      <c r="M790" s="825"/>
      <c r="N790" s="826">
        <v>6448</v>
      </c>
      <c r="O790" s="826">
        <v>59516</v>
      </c>
      <c r="P790" s="826">
        <v>0</v>
      </c>
      <c r="Q790" s="825">
        <v>12848</v>
      </c>
      <c r="R790" s="825"/>
      <c r="S790" s="826">
        <v>49182</v>
      </c>
      <c r="T790" s="827">
        <v>-1131</v>
      </c>
      <c r="U790" s="827">
        <v>48051</v>
      </c>
    </row>
    <row r="791" spans="1:21" x14ac:dyDescent="0.25">
      <c r="A791" s="822">
        <v>98621</v>
      </c>
      <c r="B791" s="823" t="s">
        <v>3354</v>
      </c>
      <c r="C791" s="824">
        <v>1.3239999999999999E-4</v>
      </c>
      <c r="D791" s="824">
        <v>1.2740000000000001E-4</v>
      </c>
      <c r="E791" s="825">
        <v>45779.06</v>
      </c>
      <c r="F791" s="825">
        <v>57176</v>
      </c>
      <c r="G791" s="825">
        <v>280997</v>
      </c>
      <c r="H791" s="825"/>
      <c r="I791" s="826">
        <v>5279.45</v>
      </c>
      <c r="J791" s="826">
        <v>246243</v>
      </c>
      <c r="K791" s="826">
        <v>19246</v>
      </c>
      <c r="L791" s="825">
        <v>951</v>
      </c>
      <c r="M791" s="825"/>
      <c r="N791" s="826">
        <v>9846</v>
      </c>
      <c r="O791" s="826">
        <v>90887</v>
      </c>
      <c r="P791" s="826">
        <v>0</v>
      </c>
      <c r="Q791" s="825">
        <v>9470</v>
      </c>
      <c r="R791" s="825"/>
      <c r="S791" s="826">
        <v>75106</v>
      </c>
      <c r="T791" s="827">
        <v>-2481</v>
      </c>
      <c r="U791" s="827">
        <v>72625</v>
      </c>
    </row>
    <row r="792" spans="1:21" x14ac:dyDescent="0.25">
      <c r="A792" s="822">
        <v>98627</v>
      </c>
      <c r="B792" s="823" t="s">
        <v>3355</v>
      </c>
      <c r="C792" s="824">
        <v>9.3999999999999998E-6</v>
      </c>
      <c r="D792" s="824">
        <v>7.4000000000000003E-6</v>
      </c>
      <c r="E792" s="825">
        <v>3039</v>
      </c>
      <c r="F792" s="825">
        <v>3321</v>
      </c>
      <c r="G792" s="825">
        <v>19950</v>
      </c>
      <c r="H792" s="825"/>
      <c r="I792" s="826">
        <v>374.82499999999999</v>
      </c>
      <c r="J792" s="826">
        <v>17483</v>
      </c>
      <c r="K792" s="826">
        <v>1366</v>
      </c>
      <c r="L792" s="825">
        <v>426</v>
      </c>
      <c r="M792" s="825"/>
      <c r="N792" s="826">
        <v>699</v>
      </c>
      <c r="O792" s="826">
        <v>6453</v>
      </c>
      <c r="P792" s="826">
        <v>0</v>
      </c>
      <c r="Q792" s="825">
        <v>202</v>
      </c>
      <c r="R792" s="825"/>
      <c r="S792" s="826">
        <v>5332</v>
      </c>
      <c r="T792" s="827">
        <v>25</v>
      </c>
      <c r="U792" s="827">
        <v>5357</v>
      </c>
    </row>
    <row r="793" spans="1:21" x14ac:dyDescent="0.25">
      <c r="A793" s="822">
        <v>98631</v>
      </c>
      <c r="B793" s="823" t="s">
        <v>3356</v>
      </c>
      <c r="C793" s="824">
        <v>1.0415000000000001E-3</v>
      </c>
      <c r="D793" s="824">
        <v>1.1375000000000001E-3</v>
      </c>
      <c r="E793" s="825">
        <v>412487</v>
      </c>
      <c r="F793" s="825">
        <v>510503</v>
      </c>
      <c r="G793" s="825">
        <v>2210412</v>
      </c>
      <c r="H793" s="825"/>
      <c r="I793" s="826">
        <v>41530</v>
      </c>
      <c r="J793" s="826">
        <v>1937025</v>
      </c>
      <c r="K793" s="826">
        <v>151393</v>
      </c>
      <c r="L793" s="825">
        <v>0</v>
      </c>
      <c r="M793" s="825"/>
      <c r="N793" s="826">
        <v>77455</v>
      </c>
      <c r="O793" s="826">
        <v>714946</v>
      </c>
      <c r="P793" s="826">
        <v>0</v>
      </c>
      <c r="Q793" s="825">
        <v>118586</v>
      </c>
      <c r="R793" s="825"/>
      <c r="S793" s="826">
        <v>590811</v>
      </c>
      <c r="T793" s="827">
        <v>-36690</v>
      </c>
      <c r="U793" s="827">
        <v>554121</v>
      </c>
    </row>
    <row r="794" spans="1:21" x14ac:dyDescent="0.25">
      <c r="A794" s="822">
        <v>98637</v>
      </c>
      <c r="B794" s="823" t="s">
        <v>3357</v>
      </c>
      <c r="C794" s="824">
        <v>2.2200000000000001E-5</v>
      </c>
      <c r="D794" s="824">
        <v>2.3499999999999999E-5</v>
      </c>
      <c r="E794" s="825">
        <v>14030</v>
      </c>
      <c r="F794" s="825">
        <v>10547</v>
      </c>
      <c r="G794" s="825">
        <v>47116</v>
      </c>
      <c r="H794" s="825"/>
      <c r="I794" s="826">
        <v>885.22500000000002</v>
      </c>
      <c r="J794" s="826">
        <v>41288</v>
      </c>
      <c r="K794" s="826">
        <v>3227</v>
      </c>
      <c r="L794" s="825">
        <v>6585</v>
      </c>
      <c r="M794" s="825"/>
      <c r="N794" s="826">
        <v>1651</v>
      </c>
      <c r="O794" s="826">
        <v>15239</v>
      </c>
      <c r="P794" s="826">
        <v>0</v>
      </c>
      <c r="Q794" s="825">
        <v>0</v>
      </c>
      <c r="R794" s="825"/>
      <c r="S794" s="826">
        <v>12593</v>
      </c>
      <c r="T794" s="827">
        <v>2204</v>
      </c>
      <c r="U794" s="827">
        <v>14798</v>
      </c>
    </row>
    <row r="795" spans="1:21" x14ac:dyDescent="0.25">
      <c r="A795" s="822">
        <v>98641</v>
      </c>
      <c r="B795" s="823" t="s">
        <v>3358</v>
      </c>
      <c r="C795" s="824">
        <v>3.0019999999999998E-4</v>
      </c>
      <c r="D795" s="824">
        <v>3.1819999999999998E-4</v>
      </c>
      <c r="E795" s="825">
        <v>122410</v>
      </c>
      <c r="F795" s="825">
        <v>142806</v>
      </c>
      <c r="G795" s="825">
        <v>637125</v>
      </c>
      <c r="H795" s="825"/>
      <c r="I795" s="826">
        <v>11970</v>
      </c>
      <c r="J795" s="826">
        <v>558325</v>
      </c>
      <c r="K795" s="826">
        <v>43637</v>
      </c>
      <c r="L795" s="825">
        <v>4514</v>
      </c>
      <c r="M795" s="825"/>
      <c r="N795" s="826">
        <v>22326</v>
      </c>
      <c r="O795" s="826">
        <v>206075</v>
      </c>
      <c r="P795" s="826">
        <v>0</v>
      </c>
      <c r="Q795" s="825">
        <v>10581</v>
      </c>
      <c r="R795" s="825"/>
      <c r="S795" s="826">
        <v>170294</v>
      </c>
      <c r="T795" s="827">
        <v>-473</v>
      </c>
      <c r="U795" s="827">
        <v>169821</v>
      </c>
    </row>
    <row r="796" spans="1:21" x14ac:dyDescent="0.25">
      <c r="A796" s="822">
        <v>98647</v>
      </c>
      <c r="B796" s="823" t="s">
        <v>3359</v>
      </c>
      <c r="C796" s="824">
        <v>0</v>
      </c>
      <c r="D796" s="824">
        <v>1.24E-5</v>
      </c>
      <c r="E796" s="825">
        <v>0</v>
      </c>
      <c r="F796" s="825">
        <v>5565</v>
      </c>
      <c r="G796" s="825">
        <v>0</v>
      </c>
      <c r="H796" s="825"/>
      <c r="I796" s="826">
        <v>0</v>
      </c>
      <c r="J796" s="826">
        <v>0</v>
      </c>
      <c r="K796" s="826">
        <v>0</v>
      </c>
      <c r="L796" s="825">
        <v>4884</v>
      </c>
      <c r="M796" s="825"/>
      <c r="N796" s="826">
        <v>0</v>
      </c>
      <c r="O796" s="826">
        <v>0</v>
      </c>
      <c r="P796" s="826">
        <v>0</v>
      </c>
      <c r="Q796" s="825">
        <v>6717</v>
      </c>
      <c r="R796" s="825"/>
      <c r="S796" s="826">
        <v>0</v>
      </c>
      <c r="T796" s="827">
        <v>178</v>
      </c>
      <c r="U796" s="827">
        <v>178</v>
      </c>
    </row>
    <row r="797" spans="1:21" x14ac:dyDescent="0.25">
      <c r="A797" s="822">
        <v>98701</v>
      </c>
      <c r="B797" s="823" t="s">
        <v>3360</v>
      </c>
      <c r="C797" s="824">
        <v>1.1793000000000001E-3</v>
      </c>
      <c r="D797" s="824">
        <v>1.0842E-3</v>
      </c>
      <c r="E797" s="825">
        <v>425946.13</v>
      </c>
      <c r="F797" s="825">
        <v>486582</v>
      </c>
      <c r="G797" s="825">
        <v>2502870</v>
      </c>
      <c r="H797" s="825"/>
      <c r="I797" s="826">
        <v>47025</v>
      </c>
      <c r="J797" s="826">
        <v>2193312</v>
      </c>
      <c r="K797" s="826">
        <v>171424</v>
      </c>
      <c r="L797" s="825">
        <v>4631</v>
      </c>
      <c r="M797" s="825"/>
      <c r="N797" s="826">
        <v>87703</v>
      </c>
      <c r="O797" s="826">
        <v>809540</v>
      </c>
      <c r="P797" s="826">
        <v>0</v>
      </c>
      <c r="Q797" s="825">
        <v>48875</v>
      </c>
      <c r="R797" s="825"/>
      <c r="S797" s="826">
        <v>668980</v>
      </c>
      <c r="T797" s="827">
        <v>-17040</v>
      </c>
      <c r="U797" s="827">
        <v>651940</v>
      </c>
    </row>
    <row r="798" spans="1:21" x14ac:dyDescent="0.25">
      <c r="A798" s="822">
        <v>98711</v>
      </c>
      <c r="B798" s="823" t="s">
        <v>3361</v>
      </c>
      <c r="C798" s="824">
        <v>1.8039999999999999E-4</v>
      </c>
      <c r="D798" s="824">
        <v>1.7589999999999999E-4</v>
      </c>
      <c r="E798" s="825">
        <v>62580</v>
      </c>
      <c r="F798" s="825">
        <v>78943</v>
      </c>
      <c r="G798" s="825">
        <v>382869</v>
      </c>
      <c r="H798" s="825"/>
      <c r="I798" s="826">
        <v>7193.45</v>
      </c>
      <c r="J798" s="826">
        <v>335515</v>
      </c>
      <c r="K798" s="826">
        <v>26223</v>
      </c>
      <c r="L798" s="825">
        <v>2488</v>
      </c>
      <c r="M798" s="825"/>
      <c r="N798" s="826">
        <v>13416</v>
      </c>
      <c r="O798" s="826">
        <v>123837</v>
      </c>
      <c r="P798" s="826">
        <v>0</v>
      </c>
      <c r="Q798" s="825">
        <v>10451</v>
      </c>
      <c r="R798" s="825"/>
      <c r="S798" s="826">
        <v>102335</v>
      </c>
      <c r="T798" s="827">
        <v>-1808</v>
      </c>
      <c r="U798" s="827">
        <v>100527</v>
      </c>
    </row>
    <row r="799" spans="1:21" x14ac:dyDescent="0.25">
      <c r="A799" s="822">
        <v>98717</v>
      </c>
      <c r="B799" s="823" t="s">
        <v>3362</v>
      </c>
      <c r="C799" s="824">
        <v>1.8600000000000001E-5</v>
      </c>
      <c r="D799" s="824">
        <v>1.98E-5</v>
      </c>
      <c r="E799" s="825">
        <v>7761</v>
      </c>
      <c r="F799" s="825">
        <v>8886</v>
      </c>
      <c r="G799" s="825">
        <v>39475</v>
      </c>
      <c r="H799" s="825"/>
      <c r="I799" s="826">
        <v>742</v>
      </c>
      <c r="J799" s="826">
        <v>34593</v>
      </c>
      <c r="K799" s="826">
        <v>2704</v>
      </c>
      <c r="L799" s="825">
        <v>783</v>
      </c>
      <c r="M799" s="825"/>
      <c r="N799" s="826">
        <v>1383</v>
      </c>
      <c r="O799" s="826">
        <v>12768</v>
      </c>
      <c r="P799" s="826">
        <v>0</v>
      </c>
      <c r="Q799" s="825">
        <v>798</v>
      </c>
      <c r="R799" s="825"/>
      <c r="S799" s="826">
        <v>10551</v>
      </c>
      <c r="T799" s="827">
        <v>13</v>
      </c>
      <c r="U799" s="827">
        <v>10565</v>
      </c>
    </row>
    <row r="800" spans="1:21" x14ac:dyDescent="0.25">
      <c r="A800" s="822">
        <v>98801</v>
      </c>
      <c r="B800" s="823" t="s">
        <v>3363</v>
      </c>
      <c r="C800" s="824">
        <v>2.1771999999999998E-3</v>
      </c>
      <c r="D800" s="824">
        <v>2.1686000000000001E-3</v>
      </c>
      <c r="E800" s="825">
        <v>916501</v>
      </c>
      <c r="F800" s="825">
        <v>973255</v>
      </c>
      <c r="G800" s="825">
        <v>4620748</v>
      </c>
      <c r="H800" s="825"/>
      <c r="I800" s="826">
        <v>86816</v>
      </c>
      <c r="J800" s="826">
        <v>4049248</v>
      </c>
      <c r="K800" s="826">
        <v>316480</v>
      </c>
      <c r="L800" s="825">
        <v>92904</v>
      </c>
      <c r="M800" s="825"/>
      <c r="N800" s="826">
        <v>161916</v>
      </c>
      <c r="O800" s="826">
        <v>1494556</v>
      </c>
      <c r="P800" s="826">
        <v>0</v>
      </c>
      <c r="Q800" s="825">
        <v>0</v>
      </c>
      <c r="R800" s="825"/>
      <c r="S800" s="826">
        <v>1235058</v>
      </c>
      <c r="T800" s="827">
        <v>33821</v>
      </c>
      <c r="U800" s="827">
        <v>1268879</v>
      </c>
    </row>
    <row r="801" spans="1:21" x14ac:dyDescent="0.25">
      <c r="A801" s="822">
        <v>98811</v>
      </c>
      <c r="B801" s="823" t="s">
        <v>3364</v>
      </c>
      <c r="C801" s="824">
        <v>7.1120000000000005E-4</v>
      </c>
      <c r="D801" s="824">
        <v>7.737E-4</v>
      </c>
      <c r="E801" s="825">
        <v>290528</v>
      </c>
      <c r="F801" s="825">
        <v>347232</v>
      </c>
      <c r="G801" s="825">
        <v>1509405</v>
      </c>
      <c r="H801" s="825"/>
      <c r="I801" s="826">
        <v>28359</v>
      </c>
      <c r="J801" s="826">
        <v>1322720</v>
      </c>
      <c r="K801" s="826">
        <v>103381</v>
      </c>
      <c r="L801" s="825">
        <v>31001</v>
      </c>
      <c r="M801" s="825"/>
      <c r="N801" s="826">
        <v>52891</v>
      </c>
      <c r="O801" s="826">
        <v>488209</v>
      </c>
      <c r="P801" s="826">
        <v>0</v>
      </c>
      <c r="Q801" s="825">
        <v>35404</v>
      </c>
      <c r="R801" s="825"/>
      <c r="S801" s="826">
        <v>403442</v>
      </c>
      <c r="T801" s="827">
        <v>4854</v>
      </c>
      <c r="U801" s="827">
        <v>408295</v>
      </c>
    </row>
    <row r="802" spans="1:21" x14ac:dyDescent="0.25">
      <c r="A802" s="822">
        <v>98817</v>
      </c>
      <c r="B802" s="823" t="s">
        <v>3365</v>
      </c>
      <c r="C802" s="824">
        <v>2.34E-5</v>
      </c>
      <c r="D802" s="824">
        <v>2.6400000000000001E-5</v>
      </c>
      <c r="E802" s="825">
        <v>11958.25</v>
      </c>
      <c r="F802" s="825">
        <v>11848</v>
      </c>
      <c r="G802" s="825">
        <v>49663</v>
      </c>
      <c r="H802" s="825"/>
      <c r="I802" s="826">
        <v>933</v>
      </c>
      <c r="J802" s="826">
        <v>43520</v>
      </c>
      <c r="K802" s="826">
        <v>3401</v>
      </c>
      <c r="L802" s="825">
        <v>244</v>
      </c>
      <c r="M802" s="825"/>
      <c r="N802" s="826">
        <v>1740</v>
      </c>
      <c r="O802" s="826">
        <v>16063</v>
      </c>
      <c r="P802" s="826">
        <v>0</v>
      </c>
      <c r="Q802" s="825">
        <v>4380</v>
      </c>
      <c r="R802" s="825"/>
      <c r="S802" s="826">
        <v>13274</v>
      </c>
      <c r="T802" s="827">
        <v>-2136</v>
      </c>
      <c r="U802" s="827">
        <v>11138</v>
      </c>
    </row>
    <row r="803" spans="1:21" x14ac:dyDescent="0.25">
      <c r="A803" s="822">
        <v>98901</v>
      </c>
      <c r="B803" s="823" t="s">
        <v>3366</v>
      </c>
      <c r="C803" s="824">
        <v>3.392E-4</v>
      </c>
      <c r="D803" s="824">
        <v>3.4190000000000002E-4</v>
      </c>
      <c r="E803" s="825">
        <v>138121</v>
      </c>
      <c r="F803" s="825">
        <v>153443</v>
      </c>
      <c r="G803" s="825">
        <v>719896</v>
      </c>
      <c r="H803" s="825"/>
      <c r="I803" s="826">
        <v>13525.6</v>
      </c>
      <c r="J803" s="826">
        <v>630858</v>
      </c>
      <c r="K803" s="826">
        <v>49306</v>
      </c>
      <c r="L803" s="825">
        <v>2099</v>
      </c>
      <c r="M803" s="825"/>
      <c r="N803" s="826">
        <v>25226</v>
      </c>
      <c r="O803" s="826">
        <v>232847</v>
      </c>
      <c r="P803" s="826">
        <v>0</v>
      </c>
      <c r="Q803" s="825">
        <v>3837</v>
      </c>
      <c r="R803" s="825"/>
      <c r="S803" s="826">
        <v>192418</v>
      </c>
      <c r="T803" s="827">
        <v>-562</v>
      </c>
      <c r="U803" s="827">
        <v>191855</v>
      </c>
    </row>
    <row r="804" spans="1:21" x14ac:dyDescent="0.25">
      <c r="A804" s="822">
        <v>98904</v>
      </c>
      <c r="B804" s="823" t="s">
        <v>3367</v>
      </c>
      <c r="C804" s="824">
        <v>5.2000000000000002E-6</v>
      </c>
      <c r="D804" s="824">
        <v>3.4000000000000001E-6</v>
      </c>
      <c r="E804" s="825">
        <v>0</v>
      </c>
      <c r="F804" s="825">
        <v>1526</v>
      </c>
      <c r="G804" s="825">
        <v>11036</v>
      </c>
      <c r="H804" s="825"/>
      <c r="I804" s="826">
        <v>207.35</v>
      </c>
      <c r="J804" s="826">
        <v>9671</v>
      </c>
      <c r="K804" s="826">
        <v>756</v>
      </c>
      <c r="L804" s="825">
        <v>575</v>
      </c>
      <c r="M804" s="825"/>
      <c r="N804" s="826">
        <v>387</v>
      </c>
      <c r="O804" s="826">
        <v>3570</v>
      </c>
      <c r="P804" s="826">
        <v>0</v>
      </c>
      <c r="Q804" s="825">
        <v>723</v>
      </c>
      <c r="R804" s="825"/>
      <c r="S804" s="826">
        <v>2950</v>
      </c>
      <c r="T804" s="827">
        <v>22</v>
      </c>
      <c r="U804" s="827">
        <v>2972</v>
      </c>
    </row>
    <row r="805" spans="1:21" x14ac:dyDescent="0.25">
      <c r="A805" s="822">
        <v>98911</v>
      </c>
      <c r="B805" s="823" t="s">
        <v>3368</v>
      </c>
      <c r="C805" s="824">
        <v>2.8600000000000001E-5</v>
      </c>
      <c r="D805" s="824">
        <v>2.5899999999999999E-5</v>
      </c>
      <c r="E805" s="825">
        <v>16745</v>
      </c>
      <c r="F805" s="825">
        <v>11624</v>
      </c>
      <c r="G805" s="825">
        <v>60699</v>
      </c>
      <c r="H805" s="825"/>
      <c r="I805" s="826">
        <v>1140.425</v>
      </c>
      <c r="J805" s="826">
        <v>53191</v>
      </c>
      <c r="K805" s="826">
        <v>4157</v>
      </c>
      <c r="L805" s="825">
        <v>13795</v>
      </c>
      <c r="M805" s="825"/>
      <c r="N805" s="826">
        <v>2127</v>
      </c>
      <c r="O805" s="826">
        <v>19633</v>
      </c>
      <c r="P805" s="826">
        <v>0</v>
      </c>
      <c r="Q805" s="825">
        <v>0</v>
      </c>
      <c r="R805" s="825"/>
      <c r="S805" s="826">
        <v>16224</v>
      </c>
      <c r="T805" s="827">
        <v>4655</v>
      </c>
      <c r="U805" s="827">
        <v>20879</v>
      </c>
    </row>
    <row r="806" spans="1:21" x14ac:dyDescent="0.25">
      <c r="A806" s="822">
        <v>99001</v>
      </c>
      <c r="B806" s="823" t="s">
        <v>3369</v>
      </c>
      <c r="C806" s="824">
        <v>7.8098999999999998E-3</v>
      </c>
      <c r="D806" s="824">
        <v>7.5116999999999996E-3</v>
      </c>
      <c r="E806" s="825">
        <v>3132308</v>
      </c>
      <c r="F806" s="825">
        <v>3371206</v>
      </c>
      <c r="G806" s="825">
        <v>16575224</v>
      </c>
      <c r="H806" s="825"/>
      <c r="I806" s="826">
        <v>311420</v>
      </c>
      <c r="J806" s="826">
        <v>14525180</v>
      </c>
      <c r="K806" s="826">
        <v>1135255</v>
      </c>
      <c r="L806" s="825">
        <v>444444</v>
      </c>
      <c r="M806" s="825"/>
      <c r="N806" s="826">
        <v>580814</v>
      </c>
      <c r="O806" s="826">
        <v>5361168</v>
      </c>
      <c r="P806" s="826">
        <v>0</v>
      </c>
      <c r="Q806" s="825">
        <v>0</v>
      </c>
      <c r="R806" s="825"/>
      <c r="S806" s="826">
        <v>4430314</v>
      </c>
      <c r="T806" s="827">
        <v>166582</v>
      </c>
      <c r="U806" s="827">
        <v>4596896</v>
      </c>
    </row>
    <row r="807" spans="1:21" x14ac:dyDescent="0.25">
      <c r="A807" s="822">
        <v>99011</v>
      </c>
      <c r="B807" s="823" t="s">
        <v>3370</v>
      </c>
      <c r="C807" s="824">
        <v>3.9039000000000001E-3</v>
      </c>
      <c r="D807" s="824">
        <v>4.3128999999999997E-3</v>
      </c>
      <c r="E807" s="825">
        <v>1564249</v>
      </c>
      <c r="F807" s="825">
        <v>1935604</v>
      </c>
      <c r="G807" s="825">
        <v>8285384</v>
      </c>
      <c r="H807" s="825"/>
      <c r="I807" s="826">
        <v>155668</v>
      </c>
      <c r="J807" s="826">
        <v>7260637</v>
      </c>
      <c r="K807" s="826">
        <v>567475</v>
      </c>
      <c r="L807" s="825">
        <v>0</v>
      </c>
      <c r="M807" s="825"/>
      <c r="N807" s="826">
        <v>290329</v>
      </c>
      <c r="O807" s="826">
        <v>2679863</v>
      </c>
      <c r="P807" s="826">
        <v>0</v>
      </c>
      <c r="Q807" s="825">
        <v>573396</v>
      </c>
      <c r="R807" s="825"/>
      <c r="S807" s="826">
        <v>2214561</v>
      </c>
      <c r="T807" s="827">
        <v>-205801</v>
      </c>
      <c r="U807" s="827">
        <v>2008761</v>
      </c>
    </row>
    <row r="808" spans="1:21" x14ac:dyDescent="0.25">
      <c r="A808" s="822">
        <v>99013</v>
      </c>
      <c r="B808" s="823" t="s">
        <v>3371</v>
      </c>
      <c r="C808" s="824">
        <v>6.02E-5</v>
      </c>
      <c r="D808" s="824">
        <v>7.2299999999999996E-5</v>
      </c>
      <c r="E808" s="825">
        <v>23490.16</v>
      </c>
      <c r="F808" s="825">
        <v>32448</v>
      </c>
      <c r="G808" s="825">
        <v>127765</v>
      </c>
      <c r="H808" s="825"/>
      <c r="I808" s="826">
        <v>2400.4749999999999</v>
      </c>
      <c r="J808" s="826">
        <v>111962</v>
      </c>
      <c r="K808" s="826">
        <v>8751</v>
      </c>
      <c r="L808" s="825">
        <v>20</v>
      </c>
      <c r="M808" s="825"/>
      <c r="N808" s="826">
        <v>4477</v>
      </c>
      <c r="O808" s="826">
        <v>41325</v>
      </c>
      <c r="P808" s="826">
        <v>0</v>
      </c>
      <c r="Q808" s="825">
        <v>8750</v>
      </c>
      <c r="R808" s="825"/>
      <c r="S808" s="826">
        <v>34150</v>
      </c>
      <c r="T808" s="827">
        <v>-2370</v>
      </c>
      <c r="U808" s="827">
        <v>31779</v>
      </c>
    </row>
    <row r="809" spans="1:21" x14ac:dyDescent="0.25">
      <c r="A809" s="822">
        <v>99014</v>
      </c>
      <c r="B809" s="823" t="s">
        <v>3372</v>
      </c>
      <c r="C809" s="824">
        <v>2.4199999999999999E-5</v>
      </c>
      <c r="D809" s="824">
        <v>0</v>
      </c>
      <c r="E809" s="825">
        <v>13216.55</v>
      </c>
      <c r="F809" s="825">
        <v>0</v>
      </c>
      <c r="G809" s="825">
        <v>51361</v>
      </c>
      <c r="H809" s="825"/>
      <c r="I809" s="826">
        <v>965</v>
      </c>
      <c r="J809" s="826">
        <v>45008</v>
      </c>
      <c r="K809" s="826">
        <v>3518</v>
      </c>
      <c r="L809" s="825">
        <v>15702</v>
      </c>
      <c r="M809" s="825"/>
      <c r="N809" s="826">
        <v>1800</v>
      </c>
      <c r="O809" s="826">
        <v>16612</v>
      </c>
      <c r="P809" s="826">
        <v>0</v>
      </c>
      <c r="Q809" s="825">
        <v>0</v>
      </c>
      <c r="R809" s="825"/>
      <c r="S809" s="826">
        <v>13728</v>
      </c>
      <c r="T809" s="827">
        <v>4068</v>
      </c>
      <c r="U809" s="827">
        <v>17796</v>
      </c>
    </row>
    <row r="810" spans="1:21" x14ac:dyDescent="0.25">
      <c r="A810" s="822">
        <v>99017</v>
      </c>
      <c r="B810" s="823" t="s">
        <v>3373</v>
      </c>
      <c r="C810" s="824">
        <v>4.6999999999999997E-5</v>
      </c>
      <c r="D810" s="824">
        <v>4.1199999999999999E-5</v>
      </c>
      <c r="E810" s="825">
        <v>19641</v>
      </c>
      <c r="F810" s="825">
        <v>18490</v>
      </c>
      <c r="G810" s="825">
        <v>99750</v>
      </c>
      <c r="H810" s="825"/>
      <c r="I810" s="826">
        <v>1874.125</v>
      </c>
      <c r="J810" s="826">
        <v>87413</v>
      </c>
      <c r="K810" s="826">
        <v>6832</v>
      </c>
      <c r="L810" s="825">
        <v>5674</v>
      </c>
      <c r="M810" s="825"/>
      <c r="N810" s="826">
        <v>3495</v>
      </c>
      <c r="O810" s="826">
        <v>32264</v>
      </c>
      <c r="P810" s="826">
        <v>0</v>
      </c>
      <c r="Q810" s="825">
        <v>6645</v>
      </c>
      <c r="R810" s="825"/>
      <c r="S810" s="826">
        <v>26662</v>
      </c>
      <c r="T810" s="827">
        <v>-1651</v>
      </c>
      <c r="U810" s="827">
        <v>25011</v>
      </c>
    </row>
    <row r="811" spans="1:21" x14ac:dyDescent="0.25">
      <c r="A811" s="822">
        <v>99021</v>
      </c>
      <c r="B811" s="823" t="s">
        <v>3374</v>
      </c>
      <c r="C811" s="824">
        <v>1.3420000000000001E-4</v>
      </c>
      <c r="D811" s="824">
        <v>1.3990000000000001E-4</v>
      </c>
      <c r="E811" s="825">
        <v>57840</v>
      </c>
      <c r="F811" s="825">
        <v>62786</v>
      </c>
      <c r="G811" s="825">
        <v>284817</v>
      </c>
      <c r="H811" s="825"/>
      <c r="I811" s="826">
        <v>5351</v>
      </c>
      <c r="J811" s="826">
        <v>249591</v>
      </c>
      <c r="K811" s="826">
        <v>19507</v>
      </c>
      <c r="L811" s="825">
        <v>5869</v>
      </c>
      <c r="M811" s="825"/>
      <c r="N811" s="826">
        <v>9980</v>
      </c>
      <c r="O811" s="826">
        <v>92123</v>
      </c>
      <c r="P811" s="826">
        <v>0</v>
      </c>
      <c r="Q811" s="825">
        <v>982</v>
      </c>
      <c r="R811" s="825"/>
      <c r="S811" s="826">
        <v>76127</v>
      </c>
      <c r="T811" s="827">
        <v>1992</v>
      </c>
      <c r="U811" s="827">
        <v>78120</v>
      </c>
    </row>
    <row r="812" spans="1:21" x14ac:dyDescent="0.25">
      <c r="A812" s="822">
        <v>99022</v>
      </c>
      <c r="B812" s="823" t="s">
        <v>1970</v>
      </c>
      <c r="C812" s="824">
        <v>1.1800000000000001E-5</v>
      </c>
      <c r="D812" s="824">
        <v>1.33E-5</v>
      </c>
      <c r="E812" s="825">
        <v>10517</v>
      </c>
      <c r="F812" s="825">
        <v>5969</v>
      </c>
      <c r="G812" s="825">
        <v>25044</v>
      </c>
      <c r="H812" s="825"/>
      <c r="I812" s="826">
        <v>471</v>
      </c>
      <c r="J812" s="826">
        <v>21946</v>
      </c>
      <c r="K812" s="826">
        <v>1715</v>
      </c>
      <c r="L812" s="825">
        <v>6383</v>
      </c>
      <c r="M812" s="825"/>
      <c r="N812" s="826">
        <v>878</v>
      </c>
      <c r="O812" s="826">
        <v>8100</v>
      </c>
      <c r="P812" s="826">
        <v>0</v>
      </c>
      <c r="Q812" s="825">
        <v>264.67</v>
      </c>
      <c r="R812" s="825"/>
      <c r="S812" s="826">
        <v>6694</v>
      </c>
      <c r="T812" s="827">
        <v>1778</v>
      </c>
      <c r="U812" s="827">
        <v>8472</v>
      </c>
    </row>
    <row r="813" spans="1:21" x14ac:dyDescent="0.25">
      <c r="A813" s="822">
        <v>99031</v>
      </c>
      <c r="B813" s="823" t="s">
        <v>3375</v>
      </c>
      <c r="C813" s="824">
        <v>1.5970000000000001E-4</v>
      </c>
      <c r="D813" s="824">
        <v>1.2860000000000001E-4</v>
      </c>
      <c r="E813" s="825">
        <v>49299</v>
      </c>
      <c r="F813" s="825">
        <v>57715</v>
      </c>
      <c r="G813" s="825">
        <v>338937</v>
      </c>
      <c r="H813" s="825"/>
      <c r="I813" s="826">
        <v>6368</v>
      </c>
      <c r="J813" s="826">
        <v>297017</v>
      </c>
      <c r="K813" s="826">
        <v>23214</v>
      </c>
      <c r="L813" s="825">
        <v>3840</v>
      </c>
      <c r="M813" s="825"/>
      <c r="N813" s="826">
        <v>11877</v>
      </c>
      <c r="O813" s="826">
        <v>109627</v>
      </c>
      <c r="P813" s="826">
        <v>0</v>
      </c>
      <c r="Q813" s="825">
        <v>20151</v>
      </c>
      <c r="R813" s="825"/>
      <c r="S813" s="826">
        <v>90593</v>
      </c>
      <c r="T813" s="827">
        <v>-8432</v>
      </c>
      <c r="U813" s="827">
        <v>82161</v>
      </c>
    </row>
    <row r="814" spans="1:21" x14ac:dyDescent="0.25">
      <c r="A814" s="822">
        <v>99041</v>
      </c>
      <c r="B814" s="823" t="s">
        <v>3376</v>
      </c>
      <c r="C814" s="824">
        <v>5.6289999999999997E-4</v>
      </c>
      <c r="D814" s="824">
        <v>5.0670000000000001E-4</v>
      </c>
      <c r="E814" s="825">
        <v>202619</v>
      </c>
      <c r="F814" s="825">
        <v>227404</v>
      </c>
      <c r="G814" s="825">
        <v>1194662</v>
      </c>
      <c r="H814" s="825"/>
      <c r="I814" s="826">
        <v>22446</v>
      </c>
      <c r="J814" s="826">
        <v>1046905</v>
      </c>
      <c r="K814" s="826">
        <v>81824</v>
      </c>
      <c r="L814" s="825">
        <v>59009</v>
      </c>
      <c r="M814" s="825"/>
      <c r="N814" s="826">
        <v>41862</v>
      </c>
      <c r="O814" s="826">
        <v>386407</v>
      </c>
      <c r="P814" s="826">
        <v>0</v>
      </c>
      <c r="Q814" s="825">
        <v>0</v>
      </c>
      <c r="R814" s="825"/>
      <c r="S814" s="826">
        <v>319316</v>
      </c>
      <c r="T814" s="827">
        <v>24415</v>
      </c>
      <c r="U814" s="827">
        <v>343731</v>
      </c>
    </row>
    <row r="815" spans="1:21" x14ac:dyDescent="0.25">
      <c r="A815" s="822">
        <v>99047</v>
      </c>
      <c r="B815" s="823" t="s">
        <v>3377</v>
      </c>
      <c r="C815" s="824">
        <v>9.2E-6</v>
      </c>
      <c r="D815" s="824">
        <v>1.19E-5</v>
      </c>
      <c r="E815" s="825">
        <v>6483</v>
      </c>
      <c r="F815" s="825">
        <v>5341</v>
      </c>
      <c r="G815" s="825">
        <v>19525</v>
      </c>
      <c r="H815" s="825"/>
      <c r="I815" s="826">
        <v>366.85</v>
      </c>
      <c r="J815" s="826">
        <v>17111</v>
      </c>
      <c r="K815" s="826">
        <v>1337</v>
      </c>
      <c r="L815" s="825">
        <v>3322</v>
      </c>
      <c r="M815" s="825"/>
      <c r="N815" s="826">
        <v>684</v>
      </c>
      <c r="O815" s="826">
        <v>6315</v>
      </c>
      <c r="P815" s="826">
        <v>0</v>
      </c>
      <c r="Q815" s="825">
        <v>0</v>
      </c>
      <c r="R815" s="825"/>
      <c r="S815" s="826">
        <v>5219</v>
      </c>
      <c r="T815" s="827">
        <v>1258</v>
      </c>
      <c r="U815" s="827">
        <v>6477</v>
      </c>
    </row>
    <row r="816" spans="1:21" x14ac:dyDescent="0.25">
      <c r="A816" s="822">
        <v>99051</v>
      </c>
      <c r="B816" s="823" t="s">
        <v>3378</v>
      </c>
      <c r="C816" s="824">
        <v>3.3349999999999997E-4</v>
      </c>
      <c r="D816" s="824">
        <v>2.8449999999999998E-4</v>
      </c>
      <c r="E816" s="825">
        <v>116232</v>
      </c>
      <c r="F816" s="825">
        <v>127682</v>
      </c>
      <c r="G816" s="825">
        <v>707799</v>
      </c>
      <c r="H816" s="825"/>
      <c r="I816" s="826">
        <v>13298</v>
      </c>
      <c r="J816" s="826">
        <v>620257</v>
      </c>
      <c r="K816" s="826">
        <v>48478</v>
      </c>
      <c r="L816" s="825">
        <v>16843</v>
      </c>
      <c r="M816" s="825"/>
      <c r="N816" s="826">
        <v>24802</v>
      </c>
      <c r="O816" s="826">
        <v>228934</v>
      </c>
      <c r="P816" s="826">
        <v>0</v>
      </c>
      <c r="Q816" s="825">
        <v>0</v>
      </c>
      <c r="R816" s="825"/>
      <c r="S816" s="826">
        <v>189184</v>
      </c>
      <c r="T816" s="827">
        <v>5410</v>
      </c>
      <c r="U816" s="827">
        <v>194594</v>
      </c>
    </row>
    <row r="817" spans="1:21" x14ac:dyDescent="0.25">
      <c r="A817" s="822">
        <v>99061</v>
      </c>
      <c r="B817" s="823" t="s">
        <v>3379</v>
      </c>
      <c r="C817" s="824">
        <v>8.3999999999999992E-6</v>
      </c>
      <c r="D817" s="824">
        <v>8.8000000000000004E-6</v>
      </c>
      <c r="E817" s="825">
        <v>7400.82</v>
      </c>
      <c r="F817" s="825">
        <v>3949</v>
      </c>
      <c r="G817" s="825">
        <v>17828</v>
      </c>
      <c r="H817" s="825"/>
      <c r="I817" s="826">
        <v>334.95</v>
      </c>
      <c r="J817" s="826">
        <v>15623</v>
      </c>
      <c r="K817" s="826">
        <v>1221</v>
      </c>
      <c r="L817" s="825">
        <v>6023</v>
      </c>
      <c r="M817" s="825"/>
      <c r="N817" s="826">
        <v>625</v>
      </c>
      <c r="O817" s="826">
        <v>5766</v>
      </c>
      <c r="P817" s="826">
        <v>0</v>
      </c>
      <c r="Q817" s="825">
        <v>0</v>
      </c>
      <c r="R817" s="825"/>
      <c r="S817" s="826">
        <v>4765</v>
      </c>
      <c r="T817" s="827">
        <v>1888</v>
      </c>
      <c r="U817" s="827">
        <v>6653</v>
      </c>
    </row>
    <row r="818" spans="1:21" x14ac:dyDescent="0.25">
      <c r="A818" s="822">
        <v>99071</v>
      </c>
      <c r="B818" s="823" t="s">
        <v>3380</v>
      </c>
      <c r="C818" s="824">
        <v>3.0499999999999999E-5</v>
      </c>
      <c r="D818" s="824">
        <v>3.9799999999999998E-5</v>
      </c>
      <c r="E818" s="825">
        <v>18015</v>
      </c>
      <c r="F818" s="825">
        <v>17862</v>
      </c>
      <c r="G818" s="825">
        <v>64731</v>
      </c>
      <c r="H818" s="825"/>
      <c r="I818" s="826">
        <v>1216.1875</v>
      </c>
      <c r="J818" s="826">
        <v>56725</v>
      </c>
      <c r="K818" s="826">
        <v>4434</v>
      </c>
      <c r="L818" s="825">
        <v>0</v>
      </c>
      <c r="M818" s="825"/>
      <c r="N818" s="826">
        <v>2268</v>
      </c>
      <c r="O818" s="826">
        <v>20937</v>
      </c>
      <c r="P818" s="826">
        <v>0</v>
      </c>
      <c r="Q818" s="825">
        <v>3405</v>
      </c>
      <c r="R818" s="825"/>
      <c r="S818" s="826">
        <v>17302</v>
      </c>
      <c r="T818" s="827">
        <v>-1312</v>
      </c>
      <c r="U818" s="827">
        <v>15990</v>
      </c>
    </row>
    <row r="819" spans="1:21" x14ac:dyDescent="0.25">
      <c r="A819" s="822">
        <v>99081</v>
      </c>
      <c r="B819" s="823" t="s">
        <v>3381</v>
      </c>
      <c r="C819" s="824">
        <v>2.9600000000000001E-5</v>
      </c>
      <c r="D819" s="824">
        <v>3.6999999999999998E-5</v>
      </c>
      <c r="E819" s="825">
        <v>11739.53</v>
      </c>
      <c r="F819" s="825">
        <v>16605</v>
      </c>
      <c r="G819" s="825">
        <v>62821</v>
      </c>
      <c r="H819" s="825"/>
      <c r="I819" s="826">
        <v>1180.3</v>
      </c>
      <c r="J819" s="826">
        <v>55051</v>
      </c>
      <c r="K819" s="826">
        <v>4303</v>
      </c>
      <c r="L819" s="825">
        <v>5558</v>
      </c>
      <c r="M819" s="825"/>
      <c r="N819" s="826">
        <v>2201</v>
      </c>
      <c r="O819" s="826">
        <v>20319</v>
      </c>
      <c r="P819" s="826">
        <v>0</v>
      </c>
      <c r="Q819" s="825">
        <v>7640</v>
      </c>
      <c r="R819" s="825"/>
      <c r="S819" s="826">
        <v>16791</v>
      </c>
      <c r="T819" s="827">
        <v>-809</v>
      </c>
      <c r="U819" s="827">
        <v>15982</v>
      </c>
    </row>
    <row r="820" spans="1:21" x14ac:dyDescent="0.25">
      <c r="A820" s="822">
        <v>99091</v>
      </c>
      <c r="B820" s="823" t="s">
        <v>3382</v>
      </c>
      <c r="C820" s="824">
        <v>4.1999999999999996E-6</v>
      </c>
      <c r="D820" s="824">
        <v>4.7999999999999998E-6</v>
      </c>
      <c r="E820" s="825">
        <v>4170.01</v>
      </c>
      <c r="F820" s="825">
        <v>2154</v>
      </c>
      <c r="G820" s="825">
        <v>8914</v>
      </c>
      <c r="H820" s="825"/>
      <c r="I820" s="826">
        <v>167.47499999999999</v>
      </c>
      <c r="J820" s="826">
        <v>7811</v>
      </c>
      <c r="K820" s="826">
        <v>611</v>
      </c>
      <c r="L820" s="825">
        <v>2618</v>
      </c>
      <c r="M820" s="825"/>
      <c r="N820" s="826">
        <v>312</v>
      </c>
      <c r="O820" s="826">
        <v>2883</v>
      </c>
      <c r="P820" s="826">
        <v>0</v>
      </c>
      <c r="Q820" s="825">
        <v>6497.35</v>
      </c>
      <c r="R820" s="825"/>
      <c r="S820" s="826">
        <v>2383</v>
      </c>
      <c r="T820" s="827">
        <v>-2491</v>
      </c>
      <c r="U820" s="827">
        <v>-108</v>
      </c>
    </row>
    <row r="821" spans="1:21" x14ac:dyDescent="0.25">
      <c r="A821" s="822">
        <v>99101</v>
      </c>
      <c r="B821" s="823" t="s">
        <v>3383</v>
      </c>
      <c r="C821" s="824">
        <v>2.0087999999999998E-3</v>
      </c>
      <c r="D821" s="824">
        <v>2.026E-3</v>
      </c>
      <c r="E821" s="825">
        <v>792557.39</v>
      </c>
      <c r="F821" s="825">
        <v>909257</v>
      </c>
      <c r="G821" s="825">
        <v>4263347</v>
      </c>
      <c r="H821" s="825"/>
      <c r="I821" s="826">
        <v>80101</v>
      </c>
      <c r="J821" s="826">
        <v>3736051</v>
      </c>
      <c r="K821" s="826">
        <v>292001</v>
      </c>
      <c r="L821" s="825">
        <v>7868</v>
      </c>
      <c r="M821" s="825"/>
      <c r="N821" s="826">
        <v>149392</v>
      </c>
      <c r="O821" s="826">
        <v>1378957</v>
      </c>
      <c r="P821" s="826">
        <v>0</v>
      </c>
      <c r="Q821" s="825">
        <v>72656</v>
      </c>
      <c r="R821" s="825"/>
      <c r="S821" s="826">
        <v>1139530</v>
      </c>
      <c r="T821" s="827">
        <v>-24965</v>
      </c>
      <c r="U821" s="827">
        <v>1114565</v>
      </c>
    </row>
    <row r="822" spans="1:21" x14ac:dyDescent="0.25">
      <c r="A822" s="822">
        <v>99104</v>
      </c>
      <c r="B822" s="823" t="s">
        <v>3384</v>
      </c>
      <c r="C822" s="824">
        <v>3.4799999999999999E-5</v>
      </c>
      <c r="D822" s="824">
        <v>2.55E-5</v>
      </c>
      <c r="E822" s="825">
        <v>18414</v>
      </c>
      <c r="F822" s="825">
        <v>11444</v>
      </c>
      <c r="G822" s="825">
        <v>73857</v>
      </c>
      <c r="H822" s="825"/>
      <c r="I822" s="826">
        <v>1388</v>
      </c>
      <c r="J822" s="826">
        <v>64723</v>
      </c>
      <c r="K822" s="826">
        <v>5059</v>
      </c>
      <c r="L822" s="825">
        <v>14979</v>
      </c>
      <c r="M822" s="825"/>
      <c r="N822" s="826">
        <v>2588</v>
      </c>
      <c r="O822" s="826">
        <v>23889</v>
      </c>
      <c r="P822" s="826">
        <v>0</v>
      </c>
      <c r="Q822" s="825">
        <v>0</v>
      </c>
      <c r="R822" s="825"/>
      <c r="S822" s="826">
        <v>19741</v>
      </c>
      <c r="T822" s="827">
        <v>4886</v>
      </c>
      <c r="U822" s="827">
        <v>24627</v>
      </c>
    </row>
    <row r="823" spans="1:21" x14ac:dyDescent="0.25">
      <c r="A823" s="822">
        <v>99109</v>
      </c>
      <c r="B823" s="823" t="s">
        <v>3385</v>
      </c>
      <c r="C823" s="824">
        <v>1.1849999999999999E-4</v>
      </c>
      <c r="D823" s="824">
        <v>1.4129999999999999E-4</v>
      </c>
      <c r="E823" s="825">
        <v>48014.54</v>
      </c>
      <c r="F823" s="825">
        <v>63415</v>
      </c>
      <c r="G823" s="825">
        <v>251497</v>
      </c>
      <c r="H823" s="825"/>
      <c r="I823" s="826">
        <v>4725.1875</v>
      </c>
      <c r="J823" s="826">
        <v>220391</v>
      </c>
      <c r="K823" s="826">
        <v>17225</v>
      </c>
      <c r="L823" s="825">
        <v>5297</v>
      </c>
      <c r="M823" s="825"/>
      <c r="N823" s="826">
        <v>8813</v>
      </c>
      <c r="O823" s="826">
        <v>81345</v>
      </c>
      <c r="P823" s="826">
        <v>0</v>
      </c>
      <c r="Q823" s="825">
        <v>22236</v>
      </c>
      <c r="R823" s="825"/>
      <c r="S823" s="826">
        <v>67221</v>
      </c>
      <c r="T823" s="827">
        <v>-6150</v>
      </c>
      <c r="U823" s="827">
        <v>61071</v>
      </c>
    </row>
    <row r="824" spans="1:21" x14ac:dyDescent="0.25">
      <c r="A824" s="822">
        <v>99110</v>
      </c>
      <c r="B824" s="823" t="s">
        <v>3386</v>
      </c>
      <c r="C824" s="824">
        <v>1.8369999999999999E-4</v>
      </c>
      <c r="D824" s="824">
        <v>1.728E-4</v>
      </c>
      <c r="E824" s="825">
        <v>101918</v>
      </c>
      <c r="F824" s="825">
        <v>77552</v>
      </c>
      <c r="G824" s="825">
        <v>389873</v>
      </c>
      <c r="H824" s="825"/>
      <c r="I824" s="826">
        <v>7325</v>
      </c>
      <c r="J824" s="826">
        <v>341653</v>
      </c>
      <c r="K824" s="826">
        <v>26703</v>
      </c>
      <c r="L824" s="825">
        <v>63672</v>
      </c>
      <c r="M824" s="825"/>
      <c r="N824" s="826">
        <v>13662</v>
      </c>
      <c r="O824" s="826">
        <v>126102</v>
      </c>
      <c r="P824" s="826">
        <v>0</v>
      </c>
      <c r="Q824" s="825">
        <v>0</v>
      </c>
      <c r="R824" s="825"/>
      <c r="S824" s="826">
        <v>104207</v>
      </c>
      <c r="T824" s="827">
        <v>21007</v>
      </c>
      <c r="U824" s="827">
        <v>125214</v>
      </c>
    </row>
    <row r="825" spans="1:21" x14ac:dyDescent="0.25">
      <c r="A825" s="822">
        <v>99111</v>
      </c>
      <c r="B825" s="823" t="s">
        <v>3387</v>
      </c>
      <c r="C825" s="824">
        <v>1.2757000000000001E-3</v>
      </c>
      <c r="D825" s="824">
        <v>1.3278000000000001E-3</v>
      </c>
      <c r="E825" s="825">
        <v>486451</v>
      </c>
      <c r="F825" s="825">
        <v>595909</v>
      </c>
      <c r="G825" s="825">
        <v>2707463</v>
      </c>
      <c r="H825" s="825"/>
      <c r="I825" s="826">
        <v>50869</v>
      </c>
      <c r="J825" s="826">
        <v>2372600</v>
      </c>
      <c r="K825" s="826">
        <v>185437</v>
      </c>
      <c r="L825" s="825">
        <v>0</v>
      </c>
      <c r="M825" s="825"/>
      <c r="N825" s="826">
        <v>94873</v>
      </c>
      <c r="O825" s="826">
        <v>875714</v>
      </c>
      <c r="P825" s="826">
        <v>0</v>
      </c>
      <c r="Q825" s="825">
        <v>165116</v>
      </c>
      <c r="R825" s="825"/>
      <c r="S825" s="826">
        <v>723665</v>
      </c>
      <c r="T825" s="827">
        <v>-59086</v>
      </c>
      <c r="U825" s="827">
        <v>664579</v>
      </c>
    </row>
    <row r="826" spans="1:21" x14ac:dyDescent="0.25">
      <c r="A826" s="822">
        <v>99201</v>
      </c>
      <c r="B826" s="823" t="s">
        <v>3388</v>
      </c>
      <c r="C826" s="824">
        <v>3.22145E-2</v>
      </c>
      <c r="D826" s="824">
        <v>3.0831399999999998E-2</v>
      </c>
      <c r="E826" s="825">
        <v>12898805</v>
      </c>
      <c r="F826" s="825">
        <v>13836947</v>
      </c>
      <c r="G826" s="825">
        <v>68369961</v>
      </c>
      <c r="H826" s="825"/>
      <c r="I826" s="826">
        <v>1284553</v>
      </c>
      <c r="J826" s="826">
        <v>59913880</v>
      </c>
      <c r="K826" s="826">
        <v>4682732</v>
      </c>
      <c r="L826" s="825">
        <v>1101849</v>
      </c>
      <c r="M826" s="825"/>
      <c r="N826" s="826">
        <v>2395760</v>
      </c>
      <c r="O826" s="826">
        <v>22113901</v>
      </c>
      <c r="P826" s="826">
        <v>0</v>
      </c>
      <c r="Q826" s="825">
        <v>485474</v>
      </c>
      <c r="R826" s="825"/>
      <c r="S826" s="826">
        <v>18274287</v>
      </c>
      <c r="T826" s="827">
        <v>101682</v>
      </c>
      <c r="U826" s="827">
        <v>18375969</v>
      </c>
    </row>
    <row r="827" spans="1:21" x14ac:dyDescent="0.25">
      <c r="A827" s="822">
        <v>99202</v>
      </c>
      <c r="B827" s="823" t="s">
        <v>3389</v>
      </c>
      <c r="C827" s="824">
        <v>2.5138000000000001E-3</v>
      </c>
      <c r="D827" s="824">
        <v>2.6002999999999998E-3</v>
      </c>
      <c r="E827" s="825">
        <v>915266</v>
      </c>
      <c r="F827" s="825">
        <v>1166999</v>
      </c>
      <c r="G827" s="825">
        <v>5335126</v>
      </c>
      <c r="H827" s="825"/>
      <c r="I827" s="826">
        <v>100238</v>
      </c>
      <c r="J827" s="826">
        <v>4675271</v>
      </c>
      <c r="K827" s="826">
        <v>365408</v>
      </c>
      <c r="L827" s="825">
        <v>0</v>
      </c>
      <c r="M827" s="825"/>
      <c r="N827" s="826">
        <v>186949</v>
      </c>
      <c r="O827" s="826">
        <v>1725618</v>
      </c>
      <c r="P827" s="826">
        <v>0</v>
      </c>
      <c r="Q827" s="825">
        <v>202410</v>
      </c>
      <c r="R827" s="825"/>
      <c r="S827" s="826">
        <v>1426001</v>
      </c>
      <c r="T827" s="827">
        <v>-62123</v>
      </c>
      <c r="U827" s="827">
        <v>1363878</v>
      </c>
    </row>
    <row r="828" spans="1:21" x14ac:dyDescent="0.25">
      <c r="A828" s="822">
        <v>99203</v>
      </c>
      <c r="B828" s="823" t="s">
        <v>3390</v>
      </c>
      <c r="C828" s="824">
        <v>3.1990000000000002E-4</v>
      </c>
      <c r="D828" s="824">
        <v>2.5050000000000002E-4</v>
      </c>
      <c r="E828" s="825">
        <v>105117</v>
      </c>
      <c r="F828" s="825">
        <v>112423</v>
      </c>
      <c r="G828" s="825">
        <v>678935</v>
      </c>
      <c r="H828" s="825"/>
      <c r="I828" s="826">
        <v>12756</v>
      </c>
      <c r="J828" s="826">
        <v>594963</v>
      </c>
      <c r="K828" s="826">
        <v>46501</v>
      </c>
      <c r="L828" s="825">
        <v>40829</v>
      </c>
      <c r="M828" s="825"/>
      <c r="N828" s="826">
        <v>23791</v>
      </c>
      <c r="O828" s="826">
        <v>219598</v>
      </c>
      <c r="P828" s="826">
        <v>0</v>
      </c>
      <c r="Q828" s="825">
        <v>0</v>
      </c>
      <c r="R828" s="825"/>
      <c r="S828" s="826">
        <v>181469</v>
      </c>
      <c r="T828" s="827">
        <v>16396</v>
      </c>
      <c r="U828" s="827">
        <v>197865</v>
      </c>
    </row>
    <row r="829" spans="1:21" x14ac:dyDescent="0.25">
      <c r="A829" s="822">
        <v>99204</v>
      </c>
      <c r="B829" s="823" t="s">
        <v>3391</v>
      </c>
      <c r="C829" s="824">
        <v>7.4910000000000005E-4</v>
      </c>
      <c r="D829" s="824">
        <v>6.5600000000000001E-4</v>
      </c>
      <c r="E829" s="825">
        <v>316209.94</v>
      </c>
      <c r="F829" s="825">
        <v>294409</v>
      </c>
      <c r="G829" s="825">
        <v>1589841</v>
      </c>
      <c r="H829" s="825"/>
      <c r="I829" s="826">
        <v>29870</v>
      </c>
      <c r="J829" s="826">
        <v>1393208</v>
      </c>
      <c r="K829" s="826">
        <v>108890</v>
      </c>
      <c r="L829" s="825">
        <v>82158</v>
      </c>
      <c r="M829" s="825"/>
      <c r="N829" s="826">
        <v>55710</v>
      </c>
      <c r="O829" s="826">
        <v>514226</v>
      </c>
      <c r="P829" s="826">
        <v>0</v>
      </c>
      <c r="Q829" s="825">
        <v>0</v>
      </c>
      <c r="R829" s="825"/>
      <c r="S829" s="826">
        <v>424941</v>
      </c>
      <c r="T829" s="827">
        <v>24836</v>
      </c>
      <c r="U829" s="827">
        <v>449777</v>
      </c>
    </row>
    <row r="830" spans="1:21" x14ac:dyDescent="0.25">
      <c r="A830" s="822">
        <v>99206</v>
      </c>
      <c r="B830" s="823" t="s">
        <v>3392</v>
      </c>
      <c r="C830" s="824">
        <v>1.6665E-3</v>
      </c>
      <c r="D830" s="824">
        <v>1.9373999999999999E-3</v>
      </c>
      <c r="E830" s="825">
        <v>1101168.54</v>
      </c>
      <c r="F830" s="825">
        <v>869493</v>
      </c>
      <c r="G830" s="825">
        <v>3536871</v>
      </c>
      <c r="H830" s="825"/>
      <c r="I830" s="826">
        <v>66452</v>
      </c>
      <c r="J830" s="826">
        <v>3099427</v>
      </c>
      <c r="K830" s="826">
        <v>242244</v>
      </c>
      <c r="L830" s="825">
        <v>400880</v>
      </c>
      <c r="M830" s="825"/>
      <c r="N830" s="826">
        <v>123936</v>
      </c>
      <c r="O830" s="826">
        <v>1143982</v>
      </c>
      <c r="P830" s="826">
        <v>0</v>
      </c>
      <c r="Q830" s="825">
        <v>13550</v>
      </c>
      <c r="R830" s="825"/>
      <c r="S830" s="826">
        <v>945354</v>
      </c>
      <c r="T830" s="827">
        <v>117813</v>
      </c>
      <c r="U830" s="827">
        <v>1063167</v>
      </c>
    </row>
    <row r="831" spans="1:21" x14ac:dyDescent="0.25">
      <c r="A831" s="822">
        <v>99207</v>
      </c>
      <c r="B831" s="823" t="s">
        <v>3393</v>
      </c>
      <c r="C831" s="824">
        <v>1.3430000000000001E-4</v>
      </c>
      <c r="D831" s="824">
        <v>1.4320000000000001E-4</v>
      </c>
      <c r="E831" s="825">
        <v>122929.82</v>
      </c>
      <c r="F831" s="825">
        <v>64267</v>
      </c>
      <c r="G831" s="825">
        <v>285030</v>
      </c>
      <c r="H831" s="825"/>
      <c r="I831" s="826">
        <v>5355</v>
      </c>
      <c r="J831" s="826">
        <v>249777</v>
      </c>
      <c r="K831" s="826">
        <v>19522</v>
      </c>
      <c r="L831" s="825">
        <v>79584</v>
      </c>
      <c r="M831" s="825"/>
      <c r="N831" s="826">
        <v>9988</v>
      </c>
      <c r="O831" s="826">
        <v>92191</v>
      </c>
      <c r="P831" s="826">
        <v>0</v>
      </c>
      <c r="Q831" s="825">
        <v>0</v>
      </c>
      <c r="R831" s="825"/>
      <c r="S831" s="826">
        <v>76184</v>
      </c>
      <c r="T831" s="827">
        <v>24293</v>
      </c>
      <c r="U831" s="827">
        <v>100477</v>
      </c>
    </row>
    <row r="832" spans="1:21" x14ac:dyDescent="0.25">
      <c r="A832" s="822">
        <v>99208</v>
      </c>
      <c r="B832" s="823" t="s">
        <v>3394</v>
      </c>
      <c r="C832" s="824">
        <v>1.3669999999999999E-4</v>
      </c>
      <c r="D832" s="824">
        <v>1.774E-4</v>
      </c>
      <c r="E832" s="825">
        <v>46840</v>
      </c>
      <c r="F832" s="825">
        <v>79616</v>
      </c>
      <c r="G832" s="825">
        <v>290123</v>
      </c>
      <c r="H832" s="825"/>
      <c r="I832" s="826">
        <v>5451</v>
      </c>
      <c r="J832" s="826">
        <v>254240</v>
      </c>
      <c r="K832" s="826">
        <v>19871</v>
      </c>
      <c r="L832" s="825">
        <v>0</v>
      </c>
      <c r="M832" s="825"/>
      <c r="N832" s="826">
        <v>10166</v>
      </c>
      <c r="O832" s="826">
        <v>93839</v>
      </c>
      <c r="P832" s="826">
        <v>0</v>
      </c>
      <c r="Q832" s="825">
        <v>57522</v>
      </c>
      <c r="R832" s="825"/>
      <c r="S832" s="826">
        <v>77546</v>
      </c>
      <c r="T832" s="827">
        <v>-20235</v>
      </c>
      <c r="U832" s="827">
        <v>57311</v>
      </c>
    </row>
    <row r="833" spans="1:21" x14ac:dyDescent="0.25">
      <c r="A833" s="822">
        <v>99210</v>
      </c>
      <c r="B833" s="823" t="s">
        <v>3395</v>
      </c>
      <c r="C833" s="824">
        <v>1.5945E-3</v>
      </c>
      <c r="D833" s="824">
        <v>1.6262E-3</v>
      </c>
      <c r="E833" s="825">
        <v>706576</v>
      </c>
      <c r="F833" s="825">
        <v>729829</v>
      </c>
      <c r="G833" s="825">
        <v>3384063</v>
      </c>
      <c r="H833" s="825"/>
      <c r="I833" s="826">
        <v>63581</v>
      </c>
      <c r="J833" s="826">
        <v>2965518</v>
      </c>
      <c r="K833" s="826">
        <v>231778</v>
      </c>
      <c r="L833" s="825">
        <v>80869</v>
      </c>
      <c r="M833" s="825"/>
      <c r="N833" s="826">
        <v>118581</v>
      </c>
      <c r="O833" s="826">
        <v>1094557</v>
      </c>
      <c r="P833" s="826">
        <v>0</v>
      </c>
      <c r="Q833" s="825">
        <v>0</v>
      </c>
      <c r="R833" s="825"/>
      <c r="S833" s="826">
        <v>904510</v>
      </c>
      <c r="T833" s="827">
        <v>27611</v>
      </c>
      <c r="U833" s="827">
        <v>932122</v>
      </c>
    </row>
    <row r="834" spans="1:21" x14ac:dyDescent="0.25">
      <c r="A834" s="822">
        <v>99211</v>
      </c>
      <c r="B834" s="823" t="s">
        <v>3396</v>
      </c>
      <c r="C834" s="824">
        <v>3.8233999999999997E-2</v>
      </c>
      <c r="D834" s="824">
        <v>3.7564199999999999E-2</v>
      </c>
      <c r="E834" s="825">
        <v>14152947</v>
      </c>
      <c r="F834" s="825">
        <v>16858588</v>
      </c>
      <c r="G834" s="825">
        <v>81145356</v>
      </c>
      <c r="H834" s="825"/>
      <c r="I834" s="826">
        <v>1524580.75</v>
      </c>
      <c r="J834" s="826">
        <v>71109199</v>
      </c>
      <c r="K834" s="826">
        <v>5557732</v>
      </c>
      <c r="L834" s="825">
        <v>0</v>
      </c>
      <c r="M834" s="825"/>
      <c r="N834" s="826">
        <v>2843424</v>
      </c>
      <c r="O834" s="826">
        <v>26246035</v>
      </c>
      <c r="P834" s="826">
        <v>0</v>
      </c>
      <c r="Q834" s="825">
        <v>1538962</v>
      </c>
      <c r="R834" s="825"/>
      <c r="S834" s="826">
        <v>21688963</v>
      </c>
      <c r="T834" s="827">
        <v>-519725</v>
      </c>
      <c r="U834" s="827">
        <v>21169238</v>
      </c>
    </row>
    <row r="835" spans="1:21" x14ac:dyDescent="0.25">
      <c r="A835" s="822">
        <v>99212</v>
      </c>
      <c r="B835" s="823" t="s">
        <v>3397</v>
      </c>
      <c r="C835" s="824">
        <v>7.4400000000000006E-5</v>
      </c>
      <c r="D835" s="824">
        <v>1.2750000000000001E-4</v>
      </c>
      <c r="E835" s="825">
        <v>26346.03</v>
      </c>
      <c r="F835" s="825">
        <v>57221</v>
      </c>
      <c r="G835" s="825">
        <v>157902</v>
      </c>
      <c r="H835" s="825"/>
      <c r="I835" s="826">
        <v>2967</v>
      </c>
      <c r="J835" s="826">
        <v>138372</v>
      </c>
      <c r="K835" s="826">
        <v>10815</v>
      </c>
      <c r="L835" s="825">
        <v>0</v>
      </c>
      <c r="M835" s="825"/>
      <c r="N835" s="826">
        <v>5533</v>
      </c>
      <c r="O835" s="826">
        <v>51072</v>
      </c>
      <c r="P835" s="826">
        <v>0</v>
      </c>
      <c r="Q835" s="825">
        <v>49365</v>
      </c>
      <c r="R835" s="825"/>
      <c r="S835" s="826">
        <v>42205</v>
      </c>
      <c r="T835" s="827">
        <v>-15321</v>
      </c>
      <c r="U835" s="827">
        <v>26884</v>
      </c>
    </row>
    <row r="836" spans="1:21" x14ac:dyDescent="0.25">
      <c r="A836" s="822">
        <v>99213</v>
      </c>
      <c r="B836" s="823" t="s">
        <v>3398</v>
      </c>
      <c r="C836" s="824">
        <v>8.0730000000000005E-4</v>
      </c>
      <c r="D836" s="824">
        <v>8.3339999999999998E-4</v>
      </c>
      <c r="E836" s="825">
        <v>326035</v>
      </c>
      <c r="F836" s="825">
        <v>374025</v>
      </c>
      <c r="G836" s="825">
        <v>1713361</v>
      </c>
      <c r="H836" s="825"/>
      <c r="I836" s="826">
        <v>32191</v>
      </c>
      <c r="J836" s="826">
        <v>1501450</v>
      </c>
      <c r="K836" s="826">
        <v>117350</v>
      </c>
      <c r="L836" s="825">
        <v>9384</v>
      </c>
      <c r="M836" s="825"/>
      <c r="N836" s="826">
        <v>60038</v>
      </c>
      <c r="O836" s="826">
        <v>554178</v>
      </c>
      <c r="P836" s="826">
        <v>0</v>
      </c>
      <c r="Q836" s="825">
        <v>21194</v>
      </c>
      <c r="R836" s="825"/>
      <c r="S836" s="826">
        <v>457956</v>
      </c>
      <c r="T836" s="827">
        <v>-2728</v>
      </c>
      <c r="U836" s="827">
        <v>455228</v>
      </c>
    </row>
    <row r="837" spans="1:21" x14ac:dyDescent="0.25">
      <c r="A837" s="822">
        <v>99218</v>
      </c>
      <c r="B837" s="823" t="s">
        <v>3399</v>
      </c>
      <c r="C837" s="824">
        <v>3.1227999999999998E-3</v>
      </c>
      <c r="D837" s="824">
        <v>2.8506999999999998E-3</v>
      </c>
      <c r="E837" s="825">
        <v>1270452.44</v>
      </c>
      <c r="F837" s="825">
        <v>1279377</v>
      </c>
      <c r="G837" s="825">
        <v>6627628</v>
      </c>
      <c r="H837" s="825"/>
      <c r="I837" s="826">
        <v>124521.65</v>
      </c>
      <c r="J837" s="826">
        <v>5807915</v>
      </c>
      <c r="K837" s="826">
        <v>453933</v>
      </c>
      <c r="L837" s="825">
        <v>189764</v>
      </c>
      <c r="M837" s="825"/>
      <c r="N837" s="826">
        <v>232240</v>
      </c>
      <c r="O837" s="826">
        <v>2143671</v>
      </c>
      <c r="P837" s="826">
        <v>0</v>
      </c>
      <c r="Q837" s="825">
        <v>0</v>
      </c>
      <c r="R837" s="825"/>
      <c r="S837" s="826">
        <v>1771468</v>
      </c>
      <c r="T837" s="827">
        <v>55483</v>
      </c>
      <c r="U837" s="827">
        <v>1826951</v>
      </c>
    </row>
    <row r="838" spans="1:21" x14ac:dyDescent="0.25">
      <c r="A838" s="822">
        <v>99221</v>
      </c>
      <c r="B838" s="823" t="s">
        <v>3400</v>
      </c>
      <c r="C838" s="824">
        <v>1.3092700000000001E-2</v>
      </c>
      <c r="D838" s="824">
        <v>1.33233E-2</v>
      </c>
      <c r="E838" s="825">
        <v>4943528</v>
      </c>
      <c r="F838" s="825">
        <v>5979417</v>
      </c>
      <c r="G838" s="825">
        <v>27787095</v>
      </c>
      <c r="H838" s="825"/>
      <c r="I838" s="826">
        <v>522071</v>
      </c>
      <c r="J838" s="826">
        <v>24350353</v>
      </c>
      <c r="K838" s="826">
        <v>1903168</v>
      </c>
      <c r="L838" s="825">
        <v>0</v>
      </c>
      <c r="M838" s="825"/>
      <c r="N838" s="826">
        <v>973691</v>
      </c>
      <c r="O838" s="826">
        <v>8987589</v>
      </c>
      <c r="P838" s="826">
        <v>0</v>
      </c>
      <c r="Q838" s="825">
        <v>703621</v>
      </c>
      <c r="R838" s="825"/>
      <c r="S838" s="826">
        <v>7427083</v>
      </c>
      <c r="T838" s="827">
        <v>-220701</v>
      </c>
      <c r="U838" s="827">
        <v>7206381</v>
      </c>
    </row>
    <row r="839" spans="1:21" x14ac:dyDescent="0.25">
      <c r="A839" s="822">
        <v>99222</v>
      </c>
      <c r="B839" s="823" t="s">
        <v>3401</v>
      </c>
      <c r="C839" s="824">
        <v>4.0099999999999999E-5</v>
      </c>
      <c r="D839" s="824">
        <v>3.82E-5</v>
      </c>
      <c r="E839" s="825">
        <v>13647</v>
      </c>
      <c r="F839" s="825">
        <v>17144</v>
      </c>
      <c r="G839" s="825">
        <v>85106</v>
      </c>
      <c r="H839" s="825"/>
      <c r="I839" s="826">
        <v>1599</v>
      </c>
      <c r="J839" s="826">
        <v>74580</v>
      </c>
      <c r="K839" s="826">
        <v>5829</v>
      </c>
      <c r="L839" s="825">
        <v>3575</v>
      </c>
      <c r="M839" s="825"/>
      <c r="N839" s="826">
        <v>2982</v>
      </c>
      <c r="O839" s="826">
        <v>27527</v>
      </c>
      <c r="P839" s="826">
        <v>0</v>
      </c>
      <c r="Q839" s="825">
        <v>1230</v>
      </c>
      <c r="R839" s="825"/>
      <c r="S839" s="826">
        <v>22747</v>
      </c>
      <c r="T839" s="827">
        <v>949</v>
      </c>
      <c r="U839" s="827">
        <v>23697</v>
      </c>
    </row>
    <row r="840" spans="1:21" x14ac:dyDescent="0.25">
      <c r="A840" s="822">
        <v>99231</v>
      </c>
      <c r="B840" s="823" t="s">
        <v>3402</v>
      </c>
      <c r="C840" s="824">
        <v>3.7869999999999999E-4</v>
      </c>
      <c r="D840" s="824">
        <v>3.7139999999999997E-4</v>
      </c>
      <c r="E840" s="825">
        <v>142098.15</v>
      </c>
      <c r="F840" s="825">
        <v>166682</v>
      </c>
      <c r="G840" s="825">
        <v>803728</v>
      </c>
      <c r="H840" s="825"/>
      <c r="I840" s="826">
        <v>15101</v>
      </c>
      <c r="J840" s="826">
        <v>704322</v>
      </c>
      <c r="K840" s="826">
        <v>55048</v>
      </c>
      <c r="L840" s="825">
        <v>0</v>
      </c>
      <c r="M840" s="825"/>
      <c r="N840" s="826">
        <v>28164</v>
      </c>
      <c r="O840" s="826">
        <v>259962</v>
      </c>
      <c r="P840" s="826">
        <v>0</v>
      </c>
      <c r="Q840" s="825">
        <v>27202</v>
      </c>
      <c r="R840" s="825"/>
      <c r="S840" s="826">
        <v>214825</v>
      </c>
      <c r="T840" s="827">
        <v>-11082</v>
      </c>
      <c r="U840" s="827">
        <v>203743</v>
      </c>
    </row>
    <row r="841" spans="1:21" x14ac:dyDescent="0.25">
      <c r="A841" s="822">
        <v>99241</v>
      </c>
      <c r="B841" s="823" t="s">
        <v>3403</v>
      </c>
      <c r="C841" s="824">
        <v>5.6039999999999996E-4</v>
      </c>
      <c r="D841" s="824">
        <v>5.9259999999999998E-4</v>
      </c>
      <c r="E841" s="825">
        <v>196949</v>
      </c>
      <c r="F841" s="825">
        <v>265955</v>
      </c>
      <c r="G841" s="825">
        <v>1189357</v>
      </c>
      <c r="H841" s="825"/>
      <c r="I841" s="826">
        <v>22346</v>
      </c>
      <c r="J841" s="826">
        <v>1042255</v>
      </c>
      <c r="K841" s="826">
        <v>81460</v>
      </c>
      <c r="L841" s="825">
        <v>0</v>
      </c>
      <c r="M841" s="825"/>
      <c r="N841" s="826">
        <v>41676</v>
      </c>
      <c r="O841" s="826">
        <v>384691</v>
      </c>
      <c r="P841" s="826">
        <v>0</v>
      </c>
      <c r="Q841" s="825">
        <v>122254</v>
      </c>
      <c r="R841" s="825"/>
      <c r="S841" s="826">
        <v>317898</v>
      </c>
      <c r="T841" s="827">
        <v>-45505</v>
      </c>
      <c r="U841" s="827">
        <v>272393</v>
      </c>
    </row>
    <row r="842" spans="1:21" x14ac:dyDescent="0.25">
      <c r="A842" s="822">
        <v>99251</v>
      </c>
      <c r="B842" s="823" t="s">
        <v>3404</v>
      </c>
      <c r="C842" s="824">
        <v>1.6521000000000001E-3</v>
      </c>
      <c r="D842" s="824">
        <v>1.598E-3</v>
      </c>
      <c r="E842" s="825">
        <v>644905</v>
      </c>
      <c r="F842" s="825">
        <v>717173</v>
      </c>
      <c r="G842" s="825">
        <v>3506310</v>
      </c>
      <c r="H842" s="825"/>
      <c r="I842" s="826">
        <v>65877</v>
      </c>
      <c r="J842" s="826">
        <v>3072645</v>
      </c>
      <c r="K842" s="826">
        <v>240151</v>
      </c>
      <c r="L842" s="825">
        <v>3992</v>
      </c>
      <c r="M842" s="825"/>
      <c r="N842" s="826">
        <v>122865</v>
      </c>
      <c r="O842" s="826">
        <v>1134097</v>
      </c>
      <c r="P842" s="826">
        <v>0</v>
      </c>
      <c r="Q842" s="825">
        <v>14191</v>
      </c>
      <c r="R842" s="825"/>
      <c r="S842" s="826">
        <v>937185</v>
      </c>
      <c r="T842" s="827">
        <v>-5897</v>
      </c>
      <c r="U842" s="827">
        <v>931288</v>
      </c>
    </row>
    <row r="843" spans="1:21" x14ac:dyDescent="0.25">
      <c r="A843" s="822">
        <v>99252</v>
      </c>
      <c r="B843" s="823" t="s">
        <v>3405</v>
      </c>
      <c r="C843" s="824">
        <v>5.8279999999999996E-4</v>
      </c>
      <c r="D843" s="824">
        <v>7.4010000000000005E-4</v>
      </c>
      <c r="E843" s="825">
        <v>174600</v>
      </c>
      <c r="F843" s="825">
        <v>332152</v>
      </c>
      <c r="G843" s="825">
        <v>1236897</v>
      </c>
      <c r="H843" s="825"/>
      <c r="I843" s="826">
        <v>23239</v>
      </c>
      <c r="J843" s="826">
        <v>1083916</v>
      </c>
      <c r="K843" s="826">
        <v>84716</v>
      </c>
      <c r="L843" s="825">
        <v>0</v>
      </c>
      <c r="M843" s="825"/>
      <c r="N843" s="826">
        <v>43342</v>
      </c>
      <c r="O843" s="826">
        <v>400068</v>
      </c>
      <c r="P843" s="826">
        <v>0</v>
      </c>
      <c r="Q843" s="825">
        <v>244190</v>
      </c>
      <c r="R843" s="825"/>
      <c r="S843" s="826">
        <v>330604</v>
      </c>
      <c r="T843" s="827">
        <v>-77201</v>
      </c>
      <c r="U843" s="827">
        <v>253403</v>
      </c>
    </row>
    <row r="844" spans="1:21" x14ac:dyDescent="0.25">
      <c r="A844" s="822">
        <v>99261</v>
      </c>
      <c r="B844" s="823" t="s">
        <v>3406</v>
      </c>
      <c r="C844" s="824">
        <v>1.9145E-3</v>
      </c>
      <c r="D844" s="824">
        <v>1.8552E-3</v>
      </c>
      <c r="E844" s="825">
        <v>638819</v>
      </c>
      <c r="F844" s="825">
        <v>832603</v>
      </c>
      <c r="G844" s="825">
        <v>4063210</v>
      </c>
      <c r="H844" s="825"/>
      <c r="I844" s="826">
        <v>76341</v>
      </c>
      <c r="J844" s="826">
        <v>3560668</v>
      </c>
      <c r="K844" s="826">
        <v>278294</v>
      </c>
      <c r="L844" s="825">
        <v>0</v>
      </c>
      <c r="M844" s="825"/>
      <c r="N844" s="826">
        <v>142379</v>
      </c>
      <c r="O844" s="826">
        <v>1314224</v>
      </c>
      <c r="P844" s="826">
        <v>0</v>
      </c>
      <c r="Q844" s="825">
        <v>177810</v>
      </c>
      <c r="R844" s="825"/>
      <c r="S844" s="826">
        <v>1086037</v>
      </c>
      <c r="T844" s="827">
        <v>-61359</v>
      </c>
      <c r="U844" s="827">
        <v>1024677</v>
      </c>
    </row>
    <row r="845" spans="1:21" x14ac:dyDescent="0.25">
      <c r="A845" s="822">
        <v>99271</v>
      </c>
      <c r="B845" s="823" t="s">
        <v>3407</v>
      </c>
      <c r="C845" s="824">
        <v>3.9248E-3</v>
      </c>
      <c r="D845" s="824">
        <v>3.9693000000000003E-3</v>
      </c>
      <c r="E845" s="825">
        <v>1483973.83</v>
      </c>
      <c r="F845" s="825">
        <v>1781398</v>
      </c>
      <c r="G845" s="825">
        <v>8329740</v>
      </c>
      <c r="H845" s="825"/>
      <c r="I845" s="826">
        <v>156501.4</v>
      </c>
      <c r="J845" s="826">
        <v>7299508</v>
      </c>
      <c r="K845" s="826">
        <v>570513</v>
      </c>
      <c r="L845" s="825">
        <v>0</v>
      </c>
      <c r="M845" s="825"/>
      <c r="N845" s="826">
        <v>291883</v>
      </c>
      <c r="O845" s="826">
        <v>2694210</v>
      </c>
      <c r="P845" s="826">
        <v>0</v>
      </c>
      <c r="Q845" s="825">
        <v>151650</v>
      </c>
      <c r="R845" s="825"/>
      <c r="S845" s="826">
        <v>2226417</v>
      </c>
      <c r="T845" s="827">
        <v>-42013</v>
      </c>
      <c r="U845" s="827">
        <v>2184404</v>
      </c>
    </row>
    <row r="846" spans="1:21" x14ac:dyDescent="0.25">
      <c r="A846" s="822">
        <v>99281</v>
      </c>
      <c r="B846" s="823" t="s">
        <v>3408</v>
      </c>
      <c r="C846" s="824">
        <v>2.2824E-3</v>
      </c>
      <c r="D846" s="824">
        <v>2.3207000000000002E-3</v>
      </c>
      <c r="E846" s="825">
        <v>859938</v>
      </c>
      <c r="F846" s="825">
        <v>1041516</v>
      </c>
      <c r="G846" s="825">
        <v>4844017</v>
      </c>
      <c r="H846" s="825"/>
      <c r="I846" s="826">
        <v>91010.7</v>
      </c>
      <c r="J846" s="826">
        <v>4244903</v>
      </c>
      <c r="K846" s="826">
        <v>331772</v>
      </c>
      <c r="L846" s="825">
        <v>13554</v>
      </c>
      <c r="M846" s="825"/>
      <c r="N846" s="826">
        <v>169740</v>
      </c>
      <c r="O846" s="826">
        <v>1566772</v>
      </c>
      <c r="P846" s="826">
        <v>0</v>
      </c>
      <c r="Q846" s="825">
        <v>113243</v>
      </c>
      <c r="R846" s="825"/>
      <c r="S846" s="826">
        <v>1294735</v>
      </c>
      <c r="T846" s="827">
        <v>-25393</v>
      </c>
      <c r="U846" s="827">
        <v>1269342</v>
      </c>
    </row>
    <row r="847" spans="1:21" x14ac:dyDescent="0.25">
      <c r="A847" s="822">
        <v>99291</v>
      </c>
      <c r="B847" s="823" t="s">
        <v>3409</v>
      </c>
      <c r="C847" s="824">
        <v>7.7260000000000002E-4</v>
      </c>
      <c r="D847" s="824">
        <v>8.0780000000000001E-4</v>
      </c>
      <c r="E847" s="825">
        <v>267315.87</v>
      </c>
      <c r="F847" s="825">
        <v>362536</v>
      </c>
      <c r="G847" s="825">
        <v>1639716</v>
      </c>
      <c r="H847" s="825"/>
      <c r="I847" s="826">
        <v>30807</v>
      </c>
      <c r="J847" s="826">
        <v>1436914</v>
      </c>
      <c r="K847" s="826">
        <v>112306</v>
      </c>
      <c r="L847" s="825">
        <v>0</v>
      </c>
      <c r="M847" s="825"/>
      <c r="N847" s="826">
        <v>57457</v>
      </c>
      <c r="O847" s="826">
        <v>530357</v>
      </c>
      <c r="P847" s="826">
        <v>0</v>
      </c>
      <c r="Q847" s="825">
        <v>124026</v>
      </c>
      <c r="R847" s="825"/>
      <c r="S847" s="826">
        <v>438272</v>
      </c>
      <c r="T847" s="827">
        <v>-41703</v>
      </c>
      <c r="U847" s="827">
        <v>396569</v>
      </c>
    </row>
    <row r="848" spans="1:21" x14ac:dyDescent="0.25">
      <c r="A848" s="822">
        <v>99301</v>
      </c>
      <c r="B848" s="823" t="s">
        <v>3410</v>
      </c>
      <c r="C848" s="824">
        <v>1.8458000000000001E-3</v>
      </c>
      <c r="D848" s="824">
        <v>1.7903000000000001E-3</v>
      </c>
      <c r="E848" s="825">
        <v>720012.84</v>
      </c>
      <c r="F848" s="825">
        <v>803476</v>
      </c>
      <c r="G848" s="825">
        <v>3917406</v>
      </c>
      <c r="H848" s="825"/>
      <c r="I848" s="826">
        <v>73601</v>
      </c>
      <c r="J848" s="826">
        <v>3432896</v>
      </c>
      <c r="K848" s="826">
        <v>268307</v>
      </c>
      <c r="L848" s="825">
        <v>122430</v>
      </c>
      <c r="M848" s="825"/>
      <c r="N848" s="826">
        <v>137270</v>
      </c>
      <c r="O848" s="826">
        <v>1267064</v>
      </c>
      <c r="P848" s="826">
        <v>0</v>
      </c>
      <c r="Q848" s="825">
        <v>957</v>
      </c>
      <c r="R848" s="825"/>
      <c r="S848" s="826">
        <v>1047065</v>
      </c>
      <c r="T848" s="827">
        <v>54774</v>
      </c>
      <c r="U848" s="827">
        <v>1101839</v>
      </c>
    </row>
    <row r="849" spans="1:21" x14ac:dyDescent="0.25">
      <c r="A849" s="822">
        <v>99304</v>
      </c>
      <c r="B849" s="823" t="s">
        <v>3411</v>
      </c>
      <c r="C849" s="824">
        <v>9.9000000000000001E-6</v>
      </c>
      <c r="D849" s="824">
        <v>1.0000000000000001E-5</v>
      </c>
      <c r="E849" s="825">
        <v>6537</v>
      </c>
      <c r="F849" s="825">
        <v>4488</v>
      </c>
      <c r="G849" s="825">
        <v>21011</v>
      </c>
      <c r="H849" s="825"/>
      <c r="I849" s="826">
        <v>394.76249999999999</v>
      </c>
      <c r="J849" s="826">
        <v>18412</v>
      </c>
      <c r="K849" s="826">
        <v>1439</v>
      </c>
      <c r="L849" s="825">
        <v>3536</v>
      </c>
      <c r="M849" s="825"/>
      <c r="N849" s="826">
        <v>736</v>
      </c>
      <c r="O849" s="826">
        <v>6796</v>
      </c>
      <c r="P849" s="826">
        <v>0</v>
      </c>
      <c r="Q849" s="825">
        <v>498</v>
      </c>
      <c r="R849" s="825"/>
      <c r="S849" s="826">
        <v>5616</v>
      </c>
      <c r="T849" s="827">
        <v>822</v>
      </c>
      <c r="U849" s="827">
        <v>6438</v>
      </c>
    </row>
    <row r="850" spans="1:21" x14ac:dyDescent="0.25">
      <c r="A850" s="822">
        <v>99311</v>
      </c>
      <c r="B850" s="823" t="s">
        <v>3412</v>
      </c>
      <c r="C850" s="824">
        <v>5.7599999999999997E-5</v>
      </c>
      <c r="D850" s="824">
        <v>6.2100000000000005E-5</v>
      </c>
      <c r="E850" s="825">
        <v>21136.39</v>
      </c>
      <c r="F850" s="825">
        <v>27870</v>
      </c>
      <c r="G850" s="825">
        <v>122246</v>
      </c>
      <c r="H850" s="825"/>
      <c r="I850" s="826">
        <v>2297</v>
      </c>
      <c r="J850" s="826">
        <v>107127</v>
      </c>
      <c r="K850" s="826">
        <v>8373</v>
      </c>
      <c r="L850" s="825">
        <v>0</v>
      </c>
      <c r="M850" s="825"/>
      <c r="N850" s="826">
        <v>4284</v>
      </c>
      <c r="O850" s="826">
        <v>39540</v>
      </c>
      <c r="P850" s="826">
        <v>0</v>
      </c>
      <c r="Q850" s="825">
        <v>7642</v>
      </c>
      <c r="R850" s="825"/>
      <c r="S850" s="826">
        <v>32675</v>
      </c>
      <c r="T850" s="827">
        <v>-2750</v>
      </c>
      <c r="U850" s="827">
        <v>29925</v>
      </c>
    </row>
    <row r="851" spans="1:21" x14ac:dyDescent="0.25">
      <c r="A851" s="822">
        <v>99321</v>
      </c>
      <c r="B851" s="823" t="s">
        <v>3413</v>
      </c>
      <c r="C851" s="824">
        <v>1.1909999999999999E-4</v>
      </c>
      <c r="D851" s="824">
        <v>1.015E-4</v>
      </c>
      <c r="E851" s="825">
        <v>91759.74</v>
      </c>
      <c r="F851" s="825">
        <v>45553</v>
      </c>
      <c r="G851" s="825">
        <v>252770</v>
      </c>
      <c r="H851" s="825"/>
      <c r="I851" s="826">
        <v>4749</v>
      </c>
      <c r="J851" s="826">
        <v>221507</v>
      </c>
      <c r="K851" s="826">
        <v>17312</v>
      </c>
      <c r="L851" s="825">
        <v>97754</v>
      </c>
      <c r="M851" s="825"/>
      <c r="N851" s="826">
        <v>8857</v>
      </c>
      <c r="O851" s="826">
        <v>81757</v>
      </c>
      <c r="P851" s="826">
        <v>0</v>
      </c>
      <c r="Q851" s="825">
        <v>0</v>
      </c>
      <c r="R851" s="825"/>
      <c r="S851" s="826">
        <v>67562</v>
      </c>
      <c r="T851" s="827">
        <v>33905</v>
      </c>
      <c r="U851" s="827">
        <v>101467</v>
      </c>
    </row>
    <row r="852" spans="1:21" x14ac:dyDescent="0.25">
      <c r="A852" s="822">
        <v>99401</v>
      </c>
      <c r="B852" s="823" t="s">
        <v>3414</v>
      </c>
      <c r="C852" s="824">
        <v>9.3869999999999999E-4</v>
      </c>
      <c r="D852" s="824">
        <v>9.0470000000000004E-4</v>
      </c>
      <c r="E852" s="825">
        <v>380574.92</v>
      </c>
      <c r="F852" s="825">
        <v>406024</v>
      </c>
      <c r="G852" s="825">
        <v>1992236</v>
      </c>
      <c r="H852" s="825"/>
      <c r="I852" s="826">
        <v>37431</v>
      </c>
      <c r="J852" s="826">
        <v>1745834</v>
      </c>
      <c r="K852" s="826">
        <v>136450</v>
      </c>
      <c r="L852" s="825">
        <v>60934</v>
      </c>
      <c r="M852" s="825"/>
      <c r="N852" s="826">
        <v>69810</v>
      </c>
      <c r="O852" s="826">
        <v>644378</v>
      </c>
      <c r="P852" s="826">
        <v>0</v>
      </c>
      <c r="Q852" s="825">
        <v>0</v>
      </c>
      <c r="R852" s="825"/>
      <c r="S852" s="826">
        <v>532495</v>
      </c>
      <c r="T852" s="827">
        <v>26694</v>
      </c>
      <c r="U852" s="827">
        <v>559189</v>
      </c>
    </row>
    <row r="853" spans="1:21" x14ac:dyDescent="0.25">
      <c r="A853" s="822">
        <v>99404</v>
      </c>
      <c r="B853" s="823" t="s">
        <v>3415</v>
      </c>
      <c r="C853" s="824">
        <v>9.5999999999999996E-6</v>
      </c>
      <c r="D853" s="824">
        <v>9.9000000000000001E-6</v>
      </c>
      <c r="E853" s="825">
        <v>4863.32</v>
      </c>
      <c r="F853" s="825">
        <v>4443</v>
      </c>
      <c r="G853" s="825">
        <v>20374</v>
      </c>
      <c r="H853" s="825"/>
      <c r="I853" s="826">
        <v>383</v>
      </c>
      <c r="J853" s="826">
        <v>17854</v>
      </c>
      <c r="K853" s="826">
        <v>1395</v>
      </c>
      <c r="L853" s="825">
        <v>890</v>
      </c>
      <c r="M853" s="825"/>
      <c r="N853" s="826">
        <v>714</v>
      </c>
      <c r="O853" s="826">
        <v>6590</v>
      </c>
      <c r="P853" s="826">
        <v>0</v>
      </c>
      <c r="Q853" s="825">
        <v>0</v>
      </c>
      <c r="R853" s="825"/>
      <c r="S853" s="826">
        <v>5446</v>
      </c>
      <c r="T853" s="827">
        <v>284</v>
      </c>
      <c r="U853" s="827">
        <v>5730</v>
      </c>
    </row>
    <row r="854" spans="1:21" x14ac:dyDescent="0.25">
      <c r="A854" s="822">
        <v>99405</v>
      </c>
      <c r="B854" s="823" t="s">
        <v>3416</v>
      </c>
      <c r="C854" s="824">
        <v>5.8100000000000003E-5</v>
      </c>
      <c r="D854" s="824">
        <v>6.3399999999999996E-5</v>
      </c>
      <c r="E854" s="825">
        <v>32556.2</v>
      </c>
      <c r="F854" s="825">
        <v>28454</v>
      </c>
      <c r="G854" s="825">
        <v>123308</v>
      </c>
      <c r="H854" s="825"/>
      <c r="I854" s="826">
        <v>2317</v>
      </c>
      <c r="J854" s="826">
        <v>108057</v>
      </c>
      <c r="K854" s="826">
        <v>8445</v>
      </c>
      <c r="L854" s="825">
        <v>11934</v>
      </c>
      <c r="M854" s="825"/>
      <c r="N854" s="826">
        <v>4321</v>
      </c>
      <c r="O854" s="826">
        <v>39883</v>
      </c>
      <c r="P854" s="826">
        <v>0</v>
      </c>
      <c r="Q854" s="825">
        <v>675</v>
      </c>
      <c r="R854" s="825"/>
      <c r="S854" s="826">
        <v>32958</v>
      </c>
      <c r="T854" s="827">
        <v>3510</v>
      </c>
      <c r="U854" s="827">
        <v>36468</v>
      </c>
    </row>
    <row r="855" spans="1:21" x14ac:dyDescent="0.25">
      <c r="A855" s="822">
        <v>99411</v>
      </c>
      <c r="B855" s="823" t="s">
        <v>3417</v>
      </c>
      <c r="C855" s="824">
        <v>1.2510000000000001E-4</v>
      </c>
      <c r="D855" s="824">
        <v>1.07E-4</v>
      </c>
      <c r="E855" s="825">
        <v>60724</v>
      </c>
      <c r="F855" s="825">
        <v>48021</v>
      </c>
      <c r="G855" s="825">
        <v>265504</v>
      </c>
      <c r="H855" s="825"/>
      <c r="I855" s="826">
        <v>4988</v>
      </c>
      <c r="J855" s="826">
        <v>232666</v>
      </c>
      <c r="K855" s="826">
        <v>18185</v>
      </c>
      <c r="L855" s="825">
        <v>24011</v>
      </c>
      <c r="M855" s="825"/>
      <c r="N855" s="826">
        <v>9304</v>
      </c>
      <c r="O855" s="826">
        <v>85876</v>
      </c>
      <c r="P855" s="826">
        <v>0</v>
      </c>
      <c r="Q855" s="825">
        <v>8844</v>
      </c>
      <c r="R855" s="825"/>
      <c r="S855" s="826">
        <v>70965</v>
      </c>
      <c r="T855" s="827">
        <v>2430</v>
      </c>
      <c r="U855" s="827">
        <v>73395</v>
      </c>
    </row>
    <row r="856" spans="1:21" x14ac:dyDescent="0.25">
      <c r="A856" s="822">
        <v>99413</v>
      </c>
      <c r="B856" s="823" t="s">
        <v>3418</v>
      </c>
      <c r="C856" s="824">
        <v>2.76E-5</v>
      </c>
      <c r="D856" s="824">
        <v>4.21E-5</v>
      </c>
      <c r="E856" s="825">
        <v>17655.62</v>
      </c>
      <c r="F856" s="825">
        <v>18894</v>
      </c>
      <c r="G856" s="825">
        <v>58576</v>
      </c>
      <c r="H856" s="825"/>
      <c r="I856" s="826">
        <v>1100.55</v>
      </c>
      <c r="J856" s="826">
        <v>51332</v>
      </c>
      <c r="K856" s="826">
        <v>4012</v>
      </c>
      <c r="L856" s="825">
        <v>10</v>
      </c>
      <c r="M856" s="825"/>
      <c r="N856" s="826">
        <v>2053</v>
      </c>
      <c r="O856" s="826">
        <v>18946</v>
      </c>
      <c r="P856" s="826">
        <v>0</v>
      </c>
      <c r="Q856" s="825">
        <v>4264</v>
      </c>
      <c r="R856" s="825"/>
      <c r="S856" s="826">
        <v>15657</v>
      </c>
      <c r="T856" s="827">
        <v>-1235</v>
      </c>
      <c r="U856" s="827">
        <v>14422</v>
      </c>
    </row>
    <row r="857" spans="1:21" x14ac:dyDescent="0.25">
      <c r="A857" s="822">
        <v>99421</v>
      </c>
      <c r="B857" s="823" t="s">
        <v>3419</v>
      </c>
      <c r="C857" s="824">
        <v>1.5E-5</v>
      </c>
      <c r="D857" s="824">
        <v>2.2099999999999998E-5</v>
      </c>
      <c r="E857" s="825">
        <v>6577</v>
      </c>
      <c r="F857" s="825">
        <v>9918</v>
      </c>
      <c r="G857" s="825">
        <v>31835</v>
      </c>
      <c r="H857" s="825"/>
      <c r="I857" s="826">
        <v>598.125</v>
      </c>
      <c r="J857" s="826">
        <v>27897.63</v>
      </c>
      <c r="K857" s="826">
        <v>2180.415</v>
      </c>
      <c r="L857" s="825">
        <v>1536</v>
      </c>
      <c r="M857" s="825"/>
      <c r="N857" s="826">
        <v>1116</v>
      </c>
      <c r="O857" s="826">
        <v>10297</v>
      </c>
      <c r="P857" s="826">
        <v>0</v>
      </c>
      <c r="Q857" s="825">
        <v>4910</v>
      </c>
      <c r="R857" s="825"/>
      <c r="S857" s="826">
        <v>8509</v>
      </c>
      <c r="T857" s="827">
        <v>-633</v>
      </c>
      <c r="U857" s="827">
        <v>7876</v>
      </c>
    </row>
    <row r="858" spans="1:21" x14ac:dyDescent="0.25">
      <c r="A858" s="822">
        <v>99431</v>
      </c>
      <c r="B858" s="823" t="s">
        <v>3420</v>
      </c>
      <c r="C858" s="824">
        <v>2.16E-5</v>
      </c>
      <c r="D858" s="824">
        <v>2.09E-5</v>
      </c>
      <c r="E858" s="825">
        <v>6864.37</v>
      </c>
      <c r="F858" s="825">
        <v>9380</v>
      </c>
      <c r="G858" s="825">
        <v>45842</v>
      </c>
      <c r="H858" s="825"/>
      <c r="I858" s="826">
        <v>861.3</v>
      </c>
      <c r="J858" s="826">
        <v>40173</v>
      </c>
      <c r="K858" s="826">
        <v>3140</v>
      </c>
      <c r="L858" s="825">
        <v>2153</v>
      </c>
      <c r="M858" s="825"/>
      <c r="N858" s="826">
        <v>1606</v>
      </c>
      <c r="O858" s="826">
        <v>14827</v>
      </c>
      <c r="P858" s="826">
        <v>0</v>
      </c>
      <c r="Q858" s="825">
        <v>1856</v>
      </c>
      <c r="R858" s="825"/>
      <c r="S858" s="826">
        <v>12253</v>
      </c>
      <c r="T858" s="827">
        <v>541</v>
      </c>
      <c r="U858" s="827">
        <v>12794</v>
      </c>
    </row>
    <row r="859" spans="1:21" x14ac:dyDescent="0.25">
      <c r="A859" s="822">
        <v>99501</v>
      </c>
      <c r="B859" s="823" t="s">
        <v>3421</v>
      </c>
      <c r="C859" s="824">
        <v>1.7390000000000001E-3</v>
      </c>
      <c r="D859" s="824">
        <v>1.7404E-3</v>
      </c>
      <c r="E859" s="825">
        <v>717899.84</v>
      </c>
      <c r="F859" s="825">
        <v>781081</v>
      </c>
      <c r="G859" s="825">
        <v>3690741</v>
      </c>
      <c r="H859" s="825"/>
      <c r="I859" s="826">
        <v>69343</v>
      </c>
      <c r="J859" s="826">
        <v>3234265</v>
      </c>
      <c r="K859" s="826">
        <v>252783</v>
      </c>
      <c r="L859" s="825">
        <v>5725</v>
      </c>
      <c r="M859" s="825"/>
      <c r="N859" s="826">
        <v>129328</v>
      </c>
      <c r="O859" s="826">
        <v>1193750</v>
      </c>
      <c r="P859" s="826">
        <v>0</v>
      </c>
      <c r="Q859" s="825">
        <v>0</v>
      </c>
      <c r="R859" s="825"/>
      <c r="S859" s="826">
        <v>986481</v>
      </c>
      <c r="T859" s="827">
        <v>1961</v>
      </c>
      <c r="U859" s="827">
        <v>988442</v>
      </c>
    </row>
    <row r="860" spans="1:21" x14ac:dyDescent="0.25">
      <c r="A860" s="822">
        <v>99502</v>
      </c>
      <c r="B860" s="823" t="s">
        <v>3422</v>
      </c>
      <c r="C860" s="824">
        <v>1.3779999999999999E-4</v>
      </c>
      <c r="D860" s="824">
        <v>1.628E-4</v>
      </c>
      <c r="E860" s="825">
        <v>87805.53</v>
      </c>
      <c r="F860" s="825">
        <v>73064</v>
      </c>
      <c r="G860" s="825">
        <v>292458</v>
      </c>
      <c r="H860" s="825"/>
      <c r="I860" s="826">
        <v>5495</v>
      </c>
      <c r="J860" s="826">
        <v>256286</v>
      </c>
      <c r="K860" s="826">
        <v>20031</v>
      </c>
      <c r="L860" s="825">
        <v>28542</v>
      </c>
      <c r="M860" s="825"/>
      <c r="N860" s="826">
        <v>10248</v>
      </c>
      <c r="O860" s="826">
        <v>94594</v>
      </c>
      <c r="P860" s="826">
        <v>0</v>
      </c>
      <c r="Q860" s="825">
        <v>143</v>
      </c>
      <c r="R860" s="825"/>
      <c r="S860" s="826">
        <v>78170</v>
      </c>
      <c r="T860" s="827">
        <v>8980</v>
      </c>
      <c r="U860" s="827">
        <v>87150</v>
      </c>
    </row>
    <row r="861" spans="1:21" x14ac:dyDescent="0.25">
      <c r="A861" s="822">
        <v>99508</v>
      </c>
      <c r="B861" s="823" t="s">
        <v>3423</v>
      </c>
      <c r="C861" s="824">
        <v>2.1699999999999999E-5</v>
      </c>
      <c r="D861" s="824">
        <v>2.3200000000000001E-5</v>
      </c>
      <c r="E861" s="825">
        <v>8790.98</v>
      </c>
      <c r="F861" s="825">
        <v>10412</v>
      </c>
      <c r="G861" s="825">
        <v>46055</v>
      </c>
      <c r="H861" s="825"/>
      <c r="I861" s="826">
        <v>865</v>
      </c>
      <c r="J861" s="826">
        <v>40359</v>
      </c>
      <c r="K861" s="826">
        <v>3154</v>
      </c>
      <c r="L861" s="825">
        <v>0</v>
      </c>
      <c r="M861" s="825"/>
      <c r="N861" s="826">
        <v>1614</v>
      </c>
      <c r="O861" s="826">
        <v>14896</v>
      </c>
      <c r="P861" s="826">
        <v>0</v>
      </c>
      <c r="Q861" s="825">
        <v>2564</v>
      </c>
      <c r="R861" s="825"/>
      <c r="S861" s="826">
        <v>12310</v>
      </c>
      <c r="T861" s="827">
        <v>-994</v>
      </c>
      <c r="U861" s="827">
        <v>11316</v>
      </c>
    </row>
    <row r="862" spans="1:21" x14ac:dyDescent="0.25">
      <c r="A862" s="822">
        <v>99509</v>
      </c>
      <c r="B862" s="823" t="s">
        <v>3424</v>
      </c>
      <c r="C862" s="824">
        <v>2.8900000000000001E-5</v>
      </c>
      <c r="D862" s="824">
        <v>2.87E-5</v>
      </c>
      <c r="E862" s="825">
        <v>10373.91</v>
      </c>
      <c r="F862" s="825">
        <v>12880</v>
      </c>
      <c r="G862" s="825">
        <v>61335</v>
      </c>
      <c r="H862" s="825"/>
      <c r="I862" s="826">
        <v>1152.3875</v>
      </c>
      <c r="J862" s="826">
        <v>53749</v>
      </c>
      <c r="K862" s="826">
        <v>4201</v>
      </c>
      <c r="L862" s="825">
        <v>0</v>
      </c>
      <c r="M862" s="825"/>
      <c r="N862" s="826">
        <v>2149</v>
      </c>
      <c r="O862" s="826">
        <v>19839</v>
      </c>
      <c r="P862" s="826">
        <v>0</v>
      </c>
      <c r="Q862" s="825">
        <v>8463</v>
      </c>
      <c r="R862" s="825"/>
      <c r="S862" s="826">
        <v>16394</v>
      </c>
      <c r="T862" s="827">
        <v>-3831</v>
      </c>
      <c r="U862" s="827">
        <v>12563</v>
      </c>
    </row>
    <row r="863" spans="1:21" x14ac:dyDescent="0.25">
      <c r="A863" s="822">
        <v>99511</v>
      </c>
      <c r="B863" s="823" t="s">
        <v>3425</v>
      </c>
      <c r="C863" s="824">
        <v>1.3638000000000001E-3</v>
      </c>
      <c r="D863" s="824">
        <v>1.4238E-3</v>
      </c>
      <c r="E863" s="825">
        <v>513320.93</v>
      </c>
      <c r="F863" s="825">
        <v>638993</v>
      </c>
      <c r="G863" s="825">
        <v>2894440</v>
      </c>
      <c r="H863" s="825"/>
      <c r="I863" s="826">
        <v>54382</v>
      </c>
      <c r="J863" s="826">
        <v>2536453</v>
      </c>
      <c r="K863" s="826">
        <v>198243</v>
      </c>
      <c r="L863" s="825">
        <v>6972</v>
      </c>
      <c r="M863" s="825"/>
      <c r="N863" s="826">
        <v>101424</v>
      </c>
      <c r="O863" s="826">
        <v>936191</v>
      </c>
      <c r="P863" s="826">
        <v>0</v>
      </c>
      <c r="Q863" s="825">
        <v>87693</v>
      </c>
      <c r="R863" s="825"/>
      <c r="S863" s="826">
        <v>773641</v>
      </c>
      <c r="T863" s="827">
        <v>-24491</v>
      </c>
      <c r="U863" s="827">
        <v>749150</v>
      </c>
    </row>
    <row r="864" spans="1:21" x14ac:dyDescent="0.25">
      <c r="A864" s="822">
        <v>99521</v>
      </c>
      <c r="B864" s="823" t="s">
        <v>3426</v>
      </c>
      <c r="C864" s="824">
        <v>4.0180000000000001E-4</v>
      </c>
      <c r="D864" s="824">
        <v>4.0989999999999999E-4</v>
      </c>
      <c r="E864" s="825">
        <v>150146.22</v>
      </c>
      <c r="F864" s="825">
        <v>183961</v>
      </c>
      <c r="G864" s="825">
        <v>852754</v>
      </c>
      <c r="H864" s="825"/>
      <c r="I864" s="826">
        <v>16022</v>
      </c>
      <c r="J864" s="826">
        <v>747285</v>
      </c>
      <c r="K864" s="826">
        <v>58406</v>
      </c>
      <c r="L864" s="825">
        <v>1435</v>
      </c>
      <c r="M864" s="825"/>
      <c r="N864" s="826">
        <v>29881</v>
      </c>
      <c r="O864" s="826">
        <v>275819</v>
      </c>
      <c r="P864" s="826">
        <v>0</v>
      </c>
      <c r="Q864" s="825">
        <v>21691</v>
      </c>
      <c r="R864" s="825"/>
      <c r="S864" s="826">
        <v>227929</v>
      </c>
      <c r="T864" s="827">
        <v>-5406</v>
      </c>
      <c r="U864" s="827">
        <v>222522</v>
      </c>
    </row>
    <row r="865" spans="1:21" x14ac:dyDescent="0.25">
      <c r="A865" s="822">
        <v>99527</v>
      </c>
      <c r="B865" s="823" t="s">
        <v>3427</v>
      </c>
      <c r="C865" s="824">
        <v>1.2099999999999999E-5</v>
      </c>
      <c r="D865" s="824">
        <v>1.1800000000000001E-5</v>
      </c>
      <c r="E865" s="825">
        <v>5273.87</v>
      </c>
      <c r="F865" s="825">
        <v>5296</v>
      </c>
      <c r="G865" s="825">
        <v>25680</v>
      </c>
      <c r="H865" s="825"/>
      <c r="I865" s="826">
        <v>482</v>
      </c>
      <c r="J865" s="826">
        <v>22504</v>
      </c>
      <c r="K865" s="826">
        <v>1759</v>
      </c>
      <c r="L865" s="825">
        <v>1404</v>
      </c>
      <c r="M865" s="825"/>
      <c r="N865" s="826">
        <v>900</v>
      </c>
      <c r="O865" s="826">
        <v>8306</v>
      </c>
      <c r="P865" s="826">
        <v>0</v>
      </c>
      <c r="Q865" s="825">
        <v>0</v>
      </c>
      <c r="R865" s="825"/>
      <c r="S865" s="826">
        <v>6864</v>
      </c>
      <c r="T865" s="827">
        <v>529</v>
      </c>
      <c r="U865" s="827">
        <v>7393</v>
      </c>
    </row>
    <row r="866" spans="1:21" x14ac:dyDescent="0.25">
      <c r="A866" s="822">
        <v>99531</v>
      </c>
      <c r="B866" s="823" t="s">
        <v>3428</v>
      </c>
      <c r="C866" s="824">
        <v>8.7600000000000002E-5</v>
      </c>
      <c r="D866" s="824">
        <v>8.8200000000000003E-5</v>
      </c>
      <c r="E866" s="825">
        <v>67487</v>
      </c>
      <c r="F866" s="825">
        <v>39584</v>
      </c>
      <c r="G866" s="825">
        <v>185917</v>
      </c>
      <c r="H866" s="825"/>
      <c r="I866" s="826">
        <v>3493.05</v>
      </c>
      <c r="J866" s="826">
        <v>162922</v>
      </c>
      <c r="K866" s="826">
        <v>12734</v>
      </c>
      <c r="L866" s="825">
        <v>39764</v>
      </c>
      <c r="M866" s="825"/>
      <c r="N866" s="826">
        <v>6515</v>
      </c>
      <c r="O866" s="826">
        <v>60134</v>
      </c>
      <c r="P866" s="826">
        <v>0</v>
      </c>
      <c r="Q866" s="825">
        <v>0</v>
      </c>
      <c r="R866" s="825"/>
      <c r="S866" s="826">
        <v>49693</v>
      </c>
      <c r="T866" s="827">
        <v>11839</v>
      </c>
      <c r="U866" s="827">
        <v>61531</v>
      </c>
    </row>
    <row r="867" spans="1:21" x14ac:dyDescent="0.25">
      <c r="A867" s="822">
        <v>99601</v>
      </c>
      <c r="B867" s="823" t="s">
        <v>3429</v>
      </c>
      <c r="C867" s="824">
        <v>5.2824999999999999E-3</v>
      </c>
      <c r="D867" s="824">
        <v>5.3274999999999998E-3</v>
      </c>
      <c r="E867" s="825">
        <v>2087469</v>
      </c>
      <c r="F867" s="825">
        <v>2390950</v>
      </c>
      <c r="G867" s="825">
        <v>11211235</v>
      </c>
      <c r="H867" s="825"/>
      <c r="I867" s="826">
        <v>210640</v>
      </c>
      <c r="J867" s="826">
        <v>9824615</v>
      </c>
      <c r="K867" s="826">
        <v>767869</v>
      </c>
      <c r="L867" s="825">
        <v>60572</v>
      </c>
      <c r="M867" s="825"/>
      <c r="N867" s="826">
        <v>392854</v>
      </c>
      <c r="O867" s="826">
        <v>3626214</v>
      </c>
      <c r="P867" s="826">
        <v>0</v>
      </c>
      <c r="Q867" s="825">
        <v>101945</v>
      </c>
      <c r="R867" s="825"/>
      <c r="S867" s="826">
        <v>2996598</v>
      </c>
      <c r="T867" s="827">
        <v>-7395</v>
      </c>
      <c r="U867" s="827">
        <v>2989204</v>
      </c>
    </row>
    <row r="868" spans="1:21" x14ac:dyDescent="0.25">
      <c r="A868" s="822">
        <v>99602</v>
      </c>
      <c r="B868" s="823" t="s">
        <v>3430</v>
      </c>
      <c r="C868" s="824">
        <v>5.1700000000000003E-5</v>
      </c>
      <c r="D868" s="824">
        <v>5.13E-5</v>
      </c>
      <c r="E868" s="825">
        <v>23478.31</v>
      </c>
      <c r="F868" s="825">
        <v>23023</v>
      </c>
      <c r="G868" s="825">
        <v>109725</v>
      </c>
      <c r="H868" s="825"/>
      <c r="I868" s="826">
        <v>2062</v>
      </c>
      <c r="J868" s="826">
        <v>96154</v>
      </c>
      <c r="K868" s="826">
        <v>7515</v>
      </c>
      <c r="L868" s="825">
        <v>5410</v>
      </c>
      <c r="M868" s="825"/>
      <c r="N868" s="826">
        <v>3845</v>
      </c>
      <c r="O868" s="826">
        <v>35490</v>
      </c>
      <c r="P868" s="826">
        <v>0</v>
      </c>
      <c r="Q868" s="825">
        <v>4155</v>
      </c>
      <c r="R868" s="825"/>
      <c r="S868" s="826">
        <v>29328</v>
      </c>
      <c r="T868" s="827">
        <v>-358</v>
      </c>
      <c r="U868" s="827">
        <v>28969</v>
      </c>
    </row>
    <row r="869" spans="1:21" x14ac:dyDescent="0.25">
      <c r="A869" s="822">
        <v>99603</v>
      </c>
      <c r="B869" s="823" t="s">
        <v>3431</v>
      </c>
      <c r="C869" s="824">
        <v>1.4219999999999999E-4</v>
      </c>
      <c r="D869" s="824">
        <v>1.474E-4</v>
      </c>
      <c r="E869" s="825">
        <v>137623</v>
      </c>
      <c r="F869" s="825">
        <v>66152</v>
      </c>
      <c r="G869" s="825">
        <v>301796</v>
      </c>
      <c r="H869" s="825"/>
      <c r="I869" s="826">
        <v>5670</v>
      </c>
      <c r="J869" s="826">
        <v>264470</v>
      </c>
      <c r="K869" s="826">
        <v>20670</v>
      </c>
      <c r="L869" s="825">
        <v>103545</v>
      </c>
      <c r="M869" s="825"/>
      <c r="N869" s="826">
        <v>10575</v>
      </c>
      <c r="O869" s="826">
        <v>97614</v>
      </c>
      <c r="P869" s="826">
        <v>0</v>
      </c>
      <c r="Q869" s="825">
        <v>0</v>
      </c>
      <c r="R869" s="825"/>
      <c r="S869" s="826">
        <v>80666</v>
      </c>
      <c r="T869" s="827">
        <v>31526</v>
      </c>
      <c r="U869" s="827">
        <v>112191</v>
      </c>
    </row>
    <row r="870" spans="1:21" x14ac:dyDescent="0.25">
      <c r="A870" s="822">
        <v>99604</v>
      </c>
      <c r="B870" s="823" t="s">
        <v>3432</v>
      </c>
      <c r="C870" s="824">
        <v>9.6899999999999997E-5</v>
      </c>
      <c r="D870" s="824">
        <v>9.3300000000000005E-5</v>
      </c>
      <c r="E870" s="825">
        <v>45606</v>
      </c>
      <c r="F870" s="825">
        <v>41872</v>
      </c>
      <c r="G870" s="825">
        <v>205654</v>
      </c>
      <c r="H870" s="825"/>
      <c r="I870" s="826">
        <v>3864</v>
      </c>
      <c r="J870" s="826">
        <v>180219</v>
      </c>
      <c r="K870" s="826">
        <v>14085</v>
      </c>
      <c r="L870" s="825">
        <v>20600</v>
      </c>
      <c r="M870" s="825"/>
      <c r="N870" s="826">
        <v>7206</v>
      </c>
      <c r="O870" s="826">
        <v>66518</v>
      </c>
      <c r="P870" s="826">
        <v>0</v>
      </c>
      <c r="Q870" s="825">
        <v>0</v>
      </c>
      <c r="R870" s="825"/>
      <c r="S870" s="826">
        <v>54968</v>
      </c>
      <c r="T870" s="827">
        <v>7597</v>
      </c>
      <c r="U870" s="827">
        <v>62566</v>
      </c>
    </row>
    <row r="871" spans="1:21" x14ac:dyDescent="0.25">
      <c r="A871" s="822">
        <v>99609</v>
      </c>
      <c r="B871" s="823" t="s">
        <v>3433</v>
      </c>
      <c r="C871" s="824">
        <v>2.0999999999999999E-5</v>
      </c>
      <c r="D871" s="824">
        <v>1.98E-5</v>
      </c>
      <c r="E871" s="825">
        <v>10788</v>
      </c>
      <c r="F871" s="825">
        <v>8886</v>
      </c>
      <c r="G871" s="825">
        <v>44569</v>
      </c>
      <c r="H871" s="825"/>
      <c r="I871" s="826">
        <v>837.375</v>
      </c>
      <c r="J871" s="826">
        <v>39057</v>
      </c>
      <c r="K871" s="826">
        <v>3053</v>
      </c>
      <c r="L871" s="825">
        <v>5629</v>
      </c>
      <c r="M871" s="825"/>
      <c r="N871" s="826">
        <v>1562</v>
      </c>
      <c r="O871" s="826">
        <v>14416</v>
      </c>
      <c r="P871" s="826">
        <v>0</v>
      </c>
      <c r="Q871" s="825">
        <v>0</v>
      </c>
      <c r="R871" s="825"/>
      <c r="S871" s="826">
        <v>11913</v>
      </c>
      <c r="T871" s="827">
        <v>2074</v>
      </c>
      <c r="U871" s="827">
        <v>13986</v>
      </c>
    </row>
    <row r="872" spans="1:21" x14ac:dyDescent="0.25">
      <c r="A872" s="822">
        <v>99610</v>
      </c>
      <c r="B872" s="823" t="s">
        <v>3434</v>
      </c>
      <c r="C872" s="824">
        <v>1.9440000000000001E-4</v>
      </c>
      <c r="D872" s="824">
        <v>1.883E-4</v>
      </c>
      <c r="E872" s="825">
        <v>78017.36</v>
      </c>
      <c r="F872" s="825">
        <v>84508</v>
      </c>
      <c r="G872" s="825">
        <v>412582</v>
      </c>
      <c r="H872" s="825"/>
      <c r="I872" s="826">
        <v>7752</v>
      </c>
      <c r="J872" s="826">
        <v>361553</v>
      </c>
      <c r="K872" s="826">
        <v>28258</v>
      </c>
      <c r="L872" s="825">
        <v>4583</v>
      </c>
      <c r="M872" s="825"/>
      <c r="N872" s="826">
        <v>14457</v>
      </c>
      <c r="O872" s="826">
        <v>133447</v>
      </c>
      <c r="P872" s="826">
        <v>0</v>
      </c>
      <c r="Q872" s="825">
        <v>1313</v>
      </c>
      <c r="R872" s="825"/>
      <c r="S872" s="826">
        <v>110277</v>
      </c>
      <c r="T872" s="827">
        <v>1406</v>
      </c>
      <c r="U872" s="827">
        <v>111683</v>
      </c>
    </row>
    <row r="873" spans="1:21" x14ac:dyDescent="0.25">
      <c r="A873" s="822">
        <v>99611</v>
      </c>
      <c r="B873" s="823" t="s">
        <v>3435</v>
      </c>
      <c r="C873" s="824">
        <v>3.1495999999999998E-3</v>
      </c>
      <c r="D873" s="824">
        <v>3.4461000000000001E-3</v>
      </c>
      <c r="E873" s="825">
        <v>1274178.99</v>
      </c>
      <c r="F873" s="825">
        <v>1546589</v>
      </c>
      <c r="G873" s="825">
        <v>6684506</v>
      </c>
      <c r="H873" s="825"/>
      <c r="I873" s="826">
        <v>125590</v>
      </c>
      <c r="J873" s="826">
        <v>5857758</v>
      </c>
      <c r="K873" s="826">
        <v>457829</v>
      </c>
      <c r="L873" s="825">
        <v>0</v>
      </c>
      <c r="M873" s="825"/>
      <c r="N873" s="826">
        <v>234233</v>
      </c>
      <c r="O873" s="826">
        <v>2162068</v>
      </c>
      <c r="P873" s="826">
        <v>0</v>
      </c>
      <c r="Q873" s="825">
        <v>295351</v>
      </c>
      <c r="R873" s="825"/>
      <c r="S873" s="826">
        <v>1786670</v>
      </c>
      <c r="T873" s="827">
        <v>-97649</v>
      </c>
      <c r="U873" s="827">
        <v>1689022</v>
      </c>
    </row>
    <row r="874" spans="1:21" x14ac:dyDescent="0.25">
      <c r="A874" s="822">
        <v>99613</v>
      </c>
      <c r="B874" s="823" t="s">
        <v>3436</v>
      </c>
      <c r="C874" s="824">
        <v>3.369E-4</v>
      </c>
      <c r="D874" s="824">
        <v>2.6350000000000001E-4</v>
      </c>
      <c r="E874" s="825">
        <v>287693.51</v>
      </c>
      <c r="F874" s="825">
        <v>118257</v>
      </c>
      <c r="G874" s="825">
        <v>715015</v>
      </c>
      <c r="H874" s="825"/>
      <c r="I874" s="826">
        <v>13434</v>
      </c>
      <c r="J874" s="826">
        <v>626581</v>
      </c>
      <c r="K874" s="826">
        <v>48972</v>
      </c>
      <c r="L874" s="825">
        <v>227196</v>
      </c>
      <c r="M874" s="825"/>
      <c r="N874" s="826">
        <v>25055</v>
      </c>
      <c r="O874" s="826">
        <v>231268</v>
      </c>
      <c r="P874" s="826">
        <v>0</v>
      </c>
      <c r="Q874" s="825">
        <v>0</v>
      </c>
      <c r="R874" s="825"/>
      <c r="S874" s="826">
        <v>191113</v>
      </c>
      <c r="T874" s="827">
        <v>65914</v>
      </c>
      <c r="U874" s="827">
        <v>257027</v>
      </c>
    </row>
    <row r="875" spans="1:21" x14ac:dyDescent="0.25">
      <c r="A875" s="822">
        <v>99621</v>
      </c>
      <c r="B875" s="823" t="s">
        <v>3437</v>
      </c>
      <c r="C875" s="824">
        <v>3.2850000000000002E-4</v>
      </c>
      <c r="D875" s="824">
        <v>2.9550000000000003E-4</v>
      </c>
      <c r="E875" s="825">
        <v>133172.19</v>
      </c>
      <c r="F875" s="825">
        <v>132619</v>
      </c>
      <c r="G875" s="825">
        <v>697187</v>
      </c>
      <c r="H875" s="825"/>
      <c r="I875" s="826">
        <v>13098.9375</v>
      </c>
      <c r="J875" s="826">
        <v>610958</v>
      </c>
      <c r="K875" s="826">
        <v>47751</v>
      </c>
      <c r="L875" s="825">
        <v>25982</v>
      </c>
      <c r="M875" s="825"/>
      <c r="N875" s="826">
        <v>24430</v>
      </c>
      <c r="O875" s="826">
        <v>225501</v>
      </c>
      <c r="P875" s="826">
        <v>0</v>
      </c>
      <c r="Q875" s="825">
        <v>7236</v>
      </c>
      <c r="R875" s="825"/>
      <c r="S875" s="826">
        <v>186348</v>
      </c>
      <c r="T875" s="827">
        <v>6510</v>
      </c>
      <c r="U875" s="827">
        <v>192858</v>
      </c>
    </row>
    <row r="876" spans="1:21" x14ac:dyDescent="0.25">
      <c r="A876" s="822">
        <v>99623</v>
      </c>
      <c r="B876" s="823" t="s">
        <v>3438</v>
      </c>
      <c r="C876" s="824">
        <v>2.9200000000000002E-5</v>
      </c>
      <c r="D876" s="824">
        <v>2.1299999999999999E-5</v>
      </c>
      <c r="E876" s="825">
        <v>8301.6</v>
      </c>
      <c r="F876" s="825">
        <v>9559</v>
      </c>
      <c r="G876" s="825">
        <v>61972</v>
      </c>
      <c r="H876" s="825"/>
      <c r="I876" s="826">
        <v>1164</v>
      </c>
      <c r="J876" s="826">
        <v>54307</v>
      </c>
      <c r="K876" s="826">
        <v>4245</v>
      </c>
      <c r="L876" s="825">
        <v>3598</v>
      </c>
      <c r="M876" s="825"/>
      <c r="N876" s="826">
        <v>2172</v>
      </c>
      <c r="O876" s="826">
        <v>20045</v>
      </c>
      <c r="P876" s="826">
        <v>0</v>
      </c>
      <c r="Q876" s="825">
        <v>316</v>
      </c>
      <c r="R876" s="825"/>
      <c r="S876" s="826">
        <v>16564</v>
      </c>
      <c r="T876" s="827">
        <v>989</v>
      </c>
      <c r="U876" s="827">
        <v>17554</v>
      </c>
    </row>
    <row r="877" spans="1:21" x14ac:dyDescent="0.25">
      <c r="A877" s="822">
        <v>99631</v>
      </c>
      <c r="B877" s="823" t="s">
        <v>3439</v>
      </c>
      <c r="C877" s="824">
        <v>1.0340000000000001E-4</v>
      </c>
      <c r="D877" s="824">
        <v>9.8599999999999998E-5</v>
      </c>
      <c r="E877" s="825">
        <v>37652</v>
      </c>
      <c r="F877" s="825">
        <v>44251</v>
      </c>
      <c r="G877" s="825">
        <v>219449</v>
      </c>
      <c r="H877" s="825"/>
      <c r="I877" s="826">
        <v>4123</v>
      </c>
      <c r="J877" s="826">
        <v>192308</v>
      </c>
      <c r="K877" s="826">
        <v>15030</v>
      </c>
      <c r="L877" s="825">
        <v>0</v>
      </c>
      <c r="M877" s="825"/>
      <c r="N877" s="826">
        <v>7690</v>
      </c>
      <c r="O877" s="826">
        <v>70980</v>
      </c>
      <c r="P877" s="826">
        <v>0</v>
      </c>
      <c r="Q877" s="825">
        <v>9381</v>
      </c>
      <c r="R877" s="825"/>
      <c r="S877" s="826">
        <v>58656</v>
      </c>
      <c r="T877" s="827">
        <v>-4222</v>
      </c>
      <c r="U877" s="827">
        <v>54433</v>
      </c>
    </row>
    <row r="878" spans="1:21" x14ac:dyDescent="0.25">
      <c r="A878" s="822">
        <v>99651</v>
      </c>
      <c r="B878" s="823" t="s">
        <v>3440</v>
      </c>
      <c r="C878" s="824">
        <v>6.7100000000000005E-5</v>
      </c>
      <c r="D878" s="824">
        <v>5.7500000000000002E-5</v>
      </c>
      <c r="E878" s="825">
        <v>24617</v>
      </c>
      <c r="F878" s="825">
        <v>25806</v>
      </c>
      <c r="G878" s="825">
        <v>142409</v>
      </c>
      <c r="H878" s="825"/>
      <c r="I878" s="826">
        <v>2676</v>
      </c>
      <c r="J878" s="826">
        <v>124795</v>
      </c>
      <c r="K878" s="826">
        <v>9754</v>
      </c>
      <c r="L878" s="825">
        <v>8790</v>
      </c>
      <c r="M878" s="825"/>
      <c r="N878" s="826">
        <v>4990</v>
      </c>
      <c r="O878" s="826">
        <v>46061</v>
      </c>
      <c r="P878" s="826">
        <v>0</v>
      </c>
      <c r="Q878" s="825">
        <v>2840</v>
      </c>
      <c r="R878" s="825"/>
      <c r="S878" s="826">
        <v>38064</v>
      </c>
      <c r="T878" s="827">
        <v>1419</v>
      </c>
      <c r="U878" s="827">
        <v>39483</v>
      </c>
    </row>
    <row r="879" spans="1:21" x14ac:dyDescent="0.25">
      <c r="A879" s="822">
        <v>99661</v>
      </c>
      <c r="B879" s="823" t="s">
        <v>3441</v>
      </c>
      <c r="C879" s="824">
        <v>3.5500000000000002E-5</v>
      </c>
      <c r="D879" s="824">
        <v>3.4900000000000001E-5</v>
      </c>
      <c r="E879" s="825">
        <v>34311.1</v>
      </c>
      <c r="F879" s="825">
        <v>15663</v>
      </c>
      <c r="G879" s="825">
        <v>75343</v>
      </c>
      <c r="H879" s="825"/>
      <c r="I879" s="826">
        <v>1415.5625</v>
      </c>
      <c r="J879" s="826">
        <v>66024</v>
      </c>
      <c r="K879" s="826">
        <v>5160</v>
      </c>
      <c r="L879" s="825">
        <v>30447</v>
      </c>
      <c r="M879" s="825"/>
      <c r="N879" s="826">
        <v>2640</v>
      </c>
      <c r="O879" s="826">
        <v>24369</v>
      </c>
      <c r="P879" s="826">
        <v>0</v>
      </c>
      <c r="Q879" s="825">
        <v>0</v>
      </c>
      <c r="R879" s="825"/>
      <c r="S879" s="826">
        <v>20138</v>
      </c>
      <c r="T879" s="827">
        <v>9415</v>
      </c>
      <c r="U879" s="827">
        <v>29553</v>
      </c>
    </row>
    <row r="880" spans="1:21" x14ac:dyDescent="0.25">
      <c r="A880" s="822">
        <v>99701</v>
      </c>
      <c r="B880" s="823" t="s">
        <v>3442</v>
      </c>
      <c r="C880" s="824">
        <v>2.8774E-3</v>
      </c>
      <c r="D880" s="824">
        <v>2.7742000000000001E-3</v>
      </c>
      <c r="E880" s="825">
        <v>1127825</v>
      </c>
      <c r="F880" s="825">
        <v>1245044</v>
      </c>
      <c r="G880" s="825">
        <v>6106807</v>
      </c>
      <c r="H880" s="825"/>
      <c r="I880" s="826">
        <v>114736</v>
      </c>
      <c r="J880" s="826">
        <v>5351509</v>
      </c>
      <c r="K880" s="826">
        <v>418262</v>
      </c>
      <c r="L880" s="825">
        <v>31037</v>
      </c>
      <c r="M880" s="825"/>
      <c r="N880" s="826">
        <v>213989</v>
      </c>
      <c r="O880" s="826">
        <v>1975214</v>
      </c>
      <c r="P880" s="826">
        <v>0</v>
      </c>
      <c r="Q880" s="825">
        <v>19671</v>
      </c>
      <c r="R880" s="825"/>
      <c r="S880" s="826">
        <v>1632260</v>
      </c>
      <c r="T880" s="827">
        <v>-10</v>
      </c>
      <c r="U880" s="827">
        <v>1632250</v>
      </c>
    </row>
    <row r="881" spans="1:21" x14ac:dyDescent="0.25">
      <c r="A881" s="822">
        <v>99705</v>
      </c>
      <c r="B881" s="823" t="s">
        <v>3443</v>
      </c>
      <c r="C881" s="824">
        <v>1.7259999999999999E-4</v>
      </c>
      <c r="D881" s="824">
        <v>1.7660000000000001E-4</v>
      </c>
      <c r="E881" s="825">
        <v>76713.119999999995</v>
      </c>
      <c r="F881" s="825">
        <v>79257</v>
      </c>
      <c r="G881" s="825">
        <v>366315</v>
      </c>
      <c r="H881" s="825"/>
      <c r="I881" s="826">
        <v>6882</v>
      </c>
      <c r="J881" s="826">
        <v>321009</v>
      </c>
      <c r="K881" s="826">
        <v>25089</v>
      </c>
      <c r="L881" s="825">
        <v>11090</v>
      </c>
      <c r="M881" s="825"/>
      <c r="N881" s="826">
        <v>12836</v>
      </c>
      <c r="O881" s="826">
        <v>118483</v>
      </c>
      <c r="P881" s="826">
        <v>0</v>
      </c>
      <c r="Q881" s="825">
        <v>842</v>
      </c>
      <c r="R881" s="825"/>
      <c r="S881" s="826">
        <v>97911</v>
      </c>
      <c r="T881" s="827">
        <v>4693</v>
      </c>
      <c r="U881" s="827">
        <v>102604</v>
      </c>
    </row>
    <row r="882" spans="1:21" x14ac:dyDescent="0.25">
      <c r="A882" s="822">
        <v>99711</v>
      </c>
      <c r="B882" s="823" t="s">
        <v>3444</v>
      </c>
      <c r="C882" s="824">
        <v>4.3540000000000001E-4</v>
      </c>
      <c r="D882" s="824">
        <v>4.506E-4</v>
      </c>
      <c r="E882" s="825">
        <v>185440.27</v>
      </c>
      <c r="F882" s="825">
        <v>202227</v>
      </c>
      <c r="G882" s="825">
        <v>924065</v>
      </c>
      <c r="H882" s="825"/>
      <c r="I882" s="826">
        <v>17362</v>
      </c>
      <c r="J882" s="826">
        <v>809775</v>
      </c>
      <c r="K882" s="826">
        <v>63290</v>
      </c>
      <c r="L882" s="825">
        <v>1891</v>
      </c>
      <c r="M882" s="825"/>
      <c r="N882" s="826">
        <v>32380</v>
      </c>
      <c r="O882" s="826">
        <v>298884</v>
      </c>
      <c r="P882" s="826">
        <v>0</v>
      </c>
      <c r="Q882" s="825">
        <v>15994</v>
      </c>
      <c r="R882" s="825"/>
      <c r="S882" s="826">
        <v>246989</v>
      </c>
      <c r="T882" s="827">
        <v>-4419</v>
      </c>
      <c r="U882" s="827">
        <v>242569</v>
      </c>
    </row>
    <row r="883" spans="1:21" x14ac:dyDescent="0.25">
      <c r="A883" s="822">
        <v>99717</v>
      </c>
      <c r="B883" s="823" t="s">
        <v>3445</v>
      </c>
      <c r="C883" s="824">
        <v>2.3200000000000001E-5</v>
      </c>
      <c r="D883" s="824">
        <v>2.2399999999999999E-5</v>
      </c>
      <c r="E883" s="825">
        <v>7625</v>
      </c>
      <c r="F883" s="825">
        <v>10053</v>
      </c>
      <c r="G883" s="825">
        <v>49238</v>
      </c>
      <c r="H883" s="825"/>
      <c r="I883" s="826">
        <v>925.1</v>
      </c>
      <c r="J883" s="826">
        <v>43148</v>
      </c>
      <c r="K883" s="826">
        <v>3372</v>
      </c>
      <c r="L883" s="825">
        <v>0</v>
      </c>
      <c r="M883" s="825"/>
      <c r="N883" s="826">
        <v>1725</v>
      </c>
      <c r="O883" s="826">
        <v>15926</v>
      </c>
      <c r="P883" s="826">
        <v>0</v>
      </c>
      <c r="Q883" s="825">
        <v>2122</v>
      </c>
      <c r="R883" s="825"/>
      <c r="S883" s="826">
        <v>13161</v>
      </c>
      <c r="T883" s="827">
        <v>-653</v>
      </c>
      <c r="U883" s="827">
        <v>12508</v>
      </c>
    </row>
    <row r="884" spans="1:21" x14ac:dyDescent="0.25">
      <c r="A884" s="822">
        <v>99721</v>
      </c>
      <c r="B884" s="823" t="s">
        <v>3446</v>
      </c>
      <c r="C884" s="824">
        <v>6.2449999999999995E-4</v>
      </c>
      <c r="D884" s="824">
        <v>5.8460000000000001E-4</v>
      </c>
      <c r="E884" s="825">
        <v>220767.11</v>
      </c>
      <c r="F884" s="825">
        <v>262365</v>
      </c>
      <c r="G884" s="825">
        <v>1325398</v>
      </c>
      <c r="H884" s="825"/>
      <c r="I884" s="826">
        <v>24902</v>
      </c>
      <c r="J884" s="826">
        <v>1161471</v>
      </c>
      <c r="K884" s="826">
        <v>90778</v>
      </c>
      <c r="L884" s="825">
        <v>0</v>
      </c>
      <c r="M884" s="825"/>
      <c r="N884" s="826">
        <v>46443</v>
      </c>
      <c r="O884" s="826">
        <v>428693</v>
      </c>
      <c r="P884" s="826">
        <v>0</v>
      </c>
      <c r="Q884" s="825">
        <v>11340</v>
      </c>
      <c r="R884" s="825"/>
      <c r="S884" s="826">
        <v>354259</v>
      </c>
      <c r="T884" s="827">
        <v>-3889</v>
      </c>
      <c r="U884" s="827">
        <v>350371</v>
      </c>
    </row>
    <row r="885" spans="1:21" x14ac:dyDescent="0.25">
      <c r="A885" s="822">
        <v>99727</v>
      </c>
      <c r="B885" s="823" t="s">
        <v>3447</v>
      </c>
      <c r="C885" s="824">
        <v>2.5299999999999998E-5</v>
      </c>
      <c r="D885" s="824">
        <v>2.8099999999999999E-5</v>
      </c>
      <c r="E885" s="825">
        <v>45027.6</v>
      </c>
      <c r="F885" s="825">
        <v>12611</v>
      </c>
      <c r="G885" s="825">
        <v>53695</v>
      </c>
      <c r="H885" s="825"/>
      <c r="I885" s="826">
        <v>1008.8375</v>
      </c>
      <c r="J885" s="826">
        <v>47054</v>
      </c>
      <c r="K885" s="826">
        <v>3678</v>
      </c>
      <c r="L885" s="825">
        <v>46298</v>
      </c>
      <c r="M885" s="825"/>
      <c r="N885" s="826">
        <v>1882</v>
      </c>
      <c r="O885" s="826">
        <v>17367</v>
      </c>
      <c r="P885" s="826">
        <v>0</v>
      </c>
      <c r="Q885" s="825">
        <v>0</v>
      </c>
      <c r="R885" s="825"/>
      <c r="S885" s="826">
        <v>14352</v>
      </c>
      <c r="T885" s="827">
        <v>14150</v>
      </c>
      <c r="U885" s="827">
        <v>28501</v>
      </c>
    </row>
    <row r="886" spans="1:21" x14ac:dyDescent="0.25">
      <c r="A886" s="822">
        <v>99801</v>
      </c>
      <c r="B886" s="823" t="s">
        <v>3448</v>
      </c>
      <c r="C886" s="824">
        <v>5.1954999999999996E-3</v>
      </c>
      <c r="D886" s="824">
        <v>5.0806999999999996E-3</v>
      </c>
      <c r="E886" s="825">
        <v>2017956.21</v>
      </c>
      <c r="F886" s="825">
        <v>2280188</v>
      </c>
      <c r="G886" s="825">
        <v>11026591</v>
      </c>
      <c r="H886" s="825"/>
      <c r="I886" s="826">
        <v>207171</v>
      </c>
      <c r="J886" s="826">
        <v>9662809</v>
      </c>
      <c r="K886" s="826">
        <v>755223</v>
      </c>
      <c r="L886" s="825">
        <v>34255.86</v>
      </c>
      <c r="M886" s="825"/>
      <c r="N886" s="826">
        <v>386384</v>
      </c>
      <c r="O886" s="826">
        <v>3566493</v>
      </c>
      <c r="P886" s="826">
        <v>0</v>
      </c>
      <c r="Q886" s="825">
        <v>67721</v>
      </c>
      <c r="R886" s="825"/>
      <c r="S886" s="826">
        <v>2947246</v>
      </c>
      <c r="T886" s="827">
        <v>-3738</v>
      </c>
      <c r="U886" s="827">
        <v>2943508</v>
      </c>
    </row>
    <row r="887" spans="1:21" x14ac:dyDescent="0.25">
      <c r="A887" s="822">
        <v>99802</v>
      </c>
      <c r="B887" s="823" t="s">
        <v>3449</v>
      </c>
      <c r="C887" s="824">
        <v>6.4999999999999996E-6</v>
      </c>
      <c r="D887" s="824">
        <v>7.7000000000000008E-6</v>
      </c>
      <c r="E887" s="825">
        <v>3764</v>
      </c>
      <c r="F887" s="825">
        <v>3456</v>
      </c>
      <c r="G887" s="825">
        <v>13795</v>
      </c>
      <c r="H887" s="825"/>
      <c r="I887" s="826">
        <v>259.1875</v>
      </c>
      <c r="J887" s="826">
        <v>12089</v>
      </c>
      <c r="K887" s="826">
        <v>945</v>
      </c>
      <c r="L887" s="825">
        <v>358</v>
      </c>
      <c r="M887" s="825"/>
      <c r="N887" s="826">
        <v>483</v>
      </c>
      <c r="O887" s="826">
        <v>4462</v>
      </c>
      <c r="P887" s="826">
        <v>0</v>
      </c>
      <c r="Q887" s="825">
        <v>107</v>
      </c>
      <c r="R887" s="825"/>
      <c r="S887" s="826">
        <v>3687</v>
      </c>
      <c r="T887" s="827">
        <v>52</v>
      </c>
      <c r="U887" s="827">
        <v>3740</v>
      </c>
    </row>
    <row r="888" spans="1:21" x14ac:dyDescent="0.25">
      <c r="A888" s="822">
        <v>99804</v>
      </c>
      <c r="B888" s="823" t="s">
        <v>3450</v>
      </c>
      <c r="C888" s="824">
        <v>8.6600000000000004E-5</v>
      </c>
      <c r="D888" s="824">
        <v>8.7999999999999998E-5</v>
      </c>
      <c r="E888" s="825">
        <v>41607</v>
      </c>
      <c r="F888" s="825">
        <v>39494</v>
      </c>
      <c r="G888" s="825">
        <v>183794</v>
      </c>
      <c r="H888" s="825"/>
      <c r="I888" s="826">
        <v>3453</v>
      </c>
      <c r="J888" s="826">
        <v>161062</v>
      </c>
      <c r="K888" s="826">
        <v>12588</v>
      </c>
      <c r="L888" s="825">
        <v>10128</v>
      </c>
      <c r="M888" s="825"/>
      <c r="N888" s="826">
        <v>6440</v>
      </c>
      <c r="O888" s="826">
        <v>59447</v>
      </c>
      <c r="P888" s="826">
        <v>0</v>
      </c>
      <c r="Q888" s="825">
        <v>0</v>
      </c>
      <c r="R888" s="825"/>
      <c r="S888" s="826">
        <v>49125</v>
      </c>
      <c r="T888" s="827">
        <v>3221</v>
      </c>
      <c r="U888" s="827">
        <v>52347</v>
      </c>
    </row>
    <row r="889" spans="1:21" x14ac:dyDescent="0.25">
      <c r="A889" s="822">
        <v>99811</v>
      </c>
      <c r="B889" s="823" t="s">
        <v>3451</v>
      </c>
      <c r="C889" s="824">
        <v>6.8415000000000004E-3</v>
      </c>
      <c r="D889" s="824">
        <v>6.9579999999999998E-3</v>
      </c>
      <c r="E889" s="825">
        <v>2561770.62</v>
      </c>
      <c r="F889" s="825">
        <v>3122709</v>
      </c>
      <c r="G889" s="825">
        <v>14519955</v>
      </c>
      <c r="H889" s="825"/>
      <c r="I889" s="826">
        <v>272805</v>
      </c>
      <c r="J889" s="826">
        <v>12724109</v>
      </c>
      <c r="K889" s="826">
        <v>994487</v>
      </c>
      <c r="L889" s="825">
        <v>0</v>
      </c>
      <c r="M889" s="825"/>
      <c r="N889" s="826">
        <v>508796</v>
      </c>
      <c r="O889" s="826">
        <v>4696402</v>
      </c>
      <c r="P889" s="826">
        <v>0</v>
      </c>
      <c r="Q889" s="825">
        <v>526561</v>
      </c>
      <c r="R889" s="825"/>
      <c r="S889" s="826">
        <v>3880971</v>
      </c>
      <c r="T889" s="827">
        <v>-175139</v>
      </c>
      <c r="U889" s="827">
        <v>3705832</v>
      </c>
    </row>
    <row r="890" spans="1:21" x14ac:dyDescent="0.25">
      <c r="A890" s="822">
        <v>99812</v>
      </c>
      <c r="B890" s="823" t="s">
        <v>3452</v>
      </c>
      <c r="C890" s="824">
        <v>2.5599999999999999E-5</v>
      </c>
      <c r="D890" s="824">
        <v>2.7399999999999999E-5</v>
      </c>
      <c r="E890" s="825">
        <v>18003</v>
      </c>
      <c r="F890" s="825">
        <v>12297</v>
      </c>
      <c r="G890" s="825">
        <v>54332</v>
      </c>
      <c r="H890" s="825"/>
      <c r="I890" s="826">
        <v>1020.8</v>
      </c>
      <c r="J890" s="826">
        <v>47612</v>
      </c>
      <c r="K890" s="826">
        <v>3721</v>
      </c>
      <c r="L890" s="825">
        <v>8899</v>
      </c>
      <c r="M890" s="825"/>
      <c r="N890" s="826">
        <v>1904</v>
      </c>
      <c r="O890" s="826">
        <v>17573</v>
      </c>
      <c r="P890" s="826">
        <v>0</v>
      </c>
      <c r="Q890" s="825">
        <v>0</v>
      </c>
      <c r="R890" s="825"/>
      <c r="S890" s="826">
        <v>14522</v>
      </c>
      <c r="T890" s="827">
        <v>2839</v>
      </c>
      <c r="U890" s="827">
        <v>17361</v>
      </c>
    </row>
    <row r="891" spans="1:21" x14ac:dyDescent="0.25">
      <c r="A891" s="822">
        <v>99818</v>
      </c>
      <c r="B891" s="823" t="s">
        <v>3453</v>
      </c>
      <c r="C891" s="824">
        <v>3.7700000000000002E-5</v>
      </c>
      <c r="D891" s="824">
        <v>4.4199999999999997E-5</v>
      </c>
      <c r="E891" s="825">
        <v>16175</v>
      </c>
      <c r="F891" s="825">
        <v>19837</v>
      </c>
      <c r="G891" s="825">
        <v>80012</v>
      </c>
      <c r="H891" s="825"/>
      <c r="I891" s="826">
        <v>1503</v>
      </c>
      <c r="J891" s="826">
        <v>70116</v>
      </c>
      <c r="K891" s="826">
        <v>5480</v>
      </c>
      <c r="L891" s="825">
        <v>5574</v>
      </c>
      <c r="M891" s="825"/>
      <c r="N891" s="826">
        <v>2804</v>
      </c>
      <c r="O891" s="826">
        <v>25879</v>
      </c>
      <c r="P891" s="826">
        <v>0</v>
      </c>
      <c r="Q891" s="825">
        <v>2988</v>
      </c>
      <c r="R891" s="825"/>
      <c r="S891" s="826">
        <v>21386</v>
      </c>
      <c r="T891" s="827">
        <v>1745</v>
      </c>
      <c r="U891" s="827">
        <v>23131</v>
      </c>
    </row>
    <row r="892" spans="1:21" x14ac:dyDescent="0.25">
      <c r="A892" s="822">
        <v>99821</v>
      </c>
      <c r="B892" s="823" t="s">
        <v>3454</v>
      </c>
      <c r="C892" s="824">
        <v>8.2899999999999996E-5</v>
      </c>
      <c r="D892" s="824">
        <v>8.42E-5</v>
      </c>
      <c r="E892" s="825">
        <v>42679.99</v>
      </c>
      <c r="F892" s="825">
        <v>37788</v>
      </c>
      <c r="G892" s="825">
        <v>175942</v>
      </c>
      <c r="H892" s="825"/>
      <c r="I892" s="826">
        <v>3306</v>
      </c>
      <c r="J892" s="826">
        <v>154181</v>
      </c>
      <c r="K892" s="826">
        <v>12050</v>
      </c>
      <c r="L892" s="825">
        <v>17868</v>
      </c>
      <c r="M892" s="825"/>
      <c r="N892" s="826">
        <v>6165</v>
      </c>
      <c r="O892" s="826">
        <v>56907</v>
      </c>
      <c r="P892" s="826">
        <v>0</v>
      </c>
      <c r="Q892" s="825">
        <v>860</v>
      </c>
      <c r="R892" s="825"/>
      <c r="S892" s="826">
        <v>47027</v>
      </c>
      <c r="T892" s="827">
        <v>7184</v>
      </c>
      <c r="U892" s="827">
        <v>54211</v>
      </c>
    </row>
    <row r="893" spans="1:21" x14ac:dyDescent="0.25">
      <c r="A893" s="822">
        <v>99831</v>
      </c>
      <c r="B893" s="823" t="s">
        <v>3455</v>
      </c>
      <c r="C893" s="824">
        <v>5.5899999999999997E-5</v>
      </c>
      <c r="D893" s="824">
        <v>5.0699999999999999E-5</v>
      </c>
      <c r="E893" s="825">
        <v>23539.8</v>
      </c>
      <c r="F893" s="825">
        <v>22754</v>
      </c>
      <c r="G893" s="825">
        <v>118639</v>
      </c>
      <c r="H893" s="825"/>
      <c r="I893" s="826">
        <v>2229</v>
      </c>
      <c r="J893" s="826">
        <v>103965</v>
      </c>
      <c r="K893" s="826">
        <v>8126</v>
      </c>
      <c r="L893" s="825">
        <v>3830</v>
      </c>
      <c r="M893" s="825"/>
      <c r="N893" s="826">
        <v>4157</v>
      </c>
      <c r="O893" s="826">
        <v>38373</v>
      </c>
      <c r="P893" s="826">
        <v>0</v>
      </c>
      <c r="Q893" s="825">
        <v>873</v>
      </c>
      <c r="R893" s="825"/>
      <c r="S893" s="826">
        <v>31710</v>
      </c>
      <c r="T893" s="827">
        <v>823</v>
      </c>
      <c r="U893" s="827">
        <v>32533</v>
      </c>
    </row>
    <row r="894" spans="1:21" x14ac:dyDescent="0.25">
      <c r="A894" s="822">
        <v>99841</v>
      </c>
      <c r="B894" s="823" t="s">
        <v>3456</v>
      </c>
      <c r="C894" s="824">
        <v>4.6E-5</v>
      </c>
      <c r="D894" s="824">
        <v>4.6699999999999997E-5</v>
      </c>
      <c r="E894" s="825">
        <v>18090.39</v>
      </c>
      <c r="F894" s="825">
        <v>20959</v>
      </c>
      <c r="G894" s="825">
        <v>97627.41</v>
      </c>
      <c r="H894" s="825"/>
      <c r="I894" s="826">
        <v>1834.25</v>
      </c>
      <c r="J894" s="826">
        <v>85553</v>
      </c>
      <c r="K894" s="826">
        <v>6687</v>
      </c>
      <c r="L894" s="825">
        <v>1970</v>
      </c>
      <c r="M894" s="825"/>
      <c r="N894" s="826">
        <v>3421</v>
      </c>
      <c r="O894" s="826">
        <v>31577</v>
      </c>
      <c r="P894" s="826">
        <v>0</v>
      </c>
      <c r="Q894" s="825">
        <v>3207</v>
      </c>
      <c r="R894" s="825"/>
      <c r="S894" s="826">
        <v>26094</v>
      </c>
      <c r="T894" s="827">
        <v>-661</v>
      </c>
      <c r="U894" s="827">
        <v>25434</v>
      </c>
    </row>
    <row r="895" spans="1:21" x14ac:dyDescent="0.25">
      <c r="A895" s="822">
        <v>99851</v>
      </c>
      <c r="B895" s="823" t="s">
        <v>3457</v>
      </c>
      <c r="C895" s="824">
        <v>2.1999999999999999E-5</v>
      </c>
      <c r="D895" s="824">
        <v>2.0299999999999999E-5</v>
      </c>
      <c r="E895" s="825">
        <v>6172</v>
      </c>
      <c r="F895" s="825">
        <v>9111</v>
      </c>
      <c r="G895" s="825">
        <v>46691</v>
      </c>
      <c r="H895" s="825"/>
      <c r="I895" s="826">
        <v>877.25</v>
      </c>
      <c r="J895" s="826">
        <v>40917</v>
      </c>
      <c r="K895" s="826">
        <v>3198</v>
      </c>
      <c r="L895" s="825">
        <v>221</v>
      </c>
      <c r="M895" s="825"/>
      <c r="N895" s="826">
        <v>1636</v>
      </c>
      <c r="O895" s="826">
        <v>15102</v>
      </c>
      <c r="P895" s="826">
        <v>0</v>
      </c>
      <c r="Q895" s="825">
        <v>1432</v>
      </c>
      <c r="R895" s="825"/>
      <c r="S895" s="826">
        <v>12480</v>
      </c>
      <c r="T895" s="827">
        <v>-310</v>
      </c>
      <c r="U895" s="827">
        <v>12170</v>
      </c>
    </row>
    <row r="896" spans="1:21" x14ac:dyDescent="0.25">
      <c r="A896" s="822">
        <v>99901</v>
      </c>
      <c r="B896" s="823" t="s">
        <v>3458</v>
      </c>
      <c r="C896" s="824">
        <v>1.6371999999999999E-3</v>
      </c>
      <c r="D896" s="824">
        <v>1.5259E-3</v>
      </c>
      <c r="E896" s="825">
        <v>635103.91</v>
      </c>
      <c r="F896" s="825">
        <v>684815</v>
      </c>
      <c r="G896" s="825">
        <v>3474687</v>
      </c>
      <c r="H896" s="825"/>
      <c r="I896" s="826">
        <v>65283.35</v>
      </c>
      <c r="J896" s="826">
        <v>3044933</v>
      </c>
      <c r="K896" s="826">
        <v>237985</v>
      </c>
      <c r="L896" s="825">
        <v>67178</v>
      </c>
      <c r="M896" s="825"/>
      <c r="N896" s="826">
        <v>121757</v>
      </c>
      <c r="O896" s="826">
        <v>1123869</v>
      </c>
      <c r="P896" s="826">
        <v>0</v>
      </c>
      <c r="Q896" s="825">
        <v>24162.58</v>
      </c>
      <c r="R896" s="825"/>
      <c r="S896" s="826">
        <v>928733</v>
      </c>
      <c r="T896" s="827">
        <v>8817</v>
      </c>
      <c r="U896" s="827">
        <v>937550</v>
      </c>
    </row>
    <row r="897" spans="1:21" x14ac:dyDescent="0.25">
      <c r="A897" s="822">
        <v>99911</v>
      </c>
      <c r="B897" s="823" t="s">
        <v>3459</v>
      </c>
      <c r="C897" s="824">
        <v>2.5520000000000002E-4</v>
      </c>
      <c r="D897" s="824">
        <v>2.766E-4</v>
      </c>
      <c r="E897" s="825">
        <v>106882</v>
      </c>
      <c r="F897" s="825">
        <v>124136</v>
      </c>
      <c r="G897" s="825">
        <v>541620</v>
      </c>
      <c r="H897" s="825"/>
      <c r="I897" s="826">
        <v>10176.1</v>
      </c>
      <c r="J897" s="826">
        <v>474632</v>
      </c>
      <c r="K897" s="826">
        <v>37096</v>
      </c>
      <c r="L897" s="825">
        <v>2863</v>
      </c>
      <c r="M897" s="825"/>
      <c r="N897" s="826">
        <v>18979</v>
      </c>
      <c r="O897" s="826">
        <v>175184</v>
      </c>
      <c r="P897" s="826">
        <v>0</v>
      </c>
      <c r="Q897" s="825">
        <v>20527</v>
      </c>
      <c r="R897" s="825"/>
      <c r="S897" s="826">
        <v>144767</v>
      </c>
      <c r="T897" s="827">
        <v>-6851</v>
      </c>
      <c r="U897" s="827">
        <v>137916</v>
      </c>
    </row>
    <row r="898" spans="1:21" x14ac:dyDescent="0.25">
      <c r="A898" s="822">
        <v>99921</v>
      </c>
      <c r="B898" s="823" t="s">
        <v>3460</v>
      </c>
      <c r="C898" s="829">
        <v>1.5129999999999999E-4</v>
      </c>
      <c r="D898" s="829">
        <v>1.3889999999999999E-4</v>
      </c>
      <c r="E898" s="825">
        <v>55802.77</v>
      </c>
      <c r="F898" s="825">
        <v>62337</v>
      </c>
      <c r="G898" s="830">
        <v>321109</v>
      </c>
      <c r="H898" s="830"/>
      <c r="I898" s="831">
        <v>6033</v>
      </c>
      <c r="J898" s="831">
        <v>281394</v>
      </c>
      <c r="K898" s="831">
        <v>21993</v>
      </c>
      <c r="L898" s="830">
        <v>4809</v>
      </c>
      <c r="M898" s="830"/>
      <c r="N898" s="831">
        <v>11252</v>
      </c>
      <c r="O898" s="831">
        <v>103861</v>
      </c>
      <c r="P898" s="831">
        <v>0</v>
      </c>
      <c r="Q898" s="830">
        <v>7353</v>
      </c>
      <c r="R898" s="830"/>
      <c r="S898" s="831">
        <v>85828</v>
      </c>
      <c r="T898" s="832">
        <v>-2145</v>
      </c>
      <c r="U898" s="832">
        <v>83683</v>
      </c>
    </row>
    <row r="899" spans="1:21" s="817" customFormat="1" x14ac:dyDescent="0.25">
      <c r="A899" s="822">
        <v>99931</v>
      </c>
      <c r="B899" s="833" t="s">
        <v>3461</v>
      </c>
      <c r="C899" s="834">
        <v>2.51E-5</v>
      </c>
      <c r="D899" s="834">
        <v>2.5700000000000001E-5</v>
      </c>
      <c r="E899" s="825">
        <v>9194.32</v>
      </c>
      <c r="F899" s="825">
        <v>11534</v>
      </c>
      <c r="G899" s="835">
        <v>53271</v>
      </c>
      <c r="H899" s="835"/>
      <c r="I899" s="835">
        <v>1000.8625</v>
      </c>
      <c r="J899" s="835">
        <v>46682</v>
      </c>
      <c r="K899" s="835">
        <v>3649</v>
      </c>
      <c r="L899" s="835">
        <v>0</v>
      </c>
      <c r="N899" s="835">
        <v>1867</v>
      </c>
      <c r="O899" s="835">
        <v>17230</v>
      </c>
      <c r="P899" s="836">
        <v>0</v>
      </c>
      <c r="Q899" s="835">
        <v>5581</v>
      </c>
      <c r="R899" s="835"/>
      <c r="S899" s="835">
        <v>14238</v>
      </c>
      <c r="T899" s="835">
        <v>-2038</v>
      </c>
      <c r="U899" s="835">
        <v>12201</v>
      </c>
    </row>
    <row r="900" spans="1:21" x14ac:dyDescent="0.25">
      <c r="A900" s="828">
        <v>99941</v>
      </c>
      <c r="B900" s="818" t="s">
        <v>3462</v>
      </c>
      <c r="C900" s="829">
        <v>7.8200000000000003E-5</v>
      </c>
      <c r="D900" s="829">
        <v>8.7899999999999995E-5</v>
      </c>
      <c r="E900" s="825">
        <v>27969.51</v>
      </c>
      <c r="F900" s="825">
        <v>39449</v>
      </c>
      <c r="G900" s="835">
        <v>165967</v>
      </c>
      <c r="H900" s="835"/>
      <c r="I900" s="835">
        <v>3118</v>
      </c>
      <c r="J900" s="835">
        <v>145440</v>
      </c>
      <c r="K900" s="835">
        <v>11367</v>
      </c>
      <c r="L900" s="835">
        <v>0</v>
      </c>
      <c r="N900" s="835">
        <v>5816</v>
      </c>
      <c r="O900" s="835">
        <v>53681</v>
      </c>
      <c r="P900" s="836">
        <v>0</v>
      </c>
      <c r="Q900" s="835">
        <v>11883</v>
      </c>
      <c r="R900" s="835"/>
      <c r="S900" s="835">
        <v>44360</v>
      </c>
      <c r="T900" s="835">
        <v>-3675</v>
      </c>
      <c r="U900" s="835">
        <v>40686</v>
      </c>
    </row>
    <row r="901" spans="1:21" x14ac:dyDescent="0.25">
      <c r="A901" s="828">
        <v>99991</v>
      </c>
      <c r="B901" s="818" t="s">
        <v>3463</v>
      </c>
      <c r="C901" s="829">
        <v>5.6990000000000003E-4</v>
      </c>
      <c r="D901" s="829">
        <v>5.1539999999999995E-4</v>
      </c>
      <c r="E901" s="825">
        <v>214761.88</v>
      </c>
      <c r="F901" s="825">
        <v>231308</v>
      </c>
      <c r="G901" s="835">
        <v>1209519</v>
      </c>
      <c r="H901" s="835"/>
      <c r="I901" s="835">
        <v>22725</v>
      </c>
      <c r="J901" s="835">
        <v>1059924</v>
      </c>
      <c r="K901" s="835">
        <v>82841</v>
      </c>
      <c r="L901" s="835">
        <v>48305</v>
      </c>
      <c r="N901" s="835">
        <v>42383</v>
      </c>
      <c r="O901" s="835">
        <v>391212</v>
      </c>
      <c r="P901" s="836">
        <v>0</v>
      </c>
      <c r="Q901" s="835">
        <v>0</v>
      </c>
      <c r="R901" s="835"/>
      <c r="S901" s="835">
        <v>323287</v>
      </c>
      <c r="T901" s="835">
        <v>19414</v>
      </c>
      <c r="U901" s="835">
        <v>342701</v>
      </c>
    </row>
    <row r="902" spans="1:21" x14ac:dyDescent="0.25">
      <c r="A902" s="828">
        <v>99999</v>
      </c>
      <c r="B902" s="818" t="s">
        <v>3464</v>
      </c>
      <c r="C902" s="829">
        <v>1.0101000000000001E-3</v>
      </c>
      <c r="D902" s="829">
        <v>9.3599999999999998E-4</v>
      </c>
      <c r="E902" s="825">
        <v>441362</v>
      </c>
      <c r="F902" s="825">
        <v>420071</v>
      </c>
      <c r="G902" s="835">
        <v>2143771</v>
      </c>
      <c r="H902" s="835"/>
      <c r="I902" s="835">
        <v>40278</v>
      </c>
      <c r="J902" s="835">
        <v>1878626</v>
      </c>
      <c r="K902" s="835">
        <v>146829</v>
      </c>
      <c r="L902" s="835">
        <v>111413</v>
      </c>
      <c r="N902" s="835">
        <v>75120</v>
      </c>
      <c r="O902" s="835">
        <v>693391</v>
      </c>
      <c r="P902" s="836">
        <v>0</v>
      </c>
      <c r="Q902" s="835">
        <v>43600.9</v>
      </c>
      <c r="R902" s="835"/>
      <c r="S902" s="835">
        <v>572998</v>
      </c>
      <c r="T902" s="835">
        <v>11793</v>
      </c>
      <c r="U902" s="835">
        <v>584791</v>
      </c>
    </row>
    <row r="903" spans="1:21" x14ac:dyDescent="0.25">
      <c r="A903" s="780" t="s">
        <v>2553</v>
      </c>
      <c r="B903" s="781" t="s">
        <v>2552</v>
      </c>
      <c r="C903" s="824">
        <v>2.6160000000000002E-4</v>
      </c>
      <c r="D903" s="824">
        <v>2.9179999999999999E-4</v>
      </c>
      <c r="E903" s="825">
        <v>124242</v>
      </c>
      <c r="F903" s="825">
        <v>130958</v>
      </c>
      <c r="G903" s="825">
        <v>555203</v>
      </c>
      <c r="H903" s="825"/>
      <c r="I903" s="826">
        <v>10431</v>
      </c>
      <c r="J903" s="826">
        <v>486535</v>
      </c>
      <c r="K903" s="826">
        <v>38026</v>
      </c>
      <c r="L903" s="825">
        <v>2390</v>
      </c>
      <c r="M903" s="825"/>
      <c r="N903" s="826">
        <v>19455</v>
      </c>
      <c r="O903" s="826">
        <v>179577</v>
      </c>
      <c r="P903" s="826">
        <v>0</v>
      </c>
      <c r="Q903" s="825">
        <v>5043</v>
      </c>
      <c r="R903" s="825"/>
      <c r="S903" s="826">
        <v>148398</v>
      </c>
      <c r="T903" s="827">
        <v>-926</v>
      </c>
      <c r="U903" s="827">
        <v>147472</v>
      </c>
    </row>
    <row r="904" spans="1:21" x14ac:dyDescent="0.25">
      <c r="B904" s="837" t="s">
        <v>2061</v>
      </c>
      <c r="C904" s="838">
        <f>SUM(C4:C902)</f>
        <v>1</v>
      </c>
      <c r="D904" s="838">
        <f>SUM(D4:D902)</f>
        <v>1</v>
      </c>
      <c r="E904" s="839">
        <f>SUM(E4:E902)</f>
        <v>411243363</v>
      </c>
      <c r="F904" s="839">
        <f>SUM(F4:F902)</f>
        <v>448793979</v>
      </c>
      <c r="G904" s="839">
        <f>SUM(G4:G902)</f>
        <v>2122335002</v>
      </c>
      <c r="H904" s="839"/>
      <c r="I904" s="839">
        <f>SUM(I4:I902)</f>
        <v>39875005</v>
      </c>
      <c r="J904" s="839">
        <f>SUM(J4:J902)</f>
        <v>1859842000</v>
      </c>
      <c r="K904" s="839">
        <f>SUM(K4:K902)</f>
        <v>145360990</v>
      </c>
      <c r="L904" s="839">
        <f>SUM(L4:L902)</f>
        <v>47059867</v>
      </c>
      <c r="M904" s="839"/>
      <c r="N904" s="839">
        <f>SUM(N4:N902)</f>
        <v>74369003</v>
      </c>
      <c r="O904" s="839">
        <f>SUM(O4:O902)</f>
        <v>686457998</v>
      </c>
      <c r="P904" s="839">
        <f>SUM(P4:P902)</f>
        <v>0</v>
      </c>
      <c r="Q904" s="839">
        <f>SUM(Q4:Q902)</f>
        <v>47059539</v>
      </c>
      <c r="R904" s="839"/>
      <c r="S904" s="839">
        <f>SUM(S4:S902)</f>
        <v>567268993</v>
      </c>
      <c r="T904" s="839">
        <f>SUM(T4:T902)</f>
        <v>95</v>
      </c>
      <c r="U904" s="839">
        <f>SUM(U4:U902)</f>
        <v>567269105</v>
      </c>
    </row>
    <row r="905" spans="1:21" x14ac:dyDescent="0.25">
      <c r="G905" s="840"/>
      <c r="H905" s="840"/>
      <c r="I905" s="840"/>
      <c r="J905" s="840"/>
      <c r="K905" s="840"/>
      <c r="L905" s="840"/>
      <c r="M905" s="840"/>
      <c r="N905" s="840"/>
      <c r="O905" s="840"/>
      <c r="P905" s="840"/>
      <c r="Q905" s="840"/>
      <c r="R905" s="840"/>
      <c r="S905" s="840"/>
      <c r="T905" s="840"/>
      <c r="U905" s="840"/>
    </row>
    <row r="906" spans="1:21" x14ac:dyDescent="0.25">
      <c r="G906" s="841"/>
      <c r="H906" s="841"/>
      <c r="I906" s="841"/>
      <c r="J906" s="841"/>
      <c r="K906" s="841"/>
      <c r="L906" s="841"/>
      <c r="M906" s="841"/>
      <c r="N906" s="841"/>
      <c r="O906" s="841"/>
      <c r="P906" s="841"/>
      <c r="Q906" s="841"/>
      <c r="R906" s="841"/>
      <c r="S906" s="841"/>
      <c r="T906" s="841"/>
      <c r="U906" s="841"/>
    </row>
    <row r="907" spans="1:21" x14ac:dyDescent="0.25">
      <c r="B907" s="818" t="s">
        <v>2121</v>
      </c>
      <c r="C907" s="820" t="s">
        <v>487</v>
      </c>
    </row>
    <row r="908" spans="1:21" x14ac:dyDescent="0.25">
      <c r="B908" s="818" t="s">
        <v>1733</v>
      </c>
      <c r="C908" s="822">
        <v>96331</v>
      </c>
    </row>
    <row r="909" spans="1:21" x14ac:dyDescent="0.25">
      <c r="B909" s="818" t="s">
        <v>1608</v>
      </c>
      <c r="C909" s="822">
        <v>94611</v>
      </c>
    </row>
    <row r="910" spans="1:21" x14ac:dyDescent="0.25">
      <c r="B910" s="818" t="s">
        <v>1486</v>
      </c>
      <c r="C910" s="822">
        <v>93402</v>
      </c>
      <c r="G910" s="817"/>
      <c r="H910" s="817"/>
      <c r="I910" s="817"/>
      <c r="J910" s="817"/>
      <c r="K910" s="817"/>
      <c r="L910" s="817"/>
      <c r="M910" s="817"/>
      <c r="N910" s="817"/>
      <c r="O910" s="817"/>
      <c r="P910" s="817"/>
      <c r="Q910" s="817"/>
      <c r="R910" s="817"/>
      <c r="S910" s="817"/>
      <c r="T910" s="817"/>
      <c r="U910" s="817"/>
    </row>
    <row r="911" spans="1:21" x14ac:dyDescent="0.25">
      <c r="B911" s="818" t="s">
        <v>1551</v>
      </c>
      <c r="C911" s="822">
        <v>94109</v>
      </c>
      <c r="D911" s="842"/>
      <c r="E911" s="842"/>
      <c r="F911" s="842"/>
    </row>
    <row r="912" spans="1:21" x14ac:dyDescent="0.25">
      <c r="B912" s="818" t="s">
        <v>1180</v>
      </c>
      <c r="C912" s="822">
        <v>90101</v>
      </c>
      <c r="D912" s="842"/>
      <c r="E912" s="842"/>
      <c r="F912" s="842"/>
    </row>
    <row r="913" spans="2:6" x14ac:dyDescent="0.25">
      <c r="B913" s="818" t="s">
        <v>3465</v>
      </c>
      <c r="C913" s="822">
        <v>90117</v>
      </c>
      <c r="D913" s="842"/>
      <c r="E913" s="842"/>
      <c r="F913" s="842"/>
    </row>
    <row r="914" spans="2:6" x14ac:dyDescent="0.25">
      <c r="B914" s="818" t="s">
        <v>1187</v>
      </c>
      <c r="C914" s="822">
        <v>90151</v>
      </c>
      <c r="D914" s="842"/>
      <c r="E914" s="842"/>
      <c r="F914" s="842"/>
    </row>
    <row r="915" spans="2:6" x14ac:dyDescent="0.25">
      <c r="B915" s="818" t="s">
        <v>1935</v>
      </c>
      <c r="C915" s="822">
        <v>98417</v>
      </c>
      <c r="D915" s="842"/>
      <c r="E915" s="842"/>
      <c r="F915" s="842"/>
    </row>
    <row r="916" spans="2:6" x14ac:dyDescent="0.25">
      <c r="B916" s="818" t="s">
        <v>1795</v>
      </c>
      <c r="C916" s="822">
        <v>97008</v>
      </c>
      <c r="D916" s="842"/>
      <c r="E916" s="842"/>
      <c r="F916" s="842"/>
    </row>
    <row r="917" spans="2:6" x14ac:dyDescent="0.25">
      <c r="B917" s="818" t="s">
        <v>1796</v>
      </c>
      <c r="C917" s="822">
        <v>97010</v>
      </c>
      <c r="D917" s="842"/>
      <c r="E917" s="842"/>
      <c r="F917" s="842"/>
    </row>
    <row r="918" spans="2:6" x14ac:dyDescent="0.25">
      <c r="B918" s="818" t="s">
        <v>3466</v>
      </c>
      <c r="C918" s="822">
        <v>90096</v>
      </c>
      <c r="D918" s="842"/>
      <c r="E918" s="842"/>
      <c r="F918" s="842"/>
    </row>
    <row r="919" spans="2:6" x14ac:dyDescent="0.25">
      <c r="B919" s="818" t="s">
        <v>1229</v>
      </c>
      <c r="C919" s="822">
        <v>90805</v>
      </c>
      <c r="D919" s="842"/>
      <c r="E919" s="842"/>
      <c r="F919" s="842"/>
    </row>
    <row r="920" spans="2:6" x14ac:dyDescent="0.25">
      <c r="B920" s="818" t="s">
        <v>1373</v>
      </c>
      <c r="C920" s="822">
        <v>92109</v>
      </c>
      <c r="D920" s="842"/>
      <c r="E920" s="842"/>
      <c r="F920" s="842"/>
    </row>
    <row r="921" spans="2:6" x14ac:dyDescent="0.25">
      <c r="B921" s="818" t="s">
        <v>1934</v>
      </c>
      <c r="C921" s="822">
        <v>98411</v>
      </c>
      <c r="D921" s="842"/>
      <c r="E921" s="842"/>
      <c r="F921" s="842"/>
    </row>
    <row r="922" spans="2:6" x14ac:dyDescent="0.25">
      <c r="B922" s="818" t="s">
        <v>1189</v>
      </c>
      <c r="C922" s="822">
        <v>90201</v>
      </c>
      <c r="D922" s="842"/>
      <c r="E922" s="842"/>
      <c r="F922" s="842"/>
    </row>
    <row r="923" spans="2:6" x14ac:dyDescent="0.25">
      <c r="B923" s="818" t="s">
        <v>1190</v>
      </c>
      <c r="C923" s="822">
        <v>90203</v>
      </c>
      <c r="D923" s="842"/>
      <c r="E923" s="842"/>
      <c r="F923" s="842"/>
    </row>
    <row r="924" spans="2:6" x14ac:dyDescent="0.25">
      <c r="B924" s="818" t="s">
        <v>1191</v>
      </c>
      <c r="C924" s="822">
        <v>90205</v>
      </c>
    </row>
    <row r="925" spans="2:6" x14ac:dyDescent="0.25">
      <c r="B925" s="818" t="s">
        <v>1192</v>
      </c>
      <c r="C925" s="822">
        <v>90206</v>
      </c>
      <c r="D925" s="842"/>
      <c r="E925" s="842"/>
      <c r="F925" s="842"/>
    </row>
    <row r="926" spans="2:6" x14ac:dyDescent="0.25">
      <c r="B926" s="818" t="s">
        <v>1194</v>
      </c>
      <c r="C926" s="822">
        <v>90301</v>
      </c>
    </row>
    <row r="927" spans="2:6" x14ac:dyDescent="0.25">
      <c r="B927" s="818" t="s">
        <v>1469</v>
      </c>
      <c r="C927" s="822">
        <v>93209</v>
      </c>
      <c r="D927" s="842"/>
      <c r="E927" s="842"/>
      <c r="F927" s="842"/>
    </row>
    <row r="928" spans="2:6" x14ac:dyDescent="0.25">
      <c r="B928" s="818" t="s">
        <v>1370</v>
      </c>
      <c r="C928" s="822">
        <v>92021</v>
      </c>
    </row>
    <row r="929" spans="2:3" x14ac:dyDescent="0.25">
      <c r="B929" s="818" t="s">
        <v>1582</v>
      </c>
      <c r="C929" s="822">
        <v>94347</v>
      </c>
    </row>
    <row r="930" spans="2:3" x14ac:dyDescent="0.25">
      <c r="B930" s="818" t="s">
        <v>1583</v>
      </c>
      <c r="C930" s="822">
        <v>94351</v>
      </c>
    </row>
    <row r="931" spans="2:3" x14ac:dyDescent="0.25">
      <c r="B931" s="818" t="s">
        <v>1197</v>
      </c>
      <c r="C931" s="822">
        <v>90401</v>
      </c>
    </row>
    <row r="932" spans="2:3" x14ac:dyDescent="0.25">
      <c r="B932" s="818" t="s">
        <v>1204</v>
      </c>
      <c r="C932" s="822">
        <v>90451</v>
      </c>
    </row>
    <row r="933" spans="2:3" x14ac:dyDescent="0.25">
      <c r="B933" s="818" t="s">
        <v>2003</v>
      </c>
      <c r="C933" s="822">
        <v>99271</v>
      </c>
    </row>
    <row r="934" spans="2:3" x14ac:dyDescent="0.25">
      <c r="B934" s="818" t="s">
        <v>1179</v>
      </c>
      <c r="C934" s="822">
        <v>90099</v>
      </c>
    </row>
    <row r="935" spans="2:3" x14ac:dyDescent="0.25">
      <c r="B935" s="818" t="s">
        <v>2039</v>
      </c>
      <c r="C935" s="822">
        <v>99705</v>
      </c>
    </row>
    <row r="936" spans="2:3" x14ac:dyDescent="0.25">
      <c r="B936" s="818" t="s">
        <v>1847</v>
      </c>
      <c r="C936" s="822">
        <v>97651</v>
      </c>
    </row>
    <row r="937" spans="2:3" x14ac:dyDescent="0.25">
      <c r="B937" s="818" t="s">
        <v>1638</v>
      </c>
      <c r="C937" s="822">
        <v>95106</v>
      </c>
    </row>
    <row r="938" spans="2:3" x14ac:dyDescent="0.25">
      <c r="B938" s="818" t="s">
        <v>1206</v>
      </c>
      <c r="C938" s="822">
        <v>90501</v>
      </c>
    </row>
    <row r="939" spans="2:3" x14ac:dyDescent="0.25">
      <c r="B939" s="818" t="s">
        <v>1838</v>
      </c>
      <c r="C939" s="822">
        <v>97607</v>
      </c>
    </row>
    <row r="940" spans="2:3" x14ac:dyDescent="0.25">
      <c r="B940" s="818" t="s">
        <v>1840</v>
      </c>
      <c r="C940" s="822">
        <v>97613</v>
      </c>
    </row>
    <row r="941" spans="2:3" x14ac:dyDescent="0.25">
      <c r="B941" s="818" t="s">
        <v>1839</v>
      </c>
      <c r="C941" s="822">
        <v>97611</v>
      </c>
    </row>
    <row r="942" spans="2:3" x14ac:dyDescent="0.25">
      <c r="B942" s="818" t="s">
        <v>1282</v>
      </c>
      <c r="C942" s="822">
        <v>91127</v>
      </c>
    </row>
    <row r="943" spans="2:3" x14ac:dyDescent="0.25">
      <c r="B943" s="818" t="s">
        <v>1283</v>
      </c>
      <c r="C943" s="822">
        <v>91128</v>
      </c>
    </row>
    <row r="944" spans="2:3" x14ac:dyDescent="0.25">
      <c r="B944" s="818" t="s">
        <v>1281</v>
      </c>
      <c r="C944" s="822">
        <v>91121</v>
      </c>
    </row>
    <row r="945" spans="2:3" x14ac:dyDescent="0.25">
      <c r="B945" s="818" t="s">
        <v>1339</v>
      </c>
      <c r="C945" s="822">
        <v>91681</v>
      </c>
    </row>
    <row r="946" spans="2:3" x14ac:dyDescent="0.25">
      <c r="B946" s="818" t="s">
        <v>1231</v>
      </c>
      <c r="C946" s="822">
        <v>90811</v>
      </c>
    </row>
    <row r="947" spans="2:3" x14ac:dyDescent="0.25">
      <c r="B947" s="818" t="s">
        <v>1223</v>
      </c>
      <c r="C947" s="822">
        <v>90721</v>
      </c>
    </row>
    <row r="948" spans="2:3" x14ac:dyDescent="0.25">
      <c r="B948" s="818" t="s">
        <v>1925</v>
      </c>
      <c r="C948" s="822">
        <v>98271</v>
      </c>
    </row>
    <row r="949" spans="2:3" x14ac:dyDescent="0.25">
      <c r="B949" s="818" t="s">
        <v>1210</v>
      </c>
      <c r="C949" s="822">
        <v>90601</v>
      </c>
    </row>
    <row r="950" spans="2:3" x14ac:dyDescent="0.25">
      <c r="B950" s="818" t="s">
        <v>2122</v>
      </c>
      <c r="C950" s="822">
        <v>90602</v>
      </c>
    </row>
    <row r="951" spans="2:3" x14ac:dyDescent="0.25">
      <c r="B951" s="818" t="s">
        <v>1211</v>
      </c>
      <c r="C951" s="822">
        <v>90605</v>
      </c>
    </row>
    <row r="952" spans="2:3" x14ac:dyDescent="0.25">
      <c r="B952" s="818" t="s">
        <v>1829</v>
      </c>
      <c r="C952" s="822">
        <v>97463</v>
      </c>
    </row>
    <row r="953" spans="2:3" x14ac:dyDescent="0.25">
      <c r="B953" s="818" t="s">
        <v>1828</v>
      </c>
      <c r="C953" s="822">
        <v>97461</v>
      </c>
    </row>
    <row r="954" spans="2:3" x14ac:dyDescent="0.25">
      <c r="B954" s="818" t="s">
        <v>1220</v>
      </c>
      <c r="C954" s="822">
        <v>90705</v>
      </c>
    </row>
    <row r="955" spans="2:3" x14ac:dyDescent="0.25">
      <c r="B955" s="818" t="s">
        <v>1940</v>
      </c>
      <c r="C955" s="822">
        <v>98451</v>
      </c>
    </row>
    <row r="956" spans="2:3" x14ac:dyDescent="0.25">
      <c r="B956" s="818" t="s">
        <v>1747</v>
      </c>
      <c r="C956" s="822">
        <v>96451</v>
      </c>
    </row>
    <row r="957" spans="2:3" x14ac:dyDescent="0.25">
      <c r="B957" s="818" t="s">
        <v>1717</v>
      </c>
      <c r="C957" s="822">
        <v>96121</v>
      </c>
    </row>
    <row r="958" spans="2:3" x14ac:dyDescent="0.25">
      <c r="B958" s="818" t="s">
        <v>1271</v>
      </c>
      <c r="C958" s="822">
        <v>91091</v>
      </c>
    </row>
    <row r="959" spans="2:3" x14ac:dyDescent="0.25">
      <c r="B959" s="818" t="s">
        <v>1212</v>
      </c>
      <c r="C959" s="822">
        <v>90611</v>
      </c>
    </row>
    <row r="960" spans="2:3" x14ac:dyDescent="0.25">
      <c r="B960" s="818" t="s">
        <v>1790</v>
      </c>
      <c r="C960" s="822">
        <v>96918</v>
      </c>
    </row>
    <row r="961" spans="2:3" x14ac:dyDescent="0.25">
      <c r="B961" s="818" t="s">
        <v>1788</v>
      </c>
      <c r="C961" s="822">
        <v>96911</v>
      </c>
    </row>
    <row r="962" spans="2:3" x14ac:dyDescent="0.25">
      <c r="B962" s="818" t="s">
        <v>1990</v>
      </c>
      <c r="C962" s="822">
        <v>99208</v>
      </c>
    </row>
    <row r="963" spans="2:3" x14ac:dyDescent="0.25">
      <c r="B963" s="818" t="s">
        <v>1218</v>
      </c>
      <c r="C963" s="822">
        <v>90701</v>
      </c>
    </row>
    <row r="964" spans="2:3" x14ac:dyDescent="0.25">
      <c r="B964" s="818" t="s">
        <v>1219</v>
      </c>
      <c r="C964" s="822">
        <v>90704</v>
      </c>
    </row>
    <row r="965" spans="2:3" x14ac:dyDescent="0.25">
      <c r="B965" s="818" t="s">
        <v>1334</v>
      </c>
      <c r="C965" s="822">
        <v>91633</v>
      </c>
    </row>
    <row r="966" spans="2:3" x14ac:dyDescent="0.25">
      <c r="B966" s="818" t="s">
        <v>1333</v>
      </c>
      <c r="C966" s="822">
        <v>91631</v>
      </c>
    </row>
    <row r="967" spans="2:3" x14ac:dyDescent="0.25">
      <c r="B967" s="818" t="s">
        <v>1215</v>
      </c>
      <c r="C967" s="822">
        <v>90631</v>
      </c>
    </row>
    <row r="968" spans="2:3" x14ac:dyDescent="0.25">
      <c r="B968" s="818" t="s">
        <v>1224</v>
      </c>
      <c r="C968" s="822">
        <v>90731</v>
      </c>
    </row>
    <row r="969" spans="2:3" x14ac:dyDescent="0.25">
      <c r="B969" s="818" t="s">
        <v>1515</v>
      </c>
      <c r="C969" s="822">
        <v>93623</v>
      </c>
    </row>
    <row r="970" spans="2:3" x14ac:dyDescent="0.25">
      <c r="B970" s="818" t="s">
        <v>1514</v>
      </c>
      <c r="C970" s="822">
        <v>93621</v>
      </c>
    </row>
    <row r="971" spans="2:3" x14ac:dyDescent="0.25">
      <c r="B971" s="818" t="s">
        <v>1255</v>
      </c>
      <c r="C971" s="822">
        <v>91020</v>
      </c>
    </row>
    <row r="972" spans="2:3" x14ac:dyDescent="0.25">
      <c r="B972" s="818" t="s">
        <v>1635</v>
      </c>
      <c r="C972" s="822">
        <v>95103</v>
      </c>
    </row>
    <row r="973" spans="2:3" x14ac:dyDescent="0.25">
      <c r="B973" s="818" t="s">
        <v>1646</v>
      </c>
      <c r="C973" s="822">
        <v>95141</v>
      </c>
    </row>
    <row r="974" spans="2:3" x14ac:dyDescent="0.25">
      <c r="B974" s="818" t="s">
        <v>1449</v>
      </c>
      <c r="C974" s="822">
        <v>93021</v>
      </c>
    </row>
    <row r="975" spans="2:3" x14ac:dyDescent="0.25">
      <c r="B975" s="818" t="s">
        <v>1227</v>
      </c>
      <c r="C975" s="822">
        <v>90801</v>
      </c>
    </row>
    <row r="976" spans="2:3" x14ac:dyDescent="0.25">
      <c r="B976" s="818" t="s">
        <v>1228</v>
      </c>
      <c r="C976" s="822">
        <v>90804</v>
      </c>
    </row>
    <row r="977" spans="2:3" x14ac:dyDescent="0.25">
      <c r="B977" s="818" t="s">
        <v>1230</v>
      </c>
      <c r="C977" s="822">
        <v>90808</v>
      </c>
    </row>
    <row r="978" spans="2:3" x14ac:dyDescent="0.25">
      <c r="B978" s="818" t="s">
        <v>1522</v>
      </c>
      <c r="C978" s="822">
        <v>93677</v>
      </c>
    </row>
    <row r="979" spans="2:3" x14ac:dyDescent="0.25">
      <c r="B979" s="818" t="s">
        <v>1521</v>
      </c>
      <c r="C979" s="822">
        <v>93671</v>
      </c>
    </row>
    <row r="980" spans="2:3" x14ac:dyDescent="0.25">
      <c r="B980" s="818" t="s">
        <v>1826</v>
      </c>
      <c r="C980" s="822">
        <v>97441</v>
      </c>
    </row>
    <row r="981" spans="2:3" x14ac:dyDescent="0.25">
      <c r="B981" s="818" t="s">
        <v>1454</v>
      </c>
      <c r="C981" s="822">
        <v>93111</v>
      </c>
    </row>
    <row r="982" spans="2:3" x14ac:dyDescent="0.25">
      <c r="B982" s="818" t="s">
        <v>1278</v>
      </c>
      <c r="C982" s="822">
        <v>91111</v>
      </c>
    </row>
    <row r="983" spans="2:3" x14ac:dyDescent="0.25">
      <c r="B983" s="818" t="s">
        <v>1722</v>
      </c>
      <c r="C983" s="822">
        <v>96231</v>
      </c>
    </row>
    <row r="984" spans="2:3" x14ac:dyDescent="0.25">
      <c r="B984" s="818" t="s">
        <v>2051</v>
      </c>
      <c r="C984" s="822">
        <v>99831</v>
      </c>
    </row>
    <row r="985" spans="2:3" x14ac:dyDescent="0.25">
      <c r="B985" s="818" t="s">
        <v>1288</v>
      </c>
      <c r="C985" s="822">
        <v>91154</v>
      </c>
    </row>
    <row r="986" spans="2:3" x14ac:dyDescent="0.25">
      <c r="B986" s="818" t="s">
        <v>1287</v>
      </c>
      <c r="C986" s="822">
        <v>91151</v>
      </c>
    </row>
    <row r="987" spans="2:3" x14ac:dyDescent="0.25">
      <c r="B987" s="818" t="s">
        <v>1235</v>
      </c>
      <c r="C987" s="822">
        <v>90901</v>
      </c>
    </row>
    <row r="988" spans="2:3" x14ac:dyDescent="0.25">
      <c r="B988" s="818" t="s">
        <v>1241</v>
      </c>
      <c r="C988" s="822">
        <v>90941</v>
      </c>
    </row>
    <row r="989" spans="2:3" x14ac:dyDescent="0.25">
      <c r="B989" s="818" t="s">
        <v>2023</v>
      </c>
      <c r="C989" s="822">
        <v>99527</v>
      </c>
    </row>
    <row r="990" spans="2:3" x14ac:dyDescent="0.25">
      <c r="B990" s="818" t="s">
        <v>2019</v>
      </c>
      <c r="C990" s="822">
        <v>99508</v>
      </c>
    </row>
    <row r="991" spans="2:3" x14ac:dyDescent="0.25">
      <c r="B991" s="818" t="s">
        <v>2022</v>
      </c>
      <c r="C991" s="822">
        <v>99521</v>
      </c>
    </row>
    <row r="992" spans="2:3" x14ac:dyDescent="0.25">
      <c r="B992" s="818" t="s">
        <v>1601</v>
      </c>
      <c r="C992" s="822">
        <v>94532</v>
      </c>
    </row>
    <row r="993" spans="2:3" x14ac:dyDescent="0.25">
      <c r="B993" s="818" t="s">
        <v>1269</v>
      </c>
      <c r="C993" s="822">
        <v>91077</v>
      </c>
    </row>
    <row r="994" spans="2:3" x14ac:dyDescent="0.25">
      <c r="B994" s="818" t="s">
        <v>1268</v>
      </c>
      <c r="C994" s="822">
        <v>91071</v>
      </c>
    </row>
    <row r="995" spans="2:3" x14ac:dyDescent="0.25">
      <c r="B995" s="818" t="s">
        <v>1383</v>
      </c>
      <c r="C995" s="822">
        <v>92331</v>
      </c>
    </row>
    <row r="996" spans="2:3" x14ac:dyDescent="0.25">
      <c r="B996" s="818" t="s">
        <v>2021</v>
      </c>
      <c r="C996" s="822">
        <v>99511</v>
      </c>
    </row>
    <row r="997" spans="2:3" x14ac:dyDescent="0.25">
      <c r="B997" s="818" t="s">
        <v>2058</v>
      </c>
      <c r="C997" s="828">
        <v>99941</v>
      </c>
    </row>
    <row r="998" spans="2:3" x14ac:dyDescent="0.25">
      <c r="B998" s="818" t="s">
        <v>1742</v>
      </c>
      <c r="C998" s="822">
        <v>96405</v>
      </c>
    </row>
    <row r="999" spans="2:3" x14ac:dyDescent="0.25">
      <c r="B999" s="818" t="s">
        <v>1961</v>
      </c>
      <c r="C999" s="822">
        <v>98817</v>
      </c>
    </row>
    <row r="1000" spans="2:3" x14ac:dyDescent="0.25">
      <c r="B1000" s="818" t="s">
        <v>1960</v>
      </c>
      <c r="C1000" s="822">
        <v>98811</v>
      </c>
    </row>
    <row r="1001" spans="2:3" x14ac:dyDescent="0.25">
      <c r="B1001" s="818" t="s">
        <v>1411</v>
      </c>
      <c r="C1001" s="822">
        <v>92561</v>
      </c>
    </row>
    <row r="1002" spans="2:3" x14ac:dyDescent="0.25">
      <c r="B1002" s="818" t="s">
        <v>1904</v>
      </c>
      <c r="C1002" s="822">
        <v>98102</v>
      </c>
    </row>
    <row r="1003" spans="2:3" x14ac:dyDescent="0.25">
      <c r="B1003" s="818" t="s">
        <v>1660</v>
      </c>
      <c r="C1003" s="822">
        <v>95321</v>
      </c>
    </row>
    <row r="1004" spans="2:3" x14ac:dyDescent="0.25">
      <c r="B1004" s="818" t="s">
        <v>1356</v>
      </c>
      <c r="C1004" s="822">
        <v>91861</v>
      </c>
    </row>
    <row r="1005" spans="2:3" x14ac:dyDescent="0.25">
      <c r="B1005" s="818" t="s">
        <v>1242</v>
      </c>
      <c r="C1005" s="822">
        <v>91001</v>
      </c>
    </row>
    <row r="1006" spans="2:3" x14ac:dyDescent="0.25">
      <c r="B1006" s="818" t="s">
        <v>1245</v>
      </c>
      <c r="C1006" s="822">
        <v>91004</v>
      </c>
    </row>
    <row r="1007" spans="2:3" x14ac:dyDescent="0.25">
      <c r="B1007" s="818" t="s">
        <v>3467</v>
      </c>
      <c r="C1007" s="822">
        <v>91006</v>
      </c>
    </row>
    <row r="1008" spans="2:3" x14ac:dyDescent="0.25">
      <c r="B1008" s="818" t="s">
        <v>1244</v>
      </c>
      <c r="C1008" s="822">
        <v>91003</v>
      </c>
    </row>
    <row r="1009" spans="2:3" x14ac:dyDescent="0.25">
      <c r="B1009" s="818" t="s">
        <v>1249</v>
      </c>
      <c r="C1009" s="822">
        <v>91009</v>
      </c>
    </row>
    <row r="1010" spans="2:3" x14ac:dyDescent="0.25">
      <c r="B1010" s="818" t="s">
        <v>3468</v>
      </c>
      <c r="C1010" s="822">
        <v>91042</v>
      </c>
    </row>
    <row r="1011" spans="2:3" x14ac:dyDescent="0.25">
      <c r="B1011" s="818" t="s">
        <v>1391</v>
      </c>
      <c r="C1011" s="822">
        <v>92421</v>
      </c>
    </row>
    <row r="1012" spans="2:3" x14ac:dyDescent="0.25">
      <c r="B1012" s="818" t="s">
        <v>1958</v>
      </c>
      <c r="C1012" s="822">
        <v>98717</v>
      </c>
    </row>
    <row r="1013" spans="2:3" x14ac:dyDescent="0.25">
      <c r="B1013" s="818" t="s">
        <v>1957</v>
      </c>
      <c r="C1013" s="822">
        <v>98711</v>
      </c>
    </row>
    <row r="1014" spans="2:3" x14ac:dyDescent="0.25">
      <c r="B1014" s="818" t="s">
        <v>1272</v>
      </c>
      <c r="C1014" s="822">
        <v>91101</v>
      </c>
    </row>
    <row r="1015" spans="2:3" x14ac:dyDescent="0.25">
      <c r="B1015" s="818" t="s">
        <v>1505</v>
      </c>
      <c r="C1015" s="822">
        <v>93537</v>
      </c>
    </row>
    <row r="1016" spans="2:3" x14ac:dyDescent="0.25">
      <c r="B1016" s="818" t="s">
        <v>1504</v>
      </c>
      <c r="C1016" s="822">
        <v>93531</v>
      </c>
    </row>
    <row r="1017" spans="2:3" x14ac:dyDescent="0.25">
      <c r="B1017" s="818" t="s">
        <v>1804</v>
      </c>
      <c r="C1017" s="822">
        <v>97111</v>
      </c>
    </row>
    <row r="1018" spans="2:3" x14ac:dyDescent="0.25">
      <c r="B1018" s="818" t="s">
        <v>1291</v>
      </c>
      <c r="C1018" s="822">
        <v>91201</v>
      </c>
    </row>
    <row r="1019" spans="2:3" x14ac:dyDescent="0.25">
      <c r="B1019" s="818" t="s">
        <v>3469</v>
      </c>
      <c r="C1019" s="822">
        <v>91206</v>
      </c>
    </row>
    <row r="1020" spans="2:3" x14ac:dyDescent="0.25">
      <c r="B1020" s="818" t="s">
        <v>1293</v>
      </c>
      <c r="C1020" s="822">
        <v>91203</v>
      </c>
    </row>
    <row r="1021" spans="2:3" x14ac:dyDescent="0.25">
      <c r="B1021" s="818" t="s">
        <v>1295</v>
      </c>
      <c r="C1021" s="822">
        <v>91208</v>
      </c>
    </row>
    <row r="1022" spans="2:3" x14ac:dyDescent="0.25">
      <c r="B1022" s="818" t="s">
        <v>1292</v>
      </c>
      <c r="C1022" s="822">
        <v>91202</v>
      </c>
    </row>
    <row r="1023" spans="2:3" x14ac:dyDescent="0.25">
      <c r="B1023" s="818" t="s">
        <v>1181</v>
      </c>
      <c r="C1023" s="822">
        <v>90111</v>
      </c>
    </row>
    <row r="1024" spans="2:3" x14ac:dyDescent="0.25">
      <c r="B1024" s="818" t="s">
        <v>1175</v>
      </c>
      <c r="C1024" s="822">
        <v>90011</v>
      </c>
    </row>
    <row r="1025" spans="2:3" x14ac:dyDescent="0.25">
      <c r="B1025" s="818" t="s">
        <v>1540</v>
      </c>
      <c r="C1025" s="822">
        <v>93931</v>
      </c>
    </row>
    <row r="1026" spans="2:3" x14ac:dyDescent="0.25">
      <c r="B1026" s="818" t="s">
        <v>1308</v>
      </c>
      <c r="C1026" s="828">
        <v>91306</v>
      </c>
    </row>
    <row r="1027" spans="2:3" x14ac:dyDescent="0.25">
      <c r="B1027" s="818" t="s">
        <v>1309</v>
      </c>
      <c r="C1027" s="822">
        <v>91308</v>
      </c>
    </row>
    <row r="1028" spans="2:3" x14ac:dyDescent="0.25">
      <c r="B1028" s="818" t="s">
        <v>1306</v>
      </c>
      <c r="C1028" s="828">
        <v>91301</v>
      </c>
    </row>
    <row r="1029" spans="2:3" x14ac:dyDescent="0.25">
      <c r="B1029" s="818" t="s">
        <v>1325</v>
      </c>
      <c r="C1029" s="822">
        <v>91461</v>
      </c>
    </row>
    <row r="1030" spans="2:3" x14ac:dyDescent="0.25">
      <c r="B1030" s="818" t="s">
        <v>1247</v>
      </c>
      <c r="C1030" s="822">
        <v>91007</v>
      </c>
    </row>
    <row r="1031" spans="2:3" x14ac:dyDescent="0.25">
      <c r="B1031" s="818" t="s">
        <v>1250</v>
      </c>
      <c r="C1031" s="822">
        <v>91010</v>
      </c>
    </row>
    <row r="1032" spans="2:3" x14ac:dyDescent="0.25">
      <c r="B1032" s="818" t="s">
        <v>1316</v>
      </c>
      <c r="C1032" s="822">
        <v>91401</v>
      </c>
    </row>
    <row r="1033" spans="2:3" x14ac:dyDescent="0.25">
      <c r="B1033" s="818" t="s">
        <v>1463</v>
      </c>
      <c r="C1033" s="822">
        <v>93171</v>
      </c>
    </row>
    <row r="1034" spans="2:3" x14ac:dyDescent="0.25">
      <c r="B1034" s="818" t="s">
        <v>1326</v>
      </c>
      <c r="C1034" s="822">
        <v>91501</v>
      </c>
    </row>
    <row r="1035" spans="2:3" x14ac:dyDescent="0.25">
      <c r="B1035" s="818" t="s">
        <v>1327</v>
      </c>
      <c r="C1035" s="822">
        <v>91504</v>
      </c>
    </row>
    <row r="1036" spans="2:3" x14ac:dyDescent="0.25">
      <c r="B1036" s="818" t="s">
        <v>1731</v>
      </c>
      <c r="C1036" s="822">
        <v>96312</v>
      </c>
    </row>
    <row r="1037" spans="2:3" x14ac:dyDescent="0.25">
      <c r="B1037" s="818" t="s">
        <v>1723</v>
      </c>
      <c r="C1037" s="822">
        <v>96241</v>
      </c>
    </row>
    <row r="1038" spans="2:3" x14ac:dyDescent="0.25">
      <c r="B1038" s="818" t="s">
        <v>1593</v>
      </c>
      <c r="C1038" s="822">
        <v>94437</v>
      </c>
    </row>
    <row r="1039" spans="2:3" x14ac:dyDescent="0.25">
      <c r="B1039" s="818" t="s">
        <v>1592</v>
      </c>
      <c r="C1039" s="822">
        <v>94431</v>
      </c>
    </row>
    <row r="1040" spans="2:3" x14ac:dyDescent="0.25">
      <c r="B1040" s="818" t="s">
        <v>1338</v>
      </c>
      <c r="C1040" s="822">
        <v>91671</v>
      </c>
    </row>
    <row r="1041" spans="2:3" x14ac:dyDescent="0.25">
      <c r="B1041" s="818" t="s">
        <v>1248</v>
      </c>
      <c r="C1041" s="822">
        <v>91008</v>
      </c>
    </row>
    <row r="1042" spans="2:3" x14ac:dyDescent="0.25">
      <c r="B1042" s="818" t="s">
        <v>1756</v>
      </c>
      <c r="C1042" s="822">
        <v>96512</v>
      </c>
    </row>
    <row r="1043" spans="2:3" x14ac:dyDescent="0.25">
      <c r="B1043" s="818" t="s">
        <v>1753</v>
      </c>
      <c r="C1043" s="822">
        <v>96507</v>
      </c>
    </row>
    <row r="1044" spans="2:3" x14ac:dyDescent="0.25">
      <c r="B1044" s="818" t="s">
        <v>1758</v>
      </c>
      <c r="C1044" s="822">
        <v>96521</v>
      </c>
    </row>
    <row r="1045" spans="2:3" x14ac:dyDescent="0.25">
      <c r="B1045" s="818" t="s">
        <v>1257</v>
      </c>
      <c r="C1045" s="822">
        <v>91024</v>
      </c>
    </row>
    <row r="1046" spans="2:3" x14ac:dyDescent="0.25">
      <c r="B1046" s="818" t="s">
        <v>1785</v>
      </c>
      <c r="C1046" s="822">
        <v>96821</v>
      </c>
    </row>
    <row r="1047" spans="2:3" x14ac:dyDescent="0.25">
      <c r="B1047" s="818" t="s">
        <v>1328</v>
      </c>
      <c r="C1047" s="822">
        <v>91601</v>
      </c>
    </row>
    <row r="1048" spans="2:3" x14ac:dyDescent="0.25">
      <c r="B1048" s="818" t="s">
        <v>1329</v>
      </c>
      <c r="C1048" s="822">
        <v>91604</v>
      </c>
    </row>
    <row r="1049" spans="2:3" x14ac:dyDescent="0.25">
      <c r="B1049" s="818" t="s">
        <v>1739</v>
      </c>
      <c r="C1049" s="822">
        <v>96391</v>
      </c>
    </row>
    <row r="1050" spans="2:3" x14ac:dyDescent="0.25">
      <c r="B1050" s="818" t="s">
        <v>1996</v>
      </c>
      <c r="C1050" s="822">
        <v>99221</v>
      </c>
    </row>
    <row r="1051" spans="2:3" x14ac:dyDescent="0.25">
      <c r="B1051" s="818" t="s">
        <v>1264</v>
      </c>
      <c r="C1051" s="822">
        <v>91051</v>
      </c>
    </row>
    <row r="1052" spans="2:3" x14ac:dyDescent="0.25">
      <c r="B1052" s="818" t="s">
        <v>1341</v>
      </c>
      <c r="C1052" s="822">
        <v>91701</v>
      </c>
    </row>
    <row r="1053" spans="2:3" x14ac:dyDescent="0.25">
      <c r="B1053" s="818" t="s">
        <v>1342</v>
      </c>
      <c r="C1053" s="822">
        <v>91704</v>
      </c>
    </row>
    <row r="1054" spans="2:3" x14ac:dyDescent="0.25">
      <c r="B1054" s="818" t="s">
        <v>3470</v>
      </c>
      <c r="C1054" s="822">
        <v>91706</v>
      </c>
    </row>
    <row r="1055" spans="2:3" x14ac:dyDescent="0.25">
      <c r="B1055" s="818" t="s">
        <v>1345</v>
      </c>
      <c r="C1055" s="822">
        <v>91801</v>
      </c>
    </row>
    <row r="1056" spans="2:3" x14ac:dyDescent="0.25">
      <c r="B1056" s="818" t="s">
        <v>1346</v>
      </c>
      <c r="C1056" s="822">
        <v>91804</v>
      </c>
    </row>
    <row r="1057" spans="2:3" x14ac:dyDescent="0.25">
      <c r="B1057" s="818" t="s">
        <v>1358</v>
      </c>
      <c r="C1057" s="822">
        <v>91881</v>
      </c>
    </row>
    <row r="1058" spans="2:3" x14ac:dyDescent="0.25">
      <c r="B1058" s="818" t="s">
        <v>1340</v>
      </c>
      <c r="C1058" s="822">
        <v>91691</v>
      </c>
    </row>
    <row r="1059" spans="2:3" x14ac:dyDescent="0.25">
      <c r="B1059" s="818" t="s">
        <v>1997</v>
      </c>
      <c r="C1059" s="822">
        <v>99222</v>
      </c>
    </row>
    <row r="1060" spans="2:3" x14ac:dyDescent="0.25">
      <c r="B1060" s="818" t="s">
        <v>3471</v>
      </c>
      <c r="C1060" s="822">
        <v>93408</v>
      </c>
    </row>
    <row r="1061" spans="2:3" x14ac:dyDescent="0.25">
      <c r="B1061" s="818" t="s">
        <v>1703</v>
      </c>
      <c r="C1061" s="822">
        <v>96009</v>
      </c>
    </row>
    <row r="1062" spans="2:3" x14ac:dyDescent="0.25">
      <c r="B1062" s="818" t="s">
        <v>1394</v>
      </c>
      <c r="C1062" s="822">
        <v>92441</v>
      </c>
    </row>
    <row r="1063" spans="2:3" x14ac:dyDescent="0.25">
      <c r="B1063" s="818" t="s">
        <v>1784</v>
      </c>
      <c r="C1063" s="822">
        <v>96811</v>
      </c>
    </row>
    <row r="1064" spans="2:3" x14ac:dyDescent="0.25">
      <c r="B1064" s="818" t="s">
        <v>1699</v>
      </c>
      <c r="C1064" s="822">
        <v>96003</v>
      </c>
    </row>
    <row r="1065" spans="2:3" x14ac:dyDescent="0.25">
      <c r="B1065" s="818" t="s">
        <v>1706</v>
      </c>
      <c r="C1065" s="822">
        <v>96018</v>
      </c>
    </row>
    <row r="1066" spans="2:3" x14ac:dyDescent="0.25">
      <c r="B1066" s="818" t="s">
        <v>3472</v>
      </c>
      <c r="C1066" s="822">
        <v>96012</v>
      </c>
    </row>
    <row r="1067" spans="2:3" x14ac:dyDescent="0.25">
      <c r="B1067" s="818" t="s">
        <v>1704</v>
      </c>
      <c r="C1067" s="822">
        <v>96011</v>
      </c>
    </row>
    <row r="1068" spans="2:3" x14ac:dyDescent="0.25">
      <c r="B1068" s="818" t="s">
        <v>1701</v>
      </c>
      <c r="C1068" s="822">
        <v>96005</v>
      </c>
    </row>
    <row r="1069" spans="2:3" x14ac:dyDescent="0.25">
      <c r="B1069" s="818" t="s">
        <v>1359</v>
      </c>
      <c r="C1069" s="822">
        <v>91901</v>
      </c>
    </row>
    <row r="1070" spans="2:3" x14ac:dyDescent="0.25">
      <c r="B1070" s="818" t="s">
        <v>1361</v>
      </c>
      <c r="C1070" s="822">
        <v>91904</v>
      </c>
    </row>
    <row r="1071" spans="2:3" x14ac:dyDescent="0.25">
      <c r="B1071" s="818" t="s">
        <v>1360</v>
      </c>
      <c r="C1071" s="822">
        <v>91903</v>
      </c>
    </row>
    <row r="1072" spans="2:3" x14ac:dyDescent="0.25">
      <c r="B1072" s="818" t="s">
        <v>1366</v>
      </c>
      <c r="C1072" s="822">
        <v>92001</v>
      </c>
    </row>
    <row r="1073" spans="2:3" x14ac:dyDescent="0.25">
      <c r="B1073" s="818" t="s">
        <v>1518</v>
      </c>
      <c r="C1073" s="822">
        <v>93647</v>
      </c>
    </row>
    <row r="1074" spans="2:3" x14ac:dyDescent="0.25">
      <c r="B1074" s="818" t="s">
        <v>1517</v>
      </c>
      <c r="C1074" s="822">
        <v>93641</v>
      </c>
    </row>
    <row r="1075" spans="2:3" x14ac:dyDescent="0.25">
      <c r="B1075" s="818" t="s">
        <v>1897</v>
      </c>
      <c r="C1075" s="822">
        <v>98041</v>
      </c>
    </row>
    <row r="1076" spans="2:3" x14ac:dyDescent="0.25">
      <c r="B1076" s="818" t="s">
        <v>1764</v>
      </c>
      <c r="C1076" s="822">
        <v>96612</v>
      </c>
    </row>
    <row r="1077" spans="2:3" x14ac:dyDescent="0.25">
      <c r="B1077" s="818" t="s">
        <v>1226</v>
      </c>
      <c r="C1077" s="822">
        <v>90751</v>
      </c>
    </row>
    <row r="1078" spans="2:3" x14ac:dyDescent="0.25">
      <c r="B1078" s="818" t="s">
        <v>1371</v>
      </c>
      <c r="C1078" s="822">
        <v>92101</v>
      </c>
    </row>
    <row r="1079" spans="2:3" x14ac:dyDescent="0.25">
      <c r="B1079" s="818" t="s">
        <v>1372</v>
      </c>
      <c r="C1079" s="822">
        <v>92104</v>
      </c>
    </row>
    <row r="1080" spans="2:3" x14ac:dyDescent="0.25">
      <c r="B1080" s="818" t="s">
        <v>2049</v>
      </c>
      <c r="C1080" s="822">
        <v>99818</v>
      </c>
    </row>
    <row r="1081" spans="2:3" x14ac:dyDescent="0.25">
      <c r="B1081" s="818" t="s">
        <v>1352</v>
      </c>
      <c r="C1081" s="822">
        <v>91821</v>
      </c>
    </row>
    <row r="1082" spans="2:3" x14ac:dyDescent="0.25">
      <c r="B1082" s="818" t="s">
        <v>1240</v>
      </c>
      <c r="C1082" s="822">
        <v>90931</v>
      </c>
    </row>
    <row r="1083" spans="2:3" x14ac:dyDescent="0.25">
      <c r="B1083" s="818" t="s">
        <v>1376</v>
      </c>
      <c r="C1083" s="822">
        <v>92201</v>
      </c>
    </row>
    <row r="1084" spans="2:3" x14ac:dyDescent="0.25">
      <c r="B1084" s="818" t="s">
        <v>1645</v>
      </c>
      <c r="C1084" s="822">
        <v>95131</v>
      </c>
    </row>
    <row r="1085" spans="2:3" x14ac:dyDescent="0.25">
      <c r="B1085" s="818" t="s">
        <v>1495</v>
      </c>
      <c r="C1085" s="822">
        <v>93442</v>
      </c>
    </row>
    <row r="1086" spans="2:3" x14ac:dyDescent="0.25">
      <c r="B1086" s="818" t="s">
        <v>1494</v>
      </c>
      <c r="C1086" s="822">
        <v>93441</v>
      </c>
    </row>
    <row r="1087" spans="2:3" x14ac:dyDescent="0.25">
      <c r="B1087" s="818" t="s">
        <v>1377</v>
      </c>
      <c r="C1087" s="822">
        <v>92301</v>
      </c>
    </row>
    <row r="1088" spans="2:3" x14ac:dyDescent="0.25">
      <c r="B1088" s="818" t="s">
        <v>1378</v>
      </c>
      <c r="C1088" s="822">
        <v>92302</v>
      </c>
    </row>
    <row r="1089" spans="2:3" x14ac:dyDescent="0.25">
      <c r="B1089" s="818" t="s">
        <v>1902</v>
      </c>
      <c r="C1089" s="822">
        <v>98091</v>
      </c>
    </row>
    <row r="1090" spans="2:3" x14ac:dyDescent="0.25">
      <c r="B1090" s="818" t="s">
        <v>1918</v>
      </c>
      <c r="C1090" s="822">
        <v>98218</v>
      </c>
    </row>
    <row r="1091" spans="2:3" x14ac:dyDescent="0.25">
      <c r="B1091" s="818" t="s">
        <v>1917</v>
      </c>
      <c r="C1091" s="822">
        <v>98211</v>
      </c>
    </row>
    <row r="1092" spans="2:3" x14ac:dyDescent="0.25">
      <c r="B1092" s="818" t="s">
        <v>1757</v>
      </c>
      <c r="C1092" s="822">
        <v>96519</v>
      </c>
    </row>
    <row r="1093" spans="2:3" x14ac:dyDescent="0.25">
      <c r="B1093" s="818" t="s">
        <v>1404</v>
      </c>
      <c r="C1093" s="822">
        <v>92508</v>
      </c>
    </row>
    <row r="1094" spans="2:3" x14ac:dyDescent="0.25">
      <c r="B1094" s="818" t="s">
        <v>1581</v>
      </c>
      <c r="C1094" s="822">
        <v>94341</v>
      </c>
    </row>
    <row r="1095" spans="2:3" x14ac:dyDescent="0.25">
      <c r="B1095" s="818" t="s">
        <v>1611</v>
      </c>
      <c r="C1095" s="822">
        <v>94641</v>
      </c>
    </row>
    <row r="1096" spans="2:3" x14ac:dyDescent="0.25">
      <c r="B1096" s="818" t="s">
        <v>1233</v>
      </c>
      <c r="C1096" s="822">
        <v>90813</v>
      </c>
    </row>
    <row r="1097" spans="2:3" x14ac:dyDescent="0.25">
      <c r="B1097" s="818" t="s">
        <v>1562</v>
      </c>
      <c r="C1097" s="822">
        <v>94168</v>
      </c>
    </row>
    <row r="1098" spans="2:3" x14ac:dyDescent="0.25">
      <c r="B1098" s="818" t="s">
        <v>1964</v>
      </c>
      <c r="C1098" s="822">
        <v>98911</v>
      </c>
    </row>
    <row r="1099" spans="2:3" x14ac:dyDescent="0.25">
      <c r="B1099" s="818" t="s">
        <v>1386</v>
      </c>
      <c r="C1099" s="822">
        <v>92401</v>
      </c>
    </row>
    <row r="1100" spans="2:3" x14ac:dyDescent="0.25">
      <c r="B1100" s="818" t="s">
        <v>1835</v>
      </c>
      <c r="C1100" s="822">
        <v>97521</v>
      </c>
    </row>
    <row r="1101" spans="2:3" x14ac:dyDescent="0.25">
      <c r="B1101" s="818" t="s">
        <v>1311</v>
      </c>
      <c r="C1101" s="822">
        <v>91317</v>
      </c>
    </row>
    <row r="1102" spans="2:3" x14ac:dyDescent="0.25">
      <c r="B1102" s="818" t="s">
        <v>1310</v>
      </c>
      <c r="C1102" s="822">
        <v>91311</v>
      </c>
    </row>
    <row r="1103" spans="2:3" x14ac:dyDescent="0.25">
      <c r="B1103" s="818" t="s">
        <v>1305</v>
      </c>
      <c r="C1103" s="822">
        <v>91261</v>
      </c>
    </row>
    <row r="1104" spans="2:3" x14ac:dyDescent="0.25">
      <c r="B1104" s="818" t="s">
        <v>1355</v>
      </c>
      <c r="C1104" s="822">
        <v>91851</v>
      </c>
    </row>
    <row r="1105" spans="2:3" x14ac:dyDescent="0.25">
      <c r="B1105" s="818" t="s">
        <v>3473</v>
      </c>
      <c r="C1105" s="822">
        <v>97408</v>
      </c>
    </row>
    <row r="1106" spans="2:3" x14ac:dyDescent="0.25">
      <c r="B1106" s="818" t="s">
        <v>1767</v>
      </c>
      <c r="C1106" s="822">
        <v>96641</v>
      </c>
    </row>
    <row r="1107" spans="2:3" x14ac:dyDescent="0.25">
      <c r="B1107" s="818" t="s">
        <v>1450</v>
      </c>
      <c r="C1107" s="822">
        <v>93027</v>
      </c>
    </row>
    <row r="1108" spans="2:3" x14ac:dyDescent="0.25">
      <c r="B1108" s="818" t="s">
        <v>1451</v>
      </c>
      <c r="C1108" s="822">
        <v>93031</v>
      </c>
    </row>
    <row r="1109" spans="2:3" x14ac:dyDescent="0.25">
      <c r="B1109" s="818" t="s">
        <v>1710</v>
      </c>
      <c r="C1109" s="822">
        <v>96051</v>
      </c>
    </row>
    <row r="1110" spans="2:3" x14ac:dyDescent="0.25">
      <c r="B1110" s="818" t="s">
        <v>1412</v>
      </c>
      <c r="C1110" s="822">
        <v>92571</v>
      </c>
    </row>
    <row r="1111" spans="2:3" x14ac:dyDescent="0.25">
      <c r="B1111" s="818" t="s">
        <v>1516</v>
      </c>
      <c r="C1111" s="822">
        <v>93631</v>
      </c>
    </row>
    <row r="1112" spans="2:3" x14ac:dyDescent="0.25">
      <c r="B1112" s="818" t="s">
        <v>1398</v>
      </c>
      <c r="C1112" s="822">
        <v>92501</v>
      </c>
    </row>
    <row r="1113" spans="2:3" x14ac:dyDescent="0.25">
      <c r="B1113" s="818" t="s">
        <v>1400</v>
      </c>
      <c r="C1113" s="822">
        <v>92504</v>
      </c>
    </row>
    <row r="1114" spans="2:3" x14ac:dyDescent="0.25">
      <c r="B1114" s="818" t="s">
        <v>1402</v>
      </c>
      <c r="C1114" s="822">
        <v>92506</v>
      </c>
    </row>
    <row r="1115" spans="2:3" x14ac:dyDescent="0.25">
      <c r="B1115" s="818" t="s">
        <v>1401</v>
      </c>
      <c r="C1115" s="822">
        <v>92505</v>
      </c>
    </row>
    <row r="1116" spans="2:3" x14ac:dyDescent="0.25">
      <c r="B1116" s="818" t="s">
        <v>1539</v>
      </c>
      <c r="C1116" s="822">
        <v>93921</v>
      </c>
    </row>
    <row r="1117" spans="2:3" x14ac:dyDescent="0.25">
      <c r="B1117" s="818" t="s">
        <v>2016</v>
      </c>
      <c r="C1117" s="822">
        <v>99431</v>
      </c>
    </row>
    <row r="1118" spans="2:3" x14ac:dyDescent="0.25">
      <c r="B1118" s="818" t="s">
        <v>1413</v>
      </c>
      <c r="C1118" s="822">
        <v>92601</v>
      </c>
    </row>
    <row r="1119" spans="2:3" x14ac:dyDescent="0.25">
      <c r="B1119" s="818" t="s">
        <v>1415</v>
      </c>
      <c r="C1119" s="822">
        <v>92604</v>
      </c>
    </row>
    <row r="1120" spans="2:3" x14ac:dyDescent="0.25">
      <c r="B1120" s="818" t="s">
        <v>1417</v>
      </c>
      <c r="C1120" s="822">
        <v>92608</v>
      </c>
    </row>
    <row r="1121" spans="2:3" x14ac:dyDescent="0.25">
      <c r="B1121" s="818" t="s">
        <v>1428</v>
      </c>
      <c r="C1121" s="822">
        <v>92701</v>
      </c>
    </row>
    <row r="1122" spans="2:3" x14ac:dyDescent="0.25">
      <c r="B1122" s="818" t="s">
        <v>1429</v>
      </c>
      <c r="C1122" s="822">
        <v>92704</v>
      </c>
    </row>
    <row r="1123" spans="2:3" x14ac:dyDescent="0.25">
      <c r="B1123" s="818" t="s">
        <v>1519</v>
      </c>
      <c r="C1123" s="822">
        <v>93651</v>
      </c>
    </row>
    <row r="1124" spans="2:3" x14ac:dyDescent="0.25">
      <c r="B1124" s="818" t="s">
        <v>1430</v>
      </c>
      <c r="C1124" s="822">
        <v>92801</v>
      </c>
    </row>
    <row r="1125" spans="2:3" x14ac:dyDescent="0.25">
      <c r="B1125" s="818" t="s">
        <v>1432</v>
      </c>
      <c r="C1125" s="822">
        <v>92804</v>
      </c>
    </row>
    <row r="1126" spans="2:3" x14ac:dyDescent="0.25">
      <c r="B1126" s="818" t="s">
        <v>1431</v>
      </c>
      <c r="C1126" s="822">
        <v>92802</v>
      </c>
    </row>
    <row r="1127" spans="2:3" x14ac:dyDescent="0.25">
      <c r="B1127" s="818" t="s">
        <v>1439</v>
      </c>
      <c r="C1127" s="822">
        <v>92901</v>
      </c>
    </row>
    <row r="1128" spans="2:3" x14ac:dyDescent="0.25">
      <c r="B1128" s="818" t="s">
        <v>1713</v>
      </c>
      <c r="C1128" s="822">
        <v>96081</v>
      </c>
    </row>
    <row r="1129" spans="2:3" x14ac:dyDescent="0.25">
      <c r="B1129" s="818" t="s">
        <v>1446</v>
      </c>
      <c r="C1129" s="822">
        <v>93001</v>
      </c>
    </row>
    <row r="1130" spans="2:3" x14ac:dyDescent="0.25">
      <c r="B1130" s="818" t="s">
        <v>1447</v>
      </c>
      <c r="C1130" s="822">
        <v>93009</v>
      </c>
    </row>
    <row r="1131" spans="2:3" x14ac:dyDescent="0.25">
      <c r="B1131" s="818" t="s">
        <v>1443</v>
      </c>
      <c r="C1131" s="822">
        <v>92921</v>
      </c>
    </row>
    <row r="1132" spans="2:3" x14ac:dyDescent="0.25">
      <c r="B1132" s="818" t="s">
        <v>1951</v>
      </c>
      <c r="C1132" s="822">
        <v>98627</v>
      </c>
    </row>
    <row r="1133" spans="2:3" x14ac:dyDescent="0.25">
      <c r="B1133" s="818" t="s">
        <v>1950</v>
      </c>
      <c r="C1133" s="822">
        <v>98621</v>
      </c>
    </row>
    <row r="1134" spans="2:3" x14ac:dyDescent="0.25">
      <c r="B1134" s="818" t="s">
        <v>1300</v>
      </c>
      <c r="C1134" s="822">
        <v>91221</v>
      </c>
    </row>
    <row r="1135" spans="2:3" x14ac:dyDescent="0.25">
      <c r="B1135" s="818" t="s">
        <v>1438</v>
      </c>
      <c r="C1135" s="822">
        <v>92861</v>
      </c>
    </row>
    <row r="1136" spans="2:3" x14ac:dyDescent="0.25">
      <c r="B1136" s="818" t="s">
        <v>1578</v>
      </c>
      <c r="C1136" s="822">
        <v>94317</v>
      </c>
    </row>
    <row r="1137" spans="2:3" x14ac:dyDescent="0.25">
      <c r="B1137" s="818" t="s">
        <v>1577</v>
      </c>
      <c r="C1137" s="822">
        <v>94313</v>
      </c>
    </row>
    <row r="1138" spans="2:3" x14ac:dyDescent="0.25">
      <c r="B1138" s="818" t="s">
        <v>1576</v>
      </c>
      <c r="C1138" s="822">
        <v>94311</v>
      </c>
    </row>
    <row r="1139" spans="2:3" x14ac:dyDescent="0.25">
      <c r="B1139" s="818" t="s">
        <v>1452</v>
      </c>
      <c r="C1139" s="822">
        <v>93101</v>
      </c>
    </row>
    <row r="1140" spans="2:3" x14ac:dyDescent="0.25">
      <c r="B1140" s="818" t="s">
        <v>2123</v>
      </c>
      <c r="C1140" s="822">
        <v>93103</v>
      </c>
    </row>
    <row r="1141" spans="2:3" x14ac:dyDescent="0.25">
      <c r="B1141" s="818" t="s">
        <v>1471</v>
      </c>
      <c r="C1141" s="822">
        <v>93212</v>
      </c>
    </row>
    <row r="1142" spans="2:3" x14ac:dyDescent="0.25">
      <c r="B1142" s="818" t="s">
        <v>1466</v>
      </c>
      <c r="C1142" s="822">
        <v>93201</v>
      </c>
    </row>
    <row r="1143" spans="2:3" x14ac:dyDescent="0.25">
      <c r="B1143" s="818" t="s">
        <v>1468</v>
      </c>
      <c r="C1143" s="822">
        <v>93204</v>
      </c>
    </row>
    <row r="1144" spans="2:3" x14ac:dyDescent="0.25">
      <c r="B1144" s="818" t="s">
        <v>1993</v>
      </c>
      <c r="C1144" s="822">
        <v>99212</v>
      </c>
    </row>
    <row r="1145" spans="2:3" x14ac:dyDescent="0.25">
      <c r="B1145" s="818" t="s">
        <v>1470</v>
      </c>
      <c r="C1145" s="822">
        <v>93211</v>
      </c>
    </row>
    <row r="1146" spans="2:3" x14ac:dyDescent="0.25">
      <c r="B1146" s="818" t="s">
        <v>1794</v>
      </c>
      <c r="C1146" s="822">
        <v>97005</v>
      </c>
    </row>
    <row r="1147" spans="2:3" x14ac:dyDescent="0.25">
      <c r="B1147" s="818" t="s">
        <v>2057</v>
      </c>
      <c r="C1147" s="822">
        <v>99931</v>
      </c>
    </row>
    <row r="1148" spans="2:3" x14ac:dyDescent="0.25">
      <c r="B1148" s="818" t="s">
        <v>3474</v>
      </c>
      <c r="C1148" s="822">
        <v>92509</v>
      </c>
    </row>
    <row r="1149" spans="2:3" x14ac:dyDescent="0.25">
      <c r="B1149" s="818" t="s">
        <v>1895</v>
      </c>
      <c r="C1149" s="822">
        <v>98023</v>
      </c>
    </row>
    <row r="1150" spans="2:3" x14ac:dyDescent="0.25">
      <c r="B1150" s="818" t="s">
        <v>1894</v>
      </c>
      <c r="C1150" s="822">
        <v>98021</v>
      </c>
    </row>
    <row r="1151" spans="2:3" x14ac:dyDescent="0.25">
      <c r="B1151" s="818" t="s">
        <v>1169</v>
      </c>
      <c r="C1151" s="822">
        <v>70505</v>
      </c>
    </row>
    <row r="1152" spans="2:3" x14ac:dyDescent="0.25">
      <c r="B1152" s="818" t="s">
        <v>2027</v>
      </c>
      <c r="C1152" s="822">
        <v>99603</v>
      </c>
    </row>
    <row r="1153" spans="2:3" x14ac:dyDescent="0.25">
      <c r="B1153" s="818" t="s">
        <v>2030</v>
      </c>
      <c r="C1153" s="822">
        <v>99610</v>
      </c>
    </row>
    <row r="1154" spans="2:3" x14ac:dyDescent="0.25">
      <c r="B1154" s="818" t="s">
        <v>1427</v>
      </c>
      <c r="C1154" s="822">
        <v>92681</v>
      </c>
    </row>
    <row r="1155" spans="2:3" x14ac:dyDescent="0.25">
      <c r="B1155" s="818" t="s">
        <v>3475</v>
      </c>
      <c r="C1155" s="822">
        <v>93108</v>
      </c>
    </row>
    <row r="1156" spans="2:3" x14ac:dyDescent="0.25">
      <c r="B1156" s="818" t="s">
        <v>1886</v>
      </c>
      <c r="C1156" s="822">
        <v>97957</v>
      </c>
    </row>
    <row r="1157" spans="2:3" x14ac:dyDescent="0.25">
      <c r="B1157" s="818" t="s">
        <v>1885</v>
      </c>
      <c r="C1157" s="822">
        <v>97951</v>
      </c>
    </row>
    <row r="1158" spans="2:3" x14ac:dyDescent="0.25">
      <c r="B1158" s="818" t="s">
        <v>1374</v>
      </c>
      <c r="C1158" s="822">
        <v>92111</v>
      </c>
    </row>
    <row r="1159" spans="2:3" x14ac:dyDescent="0.25">
      <c r="B1159" s="818" t="s">
        <v>1473</v>
      </c>
      <c r="C1159" s="822">
        <v>93301</v>
      </c>
    </row>
    <row r="1160" spans="2:3" x14ac:dyDescent="0.25">
      <c r="B1160" s="818" t="s">
        <v>1474</v>
      </c>
      <c r="C1160" s="822">
        <v>93304</v>
      </c>
    </row>
    <row r="1161" spans="2:3" x14ac:dyDescent="0.25">
      <c r="B1161" s="818" t="s">
        <v>1475</v>
      </c>
      <c r="C1161" s="822">
        <v>93305</v>
      </c>
    </row>
    <row r="1162" spans="2:3" x14ac:dyDescent="0.25">
      <c r="B1162" s="818" t="s">
        <v>1991</v>
      </c>
      <c r="C1162" s="822">
        <v>99210</v>
      </c>
    </row>
    <row r="1163" spans="2:3" x14ac:dyDescent="0.25">
      <c r="B1163" s="818" t="s">
        <v>1797</v>
      </c>
      <c r="C1163" s="822">
        <v>97011</v>
      </c>
    </row>
    <row r="1164" spans="2:3" x14ac:dyDescent="0.25">
      <c r="B1164" s="818" t="s">
        <v>1799</v>
      </c>
      <c r="C1164" s="822">
        <v>97013</v>
      </c>
    </row>
    <row r="1165" spans="2:3" x14ac:dyDescent="0.25">
      <c r="B1165" s="818" t="s">
        <v>1798</v>
      </c>
      <c r="C1165" s="822">
        <v>97012</v>
      </c>
    </row>
    <row r="1166" spans="2:3" x14ac:dyDescent="0.25">
      <c r="B1166" s="818" t="s">
        <v>1801</v>
      </c>
      <c r="C1166" s="822">
        <v>97018</v>
      </c>
    </row>
    <row r="1167" spans="2:3" x14ac:dyDescent="0.25">
      <c r="B1167" s="818" t="s">
        <v>1237</v>
      </c>
      <c r="C1167" s="822">
        <v>90917</v>
      </c>
    </row>
    <row r="1168" spans="2:3" x14ac:dyDescent="0.25">
      <c r="B1168" s="818" t="s">
        <v>1236</v>
      </c>
      <c r="C1168" s="822">
        <v>90911</v>
      </c>
    </row>
    <row r="1169" spans="2:3" x14ac:dyDescent="0.25">
      <c r="B1169" s="818" t="s">
        <v>1216</v>
      </c>
      <c r="C1169" s="822">
        <v>90641</v>
      </c>
    </row>
    <row r="1170" spans="2:3" x14ac:dyDescent="0.25">
      <c r="B1170" s="818" t="s">
        <v>1955</v>
      </c>
      <c r="C1170" s="822">
        <v>98647</v>
      </c>
    </row>
    <row r="1171" spans="2:3" x14ac:dyDescent="0.25">
      <c r="B1171" s="818" t="s">
        <v>1954</v>
      </c>
      <c r="C1171" s="822">
        <v>98641</v>
      </c>
    </row>
    <row r="1172" spans="2:3" x14ac:dyDescent="0.25">
      <c r="B1172" s="818" t="s">
        <v>1914</v>
      </c>
      <c r="C1172" s="822">
        <v>98161</v>
      </c>
    </row>
    <row r="1173" spans="2:3" x14ac:dyDescent="0.25">
      <c r="B1173" s="818" t="s">
        <v>1856</v>
      </c>
      <c r="C1173" s="822">
        <v>97731</v>
      </c>
    </row>
    <row r="1174" spans="2:3" x14ac:dyDescent="0.25">
      <c r="B1174" s="818" t="s">
        <v>2053</v>
      </c>
      <c r="C1174" s="822">
        <v>99851</v>
      </c>
    </row>
    <row r="1175" spans="2:3" x14ac:dyDescent="0.25">
      <c r="B1175" s="818" t="s">
        <v>1185</v>
      </c>
      <c r="C1175" s="822">
        <v>90131</v>
      </c>
    </row>
    <row r="1176" spans="2:3" x14ac:dyDescent="0.25">
      <c r="B1176" s="818" t="s">
        <v>1336</v>
      </c>
      <c r="C1176" s="822">
        <v>91651</v>
      </c>
    </row>
    <row r="1177" spans="2:3" x14ac:dyDescent="0.25">
      <c r="B1177" s="818" t="s">
        <v>1569</v>
      </c>
      <c r="C1177" s="822">
        <v>94211</v>
      </c>
    </row>
    <row r="1178" spans="2:3" x14ac:dyDescent="0.25">
      <c r="B1178" s="818" t="s">
        <v>1580</v>
      </c>
      <c r="C1178" s="822">
        <v>94331</v>
      </c>
    </row>
    <row r="1179" spans="2:3" x14ac:dyDescent="0.25">
      <c r="B1179" s="818" t="s">
        <v>1393</v>
      </c>
      <c r="C1179" s="822">
        <v>92431</v>
      </c>
    </row>
    <row r="1180" spans="2:3" x14ac:dyDescent="0.25">
      <c r="B1180" s="818" t="s">
        <v>1865</v>
      </c>
      <c r="C1180" s="822">
        <v>97823</v>
      </c>
    </row>
    <row r="1181" spans="2:3" x14ac:dyDescent="0.25">
      <c r="B1181" s="818" t="s">
        <v>1864</v>
      </c>
      <c r="C1181" s="822">
        <v>97821</v>
      </c>
    </row>
    <row r="1182" spans="2:3" x14ac:dyDescent="0.25">
      <c r="B1182" s="818" t="s">
        <v>1459</v>
      </c>
      <c r="C1182" s="822">
        <v>93141</v>
      </c>
    </row>
    <row r="1183" spans="2:3" x14ac:dyDescent="0.25">
      <c r="B1183" s="818" t="s">
        <v>1901</v>
      </c>
      <c r="C1183" s="822">
        <v>98081</v>
      </c>
    </row>
    <row r="1184" spans="2:3" x14ac:dyDescent="0.25">
      <c r="B1184" s="818" t="s">
        <v>1426</v>
      </c>
      <c r="C1184" s="822">
        <v>92671</v>
      </c>
    </row>
    <row r="1185" spans="2:3" x14ac:dyDescent="0.25">
      <c r="B1185" s="818" t="s">
        <v>1824</v>
      </c>
      <c r="C1185" s="822">
        <v>97423</v>
      </c>
    </row>
    <row r="1186" spans="2:3" x14ac:dyDescent="0.25">
      <c r="B1186" s="818" t="s">
        <v>1823</v>
      </c>
      <c r="C1186" s="822">
        <v>97421</v>
      </c>
    </row>
    <row r="1187" spans="2:3" x14ac:dyDescent="0.25">
      <c r="B1187" s="818" t="s">
        <v>1419</v>
      </c>
      <c r="C1187" s="822">
        <v>92613</v>
      </c>
    </row>
    <row r="1188" spans="2:3" x14ac:dyDescent="0.25">
      <c r="B1188" s="818" t="s">
        <v>1420</v>
      </c>
      <c r="C1188" s="822">
        <v>92614</v>
      </c>
    </row>
    <row r="1189" spans="2:3" x14ac:dyDescent="0.25">
      <c r="B1189" s="818" t="s">
        <v>1418</v>
      </c>
      <c r="C1189" s="822">
        <v>92611</v>
      </c>
    </row>
    <row r="1190" spans="2:3" x14ac:dyDescent="0.25">
      <c r="B1190" s="818" t="s">
        <v>1399</v>
      </c>
      <c r="C1190" s="822">
        <v>92502</v>
      </c>
    </row>
    <row r="1191" spans="2:3" x14ac:dyDescent="0.25">
      <c r="B1191" s="818" t="s">
        <v>1600</v>
      </c>
      <c r="C1191" s="822">
        <v>94531</v>
      </c>
    </row>
    <row r="1192" spans="2:3" x14ac:dyDescent="0.25">
      <c r="B1192" s="818" t="s">
        <v>1603</v>
      </c>
      <c r="C1192" s="822">
        <v>94547</v>
      </c>
    </row>
    <row r="1193" spans="2:3" x14ac:dyDescent="0.25">
      <c r="B1193" s="818" t="s">
        <v>1602</v>
      </c>
      <c r="C1193" s="822">
        <v>94541</v>
      </c>
    </row>
    <row r="1194" spans="2:3" x14ac:dyDescent="0.25">
      <c r="B1194" s="818" t="s">
        <v>1629</v>
      </c>
      <c r="C1194" s="822">
        <v>95005</v>
      </c>
    </row>
    <row r="1195" spans="2:3" x14ac:dyDescent="0.25">
      <c r="B1195" s="818" t="s">
        <v>1908</v>
      </c>
      <c r="C1195" s="822">
        <v>98111</v>
      </c>
    </row>
    <row r="1196" spans="2:3" x14ac:dyDescent="0.25">
      <c r="B1196" s="818" t="s">
        <v>1906</v>
      </c>
      <c r="C1196" s="822">
        <v>98107</v>
      </c>
    </row>
    <row r="1197" spans="2:3" x14ac:dyDescent="0.25">
      <c r="B1197" s="818" t="s">
        <v>1909</v>
      </c>
      <c r="C1197" s="822">
        <v>98113</v>
      </c>
    </row>
    <row r="1198" spans="2:3" x14ac:dyDescent="0.25">
      <c r="B1198" s="818" t="s">
        <v>2026</v>
      </c>
      <c r="C1198" s="822">
        <v>99602</v>
      </c>
    </row>
    <row r="1199" spans="2:3" x14ac:dyDescent="0.25">
      <c r="B1199" s="818" t="s">
        <v>1485</v>
      </c>
      <c r="C1199" s="822">
        <v>93401</v>
      </c>
    </row>
    <row r="1200" spans="2:3" x14ac:dyDescent="0.25">
      <c r="B1200" s="818" t="s">
        <v>1832</v>
      </c>
      <c r="C1200" s="822">
        <v>97491</v>
      </c>
    </row>
    <row r="1201" spans="2:3" x14ac:dyDescent="0.25">
      <c r="B1201" s="818" t="s">
        <v>1647</v>
      </c>
      <c r="C1201" s="822">
        <v>95151</v>
      </c>
    </row>
    <row r="1202" spans="2:3" x14ac:dyDescent="0.25">
      <c r="B1202" s="818" t="s">
        <v>1738</v>
      </c>
      <c r="C1202" s="822">
        <v>96381</v>
      </c>
    </row>
    <row r="1203" spans="2:3" x14ac:dyDescent="0.25">
      <c r="B1203" s="818" t="s">
        <v>1499</v>
      </c>
      <c r="C1203" s="822">
        <v>93501</v>
      </c>
    </row>
    <row r="1204" spans="2:3" x14ac:dyDescent="0.25">
      <c r="B1204" s="818" t="s">
        <v>1676</v>
      </c>
      <c r="C1204" s="822">
        <v>95611</v>
      </c>
    </row>
    <row r="1205" spans="2:3" x14ac:dyDescent="0.25">
      <c r="B1205" s="818" t="s">
        <v>1501</v>
      </c>
      <c r="C1205" s="822">
        <v>93517</v>
      </c>
    </row>
    <row r="1206" spans="2:3" x14ac:dyDescent="0.25">
      <c r="B1206" s="818" t="s">
        <v>1500</v>
      </c>
      <c r="C1206" s="822">
        <v>93511</v>
      </c>
    </row>
    <row r="1207" spans="2:3" x14ac:dyDescent="0.25">
      <c r="B1207" s="818" t="s">
        <v>2035</v>
      </c>
      <c r="C1207" s="822">
        <v>99631</v>
      </c>
    </row>
    <row r="1208" spans="2:3" x14ac:dyDescent="0.25">
      <c r="B1208" s="818" t="s">
        <v>2002</v>
      </c>
      <c r="C1208" s="822">
        <v>99261</v>
      </c>
    </row>
    <row r="1209" spans="2:3" x14ac:dyDescent="0.25">
      <c r="B1209" s="818" t="s">
        <v>1922</v>
      </c>
      <c r="C1209" s="822">
        <v>98241</v>
      </c>
    </row>
    <row r="1210" spans="2:3" x14ac:dyDescent="0.25">
      <c r="B1210" s="818" t="s">
        <v>2001</v>
      </c>
      <c r="C1210" s="822">
        <v>99252</v>
      </c>
    </row>
    <row r="1211" spans="2:3" x14ac:dyDescent="0.25">
      <c r="B1211" s="818" t="s">
        <v>2000</v>
      </c>
      <c r="C1211" s="822">
        <v>99251</v>
      </c>
    </row>
    <row r="1212" spans="2:3" x14ac:dyDescent="0.25">
      <c r="B1212" s="818" t="s">
        <v>1766</v>
      </c>
      <c r="C1212" s="822">
        <v>96631</v>
      </c>
    </row>
    <row r="1213" spans="2:3" x14ac:dyDescent="0.25">
      <c r="B1213" s="818" t="s">
        <v>1513</v>
      </c>
      <c r="C1213" s="822">
        <v>93618</v>
      </c>
    </row>
    <row r="1214" spans="2:3" x14ac:dyDescent="0.25">
      <c r="B1214" s="818" t="s">
        <v>1507</v>
      </c>
      <c r="C1214" s="822">
        <v>93601</v>
      </c>
    </row>
    <row r="1215" spans="2:3" x14ac:dyDescent="0.25">
      <c r="B1215" s="818" t="s">
        <v>1768</v>
      </c>
      <c r="C1215" s="822">
        <v>96651</v>
      </c>
    </row>
    <row r="1216" spans="2:3" x14ac:dyDescent="0.25">
      <c r="B1216" s="818" t="s">
        <v>1512</v>
      </c>
      <c r="C1216" s="822">
        <v>93617</v>
      </c>
    </row>
    <row r="1217" spans="2:3" x14ac:dyDescent="0.25">
      <c r="B1217" s="818" t="s">
        <v>1511</v>
      </c>
      <c r="C1217" s="822">
        <v>93611</v>
      </c>
    </row>
    <row r="1218" spans="2:3" x14ac:dyDescent="0.25">
      <c r="B1218" s="818" t="s">
        <v>1525</v>
      </c>
      <c r="C1218" s="822">
        <v>93701</v>
      </c>
    </row>
    <row r="1219" spans="2:3" x14ac:dyDescent="0.25">
      <c r="B1219" s="818" t="s">
        <v>1526</v>
      </c>
      <c r="C1219" s="822">
        <v>93704</v>
      </c>
    </row>
    <row r="1220" spans="2:3" x14ac:dyDescent="0.25">
      <c r="B1220" s="818" t="s">
        <v>1932</v>
      </c>
      <c r="C1220" s="822">
        <v>98331</v>
      </c>
    </row>
    <row r="1221" spans="2:3" x14ac:dyDescent="0.25">
      <c r="B1221" s="818" t="s">
        <v>1560</v>
      </c>
      <c r="C1221" s="822">
        <v>94157</v>
      </c>
    </row>
    <row r="1222" spans="2:3" x14ac:dyDescent="0.25">
      <c r="B1222" s="818" t="s">
        <v>1559</v>
      </c>
      <c r="C1222" s="822">
        <v>94151</v>
      </c>
    </row>
    <row r="1223" spans="2:3" x14ac:dyDescent="0.25">
      <c r="B1223" s="818" t="s">
        <v>1303</v>
      </c>
      <c r="C1223" s="822">
        <v>91241</v>
      </c>
    </row>
    <row r="1224" spans="2:3" x14ac:dyDescent="0.25">
      <c r="B1224" s="818" t="s">
        <v>1665</v>
      </c>
      <c r="C1224" s="822">
        <v>95412</v>
      </c>
    </row>
    <row r="1225" spans="2:3" x14ac:dyDescent="0.25">
      <c r="B1225" s="818" t="s">
        <v>3476</v>
      </c>
      <c r="C1225" s="822">
        <v>99613</v>
      </c>
    </row>
    <row r="1226" spans="2:3" x14ac:dyDescent="0.25">
      <c r="B1226" s="818" t="s">
        <v>2031</v>
      </c>
      <c r="C1226" s="822">
        <v>99611</v>
      </c>
    </row>
    <row r="1227" spans="2:3" x14ac:dyDescent="0.25">
      <c r="B1227" s="818" t="s">
        <v>1362</v>
      </c>
      <c r="C1227" s="822">
        <v>91908</v>
      </c>
    </row>
    <row r="1228" spans="2:3" x14ac:dyDescent="0.25">
      <c r="B1228" s="818" t="s">
        <v>1527</v>
      </c>
      <c r="C1228" s="822">
        <v>93801</v>
      </c>
    </row>
    <row r="1229" spans="2:3" x14ac:dyDescent="0.25">
      <c r="B1229" s="818" t="s">
        <v>3477</v>
      </c>
      <c r="C1229" s="822">
        <v>93806</v>
      </c>
    </row>
    <row r="1230" spans="2:3" x14ac:dyDescent="0.25">
      <c r="B1230" s="818" t="s">
        <v>1528</v>
      </c>
      <c r="C1230" s="822">
        <v>93803</v>
      </c>
    </row>
    <row r="1231" spans="2:3" x14ac:dyDescent="0.25">
      <c r="B1231" s="818" t="s">
        <v>1184</v>
      </c>
      <c r="C1231" s="822">
        <v>90121</v>
      </c>
    </row>
    <row r="1232" spans="2:3" x14ac:dyDescent="0.25">
      <c r="B1232" s="818" t="s">
        <v>1318</v>
      </c>
      <c r="C1232" s="822">
        <v>91417</v>
      </c>
    </row>
    <row r="1233" spans="2:3" x14ac:dyDescent="0.25">
      <c r="B1233" s="818" t="s">
        <v>1317</v>
      </c>
      <c r="C1233" s="822">
        <v>91411</v>
      </c>
    </row>
    <row r="1234" spans="2:3" x14ac:dyDescent="0.25">
      <c r="B1234" s="818" t="s">
        <v>1899</v>
      </c>
      <c r="C1234" s="822">
        <v>98061</v>
      </c>
    </row>
    <row r="1235" spans="2:3" x14ac:dyDescent="0.25">
      <c r="B1235" s="818" t="s">
        <v>1531</v>
      </c>
      <c r="C1235" s="822">
        <v>93901</v>
      </c>
    </row>
    <row r="1236" spans="2:3" x14ac:dyDescent="0.25">
      <c r="B1236" s="818" t="s">
        <v>1532</v>
      </c>
      <c r="C1236" s="822">
        <v>93904</v>
      </c>
    </row>
    <row r="1237" spans="2:3" x14ac:dyDescent="0.25">
      <c r="B1237" s="818" t="s">
        <v>1533</v>
      </c>
      <c r="C1237" s="822">
        <v>93906</v>
      </c>
    </row>
    <row r="1238" spans="2:3" x14ac:dyDescent="0.25">
      <c r="B1238" s="818" t="s">
        <v>1534</v>
      </c>
      <c r="C1238" s="822">
        <v>93908</v>
      </c>
    </row>
    <row r="1239" spans="2:3" x14ac:dyDescent="0.25">
      <c r="B1239" s="818" t="s">
        <v>1619</v>
      </c>
      <c r="C1239" s="822">
        <v>94908</v>
      </c>
    </row>
    <row r="1240" spans="2:3" x14ac:dyDescent="0.25">
      <c r="B1240" s="818" t="s">
        <v>1188</v>
      </c>
      <c r="C1240" s="822">
        <v>90161</v>
      </c>
    </row>
    <row r="1241" spans="2:3" x14ac:dyDescent="0.25">
      <c r="B1241" s="818" t="s">
        <v>1541</v>
      </c>
      <c r="C1241" s="822">
        <v>94001</v>
      </c>
    </row>
    <row r="1242" spans="2:3" x14ac:dyDescent="0.25">
      <c r="B1242" s="818" t="s">
        <v>1543</v>
      </c>
      <c r="C1242" s="822">
        <v>94004</v>
      </c>
    </row>
    <row r="1243" spans="2:3" x14ac:dyDescent="0.25">
      <c r="B1243" s="818" t="s">
        <v>1554</v>
      </c>
      <c r="C1243" s="822">
        <v>94117</v>
      </c>
    </row>
    <row r="1244" spans="2:3" x14ac:dyDescent="0.25">
      <c r="B1244" s="818" t="s">
        <v>1552</v>
      </c>
      <c r="C1244" s="822">
        <v>94111</v>
      </c>
    </row>
    <row r="1245" spans="2:3" x14ac:dyDescent="0.25">
      <c r="B1245" s="818" t="s">
        <v>1822</v>
      </c>
      <c r="C1245" s="822">
        <v>97413</v>
      </c>
    </row>
    <row r="1246" spans="2:3" x14ac:dyDescent="0.25">
      <c r="B1246" s="818" t="s">
        <v>1821</v>
      </c>
      <c r="C1246" s="822">
        <v>97412</v>
      </c>
    </row>
    <row r="1247" spans="2:3" x14ac:dyDescent="0.25">
      <c r="B1247" s="818" t="s">
        <v>1820</v>
      </c>
      <c r="C1247" s="822">
        <v>97411</v>
      </c>
    </row>
    <row r="1248" spans="2:3" x14ac:dyDescent="0.25">
      <c r="B1248" s="818" t="s">
        <v>1825</v>
      </c>
      <c r="C1248" s="822">
        <v>97431</v>
      </c>
    </row>
    <row r="1249" spans="2:3" x14ac:dyDescent="0.25">
      <c r="B1249" s="818" t="s">
        <v>1830</v>
      </c>
      <c r="C1249" s="822">
        <v>97471</v>
      </c>
    </row>
    <row r="1250" spans="2:3" x14ac:dyDescent="0.25">
      <c r="B1250" s="818" t="s">
        <v>1385</v>
      </c>
      <c r="C1250" s="822">
        <v>92351</v>
      </c>
    </row>
    <row r="1251" spans="2:3" x14ac:dyDescent="0.25">
      <c r="B1251" s="818" t="s">
        <v>1555</v>
      </c>
      <c r="C1251" s="822">
        <v>94118</v>
      </c>
    </row>
    <row r="1252" spans="2:3" x14ac:dyDescent="0.25">
      <c r="B1252" s="818" t="s">
        <v>1548</v>
      </c>
      <c r="C1252" s="822">
        <v>94101</v>
      </c>
    </row>
    <row r="1253" spans="2:3" x14ac:dyDescent="0.25">
      <c r="B1253" s="818" t="s">
        <v>1549</v>
      </c>
      <c r="C1253" s="822">
        <v>94102</v>
      </c>
    </row>
    <row r="1254" spans="2:3" x14ac:dyDescent="0.25">
      <c r="B1254" s="818" t="s">
        <v>1565</v>
      </c>
      <c r="C1254" s="822">
        <v>94201</v>
      </c>
    </row>
    <row r="1255" spans="2:3" x14ac:dyDescent="0.25">
      <c r="B1255" s="818" t="s">
        <v>1566</v>
      </c>
      <c r="C1255" s="822">
        <v>94204</v>
      </c>
    </row>
    <row r="1256" spans="2:3" x14ac:dyDescent="0.25">
      <c r="B1256" s="818" t="s">
        <v>1567</v>
      </c>
      <c r="C1256" s="822">
        <v>94205</v>
      </c>
    </row>
    <row r="1257" spans="2:3" x14ac:dyDescent="0.25">
      <c r="B1257" s="818" t="s">
        <v>1689</v>
      </c>
      <c r="C1257" s="822">
        <v>95831</v>
      </c>
    </row>
    <row r="1258" spans="2:3" x14ac:dyDescent="0.25">
      <c r="B1258" s="818" t="s">
        <v>1853</v>
      </c>
      <c r="C1258" s="822">
        <v>97717</v>
      </c>
    </row>
    <row r="1259" spans="2:3" x14ac:dyDescent="0.25">
      <c r="B1259" s="818" t="s">
        <v>1854</v>
      </c>
      <c r="C1259" s="822">
        <v>97721</v>
      </c>
    </row>
    <row r="1260" spans="2:3" x14ac:dyDescent="0.25">
      <c r="B1260" s="818" t="s">
        <v>1575</v>
      </c>
      <c r="C1260" s="822">
        <v>94301</v>
      </c>
    </row>
    <row r="1261" spans="2:3" x14ac:dyDescent="0.25">
      <c r="B1261" s="818" t="s">
        <v>1322</v>
      </c>
      <c r="C1261" s="822">
        <v>91441</v>
      </c>
    </row>
    <row r="1262" spans="2:3" x14ac:dyDescent="0.25">
      <c r="B1262" s="818" t="s">
        <v>1408</v>
      </c>
      <c r="C1262" s="822">
        <v>92531</v>
      </c>
    </row>
    <row r="1263" spans="2:3" x14ac:dyDescent="0.25">
      <c r="B1263" s="818" t="s">
        <v>1186</v>
      </c>
      <c r="C1263" s="822">
        <v>90141</v>
      </c>
    </row>
    <row r="1264" spans="2:3" x14ac:dyDescent="0.25">
      <c r="B1264" s="818" t="s">
        <v>1584</v>
      </c>
      <c r="C1264" s="822">
        <v>94401</v>
      </c>
    </row>
    <row r="1265" spans="2:3" x14ac:dyDescent="0.25">
      <c r="B1265" s="818" t="s">
        <v>1585</v>
      </c>
      <c r="C1265" s="822">
        <v>94402</v>
      </c>
    </row>
    <row r="1266" spans="2:3" x14ac:dyDescent="0.25">
      <c r="B1266" s="818" t="s">
        <v>1594</v>
      </c>
      <c r="C1266" s="822">
        <v>94501</v>
      </c>
    </row>
    <row r="1267" spans="2:3" x14ac:dyDescent="0.25">
      <c r="B1267" s="818" t="s">
        <v>1983</v>
      </c>
      <c r="C1267" s="822">
        <v>99111</v>
      </c>
    </row>
    <row r="1268" spans="2:3" x14ac:dyDescent="0.25">
      <c r="B1268" s="818" t="s">
        <v>1597</v>
      </c>
      <c r="C1268" s="822">
        <v>94517</v>
      </c>
    </row>
    <row r="1269" spans="2:3" x14ac:dyDescent="0.25">
      <c r="B1269" s="818" t="s">
        <v>1596</v>
      </c>
      <c r="C1269" s="822">
        <v>94512</v>
      </c>
    </row>
    <row r="1270" spans="2:3" x14ac:dyDescent="0.25">
      <c r="B1270" s="818" t="s">
        <v>1595</v>
      </c>
      <c r="C1270" s="822">
        <v>94511</v>
      </c>
    </row>
    <row r="1271" spans="2:3" x14ac:dyDescent="0.25">
      <c r="B1271" s="818" t="s">
        <v>1810</v>
      </c>
      <c r="C1271" s="822">
        <v>97217</v>
      </c>
    </row>
    <row r="1272" spans="2:3" x14ac:dyDescent="0.25">
      <c r="B1272" s="818" t="s">
        <v>1605</v>
      </c>
      <c r="C1272" s="822">
        <v>94601</v>
      </c>
    </row>
    <row r="1273" spans="2:3" x14ac:dyDescent="0.25">
      <c r="B1273" s="818" t="s">
        <v>1606</v>
      </c>
      <c r="C1273" s="822">
        <v>94604</v>
      </c>
    </row>
    <row r="1274" spans="2:3" x14ac:dyDescent="0.25">
      <c r="B1274" s="818" t="s">
        <v>1607</v>
      </c>
      <c r="C1274" s="822">
        <v>94606</v>
      </c>
    </row>
    <row r="1275" spans="2:3" x14ac:dyDescent="0.25">
      <c r="B1275" s="818" t="s">
        <v>1809</v>
      </c>
      <c r="C1275" s="822">
        <v>97213</v>
      </c>
    </row>
    <row r="1276" spans="2:3" x14ac:dyDescent="0.25">
      <c r="B1276" s="818" t="s">
        <v>1808</v>
      </c>
      <c r="C1276" s="822">
        <v>97211</v>
      </c>
    </row>
    <row r="1277" spans="2:3" x14ac:dyDescent="0.25">
      <c r="B1277" s="818" t="s">
        <v>1349</v>
      </c>
      <c r="C1277" s="822">
        <v>91813</v>
      </c>
    </row>
    <row r="1278" spans="2:3" x14ac:dyDescent="0.25">
      <c r="B1278" s="818" t="s">
        <v>1347</v>
      </c>
      <c r="C1278" s="822">
        <v>91811</v>
      </c>
    </row>
    <row r="1279" spans="2:3" x14ac:dyDescent="0.25">
      <c r="B1279" s="818" t="s">
        <v>1348</v>
      </c>
      <c r="C1279" s="822">
        <v>91812</v>
      </c>
    </row>
    <row r="1280" spans="2:3" x14ac:dyDescent="0.25">
      <c r="B1280" s="818" t="s">
        <v>1213</v>
      </c>
      <c r="C1280" s="822">
        <v>90617</v>
      </c>
    </row>
    <row r="1281" spans="2:3" x14ac:dyDescent="0.25">
      <c r="B1281" s="818" t="s">
        <v>1557</v>
      </c>
      <c r="C1281" s="822">
        <v>94127</v>
      </c>
    </row>
    <row r="1282" spans="2:3" x14ac:dyDescent="0.25">
      <c r="B1282" s="818" t="s">
        <v>1556</v>
      </c>
      <c r="C1282" s="822">
        <v>94121</v>
      </c>
    </row>
    <row r="1283" spans="2:3" x14ac:dyDescent="0.25">
      <c r="B1283" s="818" t="s">
        <v>1677</v>
      </c>
      <c r="C1283" s="822">
        <v>95617</v>
      </c>
    </row>
    <row r="1284" spans="2:3" x14ac:dyDescent="0.25">
      <c r="B1284" s="818" t="s">
        <v>1678</v>
      </c>
      <c r="C1284" s="822">
        <v>95621</v>
      </c>
    </row>
    <row r="1285" spans="2:3" x14ac:dyDescent="0.25">
      <c r="B1285" s="818" t="s">
        <v>1304</v>
      </c>
      <c r="C1285" s="822">
        <v>91251</v>
      </c>
    </row>
    <row r="1286" spans="2:3" x14ac:dyDescent="0.25">
      <c r="B1286" s="818" t="s">
        <v>1786</v>
      </c>
      <c r="C1286" s="822">
        <v>96831</v>
      </c>
    </row>
    <row r="1287" spans="2:3" x14ac:dyDescent="0.25">
      <c r="B1287" s="818" t="s">
        <v>1573</v>
      </c>
      <c r="C1287" s="822">
        <v>94251</v>
      </c>
    </row>
    <row r="1288" spans="2:3" x14ac:dyDescent="0.25">
      <c r="B1288" s="818" t="s">
        <v>1612</v>
      </c>
      <c r="C1288" s="822">
        <v>94701</v>
      </c>
    </row>
    <row r="1289" spans="2:3" x14ac:dyDescent="0.25">
      <c r="B1289" s="818" t="s">
        <v>1613</v>
      </c>
      <c r="C1289" s="822">
        <v>94704</v>
      </c>
    </row>
    <row r="1290" spans="2:3" x14ac:dyDescent="0.25">
      <c r="B1290" s="818" t="s">
        <v>1253</v>
      </c>
      <c r="C1290" s="822">
        <v>91014</v>
      </c>
    </row>
    <row r="1291" spans="2:3" x14ac:dyDescent="0.25">
      <c r="B1291" s="818" t="s">
        <v>1778</v>
      </c>
      <c r="C1291" s="822">
        <v>96733</v>
      </c>
    </row>
    <row r="1292" spans="2:3" x14ac:dyDescent="0.25">
      <c r="B1292" s="818" t="s">
        <v>1777</v>
      </c>
      <c r="C1292" s="822">
        <v>96731</v>
      </c>
    </row>
    <row r="1293" spans="2:3" x14ac:dyDescent="0.25">
      <c r="B1293" s="818" t="s">
        <v>1985</v>
      </c>
      <c r="C1293" s="822">
        <v>99202</v>
      </c>
    </row>
    <row r="1294" spans="2:3" x14ac:dyDescent="0.25">
      <c r="B1294" s="818" t="s">
        <v>1545</v>
      </c>
      <c r="C1294" s="822">
        <v>94011</v>
      </c>
    </row>
    <row r="1295" spans="2:3" x14ac:dyDescent="0.25">
      <c r="B1295" s="818" t="s">
        <v>1422</v>
      </c>
      <c r="C1295" s="822">
        <v>92631</v>
      </c>
    </row>
    <row r="1296" spans="2:3" x14ac:dyDescent="0.25">
      <c r="B1296" s="818" t="s">
        <v>1682</v>
      </c>
      <c r="C1296" s="822">
        <v>95733</v>
      </c>
    </row>
    <row r="1297" spans="2:3" x14ac:dyDescent="0.25">
      <c r="B1297" s="818" t="s">
        <v>1321</v>
      </c>
      <c r="C1297" s="822">
        <v>91431</v>
      </c>
    </row>
    <row r="1298" spans="2:3" x14ac:dyDescent="0.25">
      <c r="B1298" s="818" t="s">
        <v>1709</v>
      </c>
      <c r="C1298" s="822">
        <v>96041</v>
      </c>
    </row>
    <row r="1299" spans="2:3" x14ac:dyDescent="0.25">
      <c r="B1299" s="818" t="s">
        <v>1615</v>
      </c>
      <c r="C1299" s="822">
        <v>94801</v>
      </c>
    </row>
    <row r="1300" spans="2:3" x14ac:dyDescent="0.25">
      <c r="B1300" s="818" t="s">
        <v>1616</v>
      </c>
      <c r="C1300" s="822">
        <v>94804</v>
      </c>
    </row>
    <row r="1301" spans="2:3" x14ac:dyDescent="0.25">
      <c r="B1301" s="818" t="s">
        <v>1337</v>
      </c>
      <c r="C1301" s="822">
        <v>91661</v>
      </c>
    </row>
    <row r="1302" spans="2:3" x14ac:dyDescent="0.25">
      <c r="B1302" s="818" t="s">
        <v>3478</v>
      </c>
      <c r="C1302" s="822">
        <v>99014</v>
      </c>
    </row>
    <row r="1303" spans="2:3" x14ac:dyDescent="0.25">
      <c r="B1303" s="818" t="s">
        <v>1974</v>
      </c>
      <c r="C1303" s="822">
        <v>99051</v>
      </c>
    </row>
    <row r="1304" spans="2:3" x14ac:dyDescent="0.25">
      <c r="B1304" s="818" t="s">
        <v>1618</v>
      </c>
      <c r="C1304" s="822">
        <v>94901</v>
      </c>
    </row>
    <row r="1305" spans="2:3" x14ac:dyDescent="0.25">
      <c r="B1305" s="818" t="s">
        <v>1907</v>
      </c>
      <c r="C1305" s="822">
        <v>98109</v>
      </c>
    </row>
    <row r="1306" spans="2:3" x14ac:dyDescent="0.25">
      <c r="B1306" s="818" t="s">
        <v>1916</v>
      </c>
      <c r="C1306" s="822">
        <v>98205</v>
      </c>
    </row>
    <row r="1307" spans="2:3" x14ac:dyDescent="0.25">
      <c r="B1307" s="818" t="s">
        <v>1627</v>
      </c>
      <c r="C1307" s="822">
        <v>95001</v>
      </c>
    </row>
    <row r="1308" spans="2:3" x14ac:dyDescent="0.25">
      <c r="B1308" s="818" t="s">
        <v>3479</v>
      </c>
      <c r="C1308" s="822">
        <v>95017</v>
      </c>
    </row>
    <row r="1309" spans="2:3" x14ac:dyDescent="0.25">
      <c r="B1309" s="818" t="s">
        <v>1769</v>
      </c>
      <c r="C1309" s="822">
        <v>96661</v>
      </c>
    </row>
    <row r="1310" spans="2:3" x14ac:dyDescent="0.25">
      <c r="B1310" s="818" t="s">
        <v>1775</v>
      </c>
      <c r="C1310" s="822">
        <v>96711</v>
      </c>
    </row>
    <row r="1311" spans="2:3" x14ac:dyDescent="0.25">
      <c r="B1311" s="818" t="s">
        <v>1558</v>
      </c>
      <c r="C1311" s="822">
        <v>94131</v>
      </c>
    </row>
    <row r="1312" spans="2:3" x14ac:dyDescent="0.25">
      <c r="B1312" s="818" t="s">
        <v>1690</v>
      </c>
      <c r="C1312" s="822">
        <v>95841</v>
      </c>
    </row>
    <row r="1313" spans="2:3" x14ac:dyDescent="0.25">
      <c r="B1313" s="818" t="s">
        <v>1208</v>
      </c>
      <c r="C1313" s="822">
        <v>90511</v>
      </c>
    </row>
    <row r="1314" spans="2:3" x14ac:dyDescent="0.25">
      <c r="B1314" s="818" t="s">
        <v>1634</v>
      </c>
      <c r="C1314" s="822">
        <v>95101</v>
      </c>
    </row>
    <row r="1315" spans="2:3" x14ac:dyDescent="0.25">
      <c r="B1315" s="818" t="s">
        <v>1636</v>
      </c>
      <c r="C1315" s="822">
        <v>95104</v>
      </c>
    </row>
    <row r="1316" spans="2:3" x14ac:dyDescent="0.25">
      <c r="B1316" s="818" t="s">
        <v>1637</v>
      </c>
      <c r="C1316" s="822">
        <v>95105</v>
      </c>
    </row>
    <row r="1317" spans="2:3" x14ac:dyDescent="0.25">
      <c r="B1317" s="818" t="s">
        <v>3480</v>
      </c>
      <c r="C1317" s="822">
        <v>95110</v>
      </c>
    </row>
    <row r="1318" spans="2:3" x14ac:dyDescent="0.25">
      <c r="B1318" s="818" t="s">
        <v>1652</v>
      </c>
      <c r="C1318" s="822">
        <v>95201</v>
      </c>
    </row>
    <row r="1319" spans="2:3" x14ac:dyDescent="0.25">
      <c r="B1319" s="818" t="s">
        <v>1653</v>
      </c>
      <c r="C1319" s="822">
        <v>95204</v>
      </c>
    </row>
    <row r="1320" spans="2:3" x14ac:dyDescent="0.25">
      <c r="B1320" s="818" t="s">
        <v>2056</v>
      </c>
      <c r="C1320" s="822">
        <v>99921</v>
      </c>
    </row>
    <row r="1321" spans="2:3" x14ac:dyDescent="0.25">
      <c r="B1321" s="818" t="s">
        <v>1586</v>
      </c>
      <c r="C1321" s="822">
        <v>94408</v>
      </c>
    </row>
    <row r="1322" spans="2:3" x14ac:dyDescent="0.25">
      <c r="B1322" s="818" t="s">
        <v>1314</v>
      </c>
      <c r="C1322" s="822">
        <v>91331</v>
      </c>
    </row>
    <row r="1323" spans="2:3" x14ac:dyDescent="0.25">
      <c r="B1323" s="818" t="s">
        <v>1456</v>
      </c>
      <c r="C1323" s="822">
        <v>93127</v>
      </c>
    </row>
    <row r="1324" spans="2:3" x14ac:dyDescent="0.25">
      <c r="B1324" s="818" t="s">
        <v>1455</v>
      </c>
      <c r="C1324" s="822">
        <v>93121</v>
      </c>
    </row>
    <row r="1325" spans="2:3" x14ac:dyDescent="0.25">
      <c r="B1325" s="818" t="s">
        <v>1649</v>
      </c>
      <c r="C1325" s="822">
        <v>95171</v>
      </c>
    </row>
    <row r="1326" spans="2:3" x14ac:dyDescent="0.25">
      <c r="B1326" s="818" t="s">
        <v>1492</v>
      </c>
      <c r="C1326" s="822">
        <v>93421</v>
      </c>
    </row>
    <row r="1327" spans="2:3" x14ac:dyDescent="0.25">
      <c r="B1327" s="818" t="s">
        <v>1982</v>
      </c>
      <c r="C1327" s="822">
        <v>99110</v>
      </c>
    </row>
    <row r="1328" spans="2:3" x14ac:dyDescent="0.25">
      <c r="B1328" s="818" t="s">
        <v>1981</v>
      </c>
      <c r="C1328" s="822">
        <v>99109</v>
      </c>
    </row>
    <row r="1329" spans="2:3" x14ac:dyDescent="0.25">
      <c r="B1329" s="818" t="s">
        <v>1434</v>
      </c>
      <c r="C1329" s="822">
        <v>92821</v>
      </c>
    </row>
    <row r="1330" spans="2:3" x14ac:dyDescent="0.25">
      <c r="B1330" s="818" t="s">
        <v>1945</v>
      </c>
      <c r="C1330" s="822">
        <v>98521</v>
      </c>
    </row>
    <row r="1331" spans="2:3" x14ac:dyDescent="0.25">
      <c r="B1331" s="818" t="s">
        <v>1382</v>
      </c>
      <c r="C1331" s="822">
        <v>92327</v>
      </c>
    </row>
    <row r="1332" spans="2:3" x14ac:dyDescent="0.25">
      <c r="B1332" s="818" t="s">
        <v>1381</v>
      </c>
      <c r="C1332" s="822">
        <v>92321</v>
      </c>
    </row>
    <row r="1333" spans="2:3" x14ac:dyDescent="0.25">
      <c r="B1333" s="818" t="s">
        <v>1666</v>
      </c>
      <c r="C1333" s="822">
        <v>95413</v>
      </c>
    </row>
    <row r="1334" spans="2:3" x14ac:dyDescent="0.25">
      <c r="B1334" s="818" t="s">
        <v>1664</v>
      </c>
      <c r="C1334" s="822">
        <v>95411</v>
      </c>
    </row>
    <row r="1335" spans="2:3" x14ac:dyDescent="0.25">
      <c r="B1335" s="818" t="s">
        <v>1667</v>
      </c>
      <c r="C1335" s="822">
        <v>95415</v>
      </c>
    </row>
    <row r="1336" spans="2:3" x14ac:dyDescent="0.25">
      <c r="B1336" s="818" t="s">
        <v>1437</v>
      </c>
      <c r="C1336" s="822">
        <v>92851</v>
      </c>
    </row>
    <row r="1337" spans="2:3" x14ac:dyDescent="0.25">
      <c r="B1337" s="818" t="s">
        <v>2005</v>
      </c>
      <c r="C1337" s="822">
        <v>99291</v>
      </c>
    </row>
    <row r="1338" spans="2:3" x14ac:dyDescent="0.25">
      <c r="B1338" s="818" t="s">
        <v>1760</v>
      </c>
      <c r="C1338" s="822">
        <v>96541</v>
      </c>
    </row>
    <row r="1339" spans="2:3" x14ac:dyDescent="0.25">
      <c r="B1339" s="818" t="s">
        <v>1669</v>
      </c>
      <c r="C1339" s="822">
        <v>95431</v>
      </c>
    </row>
    <row r="1340" spans="2:3" x14ac:dyDescent="0.25">
      <c r="B1340" s="818" t="s">
        <v>1911</v>
      </c>
      <c r="C1340" s="822">
        <v>98131</v>
      </c>
    </row>
    <row r="1341" spans="2:3" x14ac:dyDescent="0.25">
      <c r="B1341" s="818" t="s">
        <v>1392</v>
      </c>
      <c r="C1341" s="822">
        <v>92427</v>
      </c>
    </row>
    <row r="1342" spans="2:3" x14ac:dyDescent="0.25">
      <c r="B1342" s="818" t="s">
        <v>1397</v>
      </c>
      <c r="C1342" s="822">
        <v>92461</v>
      </c>
    </row>
    <row r="1343" spans="2:3" x14ac:dyDescent="0.25">
      <c r="B1343" s="818" t="s">
        <v>1898</v>
      </c>
      <c r="C1343" s="822">
        <v>98051</v>
      </c>
    </row>
    <row r="1344" spans="2:3" x14ac:dyDescent="0.25">
      <c r="B1344" s="818" t="s">
        <v>1273</v>
      </c>
      <c r="C1344" s="822">
        <v>91102</v>
      </c>
    </row>
    <row r="1345" spans="2:3" x14ac:dyDescent="0.25">
      <c r="B1345" s="818" t="s">
        <v>1599</v>
      </c>
      <c r="C1345" s="822">
        <v>94527</v>
      </c>
    </row>
    <row r="1346" spans="2:3" x14ac:dyDescent="0.25">
      <c r="B1346" s="818" t="s">
        <v>1598</v>
      </c>
      <c r="C1346" s="822">
        <v>94521</v>
      </c>
    </row>
    <row r="1347" spans="2:3" x14ac:dyDescent="0.25">
      <c r="B1347" s="818" t="s">
        <v>1930</v>
      </c>
      <c r="C1347" s="822">
        <v>98313</v>
      </c>
    </row>
    <row r="1348" spans="2:3" x14ac:dyDescent="0.25">
      <c r="B1348" s="818" t="s">
        <v>1929</v>
      </c>
      <c r="C1348" s="822">
        <v>98311</v>
      </c>
    </row>
    <row r="1349" spans="2:3" x14ac:dyDescent="0.25">
      <c r="B1349" s="818" t="s">
        <v>1928</v>
      </c>
      <c r="C1349" s="822">
        <v>98308</v>
      </c>
    </row>
    <row r="1350" spans="2:3" x14ac:dyDescent="0.25">
      <c r="B1350" s="818" t="s">
        <v>1384</v>
      </c>
      <c r="C1350" s="822">
        <v>92341</v>
      </c>
    </row>
    <row r="1351" spans="2:3" x14ac:dyDescent="0.25">
      <c r="B1351" s="818" t="s">
        <v>1657</v>
      </c>
      <c r="C1351" s="822">
        <v>95301</v>
      </c>
    </row>
    <row r="1352" spans="2:3" x14ac:dyDescent="0.25">
      <c r="B1352" s="818" t="s">
        <v>1243</v>
      </c>
      <c r="C1352" s="822">
        <v>91002</v>
      </c>
    </row>
    <row r="1353" spans="2:3" x14ac:dyDescent="0.25">
      <c r="B1353" s="818" t="s">
        <v>1324</v>
      </c>
      <c r="C1353" s="822">
        <v>91457</v>
      </c>
    </row>
    <row r="1354" spans="2:3" x14ac:dyDescent="0.25">
      <c r="B1354" s="818" t="s">
        <v>1661</v>
      </c>
      <c r="C1354" s="822">
        <v>95401</v>
      </c>
    </row>
    <row r="1355" spans="2:3" x14ac:dyDescent="0.25">
      <c r="B1355" s="818" t="s">
        <v>1662</v>
      </c>
      <c r="C1355" s="822">
        <v>95404</v>
      </c>
    </row>
    <row r="1356" spans="2:3" x14ac:dyDescent="0.25">
      <c r="B1356" s="818" t="s">
        <v>1320</v>
      </c>
      <c r="C1356" s="822">
        <v>91423</v>
      </c>
    </row>
    <row r="1357" spans="2:3" x14ac:dyDescent="0.25">
      <c r="B1357" s="818" t="s">
        <v>1323</v>
      </c>
      <c r="C1357" s="822">
        <v>91451</v>
      </c>
    </row>
    <row r="1358" spans="2:3" x14ac:dyDescent="0.25">
      <c r="B1358" s="818" t="s">
        <v>1234</v>
      </c>
      <c r="C1358" s="822">
        <v>90861</v>
      </c>
    </row>
    <row r="1359" spans="2:3" x14ac:dyDescent="0.25">
      <c r="B1359" s="818" t="s">
        <v>1496</v>
      </c>
      <c r="C1359" s="822">
        <v>93451</v>
      </c>
    </row>
    <row r="1360" spans="2:3" x14ac:dyDescent="0.25">
      <c r="B1360" s="818" t="s">
        <v>1442</v>
      </c>
      <c r="C1360" s="822">
        <v>92917</v>
      </c>
    </row>
    <row r="1361" spans="2:3" x14ac:dyDescent="0.25">
      <c r="B1361" s="818" t="s">
        <v>1444</v>
      </c>
      <c r="C1361" s="822">
        <v>92931</v>
      </c>
    </row>
    <row r="1362" spans="2:3" x14ac:dyDescent="0.25">
      <c r="B1362" s="818" t="s">
        <v>1845</v>
      </c>
      <c r="C1362" s="822">
        <v>97637</v>
      </c>
    </row>
    <row r="1363" spans="2:3" x14ac:dyDescent="0.25">
      <c r="B1363" s="818" t="s">
        <v>1844</v>
      </c>
      <c r="C1363" s="822">
        <v>97631</v>
      </c>
    </row>
    <row r="1364" spans="2:3" x14ac:dyDescent="0.25">
      <c r="B1364" s="818" t="s">
        <v>1201</v>
      </c>
      <c r="C1364" s="822">
        <v>90421</v>
      </c>
    </row>
    <row r="1365" spans="2:3" x14ac:dyDescent="0.25">
      <c r="B1365" s="818" t="s">
        <v>1579</v>
      </c>
      <c r="C1365" s="822">
        <v>94321</v>
      </c>
    </row>
    <row r="1366" spans="2:3" x14ac:dyDescent="0.25">
      <c r="B1366" s="818" t="s">
        <v>1670</v>
      </c>
      <c r="C1366" s="822">
        <v>95501</v>
      </c>
    </row>
    <row r="1367" spans="2:3" x14ac:dyDescent="0.25">
      <c r="B1367" s="818" t="s">
        <v>1671</v>
      </c>
      <c r="C1367" s="822">
        <v>95504</v>
      </c>
    </row>
    <row r="1368" spans="2:3" x14ac:dyDescent="0.25">
      <c r="B1368" s="818" t="s">
        <v>1674</v>
      </c>
      <c r="C1368" s="822">
        <v>95517</v>
      </c>
    </row>
    <row r="1369" spans="2:3" x14ac:dyDescent="0.25">
      <c r="B1369" s="818" t="s">
        <v>1673</v>
      </c>
      <c r="C1369" s="822">
        <v>95513</v>
      </c>
    </row>
    <row r="1370" spans="2:3" x14ac:dyDescent="0.25">
      <c r="B1370" s="818" t="s">
        <v>1672</v>
      </c>
      <c r="C1370" s="822">
        <v>95511</v>
      </c>
    </row>
    <row r="1371" spans="2:3" x14ac:dyDescent="0.25">
      <c r="B1371" s="818" t="s">
        <v>1424</v>
      </c>
      <c r="C1371" s="822">
        <v>92651</v>
      </c>
    </row>
    <row r="1372" spans="2:3" x14ac:dyDescent="0.25">
      <c r="B1372" s="818" t="s">
        <v>1574</v>
      </c>
      <c r="C1372" s="822">
        <v>94261</v>
      </c>
    </row>
    <row r="1373" spans="2:3" x14ac:dyDescent="0.25">
      <c r="B1373" s="818" t="s">
        <v>1938</v>
      </c>
      <c r="C1373" s="822">
        <v>98431</v>
      </c>
    </row>
    <row r="1374" spans="2:3" x14ac:dyDescent="0.25">
      <c r="B1374" s="818" t="s">
        <v>1354</v>
      </c>
      <c r="C1374" s="822">
        <v>91841</v>
      </c>
    </row>
    <row r="1375" spans="2:3" x14ac:dyDescent="0.25">
      <c r="B1375" s="818" t="s">
        <v>1503</v>
      </c>
      <c r="C1375" s="822">
        <v>93527</v>
      </c>
    </row>
    <row r="1376" spans="2:3" x14ac:dyDescent="0.25">
      <c r="B1376" s="818" t="s">
        <v>1502</v>
      </c>
      <c r="C1376" s="822">
        <v>93521</v>
      </c>
    </row>
    <row r="1377" spans="2:3" x14ac:dyDescent="0.25">
      <c r="B1377" s="818" t="s">
        <v>1520</v>
      </c>
      <c r="C1377" s="822">
        <v>93661</v>
      </c>
    </row>
    <row r="1378" spans="2:3" x14ac:dyDescent="0.25">
      <c r="B1378" s="818" t="s">
        <v>1754</v>
      </c>
      <c r="C1378" s="822">
        <v>96508</v>
      </c>
    </row>
    <row r="1379" spans="2:3" x14ac:dyDescent="0.25">
      <c r="B1379" s="818" t="s">
        <v>2052</v>
      </c>
      <c r="C1379" s="822">
        <v>99841</v>
      </c>
    </row>
    <row r="1380" spans="2:3" x14ac:dyDescent="0.25">
      <c r="B1380" s="818" t="s">
        <v>1858</v>
      </c>
      <c r="C1380" s="822">
        <v>97802</v>
      </c>
    </row>
    <row r="1381" spans="2:3" x14ac:dyDescent="0.25">
      <c r="B1381" s="818" t="s">
        <v>1862</v>
      </c>
      <c r="C1381" s="822">
        <v>97817</v>
      </c>
    </row>
    <row r="1382" spans="2:3" x14ac:dyDescent="0.25">
      <c r="B1382" s="818" t="s">
        <v>1863</v>
      </c>
      <c r="C1382" s="822">
        <v>97818</v>
      </c>
    </row>
    <row r="1383" spans="2:3" x14ac:dyDescent="0.25">
      <c r="B1383" s="818" t="s">
        <v>1861</v>
      </c>
      <c r="C1383" s="822">
        <v>97811</v>
      </c>
    </row>
    <row r="1384" spans="2:3" x14ac:dyDescent="0.25">
      <c r="B1384" s="818" t="s">
        <v>1483</v>
      </c>
      <c r="C1384" s="822">
        <v>93341</v>
      </c>
    </row>
    <row r="1385" spans="2:3" x14ac:dyDescent="0.25">
      <c r="B1385" s="818" t="s">
        <v>1675</v>
      </c>
      <c r="C1385" s="822">
        <v>95601</v>
      </c>
    </row>
    <row r="1386" spans="2:3" x14ac:dyDescent="0.25">
      <c r="B1386" s="818" t="s">
        <v>1883</v>
      </c>
      <c r="C1386" s="822">
        <v>97947</v>
      </c>
    </row>
    <row r="1387" spans="2:3" x14ac:dyDescent="0.25">
      <c r="B1387" s="818" t="s">
        <v>1679</v>
      </c>
      <c r="C1387" s="822">
        <v>95701</v>
      </c>
    </row>
    <row r="1388" spans="2:3" x14ac:dyDescent="0.25">
      <c r="B1388" s="818" t="s">
        <v>1882</v>
      </c>
      <c r="C1388" s="822">
        <v>97941</v>
      </c>
    </row>
    <row r="1389" spans="2:3" x14ac:dyDescent="0.25">
      <c r="B1389" s="818" t="s">
        <v>1884</v>
      </c>
      <c r="C1389" s="822">
        <v>97948</v>
      </c>
    </row>
    <row r="1390" spans="2:3" x14ac:dyDescent="0.25">
      <c r="B1390" s="818" t="s">
        <v>1590</v>
      </c>
      <c r="C1390" s="822">
        <v>94427</v>
      </c>
    </row>
    <row r="1391" spans="2:3" x14ac:dyDescent="0.25">
      <c r="B1391" s="818" t="s">
        <v>1591</v>
      </c>
      <c r="C1391" s="822">
        <v>94428</v>
      </c>
    </row>
    <row r="1392" spans="2:3" x14ac:dyDescent="0.25">
      <c r="B1392" s="818" t="s">
        <v>1589</v>
      </c>
      <c r="C1392" s="822">
        <v>94421</v>
      </c>
    </row>
    <row r="1393" spans="2:3" x14ac:dyDescent="0.25">
      <c r="B1393" s="818" t="s">
        <v>1465</v>
      </c>
      <c r="C1393" s="822">
        <v>93191</v>
      </c>
    </row>
    <row r="1394" spans="2:3" x14ac:dyDescent="0.25">
      <c r="B1394" s="818" t="s">
        <v>1353</v>
      </c>
      <c r="C1394" s="822">
        <v>91831</v>
      </c>
    </row>
    <row r="1395" spans="2:3" x14ac:dyDescent="0.25">
      <c r="B1395" s="818" t="s">
        <v>1435</v>
      </c>
      <c r="C1395" s="822">
        <v>92831</v>
      </c>
    </row>
    <row r="1396" spans="2:3" x14ac:dyDescent="0.25">
      <c r="B1396" s="818" t="s">
        <v>1696</v>
      </c>
      <c r="C1396" s="822">
        <v>95917</v>
      </c>
    </row>
    <row r="1397" spans="2:3" x14ac:dyDescent="0.25">
      <c r="B1397" s="818" t="s">
        <v>1695</v>
      </c>
      <c r="C1397" s="822">
        <v>95911</v>
      </c>
    </row>
    <row r="1398" spans="2:3" x14ac:dyDescent="0.25">
      <c r="B1398" s="818" t="s">
        <v>1680</v>
      </c>
      <c r="C1398" s="822">
        <v>95711</v>
      </c>
    </row>
    <row r="1399" spans="2:3" x14ac:dyDescent="0.25">
      <c r="B1399" s="818" t="s">
        <v>1681</v>
      </c>
      <c r="C1399" s="822">
        <v>95721</v>
      </c>
    </row>
    <row r="1400" spans="2:3" x14ac:dyDescent="0.25">
      <c r="B1400" s="818" t="s">
        <v>1969</v>
      </c>
      <c r="C1400" s="822">
        <v>99021</v>
      </c>
    </row>
    <row r="1401" spans="2:3" x14ac:dyDescent="0.25">
      <c r="B1401" s="818" t="s">
        <v>1683</v>
      </c>
      <c r="C1401" s="822">
        <v>95801</v>
      </c>
    </row>
    <row r="1402" spans="2:3" x14ac:dyDescent="0.25">
      <c r="B1402" s="818" t="s">
        <v>1685</v>
      </c>
      <c r="C1402" s="822">
        <v>95804</v>
      </c>
    </row>
    <row r="1403" spans="2:3" x14ac:dyDescent="0.25">
      <c r="B1403" s="818" t="s">
        <v>1684</v>
      </c>
      <c r="C1403" s="822">
        <v>95802</v>
      </c>
    </row>
    <row r="1404" spans="2:3" x14ac:dyDescent="0.25">
      <c r="B1404" s="818" t="s">
        <v>1176</v>
      </c>
      <c r="C1404" s="822">
        <v>90092</v>
      </c>
    </row>
    <row r="1405" spans="2:3" x14ac:dyDescent="0.25">
      <c r="B1405" s="818" t="s">
        <v>1977</v>
      </c>
      <c r="C1405" s="822">
        <v>99081</v>
      </c>
    </row>
    <row r="1406" spans="2:3" x14ac:dyDescent="0.25">
      <c r="B1406" s="818" t="s">
        <v>1712</v>
      </c>
      <c r="C1406" s="822">
        <v>96071</v>
      </c>
    </row>
    <row r="1407" spans="2:3" x14ac:dyDescent="0.25">
      <c r="B1407" s="818" t="s">
        <v>1542</v>
      </c>
      <c r="C1407" s="822">
        <v>94002</v>
      </c>
    </row>
    <row r="1408" spans="2:3" x14ac:dyDescent="0.25">
      <c r="B1408" s="818" t="s">
        <v>1870</v>
      </c>
      <c r="C1408" s="822">
        <v>97847</v>
      </c>
    </row>
    <row r="1409" spans="2:3" x14ac:dyDescent="0.25">
      <c r="B1409" s="818" t="s">
        <v>1868</v>
      </c>
      <c r="C1409" s="822">
        <v>97840</v>
      </c>
    </row>
    <row r="1410" spans="2:3" x14ac:dyDescent="0.25">
      <c r="B1410" s="818" t="s">
        <v>1880</v>
      </c>
      <c r="C1410" s="822">
        <v>97921</v>
      </c>
    </row>
    <row r="1411" spans="2:3" x14ac:dyDescent="0.25">
      <c r="B1411" s="818" t="s">
        <v>1656</v>
      </c>
      <c r="C1411" s="822">
        <v>95221</v>
      </c>
    </row>
    <row r="1412" spans="2:3" x14ac:dyDescent="0.25">
      <c r="B1412" s="818" t="s">
        <v>1510</v>
      </c>
      <c r="C1412" s="822">
        <v>93610</v>
      </c>
    </row>
    <row r="1413" spans="2:3" x14ac:dyDescent="0.25">
      <c r="B1413" s="818" t="s">
        <v>3481</v>
      </c>
      <c r="C1413" s="822">
        <v>95901</v>
      </c>
    </row>
    <row r="1414" spans="2:3" x14ac:dyDescent="0.25">
      <c r="B1414" s="818" t="s">
        <v>1182</v>
      </c>
      <c r="C1414" s="822">
        <v>90114</v>
      </c>
    </row>
    <row r="1415" spans="2:3" x14ac:dyDescent="0.25">
      <c r="B1415" s="818" t="s">
        <v>1698</v>
      </c>
      <c r="C1415" s="822">
        <v>96001</v>
      </c>
    </row>
    <row r="1416" spans="2:3" x14ac:dyDescent="0.25">
      <c r="B1416" s="818" t="s">
        <v>1700</v>
      </c>
      <c r="C1416" s="822">
        <v>96004</v>
      </c>
    </row>
    <row r="1417" spans="2:3" x14ac:dyDescent="0.25">
      <c r="B1417" s="818" t="s">
        <v>1702</v>
      </c>
      <c r="C1417" s="822">
        <v>96008</v>
      </c>
    </row>
    <row r="1418" spans="2:3" x14ac:dyDescent="0.25">
      <c r="B1418" s="818" t="s">
        <v>1276</v>
      </c>
      <c r="C1418" s="822">
        <v>91108</v>
      </c>
    </row>
    <row r="1419" spans="2:3" x14ac:dyDescent="0.25">
      <c r="B1419" s="818" t="s">
        <v>1626</v>
      </c>
      <c r="C1419" s="822">
        <v>94941</v>
      </c>
    </row>
    <row r="1420" spans="2:3" x14ac:dyDescent="0.25">
      <c r="B1420" s="818" t="s">
        <v>1643</v>
      </c>
      <c r="C1420" s="822">
        <v>95122</v>
      </c>
    </row>
    <row r="1421" spans="2:3" x14ac:dyDescent="0.25">
      <c r="B1421" s="818" t="s">
        <v>3482</v>
      </c>
      <c r="C1421" s="822">
        <v>92607</v>
      </c>
    </row>
    <row r="1422" spans="2:3" x14ac:dyDescent="0.25">
      <c r="B1422" s="818" t="s">
        <v>1745</v>
      </c>
      <c r="C1422" s="822">
        <v>96431</v>
      </c>
    </row>
    <row r="1423" spans="2:3" x14ac:dyDescent="0.25">
      <c r="B1423" s="818" t="s">
        <v>3483</v>
      </c>
      <c r="C1423" s="822">
        <v>90709</v>
      </c>
    </row>
    <row r="1424" spans="2:3" x14ac:dyDescent="0.25">
      <c r="B1424" s="818" t="s">
        <v>1315</v>
      </c>
      <c r="C1424" s="822">
        <v>91341</v>
      </c>
    </row>
    <row r="1425" spans="2:3" x14ac:dyDescent="0.25">
      <c r="B1425" s="818" t="s">
        <v>1604</v>
      </c>
      <c r="C1425" s="822">
        <v>94551</v>
      </c>
    </row>
    <row r="1426" spans="2:3" x14ac:dyDescent="0.25">
      <c r="B1426" s="818" t="s">
        <v>3484</v>
      </c>
      <c r="C1426" s="822">
        <v>99022</v>
      </c>
    </row>
    <row r="1427" spans="2:3" x14ac:dyDescent="0.25">
      <c r="B1427" s="818" t="s">
        <v>1708</v>
      </c>
      <c r="C1427" s="822">
        <v>96031</v>
      </c>
    </row>
    <row r="1428" spans="2:3" x14ac:dyDescent="0.25">
      <c r="B1428" s="818" t="s">
        <v>1170</v>
      </c>
      <c r="C1428" s="822">
        <v>71786</v>
      </c>
    </row>
    <row r="1429" spans="2:3" x14ac:dyDescent="0.25">
      <c r="B1429" s="818" t="s">
        <v>1714</v>
      </c>
      <c r="C1429" s="822">
        <v>96101</v>
      </c>
    </row>
    <row r="1430" spans="2:3" x14ac:dyDescent="0.25">
      <c r="B1430" s="818" t="s">
        <v>1715</v>
      </c>
      <c r="C1430" s="822">
        <v>96102</v>
      </c>
    </row>
    <row r="1431" spans="2:3" x14ac:dyDescent="0.25">
      <c r="B1431" s="818" t="s">
        <v>1448</v>
      </c>
      <c r="C1431" s="822">
        <v>93011</v>
      </c>
    </row>
    <row r="1432" spans="2:3" x14ac:dyDescent="0.25">
      <c r="B1432" s="818" t="s">
        <v>1968</v>
      </c>
      <c r="C1432" s="822">
        <v>99017</v>
      </c>
    </row>
    <row r="1433" spans="2:3" x14ac:dyDescent="0.25">
      <c r="B1433" s="818" t="s">
        <v>1967</v>
      </c>
      <c r="C1433" s="822">
        <v>99013</v>
      </c>
    </row>
    <row r="1434" spans="2:3" x14ac:dyDescent="0.25">
      <c r="B1434" s="818" t="s">
        <v>1966</v>
      </c>
      <c r="C1434" s="822">
        <v>99011</v>
      </c>
    </row>
    <row r="1435" spans="2:3" x14ac:dyDescent="0.25">
      <c r="B1435" s="818" t="s">
        <v>1718</v>
      </c>
      <c r="C1435" s="822">
        <v>96201</v>
      </c>
    </row>
    <row r="1436" spans="2:3" x14ac:dyDescent="0.25">
      <c r="B1436" s="818" t="s">
        <v>1719</v>
      </c>
      <c r="C1436" s="822">
        <v>96204</v>
      </c>
    </row>
    <row r="1437" spans="2:3" x14ac:dyDescent="0.25">
      <c r="B1437" s="818" t="s">
        <v>1289</v>
      </c>
      <c r="C1437" s="822">
        <v>91161</v>
      </c>
    </row>
    <row r="1438" spans="2:3" x14ac:dyDescent="0.25">
      <c r="B1438" s="818" t="s">
        <v>1725</v>
      </c>
      <c r="C1438" s="822">
        <v>96301</v>
      </c>
    </row>
    <row r="1439" spans="2:3" x14ac:dyDescent="0.25">
      <c r="B1439" s="818" t="s">
        <v>1727</v>
      </c>
      <c r="C1439" s="822">
        <v>96304</v>
      </c>
    </row>
    <row r="1440" spans="2:3" x14ac:dyDescent="0.25">
      <c r="B1440" s="818" t="s">
        <v>1729</v>
      </c>
      <c r="C1440" s="822">
        <v>96310</v>
      </c>
    </row>
    <row r="1441" spans="2:3" x14ac:dyDescent="0.25">
      <c r="B1441" s="818" t="s">
        <v>1728</v>
      </c>
      <c r="C1441" s="822">
        <v>96305</v>
      </c>
    </row>
    <row r="1442" spans="2:3" x14ac:dyDescent="0.25">
      <c r="B1442" s="818" t="s">
        <v>1624</v>
      </c>
      <c r="C1442" s="822">
        <v>94927</v>
      </c>
    </row>
    <row r="1443" spans="2:3" x14ac:dyDescent="0.25">
      <c r="B1443" s="818" t="s">
        <v>1623</v>
      </c>
      <c r="C1443" s="822">
        <v>94923</v>
      </c>
    </row>
    <row r="1444" spans="2:3" x14ac:dyDescent="0.25">
      <c r="B1444" s="818" t="s">
        <v>1622</v>
      </c>
      <c r="C1444" s="822">
        <v>94921</v>
      </c>
    </row>
    <row r="1445" spans="2:3" x14ac:dyDescent="0.25">
      <c r="B1445" s="818" t="s">
        <v>1331</v>
      </c>
      <c r="C1445" s="822">
        <v>91611</v>
      </c>
    </row>
    <row r="1446" spans="2:3" x14ac:dyDescent="0.25">
      <c r="B1446" s="818" t="s">
        <v>1299</v>
      </c>
      <c r="C1446" s="822">
        <v>91217</v>
      </c>
    </row>
    <row r="1447" spans="2:3" x14ac:dyDescent="0.25">
      <c r="B1447" s="818" t="s">
        <v>1302</v>
      </c>
      <c r="C1447" s="822">
        <v>91233</v>
      </c>
    </row>
    <row r="1448" spans="2:3" x14ac:dyDescent="0.25">
      <c r="B1448" s="818" t="s">
        <v>1301</v>
      </c>
      <c r="C1448" s="822">
        <v>91231</v>
      </c>
    </row>
    <row r="1449" spans="2:3" x14ac:dyDescent="0.25">
      <c r="B1449" s="818" t="s">
        <v>1988</v>
      </c>
      <c r="C1449" s="822">
        <v>99206</v>
      </c>
    </row>
    <row r="1450" spans="2:3" x14ac:dyDescent="0.25">
      <c r="B1450" s="818" t="s">
        <v>1205</v>
      </c>
      <c r="C1450" s="822">
        <v>90461</v>
      </c>
    </row>
    <row r="1451" spans="2:3" x14ac:dyDescent="0.25">
      <c r="B1451" s="818" t="s">
        <v>1952</v>
      </c>
      <c r="C1451" s="822">
        <v>98631</v>
      </c>
    </row>
    <row r="1452" spans="2:3" x14ac:dyDescent="0.25">
      <c r="B1452" s="818" t="s">
        <v>1724</v>
      </c>
      <c r="C1452" s="822">
        <v>96251</v>
      </c>
    </row>
    <row r="1453" spans="2:3" x14ac:dyDescent="0.25">
      <c r="B1453" s="818" t="s">
        <v>2034</v>
      </c>
      <c r="C1453" s="822">
        <v>99623</v>
      </c>
    </row>
    <row r="1454" spans="2:3" x14ac:dyDescent="0.25">
      <c r="B1454" s="818" t="s">
        <v>2033</v>
      </c>
      <c r="C1454" s="822">
        <v>99621</v>
      </c>
    </row>
    <row r="1455" spans="2:3" x14ac:dyDescent="0.25">
      <c r="B1455" s="818" t="s">
        <v>1312</v>
      </c>
      <c r="C1455" s="822">
        <v>91321</v>
      </c>
    </row>
    <row r="1456" spans="2:3" x14ac:dyDescent="0.25">
      <c r="B1456" s="818" t="s">
        <v>1953</v>
      </c>
      <c r="C1456" s="822">
        <v>98637</v>
      </c>
    </row>
    <row r="1457" spans="2:3" x14ac:dyDescent="0.25">
      <c r="B1457" s="818" t="s">
        <v>1524</v>
      </c>
      <c r="C1457" s="822">
        <v>93691</v>
      </c>
    </row>
    <row r="1458" spans="2:3" x14ac:dyDescent="0.25">
      <c r="B1458" s="818" t="s">
        <v>1313</v>
      </c>
      <c r="C1458" s="822">
        <v>91327</v>
      </c>
    </row>
    <row r="1459" spans="2:3" x14ac:dyDescent="0.25">
      <c r="B1459" s="818" t="s">
        <v>1609</v>
      </c>
      <c r="C1459" s="822">
        <v>94621</v>
      </c>
    </row>
    <row r="1460" spans="2:3" x14ac:dyDescent="0.25">
      <c r="B1460" s="818" t="s">
        <v>1369</v>
      </c>
      <c r="C1460" s="822">
        <v>92017</v>
      </c>
    </row>
    <row r="1461" spans="2:3" x14ac:dyDescent="0.25">
      <c r="B1461" s="818" t="s">
        <v>1368</v>
      </c>
      <c r="C1461" s="822">
        <v>92011</v>
      </c>
    </row>
    <row r="1462" spans="2:3" x14ac:dyDescent="0.25">
      <c r="B1462" s="818" t="s">
        <v>2059</v>
      </c>
      <c r="C1462" s="828">
        <v>99991</v>
      </c>
    </row>
    <row r="1463" spans="2:3" x14ac:dyDescent="0.25">
      <c r="B1463" s="818" t="s">
        <v>2060</v>
      </c>
      <c r="C1463" s="828">
        <v>99999</v>
      </c>
    </row>
    <row r="1464" spans="2:3" x14ac:dyDescent="0.25">
      <c r="B1464" s="818" t="s">
        <v>1433</v>
      </c>
      <c r="C1464" s="822">
        <v>92811</v>
      </c>
    </row>
    <row r="1465" spans="2:3" x14ac:dyDescent="0.25">
      <c r="B1465" s="818" t="s">
        <v>1367</v>
      </c>
      <c r="C1465" s="822">
        <v>92005</v>
      </c>
    </row>
    <row r="1466" spans="2:3" x14ac:dyDescent="0.25">
      <c r="B1466" s="818" t="s">
        <v>1740</v>
      </c>
      <c r="C1466" s="822">
        <v>96401</v>
      </c>
    </row>
    <row r="1467" spans="2:3" x14ac:dyDescent="0.25">
      <c r="B1467" s="818" t="s">
        <v>1741</v>
      </c>
      <c r="C1467" s="822">
        <v>96404</v>
      </c>
    </row>
    <row r="1468" spans="2:3" x14ac:dyDescent="0.25">
      <c r="B1468" s="818" t="s">
        <v>1744</v>
      </c>
      <c r="C1468" s="822">
        <v>96421</v>
      </c>
    </row>
    <row r="1469" spans="2:3" x14ac:dyDescent="0.25">
      <c r="B1469" s="818" t="s">
        <v>1663</v>
      </c>
      <c r="C1469" s="822">
        <v>95405</v>
      </c>
    </row>
    <row r="1470" spans="2:3" x14ac:dyDescent="0.25">
      <c r="B1470" s="818" t="s">
        <v>1544</v>
      </c>
      <c r="C1470" s="822">
        <v>94005</v>
      </c>
    </row>
    <row r="1471" spans="2:3" x14ac:dyDescent="0.25">
      <c r="B1471" s="818" t="s">
        <v>1654</v>
      </c>
      <c r="C1471" s="822">
        <v>95205</v>
      </c>
    </row>
    <row r="1472" spans="2:3" x14ac:dyDescent="0.25">
      <c r="B1472" s="818" t="s">
        <v>1403</v>
      </c>
      <c r="C1472" s="822">
        <v>92507</v>
      </c>
    </row>
    <row r="1473" spans="2:3" x14ac:dyDescent="0.25">
      <c r="B1473" s="818" t="s">
        <v>1406</v>
      </c>
      <c r="C1473" s="822">
        <v>92511</v>
      </c>
    </row>
    <row r="1474" spans="2:3" x14ac:dyDescent="0.25">
      <c r="B1474" s="818" t="s">
        <v>1750</v>
      </c>
      <c r="C1474" s="822">
        <v>96502</v>
      </c>
    </row>
    <row r="1475" spans="2:3" x14ac:dyDescent="0.25">
      <c r="B1475" s="818" t="s">
        <v>1749</v>
      </c>
      <c r="C1475" s="822">
        <v>96501</v>
      </c>
    </row>
    <row r="1476" spans="2:3" x14ac:dyDescent="0.25">
      <c r="B1476" s="818" t="s">
        <v>1752</v>
      </c>
      <c r="C1476" s="822">
        <v>96504</v>
      </c>
    </row>
    <row r="1477" spans="2:3" x14ac:dyDescent="0.25">
      <c r="B1477" s="818" t="s">
        <v>1878</v>
      </c>
      <c r="C1477" s="822">
        <v>97913</v>
      </c>
    </row>
    <row r="1478" spans="2:3" x14ac:dyDescent="0.25">
      <c r="B1478" s="818" t="s">
        <v>1214</v>
      </c>
      <c r="C1478" s="822">
        <v>90621</v>
      </c>
    </row>
    <row r="1479" spans="2:3" x14ac:dyDescent="0.25">
      <c r="B1479" s="818" t="s">
        <v>1332</v>
      </c>
      <c r="C1479" s="822">
        <v>91621</v>
      </c>
    </row>
    <row r="1480" spans="2:3" x14ac:dyDescent="0.25">
      <c r="B1480" s="818" t="s">
        <v>1920</v>
      </c>
      <c r="C1480" s="822">
        <v>98231</v>
      </c>
    </row>
    <row r="1481" spans="2:3" x14ac:dyDescent="0.25">
      <c r="B1481" s="818" t="s">
        <v>1357</v>
      </c>
      <c r="C1481" s="822">
        <v>91871</v>
      </c>
    </row>
    <row r="1482" spans="2:3" x14ac:dyDescent="0.25">
      <c r="B1482" s="818" t="s">
        <v>2008</v>
      </c>
      <c r="C1482" s="822">
        <v>99311</v>
      </c>
    </row>
    <row r="1483" spans="2:3" x14ac:dyDescent="0.25">
      <c r="B1483" s="818" t="s">
        <v>1780</v>
      </c>
      <c r="C1483" s="822">
        <v>96751</v>
      </c>
    </row>
    <row r="1484" spans="2:3" x14ac:dyDescent="0.25">
      <c r="B1484" s="818" t="s">
        <v>2041</v>
      </c>
      <c r="C1484" s="822">
        <v>99717</v>
      </c>
    </row>
    <row r="1485" spans="2:3" x14ac:dyDescent="0.25">
      <c r="B1485" s="818" t="s">
        <v>2040</v>
      </c>
      <c r="C1485" s="822">
        <v>99711</v>
      </c>
    </row>
    <row r="1486" spans="2:3" x14ac:dyDescent="0.25">
      <c r="B1486" s="818" t="s">
        <v>1761</v>
      </c>
      <c r="C1486" s="822">
        <v>96601</v>
      </c>
    </row>
    <row r="1487" spans="2:3" x14ac:dyDescent="0.25">
      <c r="B1487" s="818" t="s">
        <v>1762</v>
      </c>
      <c r="C1487" s="822">
        <v>96604</v>
      </c>
    </row>
    <row r="1488" spans="2:3" x14ac:dyDescent="0.25">
      <c r="B1488" s="818" t="s">
        <v>1252</v>
      </c>
      <c r="C1488" s="822">
        <v>91012</v>
      </c>
    </row>
    <row r="1489" spans="2:3" x14ac:dyDescent="0.25">
      <c r="B1489" s="818" t="s">
        <v>1195</v>
      </c>
      <c r="C1489" s="822">
        <v>90305</v>
      </c>
    </row>
    <row r="1490" spans="2:3" x14ac:dyDescent="0.25">
      <c r="B1490" s="818" t="s">
        <v>1937</v>
      </c>
      <c r="C1490" s="822">
        <v>98427</v>
      </c>
    </row>
    <row r="1491" spans="2:3" x14ac:dyDescent="0.25">
      <c r="B1491" s="818" t="s">
        <v>1936</v>
      </c>
      <c r="C1491" s="822">
        <v>98421</v>
      </c>
    </row>
    <row r="1492" spans="2:3" x14ac:dyDescent="0.25">
      <c r="B1492" s="818" t="s">
        <v>1688</v>
      </c>
      <c r="C1492" s="822">
        <v>95821</v>
      </c>
    </row>
    <row r="1493" spans="2:3" x14ac:dyDescent="0.25">
      <c r="B1493" s="818" t="s">
        <v>1259</v>
      </c>
      <c r="C1493" s="822">
        <v>91027</v>
      </c>
    </row>
    <row r="1494" spans="2:3" x14ac:dyDescent="0.25">
      <c r="B1494" s="818" t="s">
        <v>1256</v>
      </c>
      <c r="C1494" s="822">
        <v>91021</v>
      </c>
    </row>
    <row r="1495" spans="2:3" x14ac:dyDescent="0.25">
      <c r="B1495" s="818" t="s">
        <v>1561</v>
      </c>
      <c r="C1495" s="822">
        <v>94161</v>
      </c>
    </row>
    <row r="1496" spans="2:3" x14ac:dyDescent="0.25">
      <c r="B1496" s="818" t="s">
        <v>1939</v>
      </c>
      <c r="C1496" s="822">
        <v>98441</v>
      </c>
    </row>
    <row r="1497" spans="2:3" x14ac:dyDescent="0.25">
      <c r="B1497" s="818" t="s">
        <v>1267</v>
      </c>
      <c r="C1497" s="822">
        <v>91067</v>
      </c>
    </row>
    <row r="1498" spans="2:3" x14ac:dyDescent="0.25">
      <c r="B1498" s="818" t="s">
        <v>1266</v>
      </c>
      <c r="C1498" s="822">
        <v>91061</v>
      </c>
    </row>
    <row r="1499" spans="2:3" x14ac:dyDescent="0.25">
      <c r="B1499" s="818" t="s">
        <v>1617</v>
      </c>
      <c r="C1499" s="822">
        <v>94812</v>
      </c>
    </row>
    <row r="1500" spans="2:3" x14ac:dyDescent="0.25">
      <c r="B1500" s="818" t="s">
        <v>1697</v>
      </c>
      <c r="C1500" s="822">
        <v>95921</v>
      </c>
    </row>
    <row r="1501" spans="2:3" x14ac:dyDescent="0.25">
      <c r="B1501" s="818" t="s">
        <v>1772</v>
      </c>
      <c r="C1501" s="822">
        <v>96701</v>
      </c>
    </row>
    <row r="1502" spans="2:3" x14ac:dyDescent="0.25">
      <c r="B1502" s="818" t="s">
        <v>1773</v>
      </c>
      <c r="C1502" s="822">
        <v>96704</v>
      </c>
    </row>
    <row r="1503" spans="2:3" x14ac:dyDescent="0.25">
      <c r="B1503" s="818" t="s">
        <v>1774</v>
      </c>
      <c r="C1503" s="822">
        <v>96708</v>
      </c>
    </row>
    <row r="1504" spans="2:3" x14ac:dyDescent="0.25">
      <c r="B1504" s="818" t="s">
        <v>1781</v>
      </c>
      <c r="C1504" s="822">
        <v>96801</v>
      </c>
    </row>
    <row r="1505" spans="2:3" x14ac:dyDescent="0.25">
      <c r="B1505" s="818" t="s">
        <v>1782</v>
      </c>
      <c r="C1505" s="822">
        <v>96804</v>
      </c>
    </row>
    <row r="1506" spans="2:3" x14ac:dyDescent="0.25">
      <c r="B1506" s="818" t="s">
        <v>1783</v>
      </c>
      <c r="C1506" s="822">
        <v>96808</v>
      </c>
    </row>
    <row r="1507" spans="2:3" x14ac:dyDescent="0.25">
      <c r="B1507" s="818" t="s">
        <v>1789</v>
      </c>
      <c r="C1507" s="822">
        <v>96912</v>
      </c>
    </row>
    <row r="1508" spans="2:3" x14ac:dyDescent="0.25">
      <c r="B1508" s="818" t="s">
        <v>1537</v>
      </c>
      <c r="C1508" s="822">
        <v>93913</v>
      </c>
    </row>
    <row r="1509" spans="2:3" x14ac:dyDescent="0.25">
      <c r="B1509" s="818" t="s">
        <v>1536</v>
      </c>
      <c r="C1509" s="822">
        <v>93911</v>
      </c>
    </row>
    <row r="1510" spans="2:3" x14ac:dyDescent="0.25">
      <c r="B1510" s="818" t="s">
        <v>1787</v>
      </c>
      <c r="C1510" s="822">
        <v>96901</v>
      </c>
    </row>
    <row r="1511" spans="2:3" x14ac:dyDescent="0.25">
      <c r="B1511" s="818" t="s">
        <v>3485</v>
      </c>
      <c r="C1511" s="822">
        <v>97841</v>
      </c>
    </row>
    <row r="1512" spans="2:3" x14ac:dyDescent="0.25">
      <c r="B1512" s="818" t="s">
        <v>1467</v>
      </c>
      <c r="C1512" s="822">
        <v>93202</v>
      </c>
    </row>
    <row r="1513" spans="2:3" x14ac:dyDescent="0.25">
      <c r="B1513" s="818" t="s">
        <v>3486</v>
      </c>
      <c r="C1513" s="822">
        <v>93609</v>
      </c>
    </row>
    <row r="1514" spans="2:3" x14ac:dyDescent="0.25">
      <c r="B1514" s="818" t="s">
        <v>1791</v>
      </c>
      <c r="C1514" s="822">
        <v>97001</v>
      </c>
    </row>
    <row r="1515" spans="2:3" x14ac:dyDescent="0.25">
      <c r="B1515" s="818" t="s">
        <v>1793</v>
      </c>
      <c r="C1515" s="822">
        <v>97004</v>
      </c>
    </row>
    <row r="1516" spans="2:3" x14ac:dyDescent="0.25">
      <c r="B1516" s="818" t="s">
        <v>1792</v>
      </c>
      <c r="C1516" s="822">
        <v>97002</v>
      </c>
    </row>
    <row r="1517" spans="2:3" x14ac:dyDescent="0.25">
      <c r="B1517" s="818" t="s">
        <v>1800</v>
      </c>
      <c r="C1517" s="822">
        <v>97015</v>
      </c>
    </row>
    <row r="1518" spans="2:3" x14ac:dyDescent="0.25">
      <c r="B1518" s="818" t="s">
        <v>1203</v>
      </c>
      <c r="C1518" s="822">
        <v>90441</v>
      </c>
    </row>
    <row r="1519" spans="2:3" x14ac:dyDescent="0.25">
      <c r="B1519" s="818" t="s">
        <v>1872</v>
      </c>
      <c r="C1519" s="822">
        <v>97853</v>
      </c>
    </row>
    <row r="1520" spans="2:3" x14ac:dyDescent="0.25">
      <c r="B1520" s="818" t="s">
        <v>1871</v>
      </c>
      <c r="C1520" s="822">
        <v>97851</v>
      </c>
    </row>
    <row r="1521" spans="2:3" x14ac:dyDescent="0.25">
      <c r="B1521" s="818" t="s">
        <v>1802</v>
      </c>
      <c r="C1521" s="822">
        <v>97101</v>
      </c>
    </row>
    <row r="1522" spans="2:3" x14ac:dyDescent="0.25">
      <c r="B1522" s="818" t="s">
        <v>1803</v>
      </c>
      <c r="C1522" s="822">
        <v>97104</v>
      </c>
    </row>
    <row r="1523" spans="2:3" x14ac:dyDescent="0.25">
      <c r="B1523" s="818" t="s">
        <v>1807</v>
      </c>
      <c r="C1523" s="822">
        <v>97201</v>
      </c>
    </row>
    <row r="1524" spans="2:3" x14ac:dyDescent="0.25">
      <c r="B1524" s="818" t="s">
        <v>1812</v>
      </c>
      <c r="C1524" s="822">
        <v>97301</v>
      </c>
    </row>
    <row r="1525" spans="2:3" x14ac:dyDescent="0.25">
      <c r="B1525" s="818" t="s">
        <v>1813</v>
      </c>
      <c r="C1525" s="822">
        <v>97304</v>
      </c>
    </row>
    <row r="1526" spans="2:3" x14ac:dyDescent="0.25">
      <c r="B1526" s="818" t="s">
        <v>2012</v>
      </c>
      <c r="C1526" s="822">
        <v>99405</v>
      </c>
    </row>
    <row r="1527" spans="2:3" x14ac:dyDescent="0.25">
      <c r="B1527" s="818" t="s">
        <v>1171</v>
      </c>
      <c r="C1527" s="822">
        <v>72265</v>
      </c>
    </row>
    <row r="1528" spans="2:3" x14ac:dyDescent="0.25">
      <c r="B1528" s="818" t="s">
        <v>1487</v>
      </c>
      <c r="C1528" s="822">
        <v>93406</v>
      </c>
    </row>
    <row r="1529" spans="2:3" x14ac:dyDescent="0.25">
      <c r="B1529" s="818" t="s">
        <v>1553</v>
      </c>
      <c r="C1529" s="822">
        <v>94112</v>
      </c>
    </row>
    <row r="1530" spans="2:3" x14ac:dyDescent="0.25">
      <c r="B1530" s="818" t="s">
        <v>2036</v>
      </c>
      <c r="C1530" s="822">
        <v>99651</v>
      </c>
    </row>
    <row r="1531" spans="2:3" x14ac:dyDescent="0.25">
      <c r="B1531" s="818" t="s">
        <v>1947</v>
      </c>
      <c r="C1531" s="822">
        <v>98607</v>
      </c>
    </row>
    <row r="1532" spans="2:3" x14ac:dyDescent="0.25">
      <c r="B1532" s="818" t="s">
        <v>1949</v>
      </c>
      <c r="C1532" s="822">
        <v>98611</v>
      </c>
    </row>
    <row r="1533" spans="2:3" x14ac:dyDescent="0.25">
      <c r="B1533" s="818" t="s">
        <v>1335</v>
      </c>
      <c r="C1533" s="822">
        <v>91641</v>
      </c>
    </row>
    <row r="1534" spans="2:3" x14ac:dyDescent="0.25">
      <c r="B1534" s="818" t="s">
        <v>1648</v>
      </c>
      <c r="C1534" s="822">
        <v>95161</v>
      </c>
    </row>
    <row r="1535" spans="2:3" x14ac:dyDescent="0.25">
      <c r="B1535" s="818" t="s">
        <v>1736</v>
      </c>
      <c r="C1535" s="822">
        <v>96361</v>
      </c>
    </row>
    <row r="1536" spans="2:3" x14ac:dyDescent="0.25">
      <c r="B1536" s="818" t="s">
        <v>1550</v>
      </c>
      <c r="C1536" s="822">
        <v>94108</v>
      </c>
    </row>
    <row r="1537" spans="2:3" x14ac:dyDescent="0.25">
      <c r="B1537" s="818" t="s">
        <v>1735</v>
      </c>
      <c r="C1537" s="822">
        <v>96351</v>
      </c>
    </row>
    <row r="1538" spans="2:3" x14ac:dyDescent="0.25">
      <c r="B1538" s="818" t="s">
        <v>1481</v>
      </c>
      <c r="C1538" s="822">
        <v>93331</v>
      </c>
    </row>
    <row r="1539" spans="2:3" x14ac:dyDescent="0.25">
      <c r="B1539" s="818" t="s">
        <v>1707</v>
      </c>
      <c r="C1539" s="822">
        <v>96021</v>
      </c>
    </row>
    <row r="1540" spans="2:3" x14ac:dyDescent="0.25">
      <c r="B1540" s="818" t="s">
        <v>1668</v>
      </c>
      <c r="C1540" s="822">
        <v>95421</v>
      </c>
    </row>
    <row r="1541" spans="2:3" x14ac:dyDescent="0.25">
      <c r="B1541" s="818" t="s">
        <v>1815</v>
      </c>
      <c r="C1541" s="822">
        <v>97401</v>
      </c>
    </row>
    <row r="1542" spans="2:3" x14ac:dyDescent="0.25">
      <c r="B1542" s="818" t="s">
        <v>1817</v>
      </c>
      <c r="C1542" s="822">
        <v>97404</v>
      </c>
    </row>
    <row r="1543" spans="2:3" x14ac:dyDescent="0.25">
      <c r="B1543" s="818" t="s">
        <v>1816</v>
      </c>
      <c r="C1543" s="822">
        <v>97402</v>
      </c>
    </row>
    <row r="1544" spans="2:3" x14ac:dyDescent="0.25">
      <c r="B1544" s="818" t="s">
        <v>1365</v>
      </c>
      <c r="C1544" s="822">
        <v>91921</v>
      </c>
    </row>
    <row r="1545" spans="2:3" x14ac:dyDescent="0.25">
      <c r="B1545" s="818" t="s">
        <v>1694</v>
      </c>
      <c r="C1545" s="822">
        <v>95908</v>
      </c>
    </row>
    <row r="1546" spans="2:3" x14ac:dyDescent="0.25">
      <c r="B1546" s="818" t="s">
        <v>2014</v>
      </c>
      <c r="C1546" s="822">
        <v>99413</v>
      </c>
    </row>
    <row r="1547" spans="2:3" x14ac:dyDescent="0.25">
      <c r="B1547" s="818" t="s">
        <v>2013</v>
      </c>
      <c r="C1547" s="822">
        <v>99411</v>
      </c>
    </row>
    <row r="1548" spans="2:3" x14ac:dyDescent="0.25">
      <c r="B1548" s="818" t="s">
        <v>1833</v>
      </c>
      <c r="C1548" s="822">
        <v>97501</v>
      </c>
    </row>
    <row r="1549" spans="2:3" x14ac:dyDescent="0.25">
      <c r="B1549" s="818" t="s">
        <v>1202</v>
      </c>
      <c r="C1549" s="822">
        <v>90431</v>
      </c>
    </row>
    <row r="1550" spans="2:3" x14ac:dyDescent="0.25">
      <c r="B1550" s="818" t="s">
        <v>1655</v>
      </c>
      <c r="C1550" s="822">
        <v>95211</v>
      </c>
    </row>
    <row r="1551" spans="2:3" x14ac:dyDescent="0.25">
      <c r="B1551" s="818" t="s">
        <v>1650</v>
      </c>
      <c r="C1551" s="822">
        <v>95181</v>
      </c>
    </row>
    <row r="1552" spans="2:3" x14ac:dyDescent="0.25">
      <c r="B1552" s="818" t="s">
        <v>1484</v>
      </c>
      <c r="C1552" s="822">
        <v>93351</v>
      </c>
    </row>
    <row r="1553" spans="2:3" x14ac:dyDescent="0.25">
      <c r="B1553" s="818" t="s">
        <v>1614</v>
      </c>
      <c r="C1553" s="822">
        <v>94711</v>
      </c>
    </row>
    <row r="1554" spans="2:3" x14ac:dyDescent="0.25">
      <c r="B1554" s="818" t="s">
        <v>1994</v>
      </c>
      <c r="C1554" s="822">
        <v>99213</v>
      </c>
    </row>
    <row r="1555" spans="2:3" x14ac:dyDescent="0.25">
      <c r="B1555" s="818" t="s">
        <v>1992</v>
      </c>
      <c r="C1555" s="822">
        <v>99211</v>
      </c>
    </row>
    <row r="1556" spans="2:3" x14ac:dyDescent="0.25">
      <c r="B1556" s="818" t="s">
        <v>1995</v>
      </c>
      <c r="C1556" s="822">
        <v>99218</v>
      </c>
    </row>
    <row r="1557" spans="2:3" x14ac:dyDescent="0.25">
      <c r="B1557" s="818" t="s">
        <v>1846</v>
      </c>
      <c r="C1557" s="822">
        <v>97641</v>
      </c>
    </row>
    <row r="1558" spans="2:3" x14ac:dyDescent="0.25">
      <c r="B1558" s="818" t="s">
        <v>1843</v>
      </c>
      <c r="C1558" s="822">
        <v>97627</v>
      </c>
    </row>
    <row r="1559" spans="2:3" x14ac:dyDescent="0.25">
      <c r="B1559" s="818" t="s">
        <v>1842</v>
      </c>
      <c r="C1559" s="822">
        <v>97623</v>
      </c>
    </row>
    <row r="1560" spans="2:3" x14ac:dyDescent="0.25">
      <c r="B1560" s="818" t="s">
        <v>1841</v>
      </c>
      <c r="C1560" s="822">
        <v>97621</v>
      </c>
    </row>
    <row r="1561" spans="2:3" x14ac:dyDescent="0.25">
      <c r="B1561" s="818" t="s">
        <v>1837</v>
      </c>
      <c r="C1561" s="822">
        <v>97601</v>
      </c>
    </row>
    <row r="1562" spans="2:3" x14ac:dyDescent="0.25">
      <c r="B1562" s="818" t="s">
        <v>1523</v>
      </c>
      <c r="C1562" s="822">
        <v>93681</v>
      </c>
    </row>
    <row r="1563" spans="2:3" x14ac:dyDescent="0.25">
      <c r="B1563" s="818" t="s">
        <v>1875</v>
      </c>
      <c r="C1563" s="822">
        <v>97877</v>
      </c>
    </row>
    <row r="1564" spans="2:3" x14ac:dyDescent="0.25">
      <c r="B1564" s="818" t="s">
        <v>1874</v>
      </c>
      <c r="C1564" s="822">
        <v>97871</v>
      </c>
    </row>
    <row r="1565" spans="2:3" x14ac:dyDescent="0.25">
      <c r="B1565" s="818" t="s">
        <v>2018</v>
      </c>
      <c r="C1565" s="822">
        <v>99502</v>
      </c>
    </row>
    <row r="1566" spans="2:3" x14ac:dyDescent="0.25">
      <c r="B1566" s="818" t="s">
        <v>1879</v>
      </c>
      <c r="C1566" s="822">
        <v>97917</v>
      </c>
    </row>
    <row r="1567" spans="2:3" x14ac:dyDescent="0.25">
      <c r="B1567" s="818" t="s">
        <v>1877</v>
      </c>
      <c r="C1567" s="822">
        <v>97911</v>
      </c>
    </row>
    <row r="1568" spans="2:3" x14ac:dyDescent="0.25">
      <c r="B1568" s="818" t="s">
        <v>1763</v>
      </c>
      <c r="C1568" s="822">
        <v>96611</v>
      </c>
    </row>
    <row r="1569" spans="2:3" x14ac:dyDescent="0.25">
      <c r="B1569" s="818" t="s">
        <v>1779</v>
      </c>
      <c r="C1569" s="822">
        <v>96741</v>
      </c>
    </row>
    <row r="1570" spans="2:3" x14ac:dyDescent="0.25">
      <c r="B1570" s="818" t="s">
        <v>1849</v>
      </c>
      <c r="C1570" s="822">
        <v>97701</v>
      </c>
    </row>
    <row r="1571" spans="2:3" x14ac:dyDescent="0.25">
      <c r="B1571" s="818" t="s">
        <v>1409</v>
      </c>
      <c r="C1571" s="822">
        <v>92541</v>
      </c>
    </row>
    <row r="1572" spans="2:3" x14ac:dyDescent="0.25">
      <c r="B1572" s="818" t="s">
        <v>1568</v>
      </c>
      <c r="C1572" s="822">
        <v>94209</v>
      </c>
    </row>
    <row r="1573" spans="2:3" x14ac:dyDescent="0.25">
      <c r="B1573" s="818" t="s">
        <v>1570</v>
      </c>
      <c r="C1573" s="822">
        <v>94221</v>
      </c>
    </row>
    <row r="1574" spans="2:3" x14ac:dyDescent="0.25">
      <c r="B1574" s="818" t="s">
        <v>1734</v>
      </c>
      <c r="C1574" s="822">
        <v>96341</v>
      </c>
    </row>
    <row r="1575" spans="2:3" x14ac:dyDescent="0.25">
      <c r="B1575" s="818" t="s">
        <v>1530</v>
      </c>
      <c r="C1575" s="822">
        <v>93821</v>
      </c>
    </row>
    <row r="1576" spans="2:3" x14ac:dyDescent="0.25">
      <c r="B1576" s="818" t="s">
        <v>1692</v>
      </c>
      <c r="C1576" s="822">
        <v>95853</v>
      </c>
    </row>
    <row r="1577" spans="2:3" x14ac:dyDescent="0.25">
      <c r="B1577" s="818" t="s">
        <v>1691</v>
      </c>
      <c r="C1577" s="822">
        <v>95851</v>
      </c>
    </row>
    <row r="1578" spans="2:3" x14ac:dyDescent="0.25">
      <c r="B1578" s="818" t="s">
        <v>1857</v>
      </c>
      <c r="C1578" s="822">
        <v>97801</v>
      </c>
    </row>
    <row r="1579" spans="2:3" x14ac:dyDescent="0.25">
      <c r="B1579" s="818" t="s">
        <v>1859</v>
      </c>
      <c r="C1579" s="822">
        <v>97803</v>
      </c>
    </row>
    <row r="1580" spans="2:3" x14ac:dyDescent="0.25">
      <c r="B1580" s="818" t="s">
        <v>1860</v>
      </c>
      <c r="C1580" s="822">
        <v>97805</v>
      </c>
    </row>
    <row r="1581" spans="2:3" x14ac:dyDescent="0.25">
      <c r="B1581" s="818" t="s">
        <v>1855</v>
      </c>
      <c r="C1581" s="822">
        <v>97727</v>
      </c>
    </row>
    <row r="1582" spans="2:3" x14ac:dyDescent="0.25">
      <c r="B1582" s="818" t="s">
        <v>1876</v>
      </c>
      <c r="C1582" s="822">
        <v>97901</v>
      </c>
    </row>
    <row r="1583" spans="2:3" x14ac:dyDescent="0.25">
      <c r="B1583" s="818" t="s">
        <v>1852</v>
      </c>
      <c r="C1583" s="822">
        <v>97713</v>
      </c>
    </row>
    <row r="1584" spans="2:3" x14ac:dyDescent="0.25">
      <c r="B1584" s="818" t="s">
        <v>1851</v>
      </c>
      <c r="C1584" s="822">
        <v>97711</v>
      </c>
    </row>
    <row r="1585" spans="2:3" x14ac:dyDescent="0.25">
      <c r="B1585" s="818" t="s">
        <v>1900</v>
      </c>
      <c r="C1585" s="822">
        <v>98071</v>
      </c>
    </row>
    <row r="1586" spans="2:3" x14ac:dyDescent="0.25">
      <c r="B1586" s="818" t="s">
        <v>1482</v>
      </c>
      <c r="C1586" s="822">
        <v>93333</v>
      </c>
    </row>
    <row r="1587" spans="2:3" x14ac:dyDescent="0.25">
      <c r="B1587" s="818" t="s">
        <v>1479</v>
      </c>
      <c r="C1587" s="822">
        <v>93321</v>
      </c>
    </row>
    <row r="1588" spans="2:3" x14ac:dyDescent="0.25">
      <c r="B1588" s="818" t="s">
        <v>1480</v>
      </c>
      <c r="C1588" s="822">
        <v>93323</v>
      </c>
    </row>
    <row r="1589" spans="2:3" x14ac:dyDescent="0.25">
      <c r="B1589" s="818" t="s">
        <v>1986</v>
      </c>
      <c r="C1589" s="822">
        <v>99203</v>
      </c>
    </row>
    <row r="1590" spans="2:3" x14ac:dyDescent="0.25">
      <c r="B1590" s="818" t="s">
        <v>2015</v>
      </c>
      <c r="C1590" s="822">
        <v>99421</v>
      </c>
    </row>
    <row r="1591" spans="2:3" x14ac:dyDescent="0.25">
      <c r="B1591" s="818" t="s">
        <v>1462</v>
      </c>
      <c r="C1591" s="822">
        <v>93161</v>
      </c>
    </row>
    <row r="1592" spans="2:3" x14ac:dyDescent="0.25">
      <c r="B1592" s="818" t="s">
        <v>1921</v>
      </c>
      <c r="C1592" s="822">
        <v>98237</v>
      </c>
    </row>
    <row r="1593" spans="2:3" x14ac:dyDescent="0.25">
      <c r="B1593" s="818" t="s">
        <v>1924</v>
      </c>
      <c r="C1593" s="822">
        <v>98261</v>
      </c>
    </row>
    <row r="1594" spans="2:3" x14ac:dyDescent="0.25">
      <c r="B1594" s="818" t="s">
        <v>3487</v>
      </c>
      <c r="C1594" s="822">
        <v>98002</v>
      </c>
    </row>
    <row r="1595" spans="2:3" x14ac:dyDescent="0.25">
      <c r="B1595" s="818" t="s">
        <v>1887</v>
      </c>
      <c r="C1595" s="822">
        <v>98001</v>
      </c>
    </row>
    <row r="1596" spans="2:3" x14ac:dyDescent="0.25">
      <c r="B1596" s="818" t="s">
        <v>1890</v>
      </c>
      <c r="C1596" s="822">
        <v>98004</v>
      </c>
    </row>
    <row r="1597" spans="2:3" x14ac:dyDescent="0.25">
      <c r="B1597" s="818" t="s">
        <v>1889</v>
      </c>
      <c r="C1597" s="822">
        <v>98003</v>
      </c>
    </row>
    <row r="1598" spans="2:3" x14ac:dyDescent="0.25">
      <c r="B1598" s="818" t="s">
        <v>1891</v>
      </c>
      <c r="C1598" s="822">
        <v>98008</v>
      </c>
    </row>
    <row r="1599" spans="2:3" x14ac:dyDescent="0.25">
      <c r="B1599" s="818" t="s">
        <v>1873</v>
      </c>
      <c r="C1599" s="822">
        <v>97861</v>
      </c>
    </row>
    <row r="1600" spans="2:3" x14ac:dyDescent="0.25">
      <c r="B1600" s="818" t="s">
        <v>1814</v>
      </c>
      <c r="C1600" s="822">
        <v>97311</v>
      </c>
    </row>
    <row r="1601" spans="2:3" x14ac:dyDescent="0.25">
      <c r="B1601" s="818" t="s">
        <v>1493</v>
      </c>
      <c r="C1601" s="822">
        <v>93431</v>
      </c>
    </row>
    <row r="1602" spans="2:3" x14ac:dyDescent="0.25">
      <c r="B1602" s="818" t="s">
        <v>1298</v>
      </c>
      <c r="C1602" s="822">
        <v>91214</v>
      </c>
    </row>
    <row r="1603" spans="2:3" x14ac:dyDescent="0.25">
      <c r="B1603" s="818" t="s">
        <v>1903</v>
      </c>
      <c r="C1603" s="822">
        <v>98101</v>
      </c>
    </row>
    <row r="1604" spans="2:3" x14ac:dyDescent="0.25">
      <c r="B1604" s="818" t="s">
        <v>1905</v>
      </c>
      <c r="C1604" s="822">
        <v>98103</v>
      </c>
    </row>
    <row r="1605" spans="2:3" x14ac:dyDescent="0.25">
      <c r="B1605" s="818" t="s">
        <v>1913</v>
      </c>
      <c r="C1605" s="822">
        <v>98147</v>
      </c>
    </row>
    <row r="1606" spans="2:3" x14ac:dyDescent="0.25">
      <c r="B1606" s="818" t="s">
        <v>1912</v>
      </c>
      <c r="C1606" s="822">
        <v>98141</v>
      </c>
    </row>
    <row r="1607" spans="2:3" x14ac:dyDescent="0.25">
      <c r="B1607" s="818" t="s">
        <v>1867</v>
      </c>
      <c r="C1607" s="822">
        <v>97837</v>
      </c>
    </row>
    <row r="1608" spans="2:3" x14ac:dyDescent="0.25">
      <c r="B1608" s="818" t="s">
        <v>1919</v>
      </c>
      <c r="C1608" s="822">
        <v>98221</v>
      </c>
    </row>
    <row r="1609" spans="2:3" x14ac:dyDescent="0.25">
      <c r="B1609" s="818" t="s">
        <v>1893</v>
      </c>
      <c r="C1609" s="822">
        <v>98013</v>
      </c>
    </row>
    <row r="1610" spans="2:3" x14ac:dyDescent="0.25">
      <c r="B1610" s="818" t="s">
        <v>1892</v>
      </c>
      <c r="C1610" s="822">
        <v>98011</v>
      </c>
    </row>
    <row r="1611" spans="2:3" x14ac:dyDescent="0.25">
      <c r="B1611" s="818" t="s">
        <v>1836</v>
      </c>
      <c r="C1611" s="822">
        <v>97531</v>
      </c>
    </row>
    <row r="1612" spans="2:3" x14ac:dyDescent="0.25">
      <c r="B1612" s="818" t="s">
        <v>1915</v>
      </c>
      <c r="C1612" s="822">
        <v>98201</v>
      </c>
    </row>
    <row r="1613" spans="2:3" x14ac:dyDescent="0.25">
      <c r="B1613" s="818" t="s">
        <v>1850</v>
      </c>
      <c r="C1613" s="822">
        <v>97705</v>
      </c>
    </row>
    <row r="1614" spans="2:3" x14ac:dyDescent="0.25">
      <c r="B1614" s="818" t="s">
        <v>3488</v>
      </c>
      <c r="C1614" s="822">
        <v>96318</v>
      </c>
    </row>
    <row r="1615" spans="2:3" x14ac:dyDescent="0.25">
      <c r="B1615" s="818" t="s">
        <v>1659</v>
      </c>
      <c r="C1615" s="822">
        <v>95317</v>
      </c>
    </row>
    <row r="1616" spans="2:3" x14ac:dyDescent="0.25">
      <c r="B1616" s="818" t="s">
        <v>1658</v>
      </c>
      <c r="C1616" s="822">
        <v>95311</v>
      </c>
    </row>
    <row r="1617" spans="2:3" x14ac:dyDescent="0.25">
      <c r="B1617" s="818" t="s">
        <v>1319</v>
      </c>
      <c r="C1617" s="822">
        <v>91421</v>
      </c>
    </row>
    <row r="1618" spans="2:3" x14ac:dyDescent="0.25">
      <c r="B1618" s="818" t="s">
        <v>1926</v>
      </c>
      <c r="C1618" s="822">
        <v>98301</v>
      </c>
    </row>
    <row r="1619" spans="2:3" x14ac:dyDescent="0.25">
      <c r="B1619" s="818" t="s">
        <v>1927</v>
      </c>
      <c r="C1619" s="822">
        <v>98304</v>
      </c>
    </row>
    <row r="1620" spans="2:3" x14ac:dyDescent="0.25">
      <c r="B1620" s="818" t="s">
        <v>1572</v>
      </c>
      <c r="C1620" s="822">
        <v>94241</v>
      </c>
    </row>
    <row r="1621" spans="2:3" x14ac:dyDescent="0.25">
      <c r="B1621" s="818" t="s">
        <v>1771</v>
      </c>
      <c r="C1621" s="822">
        <v>96681</v>
      </c>
    </row>
    <row r="1622" spans="2:3" x14ac:dyDescent="0.25">
      <c r="B1622" s="818" t="s">
        <v>1644</v>
      </c>
      <c r="C1622" s="822">
        <v>95123</v>
      </c>
    </row>
    <row r="1623" spans="2:3" x14ac:dyDescent="0.25">
      <c r="B1623" s="818" t="s">
        <v>1642</v>
      </c>
      <c r="C1623" s="822">
        <v>95121</v>
      </c>
    </row>
    <row r="1624" spans="2:3" x14ac:dyDescent="0.25">
      <c r="B1624" s="818" t="s">
        <v>2024</v>
      </c>
      <c r="C1624" s="822">
        <v>99531</v>
      </c>
    </row>
    <row r="1625" spans="2:3" x14ac:dyDescent="0.25">
      <c r="B1625" s="818" t="s">
        <v>1770</v>
      </c>
      <c r="C1625" s="822">
        <v>96671</v>
      </c>
    </row>
    <row r="1626" spans="2:3" x14ac:dyDescent="0.25">
      <c r="B1626" s="818" t="s">
        <v>1265</v>
      </c>
      <c r="C1626" s="822">
        <v>91057</v>
      </c>
    </row>
    <row r="1627" spans="2:3" x14ac:dyDescent="0.25">
      <c r="B1627" s="818" t="s">
        <v>1270</v>
      </c>
      <c r="C1627" s="822">
        <v>91081</v>
      </c>
    </row>
    <row r="1628" spans="2:3" x14ac:dyDescent="0.25">
      <c r="B1628" s="818" t="s">
        <v>1748</v>
      </c>
      <c r="C1628" s="822">
        <v>96461</v>
      </c>
    </row>
    <row r="1629" spans="2:3" x14ac:dyDescent="0.25">
      <c r="B1629" s="818" t="s">
        <v>1380</v>
      </c>
      <c r="C1629" s="822">
        <v>92317</v>
      </c>
    </row>
    <row r="1630" spans="2:3" x14ac:dyDescent="0.25">
      <c r="B1630" s="818" t="s">
        <v>1379</v>
      </c>
      <c r="C1630" s="822">
        <v>92311</v>
      </c>
    </row>
    <row r="1631" spans="2:3" x14ac:dyDescent="0.25">
      <c r="B1631" s="818" t="s">
        <v>1818</v>
      </c>
      <c r="C1631" s="822">
        <v>97405</v>
      </c>
    </row>
    <row r="1632" spans="2:3" x14ac:dyDescent="0.25">
      <c r="B1632" s="818" t="s">
        <v>1364</v>
      </c>
      <c r="C1632" s="822">
        <v>91917</v>
      </c>
    </row>
    <row r="1633" spans="2:3" x14ac:dyDescent="0.25">
      <c r="B1633" s="818" t="s">
        <v>1363</v>
      </c>
      <c r="C1633" s="822">
        <v>91911</v>
      </c>
    </row>
    <row r="1634" spans="2:3" x14ac:dyDescent="0.25">
      <c r="B1634" s="818" t="s">
        <v>1831</v>
      </c>
      <c r="C1634" s="822">
        <v>97481</v>
      </c>
    </row>
    <row r="1635" spans="2:3" x14ac:dyDescent="0.25">
      <c r="B1635" s="818" t="s">
        <v>1284</v>
      </c>
      <c r="C1635" s="822">
        <v>91138</v>
      </c>
    </row>
    <row r="1636" spans="2:3" x14ac:dyDescent="0.25">
      <c r="B1636" s="818" t="s">
        <v>1641</v>
      </c>
      <c r="C1636" s="822">
        <v>95113</v>
      </c>
    </row>
    <row r="1637" spans="2:3" x14ac:dyDescent="0.25">
      <c r="B1637" s="818" t="s">
        <v>1640</v>
      </c>
      <c r="C1637" s="822">
        <v>95111</v>
      </c>
    </row>
    <row r="1638" spans="2:3" x14ac:dyDescent="0.25">
      <c r="B1638" s="818" t="s">
        <v>1631</v>
      </c>
      <c r="C1638" s="822">
        <v>95009</v>
      </c>
    </row>
    <row r="1639" spans="2:3" x14ac:dyDescent="0.25">
      <c r="B1639" s="818" t="s">
        <v>1546</v>
      </c>
      <c r="C1639" s="822">
        <v>94021</v>
      </c>
    </row>
    <row r="1640" spans="2:3" x14ac:dyDescent="0.25">
      <c r="B1640" s="818" t="s">
        <v>1535</v>
      </c>
      <c r="C1640" s="822">
        <v>93910</v>
      </c>
    </row>
    <row r="1641" spans="2:3" x14ac:dyDescent="0.25">
      <c r="B1641" s="818" t="s">
        <v>3489</v>
      </c>
      <c r="C1641" s="822">
        <v>91013</v>
      </c>
    </row>
    <row r="1642" spans="2:3" x14ac:dyDescent="0.25">
      <c r="B1642" s="818" t="s">
        <v>1238</v>
      </c>
      <c r="C1642" s="822">
        <v>90918</v>
      </c>
    </row>
    <row r="1643" spans="2:3" x14ac:dyDescent="0.25">
      <c r="B1643" s="818" t="s">
        <v>1730</v>
      </c>
      <c r="C1643" s="822">
        <v>96311</v>
      </c>
    </row>
    <row r="1644" spans="2:3" x14ac:dyDescent="0.25">
      <c r="B1644" s="818" t="s">
        <v>1436</v>
      </c>
      <c r="C1644" s="822">
        <v>92841</v>
      </c>
    </row>
    <row r="1645" spans="2:3" x14ac:dyDescent="0.25">
      <c r="B1645" s="818" t="s">
        <v>2029</v>
      </c>
      <c r="C1645" s="822">
        <v>99609</v>
      </c>
    </row>
    <row r="1646" spans="2:3" x14ac:dyDescent="0.25">
      <c r="B1646" s="818" t="s">
        <v>1254</v>
      </c>
      <c r="C1646" s="822">
        <v>91017</v>
      </c>
    </row>
    <row r="1647" spans="2:3" x14ac:dyDescent="0.25">
      <c r="B1647" s="818" t="s">
        <v>1251</v>
      </c>
      <c r="C1647" s="822">
        <v>91011</v>
      </c>
    </row>
    <row r="1648" spans="2:3" x14ac:dyDescent="0.25">
      <c r="B1648" s="818" t="s">
        <v>1630</v>
      </c>
      <c r="C1648" s="822">
        <v>95008</v>
      </c>
    </row>
    <row r="1649" spans="2:3" x14ac:dyDescent="0.25">
      <c r="B1649" s="818" t="s">
        <v>1196</v>
      </c>
      <c r="C1649" s="822">
        <v>90307</v>
      </c>
    </row>
    <row r="1650" spans="2:3" x14ac:dyDescent="0.25">
      <c r="B1650" s="818" t="s">
        <v>1172</v>
      </c>
      <c r="C1650" s="822">
        <v>72657</v>
      </c>
    </row>
    <row r="1651" spans="2:3" x14ac:dyDescent="0.25">
      <c r="B1651" s="818" t="s">
        <v>1896</v>
      </c>
      <c r="C1651" s="822">
        <v>98031</v>
      </c>
    </row>
    <row r="1652" spans="2:3" x14ac:dyDescent="0.25">
      <c r="B1652" s="818" t="s">
        <v>1910</v>
      </c>
      <c r="C1652" s="822">
        <v>98121</v>
      </c>
    </row>
    <row r="1653" spans="2:3" x14ac:dyDescent="0.25">
      <c r="B1653" s="818" t="s">
        <v>1743</v>
      </c>
      <c r="C1653" s="822">
        <v>96411</v>
      </c>
    </row>
    <row r="1654" spans="2:3" x14ac:dyDescent="0.25">
      <c r="B1654" s="818" t="s">
        <v>1425</v>
      </c>
      <c r="C1654" s="822">
        <v>92661</v>
      </c>
    </row>
    <row r="1655" spans="2:3" x14ac:dyDescent="0.25">
      <c r="B1655" s="818" t="s">
        <v>1716</v>
      </c>
      <c r="C1655" s="822">
        <v>96111</v>
      </c>
    </row>
    <row r="1656" spans="2:3" x14ac:dyDescent="0.25">
      <c r="B1656" s="818" t="s">
        <v>1260</v>
      </c>
      <c r="C1656" s="822">
        <v>91032</v>
      </c>
    </row>
    <row r="1657" spans="2:3" x14ac:dyDescent="0.25">
      <c r="B1657" s="818" t="s">
        <v>1866</v>
      </c>
      <c r="C1657" s="822">
        <v>97831</v>
      </c>
    </row>
    <row r="1658" spans="2:3" x14ac:dyDescent="0.25">
      <c r="B1658" s="818" t="s">
        <v>1711</v>
      </c>
      <c r="C1658" s="822">
        <v>96061</v>
      </c>
    </row>
    <row r="1659" spans="2:3" x14ac:dyDescent="0.25">
      <c r="B1659" s="818" t="s">
        <v>1941</v>
      </c>
      <c r="C1659" s="822">
        <v>98481</v>
      </c>
    </row>
    <row r="1660" spans="2:3" x14ac:dyDescent="0.25">
      <c r="B1660" s="818" t="s">
        <v>1508</v>
      </c>
      <c r="C1660" s="822">
        <v>93602</v>
      </c>
    </row>
    <row r="1661" spans="2:3" x14ac:dyDescent="0.25">
      <c r="B1661" s="818" t="s">
        <v>1933</v>
      </c>
      <c r="C1661" s="822">
        <v>98401</v>
      </c>
    </row>
    <row r="1662" spans="2:3" x14ac:dyDescent="0.25">
      <c r="B1662" s="818" t="s">
        <v>2050</v>
      </c>
      <c r="C1662" s="822">
        <v>99821</v>
      </c>
    </row>
    <row r="1663" spans="2:3" x14ac:dyDescent="0.25">
      <c r="B1663" s="818" t="s">
        <v>1720</v>
      </c>
      <c r="C1663" s="822">
        <v>96211</v>
      </c>
    </row>
    <row r="1664" spans="2:3" x14ac:dyDescent="0.25">
      <c r="B1664" s="818" t="s">
        <v>1621</v>
      </c>
      <c r="C1664" s="822">
        <v>94917</v>
      </c>
    </row>
    <row r="1665" spans="2:3" x14ac:dyDescent="0.25">
      <c r="B1665" s="818" t="s">
        <v>1620</v>
      </c>
      <c r="C1665" s="822">
        <v>94911</v>
      </c>
    </row>
    <row r="1666" spans="2:3" x14ac:dyDescent="0.25">
      <c r="B1666" s="818" t="s">
        <v>1421</v>
      </c>
      <c r="C1666" s="822">
        <v>92621</v>
      </c>
    </row>
    <row r="1667" spans="2:3" x14ac:dyDescent="0.25">
      <c r="B1667" s="818" t="s">
        <v>1942</v>
      </c>
      <c r="C1667" s="822">
        <v>98501</v>
      </c>
    </row>
    <row r="1668" spans="2:3" x14ac:dyDescent="0.25">
      <c r="B1668" s="818" t="s">
        <v>1881</v>
      </c>
      <c r="C1668" s="822">
        <v>97931</v>
      </c>
    </row>
    <row r="1669" spans="2:3" x14ac:dyDescent="0.25">
      <c r="B1669" s="818" t="s">
        <v>1538</v>
      </c>
      <c r="C1669" s="822">
        <v>93914</v>
      </c>
    </row>
    <row r="1670" spans="2:3" x14ac:dyDescent="0.25">
      <c r="B1670" s="818" t="s">
        <v>1217</v>
      </c>
      <c r="C1670" s="822">
        <v>90651</v>
      </c>
    </row>
    <row r="1671" spans="2:3" x14ac:dyDescent="0.25">
      <c r="B1671" s="818" t="s">
        <v>1564</v>
      </c>
      <c r="C1671" s="822">
        <v>94172</v>
      </c>
    </row>
    <row r="1672" spans="2:3" x14ac:dyDescent="0.25">
      <c r="B1672" s="818" t="s">
        <v>1563</v>
      </c>
      <c r="C1672" s="822">
        <v>94171</v>
      </c>
    </row>
    <row r="1673" spans="2:3" x14ac:dyDescent="0.25">
      <c r="B1673" s="818" t="s">
        <v>1263</v>
      </c>
      <c r="C1673" s="822">
        <v>91047</v>
      </c>
    </row>
    <row r="1674" spans="2:3" x14ac:dyDescent="0.25">
      <c r="B1674" s="818" t="s">
        <v>1261</v>
      </c>
      <c r="C1674" s="822">
        <v>91041</v>
      </c>
    </row>
    <row r="1675" spans="2:3" x14ac:dyDescent="0.25">
      <c r="B1675" s="818" t="s">
        <v>1806</v>
      </c>
      <c r="C1675" s="822">
        <v>97131</v>
      </c>
    </row>
    <row r="1676" spans="2:3" x14ac:dyDescent="0.25">
      <c r="B1676" s="818" t="s">
        <v>1946</v>
      </c>
      <c r="C1676" s="822">
        <v>98601</v>
      </c>
    </row>
    <row r="1677" spans="2:3" x14ac:dyDescent="0.25">
      <c r="B1677" s="818" t="s">
        <v>1956</v>
      </c>
      <c r="C1677" s="822">
        <v>98701</v>
      </c>
    </row>
    <row r="1678" spans="2:3" x14ac:dyDescent="0.25">
      <c r="B1678" s="818" t="s">
        <v>1776</v>
      </c>
      <c r="C1678" s="822">
        <v>96721</v>
      </c>
    </row>
    <row r="1679" spans="2:3" x14ac:dyDescent="0.25">
      <c r="B1679" s="818" t="s">
        <v>1632</v>
      </c>
      <c r="C1679" s="822">
        <v>95011</v>
      </c>
    </row>
    <row r="1680" spans="2:3" x14ac:dyDescent="0.25">
      <c r="B1680" s="818" t="s">
        <v>1396</v>
      </c>
      <c r="C1680" s="822">
        <v>92451</v>
      </c>
    </row>
    <row r="1681" spans="2:3" x14ac:dyDescent="0.25">
      <c r="B1681" s="818" t="s">
        <v>1478</v>
      </c>
      <c r="C1681" s="822">
        <v>93317</v>
      </c>
    </row>
    <row r="1682" spans="2:3" x14ac:dyDescent="0.25">
      <c r="B1682" s="818" t="s">
        <v>1477</v>
      </c>
      <c r="C1682" s="822">
        <v>93311</v>
      </c>
    </row>
    <row r="1683" spans="2:3" x14ac:dyDescent="0.25">
      <c r="B1683" s="818" t="s">
        <v>1193</v>
      </c>
      <c r="C1683" s="822">
        <v>90211</v>
      </c>
    </row>
    <row r="1684" spans="2:3" x14ac:dyDescent="0.25">
      <c r="B1684" s="818" t="s">
        <v>1726</v>
      </c>
      <c r="C1684" s="822">
        <v>96302</v>
      </c>
    </row>
    <row r="1685" spans="2:3" x14ac:dyDescent="0.25">
      <c r="B1685" s="818" t="s">
        <v>1464</v>
      </c>
      <c r="C1685" s="822">
        <v>93181</v>
      </c>
    </row>
    <row r="1686" spans="2:3" x14ac:dyDescent="0.25">
      <c r="B1686" s="818" t="s">
        <v>1375</v>
      </c>
      <c r="C1686" s="822">
        <v>92113</v>
      </c>
    </row>
    <row r="1687" spans="2:3" x14ac:dyDescent="0.25">
      <c r="B1687" s="818" t="s">
        <v>1441</v>
      </c>
      <c r="C1687" s="822">
        <v>92913</v>
      </c>
    </row>
    <row r="1688" spans="2:3" x14ac:dyDescent="0.25">
      <c r="B1688" s="818" t="s">
        <v>1440</v>
      </c>
      <c r="C1688" s="822">
        <v>92911</v>
      </c>
    </row>
    <row r="1689" spans="2:3" x14ac:dyDescent="0.25">
      <c r="B1689" s="818" t="s">
        <v>1498</v>
      </c>
      <c r="C1689" s="822">
        <v>93471</v>
      </c>
    </row>
    <row r="1690" spans="2:3" x14ac:dyDescent="0.25">
      <c r="B1690" s="818" t="s">
        <v>1178</v>
      </c>
      <c r="C1690" s="822">
        <v>90098</v>
      </c>
    </row>
    <row r="1691" spans="2:3" x14ac:dyDescent="0.25">
      <c r="B1691" s="818" t="s">
        <v>1805</v>
      </c>
      <c r="C1691" s="822">
        <v>97121</v>
      </c>
    </row>
    <row r="1692" spans="2:3" x14ac:dyDescent="0.25">
      <c r="B1692" s="818" t="s">
        <v>1389</v>
      </c>
      <c r="C1692" s="822">
        <v>92414</v>
      </c>
    </row>
    <row r="1693" spans="2:3" x14ac:dyDescent="0.25">
      <c r="B1693" s="818" t="s">
        <v>1445</v>
      </c>
      <c r="C1693" s="822">
        <v>92941</v>
      </c>
    </row>
    <row r="1694" spans="2:3" x14ac:dyDescent="0.25">
      <c r="B1694" s="818" t="s">
        <v>1258</v>
      </c>
      <c r="C1694" s="822">
        <v>91026</v>
      </c>
    </row>
    <row r="1695" spans="2:3" x14ac:dyDescent="0.25">
      <c r="B1695" s="818" t="s">
        <v>1959</v>
      </c>
      <c r="C1695" s="822">
        <v>98801</v>
      </c>
    </row>
    <row r="1696" spans="2:3" x14ac:dyDescent="0.25">
      <c r="B1696" s="818" t="s">
        <v>1407</v>
      </c>
      <c r="C1696" s="822">
        <v>92521</v>
      </c>
    </row>
    <row r="1697" spans="2:3" x14ac:dyDescent="0.25">
      <c r="B1697" s="818" t="s">
        <v>3490</v>
      </c>
      <c r="C1697" s="822">
        <v>93417</v>
      </c>
    </row>
    <row r="1698" spans="2:3" x14ac:dyDescent="0.25">
      <c r="B1698" s="818" t="s">
        <v>1472</v>
      </c>
      <c r="C1698" s="822">
        <v>93219</v>
      </c>
    </row>
    <row r="1699" spans="2:3" x14ac:dyDescent="0.25">
      <c r="B1699" s="818" t="s">
        <v>3491</v>
      </c>
      <c r="C1699" s="822">
        <v>92513</v>
      </c>
    </row>
    <row r="1700" spans="2:3" x14ac:dyDescent="0.25">
      <c r="B1700" s="818" t="s">
        <v>1848</v>
      </c>
      <c r="C1700" s="822">
        <v>97661</v>
      </c>
    </row>
    <row r="1701" spans="2:3" x14ac:dyDescent="0.25">
      <c r="B1701" s="818" t="s">
        <v>1625</v>
      </c>
      <c r="C1701" s="822">
        <v>94931</v>
      </c>
    </row>
    <row r="1702" spans="2:3" x14ac:dyDescent="0.25">
      <c r="B1702" s="818" t="s">
        <v>1721</v>
      </c>
      <c r="C1702" s="822">
        <v>96221</v>
      </c>
    </row>
    <row r="1703" spans="2:3" x14ac:dyDescent="0.25">
      <c r="B1703" s="818" t="s">
        <v>1834</v>
      </c>
      <c r="C1703" s="822">
        <v>97511</v>
      </c>
    </row>
    <row r="1704" spans="2:3" x14ac:dyDescent="0.25">
      <c r="B1704" s="818" t="s">
        <v>1628</v>
      </c>
      <c r="C1704" s="822">
        <v>95002</v>
      </c>
    </row>
    <row r="1705" spans="2:3" x14ac:dyDescent="0.25">
      <c r="B1705" s="818" t="s">
        <v>1923</v>
      </c>
      <c r="C1705" s="822">
        <v>98251</v>
      </c>
    </row>
    <row r="1706" spans="2:3" x14ac:dyDescent="0.25">
      <c r="B1706" s="818" t="s">
        <v>1962</v>
      </c>
      <c r="C1706" s="822">
        <v>98901</v>
      </c>
    </row>
    <row r="1707" spans="2:3" x14ac:dyDescent="0.25">
      <c r="B1707" s="818" t="s">
        <v>1963</v>
      </c>
      <c r="C1707" s="822">
        <v>98904</v>
      </c>
    </row>
    <row r="1708" spans="2:3" x14ac:dyDescent="0.25">
      <c r="B1708" s="818" t="s">
        <v>1965</v>
      </c>
      <c r="C1708" s="822">
        <v>99001</v>
      </c>
    </row>
    <row r="1709" spans="2:3" x14ac:dyDescent="0.25">
      <c r="B1709" s="818" t="s">
        <v>1975</v>
      </c>
      <c r="C1709" s="822">
        <v>99061</v>
      </c>
    </row>
    <row r="1710" spans="2:3" x14ac:dyDescent="0.25">
      <c r="B1710" s="818" t="s">
        <v>3492</v>
      </c>
      <c r="C1710" s="822">
        <v>93309</v>
      </c>
    </row>
    <row r="1711" spans="2:3" x14ac:dyDescent="0.25">
      <c r="B1711" s="818" t="s">
        <v>1297</v>
      </c>
      <c r="C1711" s="822">
        <v>91213</v>
      </c>
    </row>
    <row r="1712" spans="2:3" x14ac:dyDescent="0.25">
      <c r="B1712" s="818" t="s">
        <v>1296</v>
      </c>
      <c r="C1712" s="822">
        <v>91211</v>
      </c>
    </row>
    <row r="1713" spans="2:3" x14ac:dyDescent="0.25">
      <c r="B1713" s="818" t="s">
        <v>1979</v>
      </c>
      <c r="C1713" s="822">
        <v>99101</v>
      </c>
    </row>
    <row r="1714" spans="2:3" x14ac:dyDescent="0.25">
      <c r="B1714" s="818" t="s">
        <v>1980</v>
      </c>
      <c r="C1714" s="822">
        <v>99104</v>
      </c>
    </row>
    <row r="1715" spans="2:3" x14ac:dyDescent="0.25">
      <c r="B1715" s="818" t="s">
        <v>1410</v>
      </c>
      <c r="C1715" s="822">
        <v>92551</v>
      </c>
    </row>
    <row r="1716" spans="2:3" x14ac:dyDescent="0.25">
      <c r="B1716" s="818" t="s">
        <v>1732</v>
      </c>
      <c r="C1716" s="822">
        <v>96321</v>
      </c>
    </row>
    <row r="1717" spans="2:3" x14ac:dyDescent="0.25">
      <c r="B1717" s="818" t="s">
        <v>1423</v>
      </c>
      <c r="C1717" s="822">
        <v>92641</v>
      </c>
    </row>
    <row r="1718" spans="2:3" x14ac:dyDescent="0.25">
      <c r="B1718" s="818" t="s">
        <v>1200</v>
      </c>
      <c r="C1718" s="822">
        <v>90417</v>
      </c>
    </row>
    <row r="1719" spans="2:3" x14ac:dyDescent="0.25">
      <c r="B1719" s="818" t="s">
        <v>1199</v>
      </c>
      <c r="C1719" s="822">
        <v>90413</v>
      </c>
    </row>
    <row r="1720" spans="2:3" x14ac:dyDescent="0.25">
      <c r="B1720" s="818" t="s">
        <v>1198</v>
      </c>
      <c r="C1720" s="822">
        <v>90411</v>
      </c>
    </row>
    <row r="1721" spans="2:3" x14ac:dyDescent="0.25">
      <c r="B1721" s="818" t="s">
        <v>1931</v>
      </c>
      <c r="C1721" s="822">
        <v>98321</v>
      </c>
    </row>
    <row r="1722" spans="2:3" x14ac:dyDescent="0.25">
      <c r="B1722" s="818" t="s">
        <v>1984</v>
      </c>
      <c r="C1722" s="822">
        <v>99201</v>
      </c>
    </row>
    <row r="1723" spans="2:3" x14ac:dyDescent="0.25">
      <c r="B1723" s="818" t="s">
        <v>1987</v>
      </c>
      <c r="C1723" s="822">
        <v>99204</v>
      </c>
    </row>
    <row r="1724" spans="2:3" x14ac:dyDescent="0.25">
      <c r="B1724" s="818" t="s">
        <v>1989</v>
      </c>
      <c r="C1724" s="822">
        <v>99207</v>
      </c>
    </row>
    <row r="1725" spans="2:3" x14ac:dyDescent="0.25">
      <c r="B1725" s="818" t="s">
        <v>2004</v>
      </c>
      <c r="C1725" s="822">
        <v>99281</v>
      </c>
    </row>
    <row r="1726" spans="2:3" x14ac:dyDescent="0.25">
      <c r="B1726" s="818" t="s">
        <v>1497</v>
      </c>
      <c r="C1726" s="822">
        <v>93461</v>
      </c>
    </row>
    <row r="1727" spans="2:3" x14ac:dyDescent="0.25">
      <c r="B1727" s="818" t="s">
        <v>1461</v>
      </c>
      <c r="C1727" s="822">
        <v>93157</v>
      </c>
    </row>
    <row r="1728" spans="2:3" x14ac:dyDescent="0.25">
      <c r="B1728" s="818" t="s">
        <v>1460</v>
      </c>
      <c r="C1728" s="822">
        <v>93151</v>
      </c>
    </row>
    <row r="1729" spans="2:3" x14ac:dyDescent="0.25">
      <c r="B1729" s="818" t="s">
        <v>1944</v>
      </c>
      <c r="C1729" s="822">
        <v>98517</v>
      </c>
    </row>
    <row r="1730" spans="2:3" x14ac:dyDescent="0.25">
      <c r="B1730" s="818" t="s">
        <v>1943</v>
      </c>
      <c r="C1730" s="822">
        <v>98511</v>
      </c>
    </row>
    <row r="1731" spans="2:3" x14ac:dyDescent="0.25">
      <c r="B1731" s="818" t="s">
        <v>2037</v>
      </c>
      <c r="C1731" s="822">
        <v>99661</v>
      </c>
    </row>
    <row r="1732" spans="2:3" x14ac:dyDescent="0.25">
      <c r="B1732" s="818" t="s">
        <v>1547</v>
      </c>
      <c r="C1732" s="822">
        <v>94031</v>
      </c>
    </row>
    <row r="1733" spans="2:3" x14ac:dyDescent="0.25">
      <c r="B1733" s="818" t="s">
        <v>2006</v>
      </c>
      <c r="C1733" s="822">
        <v>99301</v>
      </c>
    </row>
    <row r="1734" spans="2:3" x14ac:dyDescent="0.25">
      <c r="B1734" s="818" t="s">
        <v>2007</v>
      </c>
      <c r="C1734" s="822">
        <v>99304</v>
      </c>
    </row>
    <row r="1735" spans="2:3" x14ac:dyDescent="0.25">
      <c r="B1735" s="818" t="s">
        <v>2009</v>
      </c>
      <c r="C1735" s="822">
        <v>99321</v>
      </c>
    </row>
    <row r="1736" spans="2:3" x14ac:dyDescent="0.25">
      <c r="B1736" s="818" t="s">
        <v>1458</v>
      </c>
      <c r="C1736" s="822">
        <v>93137</v>
      </c>
    </row>
    <row r="1737" spans="2:3" x14ac:dyDescent="0.25">
      <c r="B1737" s="818" t="s">
        <v>1457</v>
      </c>
      <c r="C1737" s="822">
        <v>93131</v>
      </c>
    </row>
    <row r="1738" spans="2:3" x14ac:dyDescent="0.25">
      <c r="B1738" s="818" t="s">
        <v>2010</v>
      </c>
      <c r="C1738" s="822">
        <v>99401</v>
      </c>
    </row>
    <row r="1739" spans="2:3" x14ac:dyDescent="0.25">
      <c r="B1739" s="818" t="s">
        <v>2011</v>
      </c>
      <c r="C1739" s="822">
        <v>99404</v>
      </c>
    </row>
    <row r="1740" spans="2:3" x14ac:dyDescent="0.25">
      <c r="B1740" s="818" t="s">
        <v>1225</v>
      </c>
      <c r="C1740" s="822">
        <v>90741</v>
      </c>
    </row>
    <row r="1741" spans="2:3" x14ac:dyDescent="0.25">
      <c r="B1741" s="818" t="s">
        <v>1222</v>
      </c>
      <c r="C1741" s="822">
        <v>90711</v>
      </c>
    </row>
    <row r="1742" spans="2:3" x14ac:dyDescent="0.25">
      <c r="B1742" s="818" t="s">
        <v>2017</v>
      </c>
      <c r="C1742" s="822">
        <v>99501</v>
      </c>
    </row>
    <row r="1743" spans="2:3" x14ac:dyDescent="0.25">
      <c r="B1743" s="818" t="s">
        <v>2020</v>
      </c>
      <c r="C1743" s="822">
        <v>99509</v>
      </c>
    </row>
    <row r="1744" spans="2:3" x14ac:dyDescent="0.25">
      <c r="B1744" s="818" t="s">
        <v>1307</v>
      </c>
      <c r="C1744" s="828">
        <v>91302</v>
      </c>
    </row>
    <row r="1745" spans="2:3" x14ac:dyDescent="0.25">
      <c r="B1745" s="818" t="s">
        <v>1973</v>
      </c>
      <c r="C1745" s="822">
        <v>99047</v>
      </c>
    </row>
    <row r="1746" spans="2:3" x14ac:dyDescent="0.25">
      <c r="B1746" s="818" t="s">
        <v>1972</v>
      </c>
      <c r="C1746" s="822">
        <v>99041</v>
      </c>
    </row>
    <row r="1747" spans="2:3" x14ac:dyDescent="0.25">
      <c r="B1747" s="818" t="s">
        <v>2025</v>
      </c>
      <c r="C1747" s="822">
        <v>99601</v>
      </c>
    </row>
    <row r="1748" spans="2:3" x14ac:dyDescent="0.25">
      <c r="B1748" s="818" t="s">
        <v>2028</v>
      </c>
      <c r="C1748" s="822">
        <v>99604</v>
      </c>
    </row>
    <row r="1749" spans="2:3" x14ac:dyDescent="0.25">
      <c r="B1749" s="818" t="s">
        <v>1588</v>
      </c>
      <c r="C1749" s="822">
        <v>94412</v>
      </c>
    </row>
    <row r="1750" spans="2:3" x14ac:dyDescent="0.25">
      <c r="B1750" s="818" t="s">
        <v>1587</v>
      </c>
      <c r="C1750" s="822">
        <v>94411</v>
      </c>
    </row>
    <row r="1751" spans="2:3" x14ac:dyDescent="0.25">
      <c r="B1751" s="818" t="s">
        <v>1286</v>
      </c>
      <c r="C1751" s="822">
        <v>91147</v>
      </c>
    </row>
    <row r="1752" spans="2:3" x14ac:dyDescent="0.25">
      <c r="B1752" s="818" t="s">
        <v>1285</v>
      </c>
      <c r="C1752" s="822">
        <v>91141</v>
      </c>
    </row>
    <row r="1753" spans="2:3" x14ac:dyDescent="0.25">
      <c r="B1753" s="818" t="s">
        <v>1976</v>
      </c>
      <c r="C1753" s="822">
        <v>99071</v>
      </c>
    </row>
    <row r="1754" spans="2:3" x14ac:dyDescent="0.25">
      <c r="B1754" s="818" t="s">
        <v>1571</v>
      </c>
      <c r="C1754" s="822">
        <v>94231</v>
      </c>
    </row>
    <row r="1755" spans="2:3" x14ac:dyDescent="0.25">
      <c r="B1755" s="818" t="s">
        <v>1998</v>
      </c>
      <c r="C1755" s="822">
        <v>99231</v>
      </c>
    </row>
    <row r="1756" spans="2:3" x14ac:dyDescent="0.25">
      <c r="B1756" s="818" t="s">
        <v>1978</v>
      </c>
      <c r="C1756" s="822">
        <v>99091</v>
      </c>
    </row>
    <row r="1757" spans="2:3" x14ac:dyDescent="0.25">
      <c r="B1757" s="818" t="s">
        <v>1280</v>
      </c>
      <c r="C1757" s="822">
        <v>91120</v>
      </c>
    </row>
    <row r="1758" spans="2:3" x14ac:dyDescent="0.25">
      <c r="B1758" s="818" t="s">
        <v>3493</v>
      </c>
      <c r="C1758" s="822">
        <v>92444</v>
      </c>
    </row>
    <row r="1759" spans="2:3" x14ac:dyDescent="0.25">
      <c r="B1759" s="818" t="s">
        <v>1207</v>
      </c>
      <c r="C1759" s="822">
        <v>90507</v>
      </c>
    </row>
    <row r="1760" spans="2:3" x14ac:dyDescent="0.25">
      <c r="B1760" s="818" t="s">
        <v>1209</v>
      </c>
      <c r="C1760" s="822">
        <v>90521</v>
      </c>
    </row>
    <row r="1761" spans="2:3" x14ac:dyDescent="0.25">
      <c r="B1761" s="818" t="s">
        <v>1414</v>
      </c>
      <c r="C1761" s="822">
        <v>92602</v>
      </c>
    </row>
    <row r="1762" spans="2:3" x14ac:dyDescent="0.25">
      <c r="B1762" s="818" t="s">
        <v>1330</v>
      </c>
      <c r="C1762" s="822">
        <v>91608</v>
      </c>
    </row>
    <row r="1763" spans="2:3" x14ac:dyDescent="0.25">
      <c r="B1763" s="818" t="s">
        <v>1279</v>
      </c>
      <c r="C1763" s="822">
        <v>91119</v>
      </c>
    </row>
    <row r="1764" spans="2:3" x14ac:dyDescent="0.25">
      <c r="B1764" s="818" t="s">
        <v>1275</v>
      </c>
      <c r="C1764" s="822">
        <v>91107</v>
      </c>
    </row>
    <row r="1765" spans="2:3" x14ac:dyDescent="0.25">
      <c r="B1765" s="818" t="s">
        <v>1350</v>
      </c>
      <c r="C1765" s="822">
        <v>91818</v>
      </c>
    </row>
    <row r="1766" spans="2:3" x14ac:dyDescent="0.25">
      <c r="B1766" s="818" t="s">
        <v>1351</v>
      </c>
      <c r="C1766" s="822">
        <v>91819</v>
      </c>
    </row>
    <row r="1767" spans="2:3" x14ac:dyDescent="0.25">
      <c r="B1767" s="818" t="s">
        <v>1737</v>
      </c>
      <c r="C1767" s="822">
        <v>96371</v>
      </c>
    </row>
    <row r="1768" spans="2:3" x14ac:dyDescent="0.25">
      <c r="B1768" s="818" t="s">
        <v>1746</v>
      </c>
      <c r="C1768" s="822">
        <v>96441</v>
      </c>
    </row>
    <row r="1769" spans="2:3" x14ac:dyDescent="0.25">
      <c r="B1769" s="818" t="s">
        <v>1239</v>
      </c>
      <c r="C1769" s="822">
        <v>90921</v>
      </c>
    </row>
    <row r="1770" spans="2:3" x14ac:dyDescent="0.25">
      <c r="B1770" s="818" t="s">
        <v>1390</v>
      </c>
      <c r="C1770" s="822">
        <v>92417</v>
      </c>
    </row>
    <row r="1771" spans="2:3" x14ac:dyDescent="0.25">
      <c r="B1771" s="818" t="s">
        <v>1387</v>
      </c>
      <c r="C1771" s="822">
        <v>92403</v>
      </c>
    </row>
    <row r="1772" spans="2:3" x14ac:dyDescent="0.25">
      <c r="B1772" s="818" t="s">
        <v>1388</v>
      </c>
      <c r="C1772" s="822">
        <v>92411</v>
      </c>
    </row>
    <row r="1773" spans="2:3" x14ac:dyDescent="0.25">
      <c r="B1773" s="818" t="s">
        <v>2038</v>
      </c>
      <c r="C1773" s="822">
        <v>99701</v>
      </c>
    </row>
    <row r="1774" spans="2:3" x14ac:dyDescent="0.25">
      <c r="B1774" s="818" t="s">
        <v>2043</v>
      </c>
      <c r="C1774" s="822">
        <v>99727</v>
      </c>
    </row>
    <row r="1775" spans="2:3" x14ac:dyDescent="0.25">
      <c r="B1775" s="818" t="s">
        <v>2042</v>
      </c>
      <c r="C1775" s="822">
        <v>99721</v>
      </c>
    </row>
    <row r="1776" spans="2:3" x14ac:dyDescent="0.25">
      <c r="B1776" s="818" t="s">
        <v>1687</v>
      </c>
      <c r="C1776" s="822">
        <v>95813</v>
      </c>
    </row>
    <row r="1777" spans="2:3" x14ac:dyDescent="0.25">
      <c r="B1777" s="818" t="s">
        <v>1686</v>
      </c>
      <c r="C1777" s="822">
        <v>95811</v>
      </c>
    </row>
    <row r="1778" spans="2:3" x14ac:dyDescent="0.25">
      <c r="B1778" s="818" t="s">
        <v>1751</v>
      </c>
      <c r="C1778" s="822">
        <v>96503</v>
      </c>
    </row>
    <row r="1779" spans="2:3" x14ac:dyDescent="0.25">
      <c r="B1779" s="818" t="s">
        <v>1759</v>
      </c>
      <c r="C1779" s="822">
        <v>96531</v>
      </c>
    </row>
    <row r="1780" spans="2:3" x14ac:dyDescent="0.25">
      <c r="B1780" s="818" t="s">
        <v>2044</v>
      </c>
      <c r="C1780" s="822">
        <v>99801</v>
      </c>
    </row>
    <row r="1781" spans="2:3" x14ac:dyDescent="0.25">
      <c r="B1781" s="818" t="s">
        <v>2046</v>
      </c>
      <c r="C1781" s="822">
        <v>99804</v>
      </c>
    </row>
    <row r="1782" spans="2:3" x14ac:dyDescent="0.25">
      <c r="B1782" s="818" t="s">
        <v>2045</v>
      </c>
      <c r="C1782" s="822">
        <v>99802</v>
      </c>
    </row>
    <row r="1783" spans="2:3" x14ac:dyDescent="0.25">
      <c r="B1783" s="818" t="s">
        <v>2048</v>
      </c>
      <c r="C1783" s="822">
        <v>99812</v>
      </c>
    </row>
    <row r="1784" spans="2:3" x14ac:dyDescent="0.25">
      <c r="B1784" s="818" t="s">
        <v>2047</v>
      </c>
      <c r="C1784" s="822">
        <v>99811</v>
      </c>
    </row>
    <row r="1785" spans="2:3" x14ac:dyDescent="0.25">
      <c r="B1785" s="818" t="s">
        <v>1651</v>
      </c>
      <c r="C1785" s="822">
        <v>95191</v>
      </c>
    </row>
    <row r="1786" spans="2:3" x14ac:dyDescent="0.25">
      <c r="B1786" s="818" t="s">
        <v>1232</v>
      </c>
      <c r="C1786" s="822">
        <v>90812</v>
      </c>
    </row>
    <row r="1787" spans="2:3" x14ac:dyDescent="0.25">
      <c r="B1787" s="818" t="s">
        <v>1811</v>
      </c>
      <c r="C1787" s="822">
        <v>97221</v>
      </c>
    </row>
    <row r="1788" spans="2:3" x14ac:dyDescent="0.25">
      <c r="B1788" s="818" t="s">
        <v>1971</v>
      </c>
      <c r="C1788" s="822">
        <v>99031</v>
      </c>
    </row>
    <row r="1789" spans="2:3" x14ac:dyDescent="0.25">
      <c r="B1789" s="818" t="s">
        <v>1490</v>
      </c>
      <c r="C1789" s="822">
        <v>93413</v>
      </c>
    </row>
    <row r="1790" spans="2:3" x14ac:dyDescent="0.25">
      <c r="B1790" s="818" t="s">
        <v>1489</v>
      </c>
      <c r="C1790" s="822">
        <v>93411</v>
      </c>
    </row>
    <row r="1791" spans="2:3" x14ac:dyDescent="0.25">
      <c r="B1791" s="818" t="s">
        <v>1827</v>
      </c>
      <c r="C1791" s="822">
        <v>97451</v>
      </c>
    </row>
    <row r="1792" spans="2:3" x14ac:dyDescent="0.25">
      <c r="B1792" s="818" t="s">
        <v>1610</v>
      </c>
      <c r="C1792" s="822">
        <v>94631</v>
      </c>
    </row>
    <row r="1793" spans="2:3" x14ac:dyDescent="0.25">
      <c r="B1793" s="818" t="s">
        <v>1274</v>
      </c>
      <c r="C1793" s="822">
        <v>91104</v>
      </c>
    </row>
    <row r="1794" spans="2:3" x14ac:dyDescent="0.25">
      <c r="B1794" s="818" t="s">
        <v>1277</v>
      </c>
      <c r="C1794" s="822">
        <v>91109</v>
      </c>
    </row>
    <row r="1795" spans="2:3" x14ac:dyDescent="0.25">
      <c r="B1795" s="818" t="s">
        <v>1290</v>
      </c>
      <c r="C1795" s="822">
        <v>91171</v>
      </c>
    </row>
    <row r="1796" spans="2:3" x14ac:dyDescent="0.25">
      <c r="B1796" s="818" t="s">
        <v>1765</v>
      </c>
      <c r="C1796" s="822">
        <v>96621</v>
      </c>
    </row>
    <row r="1797" spans="2:3" x14ac:dyDescent="0.25">
      <c r="B1797" s="818" t="s">
        <v>1755</v>
      </c>
      <c r="C1797" s="822">
        <v>96511</v>
      </c>
    </row>
    <row r="1798" spans="2:3" x14ac:dyDescent="0.25">
      <c r="B1798" s="818" t="s">
        <v>2054</v>
      </c>
      <c r="C1798" s="822">
        <v>99901</v>
      </c>
    </row>
    <row r="1799" spans="2:3" x14ac:dyDescent="0.25">
      <c r="B1799" s="818" t="s">
        <v>3494</v>
      </c>
      <c r="C1799" s="822">
        <v>98604</v>
      </c>
    </row>
    <row r="1800" spans="2:3" x14ac:dyDescent="0.25">
      <c r="B1800" s="818" t="s">
        <v>1948</v>
      </c>
      <c r="C1800" s="822">
        <v>98608</v>
      </c>
    </row>
    <row r="1801" spans="2:3" x14ac:dyDescent="0.25">
      <c r="B1801" s="818" t="s">
        <v>2055</v>
      </c>
      <c r="C1801" s="822">
        <v>99911</v>
      </c>
    </row>
    <row r="1802" spans="2:3" x14ac:dyDescent="0.25">
      <c r="B1802" s="818" t="s">
        <v>1173</v>
      </c>
      <c r="C1802" s="822">
        <v>90001</v>
      </c>
    </row>
    <row r="1803" spans="2:3" x14ac:dyDescent="0.25">
      <c r="B1803" s="818" t="s">
        <v>1174</v>
      </c>
      <c r="C1803" s="822">
        <v>90002</v>
      </c>
    </row>
    <row r="1804" spans="2:3" x14ac:dyDescent="0.25">
      <c r="B1804" s="818" t="s">
        <v>1344</v>
      </c>
      <c r="C1804" s="822">
        <v>91719</v>
      </c>
    </row>
    <row r="1805" spans="2:3" x14ac:dyDescent="0.25">
      <c r="B1805" s="818" t="s">
        <v>1506</v>
      </c>
      <c r="C1805" s="822">
        <v>93541</v>
      </c>
    </row>
    <row r="1806" spans="2:3" x14ac:dyDescent="0.25">
      <c r="B1806" s="818" t="s">
        <v>1999</v>
      </c>
      <c r="C1806" s="822">
        <v>99241</v>
      </c>
    </row>
    <row r="1807" spans="2:3" x14ac:dyDescent="0.25">
      <c r="B1807" s="818" t="s">
        <v>2552</v>
      </c>
      <c r="C1807" s="843" t="s">
        <v>2553</v>
      </c>
    </row>
  </sheetData>
  <pageMargins left="0" right="0" top="0.75" bottom="0.75" header="0.3" footer="0.3"/>
  <pageSetup scale="46"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V1804"/>
  <sheetViews>
    <sheetView topLeftCell="A870" zoomScale="90" zoomScaleNormal="90" workbookViewId="0">
      <selection activeCell="F911" sqref="F911"/>
    </sheetView>
  </sheetViews>
  <sheetFormatPr defaultColWidth="9.140625" defaultRowHeight="15" x14ac:dyDescent="0.25"/>
  <cols>
    <col min="1" max="1" width="15.28515625" style="776" customWidth="1"/>
    <col min="2" max="2" width="38.85546875" style="776" customWidth="1"/>
    <col min="3" max="3" width="16.140625" style="776" customWidth="1"/>
    <col min="4" max="4" width="16.42578125" style="776" customWidth="1"/>
    <col min="5" max="5" width="25.85546875" style="776" customWidth="1"/>
    <col min="6" max="6" width="25.42578125" style="776" customWidth="1"/>
    <col min="7" max="7" width="18.28515625" style="776" customWidth="1"/>
    <col min="8" max="8" width="3.85546875" style="776" customWidth="1"/>
    <col min="9" max="9" width="10.5703125" style="776" customWidth="1"/>
    <col min="10" max="10" width="20" style="776" customWidth="1"/>
    <col min="11" max="11" width="7.140625" style="776" customWidth="1"/>
    <col min="12" max="12" width="19.42578125" style="776" customWidth="1"/>
    <col min="13" max="13" width="4.85546875" style="776" customWidth="1"/>
    <col min="14" max="14" width="18.28515625" style="776" customWidth="1"/>
    <col min="15" max="15" width="20" style="776" customWidth="1"/>
    <col min="16" max="16" width="8" style="776" customWidth="1"/>
    <col min="17" max="17" width="19.42578125" style="776" customWidth="1"/>
    <col min="18" max="18" width="3.85546875" style="776" customWidth="1"/>
    <col min="19" max="19" width="13.85546875" style="776" customWidth="1"/>
    <col min="20" max="20" width="18.5703125" style="776" customWidth="1"/>
    <col min="21" max="21" width="13.5703125" style="776" customWidth="1"/>
    <col min="22" max="16384" width="9.140625" style="776"/>
  </cols>
  <sheetData>
    <row r="1" spans="1:22" x14ac:dyDescent="0.25">
      <c r="A1" s="775"/>
      <c r="I1" s="777" t="s">
        <v>1156</v>
      </c>
      <c r="J1" s="777"/>
      <c r="K1" s="777"/>
      <c r="L1" s="777"/>
      <c r="N1" s="777" t="s">
        <v>1157</v>
      </c>
      <c r="O1" s="777"/>
      <c r="P1" s="777"/>
      <c r="Q1" s="777"/>
      <c r="S1" s="777" t="s">
        <v>1158</v>
      </c>
      <c r="T1" s="777"/>
      <c r="U1" s="777"/>
    </row>
    <row r="2" spans="1:22" ht="167.25" customHeight="1" x14ac:dyDescent="0.25">
      <c r="A2" s="778" t="s">
        <v>1155</v>
      </c>
      <c r="B2" s="778" t="s">
        <v>1159</v>
      </c>
      <c r="C2" s="778" t="s">
        <v>2117</v>
      </c>
      <c r="D2" s="778" t="s">
        <v>2118</v>
      </c>
      <c r="E2" s="778" t="s">
        <v>2119</v>
      </c>
      <c r="F2" s="778" t="s">
        <v>2120</v>
      </c>
      <c r="G2" s="778" t="s">
        <v>1160</v>
      </c>
      <c r="H2" s="778"/>
      <c r="I2" s="778" t="s">
        <v>1161</v>
      </c>
      <c r="J2" s="778" t="s">
        <v>1162</v>
      </c>
      <c r="K2" s="778" t="s">
        <v>1163</v>
      </c>
      <c r="L2" s="778" t="s">
        <v>1164</v>
      </c>
      <c r="M2" s="778"/>
      <c r="N2" s="778" t="s">
        <v>1161</v>
      </c>
      <c r="O2" s="778" t="s">
        <v>1162</v>
      </c>
      <c r="P2" s="778" t="s">
        <v>1163</v>
      </c>
      <c r="Q2" s="778" t="s">
        <v>1164</v>
      </c>
      <c r="R2" s="778"/>
      <c r="S2" s="778" t="s">
        <v>1165</v>
      </c>
      <c r="T2" s="778" t="s">
        <v>1166</v>
      </c>
      <c r="U2" s="778" t="s">
        <v>1167</v>
      </c>
      <c r="V2" s="778"/>
    </row>
    <row r="3" spans="1:22" ht="14.25" customHeight="1" x14ac:dyDescent="0.25">
      <c r="A3" s="778" t="s">
        <v>487</v>
      </c>
      <c r="B3" s="779" t="s">
        <v>2121</v>
      </c>
      <c r="C3" s="778"/>
      <c r="D3" s="778"/>
      <c r="E3" s="778"/>
      <c r="F3" s="778"/>
      <c r="G3" s="778"/>
      <c r="H3" s="778"/>
      <c r="I3" s="778"/>
      <c r="J3" s="778"/>
      <c r="K3" s="778"/>
      <c r="L3" s="778"/>
      <c r="M3" s="778"/>
      <c r="N3" s="778"/>
      <c r="O3" s="778"/>
      <c r="P3" s="778"/>
      <c r="Q3" s="778"/>
      <c r="R3" s="778"/>
      <c r="S3" s="778"/>
      <c r="T3" s="778"/>
      <c r="U3" s="778"/>
      <c r="V3" s="778"/>
    </row>
    <row r="4" spans="1:22" x14ac:dyDescent="0.25">
      <c r="A4" s="780">
        <v>70505</v>
      </c>
      <c r="B4" s="781" t="s">
        <v>1169</v>
      </c>
      <c r="C4" s="782">
        <v>5.0319999999999998E-4</v>
      </c>
      <c r="D4" s="782">
        <v>4.8840000000000005E-4</v>
      </c>
      <c r="E4" s="783">
        <v>192244</v>
      </c>
      <c r="F4" s="783">
        <v>-269557</v>
      </c>
      <c r="G4" s="783">
        <v>225833</v>
      </c>
      <c r="H4" s="783"/>
      <c r="I4" s="784">
        <v>0</v>
      </c>
      <c r="J4" s="784">
        <v>453844</v>
      </c>
      <c r="K4" s="784">
        <v>0</v>
      </c>
      <c r="L4" s="783">
        <v>0</v>
      </c>
      <c r="M4" s="783"/>
      <c r="N4" s="784">
        <v>53084</v>
      </c>
      <c r="O4" s="784">
        <v>518138</v>
      </c>
      <c r="P4" s="784">
        <v>0</v>
      </c>
      <c r="Q4" s="783">
        <v>12609</v>
      </c>
      <c r="R4" s="783"/>
      <c r="S4" s="784">
        <v>103107</v>
      </c>
      <c r="T4" s="785">
        <v>-4212</v>
      </c>
      <c r="U4" s="785">
        <v>98895</v>
      </c>
    </row>
    <row r="5" spans="1:22" x14ac:dyDescent="0.25">
      <c r="A5" s="780">
        <v>71786</v>
      </c>
      <c r="B5" s="781" t="s">
        <v>1170</v>
      </c>
      <c r="C5" s="782">
        <v>4.3699999999999998E-5</v>
      </c>
      <c r="D5" s="782">
        <v>4.2799999999999997E-5</v>
      </c>
      <c r="E5" s="783">
        <v>14665</v>
      </c>
      <c r="F5" s="783">
        <v>-23622</v>
      </c>
      <c r="G5" s="783">
        <v>19612</v>
      </c>
      <c r="H5" s="783"/>
      <c r="I5" s="784">
        <v>0</v>
      </c>
      <c r="J5" s="784">
        <v>39414</v>
      </c>
      <c r="K5" s="784">
        <v>0</v>
      </c>
      <c r="L5" s="783">
        <v>0</v>
      </c>
      <c r="M5" s="783"/>
      <c r="N5" s="784">
        <v>4610</v>
      </c>
      <c r="O5" s="784">
        <v>44997</v>
      </c>
      <c r="P5" s="784">
        <v>0</v>
      </c>
      <c r="Q5" s="783">
        <v>5334</v>
      </c>
      <c r="R5" s="783"/>
      <c r="S5" s="784">
        <v>8954</v>
      </c>
      <c r="T5" s="785">
        <v>-1647</v>
      </c>
      <c r="U5" s="785">
        <v>7307</v>
      </c>
    </row>
    <row r="6" spans="1:22" x14ac:dyDescent="0.25">
      <c r="A6" s="780">
        <v>72265</v>
      </c>
      <c r="B6" s="781" t="s">
        <v>1171</v>
      </c>
      <c r="C6" s="782">
        <v>1.3329999999999999E-4</v>
      </c>
      <c r="D6" s="782">
        <v>1.25E-4</v>
      </c>
      <c r="E6" s="783">
        <v>46669</v>
      </c>
      <c r="F6" s="783">
        <v>-68989.75</v>
      </c>
      <c r="G6" s="783">
        <v>59824</v>
      </c>
      <c r="H6" s="783"/>
      <c r="I6" s="784">
        <v>0</v>
      </c>
      <c r="J6" s="784">
        <v>120225</v>
      </c>
      <c r="K6" s="784">
        <v>0</v>
      </c>
      <c r="L6" s="783">
        <v>10838.75</v>
      </c>
      <c r="M6" s="783"/>
      <c r="N6" s="784">
        <v>14062</v>
      </c>
      <c r="O6" s="784">
        <v>137257</v>
      </c>
      <c r="P6" s="784">
        <v>0</v>
      </c>
      <c r="Q6" s="783">
        <v>321</v>
      </c>
      <c r="R6" s="783"/>
      <c r="S6" s="784">
        <v>27313</v>
      </c>
      <c r="T6" s="785">
        <v>3541</v>
      </c>
      <c r="U6" s="785">
        <v>30854</v>
      </c>
    </row>
    <row r="7" spans="1:22" x14ac:dyDescent="0.25">
      <c r="A7" s="780">
        <v>72657</v>
      </c>
      <c r="B7" s="781" t="s">
        <v>1172</v>
      </c>
      <c r="C7" s="782">
        <v>4.0800000000000002E-5</v>
      </c>
      <c r="D7" s="782">
        <v>4.6799999999999999E-5</v>
      </c>
      <c r="E7" s="783">
        <v>15231</v>
      </c>
      <c r="F7" s="783">
        <v>-25830</v>
      </c>
      <c r="G7" s="783">
        <v>18311</v>
      </c>
      <c r="H7" s="783"/>
      <c r="I7" s="784">
        <v>0</v>
      </c>
      <c r="J7" s="784">
        <v>36798</v>
      </c>
      <c r="K7" s="784">
        <v>0</v>
      </c>
      <c r="L7" s="783">
        <v>9882</v>
      </c>
      <c r="M7" s="783"/>
      <c r="N7" s="784">
        <v>4304</v>
      </c>
      <c r="O7" s="784">
        <v>42011</v>
      </c>
      <c r="P7" s="784">
        <v>0</v>
      </c>
      <c r="Q7" s="783">
        <v>5342</v>
      </c>
      <c r="R7" s="783"/>
      <c r="S7" s="784">
        <v>8360</v>
      </c>
      <c r="T7" s="785">
        <v>1907</v>
      </c>
      <c r="U7" s="785">
        <v>10267</v>
      </c>
    </row>
    <row r="8" spans="1:22" x14ac:dyDescent="0.25">
      <c r="A8" s="780">
        <v>90001</v>
      </c>
      <c r="B8" s="781" t="s">
        <v>1173</v>
      </c>
      <c r="C8" s="782">
        <v>8.2339999999999996E-4</v>
      </c>
      <c r="D8" s="782">
        <v>8.3210000000000001E-4</v>
      </c>
      <c r="E8" s="783">
        <v>336108</v>
      </c>
      <c r="F8" s="783">
        <v>-459251</v>
      </c>
      <c r="G8" s="783">
        <v>369537</v>
      </c>
      <c r="H8" s="783"/>
      <c r="I8" s="784">
        <v>0</v>
      </c>
      <c r="J8" s="784">
        <v>742638</v>
      </c>
      <c r="K8" s="784">
        <v>0</v>
      </c>
      <c r="L8" s="783">
        <v>6644</v>
      </c>
      <c r="M8" s="783"/>
      <c r="N8" s="784">
        <v>86863</v>
      </c>
      <c r="O8" s="784">
        <v>847844</v>
      </c>
      <c r="P8" s="784">
        <v>0</v>
      </c>
      <c r="Q8" s="783">
        <v>6162</v>
      </c>
      <c r="R8" s="783"/>
      <c r="S8" s="784">
        <v>168716</v>
      </c>
      <c r="T8" s="785">
        <v>609</v>
      </c>
      <c r="U8" s="785">
        <v>169325</v>
      </c>
    </row>
    <row r="9" spans="1:22" x14ac:dyDescent="0.25">
      <c r="A9" s="780">
        <v>90002</v>
      </c>
      <c r="B9" s="781" t="s">
        <v>1174</v>
      </c>
      <c r="C9" s="782">
        <v>1.15E-5</v>
      </c>
      <c r="D9" s="782">
        <v>1.24E-5</v>
      </c>
      <c r="E9" s="783">
        <v>6024</v>
      </c>
      <c r="F9" s="783">
        <v>-6844</v>
      </c>
      <c r="G9" s="783">
        <v>5161</v>
      </c>
      <c r="H9" s="783"/>
      <c r="I9" s="784">
        <v>0</v>
      </c>
      <c r="J9" s="784">
        <v>10372</v>
      </c>
      <c r="K9" s="784">
        <v>0</v>
      </c>
      <c r="L9" s="783">
        <v>648</v>
      </c>
      <c r="M9" s="783"/>
      <c r="N9" s="784">
        <v>1213</v>
      </c>
      <c r="O9" s="784">
        <v>11841</v>
      </c>
      <c r="P9" s="784">
        <v>0</v>
      </c>
      <c r="Q9" s="783">
        <v>0</v>
      </c>
      <c r="R9" s="783"/>
      <c r="S9" s="784">
        <v>2356</v>
      </c>
      <c r="T9" s="785">
        <v>186</v>
      </c>
      <c r="U9" s="785">
        <v>2543</v>
      </c>
    </row>
    <row r="10" spans="1:22" x14ac:dyDescent="0.25">
      <c r="A10" s="780">
        <v>90011</v>
      </c>
      <c r="B10" s="781" t="s">
        <v>1175</v>
      </c>
      <c r="C10" s="782">
        <v>2.2800000000000001E-4</v>
      </c>
      <c r="D10" s="782">
        <v>2.24E-4</v>
      </c>
      <c r="E10" s="783">
        <v>80949</v>
      </c>
      <c r="F10" s="783">
        <v>-123630</v>
      </c>
      <c r="G10" s="783">
        <v>102325</v>
      </c>
      <c r="H10" s="783"/>
      <c r="I10" s="784">
        <v>0</v>
      </c>
      <c r="J10" s="784">
        <v>205637</v>
      </c>
      <c r="K10" s="784">
        <v>0</v>
      </c>
      <c r="L10" s="783">
        <v>6945.77</v>
      </c>
      <c r="M10" s="783"/>
      <c r="N10" s="784">
        <v>24052</v>
      </c>
      <c r="O10" s="784">
        <v>234769</v>
      </c>
      <c r="P10" s="784">
        <v>0</v>
      </c>
      <c r="Q10" s="783">
        <v>6814</v>
      </c>
      <c r="R10" s="783"/>
      <c r="S10" s="784">
        <v>46718</v>
      </c>
      <c r="T10" s="785">
        <v>539</v>
      </c>
      <c r="U10" s="785">
        <v>47257</v>
      </c>
    </row>
    <row r="11" spans="1:22" x14ac:dyDescent="0.25">
      <c r="A11" s="780">
        <v>90092</v>
      </c>
      <c r="B11" s="781" t="s">
        <v>1176</v>
      </c>
      <c r="C11" s="782">
        <v>4.8670000000000001E-4</v>
      </c>
      <c r="D11" s="782">
        <v>5.7660000000000003E-4</v>
      </c>
      <c r="E11" s="783">
        <v>201021</v>
      </c>
      <c r="F11" s="783">
        <v>-318236</v>
      </c>
      <c r="G11" s="783">
        <v>218428</v>
      </c>
      <c r="H11" s="783"/>
      <c r="I11" s="784">
        <v>0</v>
      </c>
      <c r="J11" s="784">
        <v>438963</v>
      </c>
      <c r="K11" s="784">
        <v>0</v>
      </c>
      <c r="L11" s="783">
        <v>0</v>
      </c>
      <c r="M11" s="783"/>
      <c r="N11" s="784">
        <v>51343</v>
      </c>
      <c r="O11" s="784">
        <v>501149</v>
      </c>
      <c r="P11" s="784">
        <v>0</v>
      </c>
      <c r="Q11" s="783">
        <v>100977</v>
      </c>
      <c r="R11" s="783"/>
      <c r="S11" s="784">
        <v>99726</v>
      </c>
      <c r="T11" s="785">
        <v>-29320</v>
      </c>
      <c r="U11" s="785">
        <v>70405</v>
      </c>
    </row>
    <row r="12" spans="1:22" x14ac:dyDescent="0.25">
      <c r="A12" s="780">
        <v>90096</v>
      </c>
      <c r="B12" s="781" t="s">
        <v>1177</v>
      </c>
      <c r="C12" s="782">
        <v>1.4866E-3</v>
      </c>
      <c r="D12" s="782">
        <v>1.5548999999999999E-3</v>
      </c>
      <c r="E12" s="783">
        <v>717058</v>
      </c>
      <c r="F12" s="783">
        <v>-858177</v>
      </c>
      <c r="G12" s="783">
        <v>667177</v>
      </c>
      <c r="H12" s="783"/>
      <c r="I12" s="784">
        <v>0</v>
      </c>
      <c r="J12" s="784">
        <v>1340788</v>
      </c>
      <c r="K12" s="784">
        <v>0</v>
      </c>
      <c r="L12" s="783">
        <v>114407</v>
      </c>
      <c r="M12" s="783"/>
      <c r="N12" s="784">
        <v>156826</v>
      </c>
      <c r="O12" s="784">
        <v>1530733</v>
      </c>
      <c r="P12" s="784">
        <v>0</v>
      </c>
      <c r="Q12" s="783">
        <v>0</v>
      </c>
      <c r="R12" s="783"/>
      <c r="S12" s="784">
        <v>304607</v>
      </c>
      <c r="T12" s="785">
        <v>35405</v>
      </c>
      <c r="U12" s="785">
        <v>340012</v>
      </c>
    </row>
    <row r="13" spans="1:22" x14ac:dyDescent="0.25">
      <c r="A13" s="780">
        <v>90098</v>
      </c>
      <c r="B13" s="781" t="s">
        <v>1178</v>
      </c>
      <c r="C13" s="782">
        <v>5.0869999999999995E-4</v>
      </c>
      <c r="D13" s="782">
        <v>5.4469999999999996E-4</v>
      </c>
      <c r="E13" s="783">
        <v>208078</v>
      </c>
      <c r="F13" s="783">
        <v>-300630</v>
      </c>
      <c r="G13" s="783">
        <v>228302</v>
      </c>
      <c r="H13" s="783"/>
      <c r="I13" s="784">
        <v>0</v>
      </c>
      <c r="J13" s="784">
        <v>458805</v>
      </c>
      <c r="K13" s="784">
        <v>0</v>
      </c>
      <c r="L13" s="783">
        <v>0</v>
      </c>
      <c r="M13" s="783"/>
      <c r="N13" s="784">
        <v>53664</v>
      </c>
      <c r="O13" s="784">
        <v>523802</v>
      </c>
      <c r="P13" s="784">
        <v>0</v>
      </c>
      <c r="Q13" s="783">
        <v>78092</v>
      </c>
      <c r="R13" s="783"/>
      <c r="S13" s="784">
        <v>104234</v>
      </c>
      <c r="T13" s="785">
        <v>-24304</v>
      </c>
      <c r="U13" s="785">
        <v>79929</v>
      </c>
    </row>
    <row r="14" spans="1:22" x14ac:dyDescent="0.25">
      <c r="A14" s="780">
        <v>90099</v>
      </c>
      <c r="B14" s="781" t="s">
        <v>1179</v>
      </c>
      <c r="C14" s="782">
        <v>5.9599999999999996E-4</v>
      </c>
      <c r="D14" s="782">
        <v>6.1160000000000001E-4</v>
      </c>
      <c r="E14" s="783">
        <v>242589</v>
      </c>
      <c r="F14" s="783">
        <v>-337553</v>
      </c>
      <c r="G14" s="783">
        <v>267481</v>
      </c>
      <c r="H14" s="783"/>
      <c r="I14" s="784">
        <v>0</v>
      </c>
      <c r="J14" s="784">
        <v>537542</v>
      </c>
      <c r="K14" s="784">
        <v>0</v>
      </c>
      <c r="L14" s="783">
        <v>7269</v>
      </c>
      <c r="M14" s="783"/>
      <c r="N14" s="784">
        <v>62874</v>
      </c>
      <c r="O14" s="784">
        <v>613693</v>
      </c>
      <c r="P14" s="784">
        <v>0</v>
      </c>
      <c r="Q14" s="783">
        <v>11539</v>
      </c>
      <c r="R14" s="783"/>
      <c r="S14" s="784">
        <v>122122</v>
      </c>
      <c r="T14" s="785">
        <v>-590</v>
      </c>
      <c r="U14" s="785">
        <v>121532</v>
      </c>
    </row>
    <row r="15" spans="1:22" x14ac:dyDescent="0.25">
      <c r="A15" s="780">
        <v>90101</v>
      </c>
      <c r="B15" s="781" t="s">
        <v>1180</v>
      </c>
      <c r="C15" s="782">
        <v>6.1599000000000003E-3</v>
      </c>
      <c r="D15" s="782">
        <v>5.9338999999999998E-3</v>
      </c>
      <c r="E15" s="783">
        <v>2535237</v>
      </c>
      <c r="F15" s="783">
        <v>-3275026</v>
      </c>
      <c r="G15" s="783">
        <v>2764526</v>
      </c>
      <c r="H15" s="783"/>
      <c r="I15" s="784">
        <v>0</v>
      </c>
      <c r="J15" s="784">
        <v>5555712</v>
      </c>
      <c r="K15" s="784">
        <v>0</v>
      </c>
      <c r="L15" s="783">
        <v>174650</v>
      </c>
      <c r="M15" s="783"/>
      <c r="N15" s="784">
        <v>649826</v>
      </c>
      <c r="O15" s="784">
        <v>6342769</v>
      </c>
      <c r="P15" s="784">
        <v>0</v>
      </c>
      <c r="Q15" s="783">
        <v>77366.25</v>
      </c>
      <c r="R15" s="783"/>
      <c r="S15" s="784">
        <v>1262176</v>
      </c>
      <c r="T15" s="785">
        <v>19845</v>
      </c>
      <c r="U15" s="785">
        <v>1282021</v>
      </c>
    </row>
    <row r="16" spans="1:22" x14ac:dyDescent="0.25">
      <c r="A16" s="780">
        <v>90111</v>
      </c>
      <c r="B16" s="781" t="s">
        <v>1181</v>
      </c>
      <c r="C16" s="782">
        <v>4.9893000000000003E-3</v>
      </c>
      <c r="D16" s="782">
        <v>4.9829000000000002E-3</v>
      </c>
      <c r="E16" s="783">
        <v>1978901</v>
      </c>
      <c r="F16" s="783">
        <v>-2750152</v>
      </c>
      <c r="G16" s="783">
        <v>2239168</v>
      </c>
      <c r="H16" s="783"/>
      <c r="I16" s="784">
        <v>0</v>
      </c>
      <c r="J16" s="784">
        <v>4499929</v>
      </c>
      <c r="K16" s="784">
        <v>0</v>
      </c>
      <c r="L16" s="783">
        <v>0</v>
      </c>
      <c r="M16" s="783"/>
      <c r="N16" s="784">
        <v>526336</v>
      </c>
      <c r="O16" s="784">
        <v>5137417</v>
      </c>
      <c r="P16" s="784">
        <v>0</v>
      </c>
      <c r="Q16" s="783">
        <v>115434</v>
      </c>
      <c r="R16" s="783"/>
      <c r="S16" s="784">
        <v>1022318</v>
      </c>
      <c r="T16" s="785">
        <v>-35585</v>
      </c>
      <c r="U16" s="785">
        <v>986733</v>
      </c>
    </row>
    <row r="17" spans="1:21" x14ac:dyDescent="0.25">
      <c r="A17" s="780">
        <v>90114</v>
      </c>
      <c r="B17" s="781" t="s">
        <v>1182</v>
      </c>
      <c r="C17" s="782">
        <v>1.0043000000000001E-3</v>
      </c>
      <c r="D17" s="782">
        <v>9.8620000000000001E-4</v>
      </c>
      <c r="E17" s="783">
        <v>920587</v>
      </c>
      <c r="F17" s="783">
        <v>-544302</v>
      </c>
      <c r="G17" s="783">
        <v>450724</v>
      </c>
      <c r="H17" s="783"/>
      <c r="I17" s="784">
        <v>0</v>
      </c>
      <c r="J17" s="784">
        <v>905794</v>
      </c>
      <c r="K17" s="784">
        <v>0</v>
      </c>
      <c r="L17" s="783">
        <v>439606</v>
      </c>
      <c r="M17" s="783"/>
      <c r="N17" s="784">
        <v>105947</v>
      </c>
      <c r="O17" s="784">
        <v>1034115</v>
      </c>
      <c r="P17" s="784">
        <v>0</v>
      </c>
      <c r="Q17" s="783">
        <v>0</v>
      </c>
      <c r="R17" s="783"/>
      <c r="S17" s="784">
        <v>205783</v>
      </c>
      <c r="T17" s="785">
        <v>116699</v>
      </c>
      <c r="U17" s="785">
        <v>322482</v>
      </c>
    </row>
    <row r="18" spans="1:21" x14ac:dyDescent="0.25">
      <c r="A18" s="780">
        <v>90117</v>
      </c>
      <c r="B18" s="781" t="s">
        <v>1183</v>
      </c>
      <c r="C18" s="782">
        <v>1.3019999999999999E-4</v>
      </c>
      <c r="D18" s="782">
        <v>1.3349999999999999E-4</v>
      </c>
      <c r="E18" s="783">
        <v>78347</v>
      </c>
      <c r="F18" s="783">
        <v>-73681</v>
      </c>
      <c r="G18" s="783">
        <v>58433</v>
      </c>
      <c r="H18" s="783"/>
      <c r="I18" s="784">
        <v>0</v>
      </c>
      <c r="J18" s="784">
        <v>117429</v>
      </c>
      <c r="K18" s="784">
        <v>0</v>
      </c>
      <c r="L18" s="783">
        <v>30136</v>
      </c>
      <c r="M18" s="783"/>
      <c r="N18" s="784">
        <v>13735</v>
      </c>
      <c r="O18" s="784">
        <v>134065</v>
      </c>
      <c r="P18" s="784">
        <v>0</v>
      </c>
      <c r="Q18" s="783">
        <v>0</v>
      </c>
      <c r="R18" s="783"/>
      <c r="S18" s="784">
        <v>26678</v>
      </c>
      <c r="T18" s="785">
        <v>8797</v>
      </c>
      <c r="U18" s="785">
        <v>35475</v>
      </c>
    </row>
    <row r="19" spans="1:21" x14ac:dyDescent="0.25">
      <c r="A19" s="780">
        <v>90121</v>
      </c>
      <c r="B19" s="781" t="s">
        <v>1184</v>
      </c>
      <c r="C19" s="782">
        <v>1.1057E-3</v>
      </c>
      <c r="D19" s="782">
        <v>1.0882000000000001E-3</v>
      </c>
      <c r="E19" s="783">
        <v>400927</v>
      </c>
      <c r="F19" s="783">
        <v>-600597</v>
      </c>
      <c r="G19" s="783">
        <v>496232</v>
      </c>
      <c r="H19" s="783"/>
      <c r="I19" s="784">
        <v>0</v>
      </c>
      <c r="J19" s="784">
        <v>997249</v>
      </c>
      <c r="K19" s="784">
        <v>0</v>
      </c>
      <c r="L19" s="783">
        <v>9798</v>
      </c>
      <c r="M19" s="783"/>
      <c r="N19" s="784">
        <v>116644</v>
      </c>
      <c r="O19" s="784">
        <v>1138525</v>
      </c>
      <c r="P19" s="784">
        <v>0</v>
      </c>
      <c r="Q19" s="783">
        <v>27750</v>
      </c>
      <c r="R19" s="783"/>
      <c r="S19" s="784">
        <v>226560</v>
      </c>
      <c r="T19" s="785">
        <v>-3988</v>
      </c>
      <c r="U19" s="785">
        <v>222573</v>
      </c>
    </row>
    <row r="20" spans="1:21" x14ac:dyDescent="0.25">
      <c r="A20" s="780">
        <v>90131</v>
      </c>
      <c r="B20" s="781" t="s">
        <v>1185</v>
      </c>
      <c r="C20" s="782">
        <v>4.727E-4</v>
      </c>
      <c r="D20" s="782">
        <v>4.504E-4</v>
      </c>
      <c r="E20" s="783">
        <v>169756</v>
      </c>
      <c r="F20" s="783">
        <v>-248584</v>
      </c>
      <c r="G20" s="783">
        <v>212145</v>
      </c>
      <c r="H20" s="783"/>
      <c r="I20" s="784">
        <v>0</v>
      </c>
      <c r="J20" s="784">
        <v>426336</v>
      </c>
      <c r="K20" s="784">
        <v>0</v>
      </c>
      <c r="L20" s="783">
        <v>0</v>
      </c>
      <c r="M20" s="783"/>
      <c r="N20" s="784">
        <v>49867</v>
      </c>
      <c r="O20" s="784">
        <v>486733</v>
      </c>
      <c r="P20" s="784">
        <v>0</v>
      </c>
      <c r="Q20" s="783">
        <v>19916</v>
      </c>
      <c r="R20" s="783"/>
      <c r="S20" s="784">
        <v>96857</v>
      </c>
      <c r="T20" s="785">
        <v>-6460</v>
      </c>
      <c r="U20" s="785">
        <v>90397</v>
      </c>
    </row>
    <row r="21" spans="1:21" x14ac:dyDescent="0.25">
      <c r="A21" s="780">
        <v>90141</v>
      </c>
      <c r="B21" s="781" t="s">
        <v>1186</v>
      </c>
      <c r="C21" s="782">
        <v>1.5919999999999999E-4</v>
      </c>
      <c r="D21" s="782">
        <v>1.56E-4</v>
      </c>
      <c r="E21" s="783">
        <v>64709</v>
      </c>
      <c r="F21" s="783">
        <v>-86099</v>
      </c>
      <c r="G21" s="783">
        <v>71448</v>
      </c>
      <c r="H21" s="783"/>
      <c r="I21" s="784">
        <v>0</v>
      </c>
      <c r="J21" s="784">
        <v>143585</v>
      </c>
      <c r="K21" s="784">
        <v>0</v>
      </c>
      <c r="L21" s="783">
        <v>3000</v>
      </c>
      <c r="M21" s="783"/>
      <c r="N21" s="784">
        <v>16794</v>
      </c>
      <c r="O21" s="784">
        <v>163926</v>
      </c>
      <c r="P21" s="784">
        <v>0</v>
      </c>
      <c r="Q21" s="783">
        <v>0</v>
      </c>
      <c r="R21" s="783"/>
      <c r="S21" s="784">
        <v>32620</v>
      </c>
      <c r="T21" s="785">
        <v>857</v>
      </c>
      <c r="U21" s="785">
        <v>33477</v>
      </c>
    </row>
    <row r="22" spans="1:21" x14ac:dyDescent="0.25">
      <c r="A22" s="780">
        <v>90151</v>
      </c>
      <c r="B22" s="781" t="s">
        <v>1187</v>
      </c>
      <c r="C22" s="782">
        <v>9.7999999999999993E-6</v>
      </c>
      <c r="D22" s="782">
        <v>9.9000000000000001E-6</v>
      </c>
      <c r="E22" s="783">
        <v>2809</v>
      </c>
      <c r="F22" s="783">
        <v>-5464</v>
      </c>
      <c r="G22" s="783">
        <v>4398</v>
      </c>
      <c r="H22" s="783"/>
      <c r="I22" s="784">
        <v>0</v>
      </c>
      <c r="J22" s="784">
        <v>8839</v>
      </c>
      <c r="K22" s="784">
        <v>0</v>
      </c>
      <c r="L22" s="783">
        <v>0</v>
      </c>
      <c r="M22" s="783"/>
      <c r="N22" s="784">
        <v>1034</v>
      </c>
      <c r="O22" s="784">
        <v>10091</v>
      </c>
      <c r="P22" s="784">
        <v>0</v>
      </c>
      <c r="Q22" s="783">
        <v>1774</v>
      </c>
      <c r="R22" s="783"/>
      <c r="S22" s="784">
        <v>2008</v>
      </c>
      <c r="T22" s="785">
        <v>-520</v>
      </c>
      <c r="U22" s="785">
        <v>1488</v>
      </c>
    </row>
    <row r="23" spans="1:21" x14ac:dyDescent="0.25">
      <c r="A23" s="780">
        <v>90161</v>
      </c>
      <c r="B23" s="781" t="s">
        <v>1188</v>
      </c>
      <c r="C23" s="782">
        <v>2.6299999999999999E-5</v>
      </c>
      <c r="D23" s="782">
        <v>2.6100000000000001E-5</v>
      </c>
      <c r="E23" s="783">
        <v>13826</v>
      </c>
      <c r="F23" s="783">
        <v>-14405</v>
      </c>
      <c r="G23" s="783">
        <v>11803</v>
      </c>
      <c r="H23" s="783"/>
      <c r="I23" s="784">
        <v>0</v>
      </c>
      <c r="J23" s="784">
        <v>23720</v>
      </c>
      <c r="K23" s="784">
        <v>0</v>
      </c>
      <c r="L23" s="783">
        <v>2833</v>
      </c>
      <c r="M23" s="783"/>
      <c r="N23" s="784">
        <v>2774</v>
      </c>
      <c r="O23" s="784">
        <v>27081</v>
      </c>
      <c r="P23" s="784">
        <v>0</v>
      </c>
      <c r="Q23" s="783">
        <v>0</v>
      </c>
      <c r="R23" s="783"/>
      <c r="S23" s="784">
        <v>5389</v>
      </c>
      <c r="T23" s="785">
        <v>759</v>
      </c>
      <c r="U23" s="785">
        <v>6148</v>
      </c>
    </row>
    <row r="24" spans="1:21" x14ac:dyDescent="0.25">
      <c r="A24" s="780">
        <v>90201</v>
      </c>
      <c r="B24" s="781" t="s">
        <v>1189</v>
      </c>
      <c r="C24" s="782">
        <v>1.1842999999999999E-3</v>
      </c>
      <c r="D24" s="782">
        <v>1.1757E-3</v>
      </c>
      <c r="E24" s="783">
        <v>492684</v>
      </c>
      <c r="F24" s="783">
        <v>-648890</v>
      </c>
      <c r="G24" s="783">
        <v>531507</v>
      </c>
      <c r="H24" s="783"/>
      <c r="I24" s="784">
        <v>0</v>
      </c>
      <c r="J24" s="784">
        <v>1068139</v>
      </c>
      <c r="K24" s="784">
        <v>0</v>
      </c>
      <c r="L24" s="783">
        <v>104767</v>
      </c>
      <c r="M24" s="783"/>
      <c r="N24" s="784">
        <v>124935</v>
      </c>
      <c r="O24" s="784">
        <v>1219458</v>
      </c>
      <c r="P24" s="784">
        <v>0</v>
      </c>
      <c r="Q24" s="783">
        <v>0</v>
      </c>
      <c r="R24" s="783"/>
      <c r="S24" s="784">
        <v>242665</v>
      </c>
      <c r="T24" s="785">
        <v>34073</v>
      </c>
      <c r="U24" s="785">
        <v>276739</v>
      </c>
    </row>
    <row r="25" spans="1:21" x14ac:dyDescent="0.25">
      <c r="A25" s="780">
        <v>90203</v>
      </c>
      <c r="B25" s="781" t="s">
        <v>1190</v>
      </c>
      <c r="C25" s="782">
        <v>2.7530000000000002E-4</v>
      </c>
      <c r="D25" s="782">
        <v>2.6909999999999998E-4</v>
      </c>
      <c r="E25" s="783">
        <v>112616</v>
      </c>
      <c r="F25" s="783">
        <v>-148521</v>
      </c>
      <c r="G25" s="783">
        <v>123553</v>
      </c>
      <c r="H25" s="783"/>
      <c r="I25" s="784">
        <v>0</v>
      </c>
      <c r="J25" s="784">
        <v>248297</v>
      </c>
      <c r="K25" s="784">
        <v>0</v>
      </c>
      <c r="L25" s="783">
        <v>4522</v>
      </c>
      <c r="M25" s="783"/>
      <c r="N25" s="784">
        <v>29042</v>
      </c>
      <c r="O25" s="784">
        <v>283473</v>
      </c>
      <c r="P25" s="784">
        <v>0</v>
      </c>
      <c r="Q25" s="783">
        <v>20977.84</v>
      </c>
      <c r="R25" s="783"/>
      <c r="S25" s="784">
        <v>56410</v>
      </c>
      <c r="T25" s="785">
        <v>-5832</v>
      </c>
      <c r="U25" s="785">
        <v>50577</v>
      </c>
    </row>
    <row r="26" spans="1:21" x14ac:dyDescent="0.25">
      <c r="A26" s="780">
        <v>90205</v>
      </c>
      <c r="B26" s="781" t="s">
        <v>1191</v>
      </c>
      <c r="C26" s="782">
        <v>3.5299999999999997E-5</v>
      </c>
      <c r="D26" s="782">
        <v>3.5500000000000002E-5</v>
      </c>
      <c r="E26" s="783">
        <v>15554</v>
      </c>
      <c r="F26" s="783">
        <v>-19593</v>
      </c>
      <c r="G26" s="783">
        <v>15842</v>
      </c>
      <c r="H26" s="783"/>
      <c r="I26" s="784">
        <v>0</v>
      </c>
      <c r="J26" s="784">
        <v>31838</v>
      </c>
      <c r="K26" s="784">
        <v>0</v>
      </c>
      <c r="L26" s="783">
        <v>1987</v>
      </c>
      <c r="M26" s="783"/>
      <c r="N26" s="784">
        <v>3724</v>
      </c>
      <c r="O26" s="784">
        <v>36348</v>
      </c>
      <c r="P26" s="784">
        <v>0</v>
      </c>
      <c r="Q26" s="783">
        <v>0</v>
      </c>
      <c r="R26" s="783"/>
      <c r="S26" s="784">
        <v>7233</v>
      </c>
      <c r="T26" s="785">
        <v>609</v>
      </c>
      <c r="U26" s="785">
        <v>7842</v>
      </c>
    </row>
    <row r="27" spans="1:21" x14ac:dyDescent="0.25">
      <c r="A27" s="780">
        <v>90206</v>
      </c>
      <c r="B27" s="781" t="s">
        <v>1192</v>
      </c>
      <c r="C27" s="782">
        <v>4.3810000000000002E-4</v>
      </c>
      <c r="D27" s="782">
        <v>4.416E-4</v>
      </c>
      <c r="E27" s="783">
        <v>175028</v>
      </c>
      <c r="F27" s="783">
        <v>-243727</v>
      </c>
      <c r="G27" s="783">
        <v>196617</v>
      </c>
      <c r="H27" s="783"/>
      <c r="I27" s="784">
        <v>0</v>
      </c>
      <c r="J27" s="784">
        <v>395129</v>
      </c>
      <c r="K27" s="784">
        <v>0</v>
      </c>
      <c r="L27" s="783">
        <v>27116.31</v>
      </c>
      <c r="M27" s="783"/>
      <c r="N27" s="784">
        <v>46216</v>
      </c>
      <c r="O27" s="784">
        <v>451106</v>
      </c>
      <c r="P27" s="784">
        <v>0</v>
      </c>
      <c r="Q27" s="783">
        <v>5500</v>
      </c>
      <c r="R27" s="783"/>
      <c r="S27" s="784">
        <v>89768</v>
      </c>
      <c r="T27" s="785">
        <v>7629</v>
      </c>
      <c r="U27" s="785">
        <v>97397</v>
      </c>
    </row>
    <row r="28" spans="1:21" x14ac:dyDescent="0.25">
      <c r="A28" s="780">
        <v>90211</v>
      </c>
      <c r="B28" s="781" t="s">
        <v>1193</v>
      </c>
      <c r="C28" s="782">
        <v>1.708E-4</v>
      </c>
      <c r="D28" s="782">
        <v>1.719E-4</v>
      </c>
      <c r="E28" s="783">
        <v>64942</v>
      </c>
      <c r="F28" s="783">
        <v>-94875</v>
      </c>
      <c r="G28" s="783">
        <v>76654</v>
      </c>
      <c r="H28" s="783"/>
      <c r="I28" s="784">
        <v>0</v>
      </c>
      <c r="J28" s="784">
        <v>154047</v>
      </c>
      <c r="K28" s="784">
        <v>0</v>
      </c>
      <c r="L28" s="783">
        <v>0</v>
      </c>
      <c r="M28" s="783"/>
      <c r="N28" s="784">
        <v>18018</v>
      </c>
      <c r="O28" s="784">
        <v>175871</v>
      </c>
      <c r="P28" s="784">
        <v>0</v>
      </c>
      <c r="Q28" s="783">
        <v>7605</v>
      </c>
      <c r="R28" s="783"/>
      <c r="S28" s="784">
        <v>34997</v>
      </c>
      <c r="T28" s="785">
        <v>-2211</v>
      </c>
      <c r="U28" s="785">
        <v>32786</v>
      </c>
    </row>
    <row r="29" spans="1:21" x14ac:dyDescent="0.25">
      <c r="A29" s="780">
        <v>90301</v>
      </c>
      <c r="B29" s="781" t="s">
        <v>1194</v>
      </c>
      <c r="C29" s="782">
        <v>6.2489999999999996E-4</v>
      </c>
      <c r="D29" s="782">
        <v>6.0329999999999997E-4</v>
      </c>
      <c r="E29" s="783">
        <v>247435</v>
      </c>
      <c r="F29" s="783">
        <v>-332972</v>
      </c>
      <c r="G29" s="783">
        <v>280451</v>
      </c>
      <c r="H29" s="783"/>
      <c r="I29" s="784">
        <v>0</v>
      </c>
      <c r="J29" s="784">
        <v>563607</v>
      </c>
      <c r="K29" s="784">
        <v>0</v>
      </c>
      <c r="L29" s="783">
        <v>9055</v>
      </c>
      <c r="M29" s="783"/>
      <c r="N29" s="784">
        <v>65923</v>
      </c>
      <c r="O29" s="784">
        <v>643451</v>
      </c>
      <c r="P29" s="784">
        <v>0</v>
      </c>
      <c r="Q29" s="783">
        <v>15592.85</v>
      </c>
      <c r="R29" s="783"/>
      <c r="S29" s="784">
        <v>128043</v>
      </c>
      <c r="T29" s="785">
        <v>-2845</v>
      </c>
      <c r="U29" s="785">
        <v>125199</v>
      </c>
    </row>
    <row r="30" spans="1:21" x14ac:dyDescent="0.25">
      <c r="A30" s="780">
        <v>90305</v>
      </c>
      <c r="B30" s="781" t="s">
        <v>1195</v>
      </c>
      <c r="C30" s="782">
        <v>1.773E-4</v>
      </c>
      <c r="D30" s="782">
        <v>1.6589999999999999E-4</v>
      </c>
      <c r="E30" s="783">
        <v>86383</v>
      </c>
      <c r="F30" s="783">
        <v>-91563</v>
      </c>
      <c r="G30" s="783">
        <v>79571</v>
      </c>
      <c r="H30" s="783"/>
      <c r="I30" s="784">
        <v>0</v>
      </c>
      <c r="J30" s="784">
        <v>159910</v>
      </c>
      <c r="K30" s="784">
        <v>0</v>
      </c>
      <c r="L30" s="783">
        <v>25185</v>
      </c>
      <c r="M30" s="783"/>
      <c r="N30" s="784">
        <v>18704</v>
      </c>
      <c r="O30" s="784">
        <v>182564</v>
      </c>
      <c r="P30" s="784">
        <v>0</v>
      </c>
      <c r="Q30" s="783">
        <v>0</v>
      </c>
      <c r="R30" s="783"/>
      <c r="S30" s="784">
        <v>36329</v>
      </c>
      <c r="T30" s="785">
        <v>7036</v>
      </c>
      <c r="U30" s="785">
        <v>43365</v>
      </c>
    </row>
    <row r="31" spans="1:21" x14ac:dyDescent="0.25">
      <c r="A31" s="780">
        <v>90307</v>
      </c>
      <c r="B31" s="781" t="s">
        <v>1196</v>
      </c>
      <c r="C31" s="782">
        <v>8.4999999999999999E-6</v>
      </c>
      <c r="D31" s="782">
        <v>8.6000000000000007E-6</v>
      </c>
      <c r="E31" s="783">
        <v>3880</v>
      </c>
      <c r="F31" s="783">
        <v>-4746</v>
      </c>
      <c r="G31" s="783">
        <v>3815</v>
      </c>
      <c r="H31" s="783"/>
      <c r="I31" s="784">
        <v>0</v>
      </c>
      <c r="J31" s="784">
        <v>7666</v>
      </c>
      <c r="K31" s="784">
        <v>0</v>
      </c>
      <c r="L31" s="783">
        <v>255</v>
      </c>
      <c r="M31" s="783"/>
      <c r="N31" s="784">
        <v>897</v>
      </c>
      <c r="O31" s="784">
        <v>8752</v>
      </c>
      <c r="P31" s="784">
        <v>0</v>
      </c>
      <c r="Q31" s="783">
        <v>120</v>
      </c>
      <c r="R31" s="783"/>
      <c r="S31" s="784">
        <v>1742</v>
      </c>
      <c r="T31" s="785">
        <v>27</v>
      </c>
      <c r="U31" s="785">
        <v>1768</v>
      </c>
    </row>
    <row r="32" spans="1:21" x14ac:dyDescent="0.25">
      <c r="A32" s="780">
        <v>90401</v>
      </c>
      <c r="B32" s="781" t="s">
        <v>1197</v>
      </c>
      <c r="C32" s="782">
        <v>1.359E-3</v>
      </c>
      <c r="D32" s="782">
        <v>1.3248999999999999E-3</v>
      </c>
      <c r="E32" s="783">
        <v>599560</v>
      </c>
      <c r="F32" s="783">
        <v>-731236</v>
      </c>
      <c r="G32" s="783">
        <v>609911</v>
      </c>
      <c r="H32" s="783"/>
      <c r="I32" s="784">
        <v>0</v>
      </c>
      <c r="J32" s="784">
        <v>1225704</v>
      </c>
      <c r="K32" s="784">
        <v>0</v>
      </c>
      <c r="L32" s="783">
        <v>85722</v>
      </c>
      <c r="M32" s="783"/>
      <c r="N32" s="784">
        <v>143365</v>
      </c>
      <c r="O32" s="784">
        <v>1399345</v>
      </c>
      <c r="P32" s="784">
        <v>0</v>
      </c>
      <c r="Q32" s="783">
        <v>0</v>
      </c>
      <c r="R32" s="783"/>
      <c r="S32" s="784">
        <v>278462</v>
      </c>
      <c r="T32" s="785">
        <v>24356</v>
      </c>
      <c r="U32" s="785">
        <v>302818</v>
      </c>
    </row>
    <row r="33" spans="1:21" x14ac:dyDescent="0.25">
      <c r="A33" s="780">
        <v>90411</v>
      </c>
      <c r="B33" s="781" t="s">
        <v>1198</v>
      </c>
      <c r="C33" s="782">
        <v>4.0069999999999998E-4</v>
      </c>
      <c r="D33" s="782">
        <v>4.1399999999999998E-4</v>
      </c>
      <c r="E33" s="783">
        <v>150371</v>
      </c>
      <c r="F33" s="783">
        <v>-228494</v>
      </c>
      <c r="G33" s="783">
        <v>179832</v>
      </c>
      <c r="H33" s="783"/>
      <c r="I33" s="784">
        <v>0</v>
      </c>
      <c r="J33" s="784">
        <v>361398</v>
      </c>
      <c r="K33" s="784">
        <v>0</v>
      </c>
      <c r="L33" s="783">
        <v>0</v>
      </c>
      <c r="M33" s="783"/>
      <c r="N33" s="784">
        <v>42271</v>
      </c>
      <c r="O33" s="784">
        <v>412596</v>
      </c>
      <c r="P33" s="784">
        <v>0</v>
      </c>
      <c r="Q33" s="783">
        <v>21502</v>
      </c>
      <c r="R33" s="783"/>
      <c r="S33" s="784">
        <v>82104</v>
      </c>
      <c r="T33" s="785">
        <v>-5751</v>
      </c>
      <c r="U33" s="785">
        <v>76353</v>
      </c>
    </row>
    <row r="34" spans="1:21" x14ac:dyDescent="0.25">
      <c r="A34" s="780">
        <v>90413</v>
      </c>
      <c r="B34" s="781" t="s">
        <v>1199</v>
      </c>
      <c r="C34" s="782">
        <v>3.6399999999999997E-5</v>
      </c>
      <c r="D34" s="782">
        <v>2.8399999999999999E-5</v>
      </c>
      <c r="E34" s="783">
        <v>17121</v>
      </c>
      <c r="F34" s="783">
        <v>-15674</v>
      </c>
      <c r="G34" s="783">
        <v>16336</v>
      </c>
      <c r="H34" s="783"/>
      <c r="I34" s="784">
        <v>0</v>
      </c>
      <c r="J34" s="784">
        <v>32830</v>
      </c>
      <c r="K34" s="784">
        <v>0</v>
      </c>
      <c r="L34" s="783">
        <v>11378</v>
      </c>
      <c r="M34" s="783"/>
      <c r="N34" s="784">
        <v>3840</v>
      </c>
      <c r="O34" s="784">
        <v>37481</v>
      </c>
      <c r="P34" s="784">
        <v>0</v>
      </c>
      <c r="Q34" s="783">
        <v>0</v>
      </c>
      <c r="R34" s="783"/>
      <c r="S34" s="784">
        <v>7458</v>
      </c>
      <c r="T34" s="785">
        <v>3267</v>
      </c>
      <c r="U34" s="785">
        <v>10726</v>
      </c>
    </row>
    <row r="35" spans="1:21" x14ac:dyDescent="0.25">
      <c r="A35" s="780">
        <v>90417</v>
      </c>
      <c r="B35" s="781" t="s">
        <v>1200</v>
      </c>
      <c r="C35" s="782">
        <v>1.38E-5</v>
      </c>
      <c r="D35" s="782">
        <v>1.5400000000000002E-5</v>
      </c>
      <c r="E35" s="783">
        <v>7877</v>
      </c>
      <c r="F35" s="783">
        <v>-8500</v>
      </c>
      <c r="G35" s="783">
        <v>6193</v>
      </c>
      <c r="H35" s="783"/>
      <c r="I35" s="784">
        <v>0</v>
      </c>
      <c r="J35" s="784">
        <v>12446</v>
      </c>
      <c r="K35" s="784">
        <v>0</v>
      </c>
      <c r="L35" s="783">
        <v>1363</v>
      </c>
      <c r="M35" s="783"/>
      <c r="N35" s="784">
        <v>1456</v>
      </c>
      <c r="O35" s="784">
        <v>14210</v>
      </c>
      <c r="P35" s="784">
        <v>0</v>
      </c>
      <c r="Q35" s="783">
        <v>0</v>
      </c>
      <c r="R35" s="783"/>
      <c r="S35" s="784">
        <v>2828</v>
      </c>
      <c r="T35" s="785">
        <v>408</v>
      </c>
      <c r="U35" s="785">
        <v>3236</v>
      </c>
    </row>
    <row r="36" spans="1:21" x14ac:dyDescent="0.25">
      <c r="A36" s="780">
        <v>90421</v>
      </c>
      <c r="B36" s="781" t="s">
        <v>1201</v>
      </c>
      <c r="C36" s="782">
        <v>2.4700000000000001E-5</v>
      </c>
      <c r="D36" s="782">
        <v>2.3200000000000001E-5</v>
      </c>
      <c r="E36" s="783">
        <v>8126</v>
      </c>
      <c r="F36" s="783">
        <v>-12804</v>
      </c>
      <c r="G36" s="783">
        <v>11085</v>
      </c>
      <c r="H36" s="783"/>
      <c r="I36" s="784">
        <v>0</v>
      </c>
      <c r="J36" s="784">
        <v>22277</v>
      </c>
      <c r="K36" s="784">
        <v>0</v>
      </c>
      <c r="L36" s="783">
        <v>0</v>
      </c>
      <c r="M36" s="783"/>
      <c r="N36" s="784">
        <v>2606</v>
      </c>
      <c r="O36" s="784">
        <v>25433</v>
      </c>
      <c r="P36" s="784">
        <v>0</v>
      </c>
      <c r="Q36" s="783">
        <v>2106</v>
      </c>
      <c r="R36" s="783"/>
      <c r="S36" s="784">
        <v>5061</v>
      </c>
      <c r="T36" s="785">
        <v>-668</v>
      </c>
      <c r="U36" s="785">
        <v>4393</v>
      </c>
    </row>
    <row r="37" spans="1:21" x14ac:dyDescent="0.25">
      <c r="A37" s="780">
        <v>90431</v>
      </c>
      <c r="B37" s="781" t="s">
        <v>1202</v>
      </c>
      <c r="C37" s="782">
        <v>4.7599999999999998E-5</v>
      </c>
      <c r="D37" s="782">
        <v>3.3399999999999999E-5</v>
      </c>
      <c r="E37" s="783">
        <v>18668</v>
      </c>
      <c r="F37" s="783">
        <v>-18434</v>
      </c>
      <c r="G37" s="783">
        <v>21363</v>
      </c>
      <c r="H37" s="783"/>
      <c r="I37" s="784">
        <v>0</v>
      </c>
      <c r="J37" s="784">
        <v>42931</v>
      </c>
      <c r="K37" s="784">
        <v>0</v>
      </c>
      <c r="L37" s="783">
        <v>11716</v>
      </c>
      <c r="M37" s="783"/>
      <c r="N37" s="784">
        <v>5021</v>
      </c>
      <c r="O37" s="784">
        <v>49013</v>
      </c>
      <c r="P37" s="784">
        <v>0</v>
      </c>
      <c r="Q37" s="783">
        <v>0</v>
      </c>
      <c r="R37" s="783"/>
      <c r="S37" s="784">
        <v>9753</v>
      </c>
      <c r="T37" s="785">
        <v>3239</v>
      </c>
      <c r="U37" s="785">
        <v>12992</v>
      </c>
    </row>
    <row r="38" spans="1:21" x14ac:dyDescent="0.25">
      <c r="A38" s="780">
        <v>90441</v>
      </c>
      <c r="B38" s="781" t="s">
        <v>1203</v>
      </c>
      <c r="C38" s="782">
        <v>1.03E-5</v>
      </c>
      <c r="D38" s="782">
        <v>1.13E-5</v>
      </c>
      <c r="E38" s="783">
        <v>4748</v>
      </c>
      <c r="F38" s="783">
        <v>-6237</v>
      </c>
      <c r="G38" s="783">
        <v>4623</v>
      </c>
      <c r="H38" s="783"/>
      <c r="I38" s="784">
        <v>0</v>
      </c>
      <c r="J38" s="784">
        <v>9290</v>
      </c>
      <c r="K38" s="784">
        <v>0</v>
      </c>
      <c r="L38" s="783">
        <v>1820.91</v>
      </c>
      <c r="M38" s="783"/>
      <c r="N38" s="784">
        <v>1087</v>
      </c>
      <c r="O38" s="784">
        <v>10606</v>
      </c>
      <c r="P38" s="784">
        <v>0</v>
      </c>
      <c r="Q38" s="783">
        <v>271</v>
      </c>
      <c r="R38" s="783"/>
      <c r="S38" s="784">
        <v>2110</v>
      </c>
      <c r="T38" s="785">
        <v>538</v>
      </c>
      <c r="U38" s="785">
        <v>2648</v>
      </c>
    </row>
    <row r="39" spans="1:21" x14ac:dyDescent="0.25">
      <c r="A39" s="780">
        <v>90451</v>
      </c>
      <c r="B39" s="781" t="s">
        <v>1204</v>
      </c>
      <c r="C39" s="782">
        <v>1.2099999999999999E-5</v>
      </c>
      <c r="D39" s="782">
        <v>1.3699999999999999E-5</v>
      </c>
      <c r="E39" s="783">
        <v>5865</v>
      </c>
      <c r="F39" s="783">
        <v>-7561</v>
      </c>
      <c r="G39" s="783">
        <v>5430</v>
      </c>
      <c r="H39" s="783"/>
      <c r="I39" s="784">
        <v>0</v>
      </c>
      <c r="J39" s="784">
        <v>10913</v>
      </c>
      <c r="K39" s="784">
        <v>0</v>
      </c>
      <c r="L39" s="783">
        <v>667</v>
      </c>
      <c r="M39" s="783"/>
      <c r="N39" s="784">
        <v>1276</v>
      </c>
      <c r="O39" s="784">
        <v>12459</v>
      </c>
      <c r="P39" s="784">
        <v>0</v>
      </c>
      <c r="Q39" s="783">
        <v>390</v>
      </c>
      <c r="R39" s="783"/>
      <c r="S39" s="784">
        <v>2479</v>
      </c>
      <c r="T39" s="785">
        <v>121</v>
      </c>
      <c r="U39" s="785">
        <v>2600</v>
      </c>
    </row>
    <row r="40" spans="1:21" x14ac:dyDescent="0.25">
      <c r="A40" s="780">
        <v>90461</v>
      </c>
      <c r="B40" s="781" t="s">
        <v>1205</v>
      </c>
      <c r="C40" s="782">
        <v>1.7200000000000001E-5</v>
      </c>
      <c r="D40" s="782">
        <v>9.9000000000000001E-6</v>
      </c>
      <c r="E40" s="783">
        <v>8678</v>
      </c>
      <c r="F40" s="783">
        <v>-5464</v>
      </c>
      <c r="G40" s="783">
        <v>7719</v>
      </c>
      <c r="H40" s="783"/>
      <c r="I40" s="784">
        <v>0</v>
      </c>
      <c r="J40" s="784">
        <v>15513</v>
      </c>
      <c r="K40" s="784">
        <v>0</v>
      </c>
      <c r="L40" s="783">
        <v>6435</v>
      </c>
      <c r="M40" s="783"/>
      <c r="N40" s="784">
        <v>1814</v>
      </c>
      <c r="O40" s="784">
        <v>17711</v>
      </c>
      <c r="P40" s="784">
        <v>0</v>
      </c>
      <c r="Q40" s="783">
        <v>2921.23</v>
      </c>
      <c r="R40" s="783"/>
      <c r="S40" s="784">
        <v>3524</v>
      </c>
      <c r="T40" s="785">
        <v>707</v>
      </c>
      <c r="U40" s="785">
        <v>4232</v>
      </c>
    </row>
    <row r="41" spans="1:21" x14ac:dyDescent="0.25">
      <c r="A41" s="780">
        <v>90501</v>
      </c>
      <c r="B41" s="781" t="s">
        <v>1206</v>
      </c>
      <c r="C41" s="782">
        <v>1.4352E-3</v>
      </c>
      <c r="D41" s="782">
        <v>1.4383E-3</v>
      </c>
      <c r="E41" s="783">
        <v>617123</v>
      </c>
      <c r="F41" s="783">
        <v>-793824</v>
      </c>
      <c r="G41" s="783">
        <v>644109</v>
      </c>
      <c r="H41" s="783"/>
      <c r="I41" s="784">
        <v>0</v>
      </c>
      <c r="J41" s="784">
        <v>1294430</v>
      </c>
      <c r="K41" s="784">
        <v>0</v>
      </c>
      <c r="L41" s="783">
        <v>63065</v>
      </c>
      <c r="M41" s="783"/>
      <c r="N41" s="784">
        <v>151404</v>
      </c>
      <c r="O41" s="784">
        <v>1477807</v>
      </c>
      <c r="P41" s="784">
        <v>0</v>
      </c>
      <c r="Q41" s="783">
        <v>0</v>
      </c>
      <c r="R41" s="783"/>
      <c r="S41" s="784">
        <v>294075</v>
      </c>
      <c r="T41" s="785">
        <v>19456</v>
      </c>
      <c r="U41" s="785">
        <v>313531</v>
      </c>
    </row>
    <row r="42" spans="1:21" x14ac:dyDescent="0.25">
      <c r="A42" s="780">
        <v>90507</v>
      </c>
      <c r="B42" s="781" t="s">
        <v>1207</v>
      </c>
      <c r="C42" s="782">
        <v>7.7000000000000008E-6</v>
      </c>
      <c r="D42" s="782">
        <v>8.1000000000000004E-6</v>
      </c>
      <c r="E42" s="783">
        <v>9150</v>
      </c>
      <c r="F42" s="783">
        <v>-4471</v>
      </c>
      <c r="G42" s="783">
        <v>3456</v>
      </c>
      <c r="H42" s="783"/>
      <c r="I42" s="784">
        <v>0</v>
      </c>
      <c r="J42" s="784">
        <v>6945</v>
      </c>
      <c r="K42" s="784">
        <v>0</v>
      </c>
      <c r="L42" s="783">
        <v>5370</v>
      </c>
      <c r="M42" s="783"/>
      <c r="N42" s="784">
        <v>812</v>
      </c>
      <c r="O42" s="784">
        <v>7929</v>
      </c>
      <c r="P42" s="784">
        <v>0</v>
      </c>
      <c r="Q42" s="783">
        <v>0</v>
      </c>
      <c r="R42" s="783"/>
      <c r="S42" s="784">
        <v>1578</v>
      </c>
      <c r="T42" s="785">
        <v>1471</v>
      </c>
      <c r="U42" s="785">
        <v>3048</v>
      </c>
    </row>
    <row r="43" spans="1:21" x14ac:dyDescent="0.25">
      <c r="A43" s="780">
        <v>90511</v>
      </c>
      <c r="B43" s="781" t="s">
        <v>1208</v>
      </c>
      <c r="C43" s="782">
        <v>9.0699999999999996E-5</v>
      </c>
      <c r="D43" s="782">
        <v>9.4199999999999999E-5</v>
      </c>
      <c r="E43" s="783">
        <v>46464</v>
      </c>
      <c r="F43" s="783">
        <v>-51991</v>
      </c>
      <c r="G43" s="783">
        <v>40706</v>
      </c>
      <c r="H43" s="783"/>
      <c r="I43" s="784">
        <v>0</v>
      </c>
      <c r="J43" s="784">
        <v>81804</v>
      </c>
      <c r="K43" s="784">
        <v>0</v>
      </c>
      <c r="L43" s="783">
        <v>11362</v>
      </c>
      <c r="M43" s="783"/>
      <c r="N43" s="784">
        <v>9568</v>
      </c>
      <c r="O43" s="784">
        <v>93393</v>
      </c>
      <c r="P43" s="784">
        <v>0</v>
      </c>
      <c r="Q43" s="783">
        <v>0</v>
      </c>
      <c r="R43" s="783"/>
      <c r="S43" s="784">
        <v>18585</v>
      </c>
      <c r="T43" s="785">
        <v>3435</v>
      </c>
      <c r="U43" s="785">
        <v>22020</v>
      </c>
    </row>
    <row r="44" spans="1:21" x14ac:dyDescent="0.25">
      <c r="A44" s="780">
        <v>90521</v>
      </c>
      <c r="B44" s="781" t="s">
        <v>1209</v>
      </c>
      <c r="C44" s="782">
        <v>1.451E-4</v>
      </c>
      <c r="D44" s="782">
        <v>1.451E-4</v>
      </c>
      <c r="E44" s="783">
        <v>51555</v>
      </c>
      <c r="F44" s="783">
        <v>-80083</v>
      </c>
      <c r="G44" s="783">
        <v>65120</v>
      </c>
      <c r="H44" s="783"/>
      <c r="I44" s="784">
        <v>0</v>
      </c>
      <c r="J44" s="784">
        <v>130868</v>
      </c>
      <c r="K44" s="784">
        <v>0</v>
      </c>
      <c r="L44" s="783">
        <v>0</v>
      </c>
      <c r="M44" s="783"/>
      <c r="N44" s="784">
        <v>15307</v>
      </c>
      <c r="O44" s="784">
        <v>149408</v>
      </c>
      <c r="P44" s="784">
        <v>0</v>
      </c>
      <c r="Q44" s="783">
        <v>9513</v>
      </c>
      <c r="R44" s="783"/>
      <c r="S44" s="784">
        <v>29731</v>
      </c>
      <c r="T44" s="785">
        <v>-2739</v>
      </c>
      <c r="U44" s="785">
        <v>26993</v>
      </c>
    </row>
    <row r="45" spans="1:21" x14ac:dyDescent="0.25">
      <c r="A45" s="780">
        <v>90601</v>
      </c>
      <c r="B45" s="781" t="s">
        <v>1210</v>
      </c>
      <c r="C45" s="782">
        <v>1.2051E-3</v>
      </c>
      <c r="D45" s="782">
        <v>1.1927000000000001E-3</v>
      </c>
      <c r="E45" s="783">
        <v>500779</v>
      </c>
      <c r="F45" s="783">
        <v>-658273</v>
      </c>
      <c r="G45" s="783">
        <v>540842</v>
      </c>
      <c r="H45" s="783"/>
      <c r="I45" s="784">
        <v>0</v>
      </c>
      <c r="J45" s="784">
        <v>1086899</v>
      </c>
      <c r="K45" s="784">
        <v>0</v>
      </c>
      <c r="L45" s="783">
        <v>46820</v>
      </c>
      <c r="M45" s="783"/>
      <c r="N45" s="784">
        <v>127130</v>
      </c>
      <c r="O45" s="784">
        <v>1240876</v>
      </c>
      <c r="P45" s="784">
        <v>0</v>
      </c>
      <c r="Q45" s="783">
        <v>0</v>
      </c>
      <c r="R45" s="783"/>
      <c r="S45" s="784">
        <v>246927</v>
      </c>
      <c r="T45" s="785">
        <v>14522</v>
      </c>
      <c r="U45" s="785">
        <v>261449</v>
      </c>
    </row>
    <row r="46" spans="1:21" x14ac:dyDescent="0.25">
      <c r="A46" s="780">
        <v>90602</v>
      </c>
      <c r="B46" s="781" t="s">
        <v>2122</v>
      </c>
      <c r="C46" s="782">
        <v>0</v>
      </c>
      <c r="D46" s="782">
        <v>0</v>
      </c>
      <c r="E46" s="783">
        <v>14166</v>
      </c>
      <c r="F46" s="783">
        <v>0</v>
      </c>
      <c r="G46" s="783">
        <v>0</v>
      </c>
      <c r="H46" s="783"/>
      <c r="I46" s="784">
        <v>0</v>
      </c>
      <c r="J46" s="784">
        <v>0</v>
      </c>
      <c r="K46" s="784">
        <v>0</v>
      </c>
      <c r="L46" s="783">
        <v>11227</v>
      </c>
      <c r="M46" s="783"/>
      <c r="N46" s="784">
        <v>0</v>
      </c>
      <c r="O46" s="784">
        <v>0</v>
      </c>
      <c r="P46" s="784">
        <v>0</v>
      </c>
      <c r="Q46" s="783">
        <v>0</v>
      </c>
      <c r="R46" s="783"/>
      <c r="S46" s="784">
        <v>0</v>
      </c>
      <c r="T46" s="785">
        <v>2939</v>
      </c>
      <c r="U46" s="785">
        <v>2939</v>
      </c>
    </row>
    <row r="47" spans="1:21" x14ac:dyDescent="0.25">
      <c r="A47" s="780">
        <v>90605</v>
      </c>
      <c r="B47" s="781" t="s">
        <v>1211</v>
      </c>
      <c r="C47" s="782">
        <v>3.6399999999999997E-5</v>
      </c>
      <c r="D47" s="782">
        <v>3.8999999999999999E-5</v>
      </c>
      <c r="E47" s="783">
        <v>24597</v>
      </c>
      <c r="F47" s="783">
        <v>-21525</v>
      </c>
      <c r="G47" s="783">
        <v>16336</v>
      </c>
      <c r="H47" s="783"/>
      <c r="I47" s="784">
        <v>0</v>
      </c>
      <c r="J47" s="784">
        <v>32830</v>
      </c>
      <c r="K47" s="784">
        <v>0</v>
      </c>
      <c r="L47" s="783">
        <v>7730</v>
      </c>
      <c r="M47" s="783"/>
      <c r="N47" s="784">
        <v>3840</v>
      </c>
      <c r="O47" s="784">
        <v>37481</v>
      </c>
      <c r="P47" s="784">
        <v>0</v>
      </c>
      <c r="Q47" s="783">
        <v>0</v>
      </c>
      <c r="R47" s="783"/>
      <c r="S47" s="784">
        <v>7458</v>
      </c>
      <c r="T47" s="785">
        <v>2157</v>
      </c>
      <c r="U47" s="785">
        <v>9616</v>
      </c>
    </row>
    <row r="48" spans="1:21" x14ac:dyDescent="0.25">
      <c r="A48" s="780">
        <v>90611</v>
      </c>
      <c r="B48" s="781" t="s">
        <v>1212</v>
      </c>
      <c r="C48" s="782">
        <v>1.663E-4</v>
      </c>
      <c r="D48" s="782">
        <v>1.6090000000000001E-4</v>
      </c>
      <c r="E48" s="783">
        <v>60772</v>
      </c>
      <c r="F48" s="783">
        <v>-88804</v>
      </c>
      <c r="G48" s="783">
        <v>74634</v>
      </c>
      <c r="H48" s="783"/>
      <c r="I48" s="784">
        <v>0</v>
      </c>
      <c r="J48" s="784">
        <v>149989</v>
      </c>
      <c r="K48" s="784">
        <v>0</v>
      </c>
      <c r="L48" s="783">
        <v>7621.51</v>
      </c>
      <c r="M48" s="783"/>
      <c r="N48" s="784">
        <v>17543</v>
      </c>
      <c r="O48" s="784">
        <v>171237</v>
      </c>
      <c r="P48" s="784">
        <v>0</v>
      </c>
      <c r="Q48" s="783">
        <v>1857</v>
      </c>
      <c r="R48" s="783"/>
      <c r="S48" s="784">
        <v>34075</v>
      </c>
      <c r="T48" s="785">
        <v>2063</v>
      </c>
      <c r="U48" s="785">
        <v>36138</v>
      </c>
    </row>
    <row r="49" spans="1:21" x14ac:dyDescent="0.25">
      <c r="A49" s="780">
        <v>90617</v>
      </c>
      <c r="B49" s="781" t="s">
        <v>1213</v>
      </c>
      <c r="C49" s="782">
        <v>2.6599999999999999E-5</v>
      </c>
      <c r="D49" s="782">
        <v>2.76E-5</v>
      </c>
      <c r="E49" s="783">
        <v>14138</v>
      </c>
      <c r="F49" s="783">
        <v>-15233</v>
      </c>
      <c r="G49" s="783">
        <v>11938</v>
      </c>
      <c r="H49" s="783"/>
      <c r="I49" s="784">
        <v>0</v>
      </c>
      <c r="J49" s="784">
        <v>23991</v>
      </c>
      <c r="K49" s="784">
        <v>0</v>
      </c>
      <c r="L49" s="783">
        <v>8731</v>
      </c>
      <c r="M49" s="783"/>
      <c r="N49" s="784">
        <v>2806</v>
      </c>
      <c r="O49" s="784">
        <v>27390</v>
      </c>
      <c r="P49" s="784">
        <v>0</v>
      </c>
      <c r="Q49" s="783">
        <v>0</v>
      </c>
      <c r="R49" s="783"/>
      <c r="S49" s="784">
        <v>5450</v>
      </c>
      <c r="T49" s="785">
        <v>2782</v>
      </c>
      <c r="U49" s="785">
        <v>8233</v>
      </c>
    </row>
    <row r="50" spans="1:21" x14ac:dyDescent="0.25">
      <c r="A50" s="780">
        <v>90621</v>
      </c>
      <c r="B50" s="781" t="s">
        <v>1214</v>
      </c>
      <c r="C50" s="782">
        <v>7.9400000000000006E-5</v>
      </c>
      <c r="D50" s="782">
        <v>8.5799999999999998E-5</v>
      </c>
      <c r="E50" s="783">
        <v>29541</v>
      </c>
      <c r="F50" s="783">
        <v>-47355</v>
      </c>
      <c r="G50" s="783">
        <v>35634</v>
      </c>
      <c r="H50" s="783"/>
      <c r="I50" s="784">
        <v>0</v>
      </c>
      <c r="J50" s="784">
        <v>71612</v>
      </c>
      <c r="K50" s="784">
        <v>0</v>
      </c>
      <c r="L50" s="783">
        <v>1776</v>
      </c>
      <c r="M50" s="783"/>
      <c r="N50" s="784">
        <v>8376</v>
      </c>
      <c r="O50" s="784">
        <v>81757</v>
      </c>
      <c r="P50" s="784">
        <v>0</v>
      </c>
      <c r="Q50" s="783">
        <v>6771</v>
      </c>
      <c r="R50" s="783"/>
      <c r="S50" s="784">
        <v>16269</v>
      </c>
      <c r="T50" s="785">
        <v>-1178</v>
      </c>
      <c r="U50" s="785">
        <v>15091</v>
      </c>
    </row>
    <row r="51" spans="1:21" x14ac:dyDescent="0.25">
      <c r="A51" s="780">
        <v>90631</v>
      </c>
      <c r="B51" s="781" t="s">
        <v>1215</v>
      </c>
      <c r="C51" s="782">
        <v>3.4539999999999999E-4</v>
      </c>
      <c r="D51" s="782">
        <v>3.7130000000000003E-4</v>
      </c>
      <c r="E51" s="783">
        <v>151489</v>
      </c>
      <c r="F51" s="783">
        <v>-204927</v>
      </c>
      <c r="G51" s="783">
        <v>155013</v>
      </c>
      <c r="H51" s="783"/>
      <c r="I51" s="784">
        <v>0</v>
      </c>
      <c r="J51" s="784">
        <v>311522</v>
      </c>
      <c r="K51" s="784">
        <v>0</v>
      </c>
      <c r="L51" s="783">
        <v>0</v>
      </c>
      <c r="M51" s="783"/>
      <c r="N51" s="784">
        <v>36437</v>
      </c>
      <c r="O51" s="784">
        <v>355654</v>
      </c>
      <c r="P51" s="784">
        <v>0</v>
      </c>
      <c r="Q51" s="783">
        <v>20528</v>
      </c>
      <c r="R51" s="783"/>
      <c r="S51" s="784">
        <v>70773</v>
      </c>
      <c r="T51" s="785">
        <v>-6148</v>
      </c>
      <c r="U51" s="785">
        <v>64625</v>
      </c>
    </row>
    <row r="52" spans="1:21" x14ac:dyDescent="0.25">
      <c r="A52" s="780">
        <v>90641</v>
      </c>
      <c r="B52" s="781" t="s">
        <v>1216</v>
      </c>
      <c r="C52" s="782">
        <v>1.5400000000000002E-5</v>
      </c>
      <c r="D52" s="782">
        <v>1.5500000000000001E-5</v>
      </c>
      <c r="E52" s="783">
        <v>6958</v>
      </c>
      <c r="F52" s="783">
        <v>-8555</v>
      </c>
      <c r="G52" s="783">
        <v>6911</v>
      </c>
      <c r="H52" s="783"/>
      <c r="I52" s="784">
        <v>0</v>
      </c>
      <c r="J52" s="784">
        <v>13890</v>
      </c>
      <c r="K52" s="784">
        <v>0</v>
      </c>
      <c r="L52" s="783">
        <v>461</v>
      </c>
      <c r="M52" s="783"/>
      <c r="N52" s="784">
        <v>1625</v>
      </c>
      <c r="O52" s="784">
        <v>15857</v>
      </c>
      <c r="P52" s="784">
        <v>0</v>
      </c>
      <c r="Q52" s="783">
        <v>382.72</v>
      </c>
      <c r="R52" s="783"/>
      <c r="S52" s="784">
        <v>3155</v>
      </c>
      <c r="T52" s="785">
        <v>-7</v>
      </c>
      <c r="U52" s="785">
        <v>3148</v>
      </c>
    </row>
    <row r="53" spans="1:21" x14ac:dyDescent="0.25">
      <c r="A53" s="780">
        <v>90651</v>
      </c>
      <c r="B53" s="781" t="s">
        <v>1217</v>
      </c>
      <c r="C53" s="782">
        <v>1.042E-4</v>
      </c>
      <c r="D53" s="782">
        <v>1.064E-4</v>
      </c>
      <c r="E53" s="783">
        <v>94636</v>
      </c>
      <c r="F53" s="783">
        <v>-58724</v>
      </c>
      <c r="G53" s="783">
        <v>46764</v>
      </c>
      <c r="H53" s="783"/>
      <c r="I53" s="784">
        <v>0</v>
      </c>
      <c r="J53" s="784">
        <v>93980</v>
      </c>
      <c r="K53" s="784">
        <v>0</v>
      </c>
      <c r="L53" s="783">
        <v>39741</v>
      </c>
      <c r="M53" s="783"/>
      <c r="N53" s="784">
        <v>10992</v>
      </c>
      <c r="O53" s="784">
        <v>107293</v>
      </c>
      <c r="P53" s="784">
        <v>0</v>
      </c>
      <c r="Q53" s="783">
        <v>14070.94</v>
      </c>
      <c r="R53" s="783"/>
      <c r="S53" s="784">
        <v>21351</v>
      </c>
      <c r="T53" s="785">
        <v>5697</v>
      </c>
      <c r="U53" s="785">
        <v>27048</v>
      </c>
    </row>
    <row r="54" spans="1:21" x14ac:dyDescent="0.25">
      <c r="A54" s="780">
        <v>90701</v>
      </c>
      <c r="B54" s="781" t="s">
        <v>1218</v>
      </c>
      <c r="C54" s="782">
        <v>2.3326000000000002E-3</v>
      </c>
      <c r="D54" s="782">
        <v>2.2809000000000002E-3</v>
      </c>
      <c r="E54" s="783">
        <v>890157</v>
      </c>
      <c r="F54" s="783">
        <v>-1258870</v>
      </c>
      <c r="G54" s="783">
        <v>1046857</v>
      </c>
      <c r="H54" s="783"/>
      <c r="I54" s="784">
        <v>0</v>
      </c>
      <c r="J54" s="784">
        <v>2103809</v>
      </c>
      <c r="K54" s="784">
        <v>0</v>
      </c>
      <c r="L54" s="783">
        <v>53808.04</v>
      </c>
      <c r="M54" s="783"/>
      <c r="N54" s="784">
        <v>246073</v>
      </c>
      <c r="O54" s="784">
        <v>2401848</v>
      </c>
      <c r="P54" s="784">
        <v>0</v>
      </c>
      <c r="Q54" s="783">
        <v>13017</v>
      </c>
      <c r="R54" s="783"/>
      <c r="S54" s="784">
        <v>477954</v>
      </c>
      <c r="T54" s="785">
        <v>14588</v>
      </c>
      <c r="U54" s="785">
        <v>492543</v>
      </c>
    </row>
    <row r="55" spans="1:21" x14ac:dyDescent="0.25">
      <c r="A55" s="780">
        <v>90704</v>
      </c>
      <c r="B55" s="781" t="s">
        <v>1219</v>
      </c>
      <c r="C55" s="782">
        <v>3.3300000000000003E-5</v>
      </c>
      <c r="D55" s="782">
        <v>3.8300000000000003E-5</v>
      </c>
      <c r="E55" s="783">
        <v>23966</v>
      </c>
      <c r="F55" s="783">
        <v>-21138</v>
      </c>
      <c r="G55" s="783">
        <v>14945</v>
      </c>
      <c r="H55" s="783"/>
      <c r="I55" s="784">
        <v>0</v>
      </c>
      <c r="J55" s="784">
        <v>30034</v>
      </c>
      <c r="K55" s="784">
        <v>0</v>
      </c>
      <c r="L55" s="783">
        <v>7712</v>
      </c>
      <c r="M55" s="783"/>
      <c r="N55" s="784">
        <v>3513</v>
      </c>
      <c r="O55" s="784">
        <v>34289</v>
      </c>
      <c r="P55" s="784">
        <v>0</v>
      </c>
      <c r="Q55" s="783">
        <v>0</v>
      </c>
      <c r="R55" s="783"/>
      <c r="S55" s="784">
        <v>6823</v>
      </c>
      <c r="T55" s="785">
        <v>2237</v>
      </c>
      <c r="U55" s="785">
        <v>9060</v>
      </c>
    </row>
    <row r="56" spans="1:21" x14ac:dyDescent="0.25">
      <c r="A56" s="780">
        <v>90705</v>
      </c>
      <c r="B56" s="781" t="s">
        <v>1220</v>
      </c>
      <c r="C56" s="782">
        <v>3.0599999999999998E-5</v>
      </c>
      <c r="D56" s="782">
        <v>3.1300000000000002E-5</v>
      </c>
      <c r="E56" s="783">
        <v>19142</v>
      </c>
      <c r="F56" s="783">
        <v>-17275</v>
      </c>
      <c r="G56" s="783">
        <v>13733</v>
      </c>
      <c r="H56" s="783"/>
      <c r="I56" s="784">
        <v>0</v>
      </c>
      <c r="J56" s="784">
        <v>27599</v>
      </c>
      <c r="K56" s="784">
        <v>0</v>
      </c>
      <c r="L56" s="783">
        <v>7044</v>
      </c>
      <c r="M56" s="783"/>
      <c r="N56" s="784">
        <v>3228</v>
      </c>
      <c r="O56" s="784">
        <v>31508</v>
      </c>
      <c r="P56" s="784">
        <v>0</v>
      </c>
      <c r="Q56" s="783">
        <v>0</v>
      </c>
      <c r="R56" s="783"/>
      <c r="S56" s="784">
        <v>6270</v>
      </c>
      <c r="T56" s="785">
        <v>2009</v>
      </c>
      <c r="U56" s="785">
        <v>8279</v>
      </c>
    </row>
    <row r="57" spans="1:21" x14ac:dyDescent="0.25">
      <c r="A57" s="780">
        <v>90709</v>
      </c>
      <c r="B57" s="781" t="s">
        <v>1221</v>
      </c>
      <c r="C57" s="782">
        <v>2.1790000000000001E-4</v>
      </c>
      <c r="D57" s="782">
        <v>2.2010000000000001E-4</v>
      </c>
      <c r="E57" s="783">
        <v>82446</v>
      </c>
      <c r="F57" s="783">
        <v>-121477</v>
      </c>
      <c r="G57" s="783">
        <v>97792</v>
      </c>
      <c r="H57" s="783"/>
      <c r="I57" s="784">
        <v>0</v>
      </c>
      <c r="J57" s="784">
        <v>196527</v>
      </c>
      <c r="K57" s="784">
        <v>0</v>
      </c>
      <c r="L57" s="783">
        <v>15357</v>
      </c>
      <c r="M57" s="783"/>
      <c r="N57" s="784">
        <v>22987</v>
      </c>
      <c r="O57" s="784">
        <v>224369</v>
      </c>
      <c r="P57" s="784">
        <v>0</v>
      </c>
      <c r="Q57" s="783">
        <v>6710</v>
      </c>
      <c r="R57" s="783"/>
      <c r="S57" s="784">
        <v>44648</v>
      </c>
      <c r="T57" s="785">
        <v>3380</v>
      </c>
      <c r="U57" s="785">
        <v>48028</v>
      </c>
    </row>
    <row r="58" spans="1:21" x14ac:dyDescent="0.25">
      <c r="A58" s="780">
        <v>90711</v>
      </c>
      <c r="B58" s="781" t="s">
        <v>1222</v>
      </c>
      <c r="C58" s="782">
        <v>1.8802000000000001E-3</v>
      </c>
      <c r="D58" s="782">
        <v>1.9138E-3</v>
      </c>
      <c r="E58" s="783">
        <v>712713</v>
      </c>
      <c r="F58" s="783">
        <v>-1056261</v>
      </c>
      <c r="G58" s="783">
        <v>843822</v>
      </c>
      <c r="H58" s="783"/>
      <c r="I58" s="784">
        <v>0</v>
      </c>
      <c r="J58" s="784">
        <v>1695782</v>
      </c>
      <c r="K58" s="784">
        <v>0</v>
      </c>
      <c r="L58" s="783">
        <v>0</v>
      </c>
      <c r="M58" s="783"/>
      <c r="N58" s="784">
        <v>198348</v>
      </c>
      <c r="O58" s="784">
        <v>1936017</v>
      </c>
      <c r="P58" s="784">
        <v>0</v>
      </c>
      <c r="Q58" s="783">
        <v>108507</v>
      </c>
      <c r="R58" s="783"/>
      <c r="S58" s="784">
        <v>385257</v>
      </c>
      <c r="T58" s="785">
        <v>-31412</v>
      </c>
      <c r="U58" s="785">
        <v>353844</v>
      </c>
    </row>
    <row r="59" spans="1:21" x14ac:dyDescent="0.25">
      <c r="A59" s="780">
        <v>90721</v>
      </c>
      <c r="B59" s="781" t="s">
        <v>1223</v>
      </c>
      <c r="C59" s="782">
        <v>3.82E-5</v>
      </c>
      <c r="D59" s="782">
        <v>3.43E-5</v>
      </c>
      <c r="E59" s="783">
        <v>15565</v>
      </c>
      <c r="F59" s="783">
        <v>-18931</v>
      </c>
      <c r="G59" s="783">
        <v>17144</v>
      </c>
      <c r="H59" s="783"/>
      <c r="I59" s="784">
        <v>0</v>
      </c>
      <c r="J59" s="784">
        <v>34453</v>
      </c>
      <c r="K59" s="784">
        <v>0</v>
      </c>
      <c r="L59" s="783">
        <v>7738</v>
      </c>
      <c r="M59" s="783"/>
      <c r="N59" s="784">
        <v>4030</v>
      </c>
      <c r="O59" s="784">
        <v>39334</v>
      </c>
      <c r="P59" s="784">
        <v>0</v>
      </c>
      <c r="Q59" s="783">
        <v>0</v>
      </c>
      <c r="R59" s="783"/>
      <c r="S59" s="784">
        <v>7827</v>
      </c>
      <c r="T59" s="785">
        <v>2391</v>
      </c>
      <c r="U59" s="785">
        <v>10218</v>
      </c>
    </row>
    <row r="60" spans="1:21" x14ac:dyDescent="0.25">
      <c r="A60" s="780">
        <v>90731</v>
      </c>
      <c r="B60" s="781" t="s">
        <v>1224</v>
      </c>
      <c r="C60" s="782">
        <v>1.9459999999999999E-4</v>
      </c>
      <c r="D60" s="782">
        <v>2.0129999999999999E-4</v>
      </c>
      <c r="E60" s="783">
        <v>81673</v>
      </c>
      <c r="F60" s="783">
        <v>-111101</v>
      </c>
      <c r="G60" s="783">
        <v>87335</v>
      </c>
      <c r="H60" s="783"/>
      <c r="I60" s="784">
        <v>0</v>
      </c>
      <c r="J60" s="784">
        <v>175513</v>
      </c>
      <c r="K60" s="784">
        <v>0</v>
      </c>
      <c r="L60" s="783">
        <v>0</v>
      </c>
      <c r="M60" s="783"/>
      <c r="N60" s="784">
        <v>20529</v>
      </c>
      <c r="O60" s="784">
        <v>200377</v>
      </c>
      <c r="P60" s="784">
        <v>0</v>
      </c>
      <c r="Q60" s="783">
        <v>10287</v>
      </c>
      <c r="R60" s="783"/>
      <c r="S60" s="784">
        <v>39874</v>
      </c>
      <c r="T60" s="785">
        <v>-3227</v>
      </c>
      <c r="U60" s="785">
        <v>36647</v>
      </c>
    </row>
    <row r="61" spans="1:21" x14ac:dyDescent="0.25">
      <c r="A61" s="780">
        <v>90741</v>
      </c>
      <c r="B61" s="781" t="s">
        <v>1225</v>
      </c>
      <c r="C61" s="782">
        <v>1.2799999999999999E-5</v>
      </c>
      <c r="D61" s="782">
        <v>1.11E-5</v>
      </c>
      <c r="E61" s="783">
        <v>7438</v>
      </c>
      <c r="F61" s="783">
        <v>-6126</v>
      </c>
      <c r="G61" s="783">
        <v>5745</v>
      </c>
      <c r="H61" s="783"/>
      <c r="I61" s="784">
        <v>0</v>
      </c>
      <c r="J61" s="784">
        <v>11545</v>
      </c>
      <c r="K61" s="784">
        <v>0</v>
      </c>
      <c r="L61" s="783">
        <v>2946</v>
      </c>
      <c r="M61" s="783"/>
      <c r="N61" s="784">
        <v>1350</v>
      </c>
      <c r="O61" s="784">
        <v>13180</v>
      </c>
      <c r="P61" s="784">
        <v>0</v>
      </c>
      <c r="Q61" s="783">
        <v>2248.48</v>
      </c>
      <c r="R61" s="783"/>
      <c r="S61" s="784">
        <v>2623</v>
      </c>
      <c r="T61" s="785">
        <v>19</v>
      </c>
      <c r="U61" s="785">
        <v>2642</v>
      </c>
    </row>
    <row r="62" spans="1:21" x14ac:dyDescent="0.25">
      <c r="A62" s="780">
        <v>90751</v>
      </c>
      <c r="B62" s="781" t="s">
        <v>1226</v>
      </c>
      <c r="C62" s="782">
        <v>6.2000000000000003E-5</v>
      </c>
      <c r="D62" s="782">
        <v>5.6700000000000003E-5</v>
      </c>
      <c r="E62" s="783">
        <v>27597</v>
      </c>
      <c r="F62" s="783">
        <v>-31294</v>
      </c>
      <c r="G62" s="783">
        <v>27825</v>
      </c>
      <c r="H62" s="783"/>
      <c r="I62" s="784">
        <v>0</v>
      </c>
      <c r="J62" s="784">
        <v>55919</v>
      </c>
      <c r="K62" s="784">
        <v>0</v>
      </c>
      <c r="L62" s="783">
        <v>12005</v>
      </c>
      <c r="M62" s="783"/>
      <c r="N62" s="784">
        <v>6541</v>
      </c>
      <c r="O62" s="784">
        <v>63841</v>
      </c>
      <c r="P62" s="784">
        <v>0</v>
      </c>
      <c r="Q62" s="783">
        <v>0</v>
      </c>
      <c r="R62" s="783"/>
      <c r="S62" s="784">
        <v>12704</v>
      </c>
      <c r="T62" s="785">
        <v>3613</v>
      </c>
      <c r="U62" s="785">
        <v>16317</v>
      </c>
    </row>
    <row r="63" spans="1:21" x14ac:dyDescent="0.25">
      <c r="A63" s="780">
        <v>90801</v>
      </c>
      <c r="B63" s="781" t="s">
        <v>1227</v>
      </c>
      <c r="C63" s="782">
        <v>1.0472000000000001E-3</v>
      </c>
      <c r="D63" s="782">
        <v>8.1099999999999998E-4</v>
      </c>
      <c r="E63" s="783">
        <v>427650</v>
      </c>
      <c r="F63" s="783">
        <v>-447605</v>
      </c>
      <c r="G63" s="783">
        <v>469977</v>
      </c>
      <c r="H63" s="783"/>
      <c r="I63" s="784">
        <v>0</v>
      </c>
      <c r="J63" s="784">
        <v>944486</v>
      </c>
      <c r="K63" s="784">
        <v>0</v>
      </c>
      <c r="L63" s="783">
        <v>172175</v>
      </c>
      <c r="M63" s="783"/>
      <c r="N63" s="784">
        <v>110472</v>
      </c>
      <c r="O63" s="784">
        <v>1078288</v>
      </c>
      <c r="P63" s="784">
        <v>0</v>
      </c>
      <c r="Q63" s="783">
        <v>0</v>
      </c>
      <c r="R63" s="783"/>
      <c r="S63" s="784">
        <v>214573</v>
      </c>
      <c r="T63" s="785">
        <v>45533</v>
      </c>
      <c r="U63" s="785">
        <v>260107</v>
      </c>
    </row>
    <row r="64" spans="1:21" x14ac:dyDescent="0.25">
      <c r="A64" s="780">
        <v>90804</v>
      </c>
      <c r="B64" s="781" t="s">
        <v>1228</v>
      </c>
      <c r="C64" s="782">
        <v>4.6999999999999999E-6</v>
      </c>
      <c r="D64" s="782">
        <v>3.8999999999999999E-6</v>
      </c>
      <c r="E64" s="783">
        <v>2282</v>
      </c>
      <c r="F64" s="783">
        <v>-2152</v>
      </c>
      <c r="G64" s="783">
        <v>2109</v>
      </c>
      <c r="H64" s="783"/>
      <c r="I64" s="784">
        <v>0</v>
      </c>
      <c r="J64" s="784">
        <v>4239</v>
      </c>
      <c r="K64" s="784">
        <v>0</v>
      </c>
      <c r="L64" s="783">
        <v>2252</v>
      </c>
      <c r="M64" s="783"/>
      <c r="N64" s="784">
        <v>496</v>
      </c>
      <c r="O64" s="784">
        <v>4840</v>
      </c>
      <c r="P64" s="784">
        <v>0</v>
      </c>
      <c r="Q64" s="783">
        <v>0</v>
      </c>
      <c r="R64" s="783"/>
      <c r="S64" s="784">
        <v>963</v>
      </c>
      <c r="T64" s="785">
        <v>691</v>
      </c>
      <c r="U64" s="785">
        <v>1654</v>
      </c>
    </row>
    <row r="65" spans="1:21" x14ac:dyDescent="0.25">
      <c r="A65" s="780">
        <v>90805</v>
      </c>
      <c r="B65" s="781" t="s">
        <v>1229</v>
      </c>
      <c r="C65" s="782">
        <v>5.2800000000000003E-5</v>
      </c>
      <c r="D65" s="782">
        <v>5.3000000000000001E-5</v>
      </c>
      <c r="E65" s="783">
        <v>34021</v>
      </c>
      <c r="F65" s="783">
        <v>-29252</v>
      </c>
      <c r="G65" s="783">
        <v>23696</v>
      </c>
      <c r="H65" s="783"/>
      <c r="I65" s="784">
        <v>0</v>
      </c>
      <c r="J65" s="784">
        <v>47621</v>
      </c>
      <c r="K65" s="784">
        <v>0</v>
      </c>
      <c r="L65" s="783">
        <v>16785</v>
      </c>
      <c r="M65" s="783"/>
      <c r="N65" s="784">
        <v>5570</v>
      </c>
      <c r="O65" s="784">
        <v>54367</v>
      </c>
      <c r="P65" s="784">
        <v>0</v>
      </c>
      <c r="Q65" s="783">
        <v>0</v>
      </c>
      <c r="R65" s="783"/>
      <c r="S65" s="784">
        <v>10819</v>
      </c>
      <c r="T65" s="785">
        <v>4906</v>
      </c>
      <c r="U65" s="785">
        <v>15725</v>
      </c>
    </row>
    <row r="66" spans="1:21" x14ac:dyDescent="0.25">
      <c r="A66" s="780">
        <v>90808</v>
      </c>
      <c r="B66" s="781" t="s">
        <v>1230</v>
      </c>
      <c r="C66" s="782">
        <v>1.176E-4</v>
      </c>
      <c r="D66" s="782">
        <v>1.198E-4</v>
      </c>
      <c r="E66" s="783">
        <v>52392</v>
      </c>
      <c r="F66" s="783">
        <v>-66120</v>
      </c>
      <c r="G66" s="783">
        <v>52778</v>
      </c>
      <c r="H66" s="783"/>
      <c r="I66" s="784">
        <v>0</v>
      </c>
      <c r="J66" s="784">
        <v>106065</v>
      </c>
      <c r="K66" s="784">
        <v>0</v>
      </c>
      <c r="L66" s="783">
        <v>1926</v>
      </c>
      <c r="M66" s="783"/>
      <c r="N66" s="784">
        <v>12406</v>
      </c>
      <c r="O66" s="784">
        <v>121091</v>
      </c>
      <c r="P66" s="784">
        <v>0</v>
      </c>
      <c r="Q66" s="783">
        <v>1196</v>
      </c>
      <c r="R66" s="783"/>
      <c r="S66" s="784">
        <v>24096</v>
      </c>
      <c r="T66" s="785">
        <v>104</v>
      </c>
      <c r="U66" s="785">
        <v>24201</v>
      </c>
    </row>
    <row r="67" spans="1:21" x14ac:dyDescent="0.25">
      <c r="A67" s="780">
        <v>90811</v>
      </c>
      <c r="B67" s="781" t="s">
        <v>1231</v>
      </c>
      <c r="C67" s="782">
        <v>3.6199999999999999E-5</v>
      </c>
      <c r="D67" s="782">
        <v>3.4700000000000003E-5</v>
      </c>
      <c r="E67" s="783">
        <v>12163</v>
      </c>
      <c r="F67" s="783">
        <v>-19152</v>
      </c>
      <c r="G67" s="783">
        <v>16246</v>
      </c>
      <c r="H67" s="783"/>
      <c r="I67" s="784">
        <v>0</v>
      </c>
      <c r="J67" s="784">
        <v>32649</v>
      </c>
      <c r="K67" s="784">
        <v>0</v>
      </c>
      <c r="L67" s="783">
        <v>1423.24</v>
      </c>
      <c r="M67" s="783"/>
      <c r="N67" s="784">
        <v>3819</v>
      </c>
      <c r="O67" s="784">
        <v>37275</v>
      </c>
      <c r="P67" s="784">
        <v>0</v>
      </c>
      <c r="Q67" s="783">
        <v>1021</v>
      </c>
      <c r="R67" s="783"/>
      <c r="S67" s="784">
        <v>7417</v>
      </c>
      <c r="T67" s="785">
        <v>209</v>
      </c>
      <c r="U67" s="785">
        <v>7626</v>
      </c>
    </row>
    <row r="68" spans="1:21" x14ac:dyDescent="0.25">
      <c r="A68" s="780">
        <v>90812</v>
      </c>
      <c r="B68" s="781" t="s">
        <v>1232</v>
      </c>
      <c r="C68" s="782">
        <v>2.409E-4</v>
      </c>
      <c r="D68" s="782">
        <v>2.433E-4</v>
      </c>
      <c r="E68" s="783">
        <v>102408</v>
      </c>
      <c r="F68" s="783">
        <v>-134282</v>
      </c>
      <c r="G68" s="783">
        <v>108114</v>
      </c>
      <c r="H68" s="783"/>
      <c r="I68" s="784">
        <v>0</v>
      </c>
      <c r="J68" s="784">
        <v>217272</v>
      </c>
      <c r="K68" s="784">
        <v>0</v>
      </c>
      <c r="L68" s="783">
        <v>12714</v>
      </c>
      <c r="M68" s="783"/>
      <c r="N68" s="784">
        <v>25413</v>
      </c>
      <c r="O68" s="784">
        <v>248052</v>
      </c>
      <c r="P68" s="784">
        <v>0</v>
      </c>
      <c r="Q68" s="783">
        <v>0</v>
      </c>
      <c r="R68" s="783"/>
      <c r="S68" s="784">
        <v>49361</v>
      </c>
      <c r="T68" s="785">
        <v>4141</v>
      </c>
      <c r="U68" s="785">
        <v>53502</v>
      </c>
    </row>
    <row r="69" spans="1:21" x14ac:dyDescent="0.25">
      <c r="A69" s="780">
        <v>90813</v>
      </c>
      <c r="B69" s="781" t="s">
        <v>1233</v>
      </c>
      <c r="C69" s="782">
        <v>5.4E-6</v>
      </c>
      <c r="D69" s="782">
        <v>6.0000000000000002E-6</v>
      </c>
      <c r="E69" s="783">
        <v>1789</v>
      </c>
      <c r="F69" s="783">
        <v>-3312</v>
      </c>
      <c r="G69" s="783">
        <v>2423</v>
      </c>
      <c r="H69" s="783"/>
      <c r="I69" s="784">
        <v>0</v>
      </c>
      <c r="J69" s="784">
        <v>4870</v>
      </c>
      <c r="K69" s="784">
        <v>0</v>
      </c>
      <c r="L69" s="783">
        <v>0</v>
      </c>
      <c r="M69" s="783"/>
      <c r="N69" s="784">
        <v>570</v>
      </c>
      <c r="O69" s="784">
        <v>5560</v>
      </c>
      <c r="P69" s="784">
        <v>0</v>
      </c>
      <c r="Q69" s="783">
        <v>1134</v>
      </c>
      <c r="R69" s="783"/>
      <c r="S69" s="784">
        <v>1106</v>
      </c>
      <c r="T69" s="785">
        <v>-325</v>
      </c>
      <c r="U69" s="785">
        <v>782</v>
      </c>
    </row>
    <row r="70" spans="1:21" x14ac:dyDescent="0.25">
      <c r="A70" s="780">
        <v>90861</v>
      </c>
      <c r="B70" s="781" t="s">
        <v>1234</v>
      </c>
      <c r="C70" s="782">
        <v>5.3000000000000001E-6</v>
      </c>
      <c r="D70" s="782">
        <v>2.5000000000000002E-6</v>
      </c>
      <c r="E70" s="783">
        <v>3631</v>
      </c>
      <c r="F70" s="783">
        <v>-1379.7950000000001</v>
      </c>
      <c r="G70" s="783">
        <v>2379</v>
      </c>
      <c r="H70" s="783"/>
      <c r="I70" s="784">
        <v>0</v>
      </c>
      <c r="J70" s="784">
        <v>4780</v>
      </c>
      <c r="K70" s="784">
        <v>0</v>
      </c>
      <c r="L70" s="783">
        <v>3128</v>
      </c>
      <c r="M70" s="783"/>
      <c r="N70" s="784">
        <v>559</v>
      </c>
      <c r="O70" s="784">
        <v>5457</v>
      </c>
      <c r="P70" s="784">
        <v>0</v>
      </c>
      <c r="Q70" s="783">
        <v>3373</v>
      </c>
      <c r="R70" s="783"/>
      <c r="S70" s="784">
        <v>1086</v>
      </c>
      <c r="T70" s="785">
        <v>-309</v>
      </c>
      <c r="U70" s="785">
        <v>777</v>
      </c>
    </row>
    <row r="71" spans="1:21" x14ac:dyDescent="0.25">
      <c r="A71" s="780">
        <v>90901</v>
      </c>
      <c r="B71" s="781" t="s">
        <v>1235</v>
      </c>
      <c r="C71" s="782">
        <v>2.2187000000000001E-3</v>
      </c>
      <c r="D71" s="782">
        <v>2.2320999999999999E-3</v>
      </c>
      <c r="E71" s="783">
        <v>894842</v>
      </c>
      <c r="F71" s="783">
        <v>-1231936</v>
      </c>
      <c r="G71" s="783">
        <v>995739</v>
      </c>
      <c r="H71" s="783"/>
      <c r="I71" s="784">
        <v>0</v>
      </c>
      <c r="J71" s="784">
        <v>2001081</v>
      </c>
      <c r="K71" s="784">
        <v>0</v>
      </c>
      <c r="L71" s="783">
        <v>13700.18</v>
      </c>
      <c r="M71" s="783"/>
      <c r="N71" s="784">
        <v>234057</v>
      </c>
      <c r="O71" s="784">
        <v>2284567</v>
      </c>
      <c r="P71" s="784">
        <v>0</v>
      </c>
      <c r="Q71" s="783">
        <v>18132</v>
      </c>
      <c r="R71" s="783"/>
      <c r="S71" s="784">
        <v>454616</v>
      </c>
      <c r="T71" s="785">
        <v>-165</v>
      </c>
      <c r="U71" s="785">
        <v>454452</v>
      </c>
    </row>
    <row r="72" spans="1:21" x14ac:dyDescent="0.25">
      <c r="A72" s="780">
        <v>90911</v>
      </c>
      <c r="B72" s="781" t="s">
        <v>1236</v>
      </c>
      <c r="C72" s="782">
        <v>3.6860000000000001E-4</v>
      </c>
      <c r="D72" s="782">
        <v>3.7050000000000001E-4</v>
      </c>
      <c r="E72" s="783">
        <v>136466</v>
      </c>
      <c r="F72" s="783">
        <v>-204486</v>
      </c>
      <c r="G72" s="783">
        <v>165425</v>
      </c>
      <c r="H72" s="783"/>
      <c r="I72" s="784">
        <v>0</v>
      </c>
      <c r="J72" s="784">
        <v>332446</v>
      </c>
      <c r="K72" s="784">
        <v>0</v>
      </c>
      <c r="L72" s="783">
        <v>0</v>
      </c>
      <c r="M72" s="783"/>
      <c r="N72" s="784">
        <v>38885</v>
      </c>
      <c r="O72" s="784">
        <v>379543</v>
      </c>
      <c r="P72" s="784">
        <v>0</v>
      </c>
      <c r="Q72" s="783">
        <v>48276</v>
      </c>
      <c r="R72" s="783"/>
      <c r="S72" s="784">
        <v>75527</v>
      </c>
      <c r="T72" s="785">
        <v>-15241</v>
      </c>
      <c r="U72" s="785">
        <v>60286</v>
      </c>
    </row>
    <row r="73" spans="1:21" x14ac:dyDescent="0.25">
      <c r="A73" s="780">
        <v>90917</v>
      </c>
      <c r="B73" s="781" t="s">
        <v>1237</v>
      </c>
      <c r="C73" s="782">
        <v>1.01E-5</v>
      </c>
      <c r="D73" s="782">
        <v>1.0499999999999999E-5</v>
      </c>
      <c r="E73" s="783">
        <v>5035</v>
      </c>
      <c r="F73" s="783">
        <v>-5795</v>
      </c>
      <c r="G73" s="783">
        <v>4533</v>
      </c>
      <c r="H73" s="783"/>
      <c r="I73" s="784">
        <v>0</v>
      </c>
      <c r="J73" s="784">
        <v>9109</v>
      </c>
      <c r="K73" s="784">
        <v>0</v>
      </c>
      <c r="L73" s="783">
        <v>442</v>
      </c>
      <c r="M73" s="783"/>
      <c r="N73" s="784">
        <v>1065</v>
      </c>
      <c r="O73" s="784">
        <v>10400</v>
      </c>
      <c r="P73" s="784">
        <v>0</v>
      </c>
      <c r="Q73" s="783">
        <v>1325</v>
      </c>
      <c r="R73" s="783"/>
      <c r="S73" s="784">
        <v>2070</v>
      </c>
      <c r="T73" s="785">
        <v>-327</v>
      </c>
      <c r="U73" s="785">
        <v>1742</v>
      </c>
    </row>
    <row r="74" spans="1:21" x14ac:dyDescent="0.25">
      <c r="A74" s="780">
        <v>90918</v>
      </c>
      <c r="B74" s="781" t="s">
        <v>1238</v>
      </c>
      <c r="C74" s="782">
        <v>1.3499999999999999E-5</v>
      </c>
      <c r="D74" s="782">
        <v>1.3699999999999999E-5</v>
      </c>
      <c r="E74" s="783">
        <v>4475</v>
      </c>
      <c r="F74" s="783">
        <v>-7561</v>
      </c>
      <c r="G74" s="783">
        <v>6059</v>
      </c>
      <c r="H74" s="783"/>
      <c r="I74" s="784">
        <v>0</v>
      </c>
      <c r="J74" s="784">
        <v>12176</v>
      </c>
      <c r="K74" s="784">
        <v>0</v>
      </c>
      <c r="L74" s="783">
        <v>0</v>
      </c>
      <c r="M74" s="783"/>
      <c r="N74" s="784">
        <v>1424</v>
      </c>
      <c r="O74" s="784">
        <v>13901</v>
      </c>
      <c r="P74" s="784">
        <v>0</v>
      </c>
      <c r="Q74" s="783">
        <v>1838</v>
      </c>
      <c r="R74" s="783"/>
      <c r="S74" s="784">
        <v>2766</v>
      </c>
      <c r="T74" s="785">
        <v>-545</v>
      </c>
      <c r="U74" s="785">
        <v>2221</v>
      </c>
    </row>
    <row r="75" spans="1:21" x14ac:dyDescent="0.25">
      <c r="A75" s="780">
        <v>90921</v>
      </c>
      <c r="B75" s="781" t="s">
        <v>1239</v>
      </c>
      <c r="C75" s="782">
        <v>1.149E-4</v>
      </c>
      <c r="D75" s="782">
        <v>1.07E-4</v>
      </c>
      <c r="E75" s="783">
        <v>47588</v>
      </c>
      <c r="F75" s="783">
        <v>-59055</v>
      </c>
      <c r="G75" s="783">
        <v>51566</v>
      </c>
      <c r="H75" s="783"/>
      <c r="I75" s="784">
        <v>0</v>
      </c>
      <c r="J75" s="784">
        <v>103630</v>
      </c>
      <c r="K75" s="784">
        <v>0</v>
      </c>
      <c r="L75" s="783">
        <v>6080</v>
      </c>
      <c r="M75" s="783"/>
      <c r="N75" s="784">
        <v>12121</v>
      </c>
      <c r="O75" s="784">
        <v>118311</v>
      </c>
      <c r="P75" s="784">
        <v>0</v>
      </c>
      <c r="Q75" s="783">
        <v>5116</v>
      </c>
      <c r="R75" s="783"/>
      <c r="S75" s="784">
        <v>23543</v>
      </c>
      <c r="T75" s="785">
        <v>-119</v>
      </c>
      <c r="U75" s="785">
        <v>23424</v>
      </c>
    </row>
    <row r="76" spans="1:21" x14ac:dyDescent="0.25">
      <c r="A76" s="780">
        <v>90931</v>
      </c>
      <c r="B76" s="781" t="s">
        <v>1240</v>
      </c>
      <c r="C76" s="782">
        <v>6.2700000000000006E-5</v>
      </c>
      <c r="D76" s="782">
        <v>5.4500000000000003E-5</v>
      </c>
      <c r="E76" s="783">
        <v>24578</v>
      </c>
      <c r="F76" s="783">
        <v>-30080</v>
      </c>
      <c r="G76" s="783">
        <v>28139</v>
      </c>
      <c r="H76" s="783"/>
      <c r="I76" s="784">
        <v>0</v>
      </c>
      <c r="J76" s="784">
        <v>56550</v>
      </c>
      <c r="K76" s="784">
        <v>0</v>
      </c>
      <c r="L76" s="783">
        <v>9134</v>
      </c>
      <c r="M76" s="783"/>
      <c r="N76" s="784">
        <v>6614</v>
      </c>
      <c r="O76" s="784">
        <v>64561</v>
      </c>
      <c r="P76" s="784">
        <v>0</v>
      </c>
      <c r="Q76" s="783">
        <v>0</v>
      </c>
      <c r="R76" s="783"/>
      <c r="S76" s="784">
        <v>12847</v>
      </c>
      <c r="T76" s="785">
        <v>2696</v>
      </c>
      <c r="U76" s="785">
        <v>15543</v>
      </c>
    </row>
    <row r="77" spans="1:21" x14ac:dyDescent="0.25">
      <c r="A77" s="780">
        <v>90941</v>
      </c>
      <c r="B77" s="781" t="s">
        <v>1241</v>
      </c>
      <c r="C77" s="782">
        <v>8.1199999999999995E-5</v>
      </c>
      <c r="D77" s="782">
        <v>9.6600000000000003E-5</v>
      </c>
      <c r="E77" s="783">
        <v>34702</v>
      </c>
      <c r="F77" s="783">
        <v>-53315</v>
      </c>
      <c r="G77" s="783">
        <v>36442</v>
      </c>
      <c r="H77" s="783"/>
      <c r="I77" s="784">
        <v>0</v>
      </c>
      <c r="J77" s="784">
        <v>73236</v>
      </c>
      <c r="K77" s="784">
        <v>0</v>
      </c>
      <c r="L77" s="783">
        <v>0</v>
      </c>
      <c r="M77" s="783"/>
      <c r="N77" s="784">
        <v>8566</v>
      </c>
      <c r="O77" s="784">
        <v>83611</v>
      </c>
      <c r="P77" s="784">
        <v>0</v>
      </c>
      <c r="Q77" s="783">
        <v>10386</v>
      </c>
      <c r="R77" s="783"/>
      <c r="S77" s="784">
        <v>16638</v>
      </c>
      <c r="T77" s="785">
        <v>-2778</v>
      </c>
      <c r="U77" s="785">
        <v>13860</v>
      </c>
    </row>
    <row r="78" spans="1:21" x14ac:dyDescent="0.25">
      <c r="A78" s="780">
        <v>91001</v>
      </c>
      <c r="B78" s="781" t="s">
        <v>1242</v>
      </c>
      <c r="C78" s="782">
        <v>6.5719999999999997E-3</v>
      </c>
      <c r="D78" s="782">
        <v>6.5332000000000003E-3</v>
      </c>
      <c r="E78" s="783">
        <v>2591710</v>
      </c>
      <c r="F78" s="783">
        <v>-3605791</v>
      </c>
      <c r="G78" s="783">
        <v>2949474</v>
      </c>
      <c r="H78" s="783"/>
      <c r="I78" s="784">
        <v>0</v>
      </c>
      <c r="J78" s="784">
        <v>5927392</v>
      </c>
      <c r="K78" s="784">
        <v>0</v>
      </c>
      <c r="L78" s="783">
        <v>108217.07</v>
      </c>
      <c r="M78" s="783"/>
      <c r="N78" s="784">
        <v>693300</v>
      </c>
      <c r="O78" s="784">
        <v>6767103</v>
      </c>
      <c r="P78" s="784">
        <v>0</v>
      </c>
      <c r="Q78" s="783">
        <v>45305</v>
      </c>
      <c r="R78" s="783"/>
      <c r="S78" s="784">
        <v>1346616</v>
      </c>
      <c r="T78" s="785">
        <v>24333</v>
      </c>
      <c r="U78" s="785">
        <v>1370949</v>
      </c>
    </row>
    <row r="79" spans="1:21" x14ac:dyDescent="0.25">
      <c r="A79" s="780">
        <v>91002</v>
      </c>
      <c r="B79" s="781" t="s">
        <v>1243</v>
      </c>
      <c r="C79" s="782">
        <v>5.8929999999999996E-4</v>
      </c>
      <c r="D79" s="782">
        <v>5.978E-4</v>
      </c>
      <c r="E79" s="783">
        <v>199043</v>
      </c>
      <c r="F79" s="783">
        <v>-329937</v>
      </c>
      <c r="G79" s="783">
        <v>264474</v>
      </c>
      <c r="H79" s="783"/>
      <c r="I79" s="784">
        <v>0</v>
      </c>
      <c r="J79" s="784">
        <v>531499</v>
      </c>
      <c r="K79" s="784">
        <v>0</v>
      </c>
      <c r="L79" s="783">
        <v>7944.43</v>
      </c>
      <c r="M79" s="783"/>
      <c r="N79" s="784">
        <v>62167</v>
      </c>
      <c r="O79" s="784">
        <v>606795</v>
      </c>
      <c r="P79" s="784">
        <v>0</v>
      </c>
      <c r="Q79" s="783">
        <v>38900</v>
      </c>
      <c r="R79" s="783"/>
      <c r="S79" s="784">
        <v>120749</v>
      </c>
      <c r="T79" s="785">
        <v>-7526</v>
      </c>
      <c r="U79" s="785">
        <v>113222</v>
      </c>
    </row>
    <row r="80" spans="1:21" x14ac:dyDescent="0.25">
      <c r="A80" s="780">
        <v>91003</v>
      </c>
      <c r="B80" s="781" t="s">
        <v>1244</v>
      </c>
      <c r="C80" s="782">
        <v>6.4320000000000002E-4</v>
      </c>
      <c r="D80" s="782">
        <v>6.3489999999999998E-4</v>
      </c>
      <c r="E80" s="783">
        <v>275715</v>
      </c>
      <c r="F80" s="783">
        <v>-350413</v>
      </c>
      <c r="G80" s="783">
        <v>288664</v>
      </c>
      <c r="H80" s="783"/>
      <c r="I80" s="784">
        <v>0</v>
      </c>
      <c r="J80" s="784">
        <v>580112</v>
      </c>
      <c r="K80" s="784">
        <v>0</v>
      </c>
      <c r="L80" s="783">
        <v>47973</v>
      </c>
      <c r="M80" s="783"/>
      <c r="N80" s="784">
        <v>67853</v>
      </c>
      <c r="O80" s="784">
        <v>662295</v>
      </c>
      <c r="P80" s="784">
        <v>0</v>
      </c>
      <c r="Q80" s="783">
        <v>0</v>
      </c>
      <c r="R80" s="783"/>
      <c r="S80" s="784">
        <v>131793</v>
      </c>
      <c r="T80" s="785">
        <v>14866</v>
      </c>
      <c r="U80" s="785">
        <v>146659</v>
      </c>
    </row>
    <row r="81" spans="1:21" x14ac:dyDescent="0.25">
      <c r="A81" s="780">
        <v>91004</v>
      </c>
      <c r="B81" s="781" t="s">
        <v>1245</v>
      </c>
      <c r="C81" s="782">
        <v>1.8199999999999999E-5</v>
      </c>
      <c r="D81" s="782">
        <v>1.47E-5</v>
      </c>
      <c r="E81" s="783">
        <v>15313</v>
      </c>
      <c r="F81" s="783">
        <v>-8113</v>
      </c>
      <c r="G81" s="783">
        <v>8168</v>
      </c>
      <c r="H81" s="783"/>
      <c r="I81" s="784">
        <v>0</v>
      </c>
      <c r="J81" s="784">
        <v>16415</v>
      </c>
      <c r="K81" s="784">
        <v>0</v>
      </c>
      <c r="L81" s="783">
        <v>8703</v>
      </c>
      <c r="M81" s="783"/>
      <c r="N81" s="784">
        <v>1920</v>
      </c>
      <c r="O81" s="784">
        <v>18740</v>
      </c>
      <c r="P81" s="784">
        <v>0</v>
      </c>
      <c r="Q81" s="783">
        <v>326</v>
      </c>
      <c r="R81" s="783"/>
      <c r="S81" s="784">
        <v>3729</v>
      </c>
      <c r="T81" s="785">
        <v>2169</v>
      </c>
      <c r="U81" s="785">
        <v>5899</v>
      </c>
    </row>
    <row r="82" spans="1:21" x14ac:dyDescent="0.25">
      <c r="A82" s="780">
        <v>91006</v>
      </c>
      <c r="B82" s="781" t="s">
        <v>1246</v>
      </c>
      <c r="C82" s="782">
        <v>1.0097000000000001E-3</v>
      </c>
      <c r="D82" s="782">
        <v>9.5799999999999998E-4</v>
      </c>
      <c r="E82" s="783">
        <v>411320</v>
      </c>
      <c r="F82" s="783">
        <v>-528737</v>
      </c>
      <c r="G82" s="783">
        <v>453147</v>
      </c>
      <c r="H82" s="783"/>
      <c r="I82" s="784">
        <v>0</v>
      </c>
      <c r="J82" s="784">
        <v>910665</v>
      </c>
      <c r="K82" s="784">
        <v>0</v>
      </c>
      <c r="L82" s="783">
        <v>39361</v>
      </c>
      <c r="M82" s="783"/>
      <c r="N82" s="784">
        <v>106516</v>
      </c>
      <c r="O82" s="784">
        <v>1039675</v>
      </c>
      <c r="P82" s="784">
        <v>0</v>
      </c>
      <c r="Q82" s="783">
        <v>0</v>
      </c>
      <c r="R82" s="783"/>
      <c r="S82" s="784">
        <v>206890</v>
      </c>
      <c r="T82" s="785">
        <v>10581</v>
      </c>
      <c r="U82" s="785">
        <v>217470</v>
      </c>
    </row>
    <row r="83" spans="1:21" x14ac:dyDescent="0.25">
      <c r="A83" s="780">
        <v>91007</v>
      </c>
      <c r="B83" s="781" t="s">
        <v>1247</v>
      </c>
      <c r="C83" s="782">
        <v>9.5999999999999996E-6</v>
      </c>
      <c r="D83" s="782">
        <v>1.3900000000000001E-5</v>
      </c>
      <c r="E83" s="783">
        <v>11140</v>
      </c>
      <c r="F83" s="783">
        <v>-7672</v>
      </c>
      <c r="G83" s="783">
        <v>4308</v>
      </c>
      <c r="H83" s="783"/>
      <c r="I83" s="784">
        <v>0</v>
      </c>
      <c r="J83" s="784">
        <v>8658</v>
      </c>
      <c r="K83" s="784">
        <v>0</v>
      </c>
      <c r="L83" s="783">
        <v>2705</v>
      </c>
      <c r="M83" s="783"/>
      <c r="N83" s="784">
        <v>1013</v>
      </c>
      <c r="O83" s="784">
        <v>9885</v>
      </c>
      <c r="P83" s="784">
        <v>0</v>
      </c>
      <c r="Q83" s="783">
        <v>1530.88</v>
      </c>
      <c r="R83" s="783"/>
      <c r="S83" s="784">
        <v>1967</v>
      </c>
      <c r="T83" s="785">
        <v>196</v>
      </c>
      <c r="U83" s="785">
        <v>2163</v>
      </c>
    </row>
    <row r="84" spans="1:21" x14ac:dyDescent="0.25">
      <c r="A84" s="780">
        <v>91008</v>
      </c>
      <c r="B84" s="781" t="s">
        <v>1248</v>
      </c>
      <c r="C84" s="782">
        <v>1.1629999999999999E-4</v>
      </c>
      <c r="D84" s="782">
        <v>9.2600000000000001E-5</v>
      </c>
      <c r="E84" s="783">
        <v>65693</v>
      </c>
      <c r="F84" s="783">
        <v>-51108</v>
      </c>
      <c r="G84" s="783">
        <v>52195</v>
      </c>
      <c r="H84" s="783"/>
      <c r="I84" s="784">
        <v>0</v>
      </c>
      <c r="J84" s="784">
        <v>104893</v>
      </c>
      <c r="K84" s="784">
        <v>0</v>
      </c>
      <c r="L84" s="783">
        <v>41887</v>
      </c>
      <c r="M84" s="783"/>
      <c r="N84" s="784">
        <v>12269</v>
      </c>
      <c r="O84" s="784">
        <v>119753</v>
      </c>
      <c r="P84" s="784">
        <v>0</v>
      </c>
      <c r="Q84" s="783">
        <v>0</v>
      </c>
      <c r="R84" s="783"/>
      <c r="S84" s="784">
        <v>23830</v>
      </c>
      <c r="T84" s="785">
        <v>11752</v>
      </c>
      <c r="U84" s="785">
        <v>35582</v>
      </c>
    </row>
    <row r="85" spans="1:21" x14ac:dyDescent="0.25">
      <c r="A85" s="780">
        <v>91009</v>
      </c>
      <c r="B85" s="781" t="s">
        <v>1249</v>
      </c>
      <c r="C85" s="782">
        <v>1.5099999999999999E-5</v>
      </c>
      <c r="D85" s="782">
        <v>2.5599999999999999E-5</v>
      </c>
      <c r="E85" s="783">
        <v>8985</v>
      </c>
      <c r="F85" s="783">
        <v>-14129</v>
      </c>
      <c r="G85" s="783">
        <v>6777</v>
      </c>
      <c r="H85" s="783"/>
      <c r="I85" s="784">
        <v>0</v>
      </c>
      <c r="J85" s="784">
        <v>13619</v>
      </c>
      <c r="K85" s="784">
        <v>0</v>
      </c>
      <c r="L85" s="783">
        <v>0</v>
      </c>
      <c r="M85" s="783"/>
      <c r="N85" s="784">
        <v>1593</v>
      </c>
      <c r="O85" s="784">
        <v>15548</v>
      </c>
      <c r="P85" s="784">
        <v>0</v>
      </c>
      <c r="Q85" s="783">
        <v>5172</v>
      </c>
      <c r="R85" s="783"/>
      <c r="S85" s="784">
        <v>3094</v>
      </c>
      <c r="T85" s="785">
        <v>-1357</v>
      </c>
      <c r="U85" s="785">
        <v>1737</v>
      </c>
    </row>
    <row r="86" spans="1:21" x14ac:dyDescent="0.25">
      <c r="A86" s="780">
        <v>91010</v>
      </c>
      <c r="B86" s="781" t="s">
        <v>1250</v>
      </c>
      <c r="C86" s="782">
        <v>7.08E-5</v>
      </c>
      <c r="D86" s="782">
        <v>5.8E-5</v>
      </c>
      <c r="E86" s="783">
        <v>27747</v>
      </c>
      <c r="F86" s="783">
        <v>-32011</v>
      </c>
      <c r="G86" s="783">
        <v>31775</v>
      </c>
      <c r="H86" s="783"/>
      <c r="I86" s="784">
        <v>0</v>
      </c>
      <c r="J86" s="784">
        <v>63856</v>
      </c>
      <c r="K86" s="784">
        <v>0</v>
      </c>
      <c r="L86" s="783">
        <v>15171</v>
      </c>
      <c r="M86" s="783"/>
      <c r="N86" s="784">
        <v>7469</v>
      </c>
      <c r="O86" s="784">
        <v>72902</v>
      </c>
      <c r="P86" s="784">
        <v>0</v>
      </c>
      <c r="Q86" s="783">
        <v>0</v>
      </c>
      <c r="R86" s="783"/>
      <c r="S86" s="784">
        <v>14507</v>
      </c>
      <c r="T86" s="785">
        <v>4488</v>
      </c>
      <c r="U86" s="785">
        <v>18995</v>
      </c>
    </row>
    <row r="87" spans="1:21" x14ac:dyDescent="0.25">
      <c r="A87" s="780">
        <v>91011</v>
      </c>
      <c r="B87" s="781" t="s">
        <v>1251</v>
      </c>
      <c r="C87" s="782">
        <v>3.0249999999999998E-4</v>
      </c>
      <c r="D87" s="782">
        <v>2.832E-4</v>
      </c>
      <c r="E87" s="783">
        <v>133205</v>
      </c>
      <c r="F87" s="783">
        <v>-156303</v>
      </c>
      <c r="G87" s="783">
        <v>135760</v>
      </c>
      <c r="H87" s="783"/>
      <c r="I87" s="784">
        <v>0</v>
      </c>
      <c r="J87" s="784">
        <v>272830</v>
      </c>
      <c r="K87" s="784">
        <v>0</v>
      </c>
      <c r="L87" s="783">
        <v>26502</v>
      </c>
      <c r="M87" s="783"/>
      <c r="N87" s="784">
        <v>31912</v>
      </c>
      <c r="O87" s="784">
        <v>311480</v>
      </c>
      <c r="P87" s="784">
        <v>0</v>
      </c>
      <c r="Q87" s="783">
        <v>0</v>
      </c>
      <c r="R87" s="783"/>
      <c r="S87" s="784">
        <v>61983</v>
      </c>
      <c r="T87" s="785">
        <v>7321</v>
      </c>
      <c r="U87" s="785">
        <v>69304</v>
      </c>
    </row>
    <row r="88" spans="1:21" x14ac:dyDescent="0.25">
      <c r="A88" s="780">
        <v>91012</v>
      </c>
      <c r="B88" s="781" t="s">
        <v>1252</v>
      </c>
      <c r="C88" s="782">
        <v>1.08E-5</v>
      </c>
      <c r="D88" s="782">
        <v>1.3499999999999999E-5</v>
      </c>
      <c r="E88" s="783">
        <v>5605</v>
      </c>
      <c r="F88" s="783">
        <v>-7451</v>
      </c>
      <c r="G88" s="783">
        <v>4847</v>
      </c>
      <c r="H88" s="783"/>
      <c r="I88" s="784">
        <v>0</v>
      </c>
      <c r="J88" s="784">
        <v>9741</v>
      </c>
      <c r="K88" s="784">
        <v>0</v>
      </c>
      <c r="L88" s="783">
        <v>0</v>
      </c>
      <c r="M88" s="783"/>
      <c r="N88" s="784">
        <v>1139</v>
      </c>
      <c r="O88" s="784">
        <v>11121</v>
      </c>
      <c r="P88" s="784">
        <v>0</v>
      </c>
      <c r="Q88" s="783">
        <v>7008</v>
      </c>
      <c r="R88" s="783"/>
      <c r="S88" s="784">
        <v>2213</v>
      </c>
      <c r="T88" s="785">
        <v>-2275</v>
      </c>
      <c r="U88" s="785">
        <v>-62</v>
      </c>
    </row>
    <row r="89" spans="1:21" x14ac:dyDescent="0.25">
      <c r="A89" s="780">
        <v>91014</v>
      </c>
      <c r="B89" s="781" t="s">
        <v>1253</v>
      </c>
      <c r="C89" s="782">
        <v>2.241E-4</v>
      </c>
      <c r="D89" s="782">
        <v>2.219E-4</v>
      </c>
      <c r="E89" s="783">
        <v>83992</v>
      </c>
      <c r="F89" s="783">
        <v>-122471</v>
      </c>
      <c r="G89" s="783">
        <v>100575</v>
      </c>
      <c r="H89" s="783"/>
      <c r="I89" s="784">
        <v>0</v>
      </c>
      <c r="J89" s="784">
        <v>202119</v>
      </c>
      <c r="K89" s="784">
        <v>0</v>
      </c>
      <c r="L89" s="783">
        <v>0</v>
      </c>
      <c r="M89" s="783"/>
      <c r="N89" s="784">
        <v>23641</v>
      </c>
      <c r="O89" s="784">
        <v>230753</v>
      </c>
      <c r="P89" s="784">
        <v>0</v>
      </c>
      <c r="Q89" s="783">
        <v>13968</v>
      </c>
      <c r="R89" s="783"/>
      <c r="S89" s="784">
        <v>45919</v>
      </c>
      <c r="T89" s="785">
        <v>-4352</v>
      </c>
      <c r="U89" s="785">
        <v>41567</v>
      </c>
    </row>
    <row r="90" spans="1:21" x14ac:dyDescent="0.25">
      <c r="A90" s="780">
        <v>91017</v>
      </c>
      <c r="B90" s="781" t="s">
        <v>1254</v>
      </c>
      <c r="C90" s="782">
        <v>1.01E-5</v>
      </c>
      <c r="D90" s="782">
        <v>8.8000000000000004E-6</v>
      </c>
      <c r="E90" s="783">
        <v>8192</v>
      </c>
      <c r="F90" s="783">
        <v>-4857</v>
      </c>
      <c r="G90" s="783">
        <v>4533</v>
      </c>
      <c r="H90" s="783"/>
      <c r="I90" s="784">
        <v>0</v>
      </c>
      <c r="J90" s="784">
        <v>9109</v>
      </c>
      <c r="K90" s="784">
        <v>0</v>
      </c>
      <c r="L90" s="783">
        <v>5240</v>
      </c>
      <c r="M90" s="783"/>
      <c r="N90" s="784">
        <v>1065</v>
      </c>
      <c r="O90" s="784">
        <v>10400</v>
      </c>
      <c r="P90" s="784">
        <v>0</v>
      </c>
      <c r="Q90" s="783">
        <v>0</v>
      </c>
      <c r="R90" s="783"/>
      <c r="S90" s="784">
        <v>2070</v>
      </c>
      <c r="T90" s="785">
        <v>1452</v>
      </c>
      <c r="U90" s="785">
        <v>3521</v>
      </c>
    </row>
    <row r="91" spans="1:21" x14ac:dyDescent="0.25">
      <c r="A91" s="780">
        <v>91020</v>
      </c>
      <c r="B91" s="781" t="s">
        <v>1255</v>
      </c>
      <c r="C91" s="782">
        <v>1.7E-5</v>
      </c>
      <c r="D91" s="782">
        <v>1.8300000000000001E-5</v>
      </c>
      <c r="E91" s="783">
        <v>7097</v>
      </c>
      <c r="F91" s="783">
        <v>-10100</v>
      </c>
      <c r="G91" s="783">
        <v>7629</v>
      </c>
      <c r="H91" s="783"/>
      <c r="I91" s="784">
        <v>0</v>
      </c>
      <c r="J91" s="784">
        <v>15333</v>
      </c>
      <c r="K91" s="784">
        <v>0</v>
      </c>
      <c r="L91" s="783">
        <v>1253</v>
      </c>
      <c r="M91" s="783"/>
      <c r="N91" s="784">
        <v>1793</v>
      </c>
      <c r="O91" s="784">
        <v>17505</v>
      </c>
      <c r="P91" s="784">
        <v>0</v>
      </c>
      <c r="Q91" s="783">
        <v>788</v>
      </c>
      <c r="R91" s="783"/>
      <c r="S91" s="784">
        <v>3483</v>
      </c>
      <c r="T91" s="785">
        <v>213</v>
      </c>
      <c r="U91" s="785">
        <v>3696</v>
      </c>
    </row>
    <row r="92" spans="1:21" x14ac:dyDescent="0.25">
      <c r="A92" s="780">
        <v>91021</v>
      </c>
      <c r="B92" s="781" t="s">
        <v>1256</v>
      </c>
      <c r="C92" s="782">
        <v>9.4979999999999999E-4</v>
      </c>
      <c r="D92" s="782">
        <v>9.8229999999999997E-4</v>
      </c>
      <c r="E92" s="783">
        <v>366178</v>
      </c>
      <c r="F92" s="783">
        <v>-542149</v>
      </c>
      <c r="G92" s="783">
        <v>426265</v>
      </c>
      <c r="H92" s="783"/>
      <c r="I92" s="784">
        <v>0</v>
      </c>
      <c r="J92" s="784">
        <v>856640</v>
      </c>
      <c r="K92" s="784">
        <v>0</v>
      </c>
      <c r="L92" s="783">
        <v>0</v>
      </c>
      <c r="M92" s="783"/>
      <c r="N92" s="784">
        <v>100197</v>
      </c>
      <c r="O92" s="784">
        <v>977997</v>
      </c>
      <c r="P92" s="784">
        <v>0</v>
      </c>
      <c r="Q92" s="783">
        <v>117926</v>
      </c>
      <c r="R92" s="783"/>
      <c r="S92" s="784">
        <v>194616</v>
      </c>
      <c r="T92" s="785">
        <v>-36538</v>
      </c>
      <c r="U92" s="785">
        <v>158078</v>
      </c>
    </row>
    <row r="93" spans="1:21" x14ac:dyDescent="0.25">
      <c r="A93" s="780">
        <v>91024</v>
      </c>
      <c r="B93" s="781" t="s">
        <v>1257</v>
      </c>
      <c r="C93" s="782">
        <v>4.3800000000000001E-5</v>
      </c>
      <c r="D93" s="782">
        <v>2.2500000000000001E-5</v>
      </c>
      <c r="E93" s="783">
        <v>21472</v>
      </c>
      <c r="F93" s="783">
        <v>-12418</v>
      </c>
      <c r="G93" s="783">
        <v>19657</v>
      </c>
      <c r="H93" s="783"/>
      <c r="I93" s="784">
        <v>0</v>
      </c>
      <c r="J93" s="784">
        <v>39504</v>
      </c>
      <c r="K93" s="784">
        <v>0</v>
      </c>
      <c r="L93" s="783">
        <v>23517</v>
      </c>
      <c r="M93" s="783"/>
      <c r="N93" s="784">
        <v>4621</v>
      </c>
      <c r="O93" s="784">
        <v>45100</v>
      </c>
      <c r="P93" s="784">
        <v>0</v>
      </c>
      <c r="Q93" s="783">
        <v>0</v>
      </c>
      <c r="R93" s="783"/>
      <c r="S93" s="784">
        <v>8975</v>
      </c>
      <c r="T93" s="785">
        <v>6572</v>
      </c>
      <c r="U93" s="785">
        <v>15547</v>
      </c>
    </row>
    <row r="94" spans="1:21" x14ac:dyDescent="0.25">
      <c r="A94" s="780">
        <v>91026</v>
      </c>
      <c r="B94" s="781" t="s">
        <v>1258</v>
      </c>
      <c r="C94" s="782">
        <v>5.4700000000000001E-5</v>
      </c>
      <c r="D94" s="782">
        <v>3.6199999999999999E-5</v>
      </c>
      <c r="E94" s="783">
        <v>46686</v>
      </c>
      <c r="F94" s="783">
        <v>-19979</v>
      </c>
      <c r="G94" s="783">
        <v>24549</v>
      </c>
      <c r="H94" s="783"/>
      <c r="I94" s="784">
        <v>0</v>
      </c>
      <c r="J94" s="784">
        <v>49335</v>
      </c>
      <c r="K94" s="784">
        <v>0</v>
      </c>
      <c r="L94" s="783">
        <v>32283</v>
      </c>
      <c r="M94" s="783"/>
      <c r="N94" s="784">
        <v>5770</v>
      </c>
      <c r="O94" s="784">
        <v>56324</v>
      </c>
      <c r="P94" s="784">
        <v>0</v>
      </c>
      <c r="Q94" s="783">
        <v>9370.66</v>
      </c>
      <c r="R94" s="783"/>
      <c r="S94" s="784">
        <v>11208</v>
      </c>
      <c r="T94" s="785">
        <v>5317</v>
      </c>
      <c r="U94" s="785">
        <v>16525</v>
      </c>
    </row>
    <row r="95" spans="1:21" x14ac:dyDescent="0.25">
      <c r="A95" s="780">
        <v>91027</v>
      </c>
      <c r="B95" s="781" t="s">
        <v>1259</v>
      </c>
      <c r="C95" s="782">
        <v>1.6099999999999998E-5</v>
      </c>
      <c r="D95" s="782">
        <v>1.5400000000000002E-5</v>
      </c>
      <c r="E95" s="783">
        <v>15689</v>
      </c>
      <c r="F95" s="783">
        <v>-8500</v>
      </c>
      <c r="G95" s="783">
        <v>7226</v>
      </c>
      <c r="H95" s="783"/>
      <c r="I95" s="784">
        <v>0</v>
      </c>
      <c r="J95" s="784">
        <v>14521</v>
      </c>
      <c r="K95" s="784">
        <v>0</v>
      </c>
      <c r="L95" s="783">
        <v>11247</v>
      </c>
      <c r="M95" s="783"/>
      <c r="N95" s="784">
        <v>1698</v>
      </c>
      <c r="O95" s="784">
        <v>16578</v>
      </c>
      <c r="P95" s="784">
        <v>0</v>
      </c>
      <c r="Q95" s="783">
        <v>0</v>
      </c>
      <c r="R95" s="783"/>
      <c r="S95" s="784">
        <v>3299</v>
      </c>
      <c r="T95" s="785">
        <v>3201</v>
      </c>
      <c r="U95" s="785">
        <v>6500</v>
      </c>
    </row>
    <row r="96" spans="1:21" x14ac:dyDescent="0.25">
      <c r="A96" s="780">
        <v>91032</v>
      </c>
      <c r="B96" s="781" t="s">
        <v>1260</v>
      </c>
      <c r="C96" s="782">
        <v>2.12E-5</v>
      </c>
      <c r="D96" s="782">
        <v>1.2E-5</v>
      </c>
      <c r="E96" s="783">
        <v>13907</v>
      </c>
      <c r="F96" s="783">
        <v>-6623</v>
      </c>
      <c r="G96" s="783">
        <v>9514</v>
      </c>
      <c r="H96" s="783"/>
      <c r="I96" s="784">
        <v>0</v>
      </c>
      <c r="J96" s="784">
        <v>19121</v>
      </c>
      <c r="K96" s="784">
        <v>0</v>
      </c>
      <c r="L96" s="783">
        <v>14248</v>
      </c>
      <c r="M96" s="783"/>
      <c r="N96" s="784">
        <v>2236</v>
      </c>
      <c r="O96" s="784">
        <v>21829</v>
      </c>
      <c r="P96" s="784">
        <v>0</v>
      </c>
      <c r="Q96" s="783">
        <v>0</v>
      </c>
      <c r="R96" s="783"/>
      <c r="S96" s="784">
        <v>4344</v>
      </c>
      <c r="T96" s="785">
        <v>3994</v>
      </c>
      <c r="U96" s="785">
        <v>8337</v>
      </c>
    </row>
    <row r="97" spans="1:21" x14ac:dyDescent="0.25">
      <c r="A97" s="780">
        <v>91041</v>
      </c>
      <c r="B97" s="781" t="s">
        <v>1261</v>
      </c>
      <c r="C97" s="782">
        <v>4.8910000000000002E-4</v>
      </c>
      <c r="D97" s="782">
        <v>4.9680000000000004E-4</v>
      </c>
      <c r="E97" s="783">
        <v>147563</v>
      </c>
      <c r="F97" s="783">
        <v>-274193</v>
      </c>
      <c r="G97" s="783">
        <v>219505</v>
      </c>
      <c r="H97" s="783"/>
      <c r="I97" s="784">
        <v>0</v>
      </c>
      <c r="J97" s="784">
        <v>441127</v>
      </c>
      <c r="K97" s="784">
        <v>0</v>
      </c>
      <c r="L97" s="783">
        <v>0</v>
      </c>
      <c r="M97" s="783"/>
      <c r="N97" s="784">
        <v>51597</v>
      </c>
      <c r="O97" s="784">
        <v>503620</v>
      </c>
      <c r="P97" s="784">
        <v>0</v>
      </c>
      <c r="Q97" s="783">
        <v>50134</v>
      </c>
      <c r="R97" s="783"/>
      <c r="S97" s="784">
        <v>100218</v>
      </c>
      <c r="T97" s="785">
        <v>-13372</v>
      </c>
      <c r="U97" s="785">
        <v>86845</v>
      </c>
    </row>
    <row r="98" spans="1:21" x14ac:dyDescent="0.25">
      <c r="A98" s="780">
        <v>91042</v>
      </c>
      <c r="B98" s="781" t="s">
        <v>1262</v>
      </c>
      <c r="C98" s="782">
        <v>2.1579999999999999E-4</v>
      </c>
      <c r="D98" s="782">
        <v>2.0359999999999999E-4</v>
      </c>
      <c r="E98" s="783">
        <v>77496</v>
      </c>
      <c r="F98" s="783">
        <v>-112371</v>
      </c>
      <c r="G98" s="783">
        <v>96850</v>
      </c>
      <c r="H98" s="783"/>
      <c r="I98" s="784">
        <v>0</v>
      </c>
      <c r="J98" s="784">
        <v>194633</v>
      </c>
      <c r="K98" s="784">
        <v>0</v>
      </c>
      <c r="L98" s="783">
        <v>346</v>
      </c>
      <c r="M98" s="783"/>
      <c r="N98" s="784">
        <v>22765</v>
      </c>
      <c r="O98" s="784">
        <v>222206</v>
      </c>
      <c r="P98" s="784">
        <v>0</v>
      </c>
      <c r="Q98" s="783">
        <v>0</v>
      </c>
      <c r="R98" s="783"/>
      <c r="S98" s="784">
        <v>44218</v>
      </c>
      <c r="T98" s="785">
        <v>105</v>
      </c>
      <c r="U98" s="785">
        <v>44323</v>
      </c>
    </row>
    <row r="99" spans="1:21" x14ac:dyDescent="0.25">
      <c r="A99" s="780">
        <v>91047</v>
      </c>
      <c r="B99" s="781" t="s">
        <v>1263</v>
      </c>
      <c r="C99" s="782">
        <v>1.29E-5</v>
      </c>
      <c r="D99" s="782">
        <v>1.33E-5</v>
      </c>
      <c r="E99" s="783">
        <v>17346</v>
      </c>
      <c r="F99" s="783">
        <v>-7341</v>
      </c>
      <c r="G99" s="783">
        <v>5789</v>
      </c>
      <c r="H99" s="783"/>
      <c r="I99" s="784">
        <v>0</v>
      </c>
      <c r="J99" s="784">
        <v>11635</v>
      </c>
      <c r="K99" s="784">
        <v>0</v>
      </c>
      <c r="L99" s="783">
        <v>10779</v>
      </c>
      <c r="M99" s="783"/>
      <c r="N99" s="784">
        <v>1361</v>
      </c>
      <c r="O99" s="784">
        <v>13283</v>
      </c>
      <c r="P99" s="784">
        <v>0</v>
      </c>
      <c r="Q99" s="783">
        <v>0</v>
      </c>
      <c r="R99" s="783"/>
      <c r="S99" s="784">
        <v>2643</v>
      </c>
      <c r="T99" s="785">
        <v>2930</v>
      </c>
      <c r="U99" s="785">
        <v>5573</v>
      </c>
    </row>
    <row r="100" spans="1:21" x14ac:dyDescent="0.25">
      <c r="A100" s="780">
        <v>91051</v>
      </c>
      <c r="B100" s="781" t="s">
        <v>1264</v>
      </c>
      <c r="C100" s="782">
        <v>8.14E-5</v>
      </c>
      <c r="D100" s="782">
        <v>7.9400000000000006E-5</v>
      </c>
      <c r="E100" s="783">
        <v>35751</v>
      </c>
      <c r="F100" s="783">
        <v>-43822</v>
      </c>
      <c r="G100" s="783">
        <v>36532</v>
      </c>
      <c r="H100" s="783"/>
      <c r="I100" s="784">
        <v>0</v>
      </c>
      <c r="J100" s="784">
        <v>73416</v>
      </c>
      <c r="K100" s="784">
        <v>0</v>
      </c>
      <c r="L100" s="783">
        <v>3398</v>
      </c>
      <c r="M100" s="783"/>
      <c r="N100" s="784">
        <v>8587</v>
      </c>
      <c r="O100" s="784">
        <v>83817</v>
      </c>
      <c r="P100" s="784">
        <v>0</v>
      </c>
      <c r="Q100" s="783">
        <v>739</v>
      </c>
      <c r="R100" s="783"/>
      <c r="S100" s="784">
        <v>16679</v>
      </c>
      <c r="T100" s="785">
        <v>643</v>
      </c>
      <c r="U100" s="785">
        <v>17322</v>
      </c>
    </row>
    <row r="101" spans="1:21" x14ac:dyDescent="0.25">
      <c r="A101" s="780">
        <v>91057</v>
      </c>
      <c r="B101" s="781" t="s">
        <v>1265</v>
      </c>
      <c r="C101" s="782">
        <v>1.49E-5</v>
      </c>
      <c r="D101" s="782">
        <v>1.38E-5</v>
      </c>
      <c r="E101" s="783">
        <v>9820</v>
      </c>
      <c r="F101" s="783">
        <v>-7616</v>
      </c>
      <c r="G101" s="783">
        <v>6687</v>
      </c>
      <c r="H101" s="783"/>
      <c r="I101" s="784">
        <v>0</v>
      </c>
      <c r="J101" s="784">
        <v>13439</v>
      </c>
      <c r="K101" s="784">
        <v>0</v>
      </c>
      <c r="L101" s="783">
        <v>3761</v>
      </c>
      <c r="M101" s="783"/>
      <c r="N101" s="784">
        <v>1572</v>
      </c>
      <c r="O101" s="784">
        <v>15342</v>
      </c>
      <c r="P101" s="784">
        <v>0</v>
      </c>
      <c r="Q101" s="783">
        <v>0</v>
      </c>
      <c r="R101" s="783"/>
      <c r="S101" s="784">
        <v>3053</v>
      </c>
      <c r="T101" s="785">
        <v>986</v>
      </c>
      <c r="U101" s="785">
        <v>4039</v>
      </c>
    </row>
    <row r="102" spans="1:21" x14ac:dyDescent="0.25">
      <c r="A102" s="780">
        <v>91061</v>
      </c>
      <c r="B102" s="781" t="s">
        <v>1266</v>
      </c>
      <c r="C102" s="782">
        <v>3.322E-4</v>
      </c>
      <c r="D102" s="782">
        <v>3.9300000000000001E-4</v>
      </c>
      <c r="E102" s="783">
        <v>138278</v>
      </c>
      <c r="F102" s="783">
        <v>-216904</v>
      </c>
      <c r="G102" s="783">
        <v>149089</v>
      </c>
      <c r="H102" s="783"/>
      <c r="I102" s="784">
        <v>0</v>
      </c>
      <c r="J102" s="784">
        <v>299616</v>
      </c>
      <c r="K102" s="784">
        <v>0</v>
      </c>
      <c r="L102" s="783">
        <v>0</v>
      </c>
      <c r="M102" s="783"/>
      <c r="N102" s="784">
        <v>35045</v>
      </c>
      <c r="O102" s="784">
        <v>342062</v>
      </c>
      <c r="P102" s="784">
        <v>0</v>
      </c>
      <c r="Q102" s="783">
        <v>66154</v>
      </c>
      <c r="R102" s="783"/>
      <c r="S102" s="784">
        <v>68068</v>
      </c>
      <c r="T102" s="785">
        <v>-19177</v>
      </c>
      <c r="U102" s="785">
        <v>48891</v>
      </c>
    </row>
    <row r="103" spans="1:21" x14ac:dyDescent="0.25">
      <c r="A103" s="780">
        <v>91067</v>
      </c>
      <c r="B103" s="781" t="s">
        <v>1267</v>
      </c>
      <c r="C103" s="782">
        <v>1.7099999999999999E-5</v>
      </c>
      <c r="D103" s="782">
        <v>1.59E-5</v>
      </c>
      <c r="E103" s="783">
        <v>8626</v>
      </c>
      <c r="F103" s="783">
        <v>-8775</v>
      </c>
      <c r="G103" s="783">
        <v>7674</v>
      </c>
      <c r="H103" s="783"/>
      <c r="I103" s="784">
        <v>0</v>
      </c>
      <c r="J103" s="784">
        <v>15423</v>
      </c>
      <c r="K103" s="784">
        <v>0</v>
      </c>
      <c r="L103" s="783">
        <v>3105</v>
      </c>
      <c r="M103" s="783"/>
      <c r="N103" s="784">
        <v>1804</v>
      </c>
      <c r="O103" s="784">
        <v>17608</v>
      </c>
      <c r="P103" s="784">
        <v>0</v>
      </c>
      <c r="Q103" s="783">
        <v>0</v>
      </c>
      <c r="R103" s="783"/>
      <c r="S103" s="784">
        <v>3504</v>
      </c>
      <c r="T103" s="785">
        <v>883</v>
      </c>
      <c r="U103" s="785">
        <v>4386</v>
      </c>
    </row>
    <row r="104" spans="1:21" x14ac:dyDescent="0.25">
      <c r="A104" s="780">
        <v>91071</v>
      </c>
      <c r="B104" s="781" t="s">
        <v>1268</v>
      </c>
      <c r="C104" s="782">
        <v>2.321E-4</v>
      </c>
      <c r="D104" s="782">
        <v>2.252E-4</v>
      </c>
      <c r="E104" s="783">
        <v>85733</v>
      </c>
      <c r="F104" s="783">
        <v>-124292</v>
      </c>
      <c r="G104" s="783">
        <v>104165</v>
      </c>
      <c r="H104" s="783"/>
      <c r="I104" s="784">
        <v>0</v>
      </c>
      <c r="J104" s="784">
        <v>209335</v>
      </c>
      <c r="K104" s="784">
        <v>0</v>
      </c>
      <c r="L104" s="783">
        <v>25286.43</v>
      </c>
      <c r="M104" s="783"/>
      <c r="N104" s="784">
        <v>24485</v>
      </c>
      <c r="O104" s="784">
        <v>238990</v>
      </c>
      <c r="P104" s="784">
        <v>0</v>
      </c>
      <c r="Q104" s="783">
        <v>2314</v>
      </c>
      <c r="R104" s="783"/>
      <c r="S104" s="784">
        <v>47558</v>
      </c>
      <c r="T104" s="785">
        <v>7851</v>
      </c>
      <c r="U104" s="785">
        <v>55409</v>
      </c>
    </row>
    <row r="105" spans="1:21" x14ac:dyDescent="0.25">
      <c r="A105" s="780">
        <v>91077</v>
      </c>
      <c r="B105" s="781" t="s">
        <v>1269</v>
      </c>
      <c r="C105" s="782">
        <v>4.7999999999999998E-6</v>
      </c>
      <c r="D105" s="782">
        <v>5.0000000000000004E-6</v>
      </c>
      <c r="E105" s="783">
        <v>3035</v>
      </c>
      <c r="F105" s="783">
        <v>-2759.59</v>
      </c>
      <c r="G105" s="783">
        <v>2154</v>
      </c>
      <c r="H105" s="783"/>
      <c r="I105" s="784">
        <v>0</v>
      </c>
      <c r="J105" s="784">
        <v>4329</v>
      </c>
      <c r="K105" s="784">
        <v>0</v>
      </c>
      <c r="L105" s="783">
        <v>712</v>
      </c>
      <c r="M105" s="783"/>
      <c r="N105" s="784">
        <v>506</v>
      </c>
      <c r="O105" s="784">
        <v>4942</v>
      </c>
      <c r="P105" s="784">
        <v>0</v>
      </c>
      <c r="Q105" s="783">
        <v>155</v>
      </c>
      <c r="R105" s="783"/>
      <c r="S105" s="784">
        <v>984</v>
      </c>
      <c r="T105" s="785">
        <v>134</v>
      </c>
      <c r="U105" s="785">
        <v>1118</v>
      </c>
    </row>
    <row r="106" spans="1:21" x14ac:dyDescent="0.25">
      <c r="A106" s="780">
        <v>91081</v>
      </c>
      <c r="B106" s="781" t="s">
        <v>1270</v>
      </c>
      <c r="C106" s="782">
        <v>3.5750000000000002E-4</v>
      </c>
      <c r="D106" s="782">
        <v>3.569E-4</v>
      </c>
      <c r="E106" s="783">
        <v>146271</v>
      </c>
      <c r="F106" s="783">
        <v>-196980</v>
      </c>
      <c r="G106" s="783">
        <v>160444</v>
      </c>
      <c r="H106" s="783"/>
      <c r="I106" s="784">
        <v>0</v>
      </c>
      <c r="J106" s="784">
        <v>322435</v>
      </c>
      <c r="K106" s="784">
        <v>0</v>
      </c>
      <c r="L106" s="783">
        <v>667</v>
      </c>
      <c r="M106" s="783"/>
      <c r="N106" s="784">
        <v>37714</v>
      </c>
      <c r="O106" s="784">
        <v>368113</v>
      </c>
      <c r="P106" s="784">
        <v>0</v>
      </c>
      <c r="Q106" s="783">
        <v>40921.14</v>
      </c>
      <c r="R106" s="783"/>
      <c r="S106" s="784">
        <v>73252</v>
      </c>
      <c r="T106" s="785">
        <v>-13511</v>
      </c>
      <c r="U106" s="785">
        <v>59741</v>
      </c>
    </row>
    <row r="107" spans="1:21" x14ac:dyDescent="0.25">
      <c r="A107" s="780">
        <v>91091</v>
      </c>
      <c r="B107" s="781" t="s">
        <v>1271</v>
      </c>
      <c r="C107" s="782">
        <v>5.3359999999999996E-4</v>
      </c>
      <c r="D107" s="782">
        <v>5.4580000000000004E-4</v>
      </c>
      <c r="E107" s="783">
        <v>189004</v>
      </c>
      <c r="F107" s="783">
        <v>-301237</v>
      </c>
      <c r="G107" s="783">
        <v>239476</v>
      </c>
      <c r="H107" s="783"/>
      <c r="I107" s="784">
        <v>0</v>
      </c>
      <c r="J107" s="784">
        <v>481262</v>
      </c>
      <c r="K107" s="784">
        <v>0</v>
      </c>
      <c r="L107" s="783">
        <v>0</v>
      </c>
      <c r="M107" s="783"/>
      <c r="N107" s="784">
        <v>56291</v>
      </c>
      <c r="O107" s="784">
        <v>549441</v>
      </c>
      <c r="P107" s="784">
        <v>0</v>
      </c>
      <c r="Q107" s="783">
        <v>68527</v>
      </c>
      <c r="R107" s="783"/>
      <c r="S107" s="784">
        <v>109336</v>
      </c>
      <c r="T107" s="785">
        <v>-20635</v>
      </c>
      <c r="U107" s="785">
        <v>88701</v>
      </c>
    </row>
    <row r="108" spans="1:21" x14ac:dyDescent="0.25">
      <c r="A108" s="780">
        <v>91101</v>
      </c>
      <c r="B108" s="781" t="s">
        <v>1272</v>
      </c>
      <c r="C108" s="782">
        <v>1.3700499999999999E-2</v>
      </c>
      <c r="D108" s="782">
        <v>1.26274E-2</v>
      </c>
      <c r="E108" s="783">
        <v>5544403</v>
      </c>
      <c r="F108" s="783">
        <v>-6969289</v>
      </c>
      <c r="G108" s="783">
        <v>6148702</v>
      </c>
      <c r="H108" s="783"/>
      <c r="I108" s="784">
        <v>0</v>
      </c>
      <c r="J108" s="784">
        <v>12356700</v>
      </c>
      <c r="K108" s="784">
        <v>0</v>
      </c>
      <c r="L108" s="783">
        <v>1110952</v>
      </c>
      <c r="M108" s="783"/>
      <c r="N108" s="784">
        <v>1445307</v>
      </c>
      <c r="O108" s="784">
        <v>14107227</v>
      </c>
      <c r="P108" s="784">
        <v>0</v>
      </c>
      <c r="Q108" s="783">
        <v>0</v>
      </c>
      <c r="R108" s="783"/>
      <c r="S108" s="784">
        <v>2807260</v>
      </c>
      <c r="T108" s="785">
        <v>319671</v>
      </c>
      <c r="U108" s="785">
        <v>3126931</v>
      </c>
    </row>
    <row r="109" spans="1:21" x14ac:dyDescent="0.25">
      <c r="A109" s="780">
        <v>91102</v>
      </c>
      <c r="B109" s="781" t="s">
        <v>1273</v>
      </c>
      <c r="C109" s="782">
        <v>2.834E-4</v>
      </c>
      <c r="D109" s="782">
        <v>4.0559999999999999E-4</v>
      </c>
      <c r="E109" s="783">
        <v>133921</v>
      </c>
      <c r="F109" s="783">
        <v>-223858</v>
      </c>
      <c r="G109" s="783">
        <v>127188</v>
      </c>
      <c r="H109" s="783"/>
      <c r="I109" s="784">
        <v>0</v>
      </c>
      <c r="J109" s="784">
        <v>255603</v>
      </c>
      <c r="K109" s="784">
        <v>0</v>
      </c>
      <c r="L109" s="783">
        <v>828.23</v>
      </c>
      <c r="M109" s="783"/>
      <c r="N109" s="784">
        <v>29897</v>
      </c>
      <c r="O109" s="784">
        <v>291813</v>
      </c>
      <c r="P109" s="784">
        <v>0</v>
      </c>
      <c r="Q109" s="783">
        <v>71317</v>
      </c>
      <c r="R109" s="783"/>
      <c r="S109" s="784">
        <v>58069</v>
      </c>
      <c r="T109" s="785">
        <v>-18392</v>
      </c>
      <c r="U109" s="785">
        <v>39677</v>
      </c>
    </row>
    <row r="110" spans="1:21" x14ac:dyDescent="0.25">
      <c r="A110" s="780">
        <v>91104</v>
      </c>
      <c r="B110" s="781" t="s">
        <v>1274</v>
      </c>
      <c r="C110" s="782">
        <v>9.2E-6</v>
      </c>
      <c r="D110" s="782">
        <v>9.9000000000000001E-6</v>
      </c>
      <c r="E110" s="783">
        <v>4743</v>
      </c>
      <c r="F110" s="783">
        <v>-5464</v>
      </c>
      <c r="G110" s="783">
        <v>4129</v>
      </c>
      <c r="H110" s="783"/>
      <c r="I110" s="784">
        <v>0</v>
      </c>
      <c r="J110" s="784">
        <v>8298</v>
      </c>
      <c r="K110" s="784">
        <v>0</v>
      </c>
      <c r="L110" s="783">
        <v>290</v>
      </c>
      <c r="M110" s="783"/>
      <c r="N110" s="784">
        <v>971</v>
      </c>
      <c r="O110" s="784">
        <v>9473</v>
      </c>
      <c r="P110" s="784">
        <v>0</v>
      </c>
      <c r="Q110" s="783">
        <v>117</v>
      </c>
      <c r="R110" s="783"/>
      <c r="S110" s="784">
        <v>1885</v>
      </c>
      <c r="T110" s="785">
        <v>37</v>
      </c>
      <c r="U110" s="785">
        <v>1922</v>
      </c>
    </row>
    <row r="111" spans="1:21" x14ac:dyDescent="0.25">
      <c r="A111" s="780">
        <v>91107</v>
      </c>
      <c r="B111" s="781" t="s">
        <v>1275</v>
      </c>
      <c r="C111" s="782">
        <v>6.3999999999999997E-5</v>
      </c>
      <c r="D111" s="782">
        <v>7.4800000000000002E-5</v>
      </c>
      <c r="E111" s="783">
        <v>37992</v>
      </c>
      <c r="F111" s="783">
        <v>-41283</v>
      </c>
      <c r="G111" s="783">
        <v>28723</v>
      </c>
      <c r="H111" s="783"/>
      <c r="I111" s="784">
        <v>0</v>
      </c>
      <c r="J111" s="784">
        <v>57723</v>
      </c>
      <c r="K111" s="784">
        <v>0</v>
      </c>
      <c r="L111" s="783">
        <v>6005</v>
      </c>
      <c r="M111" s="783"/>
      <c r="N111" s="784">
        <v>6752</v>
      </c>
      <c r="O111" s="784">
        <v>65900</v>
      </c>
      <c r="P111" s="784">
        <v>0</v>
      </c>
      <c r="Q111" s="783">
        <v>0</v>
      </c>
      <c r="R111" s="783"/>
      <c r="S111" s="784">
        <v>13114</v>
      </c>
      <c r="T111" s="785">
        <v>1876</v>
      </c>
      <c r="U111" s="785">
        <v>14990</v>
      </c>
    </row>
    <row r="112" spans="1:21" x14ac:dyDescent="0.25">
      <c r="A112" s="780">
        <v>91108</v>
      </c>
      <c r="B112" s="781" t="s">
        <v>1276</v>
      </c>
      <c r="C112" s="782">
        <v>1.2565E-3</v>
      </c>
      <c r="D112" s="782">
        <v>1.2459999999999999E-3</v>
      </c>
      <c r="E112" s="783">
        <v>563674</v>
      </c>
      <c r="F112" s="783">
        <v>-687690</v>
      </c>
      <c r="G112" s="783">
        <v>563910</v>
      </c>
      <c r="H112" s="783"/>
      <c r="I112" s="784">
        <v>0</v>
      </c>
      <c r="J112" s="784">
        <v>1133257</v>
      </c>
      <c r="K112" s="784">
        <v>0</v>
      </c>
      <c r="L112" s="783">
        <v>76112</v>
      </c>
      <c r="M112" s="783"/>
      <c r="N112" s="784">
        <v>132552</v>
      </c>
      <c r="O112" s="784">
        <v>1293802</v>
      </c>
      <c r="P112" s="784">
        <v>0</v>
      </c>
      <c r="Q112" s="783">
        <v>0</v>
      </c>
      <c r="R112" s="783"/>
      <c r="S112" s="784">
        <v>257459</v>
      </c>
      <c r="T112" s="785">
        <v>22002</v>
      </c>
      <c r="U112" s="785">
        <v>279461</v>
      </c>
    </row>
    <row r="113" spans="1:21" x14ac:dyDescent="0.25">
      <c r="A113" s="780">
        <v>91109</v>
      </c>
      <c r="B113" s="781" t="s">
        <v>1277</v>
      </c>
      <c r="C113" s="782">
        <v>9.6600000000000003E-5</v>
      </c>
      <c r="D113" s="782">
        <v>9.0600000000000007E-5</v>
      </c>
      <c r="E113" s="783">
        <v>37887</v>
      </c>
      <c r="F113" s="783">
        <v>-50004</v>
      </c>
      <c r="G113" s="783">
        <v>43354</v>
      </c>
      <c r="H113" s="783"/>
      <c r="I113" s="784">
        <v>0</v>
      </c>
      <c r="J113" s="784">
        <v>87125</v>
      </c>
      <c r="K113" s="784">
        <v>0</v>
      </c>
      <c r="L113" s="783">
        <v>2980</v>
      </c>
      <c r="M113" s="783"/>
      <c r="N113" s="784">
        <v>10191</v>
      </c>
      <c r="O113" s="784">
        <v>99468</v>
      </c>
      <c r="P113" s="784">
        <v>0</v>
      </c>
      <c r="Q113" s="783">
        <v>1686</v>
      </c>
      <c r="R113" s="783"/>
      <c r="S113" s="784">
        <v>19794</v>
      </c>
      <c r="T113" s="785">
        <v>216</v>
      </c>
      <c r="U113" s="785">
        <v>20010</v>
      </c>
    </row>
    <row r="114" spans="1:21" x14ac:dyDescent="0.25">
      <c r="A114" s="780">
        <v>91111</v>
      </c>
      <c r="B114" s="781" t="s">
        <v>1278</v>
      </c>
      <c r="C114" s="782">
        <v>2.2049999999999999E-4</v>
      </c>
      <c r="D114" s="782">
        <v>1.9019999999999999E-4</v>
      </c>
      <c r="E114" s="783">
        <v>95804</v>
      </c>
      <c r="F114" s="783">
        <v>-104975</v>
      </c>
      <c r="G114" s="783">
        <v>98959</v>
      </c>
      <c r="H114" s="783"/>
      <c r="I114" s="784">
        <v>0</v>
      </c>
      <c r="J114" s="784">
        <v>198872</v>
      </c>
      <c r="K114" s="784">
        <v>0</v>
      </c>
      <c r="L114" s="783">
        <v>26694</v>
      </c>
      <c r="M114" s="783"/>
      <c r="N114" s="784">
        <v>23261</v>
      </c>
      <c r="O114" s="784">
        <v>227046</v>
      </c>
      <c r="P114" s="784">
        <v>0</v>
      </c>
      <c r="Q114" s="783">
        <v>0</v>
      </c>
      <c r="R114" s="783"/>
      <c r="S114" s="784">
        <v>45181</v>
      </c>
      <c r="T114" s="785">
        <v>7050</v>
      </c>
      <c r="U114" s="785">
        <v>52231</v>
      </c>
    </row>
    <row r="115" spans="1:21" x14ac:dyDescent="0.25">
      <c r="A115" s="780">
        <v>91119</v>
      </c>
      <c r="B115" s="781" t="s">
        <v>1279</v>
      </c>
      <c r="C115" s="782">
        <v>0</v>
      </c>
      <c r="D115" s="782">
        <v>0</v>
      </c>
      <c r="E115" s="783"/>
      <c r="F115" s="783">
        <v>0</v>
      </c>
      <c r="G115" s="783">
        <v>0</v>
      </c>
      <c r="H115" s="783"/>
      <c r="I115" s="784">
        <v>0</v>
      </c>
      <c r="J115" s="784">
        <v>0</v>
      </c>
      <c r="K115" s="784">
        <v>0</v>
      </c>
      <c r="L115" s="783">
        <v>0</v>
      </c>
      <c r="M115" s="783"/>
      <c r="N115" s="784">
        <v>0</v>
      </c>
      <c r="O115" s="784">
        <v>0</v>
      </c>
      <c r="P115" s="784">
        <v>0</v>
      </c>
      <c r="Q115" s="783">
        <v>969758.66</v>
      </c>
      <c r="R115" s="783"/>
      <c r="S115" s="784">
        <v>0</v>
      </c>
      <c r="T115" s="785">
        <v>-324334</v>
      </c>
      <c r="U115" s="785">
        <v>-324334</v>
      </c>
    </row>
    <row r="116" spans="1:21" x14ac:dyDescent="0.25">
      <c r="A116" s="780">
        <v>91120</v>
      </c>
      <c r="B116" s="781" t="s">
        <v>1280</v>
      </c>
      <c r="C116" s="782">
        <v>1.161E-4</v>
      </c>
      <c r="D116" s="782">
        <v>1.4909999999999999E-4</v>
      </c>
      <c r="E116" s="783">
        <v>44588</v>
      </c>
      <c r="F116" s="783">
        <v>-82291</v>
      </c>
      <c r="G116" s="783">
        <v>52105</v>
      </c>
      <c r="H116" s="783"/>
      <c r="I116" s="784">
        <v>0</v>
      </c>
      <c r="J116" s="784">
        <v>104712</v>
      </c>
      <c r="K116" s="784">
        <v>0</v>
      </c>
      <c r="L116" s="783">
        <v>0</v>
      </c>
      <c r="M116" s="783"/>
      <c r="N116" s="784">
        <v>12248</v>
      </c>
      <c r="O116" s="784">
        <v>119547</v>
      </c>
      <c r="P116" s="784">
        <v>0</v>
      </c>
      <c r="Q116" s="783">
        <v>36349</v>
      </c>
      <c r="R116" s="783"/>
      <c r="S116" s="784">
        <v>23789</v>
      </c>
      <c r="T116" s="785">
        <v>-10312</v>
      </c>
      <c r="U116" s="785">
        <v>13477</v>
      </c>
    </row>
    <row r="117" spans="1:21" x14ac:dyDescent="0.25">
      <c r="A117" s="780">
        <v>91121</v>
      </c>
      <c r="B117" s="781" t="s">
        <v>1281</v>
      </c>
      <c r="C117" s="782">
        <v>1.0167600000000001E-2</v>
      </c>
      <c r="D117" s="782">
        <v>9.8659000000000004E-3</v>
      </c>
      <c r="E117" s="783">
        <v>3754314</v>
      </c>
      <c r="F117" s="783">
        <v>-5445168</v>
      </c>
      <c r="G117" s="783">
        <v>4563158</v>
      </c>
      <c r="H117" s="783"/>
      <c r="I117" s="784">
        <v>0</v>
      </c>
      <c r="J117" s="784">
        <v>9170321</v>
      </c>
      <c r="K117" s="784">
        <v>0</v>
      </c>
      <c r="L117" s="783">
        <v>0</v>
      </c>
      <c r="M117" s="783"/>
      <c r="N117" s="784">
        <v>1072611</v>
      </c>
      <c r="O117" s="784">
        <v>10469446</v>
      </c>
      <c r="P117" s="784">
        <v>0</v>
      </c>
      <c r="Q117" s="783">
        <v>551300</v>
      </c>
      <c r="R117" s="783"/>
      <c r="S117" s="784">
        <v>2083362</v>
      </c>
      <c r="T117" s="785">
        <v>-176906</v>
      </c>
      <c r="U117" s="785">
        <v>1906456</v>
      </c>
    </row>
    <row r="118" spans="1:21" x14ac:dyDescent="0.25">
      <c r="A118" s="780">
        <v>91127</v>
      </c>
      <c r="B118" s="781" t="s">
        <v>1282</v>
      </c>
      <c r="C118" s="782">
        <v>2.7680000000000001E-4</v>
      </c>
      <c r="D118" s="782">
        <v>2.6679999999999998E-4</v>
      </c>
      <c r="E118" s="783">
        <v>135582</v>
      </c>
      <c r="F118" s="783">
        <v>-147252</v>
      </c>
      <c r="G118" s="783">
        <v>124226</v>
      </c>
      <c r="H118" s="783"/>
      <c r="I118" s="784">
        <v>0</v>
      </c>
      <c r="J118" s="784">
        <v>249650</v>
      </c>
      <c r="K118" s="784">
        <v>0</v>
      </c>
      <c r="L118" s="783">
        <v>58192</v>
      </c>
      <c r="M118" s="783"/>
      <c r="N118" s="784">
        <v>29200</v>
      </c>
      <c r="O118" s="784">
        <v>285017</v>
      </c>
      <c r="P118" s="784">
        <v>0</v>
      </c>
      <c r="Q118" s="783">
        <v>0</v>
      </c>
      <c r="R118" s="783"/>
      <c r="S118" s="784">
        <v>56717</v>
      </c>
      <c r="T118" s="785">
        <v>17652</v>
      </c>
      <c r="U118" s="785">
        <v>74369</v>
      </c>
    </row>
    <row r="119" spans="1:21" x14ac:dyDescent="0.25">
      <c r="A119" s="780">
        <v>91128</v>
      </c>
      <c r="B119" s="781" t="s">
        <v>1283</v>
      </c>
      <c r="C119" s="782">
        <v>5.042E-4</v>
      </c>
      <c r="D119" s="782">
        <v>4.8529999999999998E-4</v>
      </c>
      <c r="E119" s="783">
        <v>204224</v>
      </c>
      <c r="F119" s="783">
        <v>-267846</v>
      </c>
      <c r="G119" s="783">
        <v>226282</v>
      </c>
      <c r="H119" s="783"/>
      <c r="I119" s="784">
        <v>0</v>
      </c>
      <c r="J119" s="784">
        <v>454746</v>
      </c>
      <c r="K119" s="784">
        <v>0</v>
      </c>
      <c r="L119" s="783">
        <v>11970</v>
      </c>
      <c r="M119" s="783"/>
      <c r="N119" s="784">
        <v>53190</v>
      </c>
      <c r="O119" s="784">
        <v>519168</v>
      </c>
      <c r="P119" s="784">
        <v>0</v>
      </c>
      <c r="Q119" s="783">
        <v>18915</v>
      </c>
      <c r="R119" s="783"/>
      <c r="S119" s="784">
        <v>103312</v>
      </c>
      <c r="T119" s="785">
        <v>-3193</v>
      </c>
      <c r="U119" s="785">
        <v>100119</v>
      </c>
    </row>
    <row r="120" spans="1:21" x14ac:dyDescent="0.25">
      <c r="A120" s="780">
        <v>91138</v>
      </c>
      <c r="B120" s="781" t="s">
        <v>1284</v>
      </c>
      <c r="C120" s="782">
        <v>6.6279999999999996E-4</v>
      </c>
      <c r="D120" s="782">
        <v>5.9100000000000005E-4</v>
      </c>
      <c r="E120" s="783">
        <v>175242</v>
      </c>
      <c r="F120" s="783">
        <v>-326184</v>
      </c>
      <c r="G120" s="783">
        <v>297461</v>
      </c>
      <c r="H120" s="783"/>
      <c r="I120" s="784">
        <v>0</v>
      </c>
      <c r="J120" s="784">
        <v>597790</v>
      </c>
      <c r="K120" s="784">
        <v>0</v>
      </c>
      <c r="L120" s="783">
        <v>0</v>
      </c>
      <c r="M120" s="783"/>
      <c r="N120" s="784">
        <v>69921</v>
      </c>
      <c r="O120" s="784">
        <v>682477</v>
      </c>
      <c r="P120" s="784">
        <v>0</v>
      </c>
      <c r="Q120" s="783">
        <v>55043</v>
      </c>
      <c r="R120" s="783"/>
      <c r="S120" s="784">
        <v>135809</v>
      </c>
      <c r="T120" s="785">
        <v>-16578</v>
      </c>
      <c r="U120" s="785">
        <v>119231</v>
      </c>
    </row>
    <row r="121" spans="1:21" x14ac:dyDescent="0.25">
      <c r="A121" s="780">
        <v>91141</v>
      </c>
      <c r="B121" s="781" t="s">
        <v>1285</v>
      </c>
      <c r="C121" s="782">
        <v>6.2560000000000003E-4</v>
      </c>
      <c r="D121" s="782">
        <v>6.5499999999999998E-4</v>
      </c>
      <c r="E121" s="783">
        <v>213857</v>
      </c>
      <c r="F121" s="783">
        <v>-361506.29</v>
      </c>
      <c r="G121" s="783">
        <v>280766</v>
      </c>
      <c r="H121" s="783"/>
      <c r="I121" s="784">
        <v>0</v>
      </c>
      <c r="J121" s="784">
        <v>564239</v>
      </c>
      <c r="K121" s="784">
        <v>0</v>
      </c>
      <c r="L121" s="783">
        <v>0</v>
      </c>
      <c r="M121" s="783"/>
      <c r="N121" s="784">
        <v>65996</v>
      </c>
      <c r="O121" s="784">
        <v>644172</v>
      </c>
      <c r="P121" s="784">
        <v>0</v>
      </c>
      <c r="Q121" s="783">
        <v>80482</v>
      </c>
      <c r="R121" s="783"/>
      <c r="S121" s="784">
        <v>128187</v>
      </c>
      <c r="T121" s="785">
        <v>-23024</v>
      </c>
      <c r="U121" s="785">
        <v>105163</v>
      </c>
    </row>
    <row r="122" spans="1:21" x14ac:dyDescent="0.25">
      <c r="A122" s="780">
        <v>91147</v>
      </c>
      <c r="B122" s="781" t="s">
        <v>1286</v>
      </c>
      <c r="C122" s="782">
        <v>2.1399999999999998E-5</v>
      </c>
      <c r="D122" s="782">
        <v>9.9000000000000001E-6</v>
      </c>
      <c r="E122" s="783">
        <v>10872</v>
      </c>
      <c r="F122" s="783">
        <v>-5464</v>
      </c>
      <c r="G122" s="783">
        <v>9604</v>
      </c>
      <c r="H122" s="783"/>
      <c r="I122" s="784">
        <v>0</v>
      </c>
      <c r="J122" s="784">
        <v>19301</v>
      </c>
      <c r="K122" s="784">
        <v>0</v>
      </c>
      <c r="L122" s="783">
        <v>12471</v>
      </c>
      <c r="M122" s="783"/>
      <c r="N122" s="784">
        <v>2258</v>
      </c>
      <c r="O122" s="784">
        <v>22035</v>
      </c>
      <c r="P122" s="784">
        <v>0</v>
      </c>
      <c r="Q122" s="783">
        <v>0</v>
      </c>
      <c r="R122" s="783"/>
      <c r="S122" s="784">
        <v>4385</v>
      </c>
      <c r="T122" s="785">
        <v>3462</v>
      </c>
      <c r="U122" s="785">
        <v>7846</v>
      </c>
    </row>
    <row r="123" spans="1:21" x14ac:dyDescent="0.25">
      <c r="A123" s="780">
        <v>91151</v>
      </c>
      <c r="B123" s="781" t="s">
        <v>1287</v>
      </c>
      <c r="C123" s="782">
        <v>6.4479999999999995E-4</v>
      </c>
      <c r="D123" s="782">
        <v>5.7549999999999995E-4</v>
      </c>
      <c r="E123" s="783">
        <v>220191</v>
      </c>
      <c r="F123" s="783">
        <v>-317629</v>
      </c>
      <c r="G123" s="783">
        <v>289382</v>
      </c>
      <c r="H123" s="783"/>
      <c r="I123" s="784">
        <v>0</v>
      </c>
      <c r="J123" s="784">
        <v>581555</v>
      </c>
      <c r="K123" s="784">
        <v>0</v>
      </c>
      <c r="L123" s="783">
        <v>14497</v>
      </c>
      <c r="M123" s="783"/>
      <c r="N123" s="784">
        <v>68022</v>
      </c>
      <c r="O123" s="784">
        <v>663942</v>
      </c>
      <c r="P123" s="784">
        <v>0</v>
      </c>
      <c r="Q123" s="783">
        <v>14869.27</v>
      </c>
      <c r="R123" s="783"/>
      <c r="S123" s="784">
        <v>132121</v>
      </c>
      <c r="T123" s="785">
        <v>-1178</v>
      </c>
      <c r="U123" s="785">
        <v>130943</v>
      </c>
    </row>
    <row r="124" spans="1:21" x14ac:dyDescent="0.25">
      <c r="A124" s="780">
        <v>91154</v>
      </c>
      <c r="B124" s="781" t="s">
        <v>1288</v>
      </c>
      <c r="C124" s="782">
        <v>1.59E-5</v>
      </c>
      <c r="D124" s="782">
        <v>1.22E-5</v>
      </c>
      <c r="E124" s="783">
        <v>7586</v>
      </c>
      <c r="F124" s="783">
        <v>-6733</v>
      </c>
      <c r="G124" s="783">
        <v>7136</v>
      </c>
      <c r="H124" s="783"/>
      <c r="I124" s="784">
        <v>0</v>
      </c>
      <c r="J124" s="784">
        <v>14340</v>
      </c>
      <c r="K124" s="784">
        <v>0</v>
      </c>
      <c r="L124" s="783">
        <v>5407</v>
      </c>
      <c r="M124" s="783"/>
      <c r="N124" s="784">
        <v>1677</v>
      </c>
      <c r="O124" s="784">
        <v>16372</v>
      </c>
      <c r="P124" s="784">
        <v>0</v>
      </c>
      <c r="Q124" s="783">
        <v>0</v>
      </c>
      <c r="R124" s="783"/>
      <c r="S124" s="784">
        <v>3258</v>
      </c>
      <c r="T124" s="785">
        <v>1557</v>
      </c>
      <c r="U124" s="785">
        <v>4815</v>
      </c>
    </row>
    <row r="125" spans="1:21" x14ac:dyDescent="0.25">
      <c r="A125" s="780">
        <v>91161</v>
      </c>
      <c r="B125" s="781" t="s">
        <v>1289</v>
      </c>
      <c r="C125" s="782">
        <v>1.0670000000000001E-4</v>
      </c>
      <c r="D125" s="782">
        <v>9.3399999999999993E-5</v>
      </c>
      <c r="E125" s="783">
        <v>45324</v>
      </c>
      <c r="F125" s="783">
        <v>-51549</v>
      </c>
      <c r="G125" s="783">
        <v>47886</v>
      </c>
      <c r="H125" s="783"/>
      <c r="I125" s="784">
        <v>0</v>
      </c>
      <c r="J125" s="784">
        <v>96234</v>
      </c>
      <c r="K125" s="784">
        <v>0</v>
      </c>
      <c r="L125" s="783">
        <v>10729</v>
      </c>
      <c r="M125" s="783"/>
      <c r="N125" s="784">
        <v>11256</v>
      </c>
      <c r="O125" s="784">
        <v>109868</v>
      </c>
      <c r="P125" s="784">
        <v>0</v>
      </c>
      <c r="Q125" s="783">
        <v>3890</v>
      </c>
      <c r="R125" s="783"/>
      <c r="S125" s="784">
        <v>21863</v>
      </c>
      <c r="T125" s="785">
        <v>1508</v>
      </c>
      <c r="U125" s="785">
        <v>23371</v>
      </c>
    </row>
    <row r="126" spans="1:21" x14ac:dyDescent="0.25">
      <c r="A126" s="780">
        <v>91171</v>
      </c>
      <c r="B126" s="781" t="s">
        <v>1290</v>
      </c>
      <c r="C126" s="782">
        <v>2.5240000000000001E-4</v>
      </c>
      <c r="D126" s="782">
        <v>2.632E-4</v>
      </c>
      <c r="E126" s="783">
        <v>91210</v>
      </c>
      <c r="F126" s="783">
        <v>-145265</v>
      </c>
      <c r="G126" s="783">
        <v>113276</v>
      </c>
      <c r="H126" s="783"/>
      <c r="I126" s="784">
        <v>0</v>
      </c>
      <c r="J126" s="784">
        <v>227644</v>
      </c>
      <c r="K126" s="784">
        <v>0</v>
      </c>
      <c r="L126" s="783">
        <v>0</v>
      </c>
      <c r="M126" s="783"/>
      <c r="N126" s="784">
        <v>26626</v>
      </c>
      <c r="O126" s="784">
        <v>259893</v>
      </c>
      <c r="P126" s="784">
        <v>0</v>
      </c>
      <c r="Q126" s="783">
        <v>31772</v>
      </c>
      <c r="R126" s="783"/>
      <c r="S126" s="784">
        <v>51717</v>
      </c>
      <c r="T126" s="785">
        <v>-9394</v>
      </c>
      <c r="U126" s="785">
        <v>42324</v>
      </c>
    </row>
    <row r="127" spans="1:21" x14ac:dyDescent="0.25">
      <c r="A127" s="780">
        <v>91201</v>
      </c>
      <c r="B127" s="781" t="s">
        <v>1291</v>
      </c>
      <c r="C127" s="782">
        <v>2.2309000000000001E-3</v>
      </c>
      <c r="D127" s="782">
        <v>2.0907E-3</v>
      </c>
      <c r="E127" s="783">
        <v>876707</v>
      </c>
      <c r="F127" s="783">
        <v>-1153895</v>
      </c>
      <c r="G127" s="783">
        <v>1001215</v>
      </c>
      <c r="H127" s="783"/>
      <c r="I127" s="784">
        <v>0</v>
      </c>
      <c r="J127" s="784">
        <v>2012084</v>
      </c>
      <c r="K127" s="784">
        <v>0</v>
      </c>
      <c r="L127" s="783">
        <v>90548</v>
      </c>
      <c r="M127" s="783"/>
      <c r="N127" s="784">
        <v>235344</v>
      </c>
      <c r="O127" s="784">
        <v>2297129</v>
      </c>
      <c r="P127" s="784">
        <v>0</v>
      </c>
      <c r="Q127" s="783">
        <v>0</v>
      </c>
      <c r="R127" s="783"/>
      <c r="S127" s="784">
        <v>457116</v>
      </c>
      <c r="T127" s="785">
        <v>25100</v>
      </c>
      <c r="U127" s="785">
        <v>482216</v>
      </c>
    </row>
    <row r="128" spans="1:21" x14ac:dyDescent="0.25">
      <c r="A128" s="780">
        <v>91202</v>
      </c>
      <c r="B128" s="781" t="s">
        <v>1292</v>
      </c>
      <c r="C128" s="782">
        <v>1.7560000000000001E-4</v>
      </c>
      <c r="D128" s="782">
        <v>1.7560000000000001E-4</v>
      </c>
      <c r="E128" s="783">
        <v>87296</v>
      </c>
      <c r="F128" s="783">
        <v>-96917</v>
      </c>
      <c r="G128" s="783">
        <v>78808</v>
      </c>
      <c r="H128" s="783"/>
      <c r="I128" s="784">
        <v>0</v>
      </c>
      <c r="J128" s="784">
        <v>158376</v>
      </c>
      <c r="K128" s="784">
        <v>0</v>
      </c>
      <c r="L128" s="783">
        <v>22857</v>
      </c>
      <c r="M128" s="783"/>
      <c r="N128" s="784">
        <v>18525</v>
      </c>
      <c r="O128" s="784">
        <v>180813</v>
      </c>
      <c r="P128" s="784">
        <v>0</v>
      </c>
      <c r="Q128" s="783">
        <v>0</v>
      </c>
      <c r="R128" s="783"/>
      <c r="S128" s="784">
        <v>35981</v>
      </c>
      <c r="T128" s="785">
        <v>6746</v>
      </c>
      <c r="U128" s="785">
        <v>42727</v>
      </c>
    </row>
    <row r="129" spans="1:21" x14ac:dyDescent="0.25">
      <c r="A129" s="780">
        <v>91203</v>
      </c>
      <c r="B129" s="781" t="s">
        <v>1293</v>
      </c>
      <c r="C129" s="782">
        <v>2.4909999999999998E-4</v>
      </c>
      <c r="D129" s="782">
        <v>2.7460000000000001E-4</v>
      </c>
      <c r="E129" s="783">
        <v>135476</v>
      </c>
      <c r="F129" s="783">
        <v>-151557</v>
      </c>
      <c r="G129" s="783">
        <v>111795</v>
      </c>
      <c r="H129" s="783"/>
      <c r="I129" s="784">
        <v>0</v>
      </c>
      <c r="J129" s="784">
        <v>224667</v>
      </c>
      <c r="K129" s="784">
        <v>0</v>
      </c>
      <c r="L129" s="783">
        <v>23765</v>
      </c>
      <c r="M129" s="783"/>
      <c r="N129" s="784">
        <v>26278</v>
      </c>
      <c r="O129" s="784">
        <v>256495</v>
      </c>
      <c r="P129" s="784">
        <v>0</v>
      </c>
      <c r="Q129" s="783">
        <v>0</v>
      </c>
      <c r="R129" s="783"/>
      <c r="S129" s="784">
        <v>51041</v>
      </c>
      <c r="T129" s="785">
        <v>7303</v>
      </c>
      <c r="U129" s="785">
        <v>58344</v>
      </c>
    </row>
    <row r="130" spans="1:21" x14ac:dyDescent="0.25">
      <c r="A130" s="780">
        <v>91206</v>
      </c>
      <c r="B130" s="781" t="s">
        <v>1294</v>
      </c>
      <c r="C130" s="782">
        <v>8.1959999999999997E-4</v>
      </c>
      <c r="D130" s="782">
        <v>8.2330000000000001E-4</v>
      </c>
      <c r="E130" s="783">
        <v>340396</v>
      </c>
      <c r="F130" s="783">
        <v>-454394</v>
      </c>
      <c r="G130" s="783">
        <v>367832</v>
      </c>
      <c r="H130" s="783"/>
      <c r="I130" s="784">
        <v>0</v>
      </c>
      <c r="J130" s="784">
        <v>739210</v>
      </c>
      <c r="K130" s="784">
        <v>0</v>
      </c>
      <c r="L130" s="783">
        <v>32117</v>
      </c>
      <c r="M130" s="783"/>
      <c r="N130" s="784">
        <v>86462</v>
      </c>
      <c r="O130" s="784">
        <v>843931</v>
      </c>
      <c r="P130" s="784">
        <v>0</v>
      </c>
      <c r="Q130" s="783">
        <v>0</v>
      </c>
      <c r="R130" s="783"/>
      <c r="S130" s="784">
        <v>167938</v>
      </c>
      <c r="T130" s="785">
        <v>10598</v>
      </c>
      <c r="U130" s="785">
        <v>178536</v>
      </c>
    </row>
    <row r="131" spans="1:21" x14ac:dyDescent="0.25">
      <c r="A131" s="780">
        <v>91208</v>
      </c>
      <c r="B131" s="781" t="s">
        <v>1295</v>
      </c>
      <c r="C131" s="782">
        <v>1.2999999999999999E-5</v>
      </c>
      <c r="D131" s="782">
        <v>1.2E-5</v>
      </c>
      <c r="E131" s="783">
        <v>5512</v>
      </c>
      <c r="F131" s="783">
        <v>-6623</v>
      </c>
      <c r="G131" s="783">
        <v>5834</v>
      </c>
      <c r="H131" s="783"/>
      <c r="I131" s="784">
        <v>0</v>
      </c>
      <c r="J131" s="784">
        <v>11725</v>
      </c>
      <c r="K131" s="784">
        <v>0</v>
      </c>
      <c r="L131" s="783">
        <v>10088</v>
      </c>
      <c r="M131" s="783"/>
      <c r="N131" s="784">
        <v>1371</v>
      </c>
      <c r="O131" s="784">
        <v>13386</v>
      </c>
      <c r="P131" s="784">
        <v>0</v>
      </c>
      <c r="Q131" s="783">
        <v>0</v>
      </c>
      <c r="R131" s="783"/>
      <c r="S131" s="784">
        <v>2664</v>
      </c>
      <c r="T131" s="785">
        <v>3311</v>
      </c>
      <c r="U131" s="785">
        <v>5975</v>
      </c>
    </row>
    <row r="132" spans="1:21" x14ac:dyDescent="0.25">
      <c r="A132" s="780">
        <v>91211</v>
      </c>
      <c r="B132" s="781" t="s">
        <v>1296</v>
      </c>
      <c r="C132" s="782">
        <v>4.6260000000000002E-4</v>
      </c>
      <c r="D132" s="782">
        <v>4.793E-4</v>
      </c>
      <c r="E132" s="783">
        <v>194878</v>
      </c>
      <c r="F132" s="783">
        <v>-264534</v>
      </c>
      <c r="G132" s="783">
        <v>207612</v>
      </c>
      <c r="H132" s="783"/>
      <c r="I132" s="784">
        <v>0</v>
      </c>
      <c r="J132" s="784">
        <v>417226</v>
      </c>
      <c r="K132" s="784">
        <v>0</v>
      </c>
      <c r="L132" s="783">
        <v>5173</v>
      </c>
      <c r="M132" s="783"/>
      <c r="N132" s="784">
        <v>48801</v>
      </c>
      <c r="O132" s="784">
        <v>476333</v>
      </c>
      <c r="P132" s="784">
        <v>0</v>
      </c>
      <c r="Q132" s="783">
        <v>6958</v>
      </c>
      <c r="R132" s="783"/>
      <c r="S132" s="784">
        <v>94788</v>
      </c>
      <c r="T132" s="785">
        <v>-92</v>
      </c>
      <c r="U132" s="785">
        <v>94696</v>
      </c>
    </row>
    <row r="133" spans="1:21" x14ac:dyDescent="0.25">
      <c r="A133" s="780">
        <v>91213</v>
      </c>
      <c r="B133" s="781" t="s">
        <v>1297</v>
      </c>
      <c r="C133" s="782">
        <v>3.5500000000000002E-5</v>
      </c>
      <c r="D133" s="782">
        <v>3.5200000000000002E-5</v>
      </c>
      <c r="E133" s="783">
        <v>11416</v>
      </c>
      <c r="F133" s="783">
        <v>-19428</v>
      </c>
      <c r="G133" s="783">
        <v>15932</v>
      </c>
      <c r="H133" s="783"/>
      <c r="I133" s="784">
        <v>0</v>
      </c>
      <c r="J133" s="784">
        <v>32018</v>
      </c>
      <c r="K133" s="784">
        <v>0</v>
      </c>
      <c r="L133" s="783">
        <v>0</v>
      </c>
      <c r="M133" s="783"/>
      <c r="N133" s="784">
        <v>3745</v>
      </c>
      <c r="O133" s="784">
        <v>36554</v>
      </c>
      <c r="P133" s="784">
        <v>0</v>
      </c>
      <c r="Q133" s="783">
        <v>3153</v>
      </c>
      <c r="R133" s="783"/>
      <c r="S133" s="784">
        <v>7274</v>
      </c>
      <c r="T133" s="785">
        <v>-893</v>
      </c>
      <c r="U133" s="785">
        <v>6381</v>
      </c>
    </row>
    <row r="134" spans="1:21" x14ac:dyDescent="0.25">
      <c r="A134" s="780">
        <v>91214</v>
      </c>
      <c r="B134" s="781" t="s">
        <v>1298</v>
      </c>
      <c r="C134" s="782">
        <v>2.6800000000000001E-5</v>
      </c>
      <c r="D134" s="782">
        <v>2.0100000000000001E-5</v>
      </c>
      <c r="E134" s="783">
        <v>8121</v>
      </c>
      <c r="F134" s="783">
        <v>-11094</v>
      </c>
      <c r="G134" s="783">
        <v>12028</v>
      </c>
      <c r="H134" s="783"/>
      <c r="I134" s="784">
        <v>0</v>
      </c>
      <c r="J134" s="784">
        <v>24171</v>
      </c>
      <c r="K134" s="784">
        <v>0</v>
      </c>
      <c r="L134" s="783">
        <v>2843</v>
      </c>
      <c r="M134" s="783"/>
      <c r="N134" s="784">
        <v>2827</v>
      </c>
      <c r="O134" s="784">
        <v>27596</v>
      </c>
      <c r="P134" s="784">
        <v>0</v>
      </c>
      <c r="Q134" s="783">
        <v>0</v>
      </c>
      <c r="R134" s="783"/>
      <c r="S134" s="784">
        <v>5491</v>
      </c>
      <c r="T134" s="785">
        <v>772</v>
      </c>
      <c r="U134" s="785">
        <v>6263</v>
      </c>
    </row>
    <row r="135" spans="1:21" x14ac:dyDescent="0.25">
      <c r="A135" s="780">
        <v>91217</v>
      </c>
      <c r="B135" s="781" t="s">
        <v>1299</v>
      </c>
      <c r="C135" s="782">
        <v>1.8700000000000001E-5</v>
      </c>
      <c r="D135" s="782">
        <v>1.9899999999999999E-5</v>
      </c>
      <c r="E135" s="783">
        <v>13098</v>
      </c>
      <c r="F135" s="783">
        <v>-10983</v>
      </c>
      <c r="G135" s="783">
        <v>8392</v>
      </c>
      <c r="H135" s="783"/>
      <c r="I135" s="784">
        <v>0</v>
      </c>
      <c r="J135" s="784">
        <v>16866</v>
      </c>
      <c r="K135" s="784">
        <v>0</v>
      </c>
      <c r="L135" s="783">
        <v>5709</v>
      </c>
      <c r="M135" s="783"/>
      <c r="N135" s="784">
        <v>1973</v>
      </c>
      <c r="O135" s="784">
        <v>19255</v>
      </c>
      <c r="P135" s="784">
        <v>0</v>
      </c>
      <c r="Q135" s="783">
        <v>0</v>
      </c>
      <c r="R135" s="783"/>
      <c r="S135" s="784">
        <v>3832</v>
      </c>
      <c r="T135" s="785">
        <v>1656</v>
      </c>
      <c r="U135" s="785">
        <v>5488</v>
      </c>
    </row>
    <row r="136" spans="1:21" x14ac:dyDescent="0.25">
      <c r="A136" s="780">
        <v>91221</v>
      </c>
      <c r="B136" s="781" t="s">
        <v>1300</v>
      </c>
      <c r="C136" s="782">
        <v>1.404E-4</v>
      </c>
      <c r="D136" s="782">
        <v>1.394E-4</v>
      </c>
      <c r="E136" s="783">
        <v>53655</v>
      </c>
      <c r="F136" s="783">
        <v>-76937</v>
      </c>
      <c r="G136" s="783">
        <v>63011</v>
      </c>
      <c r="H136" s="783"/>
      <c r="I136" s="784">
        <v>0</v>
      </c>
      <c r="J136" s="784">
        <v>126629</v>
      </c>
      <c r="K136" s="784">
        <v>0</v>
      </c>
      <c r="L136" s="783">
        <v>11263.33</v>
      </c>
      <c r="M136" s="783"/>
      <c r="N136" s="784">
        <v>14811</v>
      </c>
      <c r="O136" s="784">
        <v>144568</v>
      </c>
      <c r="P136" s="784">
        <v>0</v>
      </c>
      <c r="Q136" s="783">
        <v>2205</v>
      </c>
      <c r="R136" s="783"/>
      <c r="S136" s="784">
        <v>28768</v>
      </c>
      <c r="T136" s="785">
        <v>3190</v>
      </c>
      <c r="U136" s="785">
        <v>31958</v>
      </c>
    </row>
    <row r="137" spans="1:21" x14ac:dyDescent="0.25">
      <c r="A137" s="780">
        <v>91231</v>
      </c>
      <c r="B137" s="781" t="s">
        <v>1301</v>
      </c>
      <c r="C137" s="782">
        <v>2.0203999999999999E-3</v>
      </c>
      <c r="D137" s="782">
        <v>2.0660000000000001E-3</v>
      </c>
      <c r="E137" s="783">
        <v>819707</v>
      </c>
      <c r="F137" s="783">
        <v>-1140263</v>
      </c>
      <c r="G137" s="783">
        <v>906743</v>
      </c>
      <c r="H137" s="783"/>
      <c r="I137" s="784">
        <v>0</v>
      </c>
      <c r="J137" s="784">
        <v>1822231</v>
      </c>
      <c r="K137" s="784">
        <v>0</v>
      </c>
      <c r="L137" s="783">
        <v>31975.06</v>
      </c>
      <c r="M137" s="783"/>
      <c r="N137" s="784">
        <v>213138</v>
      </c>
      <c r="O137" s="784">
        <v>2080380</v>
      </c>
      <c r="P137" s="784">
        <v>0</v>
      </c>
      <c r="Q137" s="783">
        <v>36109</v>
      </c>
      <c r="R137" s="783"/>
      <c r="S137" s="784">
        <v>413984</v>
      </c>
      <c r="T137" s="785">
        <v>1241</v>
      </c>
      <c r="U137" s="785">
        <v>415225</v>
      </c>
    </row>
    <row r="138" spans="1:21" x14ac:dyDescent="0.25">
      <c r="A138" s="780">
        <v>91233</v>
      </c>
      <c r="B138" s="781" t="s">
        <v>1302</v>
      </c>
      <c r="C138" s="782">
        <v>4.3399999999999998E-5</v>
      </c>
      <c r="D138" s="782">
        <v>3.26E-5</v>
      </c>
      <c r="E138" s="783">
        <v>18997</v>
      </c>
      <c r="F138" s="783">
        <v>-17993</v>
      </c>
      <c r="G138" s="783">
        <v>19478</v>
      </c>
      <c r="H138" s="783"/>
      <c r="I138" s="784">
        <v>0</v>
      </c>
      <c r="J138" s="784">
        <v>39143</v>
      </c>
      <c r="K138" s="784">
        <v>0</v>
      </c>
      <c r="L138" s="783">
        <v>11447</v>
      </c>
      <c r="M138" s="783"/>
      <c r="N138" s="784">
        <v>4578</v>
      </c>
      <c r="O138" s="784">
        <v>44688</v>
      </c>
      <c r="P138" s="784">
        <v>0</v>
      </c>
      <c r="Q138" s="783">
        <v>0</v>
      </c>
      <c r="R138" s="783"/>
      <c r="S138" s="784">
        <v>8893</v>
      </c>
      <c r="T138" s="785">
        <v>3204</v>
      </c>
      <c r="U138" s="785">
        <v>12097</v>
      </c>
    </row>
    <row r="139" spans="1:21" x14ac:dyDescent="0.25">
      <c r="A139" s="780">
        <v>91241</v>
      </c>
      <c r="B139" s="781" t="s">
        <v>1303</v>
      </c>
      <c r="C139" s="782">
        <v>4.0800000000000002E-5</v>
      </c>
      <c r="D139" s="782">
        <v>4.1100000000000003E-5</v>
      </c>
      <c r="E139" s="783">
        <v>15463</v>
      </c>
      <c r="F139" s="783">
        <v>-22684</v>
      </c>
      <c r="G139" s="783">
        <v>18311</v>
      </c>
      <c r="H139" s="783"/>
      <c r="I139" s="784">
        <v>0</v>
      </c>
      <c r="J139" s="784">
        <v>36798</v>
      </c>
      <c r="K139" s="784">
        <v>0</v>
      </c>
      <c r="L139" s="783">
        <v>0</v>
      </c>
      <c r="M139" s="783"/>
      <c r="N139" s="784">
        <v>4304</v>
      </c>
      <c r="O139" s="784">
        <v>42011</v>
      </c>
      <c r="P139" s="784">
        <v>0</v>
      </c>
      <c r="Q139" s="783">
        <v>5419</v>
      </c>
      <c r="R139" s="783"/>
      <c r="S139" s="784">
        <v>8360</v>
      </c>
      <c r="T139" s="785">
        <v>-1728</v>
      </c>
      <c r="U139" s="785">
        <v>6632</v>
      </c>
    </row>
    <row r="140" spans="1:21" x14ac:dyDescent="0.25">
      <c r="A140" s="780">
        <v>91251</v>
      </c>
      <c r="B140" s="781" t="s">
        <v>1304</v>
      </c>
      <c r="C140" s="782">
        <v>2.6699999999999998E-5</v>
      </c>
      <c r="D140" s="782">
        <v>2.69E-5</v>
      </c>
      <c r="E140" s="783">
        <v>10386</v>
      </c>
      <c r="F140" s="783">
        <v>-14847</v>
      </c>
      <c r="G140" s="783">
        <v>11983</v>
      </c>
      <c r="H140" s="783"/>
      <c r="I140" s="784">
        <v>0</v>
      </c>
      <c r="J140" s="784">
        <v>24081</v>
      </c>
      <c r="K140" s="784">
        <v>0</v>
      </c>
      <c r="L140" s="783">
        <v>7071.35</v>
      </c>
      <c r="M140" s="783"/>
      <c r="N140" s="784">
        <v>2817</v>
      </c>
      <c r="O140" s="784">
        <v>27493</v>
      </c>
      <c r="P140" s="784">
        <v>0</v>
      </c>
      <c r="Q140" s="783">
        <v>549</v>
      </c>
      <c r="R140" s="783"/>
      <c r="S140" s="784">
        <v>5471</v>
      </c>
      <c r="T140" s="785">
        <v>2221</v>
      </c>
      <c r="U140" s="785">
        <v>7692</v>
      </c>
    </row>
    <row r="141" spans="1:21" x14ac:dyDescent="0.25">
      <c r="A141" s="780">
        <v>91261</v>
      </c>
      <c r="B141" s="781" t="s">
        <v>1305</v>
      </c>
      <c r="C141" s="782">
        <v>8.8000000000000004E-6</v>
      </c>
      <c r="D141" s="782">
        <v>7.1999999999999997E-6</v>
      </c>
      <c r="E141" s="783">
        <v>3957</v>
      </c>
      <c r="F141" s="783">
        <v>-3974</v>
      </c>
      <c r="G141" s="783">
        <v>3949</v>
      </c>
      <c r="H141" s="783"/>
      <c r="I141" s="784">
        <v>0</v>
      </c>
      <c r="J141" s="784">
        <v>7937</v>
      </c>
      <c r="K141" s="784">
        <v>0</v>
      </c>
      <c r="L141" s="783">
        <v>2054</v>
      </c>
      <c r="M141" s="783"/>
      <c r="N141" s="784">
        <v>928</v>
      </c>
      <c r="O141" s="784">
        <v>9061</v>
      </c>
      <c r="P141" s="784">
        <v>0</v>
      </c>
      <c r="Q141" s="783">
        <v>0</v>
      </c>
      <c r="R141" s="783"/>
      <c r="S141" s="784">
        <v>1803</v>
      </c>
      <c r="T141" s="785">
        <v>585</v>
      </c>
      <c r="U141" s="785">
        <v>2388</v>
      </c>
    </row>
    <row r="142" spans="1:21" x14ac:dyDescent="0.25">
      <c r="A142" s="780">
        <v>91301</v>
      </c>
      <c r="B142" s="781" t="s">
        <v>1306</v>
      </c>
      <c r="C142" s="782">
        <v>7.2360999999999997E-3</v>
      </c>
      <c r="D142" s="782">
        <v>7.3971999999999996E-3</v>
      </c>
      <c r="E142" s="783">
        <v>2851517</v>
      </c>
      <c r="F142" s="783">
        <v>-4082648</v>
      </c>
      <c r="G142" s="783">
        <v>3247518</v>
      </c>
      <c r="H142" s="783"/>
      <c r="I142" s="784">
        <v>0</v>
      </c>
      <c r="J142" s="784">
        <v>6526354</v>
      </c>
      <c r="K142" s="784">
        <v>0</v>
      </c>
      <c r="L142" s="783">
        <v>0</v>
      </c>
      <c r="M142" s="783"/>
      <c r="N142" s="784">
        <v>763358</v>
      </c>
      <c r="O142" s="784">
        <v>7450918</v>
      </c>
      <c r="P142" s="784">
        <v>0</v>
      </c>
      <c r="Q142" s="783">
        <v>256080</v>
      </c>
      <c r="R142" s="783"/>
      <c r="S142" s="784">
        <v>1482691</v>
      </c>
      <c r="T142" s="785">
        <v>-71507</v>
      </c>
      <c r="U142" s="785">
        <v>1411184</v>
      </c>
    </row>
    <row r="143" spans="1:21" x14ac:dyDescent="0.25">
      <c r="A143" s="786">
        <v>91302</v>
      </c>
      <c r="B143" s="781" t="s">
        <v>1307</v>
      </c>
      <c r="C143" s="782">
        <v>5.8169999999999999E-4</v>
      </c>
      <c r="D143" s="782">
        <v>5.354E-4</v>
      </c>
      <c r="E143" s="783">
        <v>259472</v>
      </c>
      <c r="F143" s="783">
        <v>-295497</v>
      </c>
      <c r="G143" s="783">
        <v>261063</v>
      </c>
      <c r="H143" s="783"/>
      <c r="I143" s="784">
        <v>0</v>
      </c>
      <c r="J143" s="784">
        <v>524645</v>
      </c>
      <c r="K143" s="784">
        <v>0</v>
      </c>
      <c r="L143" s="783">
        <v>67508</v>
      </c>
      <c r="M143" s="783"/>
      <c r="N143" s="784">
        <v>61365</v>
      </c>
      <c r="O143" s="784">
        <v>598969</v>
      </c>
      <c r="P143" s="784">
        <v>0</v>
      </c>
      <c r="Q143" s="783">
        <v>0</v>
      </c>
      <c r="R143" s="783"/>
      <c r="S143" s="784">
        <v>119191</v>
      </c>
      <c r="T143" s="785">
        <v>18951</v>
      </c>
      <c r="U143" s="785">
        <v>138143</v>
      </c>
    </row>
    <row r="144" spans="1:21" x14ac:dyDescent="0.25">
      <c r="A144" s="786">
        <v>91306</v>
      </c>
      <c r="B144" s="781" t="s">
        <v>1308</v>
      </c>
      <c r="C144" s="782">
        <v>1.5539E-3</v>
      </c>
      <c r="D144" s="782">
        <v>1.4652999999999999E-3</v>
      </c>
      <c r="E144" s="783">
        <v>675656</v>
      </c>
      <c r="F144" s="783">
        <v>-808725</v>
      </c>
      <c r="G144" s="783">
        <v>697381</v>
      </c>
      <c r="H144" s="783"/>
      <c r="I144" s="784">
        <v>0</v>
      </c>
      <c r="J144" s="784">
        <v>1401487</v>
      </c>
      <c r="K144" s="784">
        <v>0</v>
      </c>
      <c r="L144" s="783">
        <v>150655</v>
      </c>
      <c r="M144" s="783"/>
      <c r="N144" s="784">
        <v>163926</v>
      </c>
      <c r="O144" s="784">
        <v>1600031</v>
      </c>
      <c r="P144" s="784">
        <v>0</v>
      </c>
      <c r="Q144" s="783">
        <v>0</v>
      </c>
      <c r="R144" s="783"/>
      <c r="S144" s="784">
        <v>318397</v>
      </c>
      <c r="T144" s="785">
        <v>43494</v>
      </c>
      <c r="U144" s="785">
        <v>361891</v>
      </c>
    </row>
    <row r="145" spans="1:21" x14ac:dyDescent="0.25">
      <c r="A145" s="786">
        <v>91308</v>
      </c>
      <c r="B145" s="781" t="s">
        <v>1309</v>
      </c>
      <c r="C145" s="782">
        <v>1.8650000000000001E-4</v>
      </c>
      <c r="D145" s="782">
        <v>1.8980000000000001E-4</v>
      </c>
      <c r="E145" s="783">
        <v>72472</v>
      </c>
      <c r="F145" s="783">
        <v>-104754</v>
      </c>
      <c r="G145" s="783">
        <v>83700</v>
      </c>
      <c r="H145" s="783"/>
      <c r="I145" s="784">
        <v>0</v>
      </c>
      <c r="J145" s="784">
        <v>168207</v>
      </c>
      <c r="K145" s="784">
        <v>0</v>
      </c>
      <c r="L145" s="783">
        <v>6832</v>
      </c>
      <c r="M145" s="783"/>
      <c r="N145" s="784">
        <v>19674</v>
      </c>
      <c r="O145" s="784">
        <v>192037</v>
      </c>
      <c r="P145" s="784">
        <v>0</v>
      </c>
      <c r="Q145" s="783">
        <v>5226</v>
      </c>
      <c r="R145" s="783"/>
      <c r="S145" s="784">
        <v>38214</v>
      </c>
      <c r="T145" s="785">
        <v>917</v>
      </c>
      <c r="U145" s="785">
        <v>39131</v>
      </c>
    </row>
    <row r="146" spans="1:21" x14ac:dyDescent="0.25">
      <c r="A146" s="780">
        <v>91311</v>
      </c>
      <c r="B146" s="781" t="s">
        <v>1310</v>
      </c>
      <c r="C146" s="782">
        <v>7.9313999999999999E-3</v>
      </c>
      <c r="D146" s="782">
        <v>7.4554E-3</v>
      </c>
      <c r="E146" s="783">
        <v>3024263</v>
      </c>
      <c r="F146" s="783">
        <v>-4114769</v>
      </c>
      <c r="G146" s="783">
        <v>3559565</v>
      </c>
      <c r="H146" s="783"/>
      <c r="I146" s="784">
        <v>0</v>
      </c>
      <c r="J146" s="784">
        <v>7153457</v>
      </c>
      <c r="K146" s="784">
        <v>0</v>
      </c>
      <c r="L146" s="783">
        <v>164438</v>
      </c>
      <c r="M146" s="783"/>
      <c r="N146" s="784">
        <v>836707</v>
      </c>
      <c r="O146" s="784">
        <v>8166859</v>
      </c>
      <c r="P146" s="784">
        <v>0</v>
      </c>
      <c r="Q146" s="783">
        <v>305324</v>
      </c>
      <c r="R146" s="783"/>
      <c r="S146" s="784">
        <v>1625160</v>
      </c>
      <c r="T146" s="785">
        <v>-59069</v>
      </c>
      <c r="U146" s="785">
        <v>1566091</v>
      </c>
    </row>
    <row r="147" spans="1:21" x14ac:dyDescent="0.25">
      <c r="A147" s="780">
        <v>91317</v>
      </c>
      <c r="B147" s="781" t="s">
        <v>1311</v>
      </c>
      <c r="C147" s="782">
        <v>9.59E-5</v>
      </c>
      <c r="D147" s="782">
        <v>9.48E-5</v>
      </c>
      <c r="E147" s="783">
        <v>44373</v>
      </c>
      <c r="F147" s="783">
        <v>-52322</v>
      </c>
      <c r="G147" s="783">
        <v>43039</v>
      </c>
      <c r="H147" s="783"/>
      <c r="I147" s="784">
        <v>0</v>
      </c>
      <c r="J147" s="784">
        <v>86494</v>
      </c>
      <c r="K147" s="784">
        <v>0</v>
      </c>
      <c r="L147" s="783">
        <v>4908</v>
      </c>
      <c r="M147" s="783"/>
      <c r="N147" s="784">
        <v>10117</v>
      </c>
      <c r="O147" s="784">
        <v>98747</v>
      </c>
      <c r="P147" s="784">
        <v>0</v>
      </c>
      <c r="Q147" s="783">
        <v>2521</v>
      </c>
      <c r="R147" s="783"/>
      <c r="S147" s="784">
        <v>19650</v>
      </c>
      <c r="T147" s="785">
        <v>442</v>
      </c>
      <c r="U147" s="785">
        <v>20092</v>
      </c>
    </row>
    <row r="148" spans="1:21" x14ac:dyDescent="0.25">
      <c r="A148" s="780">
        <v>91321</v>
      </c>
      <c r="B148" s="781" t="s">
        <v>1312</v>
      </c>
      <c r="C148" s="782">
        <v>3.1999999999999999E-5</v>
      </c>
      <c r="D148" s="782">
        <v>5.2800000000000003E-5</v>
      </c>
      <c r="E148" s="783">
        <v>21524</v>
      </c>
      <c r="F148" s="783">
        <v>-29141</v>
      </c>
      <c r="G148" s="783">
        <v>14361</v>
      </c>
      <c r="H148" s="783"/>
      <c r="I148" s="784">
        <v>0</v>
      </c>
      <c r="J148" s="784">
        <v>28861</v>
      </c>
      <c r="K148" s="784">
        <v>0</v>
      </c>
      <c r="L148" s="783">
        <v>1444.17</v>
      </c>
      <c r="M148" s="783"/>
      <c r="N148" s="784">
        <v>3376</v>
      </c>
      <c r="O148" s="784">
        <v>32950</v>
      </c>
      <c r="P148" s="784">
        <v>0</v>
      </c>
      <c r="Q148" s="783">
        <v>7892</v>
      </c>
      <c r="R148" s="783"/>
      <c r="S148" s="784">
        <v>6557</v>
      </c>
      <c r="T148" s="785">
        <v>-1583</v>
      </c>
      <c r="U148" s="785">
        <v>4974</v>
      </c>
    </row>
    <row r="149" spans="1:21" x14ac:dyDescent="0.25">
      <c r="A149" s="780">
        <v>91327</v>
      </c>
      <c r="B149" s="781" t="s">
        <v>1313</v>
      </c>
      <c r="C149" s="782">
        <v>1.13E-5</v>
      </c>
      <c r="D149" s="782">
        <v>1.1600000000000001E-5</v>
      </c>
      <c r="E149" s="783">
        <v>4180</v>
      </c>
      <c r="F149" s="783">
        <v>-6402</v>
      </c>
      <c r="G149" s="783">
        <v>5071</v>
      </c>
      <c r="H149" s="783"/>
      <c r="I149" s="784">
        <v>0</v>
      </c>
      <c r="J149" s="784">
        <v>10192</v>
      </c>
      <c r="K149" s="784">
        <v>0</v>
      </c>
      <c r="L149" s="783">
        <v>108</v>
      </c>
      <c r="M149" s="783"/>
      <c r="N149" s="784">
        <v>1192</v>
      </c>
      <c r="O149" s="784">
        <v>11635</v>
      </c>
      <c r="P149" s="784">
        <v>0</v>
      </c>
      <c r="Q149" s="783">
        <v>554</v>
      </c>
      <c r="R149" s="783"/>
      <c r="S149" s="784">
        <v>2315</v>
      </c>
      <c r="T149" s="785">
        <v>-109</v>
      </c>
      <c r="U149" s="785">
        <v>2206</v>
      </c>
    </row>
    <row r="150" spans="1:21" x14ac:dyDescent="0.25">
      <c r="A150" s="780">
        <v>91331</v>
      </c>
      <c r="B150" s="781" t="s">
        <v>1314</v>
      </c>
      <c r="C150" s="782">
        <v>3.0317E-3</v>
      </c>
      <c r="D150" s="782">
        <v>2.9924999999999999E-3</v>
      </c>
      <c r="E150" s="783">
        <v>1006669</v>
      </c>
      <c r="F150" s="783">
        <v>-1651615</v>
      </c>
      <c r="G150" s="783">
        <v>1360609</v>
      </c>
      <c r="H150" s="783"/>
      <c r="I150" s="784">
        <v>0</v>
      </c>
      <c r="J150" s="784">
        <v>2734339</v>
      </c>
      <c r="K150" s="784">
        <v>0</v>
      </c>
      <c r="L150" s="783">
        <v>0</v>
      </c>
      <c r="M150" s="783"/>
      <c r="N150" s="784">
        <v>319823</v>
      </c>
      <c r="O150" s="784">
        <v>3121702</v>
      </c>
      <c r="P150" s="784">
        <v>0</v>
      </c>
      <c r="Q150" s="783">
        <v>368678</v>
      </c>
      <c r="R150" s="783"/>
      <c r="S150" s="784">
        <v>621201</v>
      </c>
      <c r="T150" s="785">
        <v>-111992</v>
      </c>
      <c r="U150" s="785">
        <v>509209</v>
      </c>
    </row>
    <row r="151" spans="1:21" x14ac:dyDescent="0.25">
      <c r="A151" s="780">
        <v>91341</v>
      </c>
      <c r="B151" s="781" t="s">
        <v>1315</v>
      </c>
      <c r="C151" s="782">
        <v>2.1299999999999999E-5</v>
      </c>
      <c r="D151" s="782">
        <v>1.8300000000000001E-5</v>
      </c>
      <c r="E151" s="783">
        <v>6337</v>
      </c>
      <c r="F151" s="783">
        <v>-10100</v>
      </c>
      <c r="G151" s="783">
        <v>9559</v>
      </c>
      <c r="H151" s="783"/>
      <c r="I151" s="784">
        <v>0</v>
      </c>
      <c r="J151" s="784">
        <v>19211</v>
      </c>
      <c r="K151" s="784">
        <v>0</v>
      </c>
      <c r="L151" s="783">
        <v>747</v>
      </c>
      <c r="M151" s="783"/>
      <c r="N151" s="784">
        <v>2247</v>
      </c>
      <c r="O151" s="784">
        <v>21932</v>
      </c>
      <c r="P151" s="784">
        <v>0</v>
      </c>
      <c r="Q151" s="783">
        <v>0</v>
      </c>
      <c r="R151" s="783"/>
      <c r="S151" s="784">
        <v>4364</v>
      </c>
      <c r="T151" s="785">
        <v>233</v>
      </c>
      <c r="U151" s="785">
        <v>4597</v>
      </c>
    </row>
    <row r="152" spans="1:21" x14ac:dyDescent="0.25">
      <c r="A152" s="780">
        <v>91401</v>
      </c>
      <c r="B152" s="781" t="s">
        <v>1316</v>
      </c>
      <c r="C152" s="782">
        <v>3.5414999999999999E-3</v>
      </c>
      <c r="D152" s="782">
        <v>3.4860999999999998E-3</v>
      </c>
      <c r="E152" s="783">
        <v>1421084</v>
      </c>
      <c r="F152" s="783">
        <v>-1924041</v>
      </c>
      <c r="G152" s="783">
        <v>1589404</v>
      </c>
      <c r="H152" s="783"/>
      <c r="I152" s="784">
        <v>0</v>
      </c>
      <c r="J152" s="784">
        <v>3194136</v>
      </c>
      <c r="K152" s="784">
        <v>0</v>
      </c>
      <c r="L152" s="783">
        <v>44271</v>
      </c>
      <c r="M152" s="783"/>
      <c r="N152" s="784">
        <v>373603</v>
      </c>
      <c r="O152" s="784">
        <v>3646637</v>
      </c>
      <c r="P152" s="784">
        <v>0</v>
      </c>
      <c r="Q152" s="783">
        <v>0</v>
      </c>
      <c r="R152" s="783"/>
      <c r="S152" s="784">
        <v>725660</v>
      </c>
      <c r="T152" s="785">
        <v>13412</v>
      </c>
      <c r="U152" s="785">
        <v>739073</v>
      </c>
    </row>
    <row r="153" spans="1:21" x14ac:dyDescent="0.25">
      <c r="A153" s="780">
        <v>91411</v>
      </c>
      <c r="B153" s="781" t="s">
        <v>1317</v>
      </c>
      <c r="C153" s="782">
        <v>3.1189999999999999E-4</v>
      </c>
      <c r="D153" s="782">
        <v>3.1930000000000001E-4</v>
      </c>
      <c r="E153" s="783">
        <v>139119</v>
      </c>
      <c r="F153" s="783">
        <v>-176227</v>
      </c>
      <c r="G153" s="783">
        <v>139979</v>
      </c>
      <c r="H153" s="783"/>
      <c r="I153" s="784">
        <v>0</v>
      </c>
      <c r="J153" s="784">
        <v>281308</v>
      </c>
      <c r="K153" s="784">
        <v>0</v>
      </c>
      <c r="L153" s="783">
        <v>4140</v>
      </c>
      <c r="M153" s="783"/>
      <c r="N153" s="784">
        <v>32903</v>
      </c>
      <c r="O153" s="784">
        <v>321159</v>
      </c>
      <c r="P153" s="784">
        <v>0</v>
      </c>
      <c r="Q153" s="783">
        <v>4209.92</v>
      </c>
      <c r="R153" s="783"/>
      <c r="S153" s="784">
        <v>63909</v>
      </c>
      <c r="T153" s="785">
        <v>-324</v>
      </c>
      <c r="U153" s="785">
        <v>63585</v>
      </c>
    </row>
    <row r="154" spans="1:21" x14ac:dyDescent="0.25">
      <c r="A154" s="780">
        <v>91417</v>
      </c>
      <c r="B154" s="781" t="s">
        <v>1318</v>
      </c>
      <c r="C154" s="782">
        <v>1.04E-5</v>
      </c>
      <c r="D154" s="782">
        <v>1.04E-5</v>
      </c>
      <c r="E154" s="783">
        <v>5013</v>
      </c>
      <c r="F154" s="783">
        <v>-5740</v>
      </c>
      <c r="G154" s="783">
        <v>4667</v>
      </c>
      <c r="H154" s="783"/>
      <c r="I154" s="784">
        <v>0</v>
      </c>
      <c r="J154" s="784">
        <v>9380</v>
      </c>
      <c r="K154" s="784">
        <v>0</v>
      </c>
      <c r="L154" s="783">
        <v>5009</v>
      </c>
      <c r="M154" s="783"/>
      <c r="N154" s="784">
        <v>1097</v>
      </c>
      <c r="O154" s="784">
        <v>10709</v>
      </c>
      <c r="P154" s="784">
        <v>0</v>
      </c>
      <c r="Q154" s="783">
        <v>0</v>
      </c>
      <c r="R154" s="783"/>
      <c r="S154" s="784">
        <v>2131</v>
      </c>
      <c r="T154" s="785">
        <v>1631</v>
      </c>
      <c r="U154" s="785">
        <v>3762</v>
      </c>
    </row>
    <row r="155" spans="1:21" x14ac:dyDescent="0.25">
      <c r="A155" s="780">
        <v>91421</v>
      </c>
      <c r="B155" s="781" t="s">
        <v>1319</v>
      </c>
      <c r="C155" s="782">
        <v>7.3399999999999995E-5</v>
      </c>
      <c r="D155" s="782">
        <v>8.4400000000000005E-5</v>
      </c>
      <c r="E155" s="783">
        <v>31874</v>
      </c>
      <c r="F155" s="783">
        <v>-46582</v>
      </c>
      <c r="G155" s="783">
        <v>32941</v>
      </c>
      <c r="H155" s="783"/>
      <c r="I155" s="784">
        <v>0</v>
      </c>
      <c r="J155" s="784">
        <v>66201</v>
      </c>
      <c r="K155" s="784">
        <v>0</v>
      </c>
      <c r="L155" s="783">
        <v>3857</v>
      </c>
      <c r="M155" s="783"/>
      <c r="N155" s="784">
        <v>7743</v>
      </c>
      <c r="O155" s="784">
        <v>75579</v>
      </c>
      <c r="P155" s="784">
        <v>0</v>
      </c>
      <c r="Q155" s="783">
        <v>6209</v>
      </c>
      <c r="R155" s="783"/>
      <c r="S155" s="784">
        <v>15040</v>
      </c>
      <c r="T155" s="785">
        <v>-335</v>
      </c>
      <c r="U155" s="785">
        <v>14705</v>
      </c>
    </row>
    <row r="156" spans="1:21" x14ac:dyDescent="0.25">
      <c r="A156" s="780">
        <v>91423</v>
      </c>
      <c r="B156" s="781" t="s">
        <v>1320</v>
      </c>
      <c r="C156" s="782">
        <v>3.9499999999999998E-5</v>
      </c>
      <c r="D156" s="782">
        <v>2.2799999999999999E-5</v>
      </c>
      <c r="E156" s="783">
        <v>17685</v>
      </c>
      <c r="F156" s="783">
        <v>-12584</v>
      </c>
      <c r="G156" s="783">
        <v>17727</v>
      </c>
      <c r="H156" s="783"/>
      <c r="I156" s="784">
        <v>0</v>
      </c>
      <c r="J156" s="784">
        <v>35626</v>
      </c>
      <c r="K156" s="784">
        <v>0</v>
      </c>
      <c r="L156" s="783">
        <v>12954</v>
      </c>
      <c r="M156" s="783"/>
      <c r="N156" s="784">
        <v>4167</v>
      </c>
      <c r="O156" s="784">
        <v>40673</v>
      </c>
      <c r="P156" s="784">
        <v>0</v>
      </c>
      <c r="Q156" s="783">
        <v>6118</v>
      </c>
      <c r="R156" s="783"/>
      <c r="S156" s="784">
        <v>8094</v>
      </c>
      <c r="T156" s="785">
        <v>1345</v>
      </c>
      <c r="U156" s="785">
        <v>9439</v>
      </c>
    </row>
    <row r="157" spans="1:21" x14ac:dyDescent="0.25">
      <c r="A157" s="780">
        <v>91431</v>
      </c>
      <c r="B157" s="781" t="s">
        <v>1321</v>
      </c>
      <c r="C157" s="782">
        <v>1.606E-4</v>
      </c>
      <c r="D157" s="782">
        <v>1.596E-4</v>
      </c>
      <c r="E157" s="783">
        <v>67660</v>
      </c>
      <c r="F157" s="783">
        <v>-88086</v>
      </c>
      <c r="G157" s="783">
        <v>72076</v>
      </c>
      <c r="H157" s="783"/>
      <c r="I157" s="784">
        <v>0</v>
      </c>
      <c r="J157" s="784">
        <v>144848</v>
      </c>
      <c r="K157" s="784">
        <v>0</v>
      </c>
      <c r="L157" s="783">
        <v>2358</v>
      </c>
      <c r="M157" s="783"/>
      <c r="N157" s="784">
        <v>16942</v>
      </c>
      <c r="O157" s="784">
        <v>165368</v>
      </c>
      <c r="P157" s="784">
        <v>0</v>
      </c>
      <c r="Q157" s="783">
        <v>529.23</v>
      </c>
      <c r="R157" s="783"/>
      <c r="S157" s="784">
        <v>32907</v>
      </c>
      <c r="T157" s="785">
        <v>440</v>
      </c>
      <c r="U157" s="785">
        <v>33348</v>
      </c>
    </row>
    <row r="158" spans="1:21" x14ac:dyDescent="0.25">
      <c r="A158" s="780">
        <v>91441</v>
      </c>
      <c r="B158" s="781" t="s">
        <v>1322</v>
      </c>
      <c r="C158" s="782">
        <v>8.0199999999999998E-4</v>
      </c>
      <c r="D158" s="782">
        <v>7.7430000000000001E-4</v>
      </c>
      <c r="E158" s="783">
        <v>232385</v>
      </c>
      <c r="F158" s="783">
        <v>-427350</v>
      </c>
      <c r="G158" s="783">
        <v>359933</v>
      </c>
      <c r="H158" s="783"/>
      <c r="I158" s="784">
        <v>0</v>
      </c>
      <c r="J158" s="784">
        <v>723337</v>
      </c>
      <c r="K158" s="784">
        <v>0</v>
      </c>
      <c r="L158" s="783">
        <v>0</v>
      </c>
      <c r="M158" s="783"/>
      <c r="N158" s="784">
        <v>84605</v>
      </c>
      <c r="O158" s="784">
        <v>825809</v>
      </c>
      <c r="P158" s="784">
        <v>0</v>
      </c>
      <c r="Q158" s="783">
        <v>102665</v>
      </c>
      <c r="R158" s="783"/>
      <c r="S158" s="784">
        <v>164331</v>
      </c>
      <c r="T158" s="785">
        <v>-30274</v>
      </c>
      <c r="U158" s="785">
        <v>134057</v>
      </c>
    </row>
    <row r="159" spans="1:21" x14ac:dyDescent="0.25">
      <c r="A159" s="780">
        <v>91451</v>
      </c>
      <c r="B159" s="781" t="s">
        <v>1323</v>
      </c>
      <c r="C159" s="782">
        <v>1.7028E-3</v>
      </c>
      <c r="D159" s="782">
        <v>1.7121E-3</v>
      </c>
      <c r="E159" s="783">
        <v>628017</v>
      </c>
      <c r="F159" s="783">
        <v>-944939</v>
      </c>
      <c r="G159" s="783">
        <v>764206</v>
      </c>
      <c r="H159" s="783"/>
      <c r="I159" s="784">
        <v>0</v>
      </c>
      <c r="J159" s="784">
        <v>1535783</v>
      </c>
      <c r="K159" s="784">
        <v>0</v>
      </c>
      <c r="L159" s="783">
        <v>0</v>
      </c>
      <c r="M159" s="783"/>
      <c r="N159" s="784">
        <v>179633</v>
      </c>
      <c r="O159" s="784">
        <v>1753351</v>
      </c>
      <c r="P159" s="784">
        <v>0</v>
      </c>
      <c r="Q159" s="783">
        <v>132353</v>
      </c>
      <c r="R159" s="783"/>
      <c r="S159" s="784">
        <v>348907</v>
      </c>
      <c r="T159" s="785">
        <v>-39920</v>
      </c>
      <c r="U159" s="785">
        <v>308987</v>
      </c>
    </row>
    <row r="160" spans="1:21" x14ac:dyDescent="0.25">
      <c r="A160" s="780">
        <v>91457</v>
      </c>
      <c r="B160" s="781" t="s">
        <v>1324</v>
      </c>
      <c r="C160" s="782">
        <v>2.7500000000000001E-5</v>
      </c>
      <c r="D160" s="782">
        <v>2.7100000000000001E-5</v>
      </c>
      <c r="E160" s="783">
        <v>28857</v>
      </c>
      <c r="F160" s="783">
        <v>-14957</v>
      </c>
      <c r="G160" s="783">
        <v>12342</v>
      </c>
      <c r="H160" s="783"/>
      <c r="I160" s="784">
        <v>0</v>
      </c>
      <c r="J160" s="784">
        <v>24803</v>
      </c>
      <c r="K160" s="784">
        <v>0</v>
      </c>
      <c r="L160" s="783">
        <v>15066</v>
      </c>
      <c r="M160" s="783"/>
      <c r="N160" s="784">
        <v>2901</v>
      </c>
      <c r="O160" s="784">
        <v>28316</v>
      </c>
      <c r="P160" s="784">
        <v>0</v>
      </c>
      <c r="Q160" s="783">
        <v>0</v>
      </c>
      <c r="R160" s="783"/>
      <c r="S160" s="784">
        <v>5635</v>
      </c>
      <c r="T160" s="785">
        <v>4003</v>
      </c>
      <c r="U160" s="785">
        <v>9638</v>
      </c>
    </row>
    <row r="161" spans="1:21" x14ac:dyDescent="0.25">
      <c r="A161" s="780">
        <v>91461</v>
      </c>
      <c r="B161" s="781" t="s">
        <v>1325</v>
      </c>
      <c r="C161" s="782">
        <v>6.3999999999999997E-6</v>
      </c>
      <c r="D161" s="782">
        <v>6.0000000000000002E-6</v>
      </c>
      <c r="E161" s="783">
        <v>6290</v>
      </c>
      <c r="F161" s="783">
        <v>-3312</v>
      </c>
      <c r="G161" s="783">
        <v>2872</v>
      </c>
      <c r="H161" s="783"/>
      <c r="I161" s="784">
        <v>0</v>
      </c>
      <c r="J161" s="784">
        <v>5772</v>
      </c>
      <c r="K161" s="784">
        <v>0</v>
      </c>
      <c r="L161" s="783">
        <v>3572</v>
      </c>
      <c r="M161" s="783"/>
      <c r="N161" s="784">
        <v>675</v>
      </c>
      <c r="O161" s="784">
        <v>6590</v>
      </c>
      <c r="P161" s="784">
        <v>0</v>
      </c>
      <c r="Q161" s="783">
        <v>0</v>
      </c>
      <c r="R161" s="783"/>
      <c r="S161" s="784">
        <v>1311</v>
      </c>
      <c r="T161" s="785">
        <v>962</v>
      </c>
      <c r="U161" s="785">
        <v>2274</v>
      </c>
    </row>
    <row r="162" spans="1:21" x14ac:dyDescent="0.25">
      <c r="A162" s="780">
        <v>91501</v>
      </c>
      <c r="B162" s="781" t="s">
        <v>1326</v>
      </c>
      <c r="C162" s="782">
        <v>4.8660000000000001E-4</v>
      </c>
      <c r="D162" s="782">
        <v>4.8879999999999996E-4</v>
      </c>
      <c r="E162" s="783">
        <v>211861</v>
      </c>
      <c r="F162" s="783">
        <v>-269778</v>
      </c>
      <c r="G162" s="783">
        <v>218383</v>
      </c>
      <c r="H162" s="783"/>
      <c r="I162" s="784">
        <v>0</v>
      </c>
      <c r="J162" s="784">
        <v>438872</v>
      </c>
      <c r="K162" s="784">
        <v>0</v>
      </c>
      <c r="L162" s="783">
        <v>45182</v>
      </c>
      <c r="M162" s="783"/>
      <c r="N162" s="784">
        <v>51333</v>
      </c>
      <c r="O162" s="784">
        <v>501046</v>
      </c>
      <c r="P162" s="784">
        <v>0</v>
      </c>
      <c r="Q162" s="783">
        <v>0</v>
      </c>
      <c r="R162" s="783"/>
      <c r="S162" s="784">
        <v>99705</v>
      </c>
      <c r="T162" s="785">
        <v>14464</v>
      </c>
      <c r="U162" s="785">
        <v>114169</v>
      </c>
    </row>
    <row r="163" spans="1:21" x14ac:dyDescent="0.25">
      <c r="A163" s="780">
        <v>91504</v>
      </c>
      <c r="B163" s="781" t="s">
        <v>1327</v>
      </c>
      <c r="C163" s="782">
        <v>9.7999999999999993E-6</v>
      </c>
      <c r="D163" s="782">
        <v>3.1E-6</v>
      </c>
      <c r="E163" s="783">
        <v>5415</v>
      </c>
      <c r="F163" s="783">
        <v>-1711</v>
      </c>
      <c r="G163" s="783">
        <v>4398</v>
      </c>
      <c r="H163" s="783"/>
      <c r="I163" s="784">
        <v>0</v>
      </c>
      <c r="J163" s="784">
        <v>8839</v>
      </c>
      <c r="K163" s="784">
        <v>0</v>
      </c>
      <c r="L163" s="783">
        <v>6803</v>
      </c>
      <c r="M163" s="783"/>
      <c r="N163" s="784">
        <v>1034</v>
      </c>
      <c r="O163" s="784">
        <v>10091</v>
      </c>
      <c r="P163" s="784">
        <v>0</v>
      </c>
      <c r="Q163" s="783">
        <v>0</v>
      </c>
      <c r="R163" s="783"/>
      <c r="S163" s="784">
        <v>2008</v>
      </c>
      <c r="T163" s="785">
        <v>1852</v>
      </c>
      <c r="U163" s="785">
        <v>3860</v>
      </c>
    </row>
    <row r="164" spans="1:21" x14ac:dyDescent="0.25">
      <c r="A164" s="780">
        <v>91601</v>
      </c>
      <c r="B164" s="781" t="s">
        <v>1328</v>
      </c>
      <c r="C164" s="782">
        <v>2.5893000000000001E-3</v>
      </c>
      <c r="D164" s="782">
        <v>2.5688E-3</v>
      </c>
      <c r="E164" s="783">
        <v>1132134</v>
      </c>
      <c r="F164" s="783">
        <v>-1417767</v>
      </c>
      <c r="G164" s="783">
        <v>1162062</v>
      </c>
      <c r="H164" s="783"/>
      <c r="I164" s="784">
        <v>0</v>
      </c>
      <c r="J164" s="784">
        <v>2335331</v>
      </c>
      <c r="K164" s="784">
        <v>0</v>
      </c>
      <c r="L164" s="783">
        <v>166506</v>
      </c>
      <c r="M164" s="783"/>
      <c r="N164" s="784">
        <v>273153</v>
      </c>
      <c r="O164" s="784">
        <v>2666169</v>
      </c>
      <c r="P164" s="784">
        <v>0</v>
      </c>
      <c r="Q164" s="783">
        <v>0</v>
      </c>
      <c r="R164" s="783"/>
      <c r="S164" s="784">
        <v>530553</v>
      </c>
      <c r="T164" s="785">
        <v>50325</v>
      </c>
      <c r="U164" s="785">
        <v>580878</v>
      </c>
    </row>
    <row r="165" spans="1:21" x14ac:dyDescent="0.25">
      <c r="A165" s="780">
        <v>91604</v>
      </c>
      <c r="B165" s="781" t="s">
        <v>1329</v>
      </c>
      <c r="C165" s="782">
        <v>8.5000000000000006E-5</v>
      </c>
      <c r="D165" s="782">
        <v>8.7299999999999994E-5</v>
      </c>
      <c r="E165" s="783">
        <v>46529</v>
      </c>
      <c r="F165" s="783">
        <v>-48182</v>
      </c>
      <c r="G165" s="783">
        <v>38147</v>
      </c>
      <c r="H165" s="783"/>
      <c r="I165" s="784">
        <v>0</v>
      </c>
      <c r="J165" s="784">
        <v>76662.86</v>
      </c>
      <c r="K165" s="784">
        <v>0</v>
      </c>
      <c r="L165" s="783">
        <v>10081</v>
      </c>
      <c r="M165" s="783"/>
      <c r="N165" s="784">
        <v>8967</v>
      </c>
      <c r="O165" s="784">
        <v>87523</v>
      </c>
      <c r="P165" s="784">
        <v>0</v>
      </c>
      <c r="Q165" s="783">
        <v>0</v>
      </c>
      <c r="R165" s="783"/>
      <c r="S165" s="784">
        <v>17417</v>
      </c>
      <c r="T165" s="785">
        <v>2808</v>
      </c>
      <c r="U165" s="785">
        <v>20224</v>
      </c>
    </row>
    <row r="166" spans="1:21" x14ac:dyDescent="0.25">
      <c r="A166" s="780">
        <v>91608</v>
      </c>
      <c r="B166" s="781" t="s">
        <v>1330</v>
      </c>
      <c r="C166" s="782">
        <v>1.178E-4</v>
      </c>
      <c r="D166" s="782">
        <v>1.6559999999999999E-4</v>
      </c>
      <c r="E166" s="783">
        <v>36061</v>
      </c>
      <c r="F166" s="783">
        <v>-91398</v>
      </c>
      <c r="G166" s="783">
        <v>52868</v>
      </c>
      <c r="H166" s="783"/>
      <c r="I166" s="784">
        <v>0</v>
      </c>
      <c r="J166" s="784">
        <v>106246</v>
      </c>
      <c r="K166" s="784">
        <v>0</v>
      </c>
      <c r="L166" s="783">
        <v>2631</v>
      </c>
      <c r="M166" s="783"/>
      <c r="N166" s="784">
        <v>12427</v>
      </c>
      <c r="O166" s="784">
        <v>121297</v>
      </c>
      <c r="P166" s="784">
        <v>0</v>
      </c>
      <c r="Q166" s="783">
        <v>43081</v>
      </c>
      <c r="R166" s="783"/>
      <c r="S166" s="784">
        <v>24137</v>
      </c>
      <c r="T166" s="785">
        <v>-10398</v>
      </c>
      <c r="U166" s="785">
        <v>13740</v>
      </c>
    </row>
    <row r="167" spans="1:21" x14ac:dyDescent="0.25">
      <c r="A167" s="780">
        <v>91611</v>
      </c>
      <c r="B167" s="781" t="s">
        <v>1331</v>
      </c>
      <c r="C167" s="782">
        <v>1.3361E-3</v>
      </c>
      <c r="D167" s="782">
        <v>1.2436000000000001E-3</v>
      </c>
      <c r="E167" s="783">
        <v>475633</v>
      </c>
      <c r="F167" s="783">
        <v>-686365</v>
      </c>
      <c r="G167" s="783">
        <v>599634</v>
      </c>
      <c r="H167" s="783"/>
      <c r="I167" s="784">
        <v>0</v>
      </c>
      <c r="J167" s="784">
        <v>1205050</v>
      </c>
      <c r="K167" s="784">
        <v>0</v>
      </c>
      <c r="L167" s="783">
        <v>54205</v>
      </c>
      <c r="M167" s="783"/>
      <c r="N167" s="784">
        <v>140949</v>
      </c>
      <c r="O167" s="784">
        <v>1375765</v>
      </c>
      <c r="P167" s="784">
        <v>0</v>
      </c>
      <c r="Q167" s="783">
        <v>0</v>
      </c>
      <c r="R167" s="783"/>
      <c r="S167" s="784">
        <v>273770</v>
      </c>
      <c r="T167" s="785">
        <v>17436</v>
      </c>
      <c r="U167" s="785">
        <v>291206</v>
      </c>
    </row>
    <row r="168" spans="1:21" x14ac:dyDescent="0.25">
      <c r="A168" s="780">
        <v>91621</v>
      </c>
      <c r="B168" s="781" t="s">
        <v>1332</v>
      </c>
      <c r="C168" s="782">
        <v>2.6200000000000003E-4</v>
      </c>
      <c r="D168" s="782">
        <v>2.276E-4</v>
      </c>
      <c r="E168" s="783">
        <v>111627</v>
      </c>
      <c r="F168" s="783">
        <v>-125617</v>
      </c>
      <c r="G168" s="783">
        <v>117584</v>
      </c>
      <c r="H168" s="783"/>
      <c r="I168" s="784">
        <v>0</v>
      </c>
      <c r="J168" s="784">
        <v>236302</v>
      </c>
      <c r="K168" s="784">
        <v>0</v>
      </c>
      <c r="L168" s="783">
        <v>27831</v>
      </c>
      <c r="M168" s="783"/>
      <c r="N168" s="784">
        <v>27639</v>
      </c>
      <c r="O168" s="784">
        <v>269778</v>
      </c>
      <c r="P168" s="784">
        <v>0</v>
      </c>
      <c r="Q168" s="783">
        <v>29260</v>
      </c>
      <c r="R168" s="783"/>
      <c r="S168" s="784">
        <v>53684</v>
      </c>
      <c r="T168" s="785">
        <v>-2500</v>
      </c>
      <c r="U168" s="785">
        <v>51184</v>
      </c>
    </row>
    <row r="169" spans="1:21" x14ac:dyDescent="0.25">
      <c r="A169" s="780">
        <v>91631</v>
      </c>
      <c r="B169" s="781" t="s">
        <v>1333</v>
      </c>
      <c r="C169" s="782">
        <v>5.4830000000000005E-4</v>
      </c>
      <c r="D169" s="782">
        <v>5.1999999999999995E-4</v>
      </c>
      <c r="E169" s="783">
        <v>195528</v>
      </c>
      <c r="F169" s="783">
        <v>-286997.36</v>
      </c>
      <c r="G169" s="783">
        <v>246074</v>
      </c>
      <c r="H169" s="783"/>
      <c r="I169" s="784">
        <v>0</v>
      </c>
      <c r="J169" s="784">
        <v>494521</v>
      </c>
      <c r="K169" s="784">
        <v>0</v>
      </c>
      <c r="L169" s="783">
        <v>0</v>
      </c>
      <c r="M169" s="783"/>
      <c r="N169" s="784">
        <v>57842</v>
      </c>
      <c r="O169" s="784">
        <v>564577</v>
      </c>
      <c r="P169" s="784">
        <v>0</v>
      </c>
      <c r="Q169" s="783">
        <v>6764</v>
      </c>
      <c r="R169" s="783"/>
      <c r="S169" s="784">
        <v>112348</v>
      </c>
      <c r="T169" s="785">
        <v>-2073</v>
      </c>
      <c r="U169" s="785">
        <v>110274</v>
      </c>
    </row>
    <row r="170" spans="1:21" x14ac:dyDescent="0.25">
      <c r="A170" s="780">
        <v>91633</v>
      </c>
      <c r="B170" s="781" t="s">
        <v>1334</v>
      </c>
      <c r="C170" s="782">
        <v>2.3200000000000001E-5</v>
      </c>
      <c r="D170" s="782">
        <v>3.4600000000000001E-5</v>
      </c>
      <c r="E170" s="783">
        <v>11529</v>
      </c>
      <c r="F170" s="783">
        <v>-19096</v>
      </c>
      <c r="G170" s="783">
        <v>10412</v>
      </c>
      <c r="H170" s="783"/>
      <c r="I170" s="784">
        <v>0</v>
      </c>
      <c r="J170" s="784">
        <v>20924</v>
      </c>
      <c r="K170" s="784">
        <v>0</v>
      </c>
      <c r="L170" s="783">
        <v>0</v>
      </c>
      <c r="M170" s="783"/>
      <c r="N170" s="784">
        <v>2447</v>
      </c>
      <c r="O170" s="784">
        <v>23889</v>
      </c>
      <c r="P170" s="784">
        <v>0</v>
      </c>
      <c r="Q170" s="783">
        <v>6914</v>
      </c>
      <c r="R170" s="783"/>
      <c r="S170" s="784">
        <v>4754</v>
      </c>
      <c r="T170" s="785">
        <v>-1849</v>
      </c>
      <c r="U170" s="785">
        <v>2904</v>
      </c>
    </row>
    <row r="171" spans="1:21" x14ac:dyDescent="0.25">
      <c r="A171" s="780">
        <v>91641</v>
      </c>
      <c r="B171" s="781" t="s">
        <v>1335</v>
      </c>
      <c r="C171" s="782">
        <v>3.1080000000000002E-4</v>
      </c>
      <c r="D171" s="782">
        <v>3.1819999999999998E-4</v>
      </c>
      <c r="E171" s="783">
        <v>93814</v>
      </c>
      <c r="F171" s="783">
        <v>-175620</v>
      </c>
      <c r="G171" s="783">
        <v>139485</v>
      </c>
      <c r="H171" s="783"/>
      <c r="I171" s="784">
        <v>0</v>
      </c>
      <c r="J171" s="784">
        <v>280315</v>
      </c>
      <c r="K171" s="784">
        <v>0</v>
      </c>
      <c r="L171" s="783">
        <v>0</v>
      </c>
      <c r="M171" s="783"/>
      <c r="N171" s="784">
        <v>32787</v>
      </c>
      <c r="O171" s="784">
        <v>320027</v>
      </c>
      <c r="P171" s="784">
        <v>0</v>
      </c>
      <c r="Q171" s="783">
        <v>50608</v>
      </c>
      <c r="R171" s="783"/>
      <c r="S171" s="784">
        <v>63684</v>
      </c>
      <c r="T171" s="785">
        <v>-14643</v>
      </c>
      <c r="U171" s="785">
        <v>49040</v>
      </c>
    </row>
    <row r="172" spans="1:21" x14ac:dyDescent="0.25">
      <c r="A172" s="780">
        <v>91651</v>
      </c>
      <c r="B172" s="781" t="s">
        <v>1336</v>
      </c>
      <c r="C172" s="782">
        <v>4.797E-4</v>
      </c>
      <c r="D172" s="782">
        <v>4.9470000000000004E-4</v>
      </c>
      <c r="E172" s="783">
        <v>192115</v>
      </c>
      <c r="F172" s="783">
        <v>-273034</v>
      </c>
      <c r="G172" s="783">
        <v>215286</v>
      </c>
      <c r="H172" s="783"/>
      <c r="I172" s="784">
        <v>0</v>
      </c>
      <c r="J172" s="784">
        <v>432649</v>
      </c>
      <c r="K172" s="784">
        <v>0</v>
      </c>
      <c r="L172" s="783">
        <v>0</v>
      </c>
      <c r="M172" s="783"/>
      <c r="N172" s="784">
        <v>50605</v>
      </c>
      <c r="O172" s="784">
        <v>493941</v>
      </c>
      <c r="P172" s="784">
        <v>0</v>
      </c>
      <c r="Q172" s="783">
        <v>19950</v>
      </c>
      <c r="R172" s="783"/>
      <c r="S172" s="784">
        <v>98291</v>
      </c>
      <c r="T172" s="785">
        <v>-5692</v>
      </c>
      <c r="U172" s="785">
        <v>92599</v>
      </c>
    </row>
    <row r="173" spans="1:21" x14ac:dyDescent="0.25">
      <c r="A173" s="780">
        <v>91661</v>
      </c>
      <c r="B173" s="781" t="s">
        <v>1337</v>
      </c>
      <c r="C173" s="782">
        <v>1.9149999999999999E-4</v>
      </c>
      <c r="D173" s="782">
        <v>1.8440000000000001E-4</v>
      </c>
      <c r="E173" s="783">
        <v>49792</v>
      </c>
      <c r="F173" s="783">
        <v>-101774</v>
      </c>
      <c r="G173" s="783">
        <v>85944</v>
      </c>
      <c r="H173" s="783"/>
      <c r="I173" s="784">
        <v>0</v>
      </c>
      <c r="J173" s="784">
        <v>172717</v>
      </c>
      <c r="K173" s="784">
        <v>0</v>
      </c>
      <c r="L173" s="783">
        <v>0</v>
      </c>
      <c r="M173" s="783"/>
      <c r="N173" s="784">
        <v>20202</v>
      </c>
      <c r="O173" s="784">
        <v>197185</v>
      </c>
      <c r="P173" s="784">
        <v>0</v>
      </c>
      <c r="Q173" s="783">
        <v>18699</v>
      </c>
      <c r="R173" s="783"/>
      <c r="S173" s="784">
        <v>39239</v>
      </c>
      <c r="T173" s="785">
        <v>-4981</v>
      </c>
      <c r="U173" s="785">
        <v>34258</v>
      </c>
    </row>
    <row r="174" spans="1:21" x14ac:dyDescent="0.25">
      <c r="A174" s="780">
        <v>91671</v>
      </c>
      <c r="B174" s="781" t="s">
        <v>1338</v>
      </c>
      <c r="C174" s="782">
        <v>9.0000000000000006E-5</v>
      </c>
      <c r="D174" s="782">
        <v>6.9800000000000003E-5</v>
      </c>
      <c r="E174" s="783">
        <v>38374</v>
      </c>
      <c r="F174" s="783">
        <v>-38524</v>
      </c>
      <c r="G174" s="783">
        <v>40391.46</v>
      </c>
      <c r="H174" s="783"/>
      <c r="I174" s="784">
        <v>0</v>
      </c>
      <c r="J174" s="784">
        <v>81172.44</v>
      </c>
      <c r="K174" s="784">
        <v>0</v>
      </c>
      <c r="L174" s="783">
        <v>17900</v>
      </c>
      <c r="M174" s="783"/>
      <c r="N174" s="784">
        <v>9494</v>
      </c>
      <c r="O174" s="784">
        <v>92671.83</v>
      </c>
      <c r="P174" s="784">
        <v>0</v>
      </c>
      <c r="Q174" s="783">
        <v>0</v>
      </c>
      <c r="R174" s="783"/>
      <c r="S174" s="784">
        <v>18441.18</v>
      </c>
      <c r="T174" s="785">
        <v>4863</v>
      </c>
      <c r="U174" s="785">
        <v>23304</v>
      </c>
    </row>
    <row r="175" spans="1:21" x14ac:dyDescent="0.25">
      <c r="A175" s="780">
        <v>91681</v>
      </c>
      <c r="B175" s="781" t="s">
        <v>1339</v>
      </c>
      <c r="C175" s="782">
        <v>5.2590000000000004E-4</v>
      </c>
      <c r="D175" s="782">
        <v>5.0739999999999997E-4</v>
      </c>
      <c r="E175" s="783">
        <v>357608</v>
      </c>
      <c r="F175" s="783">
        <v>-280043</v>
      </c>
      <c r="G175" s="783">
        <v>236021</v>
      </c>
      <c r="H175" s="783"/>
      <c r="I175" s="784">
        <v>0</v>
      </c>
      <c r="J175" s="784">
        <v>474318</v>
      </c>
      <c r="K175" s="784">
        <v>0</v>
      </c>
      <c r="L175" s="783">
        <v>126229</v>
      </c>
      <c r="M175" s="783"/>
      <c r="N175" s="784">
        <v>55479</v>
      </c>
      <c r="O175" s="784">
        <v>541512</v>
      </c>
      <c r="P175" s="784">
        <v>0</v>
      </c>
      <c r="Q175" s="783">
        <v>13640</v>
      </c>
      <c r="R175" s="783"/>
      <c r="S175" s="784">
        <v>107758</v>
      </c>
      <c r="T175" s="785">
        <v>28482</v>
      </c>
      <c r="U175" s="785">
        <v>136240</v>
      </c>
    </row>
    <row r="176" spans="1:21" x14ac:dyDescent="0.25">
      <c r="A176" s="780">
        <v>91691</v>
      </c>
      <c r="B176" s="781" t="s">
        <v>1340</v>
      </c>
      <c r="C176" s="782">
        <v>1.8700000000000001E-5</v>
      </c>
      <c r="D176" s="782">
        <v>2.1800000000000001E-5</v>
      </c>
      <c r="E176" s="783">
        <v>9010</v>
      </c>
      <c r="F176" s="783">
        <v>-12032</v>
      </c>
      <c r="G176" s="783">
        <v>8392</v>
      </c>
      <c r="H176" s="783"/>
      <c r="I176" s="784">
        <v>0</v>
      </c>
      <c r="J176" s="784">
        <v>16866</v>
      </c>
      <c r="K176" s="784">
        <v>0</v>
      </c>
      <c r="L176" s="783">
        <v>203</v>
      </c>
      <c r="M176" s="783"/>
      <c r="N176" s="784">
        <v>1973</v>
      </c>
      <c r="O176" s="784">
        <v>19255</v>
      </c>
      <c r="P176" s="784">
        <v>0</v>
      </c>
      <c r="Q176" s="783">
        <v>1085</v>
      </c>
      <c r="R176" s="783"/>
      <c r="S176" s="784">
        <v>3832</v>
      </c>
      <c r="T176" s="785">
        <v>-216</v>
      </c>
      <c r="U176" s="785">
        <v>3616</v>
      </c>
    </row>
    <row r="177" spans="1:21" x14ac:dyDescent="0.25">
      <c r="A177" s="780">
        <v>91701</v>
      </c>
      <c r="B177" s="781" t="s">
        <v>1341</v>
      </c>
      <c r="C177" s="782">
        <v>1.0575999999999999E-3</v>
      </c>
      <c r="D177" s="782">
        <v>1.0705000000000001E-3</v>
      </c>
      <c r="E177" s="783">
        <v>447037</v>
      </c>
      <c r="F177" s="783">
        <v>-590828</v>
      </c>
      <c r="G177" s="783">
        <v>474645</v>
      </c>
      <c r="H177" s="783"/>
      <c r="I177" s="784">
        <v>0</v>
      </c>
      <c r="J177" s="784">
        <v>953866</v>
      </c>
      <c r="K177" s="784">
        <v>0</v>
      </c>
      <c r="L177" s="783">
        <v>3024</v>
      </c>
      <c r="M177" s="783"/>
      <c r="N177" s="784">
        <v>111569</v>
      </c>
      <c r="O177" s="784">
        <v>1088997</v>
      </c>
      <c r="P177" s="784">
        <v>0</v>
      </c>
      <c r="Q177" s="783">
        <v>20986.81</v>
      </c>
      <c r="R177" s="783"/>
      <c r="S177" s="784">
        <v>216704</v>
      </c>
      <c r="T177" s="785">
        <v>-6227</v>
      </c>
      <c r="U177" s="785">
        <v>210477</v>
      </c>
    </row>
    <row r="178" spans="1:21" x14ac:dyDescent="0.25">
      <c r="A178" s="780">
        <v>91704</v>
      </c>
      <c r="B178" s="781" t="s">
        <v>1342</v>
      </c>
      <c r="C178" s="782">
        <v>1.66E-5</v>
      </c>
      <c r="D178" s="782">
        <v>1.47E-5</v>
      </c>
      <c r="E178" s="783">
        <v>7192</v>
      </c>
      <c r="F178" s="783">
        <v>-8113</v>
      </c>
      <c r="G178" s="783">
        <v>7450</v>
      </c>
      <c r="H178" s="783"/>
      <c r="I178" s="784">
        <v>0</v>
      </c>
      <c r="J178" s="784">
        <v>14972</v>
      </c>
      <c r="K178" s="784">
        <v>0</v>
      </c>
      <c r="L178" s="783">
        <v>2161</v>
      </c>
      <c r="M178" s="783"/>
      <c r="N178" s="784">
        <v>1751</v>
      </c>
      <c r="O178" s="784">
        <v>17093</v>
      </c>
      <c r="P178" s="784">
        <v>0</v>
      </c>
      <c r="Q178" s="783">
        <v>0</v>
      </c>
      <c r="R178" s="783"/>
      <c r="S178" s="784">
        <v>3401</v>
      </c>
      <c r="T178" s="785">
        <v>602</v>
      </c>
      <c r="U178" s="785">
        <v>4003</v>
      </c>
    </row>
    <row r="179" spans="1:21" x14ac:dyDescent="0.25">
      <c r="A179" s="780">
        <v>91706</v>
      </c>
      <c r="B179" s="781" t="s">
        <v>1343</v>
      </c>
      <c r="C179" s="782">
        <v>2.565E-4</v>
      </c>
      <c r="D179" s="782">
        <v>2.5910000000000001E-4</v>
      </c>
      <c r="E179" s="783">
        <v>108407</v>
      </c>
      <c r="F179" s="783">
        <v>-143002</v>
      </c>
      <c r="G179" s="783">
        <v>115116</v>
      </c>
      <c r="H179" s="783"/>
      <c r="I179" s="784">
        <v>0</v>
      </c>
      <c r="J179" s="784">
        <v>231341</v>
      </c>
      <c r="K179" s="784">
        <v>0</v>
      </c>
      <c r="L179" s="783">
        <v>1094</v>
      </c>
      <c r="M179" s="783"/>
      <c r="N179" s="784">
        <v>27059</v>
      </c>
      <c r="O179" s="784">
        <v>264115</v>
      </c>
      <c r="P179" s="784">
        <v>0</v>
      </c>
      <c r="Q179" s="783">
        <v>16735</v>
      </c>
      <c r="R179" s="783"/>
      <c r="S179" s="784">
        <v>52557</v>
      </c>
      <c r="T179" s="785">
        <v>-5311</v>
      </c>
      <c r="U179" s="785">
        <v>47247</v>
      </c>
    </row>
    <row r="180" spans="1:21" x14ac:dyDescent="0.25">
      <c r="A180" s="780">
        <v>91719</v>
      </c>
      <c r="B180" s="781" t="s">
        <v>1344</v>
      </c>
      <c r="C180" s="782">
        <v>4.4199999999999997E-5</v>
      </c>
      <c r="D180" s="782">
        <v>2.9200000000000002E-5</v>
      </c>
      <c r="E180" s="783">
        <v>16404</v>
      </c>
      <c r="F180" s="783">
        <v>-16116</v>
      </c>
      <c r="G180" s="783">
        <v>19837</v>
      </c>
      <c r="H180" s="783"/>
      <c r="I180" s="784">
        <v>0</v>
      </c>
      <c r="J180" s="784">
        <v>39865</v>
      </c>
      <c r="K180" s="784">
        <v>0</v>
      </c>
      <c r="L180" s="783">
        <v>9225</v>
      </c>
      <c r="M180" s="783"/>
      <c r="N180" s="784">
        <v>4663</v>
      </c>
      <c r="O180" s="784">
        <v>45512</v>
      </c>
      <c r="P180" s="784">
        <v>0</v>
      </c>
      <c r="Q180" s="783">
        <v>4838</v>
      </c>
      <c r="R180" s="783"/>
      <c r="S180" s="784">
        <v>9057</v>
      </c>
      <c r="T180" s="785">
        <v>797</v>
      </c>
      <c r="U180" s="785">
        <v>9854</v>
      </c>
    </row>
    <row r="181" spans="1:21" x14ac:dyDescent="0.25">
      <c r="A181" s="780">
        <v>91801</v>
      </c>
      <c r="B181" s="781" t="s">
        <v>1345</v>
      </c>
      <c r="C181" s="782">
        <v>8.1784000000000006E-3</v>
      </c>
      <c r="D181" s="782">
        <v>8.2375E-3</v>
      </c>
      <c r="E181" s="783">
        <v>3381632</v>
      </c>
      <c r="F181" s="783">
        <v>-4546425</v>
      </c>
      <c r="G181" s="783">
        <v>3670417</v>
      </c>
      <c r="H181" s="783"/>
      <c r="I181" s="784">
        <v>0</v>
      </c>
      <c r="J181" s="784">
        <v>7376230</v>
      </c>
      <c r="K181" s="784">
        <v>0</v>
      </c>
      <c r="L181" s="783">
        <v>0</v>
      </c>
      <c r="M181" s="783"/>
      <c r="N181" s="784">
        <v>862764</v>
      </c>
      <c r="O181" s="784">
        <v>8421192</v>
      </c>
      <c r="P181" s="784">
        <v>0</v>
      </c>
      <c r="Q181" s="783">
        <v>90343</v>
      </c>
      <c r="R181" s="783"/>
      <c r="S181" s="784">
        <v>1675771</v>
      </c>
      <c r="T181" s="785">
        <v>-29651</v>
      </c>
      <c r="U181" s="785">
        <v>1646119</v>
      </c>
    </row>
    <row r="182" spans="1:21" x14ac:dyDescent="0.25">
      <c r="A182" s="780">
        <v>91804</v>
      </c>
      <c r="B182" s="781" t="s">
        <v>1346</v>
      </c>
      <c r="C182" s="782">
        <v>1.4349999999999999E-4</v>
      </c>
      <c r="D182" s="782">
        <v>1.5310000000000001E-4</v>
      </c>
      <c r="E182" s="783">
        <v>97995</v>
      </c>
      <c r="F182" s="783">
        <v>-84499</v>
      </c>
      <c r="G182" s="783">
        <v>64402</v>
      </c>
      <c r="H182" s="783"/>
      <c r="I182" s="784">
        <v>0</v>
      </c>
      <c r="J182" s="784">
        <v>129425</v>
      </c>
      <c r="K182" s="784">
        <v>0</v>
      </c>
      <c r="L182" s="783">
        <v>41648</v>
      </c>
      <c r="M182" s="783"/>
      <c r="N182" s="784">
        <v>15138</v>
      </c>
      <c r="O182" s="784">
        <v>147760</v>
      </c>
      <c r="P182" s="784">
        <v>0</v>
      </c>
      <c r="Q182" s="783">
        <v>0</v>
      </c>
      <c r="R182" s="783"/>
      <c r="S182" s="784">
        <v>29403</v>
      </c>
      <c r="T182" s="785">
        <v>12149</v>
      </c>
      <c r="U182" s="785">
        <v>41553</v>
      </c>
    </row>
    <row r="183" spans="1:21" x14ac:dyDescent="0.25">
      <c r="A183" s="780">
        <v>91811</v>
      </c>
      <c r="B183" s="781" t="s">
        <v>1347</v>
      </c>
      <c r="C183" s="782">
        <v>5.0266E-3</v>
      </c>
      <c r="D183" s="782">
        <v>5.0892999999999997E-3</v>
      </c>
      <c r="E183" s="783">
        <v>1845414</v>
      </c>
      <c r="F183" s="783">
        <v>-2808876</v>
      </c>
      <c r="G183" s="783">
        <v>2255908</v>
      </c>
      <c r="H183" s="783"/>
      <c r="I183" s="784">
        <v>0</v>
      </c>
      <c r="J183" s="784">
        <v>4533571</v>
      </c>
      <c r="K183" s="784">
        <v>0</v>
      </c>
      <c r="L183" s="783">
        <v>0</v>
      </c>
      <c r="M183" s="783"/>
      <c r="N183" s="784">
        <v>530271</v>
      </c>
      <c r="O183" s="784">
        <v>5175825</v>
      </c>
      <c r="P183" s="784">
        <v>0</v>
      </c>
      <c r="Q183" s="783">
        <v>264294</v>
      </c>
      <c r="R183" s="783"/>
      <c r="S183" s="784">
        <v>1029960</v>
      </c>
      <c r="T183" s="785">
        <v>-73282</v>
      </c>
      <c r="U183" s="785">
        <v>956678</v>
      </c>
    </row>
    <row r="184" spans="1:21" x14ac:dyDescent="0.25">
      <c r="A184" s="780">
        <v>91812</v>
      </c>
      <c r="B184" s="781" t="s">
        <v>1348</v>
      </c>
      <c r="C184" s="782">
        <v>4.1499999999999999E-5</v>
      </c>
      <c r="D184" s="782">
        <v>3.96E-5</v>
      </c>
      <c r="E184" s="783">
        <v>23608</v>
      </c>
      <c r="F184" s="783">
        <v>-21856</v>
      </c>
      <c r="G184" s="783">
        <v>18625</v>
      </c>
      <c r="H184" s="783"/>
      <c r="I184" s="784">
        <v>0</v>
      </c>
      <c r="J184" s="784">
        <v>37430</v>
      </c>
      <c r="K184" s="784">
        <v>0</v>
      </c>
      <c r="L184" s="783">
        <v>9686</v>
      </c>
      <c r="M184" s="783"/>
      <c r="N184" s="784">
        <v>4378</v>
      </c>
      <c r="O184" s="784">
        <v>42732</v>
      </c>
      <c r="P184" s="784">
        <v>0</v>
      </c>
      <c r="Q184" s="783">
        <v>0</v>
      </c>
      <c r="R184" s="783"/>
      <c r="S184" s="784">
        <v>8503</v>
      </c>
      <c r="T184" s="785">
        <v>2759</v>
      </c>
      <c r="U184" s="785">
        <v>11262</v>
      </c>
    </row>
    <row r="185" spans="1:21" x14ac:dyDescent="0.25">
      <c r="A185" s="780">
        <v>91813</v>
      </c>
      <c r="B185" s="781" t="s">
        <v>1349</v>
      </c>
      <c r="C185" s="782">
        <v>9.6100000000000005E-5</v>
      </c>
      <c r="D185" s="782">
        <v>7.6799999999999997E-5</v>
      </c>
      <c r="E185" s="783">
        <v>40531</v>
      </c>
      <c r="F185" s="783">
        <v>-42387</v>
      </c>
      <c r="G185" s="783">
        <v>43129</v>
      </c>
      <c r="H185" s="783"/>
      <c r="I185" s="784">
        <v>0</v>
      </c>
      <c r="J185" s="784">
        <v>86674</v>
      </c>
      <c r="K185" s="784">
        <v>0</v>
      </c>
      <c r="L185" s="783">
        <v>14570</v>
      </c>
      <c r="M185" s="783"/>
      <c r="N185" s="784">
        <v>10138</v>
      </c>
      <c r="O185" s="784">
        <v>98953</v>
      </c>
      <c r="P185" s="784">
        <v>0</v>
      </c>
      <c r="Q185" s="783">
        <v>7915</v>
      </c>
      <c r="R185" s="783"/>
      <c r="S185" s="784">
        <v>19691</v>
      </c>
      <c r="T185" s="785">
        <v>1167</v>
      </c>
      <c r="U185" s="785">
        <v>20858</v>
      </c>
    </row>
    <row r="186" spans="1:21" x14ac:dyDescent="0.25">
      <c r="A186" s="780">
        <v>91818</v>
      </c>
      <c r="B186" s="781" t="s">
        <v>1350</v>
      </c>
      <c r="C186" s="782">
        <v>3.8890000000000002E-4</v>
      </c>
      <c r="D186" s="782">
        <v>3.9540000000000002E-4</v>
      </c>
      <c r="E186" s="783">
        <v>411173</v>
      </c>
      <c r="F186" s="783">
        <v>-218228</v>
      </c>
      <c r="G186" s="783">
        <v>174536</v>
      </c>
      <c r="H186" s="783"/>
      <c r="I186" s="784">
        <v>0</v>
      </c>
      <c r="J186" s="784">
        <v>350755</v>
      </c>
      <c r="K186" s="784">
        <v>0</v>
      </c>
      <c r="L186" s="783">
        <v>195467</v>
      </c>
      <c r="M186" s="783"/>
      <c r="N186" s="784">
        <v>41026</v>
      </c>
      <c r="O186" s="784">
        <v>400445</v>
      </c>
      <c r="P186" s="784">
        <v>0</v>
      </c>
      <c r="Q186" s="783">
        <v>15174</v>
      </c>
      <c r="R186" s="783"/>
      <c r="S186" s="784">
        <v>79686</v>
      </c>
      <c r="T186" s="785">
        <v>46094</v>
      </c>
      <c r="U186" s="785">
        <v>125781</v>
      </c>
    </row>
    <row r="187" spans="1:21" x14ac:dyDescent="0.25">
      <c r="A187" s="780">
        <v>91819</v>
      </c>
      <c r="B187" s="781" t="s">
        <v>1351</v>
      </c>
      <c r="C187" s="782">
        <v>2.9609999999999999E-4</v>
      </c>
      <c r="D187" s="782">
        <v>3.054E-4</v>
      </c>
      <c r="E187" s="783">
        <v>118618</v>
      </c>
      <c r="F187" s="783">
        <v>-168556</v>
      </c>
      <c r="G187" s="783">
        <v>132888</v>
      </c>
      <c r="H187" s="783"/>
      <c r="I187" s="784">
        <v>0</v>
      </c>
      <c r="J187" s="784">
        <v>267057</v>
      </c>
      <c r="K187" s="784">
        <v>0</v>
      </c>
      <c r="L187" s="783">
        <v>20649</v>
      </c>
      <c r="M187" s="783"/>
      <c r="N187" s="784">
        <v>31236</v>
      </c>
      <c r="O187" s="784">
        <v>304890</v>
      </c>
      <c r="P187" s="784">
        <v>0</v>
      </c>
      <c r="Q187" s="783">
        <v>8329</v>
      </c>
      <c r="R187" s="783"/>
      <c r="S187" s="784">
        <v>60671</v>
      </c>
      <c r="T187" s="785">
        <v>4726</v>
      </c>
      <c r="U187" s="785">
        <v>65397</v>
      </c>
    </row>
    <row r="188" spans="1:21" x14ac:dyDescent="0.25">
      <c r="A188" s="780">
        <v>91821</v>
      </c>
      <c r="B188" s="781" t="s">
        <v>1352</v>
      </c>
      <c r="C188" s="782">
        <v>1.5799999999999999E-4</v>
      </c>
      <c r="D188" s="782">
        <v>1.4359999999999999E-4</v>
      </c>
      <c r="E188" s="783">
        <v>53923</v>
      </c>
      <c r="F188" s="783">
        <v>-79255</v>
      </c>
      <c r="G188" s="783">
        <v>70909</v>
      </c>
      <c r="H188" s="783"/>
      <c r="I188" s="784">
        <v>0</v>
      </c>
      <c r="J188" s="784">
        <v>142503</v>
      </c>
      <c r="K188" s="784">
        <v>0</v>
      </c>
      <c r="L188" s="783">
        <v>6117</v>
      </c>
      <c r="M188" s="783"/>
      <c r="N188" s="784">
        <v>16668</v>
      </c>
      <c r="O188" s="784">
        <v>162691</v>
      </c>
      <c r="P188" s="784">
        <v>0</v>
      </c>
      <c r="Q188" s="783">
        <v>0</v>
      </c>
      <c r="R188" s="783"/>
      <c r="S188" s="784">
        <v>32375</v>
      </c>
      <c r="T188" s="785">
        <v>1921</v>
      </c>
      <c r="U188" s="785">
        <v>34296</v>
      </c>
    </row>
    <row r="189" spans="1:21" x14ac:dyDescent="0.25">
      <c r="A189" s="780">
        <v>91831</v>
      </c>
      <c r="B189" s="781" t="s">
        <v>1353</v>
      </c>
      <c r="C189" s="782">
        <v>3.344E-4</v>
      </c>
      <c r="D189" s="782">
        <v>3.0269999999999999E-4</v>
      </c>
      <c r="E189" s="783">
        <v>127792</v>
      </c>
      <c r="F189" s="783">
        <v>-167066</v>
      </c>
      <c r="G189" s="783">
        <v>150077</v>
      </c>
      <c r="H189" s="783"/>
      <c r="I189" s="784">
        <v>0</v>
      </c>
      <c r="J189" s="784">
        <v>301601</v>
      </c>
      <c r="K189" s="784">
        <v>0</v>
      </c>
      <c r="L189" s="783">
        <v>16974</v>
      </c>
      <c r="M189" s="783"/>
      <c r="N189" s="784">
        <v>35277</v>
      </c>
      <c r="O189" s="784">
        <v>344327</v>
      </c>
      <c r="P189" s="784">
        <v>0</v>
      </c>
      <c r="Q189" s="783">
        <v>0</v>
      </c>
      <c r="R189" s="783"/>
      <c r="S189" s="784">
        <v>68519</v>
      </c>
      <c r="T189" s="785">
        <v>4564</v>
      </c>
      <c r="U189" s="785">
        <v>73083</v>
      </c>
    </row>
    <row r="190" spans="1:21" x14ac:dyDescent="0.25">
      <c r="A190" s="780">
        <v>91841</v>
      </c>
      <c r="B190" s="781" t="s">
        <v>1354</v>
      </c>
      <c r="C190" s="782">
        <v>2.7290000000000002E-4</v>
      </c>
      <c r="D190" s="782">
        <v>2.9730000000000002E-4</v>
      </c>
      <c r="E190" s="783">
        <v>112016</v>
      </c>
      <c r="F190" s="783">
        <v>-164085</v>
      </c>
      <c r="G190" s="783">
        <v>122476</v>
      </c>
      <c r="H190" s="783"/>
      <c r="I190" s="784">
        <v>0</v>
      </c>
      <c r="J190" s="784">
        <v>246133</v>
      </c>
      <c r="K190" s="784">
        <v>0</v>
      </c>
      <c r="L190" s="783">
        <v>0</v>
      </c>
      <c r="M190" s="783"/>
      <c r="N190" s="784">
        <v>28789</v>
      </c>
      <c r="O190" s="784">
        <v>281002</v>
      </c>
      <c r="P190" s="784">
        <v>0</v>
      </c>
      <c r="Q190" s="783">
        <v>32285</v>
      </c>
      <c r="R190" s="783"/>
      <c r="S190" s="784">
        <v>55918</v>
      </c>
      <c r="T190" s="785">
        <v>-9588</v>
      </c>
      <c r="U190" s="785">
        <v>46330</v>
      </c>
    </row>
    <row r="191" spans="1:21" x14ac:dyDescent="0.25">
      <c r="A191" s="780">
        <v>91851</v>
      </c>
      <c r="B191" s="781" t="s">
        <v>1355</v>
      </c>
      <c r="C191" s="782">
        <v>7.8410000000000003E-4</v>
      </c>
      <c r="D191" s="782">
        <v>7.9770000000000004E-4</v>
      </c>
      <c r="E191" s="783">
        <v>293570</v>
      </c>
      <c r="F191" s="783">
        <v>-440265</v>
      </c>
      <c r="G191" s="783">
        <v>351899</v>
      </c>
      <c r="H191" s="783"/>
      <c r="I191" s="784">
        <v>0</v>
      </c>
      <c r="J191" s="784">
        <v>707192</v>
      </c>
      <c r="K191" s="784">
        <v>0</v>
      </c>
      <c r="L191" s="783">
        <v>10791</v>
      </c>
      <c r="M191" s="783"/>
      <c r="N191" s="784">
        <v>82717</v>
      </c>
      <c r="O191" s="784">
        <v>807378</v>
      </c>
      <c r="P191" s="784">
        <v>0</v>
      </c>
      <c r="Q191" s="783">
        <v>30596</v>
      </c>
      <c r="R191" s="783"/>
      <c r="S191" s="784">
        <v>160664</v>
      </c>
      <c r="T191" s="785">
        <v>-4400</v>
      </c>
      <c r="U191" s="785">
        <v>156263</v>
      </c>
    </row>
    <row r="192" spans="1:21" x14ac:dyDescent="0.25">
      <c r="A192" s="780">
        <v>91861</v>
      </c>
      <c r="B192" s="781" t="s">
        <v>1356</v>
      </c>
      <c r="C192" s="782">
        <v>1.8499999999999999E-5</v>
      </c>
      <c r="D192" s="782">
        <v>1.43E-5</v>
      </c>
      <c r="E192" s="783">
        <v>8129</v>
      </c>
      <c r="F192" s="783">
        <v>-7892</v>
      </c>
      <c r="G192" s="783">
        <v>8303</v>
      </c>
      <c r="H192" s="783"/>
      <c r="I192" s="784">
        <v>0</v>
      </c>
      <c r="J192" s="784">
        <v>16685</v>
      </c>
      <c r="K192" s="784">
        <v>0</v>
      </c>
      <c r="L192" s="783">
        <v>3403</v>
      </c>
      <c r="M192" s="783"/>
      <c r="N192" s="784">
        <v>1952</v>
      </c>
      <c r="O192" s="784">
        <v>19049</v>
      </c>
      <c r="P192" s="784">
        <v>0</v>
      </c>
      <c r="Q192" s="783">
        <v>332</v>
      </c>
      <c r="R192" s="783"/>
      <c r="S192" s="784">
        <v>3791</v>
      </c>
      <c r="T192" s="785">
        <v>780</v>
      </c>
      <c r="U192" s="785">
        <v>4571</v>
      </c>
    </row>
    <row r="193" spans="1:21" x14ac:dyDescent="0.25">
      <c r="A193" s="780">
        <v>91871</v>
      </c>
      <c r="B193" s="781" t="s">
        <v>1357</v>
      </c>
      <c r="C193" s="782">
        <v>1.3523000000000001E-3</v>
      </c>
      <c r="D193" s="782">
        <v>1.3913E-3</v>
      </c>
      <c r="E193" s="783">
        <v>511008</v>
      </c>
      <c r="F193" s="783">
        <v>-767884</v>
      </c>
      <c r="G193" s="783">
        <v>606904</v>
      </c>
      <c r="H193" s="783"/>
      <c r="I193" s="784">
        <v>0</v>
      </c>
      <c r="J193" s="784">
        <v>1219661</v>
      </c>
      <c r="K193" s="784">
        <v>0</v>
      </c>
      <c r="L193" s="783">
        <v>0</v>
      </c>
      <c r="M193" s="783"/>
      <c r="N193" s="784">
        <v>142658</v>
      </c>
      <c r="O193" s="784">
        <v>1392446</v>
      </c>
      <c r="P193" s="784">
        <v>0</v>
      </c>
      <c r="Q193" s="783">
        <v>73333</v>
      </c>
      <c r="R193" s="783"/>
      <c r="S193" s="784">
        <v>277089</v>
      </c>
      <c r="T193" s="785">
        <v>-20170</v>
      </c>
      <c r="U193" s="785">
        <v>256919</v>
      </c>
    </row>
    <row r="194" spans="1:21" x14ac:dyDescent="0.25">
      <c r="A194" s="780">
        <v>91881</v>
      </c>
      <c r="B194" s="781" t="s">
        <v>1358</v>
      </c>
      <c r="C194" s="782">
        <v>2.1399999999999998E-5</v>
      </c>
      <c r="D194" s="782">
        <v>2.5400000000000001E-5</v>
      </c>
      <c r="E194" s="783">
        <v>8428</v>
      </c>
      <c r="F194" s="783">
        <v>-14019</v>
      </c>
      <c r="G194" s="783">
        <v>9604</v>
      </c>
      <c r="H194" s="783"/>
      <c r="I194" s="784">
        <v>0</v>
      </c>
      <c r="J194" s="784">
        <v>19301</v>
      </c>
      <c r="K194" s="784">
        <v>0</v>
      </c>
      <c r="L194" s="783">
        <v>0</v>
      </c>
      <c r="M194" s="783"/>
      <c r="N194" s="784">
        <v>2258</v>
      </c>
      <c r="O194" s="784">
        <v>22035</v>
      </c>
      <c r="P194" s="784">
        <v>0</v>
      </c>
      <c r="Q194" s="783">
        <v>14638</v>
      </c>
      <c r="R194" s="783"/>
      <c r="S194" s="784">
        <v>4385</v>
      </c>
      <c r="T194" s="785">
        <v>-4674</v>
      </c>
      <c r="U194" s="785">
        <v>-289</v>
      </c>
    </row>
    <row r="195" spans="1:21" x14ac:dyDescent="0.25">
      <c r="A195" s="780">
        <v>91901</v>
      </c>
      <c r="B195" s="781" t="s">
        <v>1359</v>
      </c>
      <c r="C195" s="782">
        <v>3.4198000000000002E-3</v>
      </c>
      <c r="D195" s="782">
        <v>3.3241E-3</v>
      </c>
      <c r="E195" s="783">
        <v>1396950</v>
      </c>
      <c r="F195" s="783">
        <v>-1834631</v>
      </c>
      <c r="G195" s="783">
        <v>1534786</v>
      </c>
      <c r="H195" s="783"/>
      <c r="I195" s="784">
        <v>0</v>
      </c>
      <c r="J195" s="784">
        <v>3084372</v>
      </c>
      <c r="K195" s="784">
        <v>0</v>
      </c>
      <c r="L195" s="783">
        <v>159330</v>
      </c>
      <c r="M195" s="783"/>
      <c r="N195" s="784">
        <v>360765</v>
      </c>
      <c r="O195" s="784">
        <v>3521324</v>
      </c>
      <c r="P195" s="784">
        <v>0</v>
      </c>
      <c r="Q195" s="783">
        <v>0</v>
      </c>
      <c r="R195" s="783"/>
      <c r="S195" s="784">
        <v>700724</v>
      </c>
      <c r="T195" s="785">
        <v>48367</v>
      </c>
      <c r="U195" s="785">
        <v>749091</v>
      </c>
    </row>
    <row r="196" spans="1:21" x14ac:dyDescent="0.25">
      <c r="A196" s="780">
        <v>91903</v>
      </c>
      <c r="B196" s="781" t="s">
        <v>1360</v>
      </c>
      <c r="C196" s="782">
        <v>9.5000000000000005E-6</v>
      </c>
      <c r="D196" s="782">
        <v>9.5000000000000005E-6</v>
      </c>
      <c r="E196" s="783">
        <v>4704</v>
      </c>
      <c r="F196" s="783">
        <v>-5243</v>
      </c>
      <c r="G196" s="783">
        <v>4264</v>
      </c>
      <c r="H196" s="783"/>
      <c r="I196" s="784">
        <v>0</v>
      </c>
      <c r="J196" s="784">
        <v>8568</v>
      </c>
      <c r="K196" s="784">
        <v>0</v>
      </c>
      <c r="L196" s="783">
        <v>654</v>
      </c>
      <c r="M196" s="783"/>
      <c r="N196" s="784">
        <v>1002</v>
      </c>
      <c r="O196" s="784">
        <v>9782</v>
      </c>
      <c r="P196" s="784">
        <v>0</v>
      </c>
      <c r="Q196" s="783">
        <v>9092.59</v>
      </c>
      <c r="R196" s="783"/>
      <c r="S196" s="784">
        <v>1947</v>
      </c>
      <c r="T196" s="785">
        <v>-2870</v>
      </c>
      <c r="U196" s="785">
        <v>-923</v>
      </c>
    </row>
    <row r="197" spans="1:21" x14ac:dyDescent="0.25">
      <c r="A197" s="780">
        <v>91904</v>
      </c>
      <c r="B197" s="781" t="s">
        <v>1361</v>
      </c>
      <c r="C197" s="782">
        <v>1.1600000000000001E-5</v>
      </c>
      <c r="D197" s="782">
        <v>1.59E-5</v>
      </c>
      <c r="E197" s="783">
        <v>9397</v>
      </c>
      <c r="F197" s="783">
        <v>-8775</v>
      </c>
      <c r="G197" s="783">
        <v>5206</v>
      </c>
      <c r="H197" s="783"/>
      <c r="I197" s="784">
        <v>0</v>
      </c>
      <c r="J197" s="784">
        <v>10462</v>
      </c>
      <c r="K197" s="784">
        <v>0</v>
      </c>
      <c r="L197" s="783">
        <v>4629</v>
      </c>
      <c r="M197" s="783"/>
      <c r="N197" s="784">
        <v>1224</v>
      </c>
      <c r="O197" s="784">
        <v>11944</v>
      </c>
      <c r="P197" s="784">
        <v>0</v>
      </c>
      <c r="Q197" s="783">
        <v>0</v>
      </c>
      <c r="R197" s="783"/>
      <c r="S197" s="784">
        <v>2377</v>
      </c>
      <c r="T197" s="785">
        <v>1499</v>
      </c>
      <c r="U197" s="785">
        <v>3876</v>
      </c>
    </row>
    <row r="198" spans="1:21" x14ac:dyDescent="0.25">
      <c r="A198" s="780">
        <v>91908</v>
      </c>
      <c r="B198" s="781" t="s">
        <v>1362</v>
      </c>
      <c r="C198" s="782">
        <v>1.73E-5</v>
      </c>
      <c r="D198" s="782">
        <v>1.4800000000000001E-5</v>
      </c>
      <c r="E198" s="783">
        <v>5003</v>
      </c>
      <c r="F198" s="783">
        <v>-8168</v>
      </c>
      <c r="G198" s="783">
        <v>7764</v>
      </c>
      <c r="H198" s="783"/>
      <c r="I198" s="784">
        <v>0</v>
      </c>
      <c r="J198" s="784">
        <v>15603</v>
      </c>
      <c r="K198" s="784">
        <v>0</v>
      </c>
      <c r="L198" s="783">
        <v>2447</v>
      </c>
      <c r="M198" s="783"/>
      <c r="N198" s="784">
        <v>1825</v>
      </c>
      <c r="O198" s="784">
        <v>17814</v>
      </c>
      <c r="P198" s="784">
        <v>0</v>
      </c>
      <c r="Q198" s="783">
        <v>0</v>
      </c>
      <c r="R198" s="783"/>
      <c r="S198" s="784">
        <v>3545</v>
      </c>
      <c r="T198" s="785">
        <v>810</v>
      </c>
      <c r="U198" s="785">
        <v>4355</v>
      </c>
    </row>
    <row r="199" spans="1:21" x14ac:dyDescent="0.25">
      <c r="A199" s="780">
        <v>91911</v>
      </c>
      <c r="B199" s="781" t="s">
        <v>1363</v>
      </c>
      <c r="C199" s="782">
        <v>4.4079999999999998E-4</v>
      </c>
      <c r="D199" s="782">
        <v>4.6470000000000002E-4</v>
      </c>
      <c r="E199" s="783">
        <v>191989</v>
      </c>
      <c r="F199" s="783">
        <v>-256476</v>
      </c>
      <c r="G199" s="783">
        <v>197828</v>
      </c>
      <c r="H199" s="783"/>
      <c r="I199" s="784">
        <v>0</v>
      </c>
      <c r="J199" s="784">
        <v>397565</v>
      </c>
      <c r="K199" s="784">
        <v>0</v>
      </c>
      <c r="L199" s="783">
        <v>0</v>
      </c>
      <c r="M199" s="783"/>
      <c r="N199" s="784">
        <v>46501</v>
      </c>
      <c r="O199" s="784">
        <v>453886</v>
      </c>
      <c r="P199" s="784">
        <v>0</v>
      </c>
      <c r="Q199" s="783">
        <v>11953</v>
      </c>
      <c r="R199" s="783"/>
      <c r="S199" s="784">
        <v>90321</v>
      </c>
      <c r="T199" s="785">
        <v>-3471</v>
      </c>
      <c r="U199" s="785">
        <v>86850</v>
      </c>
    </row>
    <row r="200" spans="1:21" x14ac:dyDescent="0.25">
      <c r="A200" s="780">
        <v>91917</v>
      </c>
      <c r="B200" s="781" t="s">
        <v>1364</v>
      </c>
      <c r="C200" s="782">
        <v>1.42E-5</v>
      </c>
      <c r="D200" s="782">
        <v>1.47E-5</v>
      </c>
      <c r="E200" s="783">
        <v>6476</v>
      </c>
      <c r="F200" s="783">
        <v>-8113</v>
      </c>
      <c r="G200" s="783">
        <v>6373</v>
      </c>
      <c r="H200" s="783"/>
      <c r="I200" s="784">
        <v>0</v>
      </c>
      <c r="J200" s="784">
        <v>12807</v>
      </c>
      <c r="K200" s="784">
        <v>0</v>
      </c>
      <c r="L200" s="783">
        <v>193</v>
      </c>
      <c r="M200" s="783"/>
      <c r="N200" s="784">
        <v>1498</v>
      </c>
      <c r="O200" s="784">
        <v>14622</v>
      </c>
      <c r="P200" s="784">
        <v>0</v>
      </c>
      <c r="Q200" s="783">
        <v>0</v>
      </c>
      <c r="R200" s="783"/>
      <c r="S200" s="784">
        <v>2910</v>
      </c>
      <c r="T200" s="785">
        <v>51</v>
      </c>
      <c r="U200" s="785">
        <v>2961</v>
      </c>
    </row>
    <row r="201" spans="1:21" x14ac:dyDescent="0.25">
      <c r="A201" s="780">
        <v>91921</v>
      </c>
      <c r="B201" s="781" t="s">
        <v>1365</v>
      </c>
      <c r="C201" s="782">
        <v>3.4840000000000001E-4</v>
      </c>
      <c r="D201" s="782">
        <v>3.5879999999999999E-4</v>
      </c>
      <c r="E201" s="783">
        <v>135398</v>
      </c>
      <c r="F201" s="783">
        <v>-198028</v>
      </c>
      <c r="G201" s="783">
        <v>156360</v>
      </c>
      <c r="H201" s="783"/>
      <c r="I201" s="784">
        <v>0</v>
      </c>
      <c r="J201" s="784">
        <v>314228</v>
      </c>
      <c r="K201" s="784">
        <v>0</v>
      </c>
      <c r="L201" s="783">
        <v>0</v>
      </c>
      <c r="M201" s="783"/>
      <c r="N201" s="784">
        <v>36754</v>
      </c>
      <c r="O201" s="784">
        <v>358743</v>
      </c>
      <c r="P201" s="784">
        <v>0</v>
      </c>
      <c r="Q201" s="783">
        <v>15700</v>
      </c>
      <c r="R201" s="783"/>
      <c r="S201" s="784">
        <v>71388</v>
      </c>
      <c r="T201" s="785">
        <v>-4326</v>
      </c>
      <c r="U201" s="785">
        <v>67062</v>
      </c>
    </row>
    <row r="202" spans="1:21" x14ac:dyDescent="0.25">
      <c r="A202" s="780">
        <v>92001</v>
      </c>
      <c r="B202" s="781" t="s">
        <v>1366</v>
      </c>
      <c r="C202" s="782">
        <v>1.7531000000000001E-3</v>
      </c>
      <c r="D202" s="782">
        <v>1.7499E-3</v>
      </c>
      <c r="E202" s="783">
        <v>718692</v>
      </c>
      <c r="F202" s="783">
        <v>-965801</v>
      </c>
      <c r="G202" s="783">
        <v>786781</v>
      </c>
      <c r="H202" s="783"/>
      <c r="I202" s="784">
        <v>0</v>
      </c>
      <c r="J202" s="784">
        <v>1581149</v>
      </c>
      <c r="K202" s="784">
        <v>0</v>
      </c>
      <c r="L202" s="783">
        <v>4570</v>
      </c>
      <c r="M202" s="783"/>
      <c r="N202" s="784">
        <v>184940</v>
      </c>
      <c r="O202" s="784">
        <v>1805144</v>
      </c>
      <c r="P202" s="784">
        <v>0</v>
      </c>
      <c r="Q202" s="783">
        <v>78792</v>
      </c>
      <c r="R202" s="783"/>
      <c r="S202" s="784">
        <v>359214</v>
      </c>
      <c r="T202" s="785">
        <v>-25156</v>
      </c>
      <c r="U202" s="785">
        <v>334058</v>
      </c>
    </row>
    <row r="203" spans="1:21" x14ac:dyDescent="0.25">
      <c r="A203" s="780">
        <v>92005</v>
      </c>
      <c r="B203" s="781" t="s">
        <v>1367</v>
      </c>
      <c r="C203" s="782">
        <v>4.5800000000000002E-5</v>
      </c>
      <c r="D203" s="782">
        <v>5.1999999999999997E-5</v>
      </c>
      <c r="E203" s="783">
        <v>23169</v>
      </c>
      <c r="F203" s="783">
        <v>-28700</v>
      </c>
      <c r="G203" s="783">
        <v>20555</v>
      </c>
      <c r="H203" s="783"/>
      <c r="I203" s="784">
        <v>0</v>
      </c>
      <c r="J203" s="784">
        <v>41308</v>
      </c>
      <c r="K203" s="784">
        <v>0</v>
      </c>
      <c r="L203" s="783">
        <v>1267.76</v>
      </c>
      <c r="M203" s="783"/>
      <c r="N203" s="784">
        <v>4832</v>
      </c>
      <c r="O203" s="784">
        <v>47160</v>
      </c>
      <c r="P203" s="784">
        <v>0</v>
      </c>
      <c r="Q203" s="783">
        <v>808</v>
      </c>
      <c r="R203" s="783"/>
      <c r="S203" s="784">
        <v>9385</v>
      </c>
      <c r="T203" s="785">
        <v>212</v>
      </c>
      <c r="U203" s="785">
        <v>9597</v>
      </c>
    </row>
    <row r="204" spans="1:21" x14ac:dyDescent="0.25">
      <c r="A204" s="780">
        <v>92011</v>
      </c>
      <c r="B204" s="781" t="s">
        <v>1368</v>
      </c>
      <c r="C204" s="782">
        <v>1.8230000000000001E-4</v>
      </c>
      <c r="D204" s="782">
        <v>1.795E-4</v>
      </c>
      <c r="E204" s="783">
        <v>74366</v>
      </c>
      <c r="F204" s="783">
        <v>-99069</v>
      </c>
      <c r="G204" s="783">
        <v>81815</v>
      </c>
      <c r="H204" s="783"/>
      <c r="I204" s="784">
        <v>0</v>
      </c>
      <c r="J204" s="784">
        <v>164419</v>
      </c>
      <c r="K204" s="784">
        <v>0</v>
      </c>
      <c r="L204" s="783">
        <v>21281</v>
      </c>
      <c r="M204" s="783"/>
      <c r="N204" s="784">
        <v>19231</v>
      </c>
      <c r="O204" s="784">
        <v>187712</v>
      </c>
      <c r="P204" s="784">
        <v>0</v>
      </c>
      <c r="Q204" s="783">
        <v>0</v>
      </c>
      <c r="R204" s="783"/>
      <c r="S204" s="784">
        <v>37354</v>
      </c>
      <c r="T204" s="785">
        <v>6978</v>
      </c>
      <c r="U204" s="785">
        <v>44332</v>
      </c>
    </row>
    <row r="205" spans="1:21" x14ac:dyDescent="0.25">
      <c r="A205" s="780">
        <v>92017</v>
      </c>
      <c r="B205" s="781" t="s">
        <v>1369</v>
      </c>
      <c r="C205" s="782">
        <v>3.7100000000000001E-5</v>
      </c>
      <c r="D205" s="782">
        <v>3.8500000000000001E-5</v>
      </c>
      <c r="E205" s="783">
        <v>17050</v>
      </c>
      <c r="F205" s="783">
        <v>-21249</v>
      </c>
      <c r="G205" s="783">
        <v>16650</v>
      </c>
      <c r="H205" s="783"/>
      <c r="I205" s="784">
        <v>0</v>
      </c>
      <c r="J205" s="784">
        <v>33461</v>
      </c>
      <c r="K205" s="784">
        <v>0</v>
      </c>
      <c r="L205" s="783">
        <v>525</v>
      </c>
      <c r="M205" s="783"/>
      <c r="N205" s="784">
        <v>3914</v>
      </c>
      <c r="O205" s="784">
        <v>38201</v>
      </c>
      <c r="P205" s="784">
        <v>0</v>
      </c>
      <c r="Q205" s="783">
        <v>2120</v>
      </c>
      <c r="R205" s="783"/>
      <c r="S205" s="784">
        <v>7602</v>
      </c>
      <c r="T205" s="785">
        <v>-571</v>
      </c>
      <c r="U205" s="785">
        <v>7030</v>
      </c>
    </row>
    <row r="206" spans="1:21" x14ac:dyDescent="0.25">
      <c r="A206" s="780">
        <v>92021</v>
      </c>
      <c r="B206" s="781" t="s">
        <v>1370</v>
      </c>
      <c r="C206" s="782">
        <v>9.8999999999999994E-5</v>
      </c>
      <c r="D206" s="782">
        <v>1.3100000000000001E-4</v>
      </c>
      <c r="E206" s="783">
        <v>49219</v>
      </c>
      <c r="F206" s="783">
        <v>-72301</v>
      </c>
      <c r="G206" s="783">
        <v>44431</v>
      </c>
      <c r="H206" s="783"/>
      <c r="I206" s="784">
        <v>0</v>
      </c>
      <c r="J206" s="784">
        <v>89290</v>
      </c>
      <c r="K206" s="784">
        <v>0</v>
      </c>
      <c r="L206" s="783">
        <v>0</v>
      </c>
      <c r="M206" s="783"/>
      <c r="N206" s="784">
        <v>10444</v>
      </c>
      <c r="O206" s="784">
        <v>101939</v>
      </c>
      <c r="P206" s="784">
        <v>0</v>
      </c>
      <c r="Q206" s="783">
        <v>26856</v>
      </c>
      <c r="R206" s="783"/>
      <c r="S206" s="784">
        <v>20285</v>
      </c>
      <c r="T206" s="785">
        <v>-7857</v>
      </c>
      <c r="U206" s="785">
        <v>12428</v>
      </c>
    </row>
    <row r="207" spans="1:21" x14ac:dyDescent="0.25">
      <c r="A207" s="780">
        <v>92101</v>
      </c>
      <c r="B207" s="781" t="s">
        <v>1371</v>
      </c>
      <c r="C207" s="782">
        <v>9.1750000000000002E-4</v>
      </c>
      <c r="D207" s="782">
        <v>8.9179999999999999E-4</v>
      </c>
      <c r="E207" s="783">
        <v>355218</v>
      </c>
      <c r="F207" s="783">
        <v>-492200</v>
      </c>
      <c r="G207" s="783">
        <v>411768</v>
      </c>
      <c r="H207" s="783"/>
      <c r="I207" s="784">
        <v>0</v>
      </c>
      <c r="J207" s="784">
        <v>827507.93</v>
      </c>
      <c r="K207" s="784">
        <v>0</v>
      </c>
      <c r="L207" s="783">
        <v>27533</v>
      </c>
      <c r="M207" s="783"/>
      <c r="N207" s="784">
        <v>96790</v>
      </c>
      <c r="O207" s="784">
        <v>944738</v>
      </c>
      <c r="P207" s="784">
        <v>0</v>
      </c>
      <c r="Q207" s="783">
        <v>0</v>
      </c>
      <c r="R207" s="783"/>
      <c r="S207" s="784">
        <v>187998</v>
      </c>
      <c r="T207" s="785">
        <v>9014</v>
      </c>
      <c r="U207" s="785">
        <v>197012</v>
      </c>
    </row>
    <row r="208" spans="1:21" x14ac:dyDescent="0.25">
      <c r="A208" s="780">
        <v>92104</v>
      </c>
      <c r="B208" s="781" t="s">
        <v>1372</v>
      </c>
      <c r="C208" s="782">
        <v>8.1000000000000004E-6</v>
      </c>
      <c r="D208" s="782">
        <v>7.1999999999999997E-6</v>
      </c>
      <c r="E208" s="783">
        <v>4518</v>
      </c>
      <c r="F208" s="783">
        <v>-3974</v>
      </c>
      <c r="G208" s="783">
        <v>3635</v>
      </c>
      <c r="H208" s="783"/>
      <c r="I208" s="784">
        <v>0</v>
      </c>
      <c r="J208" s="784">
        <v>7306</v>
      </c>
      <c r="K208" s="784">
        <v>0</v>
      </c>
      <c r="L208" s="783">
        <v>4345</v>
      </c>
      <c r="M208" s="783"/>
      <c r="N208" s="784">
        <v>854</v>
      </c>
      <c r="O208" s="784">
        <v>8340</v>
      </c>
      <c r="P208" s="784">
        <v>0</v>
      </c>
      <c r="Q208" s="783">
        <v>0</v>
      </c>
      <c r="R208" s="783"/>
      <c r="S208" s="784">
        <v>1660</v>
      </c>
      <c r="T208" s="785">
        <v>1338</v>
      </c>
      <c r="U208" s="785">
        <v>2997</v>
      </c>
    </row>
    <row r="209" spans="1:21" x14ac:dyDescent="0.25">
      <c r="A209" s="780">
        <v>92109</v>
      </c>
      <c r="B209" s="781" t="s">
        <v>1373</v>
      </c>
      <c r="C209" s="782">
        <v>1.7310000000000001E-4</v>
      </c>
      <c r="D209" s="782">
        <v>2.12E-4</v>
      </c>
      <c r="E209" s="783">
        <v>71715</v>
      </c>
      <c r="F209" s="783">
        <v>-117007</v>
      </c>
      <c r="G209" s="783">
        <v>77686</v>
      </c>
      <c r="H209" s="783"/>
      <c r="I209" s="784">
        <v>0</v>
      </c>
      <c r="J209" s="784">
        <v>156122</v>
      </c>
      <c r="K209" s="784">
        <v>0</v>
      </c>
      <c r="L209" s="783">
        <v>3860.09</v>
      </c>
      <c r="M209" s="783"/>
      <c r="N209" s="784">
        <v>18261</v>
      </c>
      <c r="O209" s="784">
        <v>178239</v>
      </c>
      <c r="P209" s="784">
        <v>0</v>
      </c>
      <c r="Q209" s="783">
        <v>26472</v>
      </c>
      <c r="R209" s="783"/>
      <c r="S209" s="784">
        <v>35469</v>
      </c>
      <c r="T209" s="785">
        <v>-5639</v>
      </c>
      <c r="U209" s="785">
        <v>29830</v>
      </c>
    </row>
    <row r="210" spans="1:21" x14ac:dyDescent="0.25">
      <c r="A210" s="780">
        <v>92111</v>
      </c>
      <c r="B210" s="781" t="s">
        <v>1374</v>
      </c>
      <c r="C210" s="782">
        <v>5.3319999999999995E-4</v>
      </c>
      <c r="D210" s="782">
        <v>5.2130000000000004E-4</v>
      </c>
      <c r="E210" s="783">
        <v>216902</v>
      </c>
      <c r="F210" s="783">
        <v>-287715</v>
      </c>
      <c r="G210" s="783">
        <v>239297</v>
      </c>
      <c r="H210" s="783"/>
      <c r="I210" s="784">
        <v>0</v>
      </c>
      <c r="J210" s="784">
        <v>480902</v>
      </c>
      <c r="K210" s="784">
        <v>0</v>
      </c>
      <c r="L210" s="783">
        <v>20979</v>
      </c>
      <c r="M210" s="783"/>
      <c r="N210" s="784">
        <v>56249</v>
      </c>
      <c r="O210" s="784">
        <v>549029</v>
      </c>
      <c r="P210" s="784">
        <v>0</v>
      </c>
      <c r="Q210" s="783">
        <v>0</v>
      </c>
      <c r="R210" s="783"/>
      <c r="S210" s="784">
        <v>109254</v>
      </c>
      <c r="T210" s="785">
        <v>6455</v>
      </c>
      <c r="U210" s="785">
        <v>115709</v>
      </c>
    </row>
    <row r="211" spans="1:21" x14ac:dyDescent="0.25">
      <c r="A211" s="780">
        <v>92113</v>
      </c>
      <c r="B211" s="781" t="s">
        <v>1375</v>
      </c>
      <c r="C211" s="782">
        <v>2.2900000000000001E-5</v>
      </c>
      <c r="D211" s="782">
        <v>2.3600000000000001E-5</v>
      </c>
      <c r="E211" s="783">
        <v>27235</v>
      </c>
      <c r="F211" s="783">
        <v>-13025</v>
      </c>
      <c r="G211" s="783">
        <v>10277</v>
      </c>
      <c r="H211" s="783"/>
      <c r="I211" s="784">
        <v>0</v>
      </c>
      <c r="J211" s="784">
        <v>20654</v>
      </c>
      <c r="K211" s="784">
        <v>0</v>
      </c>
      <c r="L211" s="783">
        <v>14874</v>
      </c>
      <c r="M211" s="783"/>
      <c r="N211" s="784">
        <v>2416</v>
      </c>
      <c r="O211" s="784">
        <v>23580</v>
      </c>
      <c r="P211" s="784">
        <v>0</v>
      </c>
      <c r="Q211" s="783">
        <v>0</v>
      </c>
      <c r="R211" s="783"/>
      <c r="S211" s="784">
        <v>4692</v>
      </c>
      <c r="T211" s="785">
        <v>3980</v>
      </c>
      <c r="U211" s="785">
        <v>8672</v>
      </c>
    </row>
    <row r="212" spans="1:21" x14ac:dyDescent="0.25">
      <c r="A212" s="780">
        <v>92201</v>
      </c>
      <c r="B212" s="781" t="s">
        <v>1376</v>
      </c>
      <c r="C212" s="782">
        <v>9.8930000000000003E-4</v>
      </c>
      <c r="D212" s="782">
        <v>9.7980000000000007E-4</v>
      </c>
      <c r="E212" s="783">
        <v>438714</v>
      </c>
      <c r="F212" s="783">
        <v>-540769</v>
      </c>
      <c r="G212" s="783">
        <v>443992</v>
      </c>
      <c r="H212" s="783"/>
      <c r="I212" s="784">
        <v>0</v>
      </c>
      <c r="J212" s="784">
        <v>892265</v>
      </c>
      <c r="K212" s="784">
        <v>0</v>
      </c>
      <c r="L212" s="783">
        <v>69763</v>
      </c>
      <c r="M212" s="783"/>
      <c r="N212" s="784">
        <v>104364</v>
      </c>
      <c r="O212" s="784">
        <v>1018669</v>
      </c>
      <c r="P212" s="784">
        <v>0</v>
      </c>
      <c r="Q212" s="783">
        <v>0</v>
      </c>
      <c r="R212" s="783"/>
      <c r="S212" s="784">
        <v>202710</v>
      </c>
      <c r="T212" s="785">
        <v>20843</v>
      </c>
      <c r="U212" s="785">
        <v>223553</v>
      </c>
    </row>
    <row r="213" spans="1:21" x14ac:dyDescent="0.25">
      <c r="A213" s="780">
        <v>92301</v>
      </c>
      <c r="B213" s="781" t="s">
        <v>1377</v>
      </c>
      <c r="C213" s="782">
        <v>5.0804999999999999E-3</v>
      </c>
      <c r="D213" s="782">
        <v>5.0534000000000004E-3</v>
      </c>
      <c r="E213" s="783">
        <v>2116335</v>
      </c>
      <c r="F213" s="783">
        <v>-2789062</v>
      </c>
      <c r="G213" s="783">
        <v>2280098</v>
      </c>
      <c r="H213" s="783"/>
      <c r="I213" s="784">
        <v>0</v>
      </c>
      <c r="J213" s="784">
        <v>4582184</v>
      </c>
      <c r="K213" s="784">
        <v>0</v>
      </c>
      <c r="L213" s="783">
        <v>52350</v>
      </c>
      <c r="M213" s="783"/>
      <c r="N213" s="784">
        <v>535957</v>
      </c>
      <c r="O213" s="784">
        <v>5231325</v>
      </c>
      <c r="P213" s="784">
        <v>0</v>
      </c>
      <c r="Q213" s="783">
        <v>25029.29</v>
      </c>
      <c r="R213" s="783"/>
      <c r="S213" s="784">
        <v>1041005</v>
      </c>
      <c r="T213" s="785">
        <v>5333</v>
      </c>
      <c r="U213" s="785">
        <v>1046338</v>
      </c>
    </row>
    <row r="214" spans="1:21" x14ac:dyDescent="0.25">
      <c r="A214" s="780">
        <v>92302</v>
      </c>
      <c r="B214" s="781" t="s">
        <v>1378</v>
      </c>
      <c r="C214" s="782">
        <v>2.9910000000000001E-4</v>
      </c>
      <c r="D214" s="782">
        <v>2.9710000000000001E-4</v>
      </c>
      <c r="E214" s="783">
        <v>113938</v>
      </c>
      <c r="F214" s="783">
        <v>-163975</v>
      </c>
      <c r="G214" s="783">
        <v>134234</v>
      </c>
      <c r="H214" s="783"/>
      <c r="I214" s="784">
        <v>0</v>
      </c>
      <c r="J214" s="784">
        <v>269763</v>
      </c>
      <c r="K214" s="784">
        <v>0</v>
      </c>
      <c r="L214" s="783">
        <v>0</v>
      </c>
      <c r="M214" s="783"/>
      <c r="N214" s="784">
        <v>31553</v>
      </c>
      <c r="O214" s="784">
        <v>307979</v>
      </c>
      <c r="P214" s="784">
        <v>0</v>
      </c>
      <c r="Q214" s="783">
        <v>12081</v>
      </c>
      <c r="R214" s="783"/>
      <c r="S214" s="784">
        <v>61286</v>
      </c>
      <c r="T214" s="785">
        <v>-3671</v>
      </c>
      <c r="U214" s="785">
        <v>57615</v>
      </c>
    </row>
    <row r="215" spans="1:21" x14ac:dyDescent="0.25">
      <c r="A215" s="780">
        <v>92311</v>
      </c>
      <c r="B215" s="781" t="s">
        <v>1379</v>
      </c>
      <c r="C215" s="782">
        <v>2.1316E-3</v>
      </c>
      <c r="D215" s="782">
        <v>2.1614999999999998E-3</v>
      </c>
      <c r="E215" s="783">
        <v>850583</v>
      </c>
      <c r="F215" s="783">
        <v>-1192971</v>
      </c>
      <c r="G215" s="783">
        <v>956649</v>
      </c>
      <c r="H215" s="783"/>
      <c r="I215" s="784">
        <v>0</v>
      </c>
      <c r="J215" s="784">
        <v>1922524</v>
      </c>
      <c r="K215" s="784">
        <v>0</v>
      </c>
      <c r="L215" s="783">
        <v>0</v>
      </c>
      <c r="M215" s="783"/>
      <c r="N215" s="784">
        <v>224869</v>
      </c>
      <c r="O215" s="784">
        <v>2194881</v>
      </c>
      <c r="P215" s="784">
        <v>0</v>
      </c>
      <c r="Q215" s="783">
        <v>110534</v>
      </c>
      <c r="R215" s="783"/>
      <c r="S215" s="784">
        <v>436769</v>
      </c>
      <c r="T215" s="785">
        <v>-34308</v>
      </c>
      <c r="U215" s="785">
        <v>402461</v>
      </c>
    </row>
    <row r="216" spans="1:21" x14ac:dyDescent="0.25">
      <c r="A216" s="780">
        <v>92317</v>
      </c>
      <c r="B216" s="781" t="s">
        <v>1380</v>
      </c>
      <c r="C216" s="782">
        <v>3.3300000000000003E-5</v>
      </c>
      <c r="D216" s="782">
        <v>3.0800000000000003E-5</v>
      </c>
      <c r="E216" s="783">
        <v>21632</v>
      </c>
      <c r="F216" s="783">
        <v>-16999</v>
      </c>
      <c r="G216" s="783">
        <v>14945</v>
      </c>
      <c r="H216" s="783"/>
      <c r="I216" s="784">
        <v>0</v>
      </c>
      <c r="J216" s="784">
        <v>30034</v>
      </c>
      <c r="K216" s="784">
        <v>0</v>
      </c>
      <c r="L216" s="783">
        <v>11364</v>
      </c>
      <c r="M216" s="783"/>
      <c r="N216" s="784">
        <v>3513</v>
      </c>
      <c r="O216" s="784">
        <v>34289</v>
      </c>
      <c r="P216" s="784">
        <v>0</v>
      </c>
      <c r="Q216" s="783">
        <v>0</v>
      </c>
      <c r="R216" s="783"/>
      <c r="S216" s="784">
        <v>6823</v>
      </c>
      <c r="T216" s="785">
        <v>3210</v>
      </c>
      <c r="U216" s="785">
        <v>10034</v>
      </c>
    </row>
    <row r="217" spans="1:21" x14ac:dyDescent="0.25">
      <c r="A217" s="780">
        <v>92321</v>
      </c>
      <c r="B217" s="781" t="s">
        <v>1381</v>
      </c>
      <c r="C217" s="782">
        <v>1.1936E-3</v>
      </c>
      <c r="D217" s="782">
        <v>1.1345000000000001E-3</v>
      </c>
      <c r="E217" s="783">
        <v>492818</v>
      </c>
      <c r="F217" s="783">
        <v>-626151</v>
      </c>
      <c r="G217" s="783">
        <v>535681</v>
      </c>
      <c r="H217" s="783"/>
      <c r="I217" s="784">
        <v>0</v>
      </c>
      <c r="J217" s="784">
        <v>1076527</v>
      </c>
      <c r="K217" s="784">
        <v>0</v>
      </c>
      <c r="L217" s="783">
        <v>86992</v>
      </c>
      <c r="M217" s="783"/>
      <c r="N217" s="784">
        <v>125916</v>
      </c>
      <c r="O217" s="784">
        <v>1229034</v>
      </c>
      <c r="P217" s="784">
        <v>0</v>
      </c>
      <c r="Q217" s="783">
        <v>0</v>
      </c>
      <c r="R217" s="783"/>
      <c r="S217" s="784">
        <v>244571</v>
      </c>
      <c r="T217" s="785">
        <v>25764</v>
      </c>
      <c r="U217" s="785">
        <v>270335</v>
      </c>
    </row>
    <row r="218" spans="1:21" x14ac:dyDescent="0.25">
      <c r="A218" s="780">
        <v>92327</v>
      </c>
      <c r="B218" s="781" t="s">
        <v>1382</v>
      </c>
      <c r="C218" s="782">
        <v>7.7999999999999999E-6</v>
      </c>
      <c r="D218" s="782">
        <v>8.4999999999999999E-6</v>
      </c>
      <c r="E218" s="783">
        <v>5322</v>
      </c>
      <c r="F218" s="783">
        <v>-4691</v>
      </c>
      <c r="G218" s="783">
        <v>3501</v>
      </c>
      <c r="H218" s="783"/>
      <c r="I218" s="784">
        <v>0</v>
      </c>
      <c r="J218" s="784">
        <v>7035</v>
      </c>
      <c r="K218" s="784">
        <v>0</v>
      </c>
      <c r="L218" s="783">
        <v>1741</v>
      </c>
      <c r="M218" s="783"/>
      <c r="N218" s="784">
        <v>823</v>
      </c>
      <c r="O218" s="784">
        <v>8032</v>
      </c>
      <c r="P218" s="784">
        <v>0</v>
      </c>
      <c r="Q218" s="783">
        <v>0</v>
      </c>
      <c r="R218" s="783"/>
      <c r="S218" s="784">
        <v>1598</v>
      </c>
      <c r="T218" s="785">
        <v>495</v>
      </c>
      <c r="U218" s="785">
        <v>2093</v>
      </c>
    </row>
    <row r="219" spans="1:21" x14ac:dyDescent="0.25">
      <c r="A219" s="780">
        <v>92331</v>
      </c>
      <c r="B219" s="781" t="s">
        <v>1383</v>
      </c>
      <c r="C219" s="782">
        <v>1.4789999999999999E-4</v>
      </c>
      <c r="D219" s="782">
        <v>1.4349999999999999E-4</v>
      </c>
      <c r="E219" s="783">
        <v>58996</v>
      </c>
      <c r="F219" s="783">
        <v>-79200</v>
      </c>
      <c r="G219" s="783">
        <v>66377</v>
      </c>
      <c r="H219" s="783"/>
      <c r="I219" s="784">
        <v>0</v>
      </c>
      <c r="J219" s="784">
        <v>133393</v>
      </c>
      <c r="K219" s="784">
        <v>0</v>
      </c>
      <c r="L219" s="783">
        <v>5381</v>
      </c>
      <c r="M219" s="783"/>
      <c r="N219" s="784">
        <v>15602</v>
      </c>
      <c r="O219" s="784">
        <v>152291</v>
      </c>
      <c r="P219" s="784">
        <v>0</v>
      </c>
      <c r="Q219" s="783">
        <v>0</v>
      </c>
      <c r="R219" s="783"/>
      <c r="S219" s="784">
        <v>30305</v>
      </c>
      <c r="T219" s="785">
        <v>1655</v>
      </c>
      <c r="U219" s="785">
        <v>31960</v>
      </c>
    </row>
    <row r="220" spans="1:21" x14ac:dyDescent="0.25">
      <c r="A220" s="780">
        <v>92341</v>
      </c>
      <c r="B220" s="781" t="s">
        <v>1384</v>
      </c>
      <c r="C220" s="782">
        <v>6.3999999999999997E-6</v>
      </c>
      <c r="D220" s="782">
        <v>1.15E-5</v>
      </c>
      <c r="E220" s="783">
        <v>1893</v>
      </c>
      <c r="F220" s="783">
        <v>-6347</v>
      </c>
      <c r="G220" s="783">
        <v>2872</v>
      </c>
      <c r="H220" s="783"/>
      <c r="I220" s="784">
        <v>0</v>
      </c>
      <c r="J220" s="784">
        <v>5772</v>
      </c>
      <c r="K220" s="784">
        <v>0</v>
      </c>
      <c r="L220" s="783">
        <v>304.98</v>
      </c>
      <c r="M220" s="783"/>
      <c r="N220" s="784">
        <v>675</v>
      </c>
      <c r="O220" s="784">
        <v>6590</v>
      </c>
      <c r="P220" s="784">
        <v>0</v>
      </c>
      <c r="Q220" s="783">
        <v>4150</v>
      </c>
      <c r="R220" s="783"/>
      <c r="S220" s="784">
        <v>1311</v>
      </c>
      <c r="T220" s="785">
        <v>-984</v>
      </c>
      <c r="U220" s="785">
        <v>327</v>
      </c>
    </row>
    <row r="221" spans="1:21" x14ac:dyDescent="0.25">
      <c r="A221" s="780">
        <v>92351</v>
      </c>
      <c r="B221" s="781" t="s">
        <v>1385</v>
      </c>
      <c r="C221" s="782">
        <v>2.8399999999999999E-5</v>
      </c>
      <c r="D221" s="782">
        <v>3.0899999999999999E-5</v>
      </c>
      <c r="E221" s="783">
        <v>11469</v>
      </c>
      <c r="F221" s="783">
        <v>-17054</v>
      </c>
      <c r="G221" s="783">
        <v>12746</v>
      </c>
      <c r="H221" s="783"/>
      <c r="I221" s="784">
        <v>0</v>
      </c>
      <c r="J221" s="784">
        <v>25614</v>
      </c>
      <c r="K221" s="784">
        <v>0</v>
      </c>
      <c r="L221" s="783">
        <v>1737.19</v>
      </c>
      <c r="M221" s="783"/>
      <c r="N221" s="784">
        <v>2996</v>
      </c>
      <c r="O221" s="784">
        <v>29243</v>
      </c>
      <c r="P221" s="784">
        <v>0</v>
      </c>
      <c r="Q221" s="783">
        <v>1855</v>
      </c>
      <c r="R221" s="783"/>
      <c r="S221" s="784">
        <v>5819</v>
      </c>
      <c r="T221" s="785">
        <v>95</v>
      </c>
      <c r="U221" s="785">
        <v>5915</v>
      </c>
    </row>
    <row r="222" spans="1:21" x14ac:dyDescent="0.25">
      <c r="A222" s="780">
        <v>92401</v>
      </c>
      <c r="B222" s="781" t="s">
        <v>1386</v>
      </c>
      <c r="C222" s="782">
        <v>2.7921999999999999E-3</v>
      </c>
      <c r="D222" s="782">
        <v>2.8879999999999999E-3</v>
      </c>
      <c r="E222" s="783">
        <v>1215698</v>
      </c>
      <c r="F222" s="783">
        <v>-1593939</v>
      </c>
      <c r="G222" s="783">
        <v>1253123</v>
      </c>
      <c r="H222" s="783"/>
      <c r="I222" s="784">
        <v>0</v>
      </c>
      <c r="J222" s="784">
        <v>2518330</v>
      </c>
      <c r="K222" s="784">
        <v>0</v>
      </c>
      <c r="L222" s="783">
        <v>47972</v>
      </c>
      <c r="M222" s="783"/>
      <c r="N222" s="784">
        <v>294558</v>
      </c>
      <c r="O222" s="784">
        <v>2875092</v>
      </c>
      <c r="P222" s="784">
        <v>0</v>
      </c>
      <c r="Q222" s="783">
        <v>7237</v>
      </c>
      <c r="R222" s="783"/>
      <c r="S222" s="784">
        <v>572127</v>
      </c>
      <c r="T222" s="785">
        <v>14149</v>
      </c>
      <c r="U222" s="785">
        <v>586277</v>
      </c>
    </row>
    <row r="223" spans="1:21" x14ac:dyDescent="0.25">
      <c r="A223" s="780">
        <v>92403</v>
      </c>
      <c r="B223" s="781" t="s">
        <v>1387</v>
      </c>
      <c r="C223" s="782">
        <v>1.59E-5</v>
      </c>
      <c r="D223" s="782">
        <v>1.6399999999999999E-5</v>
      </c>
      <c r="E223" s="783">
        <v>7732</v>
      </c>
      <c r="F223" s="783">
        <v>-9051</v>
      </c>
      <c r="G223" s="783">
        <v>7136</v>
      </c>
      <c r="H223" s="783"/>
      <c r="I223" s="784">
        <v>0</v>
      </c>
      <c r="J223" s="784">
        <v>14340</v>
      </c>
      <c r="K223" s="784">
        <v>0</v>
      </c>
      <c r="L223" s="783">
        <v>779</v>
      </c>
      <c r="M223" s="783"/>
      <c r="N223" s="784">
        <v>1677</v>
      </c>
      <c r="O223" s="784">
        <v>16372</v>
      </c>
      <c r="P223" s="784">
        <v>0</v>
      </c>
      <c r="Q223" s="783">
        <v>0</v>
      </c>
      <c r="R223" s="783"/>
      <c r="S223" s="784">
        <v>3258</v>
      </c>
      <c r="T223" s="785">
        <v>214</v>
      </c>
      <c r="U223" s="785">
        <v>3472</v>
      </c>
    </row>
    <row r="224" spans="1:21" x14ac:dyDescent="0.25">
      <c r="A224" s="780">
        <v>92411</v>
      </c>
      <c r="B224" s="781" t="s">
        <v>1388</v>
      </c>
      <c r="C224" s="782">
        <v>5.2820000000000005E-4</v>
      </c>
      <c r="D224" s="782">
        <v>4.8030000000000002E-4</v>
      </c>
      <c r="E224" s="783">
        <v>174220</v>
      </c>
      <c r="F224" s="783">
        <v>-265086</v>
      </c>
      <c r="G224" s="783">
        <v>237053</v>
      </c>
      <c r="H224" s="783"/>
      <c r="I224" s="784">
        <v>0</v>
      </c>
      <c r="J224" s="784">
        <v>476392</v>
      </c>
      <c r="K224" s="784">
        <v>0</v>
      </c>
      <c r="L224" s="783">
        <v>775</v>
      </c>
      <c r="M224" s="783"/>
      <c r="N224" s="784">
        <v>55721</v>
      </c>
      <c r="O224" s="784">
        <v>543881</v>
      </c>
      <c r="P224" s="784">
        <v>0</v>
      </c>
      <c r="Q224" s="783">
        <v>14908</v>
      </c>
      <c r="R224" s="783"/>
      <c r="S224" s="784">
        <v>108229</v>
      </c>
      <c r="T224" s="785">
        <v>-4783</v>
      </c>
      <c r="U224" s="785">
        <v>103446</v>
      </c>
    </row>
    <row r="225" spans="1:21" x14ac:dyDescent="0.25">
      <c r="A225" s="780">
        <v>92414</v>
      </c>
      <c r="B225" s="781" t="s">
        <v>1389</v>
      </c>
      <c r="C225" s="782">
        <v>9.7999999999999993E-6</v>
      </c>
      <c r="D225" s="782">
        <v>1.0000000000000001E-5</v>
      </c>
      <c r="E225" s="783"/>
      <c r="F225" s="783">
        <v>-5519.18</v>
      </c>
      <c r="G225" s="783">
        <v>4398</v>
      </c>
      <c r="H225" s="783"/>
      <c r="I225" s="784">
        <v>0</v>
      </c>
      <c r="J225" s="784">
        <v>8839</v>
      </c>
      <c r="K225" s="784">
        <v>0</v>
      </c>
      <c r="L225" s="783">
        <v>0</v>
      </c>
      <c r="M225" s="783"/>
      <c r="N225" s="784">
        <v>1034</v>
      </c>
      <c r="O225" s="784">
        <v>10091</v>
      </c>
      <c r="P225" s="784">
        <v>0</v>
      </c>
      <c r="Q225" s="783">
        <v>3918</v>
      </c>
      <c r="R225" s="783"/>
      <c r="S225" s="784">
        <v>2008</v>
      </c>
      <c r="T225" s="785">
        <v>-1070</v>
      </c>
      <c r="U225" s="785">
        <v>938</v>
      </c>
    </row>
    <row r="226" spans="1:21" x14ac:dyDescent="0.25">
      <c r="A226" s="780">
        <v>92417</v>
      </c>
      <c r="B226" s="781" t="s">
        <v>1390</v>
      </c>
      <c r="C226" s="782">
        <v>1.6699999999999999E-5</v>
      </c>
      <c r="D226" s="782">
        <v>1.6099999999999998E-5</v>
      </c>
      <c r="E226" s="783">
        <v>5111</v>
      </c>
      <c r="F226" s="783">
        <v>-8886</v>
      </c>
      <c r="G226" s="783">
        <v>7495</v>
      </c>
      <c r="H226" s="783"/>
      <c r="I226" s="784">
        <v>0</v>
      </c>
      <c r="J226" s="784">
        <v>15062</v>
      </c>
      <c r="K226" s="784">
        <v>0</v>
      </c>
      <c r="L226" s="783">
        <v>0</v>
      </c>
      <c r="M226" s="783"/>
      <c r="N226" s="784">
        <v>1762</v>
      </c>
      <c r="O226" s="784">
        <v>17196</v>
      </c>
      <c r="P226" s="784">
        <v>0</v>
      </c>
      <c r="Q226" s="783">
        <v>962</v>
      </c>
      <c r="R226" s="783"/>
      <c r="S226" s="784">
        <v>3422</v>
      </c>
      <c r="T226" s="785">
        <v>-254</v>
      </c>
      <c r="U226" s="785">
        <v>3168</v>
      </c>
    </row>
    <row r="227" spans="1:21" x14ac:dyDescent="0.25">
      <c r="A227" s="780">
        <v>92421</v>
      </c>
      <c r="B227" s="781" t="s">
        <v>1391</v>
      </c>
      <c r="C227" s="782">
        <v>1.98E-5</v>
      </c>
      <c r="D227" s="782">
        <v>1.98E-5</v>
      </c>
      <c r="E227" s="783">
        <v>9199</v>
      </c>
      <c r="F227" s="783">
        <v>-10928</v>
      </c>
      <c r="G227" s="783">
        <v>8886</v>
      </c>
      <c r="H227" s="783"/>
      <c r="I227" s="784">
        <v>0</v>
      </c>
      <c r="J227" s="784">
        <v>17858</v>
      </c>
      <c r="K227" s="784">
        <v>0</v>
      </c>
      <c r="L227" s="783">
        <v>2172</v>
      </c>
      <c r="M227" s="783"/>
      <c r="N227" s="784">
        <v>2089</v>
      </c>
      <c r="O227" s="784">
        <v>20388</v>
      </c>
      <c r="P227" s="784">
        <v>0</v>
      </c>
      <c r="Q227" s="783">
        <v>0</v>
      </c>
      <c r="R227" s="783"/>
      <c r="S227" s="784">
        <v>4057</v>
      </c>
      <c r="T227" s="785">
        <v>662</v>
      </c>
      <c r="U227" s="785">
        <v>4719</v>
      </c>
    </row>
    <row r="228" spans="1:21" x14ac:dyDescent="0.25">
      <c r="A228" s="780">
        <v>92427</v>
      </c>
      <c r="B228" s="781" t="s">
        <v>1392</v>
      </c>
      <c r="C228" s="782">
        <v>8.9999999999999996E-7</v>
      </c>
      <c r="D228" s="782">
        <v>1.1000000000000001E-6</v>
      </c>
      <c r="E228" s="783">
        <v>1483</v>
      </c>
      <c r="F228" s="783">
        <v>-607</v>
      </c>
      <c r="G228" s="783">
        <v>404</v>
      </c>
      <c r="H228" s="783"/>
      <c r="I228" s="784">
        <v>0</v>
      </c>
      <c r="J228" s="784">
        <v>812</v>
      </c>
      <c r="K228" s="784">
        <v>0</v>
      </c>
      <c r="L228" s="783">
        <v>1446</v>
      </c>
      <c r="M228" s="783"/>
      <c r="N228" s="784">
        <v>95</v>
      </c>
      <c r="O228" s="784">
        <v>927</v>
      </c>
      <c r="P228" s="784">
        <v>0</v>
      </c>
      <c r="Q228" s="783">
        <v>0</v>
      </c>
      <c r="R228" s="783"/>
      <c r="S228" s="784">
        <v>184</v>
      </c>
      <c r="T228" s="785">
        <v>430</v>
      </c>
      <c r="U228" s="785">
        <v>614</v>
      </c>
    </row>
    <row r="229" spans="1:21" x14ac:dyDescent="0.25">
      <c r="A229" s="780">
        <v>92431</v>
      </c>
      <c r="B229" s="781" t="s">
        <v>1393</v>
      </c>
      <c r="C229" s="782">
        <v>4.0800000000000002E-5</v>
      </c>
      <c r="D229" s="782">
        <v>3.1699999999999998E-5</v>
      </c>
      <c r="E229" s="783">
        <v>19015</v>
      </c>
      <c r="F229" s="783">
        <v>-17496</v>
      </c>
      <c r="G229" s="783">
        <v>18311</v>
      </c>
      <c r="H229" s="783"/>
      <c r="I229" s="784">
        <v>0</v>
      </c>
      <c r="J229" s="784">
        <v>36798</v>
      </c>
      <c r="K229" s="784">
        <v>0</v>
      </c>
      <c r="L229" s="783">
        <v>8254</v>
      </c>
      <c r="M229" s="783"/>
      <c r="N229" s="784">
        <v>4304</v>
      </c>
      <c r="O229" s="784">
        <v>42011</v>
      </c>
      <c r="P229" s="784">
        <v>0</v>
      </c>
      <c r="Q229" s="783">
        <v>1929</v>
      </c>
      <c r="R229" s="783"/>
      <c r="S229" s="784">
        <v>8360</v>
      </c>
      <c r="T229" s="785">
        <v>1516</v>
      </c>
      <c r="U229" s="785">
        <v>9876</v>
      </c>
    </row>
    <row r="230" spans="1:21" x14ac:dyDescent="0.25">
      <c r="A230" s="780">
        <v>92441</v>
      </c>
      <c r="B230" s="781" t="s">
        <v>1394</v>
      </c>
      <c r="C230" s="782">
        <v>1.0170000000000001E-4</v>
      </c>
      <c r="D230" s="782">
        <v>1.044E-4</v>
      </c>
      <c r="E230" s="783">
        <v>42754</v>
      </c>
      <c r="F230" s="783">
        <v>-57620</v>
      </c>
      <c r="G230" s="783">
        <v>45642</v>
      </c>
      <c r="H230" s="783"/>
      <c r="I230" s="784">
        <v>0</v>
      </c>
      <c r="J230" s="784">
        <v>91725</v>
      </c>
      <c r="K230" s="784">
        <v>0</v>
      </c>
      <c r="L230" s="783">
        <v>0</v>
      </c>
      <c r="M230" s="783"/>
      <c r="N230" s="784">
        <v>10729</v>
      </c>
      <c r="O230" s="784">
        <v>104719</v>
      </c>
      <c r="P230" s="784">
        <v>0</v>
      </c>
      <c r="Q230" s="783">
        <v>11515</v>
      </c>
      <c r="R230" s="783"/>
      <c r="S230" s="784">
        <v>20839</v>
      </c>
      <c r="T230" s="785">
        <v>-3784</v>
      </c>
      <c r="U230" s="785">
        <v>17054</v>
      </c>
    </row>
    <row r="231" spans="1:21" x14ac:dyDescent="0.25">
      <c r="A231" s="780">
        <v>92444</v>
      </c>
      <c r="B231" s="781" t="s">
        <v>1395</v>
      </c>
      <c r="C231" s="782">
        <v>1.7999999999999999E-6</v>
      </c>
      <c r="D231" s="782">
        <v>1.7999999999999999E-6</v>
      </c>
      <c r="E231" s="783">
        <v>2056</v>
      </c>
      <c r="F231" s="783">
        <v>-993</v>
      </c>
      <c r="G231" s="783">
        <v>808</v>
      </c>
      <c r="H231" s="783"/>
      <c r="I231" s="784">
        <v>0</v>
      </c>
      <c r="J231" s="784">
        <v>1623</v>
      </c>
      <c r="K231" s="784">
        <v>0</v>
      </c>
      <c r="L231" s="783">
        <v>2345</v>
      </c>
      <c r="M231" s="783"/>
      <c r="N231" s="784">
        <v>190</v>
      </c>
      <c r="O231" s="784">
        <v>1853</v>
      </c>
      <c r="P231" s="784">
        <v>0</v>
      </c>
      <c r="Q231" s="783">
        <v>0</v>
      </c>
      <c r="R231" s="783"/>
      <c r="S231" s="784">
        <v>369</v>
      </c>
      <c r="T231" s="785">
        <v>708</v>
      </c>
      <c r="U231" s="785">
        <v>1077</v>
      </c>
    </row>
    <row r="232" spans="1:21" x14ac:dyDescent="0.25">
      <c r="A232" s="780">
        <v>92451</v>
      </c>
      <c r="B232" s="781" t="s">
        <v>1396</v>
      </c>
      <c r="C232" s="782">
        <v>1.132E-4</v>
      </c>
      <c r="D232" s="782">
        <v>1.172E-4</v>
      </c>
      <c r="E232" s="783">
        <v>63601</v>
      </c>
      <c r="F232" s="783">
        <v>-64685</v>
      </c>
      <c r="G232" s="783">
        <v>50803</v>
      </c>
      <c r="H232" s="783"/>
      <c r="I232" s="784">
        <v>0</v>
      </c>
      <c r="J232" s="784">
        <v>102097</v>
      </c>
      <c r="K232" s="784">
        <v>0</v>
      </c>
      <c r="L232" s="783">
        <v>17940</v>
      </c>
      <c r="M232" s="783"/>
      <c r="N232" s="784">
        <v>11942</v>
      </c>
      <c r="O232" s="784">
        <v>116561</v>
      </c>
      <c r="P232" s="784">
        <v>0</v>
      </c>
      <c r="Q232" s="783">
        <v>0</v>
      </c>
      <c r="R232" s="783"/>
      <c r="S232" s="784">
        <v>23195</v>
      </c>
      <c r="T232" s="785">
        <v>5203</v>
      </c>
      <c r="U232" s="785">
        <v>28398</v>
      </c>
    </row>
    <row r="233" spans="1:21" x14ac:dyDescent="0.25">
      <c r="A233" s="780">
        <v>92461</v>
      </c>
      <c r="B233" s="781" t="s">
        <v>1397</v>
      </c>
      <c r="C233" s="782">
        <v>6.3499999999999999E-5</v>
      </c>
      <c r="D233" s="782">
        <v>9.2299999999999994E-5</v>
      </c>
      <c r="E233" s="783">
        <v>38994</v>
      </c>
      <c r="F233" s="783">
        <v>-50942</v>
      </c>
      <c r="G233" s="783">
        <v>28498</v>
      </c>
      <c r="H233" s="783"/>
      <c r="I233" s="784">
        <v>0</v>
      </c>
      <c r="J233" s="784">
        <v>57272</v>
      </c>
      <c r="K233" s="784">
        <v>0</v>
      </c>
      <c r="L233" s="783">
        <v>0</v>
      </c>
      <c r="M233" s="783"/>
      <c r="N233" s="784">
        <v>6699</v>
      </c>
      <c r="O233" s="784">
        <v>65385</v>
      </c>
      <c r="P233" s="784">
        <v>0</v>
      </c>
      <c r="Q233" s="783">
        <v>10670</v>
      </c>
      <c r="R233" s="783"/>
      <c r="S233" s="784">
        <v>13011</v>
      </c>
      <c r="T233" s="785">
        <v>-2852</v>
      </c>
      <c r="U233" s="785">
        <v>10159</v>
      </c>
    </row>
    <row r="234" spans="1:21" x14ac:dyDescent="0.25">
      <c r="A234" s="780">
        <v>92501</v>
      </c>
      <c r="B234" s="781" t="s">
        <v>1398</v>
      </c>
      <c r="C234" s="782">
        <v>3.8955999999999999E-3</v>
      </c>
      <c r="D234" s="782">
        <v>4.0648000000000004E-3</v>
      </c>
      <c r="E234" s="783">
        <v>1716400</v>
      </c>
      <c r="F234" s="783">
        <v>-2243436</v>
      </c>
      <c r="G234" s="783">
        <v>1748322</v>
      </c>
      <c r="H234" s="783"/>
      <c r="I234" s="784">
        <v>0</v>
      </c>
      <c r="J234" s="784">
        <v>3513504</v>
      </c>
      <c r="K234" s="784">
        <v>0</v>
      </c>
      <c r="L234" s="783">
        <v>54529</v>
      </c>
      <c r="M234" s="783"/>
      <c r="N234" s="784">
        <v>410959</v>
      </c>
      <c r="O234" s="784">
        <v>4011249</v>
      </c>
      <c r="P234" s="784">
        <v>0</v>
      </c>
      <c r="Q234" s="783">
        <v>18957</v>
      </c>
      <c r="R234" s="783"/>
      <c r="S234" s="784">
        <v>798216</v>
      </c>
      <c r="T234" s="785">
        <v>13274</v>
      </c>
      <c r="U234" s="785">
        <v>811491</v>
      </c>
    </row>
    <row r="235" spans="1:21" x14ac:dyDescent="0.25">
      <c r="A235" s="780">
        <v>92502</v>
      </c>
      <c r="B235" s="781" t="s">
        <v>1399</v>
      </c>
      <c r="C235" s="782">
        <v>2.1399999999999998E-5</v>
      </c>
      <c r="D235" s="782">
        <v>3.0800000000000003E-5</v>
      </c>
      <c r="E235" s="783">
        <v>12345</v>
      </c>
      <c r="F235" s="783">
        <v>-16999</v>
      </c>
      <c r="G235" s="783">
        <v>9604</v>
      </c>
      <c r="H235" s="783"/>
      <c r="I235" s="784">
        <v>0</v>
      </c>
      <c r="J235" s="784">
        <v>19301</v>
      </c>
      <c r="K235" s="784">
        <v>0</v>
      </c>
      <c r="L235" s="783">
        <v>0</v>
      </c>
      <c r="M235" s="783"/>
      <c r="N235" s="784">
        <v>2258</v>
      </c>
      <c r="O235" s="784">
        <v>22035</v>
      </c>
      <c r="P235" s="784">
        <v>0</v>
      </c>
      <c r="Q235" s="783">
        <v>4865</v>
      </c>
      <c r="R235" s="783"/>
      <c r="S235" s="784">
        <v>4385</v>
      </c>
      <c r="T235" s="785">
        <v>-1355</v>
      </c>
      <c r="U235" s="785">
        <v>3030</v>
      </c>
    </row>
    <row r="236" spans="1:21" x14ac:dyDescent="0.25">
      <c r="A236" s="780">
        <v>92504</v>
      </c>
      <c r="B236" s="781" t="s">
        <v>1400</v>
      </c>
      <c r="C236" s="782">
        <v>7.3499999999999998E-5</v>
      </c>
      <c r="D236" s="782">
        <v>6.2100000000000005E-5</v>
      </c>
      <c r="E236" s="783">
        <v>40305</v>
      </c>
      <c r="F236" s="783">
        <v>-34274</v>
      </c>
      <c r="G236" s="783">
        <v>32986</v>
      </c>
      <c r="H236" s="783"/>
      <c r="I236" s="784">
        <v>0</v>
      </c>
      <c r="J236" s="784">
        <v>66291</v>
      </c>
      <c r="K236" s="784">
        <v>0</v>
      </c>
      <c r="L236" s="783">
        <v>16160</v>
      </c>
      <c r="M236" s="783"/>
      <c r="N236" s="784">
        <v>7754</v>
      </c>
      <c r="O236" s="784">
        <v>75682</v>
      </c>
      <c r="P236" s="784">
        <v>0</v>
      </c>
      <c r="Q236" s="783">
        <v>80.73</v>
      </c>
      <c r="R236" s="783"/>
      <c r="S236" s="784">
        <v>15060</v>
      </c>
      <c r="T236" s="785">
        <v>4203</v>
      </c>
      <c r="U236" s="785">
        <v>19264</v>
      </c>
    </row>
    <row r="237" spans="1:21" x14ac:dyDescent="0.25">
      <c r="A237" s="780">
        <v>92505</v>
      </c>
      <c r="B237" s="781" t="s">
        <v>1401</v>
      </c>
      <c r="C237" s="782">
        <v>1.9699999999999999E-4</v>
      </c>
      <c r="D237" s="782">
        <v>1.905E-4</v>
      </c>
      <c r="E237" s="783">
        <v>109136</v>
      </c>
      <c r="F237" s="783">
        <v>-105140</v>
      </c>
      <c r="G237" s="783">
        <v>88412</v>
      </c>
      <c r="H237" s="783"/>
      <c r="I237" s="784">
        <v>0</v>
      </c>
      <c r="J237" s="784">
        <v>177677</v>
      </c>
      <c r="K237" s="784">
        <v>0</v>
      </c>
      <c r="L237" s="783">
        <v>40404</v>
      </c>
      <c r="M237" s="783"/>
      <c r="N237" s="784">
        <v>20782</v>
      </c>
      <c r="O237" s="784">
        <v>202848</v>
      </c>
      <c r="P237" s="784">
        <v>0</v>
      </c>
      <c r="Q237" s="783">
        <v>0</v>
      </c>
      <c r="R237" s="783"/>
      <c r="S237" s="784">
        <v>40366</v>
      </c>
      <c r="T237" s="785">
        <v>11528</v>
      </c>
      <c r="U237" s="785">
        <v>51894</v>
      </c>
    </row>
    <row r="238" spans="1:21" x14ac:dyDescent="0.25">
      <c r="A238" s="780">
        <v>92506</v>
      </c>
      <c r="B238" s="781" t="s">
        <v>1402</v>
      </c>
      <c r="C238" s="782">
        <v>3.8999999999999999E-5</v>
      </c>
      <c r="D238" s="782">
        <v>3.3000000000000003E-5</v>
      </c>
      <c r="E238" s="783">
        <v>24400</v>
      </c>
      <c r="F238" s="783">
        <v>-18213</v>
      </c>
      <c r="G238" s="783">
        <v>17503</v>
      </c>
      <c r="H238" s="783"/>
      <c r="I238" s="784">
        <v>0</v>
      </c>
      <c r="J238" s="784">
        <v>35175</v>
      </c>
      <c r="K238" s="784">
        <v>0</v>
      </c>
      <c r="L238" s="783">
        <v>14293</v>
      </c>
      <c r="M238" s="783"/>
      <c r="N238" s="784">
        <v>4114</v>
      </c>
      <c r="O238" s="784">
        <v>40158</v>
      </c>
      <c r="P238" s="784">
        <v>0</v>
      </c>
      <c r="Q238" s="783">
        <v>0</v>
      </c>
      <c r="R238" s="783"/>
      <c r="S238" s="784">
        <v>7991</v>
      </c>
      <c r="T238" s="785">
        <v>3986</v>
      </c>
      <c r="U238" s="785">
        <v>11977</v>
      </c>
    </row>
    <row r="239" spans="1:21" x14ac:dyDescent="0.25">
      <c r="A239" s="780">
        <v>92507</v>
      </c>
      <c r="B239" s="781" t="s">
        <v>1403</v>
      </c>
      <c r="C239" s="782">
        <v>1.032E-4</v>
      </c>
      <c r="D239" s="782">
        <v>9.5600000000000006E-5</v>
      </c>
      <c r="E239" s="783">
        <v>36000</v>
      </c>
      <c r="F239" s="783">
        <v>-52763</v>
      </c>
      <c r="G239" s="783">
        <v>46316</v>
      </c>
      <c r="H239" s="783"/>
      <c r="I239" s="784">
        <v>0</v>
      </c>
      <c r="J239" s="784">
        <v>93078</v>
      </c>
      <c r="K239" s="784">
        <v>0</v>
      </c>
      <c r="L239" s="783">
        <v>471</v>
      </c>
      <c r="M239" s="783"/>
      <c r="N239" s="784">
        <v>10887</v>
      </c>
      <c r="O239" s="784">
        <v>106264</v>
      </c>
      <c r="P239" s="784">
        <v>0</v>
      </c>
      <c r="Q239" s="783">
        <v>14507</v>
      </c>
      <c r="R239" s="783"/>
      <c r="S239" s="784">
        <v>21146</v>
      </c>
      <c r="T239" s="785">
        <v>-4729</v>
      </c>
      <c r="U239" s="785">
        <v>16417</v>
      </c>
    </row>
    <row r="240" spans="1:21" x14ac:dyDescent="0.25">
      <c r="A240" s="780">
        <v>92508</v>
      </c>
      <c r="B240" s="781" t="s">
        <v>1404</v>
      </c>
      <c r="C240" s="782">
        <v>3.2959999999999999E-4</v>
      </c>
      <c r="D240" s="782">
        <v>3.2489999999999998E-4</v>
      </c>
      <c r="E240" s="783">
        <v>135459</v>
      </c>
      <c r="F240" s="783">
        <v>-179318</v>
      </c>
      <c r="G240" s="783">
        <v>147923</v>
      </c>
      <c r="H240" s="783"/>
      <c r="I240" s="784">
        <v>0</v>
      </c>
      <c r="J240" s="784">
        <v>297272</v>
      </c>
      <c r="K240" s="784">
        <v>0</v>
      </c>
      <c r="L240" s="783">
        <v>11397</v>
      </c>
      <c r="M240" s="783"/>
      <c r="N240" s="784">
        <v>34770</v>
      </c>
      <c r="O240" s="784">
        <v>339385</v>
      </c>
      <c r="P240" s="784">
        <v>0</v>
      </c>
      <c r="Q240" s="783">
        <v>0</v>
      </c>
      <c r="R240" s="783"/>
      <c r="S240" s="784">
        <v>67536</v>
      </c>
      <c r="T240" s="785">
        <v>3521</v>
      </c>
      <c r="U240" s="785">
        <v>71057</v>
      </c>
    </row>
    <row r="241" spans="1:21" x14ac:dyDescent="0.25">
      <c r="A241" s="780">
        <v>92509</v>
      </c>
      <c r="B241" s="781" t="s">
        <v>1405</v>
      </c>
      <c r="C241" s="782">
        <v>2.1614E-3</v>
      </c>
      <c r="D241" s="782">
        <v>2.0609000000000001E-3</v>
      </c>
      <c r="E241" s="783">
        <v>841609</v>
      </c>
      <c r="F241" s="783">
        <v>-1137448</v>
      </c>
      <c r="G241" s="783">
        <v>970023</v>
      </c>
      <c r="H241" s="783"/>
      <c r="I241" s="784">
        <v>0</v>
      </c>
      <c r="J241" s="784">
        <v>1949401</v>
      </c>
      <c r="K241" s="784">
        <v>0</v>
      </c>
      <c r="L241" s="783">
        <v>246204</v>
      </c>
      <c r="M241" s="783"/>
      <c r="N241" s="784">
        <v>228013</v>
      </c>
      <c r="O241" s="784">
        <v>2225565</v>
      </c>
      <c r="P241" s="784">
        <v>0</v>
      </c>
      <c r="Q241" s="783">
        <v>0</v>
      </c>
      <c r="R241" s="783"/>
      <c r="S241" s="784">
        <v>442875</v>
      </c>
      <c r="T241" s="785">
        <v>79570</v>
      </c>
      <c r="U241" s="785">
        <v>522446</v>
      </c>
    </row>
    <row r="242" spans="1:21" x14ac:dyDescent="0.25">
      <c r="A242" s="780">
        <v>92511</v>
      </c>
      <c r="B242" s="781" t="s">
        <v>1406</v>
      </c>
      <c r="C242" s="782">
        <v>3.6713000000000002E-3</v>
      </c>
      <c r="D242" s="782">
        <v>3.7472E-3</v>
      </c>
      <c r="E242" s="783">
        <v>1455961</v>
      </c>
      <c r="F242" s="783">
        <v>-2068147</v>
      </c>
      <c r="G242" s="783">
        <v>1647657</v>
      </c>
      <c r="H242" s="783"/>
      <c r="I242" s="784">
        <v>0</v>
      </c>
      <c r="J242" s="784">
        <v>3311204</v>
      </c>
      <c r="K242" s="784">
        <v>0</v>
      </c>
      <c r="L242" s="783">
        <v>36684</v>
      </c>
      <c r="M242" s="783"/>
      <c r="N242" s="784">
        <v>387296</v>
      </c>
      <c r="O242" s="784">
        <v>3780290</v>
      </c>
      <c r="P242" s="784">
        <v>0</v>
      </c>
      <c r="Q242" s="783">
        <v>87312</v>
      </c>
      <c r="R242" s="783"/>
      <c r="S242" s="784">
        <v>752257</v>
      </c>
      <c r="T242" s="785">
        <v>-10588</v>
      </c>
      <c r="U242" s="785">
        <v>741669</v>
      </c>
    </row>
    <row r="243" spans="1:21" x14ac:dyDescent="0.25">
      <c r="A243" s="780">
        <v>92521</v>
      </c>
      <c r="B243" s="781" t="s">
        <v>1407</v>
      </c>
      <c r="C243" s="782">
        <v>9.59E-5</v>
      </c>
      <c r="D243" s="782">
        <v>8.1100000000000006E-5</v>
      </c>
      <c r="E243" s="783">
        <v>34439</v>
      </c>
      <c r="F243" s="783">
        <v>-44761</v>
      </c>
      <c r="G243" s="783">
        <v>43039</v>
      </c>
      <c r="H243" s="783"/>
      <c r="I243" s="784">
        <v>0</v>
      </c>
      <c r="J243" s="784">
        <v>86494</v>
      </c>
      <c r="K243" s="784">
        <v>0</v>
      </c>
      <c r="L243" s="783">
        <v>6649</v>
      </c>
      <c r="M243" s="783"/>
      <c r="N243" s="784">
        <v>10117</v>
      </c>
      <c r="O243" s="784">
        <v>98747</v>
      </c>
      <c r="P243" s="784">
        <v>0</v>
      </c>
      <c r="Q243" s="783">
        <v>4476</v>
      </c>
      <c r="R243" s="783"/>
      <c r="S243" s="784">
        <v>19650</v>
      </c>
      <c r="T243" s="785">
        <v>244</v>
      </c>
      <c r="U243" s="785">
        <v>19894</v>
      </c>
    </row>
    <row r="244" spans="1:21" x14ac:dyDescent="0.25">
      <c r="A244" s="780">
        <v>92531</v>
      </c>
      <c r="B244" s="781" t="s">
        <v>1408</v>
      </c>
      <c r="C244" s="782">
        <v>9.3610000000000004E-4</v>
      </c>
      <c r="D244" s="782">
        <v>9.7940000000000006E-4</v>
      </c>
      <c r="E244" s="783">
        <v>335125</v>
      </c>
      <c r="F244" s="783">
        <v>-540548</v>
      </c>
      <c r="G244" s="783">
        <v>420116</v>
      </c>
      <c r="H244" s="783"/>
      <c r="I244" s="784">
        <v>0</v>
      </c>
      <c r="J244" s="784">
        <v>844284</v>
      </c>
      <c r="K244" s="784">
        <v>0</v>
      </c>
      <c r="L244" s="783">
        <v>0</v>
      </c>
      <c r="M244" s="783"/>
      <c r="N244" s="784">
        <v>98752</v>
      </c>
      <c r="O244" s="784">
        <v>963890</v>
      </c>
      <c r="P244" s="784">
        <v>0</v>
      </c>
      <c r="Q244" s="783">
        <v>126441</v>
      </c>
      <c r="R244" s="783"/>
      <c r="S244" s="784">
        <v>191809</v>
      </c>
      <c r="T244" s="785">
        <v>-37369</v>
      </c>
      <c r="U244" s="785">
        <v>154440</v>
      </c>
    </row>
    <row r="245" spans="1:21" x14ac:dyDescent="0.25">
      <c r="A245" s="780">
        <v>92541</v>
      </c>
      <c r="B245" s="781" t="s">
        <v>1409</v>
      </c>
      <c r="C245" s="782">
        <v>1.2679999999999999E-4</v>
      </c>
      <c r="D245" s="782">
        <v>1.4090000000000001E-4</v>
      </c>
      <c r="E245" s="783">
        <v>57722</v>
      </c>
      <c r="F245" s="783">
        <v>-77765</v>
      </c>
      <c r="G245" s="783">
        <v>56907</v>
      </c>
      <c r="H245" s="783"/>
      <c r="I245" s="784">
        <v>0</v>
      </c>
      <c r="J245" s="784">
        <v>114363</v>
      </c>
      <c r="K245" s="784">
        <v>0</v>
      </c>
      <c r="L245" s="783">
        <v>9295.91</v>
      </c>
      <c r="M245" s="783"/>
      <c r="N245" s="784">
        <v>13377</v>
      </c>
      <c r="O245" s="784">
        <v>130564</v>
      </c>
      <c r="P245" s="784">
        <v>0</v>
      </c>
      <c r="Q245" s="783">
        <v>5178</v>
      </c>
      <c r="R245" s="783"/>
      <c r="S245" s="784">
        <v>25982</v>
      </c>
      <c r="T245" s="785">
        <v>1754</v>
      </c>
      <c r="U245" s="785">
        <v>27735</v>
      </c>
    </row>
    <row r="246" spans="1:21" x14ac:dyDescent="0.25">
      <c r="A246" s="780">
        <v>92551</v>
      </c>
      <c r="B246" s="781" t="s">
        <v>1410</v>
      </c>
      <c r="C246" s="782">
        <v>5.4799999999999997E-5</v>
      </c>
      <c r="D246" s="782">
        <v>5.7500000000000002E-5</v>
      </c>
      <c r="E246" s="783">
        <v>17044</v>
      </c>
      <c r="F246" s="783">
        <v>-31735</v>
      </c>
      <c r="G246" s="783">
        <v>24594</v>
      </c>
      <c r="H246" s="783"/>
      <c r="I246" s="784">
        <v>0</v>
      </c>
      <c r="J246" s="784">
        <v>49425</v>
      </c>
      <c r="K246" s="784">
        <v>0</v>
      </c>
      <c r="L246" s="783">
        <v>10267.66</v>
      </c>
      <c r="M246" s="783"/>
      <c r="N246" s="784">
        <v>5781</v>
      </c>
      <c r="O246" s="784">
        <v>56427</v>
      </c>
      <c r="P246" s="784">
        <v>0</v>
      </c>
      <c r="Q246" s="783">
        <v>6119</v>
      </c>
      <c r="R246" s="783"/>
      <c r="S246" s="784">
        <v>11229</v>
      </c>
      <c r="T246" s="785">
        <v>1832</v>
      </c>
      <c r="U246" s="785">
        <v>13061</v>
      </c>
    </row>
    <row r="247" spans="1:21" x14ac:dyDescent="0.25">
      <c r="A247" s="780">
        <v>92561</v>
      </c>
      <c r="B247" s="781" t="s">
        <v>1411</v>
      </c>
      <c r="C247" s="782">
        <v>2.1800000000000001E-5</v>
      </c>
      <c r="D247" s="782">
        <v>2.1800000000000001E-5</v>
      </c>
      <c r="E247" s="783">
        <v>12253</v>
      </c>
      <c r="F247" s="783">
        <v>-12032</v>
      </c>
      <c r="G247" s="783">
        <v>9784</v>
      </c>
      <c r="H247" s="783"/>
      <c r="I247" s="784">
        <v>0</v>
      </c>
      <c r="J247" s="784">
        <v>19662</v>
      </c>
      <c r="K247" s="784">
        <v>0</v>
      </c>
      <c r="L247" s="783">
        <v>5324</v>
      </c>
      <c r="M247" s="783"/>
      <c r="N247" s="784">
        <v>2300</v>
      </c>
      <c r="O247" s="784">
        <v>22447</v>
      </c>
      <c r="P247" s="784">
        <v>0</v>
      </c>
      <c r="Q247" s="783">
        <v>0</v>
      </c>
      <c r="R247" s="783"/>
      <c r="S247" s="784">
        <v>4467</v>
      </c>
      <c r="T247" s="785">
        <v>1588</v>
      </c>
      <c r="U247" s="785">
        <v>6054</v>
      </c>
    </row>
    <row r="248" spans="1:21" x14ac:dyDescent="0.25">
      <c r="A248" s="780">
        <v>92571</v>
      </c>
      <c r="B248" s="781" t="s">
        <v>1412</v>
      </c>
      <c r="C248" s="782">
        <v>3.8E-6</v>
      </c>
      <c r="D248" s="782">
        <v>4.1999999999999996E-6</v>
      </c>
      <c r="E248" s="783">
        <v>3601</v>
      </c>
      <c r="F248" s="783">
        <v>-2318</v>
      </c>
      <c r="G248" s="783">
        <v>1705</v>
      </c>
      <c r="H248" s="783"/>
      <c r="I248" s="784">
        <v>0</v>
      </c>
      <c r="J248" s="784">
        <v>3427</v>
      </c>
      <c r="K248" s="784">
        <v>0</v>
      </c>
      <c r="L248" s="783">
        <v>1343</v>
      </c>
      <c r="M248" s="783"/>
      <c r="N248" s="784">
        <v>401</v>
      </c>
      <c r="O248" s="784">
        <v>3913</v>
      </c>
      <c r="P248" s="784">
        <v>0</v>
      </c>
      <c r="Q248" s="783">
        <v>301.99</v>
      </c>
      <c r="R248" s="783"/>
      <c r="S248" s="784">
        <v>779</v>
      </c>
      <c r="T248" s="785">
        <v>251</v>
      </c>
      <c r="U248" s="785">
        <v>1029</v>
      </c>
    </row>
    <row r="249" spans="1:21" x14ac:dyDescent="0.25">
      <c r="A249" s="780">
        <v>92601</v>
      </c>
      <c r="B249" s="781" t="s">
        <v>1413</v>
      </c>
      <c r="C249" s="782">
        <v>1.5052899999999999E-2</v>
      </c>
      <c r="D249" s="782">
        <v>1.51986E-2</v>
      </c>
      <c r="E249" s="783">
        <v>6293451</v>
      </c>
      <c r="F249" s="783">
        <v>-8388381</v>
      </c>
      <c r="G249" s="783">
        <v>6755651</v>
      </c>
      <c r="H249" s="783"/>
      <c r="I249" s="784">
        <v>0</v>
      </c>
      <c r="J249" s="784">
        <v>13576451</v>
      </c>
      <c r="K249" s="784">
        <v>0</v>
      </c>
      <c r="L249" s="783">
        <v>357942</v>
      </c>
      <c r="M249" s="783"/>
      <c r="N249" s="784">
        <v>1587976</v>
      </c>
      <c r="O249" s="784">
        <v>15499775</v>
      </c>
      <c r="P249" s="784">
        <v>0</v>
      </c>
      <c r="Q249" s="783">
        <v>0</v>
      </c>
      <c r="R249" s="783"/>
      <c r="S249" s="784">
        <v>3084369</v>
      </c>
      <c r="T249" s="785">
        <v>118641</v>
      </c>
      <c r="U249" s="785">
        <v>3203010</v>
      </c>
    </row>
    <row r="250" spans="1:21" x14ac:dyDescent="0.25">
      <c r="A250" s="780">
        <v>92602</v>
      </c>
      <c r="B250" s="781" t="s">
        <v>1414</v>
      </c>
      <c r="C250" s="782">
        <v>8.3999999999999992E-6</v>
      </c>
      <c r="D250" s="782">
        <v>1.0200000000000001E-5</v>
      </c>
      <c r="E250" s="783">
        <v>3157</v>
      </c>
      <c r="F250" s="783">
        <v>-5630</v>
      </c>
      <c r="G250" s="783">
        <v>3770</v>
      </c>
      <c r="H250" s="783"/>
      <c r="I250" s="784">
        <v>0</v>
      </c>
      <c r="J250" s="784">
        <v>7576</v>
      </c>
      <c r="K250" s="784">
        <v>0</v>
      </c>
      <c r="L250" s="783">
        <v>1064.44</v>
      </c>
      <c r="M250" s="783"/>
      <c r="N250" s="784">
        <v>886</v>
      </c>
      <c r="O250" s="784">
        <v>8649</v>
      </c>
      <c r="P250" s="784">
        <v>0</v>
      </c>
      <c r="Q250" s="783">
        <v>1479</v>
      </c>
      <c r="R250" s="783"/>
      <c r="S250" s="784">
        <v>1721</v>
      </c>
      <c r="T250" s="785">
        <v>-31</v>
      </c>
      <c r="U250" s="785">
        <v>1690</v>
      </c>
    </row>
    <row r="251" spans="1:21" x14ac:dyDescent="0.25">
      <c r="A251" s="780">
        <v>92604</v>
      </c>
      <c r="B251" s="781" t="s">
        <v>1415</v>
      </c>
      <c r="C251" s="782">
        <v>3.2019999999999998E-4</v>
      </c>
      <c r="D251" s="782">
        <v>3.3930000000000001E-4</v>
      </c>
      <c r="E251" s="783">
        <v>160300</v>
      </c>
      <c r="F251" s="783">
        <v>-187266</v>
      </c>
      <c r="G251" s="783">
        <v>143704</v>
      </c>
      <c r="H251" s="783"/>
      <c r="I251" s="784">
        <v>0</v>
      </c>
      <c r="J251" s="784">
        <v>288794</v>
      </c>
      <c r="K251" s="784">
        <v>0</v>
      </c>
      <c r="L251" s="783">
        <v>38157</v>
      </c>
      <c r="M251" s="783"/>
      <c r="N251" s="784">
        <v>33779</v>
      </c>
      <c r="O251" s="784">
        <v>329706</v>
      </c>
      <c r="P251" s="784">
        <v>0</v>
      </c>
      <c r="Q251" s="783">
        <v>0</v>
      </c>
      <c r="R251" s="783"/>
      <c r="S251" s="784">
        <v>65610</v>
      </c>
      <c r="T251" s="785">
        <v>12033</v>
      </c>
      <c r="U251" s="785">
        <v>77642</v>
      </c>
    </row>
    <row r="252" spans="1:21" x14ac:dyDescent="0.25">
      <c r="A252" s="780">
        <v>92607</v>
      </c>
      <c r="B252" s="781" t="s">
        <v>1416</v>
      </c>
      <c r="C252" s="782">
        <v>7.4099999999999999E-5</v>
      </c>
      <c r="D252" s="782">
        <v>7.5199999999999998E-5</v>
      </c>
      <c r="E252" s="783">
        <v>36064</v>
      </c>
      <c r="F252" s="783">
        <v>-41504</v>
      </c>
      <c r="G252" s="783">
        <v>33256</v>
      </c>
      <c r="H252" s="783"/>
      <c r="I252" s="784">
        <v>0</v>
      </c>
      <c r="J252" s="784">
        <v>66832</v>
      </c>
      <c r="K252" s="784">
        <v>0</v>
      </c>
      <c r="L252" s="783">
        <v>10644</v>
      </c>
      <c r="M252" s="783"/>
      <c r="N252" s="784">
        <v>7817</v>
      </c>
      <c r="O252" s="784">
        <v>76300</v>
      </c>
      <c r="P252" s="784">
        <v>0</v>
      </c>
      <c r="Q252" s="783">
        <v>0</v>
      </c>
      <c r="R252" s="783"/>
      <c r="S252" s="784">
        <v>15183</v>
      </c>
      <c r="T252" s="785">
        <v>3281</v>
      </c>
      <c r="U252" s="785">
        <v>18465</v>
      </c>
    </row>
    <row r="253" spans="1:21" x14ac:dyDescent="0.25">
      <c r="A253" s="780">
        <v>92608</v>
      </c>
      <c r="B253" s="781" t="s">
        <v>1417</v>
      </c>
      <c r="C253" s="782">
        <v>0</v>
      </c>
      <c r="D253" s="782">
        <v>5.0000000000000004E-6</v>
      </c>
      <c r="E253" s="783"/>
      <c r="F253" s="783">
        <v>-2759.59</v>
      </c>
      <c r="G253" s="783">
        <v>0</v>
      </c>
      <c r="H253" s="783"/>
      <c r="I253" s="784">
        <v>0</v>
      </c>
      <c r="J253" s="784">
        <v>0</v>
      </c>
      <c r="K253" s="784">
        <v>0</v>
      </c>
      <c r="L253" s="783">
        <v>0</v>
      </c>
      <c r="M253" s="783"/>
      <c r="N253" s="784">
        <v>0</v>
      </c>
      <c r="O253" s="784">
        <v>0</v>
      </c>
      <c r="P253" s="784">
        <v>0</v>
      </c>
      <c r="Q253" s="783">
        <v>209678</v>
      </c>
      <c r="R253" s="783"/>
      <c r="S253" s="784">
        <v>0</v>
      </c>
      <c r="T253" s="785">
        <v>-69872</v>
      </c>
      <c r="U253" s="785">
        <v>-69872</v>
      </c>
    </row>
    <row r="254" spans="1:21" x14ac:dyDescent="0.25">
      <c r="A254" s="780">
        <v>92611</v>
      </c>
      <c r="B254" s="781" t="s">
        <v>1418</v>
      </c>
      <c r="C254" s="782">
        <v>1.3731999999999999E-2</v>
      </c>
      <c r="D254" s="782">
        <v>1.3595100000000001E-2</v>
      </c>
      <c r="E254" s="783">
        <v>5099430</v>
      </c>
      <c r="F254" s="783">
        <v>-7503380</v>
      </c>
      <c r="G254" s="783">
        <v>6162839</v>
      </c>
      <c r="H254" s="783"/>
      <c r="I254" s="784">
        <v>0</v>
      </c>
      <c r="J254" s="784">
        <v>12385111</v>
      </c>
      <c r="K254" s="784">
        <v>0</v>
      </c>
      <c r="L254" s="783">
        <v>30531</v>
      </c>
      <c r="M254" s="783"/>
      <c r="N254" s="784">
        <v>1448630</v>
      </c>
      <c r="O254" s="784">
        <v>14139662</v>
      </c>
      <c r="P254" s="784">
        <v>0</v>
      </c>
      <c r="Q254" s="783">
        <v>305824</v>
      </c>
      <c r="R254" s="783"/>
      <c r="S254" s="784">
        <v>2813714</v>
      </c>
      <c r="T254" s="785">
        <v>-69848</v>
      </c>
      <c r="U254" s="785">
        <v>2743867</v>
      </c>
    </row>
    <row r="255" spans="1:21" x14ac:dyDescent="0.25">
      <c r="A255" s="780">
        <v>92613</v>
      </c>
      <c r="B255" s="781" t="s">
        <v>1419</v>
      </c>
      <c r="C255" s="782">
        <v>2.9250000000000001E-4</v>
      </c>
      <c r="D255" s="782">
        <v>3.034E-4</v>
      </c>
      <c r="E255" s="783">
        <v>308537</v>
      </c>
      <c r="F255" s="783">
        <v>-167452</v>
      </c>
      <c r="G255" s="783">
        <v>131272</v>
      </c>
      <c r="H255" s="783"/>
      <c r="I255" s="784">
        <v>0</v>
      </c>
      <c r="J255" s="784">
        <v>263810.43</v>
      </c>
      <c r="K255" s="784">
        <v>0</v>
      </c>
      <c r="L255" s="783">
        <v>142230</v>
      </c>
      <c r="M255" s="783"/>
      <c r="N255" s="784">
        <v>30857</v>
      </c>
      <c r="O255" s="784">
        <v>301183</v>
      </c>
      <c r="P255" s="784">
        <v>0</v>
      </c>
      <c r="Q255" s="783">
        <v>2843</v>
      </c>
      <c r="R255" s="783"/>
      <c r="S255" s="784">
        <v>59934</v>
      </c>
      <c r="T255" s="785">
        <v>36282</v>
      </c>
      <c r="U255" s="785">
        <v>96216</v>
      </c>
    </row>
    <row r="256" spans="1:21" x14ac:dyDescent="0.25">
      <c r="A256" s="780">
        <v>92614</v>
      </c>
      <c r="B256" s="781" t="s">
        <v>1420</v>
      </c>
      <c r="C256" s="782">
        <v>5.6173999999999998E-3</v>
      </c>
      <c r="D256" s="782">
        <v>5.5978E-3</v>
      </c>
      <c r="E256" s="783">
        <v>4425878</v>
      </c>
      <c r="F256" s="783">
        <v>-3089527</v>
      </c>
      <c r="G256" s="783">
        <v>2521055</v>
      </c>
      <c r="H256" s="783"/>
      <c r="I256" s="784">
        <v>0</v>
      </c>
      <c r="J256" s="784">
        <v>5066423</v>
      </c>
      <c r="K256" s="784">
        <v>0</v>
      </c>
      <c r="L256" s="783">
        <v>2000530</v>
      </c>
      <c r="M256" s="783"/>
      <c r="N256" s="784">
        <v>592596</v>
      </c>
      <c r="O256" s="784">
        <v>5784164</v>
      </c>
      <c r="P256" s="784">
        <v>0</v>
      </c>
      <c r="Q256" s="783">
        <v>0</v>
      </c>
      <c r="R256" s="783"/>
      <c r="S256" s="784">
        <v>1151016</v>
      </c>
      <c r="T256" s="785">
        <v>545266</v>
      </c>
      <c r="U256" s="785">
        <v>1696282</v>
      </c>
    </row>
    <row r="257" spans="1:21" x14ac:dyDescent="0.25">
      <c r="A257" s="780">
        <v>92621</v>
      </c>
      <c r="B257" s="781" t="s">
        <v>1421</v>
      </c>
      <c r="C257" s="782">
        <v>3.3099999999999998E-5</v>
      </c>
      <c r="D257" s="782">
        <v>2.8900000000000001E-5</v>
      </c>
      <c r="E257" s="783">
        <v>12104</v>
      </c>
      <c r="F257" s="783">
        <v>-15950</v>
      </c>
      <c r="G257" s="783">
        <v>14855</v>
      </c>
      <c r="H257" s="783"/>
      <c r="I257" s="784">
        <v>0</v>
      </c>
      <c r="J257" s="784">
        <v>29853</v>
      </c>
      <c r="K257" s="784">
        <v>0</v>
      </c>
      <c r="L257" s="783">
        <v>1830</v>
      </c>
      <c r="M257" s="783"/>
      <c r="N257" s="784">
        <v>3492</v>
      </c>
      <c r="O257" s="784">
        <v>34083</v>
      </c>
      <c r="P257" s="784">
        <v>0</v>
      </c>
      <c r="Q257" s="783">
        <v>3019.9</v>
      </c>
      <c r="R257" s="783"/>
      <c r="S257" s="784">
        <v>6782</v>
      </c>
      <c r="T257" s="785">
        <v>-531</v>
      </c>
      <c r="U257" s="785">
        <v>6251</v>
      </c>
    </row>
    <row r="258" spans="1:21" x14ac:dyDescent="0.25">
      <c r="A258" s="780">
        <v>92631</v>
      </c>
      <c r="B258" s="781" t="s">
        <v>1422</v>
      </c>
      <c r="C258" s="782">
        <v>1.0248E-3</v>
      </c>
      <c r="D258" s="782">
        <v>9.9559999999999991E-4</v>
      </c>
      <c r="E258" s="783">
        <v>343233</v>
      </c>
      <c r="F258" s="783">
        <v>-549490</v>
      </c>
      <c r="G258" s="783">
        <v>459924</v>
      </c>
      <c r="H258" s="783"/>
      <c r="I258" s="784">
        <v>0</v>
      </c>
      <c r="J258" s="784">
        <v>924284</v>
      </c>
      <c r="K258" s="784">
        <v>0</v>
      </c>
      <c r="L258" s="783">
        <v>0</v>
      </c>
      <c r="M258" s="783"/>
      <c r="N258" s="784">
        <v>108109</v>
      </c>
      <c r="O258" s="784">
        <v>1055223</v>
      </c>
      <c r="P258" s="784">
        <v>0</v>
      </c>
      <c r="Q258" s="783">
        <v>49462</v>
      </c>
      <c r="R258" s="783"/>
      <c r="S258" s="784">
        <v>209984</v>
      </c>
      <c r="T258" s="785">
        <v>-13702</v>
      </c>
      <c r="U258" s="785">
        <v>196281</v>
      </c>
    </row>
    <row r="259" spans="1:21" x14ac:dyDescent="0.25">
      <c r="A259" s="780">
        <v>92641</v>
      </c>
      <c r="B259" s="781" t="s">
        <v>1423</v>
      </c>
      <c r="C259" s="782">
        <v>1.0699999999999999E-5</v>
      </c>
      <c r="D259" s="782">
        <v>6.8000000000000001E-6</v>
      </c>
      <c r="E259" s="783">
        <v>5022</v>
      </c>
      <c r="F259" s="783">
        <v>-3753</v>
      </c>
      <c r="G259" s="783">
        <v>4802</v>
      </c>
      <c r="H259" s="783"/>
      <c r="I259" s="784">
        <v>0</v>
      </c>
      <c r="J259" s="784">
        <v>9651</v>
      </c>
      <c r="K259" s="784">
        <v>0</v>
      </c>
      <c r="L259" s="783">
        <v>3254</v>
      </c>
      <c r="M259" s="783"/>
      <c r="N259" s="784">
        <v>1129</v>
      </c>
      <c r="O259" s="784">
        <v>11018</v>
      </c>
      <c r="P259" s="784">
        <v>0</v>
      </c>
      <c r="Q259" s="783">
        <v>2855</v>
      </c>
      <c r="R259" s="783"/>
      <c r="S259" s="784">
        <v>2192</v>
      </c>
      <c r="T259" s="785">
        <v>-103</v>
      </c>
      <c r="U259" s="785">
        <v>2089</v>
      </c>
    </row>
    <row r="260" spans="1:21" x14ac:dyDescent="0.25">
      <c r="A260" s="780">
        <v>92651</v>
      </c>
      <c r="B260" s="781" t="s">
        <v>1424</v>
      </c>
      <c r="C260" s="782">
        <v>2.3999999999999999E-6</v>
      </c>
      <c r="D260" s="782">
        <v>2.9000000000000002E-6</v>
      </c>
      <c r="E260" s="783">
        <v>2813</v>
      </c>
      <c r="F260" s="783">
        <v>-1601</v>
      </c>
      <c r="G260" s="783">
        <v>1077</v>
      </c>
      <c r="H260" s="783"/>
      <c r="I260" s="784">
        <v>0</v>
      </c>
      <c r="J260" s="784">
        <v>2165</v>
      </c>
      <c r="K260" s="784">
        <v>0</v>
      </c>
      <c r="L260" s="783">
        <v>1999</v>
      </c>
      <c r="M260" s="783"/>
      <c r="N260" s="784">
        <v>253</v>
      </c>
      <c r="O260" s="784">
        <v>2471</v>
      </c>
      <c r="P260" s="784">
        <v>0</v>
      </c>
      <c r="Q260" s="783">
        <v>0</v>
      </c>
      <c r="R260" s="783"/>
      <c r="S260" s="784">
        <v>492</v>
      </c>
      <c r="T260" s="785">
        <v>588</v>
      </c>
      <c r="U260" s="785">
        <v>1080</v>
      </c>
    </row>
    <row r="261" spans="1:21" x14ac:dyDescent="0.25">
      <c r="A261" s="780">
        <v>92661</v>
      </c>
      <c r="B261" s="781" t="s">
        <v>1425</v>
      </c>
      <c r="C261" s="782">
        <v>6.7860000000000001E-4</v>
      </c>
      <c r="D261" s="782">
        <v>6.8420000000000004E-4</v>
      </c>
      <c r="E261" s="783">
        <v>481870</v>
      </c>
      <c r="F261" s="783">
        <v>-377622</v>
      </c>
      <c r="G261" s="783">
        <v>304552</v>
      </c>
      <c r="H261" s="783"/>
      <c r="I261" s="784">
        <v>0</v>
      </c>
      <c r="J261" s="784">
        <v>612040</v>
      </c>
      <c r="K261" s="784">
        <v>0</v>
      </c>
      <c r="L261" s="783">
        <v>158388</v>
      </c>
      <c r="M261" s="783"/>
      <c r="N261" s="784">
        <v>71588</v>
      </c>
      <c r="O261" s="784">
        <v>698746</v>
      </c>
      <c r="P261" s="784">
        <v>0</v>
      </c>
      <c r="Q261" s="783">
        <v>50971</v>
      </c>
      <c r="R261" s="783"/>
      <c r="S261" s="784">
        <v>139046</v>
      </c>
      <c r="T261" s="785">
        <v>24416</v>
      </c>
      <c r="U261" s="785">
        <v>163462</v>
      </c>
    </row>
    <row r="262" spans="1:21" x14ac:dyDescent="0.25">
      <c r="A262" s="780">
        <v>92671</v>
      </c>
      <c r="B262" s="781" t="s">
        <v>1426</v>
      </c>
      <c r="C262" s="782">
        <v>3.4999999999999999E-6</v>
      </c>
      <c r="D262" s="782">
        <v>3.8999999999999999E-6</v>
      </c>
      <c r="E262" s="783">
        <v>4840</v>
      </c>
      <c r="F262" s="783">
        <v>-2152</v>
      </c>
      <c r="G262" s="783">
        <v>1571</v>
      </c>
      <c r="H262" s="783"/>
      <c r="I262" s="784">
        <v>0</v>
      </c>
      <c r="J262" s="784">
        <v>3157</v>
      </c>
      <c r="K262" s="784">
        <v>0</v>
      </c>
      <c r="L262" s="783">
        <v>2874</v>
      </c>
      <c r="M262" s="783"/>
      <c r="N262" s="784">
        <v>369</v>
      </c>
      <c r="O262" s="784">
        <v>3604</v>
      </c>
      <c r="P262" s="784">
        <v>0</v>
      </c>
      <c r="Q262" s="783">
        <v>0</v>
      </c>
      <c r="R262" s="783"/>
      <c r="S262" s="784">
        <v>717</v>
      </c>
      <c r="T262" s="785">
        <v>785</v>
      </c>
      <c r="U262" s="785">
        <v>1502</v>
      </c>
    </row>
    <row r="263" spans="1:21" x14ac:dyDescent="0.25">
      <c r="A263" s="780">
        <v>92681</v>
      </c>
      <c r="B263" s="781" t="s">
        <v>1427</v>
      </c>
      <c r="C263" s="782">
        <v>5.4E-6</v>
      </c>
      <c r="D263" s="782">
        <v>6.6000000000000003E-6</v>
      </c>
      <c r="E263" s="783">
        <v>8121</v>
      </c>
      <c r="F263" s="783">
        <v>-3643</v>
      </c>
      <c r="G263" s="783">
        <v>2423</v>
      </c>
      <c r="H263" s="783"/>
      <c r="I263" s="784">
        <v>0</v>
      </c>
      <c r="J263" s="784">
        <v>4870</v>
      </c>
      <c r="K263" s="784">
        <v>0</v>
      </c>
      <c r="L263" s="783">
        <v>5826</v>
      </c>
      <c r="M263" s="783"/>
      <c r="N263" s="784">
        <v>570</v>
      </c>
      <c r="O263" s="784">
        <v>5560</v>
      </c>
      <c r="P263" s="784">
        <v>0</v>
      </c>
      <c r="Q263" s="783">
        <v>0</v>
      </c>
      <c r="R263" s="783"/>
      <c r="S263" s="784">
        <v>1106</v>
      </c>
      <c r="T263" s="785">
        <v>1669</v>
      </c>
      <c r="U263" s="785">
        <v>2775</v>
      </c>
    </row>
    <row r="264" spans="1:21" x14ac:dyDescent="0.25">
      <c r="A264" s="780">
        <v>92701</v>
      </c>
      <c r="B264" s="781" t="s">
        <v>1428</v>
      </c>
      <c r="C264" s="782">
        <v>2.8249999999999998E-3</v>
      </c>
      <c r="D264" s="782">
        <v>2.8381999999999999E-3</v>
      </c>
      <c r="E264" s="783">
        <v>1138048</v>
      </c>
      <c r="F264" s="783">
        <v>-1566454</v>
      </c>
      <c r="G264" s="783">
        <v>1267843</v>
      </c>
      <c r="H264" s="783"/>
      <c r="I264" s="784">
        <v>0</v>
      </c>
      <c r="J264" s="784">
        <v>2547913</v>
      </c>
      <c r="K264" s="784">
        <v>0</v>
      </c>
      <c r="L264" s="783">
        <v>0</v>
      </c>
      <c r="M264" s="783"/>
      <c r="N264" s="784">
        <v>298018</v>
      </c>
      <c r="O264" s="784">
        <v>2908866</v>
      </c>
      <c r="P264" s="784">
        <v>0</v>
      </c>
      <c r="Q264" s="783">
        <v>120235</v>
      </c>
      <c r="R264" s="783"/>
      <c r="S264" s="784">
        <v>578848</v>
      </c>
      <c r="T264" s="785">
        <v>-38655</v>
      </c>
      <c r="U264" s="785">
        <v>540193</v>
      </c>
    </row>
    <row r="265" spans="1:21" x14ac:dyDescent="0.25">
      <c r="A265" s="780">
        <v>92704</v>
      </c>
      <c r="B265" s="781" t="s">
        <v>1429</v>
      </c>
      <c r="C265" s="782">
        <v>4.8000000000000001E-5</v>
      </c>
      <c r="D265" s="782">
        <v>4.0800000000000002E-5</v>
      </c>
      <c r="E265" s="783">
        <v>17355</v>
      </c>
      <c r="F265" s="783">
        <v>-22518</v>
      </c>
      <c r="G265" s="783">
        <v>21542</v>
      </c>
      <c r="H265" s="783"/>
      <c r="I265" s="784">
        <v>0</v>
      </c>
      <c r="J265" s="784">
        <v>43292</v>
      </c>
      <c r="K265" s="784">
        <v>0</v>
      </c>
      <c r="L265" s="783">
        <v>3275</v>
      </c>
      <c r="M265" s="783"/>
      <c r="N265" s="784">
        <v>5064</v>
      </c>
      <c r="O265" s="784">
        <v>49425</v>
      </c>
      <c r="P265" s="784">
        <v>0</v>
      </c>
      <c r="Q265" s="783">
        <v>18</v>
      </c>
      <c r="R265" s="783"/>
      <c r="S265" s="784">
        <v>9835</v>
      </c>
      <c r="T265" s="785">
        <v>851</v>
      </c>
      <c r="U265" s="785">
        <v>10687</v>
      </c>
    </row>
    <row r="266" spans="1:21" x14ac:dyDescent="0.25">
      <c r="A266" s="780">
        <v>92801</v>
      </c>
      <c r="B266" s="781" t="s">
        <v>1430</v>
      </c>
      <c r="C266" s="782">
        <v>5.1633E-3</v>
      </c>
      <c r="D266" s="782">
        <v>5.0350999999999998E-3</v>
      </c>
      <c r="E266" s="783">
        <v>2246634</v>
      </c>
      <c r="F266" s="783">
        <v>-2778962</v>
      </c>
      <c r="G266" s="783">
        <v>2317258</v>
      </c>
      <c r="H266" s="783"/>
      <c r="I266" s="784">
        <v>0</v>
      </c>
      <c r="J266" s="784">
        <v>4656863</v>
      </c>
      <c r="K266" s="784">
        <v>0</v>
      </c>
      <c r="L266" s="783">
        <v>246284</v>
      </c>
      <c r="M266" s="783"/>
      <c r="N266" s="784">
        <v>544692</v>
      </c>
      <c r="O266" s="784">
        <v>5316583</v>
      </c>
      <c r="P266" s="784">
        <v>0</v>
      </c>
      <c r="Q266" s="783">
        <v>0</v>
      </c>
      <c r="R266" s="783"/>
      <c r="S266" s="784">
        <v>1057970</v>
      </c>
      <c r="T266" s="785">
        <v>67853</v>
      </c>
      <c r="U266" s="785">
        <v>1125823</v>
      </c>
    </row>
    <row r="267" spans="1:21" x14ac:dyDescent="0.25">
      <c r="A267" s="780">
        <v>92802</v>
      </c>
      <c r="B267" s="781" t="s">
        <v>1431</v>
      </c>
      <c r="C267" s="782">
        <v>1.4359999999999999E-4</v>
      </c>
      <c r="D267" s="782">
        <v>1.4420000000000001E-4</v>
      </c>
      <c r="E267" s="783">
        <v>50878</v>
      </c>
      <c r="F267" s="783">
        <v>-79587</v>
      </c>
      <c r="G267" s="783">
        <v>64447</v>
      </c>
      <c r="H267" s="783"/>
      <c r="I267" s="784">
        <v>0</v>
      </c>
      <c r="J267" s="784">
        <v>129515</v>
      </c>
      <c r="K267" s="784">
        <v>0</v>
      </c>
      <c r="L267" s="783">
        <v>0</v>
      </c>
      <c r="M267" s="783"/>
      <c r="N267" s="784">
        <v>15149</v>
      </c>
      <c r="O267" s="784">
        <v>147863</v>
      </c>
      <c r="P267" s="784">
        <v>0</v>
      </c>
      <c r="Q267" s="783">
        <v>10125</v>
      </c>
      <c r="R267" s="783"/>
      <c r="S267" s="784">
        <v>29424</v>
      </c>
      <c r="T267" s="785">
        <v>-2909</v>
      </c>
      <c r="U267" s="785">
        <v>26515</v>
      </c>
    </row>
    <row r="268" spans="1:21" x14ac:dyDescent="0.25">
      <c r="A268" s="780">
        <v>92804</v>
      </c>
      <c r="B268" s="781" t="s">
        <v>1432</v>
      </c>
      <c r="C268" s="782">
        <v>1.217E-4</v>
      </c>
      <c r="D268" s="782">
        <v>1.097E-4</v>
      </c>
      <c r="E268" s="783">
        <v>50851</v>
      </c>
      <c r="F268" s="783">
        <v>-60545</v>
      </c>
      <c r="G268" s="783">
        <v>54618</v>
      </c>
      <c r="H268" s="783"/>
      <c r="I268" s="784">
        <v>0</v>
      </c>
      <c r="J268" s="784">
        <v>109763</v>
      </c>
      <c r="K268" s="784">
        <v>0</v>
      </c>
      <c r="L268" s="783">
        <v>9342</v>
      </c>
      <c r="M268" s="783"/>
      <c r="N268" s="784">
        <v>12838</v>
      </c>
      <c r="O268" s="784">
        <v>125313</v>
      </c>
      <c r="P268" s="784">
        <v>0</v>
      </c>
      <c r="Q268" s="783">
        <v>4001</v>
      </c>
      <c r="R268" s="783"/>
      <c r="S268" s="784">
        <v>24937</v>
      </c>
      <c r="T268" s="785">
        <v>1108</v>
      </c>
      <c r="U268" s="785">
        <v>26044</v>
      </c>
    </row>
    <row r="269" spans="1:21" x14ac:dyDescent="0.25">
      <c r="A269" s="780">
        <v>92811</v>
      </c>
      <c r="B269" s="781" t="s">
        <v>1433</v>
      </c>
      <c r="C269" s="782">
        <v>1.1405E-3</v>
      </c>
      <c r="D269" s="782">
        <v>1.0721000000000001E-3</v>
      </c>
      <c r="E269" s="783">
        <v>399616</v>
      </c>
      <c r="F269" s="783">
        <v>-591711</v>
      </c>
      <c r="G269" s="783">
        <v>511850</v>
      </c>
      <c r="H269" s="783"/>
      <c r="I269" s="784">
        <v>0</v>
      </c>
      <c r="J269" s="784">
        <v>1028635</v>
      </c>
      <c r="K269" s="784">
        <v>0</v>
      </c>
      <c r="L269" s="783">
        <v>0</v>
      </c>
      <c r="M269" s="783"/>
      <c r="N269" s="784">
        <v>120315</v>
      </c>
      <c r="O269" s="784">
        <v>1174358</v>
      </c>
      <c r="P269" s="784">
        <v>0</v>
      </c>
      <c r="Q269" s="783">
        <v>34911</v>
      </c>
      <c r="R269" s="783"/>
      <c r="S269" s="784">
        <v>233691</v>
      </c>
      <c r="T269" s="785">
        <v>-11361</v>
      </c>
      <c r="U269" s="785">
        <v>222330</v>
      </c>
    </row>
    <row r="270" spans="1:21" x14ac:dyDescent="0.25">
      <c r="A270" s="780">
        <v>92821</v>
      </c>
      <c r="B270" s="781" t="s">
        <v>1434</v>
      </c>
      <c r="C270" s="782">
        <v>9.8010000000000002E-4</v>
      </c>
      <c r="D270" s="782">
        <v>9.905999999999999E-4</v>
      </c>
      <c r="E270" s="783">
        <v>425447</v>
      </c>
      <c r="F270" s="783">
        <v>-546730</v>
      </c>
      <c r="G270" s="783">
        <v>439863</v>
      </c>
      <c r="H270" s="783"/>
      <c r="I270" s="784">
        <v>0</v>
      </c>
      <c r="J270" s="784">
        <v>883968</v>
      </c>
      <c r="K270" s="784">
        <v>0</v>
      </c>
      <c r="L270" s="783">
        <v>18287</v>
      </c>
      <c r="M270" s="783"/>
      <c r="N270" s="784">
        <v>103394</v>
      </c>
      <c r="O270" s="784">
        <v>1009196</v>
      </c>
      <c r="P270" s="784">
        <v>0</v>
      </c>
      <c r="Q270" s="783">
        <v>0</v>
      </c>
      <c r="R270" s="783"/>
      <c r="S270" s="784">
        <v>200824</v>
      </c>
      <c r="T270" s="785">
        <v>5195</v>
      </c>
      <c r="U270" s="785">
        <v>206019</v>
      </c>
    </row>
    <row r="271" spans="1:21" x14ac:dyDescent="0.25">
      <c r="A271" s="780">
        <v>92831</v>
      </c>
      <c r="B271" s="781" t="s">
        <v>1435</v>
      </c>
      <c r="C271" s="782">
        <v>2.4049999999999999E-4</v>
      </c>
      <c r="D271" s="782">
        <v>2.498E-4</v>
      </c>
      <c r="E271" s="783">
        <v>115041</v>
      </c>
      <c r="F271" s="783">
        <v>-137869</v>
      </c>
      <c r="G271" s="783">
        <v>107935</v>
      </c>
      <c r="H271" s="783"/>
      <c r="I271" s="784">
        <v>0</v>
      </c>
      <c r="J271" s="784">
        <v>216911</v>
      </c>
      <c r="K271" s="784">
        <v>0</v>
      </c>
      <c r="L271" s="783">
        <v>19152</v>
      </c>
      <c r="M271" s="783"/>
      <c r="N271" s="784">
        <v>25371</v>
      </c>
      <c r="O271" s="784">
        <v>247640</v>
      </c>
      <c r="P271" s="784">
        <v>0</v>
      </c>
      <c r="Q271" s="783">
        <v>0</v>
      </c>
      <c r="R271" s="783"/>
      <c r="S271" s="784">
        <v>49279</v>
      </c>
      <c r="T271" s="785">
        <v>5909</v>
      </c>
      <c r="U271" s="785">
        <v>55188</v>
      </c>
    </row>
    <row r="272" spans="1:21" x14ac:dyDescent="0.25">
      <c r="A272" s="780">
        <v>92841</v>
      </c>
      <c r="B272" s="781" t="s">
        <v>1436</v>
      </c>
      <c r="C272" s="782">
        <v>2.7070000000000002E-4</v>
      </c>
      <c r="D272" s="782">
        <v>2.6689999999999998E-4</v>
      </c>
      <c r="E272" s="783">
        <v>106098</v>
      </c>
      <c r="F272" s="783">
        <v>-147307</v>
      </c>
      <c r="G272" s="783">
        <v>121489</v>
      </c>
      <c r="H272" s="783"/>
      <c r="I272" s="784">
        <v>0</v>
      </c>
      <c r="J272" s="784">
        <v>244149</v>
      </c>
      <c r="K272" s="784">
        <v>0</v>
      </c>
      <c r="L272" s="783">
        <v>17581.2</v>
      </c>
      <c r="M272" s="783"/>
      <c r="N272" s="784">
        <v>28557</v>
      </c>
      <c r="O272" s="784">
        <v>278736</v>
      </c>
      <c r="P272" s="784">
        <v>0</v>
      </c>
      <c r="Q272" s="783">
        <v>839</v>
      </c>
      <c r="R272" s="783"/>
      <c r="S272" s="784">
        <v>55467</v>
      </c>
      <c r="T272" s="785">
        <v>5660</v>
      </c>
      <c r="U272" s="785">
        <v>61127</v>
      </c>
    </row>
    <row r="273" spans="1:21" x14ac:dyDescent="0.25">
      <c r="A273" s="780">
        <v>92851</v>
      </c>
      <c r="B273" s="781" t="s">
        <v>1437</v>
      </c>
      <c r="C273" s="782">
        <v>4.6690000000000002E-4</v>
      </c>
      <c r="D273" s="782">
        <v>4.9240000000000004E-4</v>
      </c>
      <c r="E273" s="783">
        <v>168961</v>
      </c>
      <c r="F273" s="783">
        <v>-271764</v>
      </c>
      <c r="G273" s="783">
        <v>209542</v>
      </c>
      <c r="H273" s="783"/>
      <c r="I273" s="784">
        <v>0</v>
      </c>
      <c r="J273" s="784">
        <v>421105</v>
      </c>
      <c r="K273" s="784">
        <v>0</v>
      </c>
      <c r="L273" s="783">
        <v>0</v>
      </c>
      <c r="M273" s="783"/>
      <c r="N273" s="784">
        <v>49255</v>
      </c>
      <c r="O273" s="784">
        <v>480761</v>
      </c>
      <c r="P273" s="784">
        <v>0</v>
      </c>
      <c r="Q273" s="783">
        <v>84346</v>
      </c>
      <c r="R273" s="783"/>
      <c r="S273" s="784">
        <v>95669</v>
      </c>
      <c r="T273" s="785">
        <v>-25661</v>
      </c>
      <c r="U273" s="785">
        <v>70007</v>
      </c>
    </row>
    <row r="274" spans="1:21" x14ac:dyDescent="0.25">
      <c r="A274" s="780">
        <v>92861</v>
      </c>
      <c r="B274" s="781" t="s">
        <v>1438</v>
      </c>
      <c r="C274" s="782">
        <v>3.7750000000000001E-4</v>
      </c>
      <c r="D274" s="782">
        <v>3.68E-4</v>
      </c>
      <c r="E274" s="783">
        <v>101800</v>
      </c>
      <c r="F274" s="783">
        <v>-203106</v>
      </c>
      <c r="G274" s="783">
        <v>169420</v>
      </c>
      <c r="H274" s="783"/>
      <c r="I274" s="784">
        <v>0</v>
      </c>
      <c r="J274" s="784">
        <v>340473</v>
      </c>
      <c r="K274" s="784">
        <v>0</v>
      </c>
      <c r="L274" s="783">
        <v>0</v>
      </c>
      <c r="M274" s="783"/>
      <c r="N274" s="784">
        <v>39824</v>
      </c>
      <c r="O274" s="784">
        <v>388707</v>
      </c>
      <c r="P274" s="784">
        <v>0</v>
      </c>
      <c r="Q274" s="783">
        <v>64109</v>
      </c>
      <c r="R274" s="783"/>
      <c r="S274" s="784">
        <v>77351</v>
      </c>
      <c r="T274" s="785">
        <v>-18912</v>
      </c>
      <c r="U274" s="785">
        <v>58439</v>
      </c>
    </row>
    <row r="275" spans="1:21" x14ac:dyDescent="0.25">
      <c r="A275" s="780">
        <v>92901</v>
      </c>
      <c r="B275" s="781" t="s">
        <v>1439</v>
      </c>
      <c r="C275" s="782">
        <v>5.7428999999999996E-3</v>
      </c>
      <c r="D275" s="782">
        <v>5.62E-3</v>
      </c>
      <c r="E275" s="783">
        <v>2370994</v>
      </c>
      <c r="F275" s="783">
        <v>-3101779.16</v>
      </c>
      <c r="G275" s="783">
        <v>2577379</v>
      </c>
      <c r="H275" s="783"/>
      <c r="I275" s="784">
        <v>0</v>
      </c>
      <c r="J275" s="784">
        <v>5179613</v>
      </c>
      <c r="K275" s="784">
        <v>0</v>
      </c>
      <c r="L275" s="783">
        <v>151424</v>
      </c>
      <c r="M275" s="783"/>
      <c r="N275" s="784">
        <v>605836</v>
      </c>
      <c r="O275" s="784">
        <v>5913389</v>
      </c>
      <c r="P275" s="784">
        <v>0</v>
      </c>
      <c r="Q275" s="783">
        <v>0</v>
      </c>
      <c r="R275" s="783"/>
      <c r="S275" s="784">
        <v>1176732</v>
      </c>
      <c r="T275" s="785">
        <v>42863</v>
      </c>
      <c r="U275" s="785">
        <v>1219595</v>
      </c>
    </row>
    <row r="276" spans="1:21" x14ac:dyDescent="0.25">
      <c r="A276" s="780">
        <v>92911</v>
      </c>
      <c r="B276" s="781" t="s">
        <v>1440</v>
      </c>
      <c r="C276" s="782">
        <v>2.0665000000000002E-3</v>
      </c>
      <c r="D276" s="782">
        <v>2.2027000000000001E-3</v>
      </c>
      <c r="E276" s="783">
        <v>821493</v>
      </c>
      <c r="F276" s="783">
        <v>-1215710</v>
      </c>
      <c r="G276" s="783">
        <v>927433</v>
      </c>
      <c r="H276" s="783"/>
      <c r="I276" s="784">
        <v>0</v>
      </c>
      <c r="J276" s="784">
        <v>1863809</v>
      </c>
      <c r="K276" s="784">
        <v>0</v>
      </c>
      <c r="L276" s="783">
        <v>0</v>
      </c>
      <c r="M276" s="783"/>
      <c r="N276" s="784">
        <v>218001</v>
      </c>
      <c r="O276" s="784">
        <v>2127848</v>
      </c>
      <c r="P276" s="784">
        <v>0</v>
      </c>
      <c r="Q276" s="783">
        <v>166611</v>
      </c>
      <c r="R276" s="783"/>
      <c r="S276" s="784">
        <v>423430</v>
      </c>
      <c r="T276" s="785">
        <v>-47497</v>
      </c>
      <c r="U276" s="785">
        <v>375933</v>
      </c>
    </row>
    <row r="277" spans="1:21" x14ac:dyDescent="0.25">
      <c r="A277" s="780">
        <v>92913</v>
      </c>
      <c r="B277" s="781" t="s">
        <v>1441</v>
      </c>
      <c r="C277" s="782">
        <v>2.97E-5</v>
      </c>
      <c r="D277" s="782">
        <v>3.1999999999999999E-5</v>
      </c>
      <c r="E277" s="783">
        <v>60426</v>
      </c>
      <c r="F277" s="783">
        <v>-17661</v>
      </c>
      <c r="G277" s="783">
        <v>13329</v>
      </c>
      <c r="H277" s="783"/>
      <c r="I277" s="784">
        <v>0</v>
      </c>
      <c r="J277" s="784">
        <v>26787</v>
      </c>
      <c r="K277" s="784">
        <v>0</v>
      </c>
      <c r="L277" s="783">
        <v>36666</v>
      </c>
      <c r="M277" s="783"/>
      <c r="N277" s="784">
        <v>3133</v>
      </c>
      <c r="O277" s="784">
        <v>30582</v>
      </c>
      <c r="P277" s="784">
        <v>0</v>
      </c>
      <c r="Q277" s="783">
        <v>6183</v>
      </c>
      <c r="R277" s="783"/>
      <c r="S277" s="784">
        <v>6086</v>
      </c>
      <c r="T277" s="785">
        <v>7530</v>
      </c>
      <c r="U277" s="785">
        <v>13616</v>
      </c>
    </row>
    <row r="278" spans="1:21" x14ac:dyDescent="0.25">
      <c r="A278" s="780">
        <v>92917</v>
      </c>
      <c r="B278" s="781" t="s">
        <v>1442</v>
      </c>
      <c r="C278" s="782">
        <v>1.9599999999999999E-5</v>
      </c>
      <c r="D278" s="782">
        <v>2.0400000000000001E-5</v>
      </c>
      <c r="E278" s="783">
        <v>14345</v>
      </c>
      <c r="F278" s="783">
        <v>-11259</v>
      </c>
      <c r="G278" s="783">
        <v>8796</v>
      </c>
      <c r="H278" s="783"/>
      <c r="I278" s="784">
        <v>0</v>
      </c>
      <c r="J278" s="784">
        <v>17678</v>
      </c>
      <c r="K278" s="784">
        <v>0</v>
      </c>
      <c r="L278" s="783">
        <v>12222</v>
      </c>
      <c r="M278" s="783"/>
      <c r="N278" s="784">
        <v>2068</v>
      </c>
      <c r="O278" s="784">
        <v>20182</v>
      </c>
      <c r="P278" s="784">
        <v>0</v>
      </c>
      <c r="Q278" s="783">
        <v>0</v>
      </c>
      <c r="R278" s="783"/>
      <c r="S278" s="784">
        <v>4016</v>
      </c>
      <c r="T278" s="785">
        <v>3763</v>
      </c>
      <c r="U278" s="785">
        <v>7779</v>
      </c>
    </row>
    <row r="279" spans="1:21" x14ac:dyDescent="0.25">
      <c r="A279" s="780">
        <v>92921</v>
      </c>
      <c r="B279" s="781" t="s">
        <v>1443</v>
      </c>
      <c r="C279" s="782">
        <v>8.1500000000000002E-5</v>
      </c>
      <c r="D279" s="782">
        <v>8.6299999999999997E-5</v>
      </c>
      <c r="E279" s="783">
        <v>37497</v>
      </c>
      <c r="F279" s="783">
        <v>-47631</v>
      </c>
      <c r="G279" s="783">
        <v>36577</v>
      </c>
      <c r="H279" s="783"/>
      <c r="I279" s="784">
        <v>0</v>
      </c>
      <c r="J279" s="784">
        <v>73506</v>
      </c>
      <c r="K279" s="784">
        <v>0</v>
      </c>
      <c r="L279" s="783">
        <v>0</v>
      </c>
      <c r="M279" s="783"/>
      <c r="N279" s="784">
        <v>8598</v>
      </c>
      <c r="O279" s="784">
        <v>83919</v>
      </c>
      <c r="P279" s="784">
        <v>0</v>
      </c>
      <c r="Q279" s="783">
        <v>15959</v>
      </c>
      <c r="R279" s="783"/>
      <c r="S279" s="784">
        <v>16700</v>
      </c>
      <c r="T279" s="785">
        <v>-5336</v>
      </c>
      <c r="U279" s="785">
        <v>11364</v>
      </c>
    </row>
    <row r="280" spans="1:21" x14ac:dyDescent="0.25">
      <c r="A280" s="780">
        <v>92931</v>
      </c>
      <c r="B280" s="781" t="s">
        <v>1444</v>
      </c>
      <c r="C280" s="782">
        <v>2.5463E-3</v>
      </c>
      <c r="D280" s="782">
        <v>2.5593999999999999E-3</v>
      </c>
      <c r="E280" s="783">
        <v>1000966</v>
      </c>
      <c r="F280" s="783">
        <v>-1412579</v>
      </c>
      <c r="G280" s="783">
        <v>1142764</v>
      </c>
      <c r="H280" s="783"/>
      <c r="I280" s="784">
        <v>0</v>
      </c>
      <c r="J280" s="784">
        <v>2296549</v>
      </c>
      <c r="K280" s="784">
        <v>0</v>
      </c>
      <c r="L280" s="783">
        <v>23319</v>
      </c>
      <c r="M280" s="783"/>
      <c r="N280" s="784">
        <v>268617</v>
      </c>
      <c r="O280" s="784">
        <v>2621892</v>
      </c>
      <c r="P280" s="784">
        <v>0</v>
      </c>
      <c r="Q280" s="783">
        <v>39818</v>
      </c>
      <c r="R280" s="783"/>
      <c r="S280" s="784">
        <v>521742</v>
      </c>
      <c r="T280" s="785">
        <v>-2625</v>
      </c>
      <c r="U280" s="785">
        <v>519117</v>
      </c>
    </row>
    <row r="281" spans="1:21" x14ac:dyDescent="0.25">
      <c r="A281" s="780">
        <v>92941</v>
      </c>
      <c r="B281" s="781" t="s">
        <v>1445</v>
      </c>
      <c r="C281" s="782">
        <v>1.5999999999999999E-5</v>
      </c>
      <c r="D281" s="782">
        <v>0</v>
      </c>
      <c r="E281" s="783">
        <v>7222</v>
      </c>
      <c r="F281" s="783">
        <v>0</v>
      </c>
      <c r="G281" s="783">
        <v>7181</v>
      </c>
      <c r="H281" s="783"/>
      <c r="I281" s="784">
        <v>0</v>
      </c>
      <c r="J281" s="784">
        <v>14431</v>
      </c>
      <c r="K281" s="784">
        <v>0</v>
      </c>
      <c r="L281" s="783">
        <v>12561</v>
      </c>
      <c r="M281" s="783"/>
      <c r="N281" s="784">
        <v>1688</v>
      </c>
      <c r="O281" s="784">
        <v>16475</v>
      </c>
      <c r="P281" s="784">
        <v>0</v>
      </c>
      <c r="Q281" s="783">
        <v>0</v>
      </c>
      <c r="R281" s="783"/>
      <c r="S281" s="784">
        <v>3278</v>
      </c>
      <c r="T281" s="785">
        <v>3345</v>
      </c>
      <c r="U281" s="785">
        <v>6624</v>
      </c>
    </row>
    <row r="282" spans="1:21" x14ac:dyDescent="0.25">
      <c r="A282" s="780">
        <v>93001</v>
      </c>
      <c r="B282" s="781" t="s">
        <v>1446</v>
      </c>
      <c r="C282" s="782">
        <v>2.2177999999999998E-3</v>
      </c>
      <c r="D282" s="782">
        <v>2.1735999999999999E-3</v>
      </c>
      <c r="E282" s="783">
        <v>889479</v>
      </c>
      <c r="F282" s="783">
        <v>-1199649</v>
      </c>
      <c r="G282" s="783">
        <v>995335</v>
      </c>
      <c r="H282" s="783"/>
      <c r="I282" s="784">
        <v>0</v>
      </c>
      <c r="J282" s="784">
        <v>2000269</v>
      </c>
      <c r="K282" s="784">
        <v>0</v>
      </c>
      <c r="L282" s="783">
        <v>18329</v>
      </c>
      <c r="M282" s="783"/>
      <c r="N282" s="784">
        <v>233962</v>
      </c>
      <c r="O282" s="784">
        <v>2283640</v>
      </c>
      <c r="P282" s="784">
        <v>0</v>
      </c>
      <c r="Q282" s="783">
        <v>116386</v>
      </c>
      <c r="R282" s="783"/>
      <c r="S282" s="784">
        <v>454432</v>
      </c>
      <c r="T282" s="785">
        <v>-34127</v>
      </c>
      <c r="U282" s="785">
        <v>420305</v>
      </c>
    </row>
    <row r="283" spans="1:21" x14ac:dyDescent="0.25">
      <c r="A283" s="780">
        <v>93009</v>
      </c>
      <c r="B283" s="781" t="s">
        <v>1447</v>
      </c>
      <c r="C283" s="782">
        <v>1.6399999999999999E-5</v>
      </c>
      <c r="D283" s="782">
        <v>1.6699999999999999E-5</v>
      </c>
      <c r="E283" s="783">
        <v>4891</v>
      </c>
      <c r="F283" s="783">
        <v>-9217</v>
      </c>
      <c r="G283" s="783">
        <v>7360</v>
      </c>
      <c r="H283" s="783"/>
      <c r="I283" s="784">
        <v>0</v>
      </c>
      <c r="J283" s="784">
        <v>14791</v>
      </c>
      <c r="K283" s="784">
        <v>0</v>
      </c>
      <c r="L283" s="783">
        <v>0</v>
      </c>
      <c r="M283" s="783"/>
      <c r="N283" s="784">
        <v>1730</v>
      </c>
      <c r="O283" s="784">
        <v>16887</v>
      </c>
      <c r="P283" s="784">
        <v>0</v>
      </c>
      <c r="Q283" s="783">
        <v>3581</v>
      </c>
      <c r="R283" s="783"/>
      <c r="S283" s="784">
        <v>3360</v>
      </c>
      <c r="T283" s="785">
        <v>-1079</v>
      </c>
      <c r="U283" s="785">
        <v>2282</v>
      </c>
    </row>
    <row r="284" spans="1:21" x14ac:dyDescent="0.25">
      <c r="A284" s="780">
        <v>93011</v>
      </c>
      <c r="B284" s="781" t="s">
        <v>1448</v>
      </c>
      <c r="C284" s="782">
        <v>2.9179999999999999E-4</v>
      </c>
      <c r="D284" s="782">
        <v>2.898E-4</v>
      </c>
      <c r="E284" s="783">
        <v>121450</v>
      </c>
      <c r="F284" s="783">
        <v>-159946</v>
      </c>
      <c r="G284" s="783">
        <v>130958</v>
      </c>
      <c r="H284" s="783"/>
      <c r="I284" s="784">
        <v>0</v>
      </c>
      <c r="J284" s="784">
        <v>263179</v>
      </c>
      <c r="K284" s="784">
        <v>0</v>
      </c>
      <c r="L284" s="783">
        <v>3237</v>
      </c>
      <c r="M284" s="783"/>
      <c r="N284" s="784">
        <v>30783</v>
      </c>
      <c r="O284" s="784">
        <v>300463</v>
      </c>
      <c r="P284" s="784">
        <v>0</v>
      </c>
      <c r="Q284" s="783">
        <v>2879</v>
      </c>
      <c r="R284" s="783"/>
      <c r="S284" s="784">
        <v>59790</v>
      </c>
      <c r="T284" s="785">
        <v>-116</v>
      </c>
      <c r="U284" s="785">
        <v>59675</v>
      </c>
    </row>
    <row r="285" spans="1:21" x14ac:dyDescent="0.25">
      <c r="A285" s="780">
        <v>93021</v>
      </c>
      <c r="B285" s="781" t="s">
        <v>1449</v>
      </c>
      <c r="C285" s="782">
        <v>3.7200000000000003E-5</v>
      </c>
      <c r="D285" s="782">
        <v>2.9E-5</v>
      </c>
      <c r="E285" s="783">
        <v>12357</v>
      </c>
      <c r="F285" s="783">
        <v>-16006</v>
      </c>
      <c r="G285" s="783">
        <v>16695</v>
      </c>
      <c r="H285" s="783"/>
      <c r="I285" s="784">
        <v>0</v>
      </c>
      <c r="J285" s="784">
        <v>33551</v>
      </c>
      <c r="K285" s="784">
        <v>0</v>
      </c>
      <c r="L285" s="783">
        <v>5708</v>
      </c>
      <c r="M285" s="783"/>
      <c r="N285" s="784">
        <v>3924</v>
      </c>
      <c r="O285" s="784">
        <v>38304</v>
      </c>
      <c r="P285" s="784">
        <v>0</v>
      </c>
      <c r="Q285" s="783">
        <v>0</v>
      </c>
      <c r="R285" s="783"/>
      <c r="S285" s="784">
        <v>7622</v>
      </c>
      <c r="T285" s="785">
        <v>1654</v>
      </c>
      <c r="U285" s="785">
        <v>9276</v>
      </c>
    </row>
    <row r="286" spans="1:21" x14ac:dyDescent="0.25">
      <c r="A286" s="780">
        <v>93027</v>
      </c>
      <c r="B286" s="781" t="s">
        <v>1450</v>
      </c>
      <c r="C286" s="782">
        <v>1.49E-5</v>
      </c>
      <c r="D286" s="782">
        <v>1.6399999999999999E-5</v>
      </c>
      <c r="E286" s="783">
        <v>6378</v>
      </c>
      <c r="F286" s="783">
        <v>-9051</v>
      </c>
      <c r="G286" s="783">
        <v>6687</v>
      </c>
      <c r="H286" s="783"/>
      <c r="I286" s="784">
        <v>0</v>
      </c>
      <c r="J286" s="784">
        <v>13439</v>
      </c>
      <c r="K286" s="784">
        <v>0</v>
      </c>
      <c r="L286" s="783">
        <v>0</v>
      </c>
      <c r="M286" s="783"/>
      <c r="N286" s="784">
        <v>1572</v>
      </c>
      <c r="O286" s="784">
        <v>15342</v>
      </c>
      <c r="P286" s="784">
        <v>0</v>
      </c>
      <c r="Q286" s="783">
        <v>2159</v>
      </c>
      <c r="R286" s="783"/>
      <c r="S286" s="784">
        <v>3053</v>
      </c>
      <c r="T286" s="785">
        <v>-663</v>
      </c>
      <c r="U286" s="785">
        <v>2391</v>
      </c>
    </row>
    <row r="287" spans="1:21" x14ac:dyDescent="0.25">
      <c r="A287" s="780">
        <v>93031</v>
      </c>
      <c r="B287" s="781" t="s">
        <v>1451</v>
      </c>
      <c r="C287" s="782">
        <v>1.4399999999999999E-5</v>
      </c>
      <c r="D287" s="782">
        <v>2.48E-5</v>
      </c>
      <c r="E287" s="783">
        <v>18753</v>
      </c>
      <c r="F287" s="783">
        <v>-13688</v>
      </c>
      <c r="G287" s="783">
        <v>6463</v>
      </c>
      <c r="H287" s="783"/>
      <c r="I287" s="784">
        <v>0</v>
      </c>
      <c r="J287" s="784">
        <v>12988</v>
      </c>
      <c r="K287" s="784">
        <v>0</v>
      </c>
      <c r="L287" s="783">
        <v>2905</v>
      </c>
      <c r="M287" s="783"/>
      <c r="N287" s="784">
        <v>1519</v>
      </c>
      <c r="O287" s="784">
        <v>14827</v>
      </c>
      <c r="P287" s="784">
        <v>0</v>
      </c>
      <c r="Q287" s="783">
        <v>667</v>
      </c>
      <c r="R287" s="783"/>
      <c r="S287" s="784">
        <v>2951</v>
      </c>
      <c r="T287" s="785">
        <v>537</v>
      </c>
      <c r="U287" s="785">
        <v>3488</v>
      </c>
    </row>
    <row r="288" spans="1:21" x14ac:dyDescent="0.25">
      <c r="A288" s="780">
        <v>93101</v>
      </c>
      <c r="B288" s="781" t="s">
        <v>1452</v>
      </c>
      <c r="C288" s="782">
        <v>3.2972000000000001E-3</v>
      </c>
      <c r="D288" s="782">
        <v>3.2204999999999998E-3</v>
      </c>
      <c r="E288" s="783">
        <v>1373736</v>
      </c>
      <c r="F288" s="783">
        <v>-1777452</v>
      </c>
      <c r="G288" s="783">
        <v>1479764</v>
      </c>
      <c r="H288" s="783"/>
      <c r="I288" s="784">
        <v>0</v>
      </c>
      <c r="J288" s="784">
        <v>2973797</v>
      </c>
      <c r="K288" s="784">
        <v>0</v>
      </c>
      <c r="L288" s="783">
        <v>188284</v>
      </c>
      <c r="M288" s="783"/>
      <c r="N288" s="784">
        <v>347832</v>
      </c>
      <c r="O288" s="784">
        <v>3395084</v>
      </c>
      <c r="P288" s="784">
        <v>0</v>
      </c>
      <c r="Q288" s="783">
        <v>0</v>
      </c>
      <c r="R288" s="783"/>
      <c r="S288" s="784">
        <v>675603</v>
      </c>
      <c r="T288" s="785">
        <v>57473</v>
      </c>
      <c r="U288" s="785">
        <v>733076</v>
      </c>
    </row>
    <row r="289" spans="1:21" x14ac:dyDescent="0.25">
      <c r="A289" s="780">
        <v>93103</v>
      </c>
      <c r="B289" s="781" t="s">
        <v>2123</v>
      </c>
      <c r="C289" s="782">
        <v>0</v>
      </c>
      <c r="D289" s="782">
        <v>0</v>
      </c>
      <c r="E289" s="783">
        <v>2461</v>
      </c>
      <c r="F289" s="783">
        <v>0</v>
      </c>
      <c r="G289" s="783">
        <v>0</v>
      </c>
      <c r="H289" s="783"/>
      <c r="I289" s="784">
        <v>0</v>
      </c>
      <c r="J289" s="784">
        <v>0</v>
      </c>
      <c r="K289" s="784">
        <v>0</v>
      </c>
      <c r="L289" s="783">
        <v>1951</v>
      </c>
      <c r="M289" s="783"/>
      <c r="N289" s="784">
        <v>0</v>
      </c>
      <c r="O289" s="784">
        <v>0</v>
      </c>
      <c r="P289" s="784">
        <v>0</v>
      </c>
      <c r="Q289" s="783">
        <v>0</v>
      </c>
      <c r="R289" s="783"/>
      <c r="S289" s="784">
        <v>0</v>
      </c>
      <c r="T289" s="785">
        <v>511</v>
      </c>
      <c r="U289" s="785">
        <v>511</v>
      </c>
    </row>
    <row r="290" spans="1:21" x14ac:dyDescent="0.25">
      <c r="A290" s="780">
        <v>93108</v>
      </c>
      <c r="B290" s="781" t="s">
        <v>1453</v>
      </c>
      <c r="C290" s="782">
        <v>2.4540999999999999E-3</v>
      </c>
      <c r="D290" s="782">
        <v>2.3459000000000002E-3</v>
      </c>
      <c r="E290" s="783">
        <v>1062309</v>
      </c>
      <c r="F290" s="783">
        <v>-1294744</v>
      </c>
      <c r="G290" s="783">
        <v>1101385</v>
      </c>
      <c r="H290" s="783"/>
      <c r="I290" s="784">
        <v>0</v>
      </c>
      <c r="J290" s="784">
        <v>2213392</v>
      </c>
      <c r="K290" s="784">
        <v>0</v>
      </c>
      <c r="L290" s="783">
        <v>515577</v>
      </c>
      <c r="M290" s="783"/>
      <c r="N290" s="784">
        <v>258890</v>
      </c>
      <c r="O290" s="784">
        <v>2526955</v>
      </c>
      <c r="P290" s="784">
        <v>0</v>
      </c>
      <c r="Q290" s="783">
        <v>0</v>
      </c>
      <c r="R290" s="783"/>
      <c r="S290" s="784">
        <v>502850</v>
      </c>
      <c r="T290" s="785">
        <v>163441</v>
      </c>
      <c r="U290" s="785">
        <v>666291</v>
      </c>
    </row>
    <row r="291" spans="1:21" x14ac:dyDescent="0.25">
      <c r="A291" s="780">
        <v>93111</v>
      </c>
      <c r="B291" s="781" t="s">
        <v>1454</v>
      </c>
      <c r="C291" s="782">
        <v>7.3700000000000002E-5</v>
      </c>
      <c r="D291" s="782">
        <v>7.8499999999999997E-5</v>
      </c>
      <c r="E291" s="783">
        <v>25787</v>
      </c>
      <c r="F291" s="783">
        <v>-43326</v>
      </c>
      <c r="G291" s="783">
        <v>33076</v>
      </c>
      <c r="H291" s="783"/>
      <c r="I291" s="784">
        <v>0</v>
      </c>
      <c r="J291" s="784">
        <v>66471</v>
      </c>
      <c r="K291" s="784">
        <v>0</v>
      </c>
      <c r="L291" s="783">
        <v>0</v>
      </c>
      <c r="M291" s="783"/>
      <c r="N291" s="784">
        <v>7775</v>
      </c>
      <c r="O291" s="784">
        <v>75888</v>
      </c>
      <c r="P291" s="784">
        <v>0</v>
      </c>
      <c r="Q291" s="783">
        <v>8095</v>
      </c>
      <c r="R291" s="783"/>
      <c r="S291" s="784">
        <v>15101</v>
      </c>
      <c r="T291" s="785">
        <v>-2215</v>
      </c>
      <c r="U291" s="785">
        <v>12887</v>
      </c>
    </row>
    <row r="292" spans="1:21" x14ac:dyDescent="0.25">
      <c r="A292" s="780">
        <v>93121</v>
      </c>
      <c r="B292" s="781" t="s">
        <v>1455</v>
      </c>
      <c r="C292" s="782">
        <v>7.4900000000000005E-5</v>
      </c>
      <c r="D292" s="782">
        <v>6.9800000000000003E-5</v>
      </c>
      <c r="E292" s="783">
        <v>25910</v>
      </c>
      <c r="F292" s="783">
        <v>-38524</v>
      </c>
      <c r="G292" s="783">
        <v>33615</v>
      </c>
      <c r="H292" s="783"/>
      <c r="I292" s="784">
        <v>0</v>
      </c>
      <c r="J292" s="784">
        <v>67554</v>
      </c>
      <c r="K292" s="784">
        <v>0</v>
      </c>
      <c r="L292" s="783">
        <v>0</v>
      </c>
      <c r="M292" s="783"/>
      <c r="N292" s="784">
        <v>7901</v>
      </c>
      <c r="O292" s="784">
        <v>77124</v>
      </c>
      <c r="P292" s="784">
        <v>0</v>
      </c>
      <c r="Q292" s="783">
        <v>4165</v>
      </c>
      <c r="R292" s="783"/>
      <c r="S292" s="784">
        <v>15347</v>
      </c>
      <c r="T292" s="785">
        <v>-1384</v>
      </c>
      <c r="U292" s="785">
        <v>13963</v>
      </c>
    </row>
    <row r="293" spans="1:21" x14ac:dyDescent="0.25">
      <c r="A293" s="780">
        <v>93127</v>
      </c>
      <c r="B293" s="781" t="s">
        <v>1456</v>
      </c>
      <c r="C293" s="782">
        <v>7.7999999999999999E-6</v>
      </c>
      <c r="D293" s="782">
        <v>8.3000000000000002E-6</v>
      </c>
      <c r="E293" s="783">
        <v>3165</v>
      </c>
      <c r="F293" s="783">
        <v>-4581</v>
      </c>
      <c r="G293" s="783">
        <v>3501</v>
      </c>
      <c r="H293" s="783"/>
      <c r="I293" s="784">
        <v>0</v>
      </c>
      <c r="J293" s="784">
        <v>7035</v>
      </c>
      <c r="K293" s="784">
        <v>0</v>
      </c>
      <c r="L293" s="783">
        <v>0</v>
      </c>
      <c r="M293" s="783"/>
      <c r="N293" s="784">
        <v>823</v>
      </c>
      <c r="O293" s="784">
        <v>8032</v>
      </c>
      <c r="P293" s="784">
        <v>0</v>
      </c>
      <c r="Q293" s="783">
        <v>868</v>
      </c>
      <c r="R293" s="783"/>
      <c r="S293" s="784">
        <v>1598</v>
      </c>
      <c r="T293" s="785">
        <v>-264</v>
      </c>
      <c r="U293" s="785">
        <v>1334</v>
      </c>
    </row>
    <row r="294" spans="1:21" x14ac:dyDescent="0.25">
      <c r="A294" s="780">
        <v>93131</v>
      </c>
      <c r="B294" s="781" t="s">
        <v>1457</v>
      </c>
      <c r="C294" s="782">
        <v>2.3680000000000001E-4</v>
      </c>
      <c r="D294" s="782">
        <v>2.1499999999999999E-4</v>
      </c>
      <c r="E294" s="783">
        <v>92045</v>
      </c>
      <c r="F294" s="783">
        <v>-118662.37</v>
      </c>
      <c r="G294" s="783">
        <v>106274</v>
      </c>
      <c r="H294" s="783"/>
      <c r="I294" s="784">
        <v>0</v>
      </c>
      <c r="J294" s="784">
        <v>213574</v>
      </c>
      <c r="K294" s="784">
        <v>0</v>
      </c>
      <c r="L294" s="783">
        <v>18722</v>
      </c>
      <c r="M294" s="783"/>
      <c r="N294" s="784">
        <v>24981</v>
      </c>
      <c r="O294" s="784">
        <v>243830</v>
      </c>
      <c r="P294" s="784">
        <v>0</v>
      </c>
      <c r="Q294" s="783">
        <v>0</v>
      </c>
      <c r="R294" s="783"/>
      <c r="S294" s="784">
        <v>48521</v>
      </c>
      <c r="T294" s="785">
        <v>5417</v>
      </c>
      <c r="U294" s="785">
        <v>53938</v>
      </c>
    </row>
    <row r="295" spans="1:21" x14ac:dyDescent="0.25">
      <c r="A295" s="780">
        <v>93137</v>
      </c>
      <c r="B295" s="781" t="s">
        <v>1458</v>
      </c>
      <c r="C295" s="782">
        <v>2.0999999999999998E-6</v>
      </c>
      <c r="D295" s="782">
        <v>2.3E-6</v>
      </c>
      <c r="E295" s="783">
        <v>1906</v>
      </c>
      <c r="F295" s="783">
        <v>-1269</v>
      </c>
      <c r="G295" s="783">
        <v>942</v>
      </c>
      <c r="H295" s="783"/>
      <c r="I295" s="784">
        <v>0</v>
      </c>
      <c r="J295" s="784">
        <v>1894</v>
      </c>
      <c r="K295" s="784">
        <v>0</v>
      </c>
      <c r="L295" s="783">
        <v>691</v>
      </c>
      <c r="M295" s="783"/>
      <c r="N295" s="784">
        <v>222</v>
      </c>
      <c r="O295" s="784">
        <v>2162</v>
      </c>
      <c r="P295" s="784">
        <v>0</v>
      </c>
      <c r="Q295" s="783">
        <v>0</v>
      </c>
      <c r="R295" s="783"/>
      <c r="S295" s="784">
        <v>430</v>
      </c>
      <c r="T295" s="785">
        <v>181</v>
      </c>
      <c r="U295" s="785">
        <v>611</v>
      </c>
    </row>
    <row r="296" spans="1:21" x14ac:dyDescent="0.25">
      <c r="A296" s="780">
        <v>93141</v>
      </c>
      <c r="B296" s="781" t="s">
        <v>1459</v>
      </c>
      <c r="C296" s="782">
        <v>4.3399999999999998E-5</v>
      </c>
      <c r="D296" s="782">
        <v>4.6699999999999997E-5</v>
      </c>
      <c r="E296" s="783">
        <v>15714</v>
      </c>
      <c r="F296" s="783">
        <v>-25775</v>
      </c>
      <c r="G296" s="783">
        <v>19478</v>
      </c>
      <c r="H296" s="783"/>
      <c r="I296" s="784">
        <v>0</v>
      </c>
      <c r="J296" s="784">
        <v>39143</v>
      </c>
      <c r="K296" s="784">
        <v>0</v>
      </c>
      <c r="L296" s="783">
        <v>6290.96</v>
      </c>
      <c r="M296" s="783"/>
      <c r="N296" s="784">
        <v>4578</v>
      </c>
      <c r="O296" s="784">
        <v>44688</v>
      </c>
      <c r="P296" s="784">
        <v>0</v>
      </c>
      <c r="Q296" s="783">
        <v>3905</v>
      </c>
      <c r="R296" s="783"/>
      <c r="S296" s="784">
        <v>8893</v>
      </c>
      <c r="T296" s="785">
        <v>1082</v>
      </c>
      <c r="U296" s="785">
        <v>9974</v>
      </c>
    </row>
    <row r="297" spans="1:21" x14ac:dyDescent="0.25">
      <c r="A297" s="780">
        <v>93151</v>
      </c>
      <c r="B297" s="781" t="s">
        <v>1460</v>
      </c>
      <c r="C297" s="782">
        <v>3.524E-4</v>
      </c>
      <c r="D297" s="782">
        <v>3.3260000000000001E-4</v>
      </c>
      <c r="E297" s="783">
        <v>136398</v>
      </c>
      <c r="F297" s="783">
        <v>-183568</v>
      </c>
      <c r="G297" s="783">
        <v>158155</v>
      </c>
      <c r="H297" s="783"/>
      <c r="I297" s="784">
        <v>0</v>
      </c>
      <c r="J297" s="784">
        <v>317835</v>
      </c>
      <c r="K297" s="784">
        <v>0</v>
      </c>
      <c r="L297" s="783">
        <v>7966</v>
      </c>
      <c r="M297" s="783"/>
      <c r="N297" s="784">
        <v>37176</v>
      </c>
      <c r="O297" s="784">
        <v>362862</v>
      </c>
      <c r="P297" s="784">
        <v>0</v>
      </c>
      <c r="Q297" s="783">
        <v>4831.84</v>
      </c>
      <c r="R297" s="783"/>
      <c r="S297" s="784">
        <v>72207</v>
      </c>
      <c r="T297" s="785">
        <v>469</v>
      </c>
      <c r="U297" s="785">
        <v>72677</v>
      </c>
    </row>
    <row r="298" spans="1:21" x14ac:dyDescent="0.25">
      <c r="A298" s="780">
        <v>93157</v>
      </c>
      <c r="B298" s="781" t="s">
        <v>1461</v>
      </c>
      <c r="C298" s="782">
        <v>2.3999999999999999E-6</v>
      </c>
      <c r="D298" s="782">
        <v>6.6000000000000003E-6</v>
      </c>
      <c r="E298" s="783">
        <v>3799</v>
      </c>
      <c r="F298" s="783">
        <v>-3643</v>
      </c>
      <c r="G298" s="783">
        <v>1077</v>
      </c>
      <c r="H298" s="783"/>
      <c r="I298" s="784">
        <v>0</v>
      </c>
      <c r="J298" s="784">
        <v>2165</v>
      </c>
      <c r="K298" s="784">
        <v>0</v>
      </c>
      <c r="L298" s="783">
        <v>4039</v>
      </c>
      <c r="M298" s="783"/>
      <c r="N298" s="784">
        <v>253</v>
      </c>
      <c r="O298" s="784">
        <v>2471</v>
      </c>
      <c r="P298" s="784">
        <v>0</v>
      </c>
      <c r="Q298" s="783">
        <v>713</v>
      </c>
      <c r="R298" s="783"/>
      <c r="S298" s="784">
        <v>492</v>
      </c>
      <c r="T298" s="785">
        <v>1164</v>
      </c>
      <c r="U298" s="785">
        <v>1656</v>
      </c>
    </row>
    <row r="299" spans="1:21" x14ac:dyDescent="0.25">
      <c r="A299" s="780">
        <v>93161</v>
      </c>
      <c r="B299" s="781" t="s">
        <v>1462</v>
      </c>
      <c r="C299" s="782">
        <v>7.4400000000000006E-5</v>
      </c>
      <c r="D299" s="782">
        <v>8.6500000000000002E-5</v>
      </c>
      <c r="E299" s="783">
        <v>44311</v>
      </c>
      <c r="F299" s="783">
        <v>-47741</v>
      </c>
      <c r="G299" s="783">
        <v>33390</v>
      </c>
      <c r="H299" s="783"/>
      <c r="I299" s="784">
        <v>0</v>
      </c>
      <c r="J299" s="784">
        <v>67103</v>
      </c>
      <c r="K299" s="784">
        <v>0</v>
      </c>
      <c r="L299" s="783">
        <v>16076</v>
      </c>
      <c r="M299" s="783"/>
      <c r="N299" s="784">
        <v>7849</v>
      </c>
      <c r="O299" s="784">
        <v>76609</v>
      </c>
      <c r="P299" s="784">
        <v>0</v>
      </c>
      <c r="Q299" s="783">
        <v>0</v>
      </c>
      <c r="R299" s="783"/>
      <c r="S299" s="784">
        <v>15245</v>
      </c>
      <c r="T299" s="785">
        <v>5191</v>
      </c>
      <c r="U299" s="785">
        <v>20436</v>
      </c>
    </row>
    <row r="300" spans="1:21" x14ac:dyDescent="0.25">
      <c r="A300" s="780">
        <v>93171</v>
      </c>
      <c r="B300" s="781" t="s">
        <v>1463</v>
      </c>
      <c r="C300" s="782">
        <v>6.1999999999999999E-6</v>
      </c>
      <c r="D300" s="782">
        <v>6.9E-6</v>
      </c>
      <c r="E300" s="783">
        <v>3889</v>
      </c>
      <c r="F300" s="783">
        <v>-3808</v>
      </c>
      <c r="G300" s="783">
        <v>2783</v>
      </c>
      <c r="H300" s="783"/>
      <c r="I300" s="784">
        <v>0</v>
      </c>
      <c r="J300" s="784">
        <v>5592</v>
      </c>
      <c r="K300" s="784">
        <v>0</v>
      </c>
      <c r="L300" s="783">
        <v>1177</v>
      </c>
      <c r="M300" s="783"/>
      <c r="N300" s="784">
        <v>654</v>
      </c>
      <c r="O300" s="784">
        <v>6384</v>
      </c>
      <c r="P300" s="784">
        <v>0</v>
      </c>
      <c r="Q300" s="783">
        <v>0</v>
      </c>
      <c r="R300" s="783"/>
      <c r="S300" s="784">
        <v>1270</v>
      </c>
      <c r="T300" s="785">
        <v>351</v>
      </c>
      <c r="U300" s="785">
        <v>1621</v>
      </c>
    </row>
    <row r="301" spans="1:21" x14ac:dyDescent="0.25">
      <c r="A301" s="780">
        <v>93181</v>
      </c>
      <c r="B301" s="781" t="s">
        <v>1464</v>
      </c>
      <c r="C301" s="782">
        <v>1.0499999999999999E-5</v>
      </c>
      <c r="D301" s="782">
        <v>1.08E-5</v>
      </c>
      <c r="E301" s="783">
        <v>4478</v>
      </c>
      <c r="F301" s="783">
        <v>-5961</v>
      </c>
      <c r="G301" s="783">
        <v>4712</v>
      </c>
      <c r="H301" s="783"/>
      <c r="I301" s="784">
        <v>0</v>
      </c>
      <c r="J301" s="784">
        <v>9470</v>
      </c>
      <c r="K301" s="784">
        <v>0</v>
      </c>
      <c r="L301" s="783">
        <v>888</v>
      </c>
      <c r="M301" s="783"/>
      <c r="N301" s="784">
        <v>1108</v>
      </c>
      <c r="O301" s="784">
        <v>10812</v>
      </c>
      <c r="P301" s="784">
        <v>0</v>
      </c>
      <c r="Q301" s="783">
        <v>59</v>
      </c>
      <c r="R301" s="783"/>
      <c r="S301" s="784">
        <v>2151</v>
      </c>
      <c r="T301" s="785">
        <v>282</v>
      </c>
      <c r="U301" s="785">
        <v>2433</v>
      </c>
    </row>
    <row r="302" spans="1:21" x14ac:dyDescent="0.25">
      <c r="A302" s="780">
        <v>93191</v>
      </c>
      <c r="B302" s="781" t="s">
        <v>1465</v>
      </c>
      <c r="C302" s="782">
        <v>3.65E-5</v>
      </c>
      <c r="D302" s="782">
        <v>3.3399999999999999E-5</v>
      </c>
      <c r="E302" s="783">
        <v>16599</v>
      </c>
      <c r="F302" s="783">
        <v>-18434</v>
      </c>
      <c r="G302" s="783">
        <v>16381</v>
      </c>
      <c r="H302" s="783"/>
      <c r="I302" s="784">
        <v>0</v>
      </c>
      <c r="J302" s="784">
        <v>32920</v>
      </c>
      <c r="K302" s="784">
        <v>0</v>
      </c>
      <c r="L302" s="783">
        <v>3520</v>
      </c>
      <c r="M302" s="783"/>
      <c r="N302" s="784">
        <v>3850</v>
      </c>
      <c r="O302" s="784">
        <v>37584</v>
      </c>
      <c r="P302" s="784">
        <v>0</v>
      </c>
      <c r="Q302" s="783">
        <v>1955.46</v>
      </c>
      <c r="R302" s="783"/>
      <c r="S302" s="784">
        <v>7479</v>
      </c>
      <c r="T302" s="785">
        <v>267</v>
      </c>
      <c r="U302" s="785">
        <v>7746</v>
      </c>
    </row>
    <row r="303" spans="1:21" x14ac:dyDescent="0.25">
      <c r="A303" s="780">
        <v>93201</v>
      </c>
      <c r="B303" s="781" t="s">
        <v>1466</v>
      </c>
      <c r="C303" s="782">
        <v>1.50364E-2</v>
      </c>
      <c r="D303" s="782">
        <v>1.43044E-2</v>
      </c>
      <c r="E303" s="783">
        <v>6369443</v>
      </c>
      <c r="F303" s="783">
        <v>-7894856</v>
      </c>
      <c r="G303" s="783">
        <v>6748246</v>
      </c>
      <c r="H303" s="783"/>
      <c r="I303" s="784">
        <v>0</v>
      </c>
      <c r="J303" s="784">
        <v>13561570</v>
      </c>
      <c r="K303" s="784">
        <v>0</v>
      </c>
      <c r="L303" s="783">
        <v>1154602</v>
      </c>
      <c r="M303" s="783"/>
      <c r="N303" s="784">
        <v>1586235</v>
      </c>
      <c r="O303" s="784">
        <v>15482786</v>
      </c>
      <c r="P303" s="784">
        <v>0</v>
      </c>
      <c r="Q303" s="783">
        <v>0</v>
      </c>
      <c r="R303" s="783"/>
      <c r="S303" s="784">
        <v>3080988</v>
      </c>
      <c r="T303" s="785">
        <v>335561</v>
      </c>
      <c r="U303" s="785">
        <v>3416549</v>
      </c>
    </row>
    <row r="304" spans="1:21" x14ac:dyDescent="0.25">
      <c r="A304" s="780">
        <v>93202</v>
      </c>
      <c r="B304" s="781" t="s">
        <v>1467</v>
      </c>
      <c r="C304" s="782">
        <v>2.076E-4</v>
      </c>
      <c r="D304" s="782">
        <v>4.8270000000000002E-4</v>
      </c>
      <c r="E304" s="783">
        <v>40372</v>
      </c>
      <c r="F304" s="783">
        <v>-266411</v>
      </c>
      <c r="G304" s="783">
        <v>93170</v>
      </c>
      <c r="H304" s="783"/>
      <c r="I304" s="784">
        <v>0</v>
      </c>
      <c r="J304" s="784">
        <v>187238</v>
      </c>
      <c r="K304" s="784">
        <v>0</v>
      </c>
      <c r="L304" s="783">
        <v>0</v>
      </c>
      <c r="M304" s="783"/>
      <c r="N304" s="784">
        <v>21900</v>
      </c>
      <c r="O304" s="784">
        <v>213763</v>
      </c>
      <c r="P304" s="784">
        <v>0</v>
      </c>
      <c r="Q304" s="783">
        <v>290012</v>
      </c>
      <c r="R304" s="783"/>
      <c r="S304" s="784">
        <v>42538</v>
      </c>
      <c r="T304" s="785">
        <v>-80409</v>
      </c>
      <c r="U304" s="785">
        <v>-37872</v>
      </c>
    </row>
    <row r="305" spans="1:21" x14ac:dyDescent="0.25">
      <c r="A305" s="780">
        <v>93204</v>
      </c>
      <c r="B305" s="781" t="s">
        <v>1468</v>
      </c>
      <c r="C305" s="782">
        <v>3.168E-4</v>
      </c>
      <c r="D305" s="782">
        <v>3.1619999999999999E-4</v>
      </c>
      <c r="E305" s="783">
        <v>139339</v>
      </c>
      <c r="F305" s="783">
        <v>-174516</v>
      </c>
      <c r="G305" s="783">
        <v>142178</v>
      </c>
      <c r="H305" s="783"/>
      <c r="I305" s="784">
        <v>0</v>
      </c>
      <c r="J305" s="784">
        <v>285727</v>
      </c>
      <c r="K305" s="784">
        <v>0</v>
      </c>
      <c r="L305" s="783">
        <v>8342</v>
      </c>
      <c r="M305" s="783"/>
      <c r="N305" s="784">
        <v>33420</v>
      </c>
      <c r="O305" s="784">
        <v>326205</v>
      </c>
      <c r="P305" s="784">
        <v>0</v>
      </c>
      <c r="Q305" s="783">
        <v>14382</v>
      </c>
      <c r="R305" s="783"/>
      <c r="S305" s="784">
        <v>64913</v>
      </c>
      <c r="T305" s="785">
        <v>-2626</v>
      </c>
      <c r="U305" s="785">
        <v>62287</v>
      </c>
    </row>
    <row r="306" spans="1:21" x14ac:dyDescent="0.25">
      <c r="A306" s="780">
        <v>93209</v>
      </c>
      <c r="B306" s="781" t="s">
        <v>1469</v>
      </c>
      <c r="C306" s="782">
        <v>3.4578999999999999E-3</v>
      </c>
      <c r="D306" s="782">
        <v>3.1573999999999999E-3</v>
      </c>
      <c r="E306" s="783">
        <v>1463187</v>
      </c>
      <c r="F306" s="783">
        <v>-1742626</v>
      </c>
      <c r="G306" s="783">
        <v>1551885</v>
      </c>
      <c r="H306" s="783"/>
      <c r="I306" s="784">
        <v>0</v>
      </c>
      <c r="J306" s="784">
        <v>3118735</v>
      </c>
      <c r="K306" s="784">
        <v>0</v>
      </c>
      <c r="L306" s="783">
        <v>1352045</v>
      </c>
      <c r="M306" s="783"/>
      <c r="N306" s="784">
        <v>364784</v>
      </c>
      <c r="O306" s="784">
        <v>3560555</v>
      </c>
      <c r="P306" s="784">
        <v>0</v>
      </c>
      <c r="Q306" s="783">
        <v>0</v>
      </c>
      <c r="R306" s="783"/>
      <c r="S306" s="784">
        <v>708531</v>
      </c>
      <c r="T306" s="785">
        <v>433906</v>
      </c>
      <c r="U306" s="785">
        <v>1142436</v>
      </c>
    </row>
    <row r="307" spans="1:21" x14ac:dyDescent="0.25">
      <c r="A307" s="780">
        <v>93211</v>
      </c>
      <c r="B307" s="781" t="s">
        <v>1470</v>
      </c>
      <c r="C307" s="782">
        <v>2.1372599999999999E-2</v>
      </c>
      <c r="D307" s="782">
        <v>2.15996E-2</v>
      </c>
      <c r="E307" s="783">
        <v>8388513</v>
      </c>
      <c r="F307" s="783">
        <v>-11921208</v>
      </c>
      <c r="G307" s="783">
        <v>9591895</v>
      </c>
      <c r="H307" s="783"/>
      <c r="I307" s="784">
        <v>0</v>
      </c>
      <c r="J307" s="784">
        <v>19276290</v>
      </c>
      <c r="K307" s="784">
        <v>0</v>
      </c>
      <c r="L307" s="783">
        <v>0</v>
      </c>
      <c r="M307" s="783"/>
      <c r="N307" s="784">
        <v>2254660</v>
      </c>
      <c r="O307" s="784">
        <v>22007088</v>
      </c>
      <c r="P307" s="784">
        <v>0</v>
      </c>
      <c r="Q307" s="783">
        <v>1009770</v>
      </c>
      <c r="R307" s="783"/>
      <c r="S307" s="784">
        <v>4379288</v>
      </c>
      <c r="T307" s="785">
        <v>-306701</v>
      </c>
      <c r="U307" s="785">
        <v>4072587</v>
      </c>
    </row>
    <row r="308" spans="1:21" x14ac:dyDescent="0.25">
      <c r="A308" s="780">
        <v>93212</v>
      </c>
      <c r="B308" s="781" t="s">
        <v>1471</v>
      </c>
      <c r="C308" s="782">
        <v>2.129E-4</v>
      </c>
      <c r="D308" s="782">
        <v>2.1350000000000001E-4</v>
      </c>
      <c r="E308" s="783">
        <v>153528</v>
      </c>
      <c r="F308" s="783">
        <v>-117834</v>
      </c>
      <c r="G308" s="783">
        <v>95548</v>
      </c>
      <c r="H308" s="783"/>
      <c r="I308" s="784">
        <v>0</v>
      </c>
      <c r="J308" s="784">
        <v>192018</v>
      </c>
      <c r="K308" s="784">
        <v>0</v>
      </c>
      <c r="L308" s="783">
        <v>59120</v>
      </c>
      <c r="M308" s="783"/>
      <c r="N308" s="784">
        <v>22459</v>
      </c>
      <c r="O308" s="784">
        <v>219220</v>
      </c>
      <c r="P308" s="784">
        <v>0</v>
      </c>
      <c r="Q308" s="783">
        <v>0</v>
      </c>
      <c r="R308" s="783"/>
      <c r="S308" s="784">
        <v>43624</v>
      </c>
      <c r="T308" s="785">
        <v>15967</v>
      </c>
      <c r="U308" s="785">
        <v>59591</v>
      </c>
    </row>
    <row r="309" spans="1:21" x14ac:dyDescent="0.25">
      <c r="A309" s="780">
        <v>93219</v>
      </c>
      <c r="B309" s="781" t="s">
        <v>1472</v>
      </c>
      <c r="C309" s="782">
        <v>2.41E-4</v>
      </c>
      <c r="D309" s="782">
        <v>2.6590000000000001E-4</v>
      </c>
      <c r="E309" s="783">
        <v>105431</v>
      </c>
      <c r="F309" s="783">
        <v>-146755</v>
      </c>
      <c r="G309" s="783">
        <v>108159</v>
      </c>
      <c r="H309" s="783"/>
      <c r="I309" s="784">
        <v>0</v>
      </c>
      <c r="J309" s="784">
        <v>217362</v>
      </c>
      <c r="K309" s="784">
        <v>0</v>
      </c>
      <c r="L309" s="783">
        <v>365</v>
      </c>
      <c r="M309" s="783"/>
      <c r="N309" s="784">
        <v>25424</v>
      </c>
      <c r="O309" s="784">
        <v>248155</v>
      </c>
      <c r="P309" s="784">
        <v>0</v>
      </c>
      <c r="Q309" s="783">
        <v>11898</v>
      </c>
      <c r="R309" s="783"/>
      <c r="S309" s="784">
        <v>49381</v>
      </c>
      <c r="T309" s="785">
        <v>-2993</v>
      </c>
      <c r="U309" s="785">
        <v>46389</v>
      </c>
    </row>
    <row r="310" spans="1:21" x14ac:dyDescent="0.25">
      <c r="A310" s="780">
        <v>93301</v>
      </c>
      <c r="B310" s="781" t="s">
        <v>1473</v>
      </c>
      <c r="C310" s="782">
        <v>2.4084000000000002E-3</v>
      </c>
      <c r="D310" s="782">
        <v>2.5936000000000002E-3</v>
      </c>
      <c r="E310" s="783">
        <v>1041709</v>
      </c>
      <c r="F310" s="783">
        <v>-1431455</v>
      </c>
      <c r="G310" s="783">
        <v>1080875</v>
      </c>
      <c r="H310" s="783"/>
      <c r="I310" s="784">
        <v>0</v>
      </c>
      <c r="J310" s="784">
        <v>2172174</v>
      </c>
      <c r="K310" s="784">
        <v>0</v>
      </c>
      <c r="L310" s="783">
        <v>0</v>
      </c>
      <c r="M310" s="783"/>
      <c r="N310" s="784">
        <v>254069</v>
      </c>
      <c r="O310" s="784">
        <v>2479898</v>
      </c>
      <c r="P310" s="784">
        <v>0</v>
      </c>
      <c r="Q310" s="783">
        <v>119403</v>
      </c>
      <c r="R310" s="783"/>
      <c r="S310" s="784">
        <v>493486</v>
      </c>
      <c r="T310" s="785">
        <v>-33854</v>
      </c>
      <c r="U310" s="785">
        <v>459632</v>
      </c>
    </row>
    <row r="311" spans="1:21" x14ac:dyDescent="0.25">
      <c r="A311" s="780">
        <v>93304</v>
      </c>
      <c r="B311" s="781" t="s">
        <v>1474</v>
      </c>
      <c r="C311" s="782">
        <v>3.3399999999999999E-5</v>
      </c>
      <c r="D311" s="782">
        <v>2.0299999999999999E-5</v>
      </c>
      <c r="E311" s="783">
        <v>17524</v>
      </c>
      <c r="F311" s="783">
        <v>-11204</v>
      </c>
      <c r="G311" s="783">
        <v>14990</v>
      </c>
      <c r="H311" s="783"/>
      <c r="I311" s="784">
        <v>0</v>
      </c>
      <c r="J311" s="784">
        <v>30124</v>
      </c>
      <c r="K311" s="784">
        <v>0</v>
      </c>
      <c r="L311" s="783">
        <v>15670</v>
      </c>
      <c r="M311" s="783"/>
      <c r="N311" s="784">
        <v>3523</v>
      </c>
      <c r="O311" s="784">
        <v>34392</v>
      </c>
      <c r="P311" s="784">
        <v>0</v>
      </c>
      <c r="Q311" s="783">
        <v>0</v>
      </c>
      <c r="R311" s="783"/>
      <c r="S311" s="784">
        <v>6844</v>
      </c>
      <c r="T311" s="785">
        <v>4349</v>
      </c>
      <c r="U311" s="785">
        <v>11193</v>
      </c>
    </row>
    <row r="312" spans="1:21" x14ac:dyDescent="0.25">
      <c r="A312" s="780">
        <v>93305</v>
      </c>
      <c r="B312" s="781" t="s">
        <v>1475</v>
      </c>
      <c r="C312" s="782">
        <v>5.13E-5</v>
      </c>
      <c r="D312" s="782">
        <v>4.9700000000000002E-5</v>
      </c>
      <c r="E312" s="783">
        <v>18961</v>
      </c>
      <c r="F312" s="783">
        <v>-27430</v>
      </c>
      <c r="G312" s="783">
        <v>23023</v>
      </c>
      <c r="H312" s="783"/>
      <c r="I312" s="784">
        <v>0</v>
      </c>
      <c r="J312" s="784">
        <v>46268</v>
      </c>
      <c r="K312" s="784">
        <v>0</v>
      </c>
      <c r="L312" s="783">
        <v>0</v>
      </c>
      <c r="M312" s="783"/>
      <c r="N312" s="784">
        <v>5412</v>
      </c>
      <c r="O312" s="784">
        <v>52823</v>
      </c>
      <c r="P312" s="784">
        <v>0</v>
      </c>
      <c r="Q312" s="783">
        <v>1538</v>
      </c>
      <c r="R312" s="783"/>
      <c r="S312" s="784">
        <v>10511</v>
      </c>
      <c r="T312" s="785">
        <v>-482</v>
      </c>
      <c r="U312" s="785">
        <v>10030</v>
      </c>
    </row>
    <row r="313" spans="1:21" x14ac:dyDescent="0.25">
      <c r="A313" s="780">
        <v>93309</v>
      </c>
      <c r="B313" s="781" t="s">
        <v>1476</v>
      </c>
      <c r="C313" s="782">
        <v>1.5359999999999999E-4</v>
      </c>
      <c r="D313" s="782">
        <v>1.5980000000000001E-4</v>
      </c>
      <c r="E313" s="783">
        <v>79405</v>
      </c>
      <c r="F313" s="783">
        <v>-88196</v>
      </c>
      <c r="G313" s="783">
        <v>68935</v>
      </c>
      <c r="H313" s="783"/>
      <c r="I313" s="784">
        <v>0</v>
      </c>
      <c r="J313" s="784">
        <v>138534</v>
      </c>
      <c r="K313" s="784">
        <v>0</v>
      </c>
      <c r="L313" s="783">
        <v>8879</v>
      </c>
      <c r="M313" s="783"/>
      <c r="N313" s="784">
        <v>16204</v>
      </c>
      <c r="O313" s="784">
        <v>158160</v>
      </c>
      <c r="P313" s="784">
        <v>0</v>
      </c>
      <c r="Q313" s="783">
        <v>2963.09</v>
      </c>
      <c r="R313" s="783"/>
      <c r="S313" s="784">
        <v>31473</v>
      </c>
      <c r="T313" s="785">
        <v>1333</v>
      </c>
      <c r="U313" s="785">
        <v>32806</v>
      </c>
    </row>
    <row r="314" spans="1:21" x14ac:dyDescent="0.25">
      <c r="A314" s="780">
        <v>93311</v>
      </c>
      <c r="B314" s="781" t="s">
        <v>1477</v>
      </c>
      <c r="C314" s="782">
        <v>1.2727000000000001E-3</v>
      </c>
      <c r="D314" s="782">
        <v>1.263E-3</v>
      </c>
      <c r="E314" s="783">
        <v>471550</v>
      </c>
      <c r="F314" s="783">
        <v>-697072</v>
      </c>
      <c r="G314" s="783">
        <v>571180</v>
      </c>
      <c r="H314" s="783"/>
      <c r="I314" s="784">
        <v>0</v>
      </c>
      <c r="J314" s="784">
        <v>1147868</v>
      </c>
      <c r="K314" s="784">
        <v>0</v>
      </c>
      <c r="L314" s="783">
        <v>0</v>
      </c>
      <c r="M314" s="783"/>
      <c r="N314" s="784">
        <v>134261</v>
      </c>
      <c r="O314" s="784">
        <v>1310483</v>
      </c>
      <c r="P314" s="784">
        <v>0</v>
      </c>
      <c r="Q314" s="783">
        <v>58003</v>
      </c>
      <c r="R314" s="783"/>
      <c r="S314" s="784">
        <v>260779</v>
      </c>
      <c r="T314" s="785">
        <v>-17125</v>
      </c>
      <c r="U314" s="785">
        <v>243653</v>
      </c>
    </row>
    <row r="315" spans="1:21" x14ac:dyDescent="0.25">
      <c r="A315" s="780">
        <v>93317</v>
      </c>
      <c r="B315" s="781" t="s">
        <v>1478</v>
      </c>
      <c r="C315" s="782">
        <v>4.6600000000000001E-5</v>
      </c>
      <c r="D315" s="782">
        <v>4.6600000000000001E-5</v>
      </c>
      <c r="E315" s="783">
        <v>19178</v>
      </c>
      <c r="F315" s="783">
        <v>-25719</v>
      </c>
      <c r="G315" s="783">
        <v>20914</v>
      </c>
      <c r="H315" s="783"/>
      <c r="I315" s="784">
        <v>0</v>
      </c>
      <c r="J315" s="784">
        <v>42029</v>
      </c>
      <c r="K315" s="784">
        <v>0</v>
      </c>
      <c r="L315" s="783">
        <v>120</v>
      </c>
      <c r="M315" s="783"/>
      <c r="N315" s="784">
        <v>4916</v>
      </c>
      <c r="O315" s="784">
        <v>47983</v>
      </c>
      <c r="P315" s="784">
        <v>0</v>
      </c>
      <c r="Q315" s="783">
        <v>837.2</v>
      </c>
      <c r="R315" s="783"/>
      <c r="S315" s="784">
        <v>9548</v>
      </c>
      <c r="T315" s="785">
        <v>-249</v>
      </c>
      <c r="U315" s="785">
        <v>9300</v>
      </c>
    </row>
    <row r="316" spans="1:21" x14ac:dyDescent="0.25">
      <c r="A316" s="780">
        <v>93321</v>
      </c>
      <c r="B316" s="781" t="s">
        <v>1479</v>
      </c>
      <c r="C316" s="782">
        <v>7.7070000000000003E-3</v>
      </c>
      <c r="D316" s="782">
        <v>7.7536999999999997E-3</v>
      </c>
      <c r="E316" s="783">
        <v>2934337</v>
      </c>
      <c r="F316" s="783">
        <v>-4279407</v>
      </c>
      <c r="G316" s="783">
        <v>3458855</v>
      </c>
      <c r="H316" s="783"/>
      <c r="I316" s="784">
        <v>0</v>
      </c>
      <c r="J316" s="784">
        <v>6951067</v>
      </c>
      <c r="K316" s="784">
        <v>0</v>
      </c>
      <c r="L316" s="783">
        <v>0</v>
      </c>
      <c r="M316" s="783"/>
      <c r="N316" s="784">
        <v>813035</v>
      </c>
      <c r="O316" s="784">
        <v>7935798</v>
      </c>
      <c r="P316" s="784">
        <v>0</v>
      </c>
      <c r="Q316" s="783">
        <v>629594</v>
      </c>
      <c r="R316" s="783"/>
      <c r="S316" s="784">
        <v>1579180</v>
      </c>
      <c r="T316" s="785">
        <v>-195959</v>
      </c>
      <c r="U316" s="785">
        <v>1383221</v>
      </c>
    </row>
    <row r="317" spans="1:21" x14ac:dyDescent="0.25">
      <c r="A317" s="780">
        <v>93323</v>
      </c>
      <c r="B317" s="781" t="s">
        <v>1480</v>
      </c>
      <c r="C317" s="782">
        <v>1.4600000000000001E-5</v>
      </c>
      <c r="D317" s="782">
        <v>1.6699999999999999E-5</v>
      </c>
      <c r="E317" s="783">
        <v>10783</v>
      </c>
      <c r="F317" s="783">
        <v>-9217</v>
      </c>
      <c r="G317" s="783">
        <v>6552</v>
      </c>
      <c r="H317" s="783"/>
      <c r="I317" s="784">
        <v>0</v>
      </c>
      <c r="J317" s="784">
        <v>13168</v>
      </c>
      <c r="K317" s="784">
        <v>0</v>
      </c>
      <c r="L317" s="783">
        <v>4004</v>
      </c>
      <c r="M317" s="783"/>
      <c r="N317" s="784">
        <v>1540</v>
      </c>
      <c r="O317" s="784">
        <v>15033</v>
      </c>
      <c r="P317" s="784">
        <v>0</v>
      </c>
      <c r="Q317" s="783">
        <v>0</v>
      </c>
      <c r="R317" s="783"/>
      <c r="S317" s="784">
        <v>2992</v>
      </c>
      <c r="T317" s="785">
        <v>1169</v>
      </c>
      <c r="U317" s="785">
        <v>4160</v>
      </c>
    </row>
    <row r="318" spans="1:21" x14ac:dyDescent="0.25">
      <c r="A318" s="780">
        <v>93331</v>
      </c>
      <c r="B318" s="781" t="s">
        <v>1481</v>
      </c>
      <c r="C318" s="782">
        <v>1.1909999999999999E-4</v>
      </c>
      <c r="D318" s="782">
        <v>1.3779999999999999E-4</v>
      </c>
      <c r="E318" s="783">
        <v>49446</v>
      </c>
      <c r="F318" s="783">
        <v>-76054</v>
      </c>
      <c r="G318" s="783">
        <v>53451</v>
      </c>
      <c r="H318" s="783"/>
      <c r="I318" s="784">
        <v>0</v>
      </c>
      <c r="J318" s="784">
        <v>107418</v>
      </c>
      <c r="K318" s="784">
        <v>0</v>
      </c>
      <c r="L318" s="783">
        <v>5845</v>
      </c>
      <c r="M318" s="783"/>
      <c r="N318" s="784">
        <v>12564</v>
      </c>
      <c r="O318" s="784">
        <v>122636</v>
      </c>
      <c r="P318" s="784">
        <v>0</v>
      </c>
      <c r="Q318" s="783">
        <v>12473</v>
      </c>
      <c r="R318" s="783"/>
      <c r="S318" s="784">
        <v>24404</v>
      </c>
      <c r="T318" s="785">
        <v>-1310</v>
      </c>
      <c r="U318" s="785">
        <v>23094</v>
      </c>
    </row>
    <row r="319" spans="1:21" x14ac:dyDescent="0.25">
      <c r="A319" s="780">
        <v>93333</v>
      </c>
      <c r="B319" s="781" t="s">
        <v>1482</v>
      </c>
      <c r="C319" s="782">
        <v>2.1479999999999999E-4</v>
      </c>
      <c r="D319" s="782">
        <v>1.9670000000000001E-4</v>
      </c>
      <c r="E319" s="783">
        <v>211354</v>
      </c>
      <c r="F319" s="783">
        <v>-108562</v>
      </c>
      <c r="G319" s="783">
        <v>96401</v>
      </c>
      <c r="H319" s="783"/>
      <c r="I319" s="784">
        <v>0</v>
      </c>
      <c r="J319" s="784">
        <v>193732</v>
      </c>
      <c r="K319" s="784">
        <v>0</v>
      </c>
      <c r="L319" s="783">
        <v>125918</v>
      </c>
      <c r="M319" s="783"/>
      <c r="N319" s="784">
        <v>22660</v>
      </c>
      <c r="O319" s="784">
        <v>221177</v>
      </c>
      <c r="P319" s="784">
        <v>0</v>
      </c>
      <c r="Q319" s="783">
        <v>0</v>
      </c>
      <c r="R319" s="783"/>
      <c r="S319" s="784">
        <v>44013</v>
      </c>
      <c r="T319" s="785">
        <v>34069</v>
      </c>
      <c r="U319" s="785">
        <v>78082</v>
      </c>
    </row>
    <row r="320" spans="1:21" x14ac:dyDescent="0.25">
      <c r="A320" s="780">
        <v>93341</v>
      </c>
      <c r="B320" s="781" t="s">
        <v>1483</v>
      </c>
      <c r="C320" s="782">
        <v>2.6699999999999998E-5</v>
      </c>
      <c r="D320" s="782">
        <v>2.8E-5</v>
      </c>
      <c r="E320" s="783">
        <v>12967</v>
      </c>
      <c r="F320" s="783">
        <v>-15454</v>
      </c>
      <c r="G320" s="783">
        <v>11983</v>
      </c>
      <c r="H320" s="783"/>
      <c r="I320" s="784">
        <v>0</v>
      </c>
      <c r="J320" s="784">
        <v>24081</v>
      </c>
      <c r="K320" s="784">
        <v>0</v>
      </c>
      <c r="L320" s="783">
        <v>1649</v>
      </c>
      <c r="M320" s="783"/>
      <c r="N320" s="784">
        <v>2817</v>
      </c>
      <c r="O320" s="784">
        <v>27493</v>
      </c>
      <c r="P320" s="784">
        <v>0</v>
      </c>
      <c r="Q320" s="783">
        <v>0</v>
      </c>
      <c r="R320" s="783"/>
      <c r="S320" s="784">
        <v>5471</v>
      </c>
      <c r="T320" s="785">
        <v>499</v>
      </c>
      <c r="U320" s="785">
        <v>5970</v>
      </c>
    </row>
    <row r="321" spans="1:21" x14ac:dyDescent="0.25">
      <c r="A321" s="780">
        <v>93351</v>
      </c>
      <c r="B321" s="781" t="s">
        <v>1484</v>
      </c>
      <c r="C321" s="782">
        <v>5.4999999999999999E-6</v>
      </c>
      <c r="D321" s="782">
        <v>2.3E-5</v>
      </c>
      <c r="E321" s="783">
        <v>7509</v>
      </c>
      <c r="F321" s="783">
        <v>-12694</v>
      </c>
      <c r="G321" s="783">
        <v>2468</v>
      </c>
      <c r="H321" s="783"/>
      <c r="I321" s="784">
        <v>0</v>
      </c>
      <c r="J321" s="784">
        <v>4961</v>
      </c>
      <c r="K321" s="784">
        <v>0</v>
      </c>
      <c r="L321" s="783">
        <v>0</v>
      </c>
      <c r="M321" s="783"/>
      <c r="N321" s="784">
        <v>580</v>
      </c>
      <c r="O321" s="784">
        <v>5663</v>
      </c>
      <c r="P321" s="784">
        <v>0</v>
      </c>
      <c r="Q321" s="783">
        <v>9033</v>
      </c>
      <c r="R321" s="783"/>
      <c r="S321" s="784">
        <v>1127</v>
      </c>
      <c r="T321" s="785">
        <v>-2432</v>
      </c>
      <c r="U321" s="785">
        <v>-1305</v>
      </c>
    </row>
    <row r="322" spans="1:21" x14ac:dyDescent="0.25">
      <c r="A322" s="780">
        <v>93401</v>
      </c>
      <c r="B322" s="781" t="s">
        <v>1485</v>
      </c>
      <c r="C322" s="782">
        <v>1.4001899999999999E-2</v>
      </c>
      <c r="D322" s="782">
        <v>1.39352E-2</v>
      </c>
      <c r="E322" s="783">
        <v>5848201</v>
      </c>
      <c r="F322" s="783">
        <v>-7691088</v>
      </c>
      <c r="G322" s="783">
        <v>6283969</v>
      </c>
      <c r="H322" s="783"/>
      <c r="I322" s="784">
        <v>0</v>
      </c>
      <c r="J322" s="784">
        <v>12628538</v>
      </c>
      <c r="K322" s="784">
        <v>0</v>
      </c>
      <c r="L322" s="783">
        <v>151006</v>
      </c>
      <c r="M322" s="783"/>
      <c r="N322" s="784">
        <v>1477102</v>
      </c>
      <c r="O322" s="784">
        <v>14417574</v>
      </c>
      <c r="P322" s="784">
        <v>0</v>
      </c>
      <c r="Q322" s="783">
        <v>265718.31</v>
      </c>
      <c r="R322" s="783"/>
      <c r="S322" s="784">
        <v>2869017</v>
      </c>
      <c r="T322" s="785">
        <v>-49339</v>
      </c>
      <c r="U322" s="785">
        <v>2819679</v>
      </c>
    </row>
    <row r="323" spans="1:21" x14ac:dyDescent="0.25">
      <c r="A323" s="780">
        <v>93402</v>
      </c>
      <c r="B323" s="781" t="s">
        <v>1486</v>
      </c>
      <c r="C323" s="782">
        <v>9.4400000000000004E-5</v>
      </c>
      <c r="D323" s="782">
        <v>8.4499999999999994E-5</v>
      </c>
      <c r="E323" s="783">
        <v>38508</v>
      </c>
      <c r="F323" s="783">
        <v>-46637</v>
      </c>
      <c r="G323" s="783">
        <v>42366</v>
      </c>
      <c r="H323" s="783"/>
      <c r="I323" s="784">
        <v>0</v>
      </c>
      <c r="J323" s="784">
        <v>85141</v>
      </c>
      <c r="K323" s="784">
        <v>0</v>
      </c>
      <c r="L323" s="783">
        <v>13711</v>
      </c>
      <c r="M323" s="783"/>
      <c r="N323" s="784">
        <v>9959</v>
      </c>
      <c r="O323" s="784">
        <v>97202</v>
      </c>
      <c r="P323" s="784">
        <v>0</v>
      </c>
      <c r="Q323" s="783">
        <v>0</v>
      </c>
      <c r="R323" s="783"/>
      <c r="S323" s="784">
        <v>19343</v>
      </c>
      <c r="T323" s="785">
        <v>4083</v>
      </c>
      <c r="U323" s="785">
        <v>23425</v>
      </c>
    </row>
    <row r="324" spans="1:21" x14ac:dyDescent="0.25">
      <c r="A324" s="780">
        <v>93406</v>
      </c>
      <c r="B324" s="781" t="s">
        <v>1487</v>
      </c>
      <c r="C324" s="782">
        <v>7.0850000000000004E-4</v>
      </c>
      <c r="D324" s="782">
        <v>7.1690000000000002E-4</v>
      </c>
      <c r="E324" s="783">
        <v>319697</v>
      </c>
      <c r="F324" s="783">
        <v>-395670</v>
      </c>
      <c r="G324" s="783">
        <v>317971</v>
      </c>
      <c r="H324" s="783"/>
      <c r="I324" s="784">
        <v>0</v>
      </c>
      <c r="J324" s="784">
        <v>639007</v>
      </c>
      <c r="K324" s="784">
        <v>0</v>
      </c>
      <c r="L324" s="783">
        <v>55716</v>
      </c>
      <c r="M324" s="783"/>
      <c r="N324" s="784">
        <v>74742</v>
      </c>
      <c r="O324" s="784">
        <v>729533</v>
      </c>
      <c r="P324" s="784">
        <v>0</v>
      </c>
      <c r="Q324" s="783">
        <v>0</v>
      </c>
      <c r="R324" s="783"/>
      <c r="S324" s="784">
        <v>145173</v>
      </c>
      <c r="T324" s="785">
        <v>17310</v>
      </c>
      <c r="U324" s="785">
        <v>162483</v>
      </c>
    </row>
    <row r="325" spans="1:21" x14ac:dyDescent="0.25">
      <c r="A325" s="780">
        <v>93408</v>
      </c>
      <c r="B325" s="781" t="s">
        <v>1488</v>
      </c>
      <c r="C325" s="782">
        <v>1.7309000000000001E-3</v>
      </c>
      <c r="D325" s="782">
        <v>1.6236E-3</v>
      </c>
      <c r="E325" s="783">
        <v>767569</v>
      </c>
      <c r="F325" s="783">
        <v>-896094</v>
      </c>
      <c r="G325" s="783">
        <v>776818</v>
      </c>
      <c r="H325" s="783"/>
      <c r="I325" s="784">
        <v>0</v>
      </c>
      <c r="J325" s="784">
        <v>1561126</v>
      </c>
      <c r="K325" s="784">
        <v>0</v>
      </c>
      <c r="L325" s="783">
        <v>470004</v>
      </c>
      <c r="M325" s="783"/>
      <c r="N325" s="784">
        <v>182598</v>
      </c>
      <c r="O325" s="784">
        <v>1782285</v>
      </c>
      <c r="P325" s="784">
        <v>0</v>
      </c>
      <c r="Q325" s="783">
        <v>0</v>
      </c>
      <c r="R325" s="783"/>
      <c r="S325" s="784">
        <v>354665</v>
      </c>
      <c r="T325" s="785">
        <v>148215</v>
      </c>
      <c r="U325" s="785">
        <v>502879</v>
      </c>
    </row>
    <row r="326" spans="1:21" x14ac:dyDescent="0.25">
      <c r="A326" s="780">
        <v>93411</v>
      </c>
      <c r="B326" s="781" t="s">
        <v>1489</v>
      </c>
      <c r="C326" s="782">
        <v>1.8002500000000001E-2</v>
      </c>
      <c r="D326" s="782">
        <v>1.80839E-2</v>
      </c>
      <c r="E326" s="783">
        <v>7250385</v>
      </c>
      <c r="F326" s="783">
        <v>-9980830</v>
      </c>
      <c r="G326" s="783">
        <v>8079414</v>
      </c>
      <c r="H326" s="783"/>
      <c r="I326" s="784">
        <v>0</v>
      </c>
      <c r="J326" s="784">
        <v>16236743</v>
      </c>
      <c r="K326" s="784">
        <v>0</v>
      </c>
      <c r="L326" s="783">
        <v>0</v>
      </c>
      <c r="M326" s="783"/>
      <c r="N326" s="784">
        <v>1899138</v>
      </c>
      <c r="O326" s="784">
        <v>18536940</v>
      </c>
      <c r="P326" s="784">
        <v>0</v>
      </c>
      <c r="Q326" s="783">
        <v>813991</v>
      </c>
      <c r="R326" s="783"/>
      <c r="S326" s="784">
        <v>3688748</v>
      </c>
      <c r="T326" s="785">
        <v>-262344</v>
      </c>
      <c r="U326" s="785">
        <v>3426404</v>
      </c>
    </row>
    <row r="327" spans="1:21" x14ac:dyDescent="0.25">
      <c r="A327" s="780">
        <v>93413</v>
      </c>
      <c r="B327" s="781" t="s">
        <v>1490</v>
      </c>
      <c r="C327" s="782">
        <v>8.6039999999999999E-4</v>
      </c>
      <c r="D327" s="782">
        <v>9.4110000000000005E-4</v>
      </c>
      <c r="E327" s="783">
        <v>377811</v>
      </c>
      <c r="F327" s="783">
        <v>-519410</v>
      </c>
      <c r="G327" s="783">
        <v>386142</v>
      </c>
      <c r="H327" s="783"/>
      <c r="I327" s="784">
        <v>0</v>
      </c>
      <c r="J327" s="784">
        <v>776009</v>
      </c>
      <c r="K327" s="784">
        <v>0</v>
      </c>
      <c r="L327" s="783">
        <v>0</v>
      </c>
      <c r="M327" s="783"/>
      <c r="N327" s="784">
        <v>90766</v>
      </c>
      <c r="O327" s="784">
        <v>885943</v>
      </c>
      <c r="P327" s="784">
        <v>0</v>
      </c>
      <c r="Q327" s="783">
        <v>43852</v>
      </c>
      <c r="R327" s="783"/>
      <c r="S327" s="784">
        <v>176298</v>
      </c>
      <c r="T327" s="785">
        <v>-12079</v>
      </c>
      <c r="U327" s="785">
        <v>164219</v>
      </c>
    </row>
    <row r="328" spans="1:21" x14ac:dyDescent="0.25">
      <c r="A328" s="780">
        <v>93417</v>
      </c>
      <c r="B328" s="781" t="s">
        <v>1491</v>
      </c>
      <c r="C328" s="782">
        <v>4.2470000000000002E-4</v>
      </c>
      <c r="D328" s="782">
        <v>4.4220000000000001E-4</v>
      </c>
      <c r="E328" s="783">
        <v>191766</v>
      </c>
      <c r="F328" s="783">
        <v>-244058</v>
      </c>
      <c r="G328" s="783">
        <v>190603</v>
      </c>
      <c r="H328" s="783"/>
      <c r="I328" s="784">
        <v>0</v>
      </c>
      <c r="J328" s="784">
        <v>383044</v>
      </c>
      <c r="K328" s="784">
        <v>0</v>
      </c>
      <c r="L328" s="783">
        <v>41318</v>
      </c>
      <c r="M328" s="783"/>
      <c r="N328" s="784">
        <v>44803</v>
      </c>
      <c r="O328" s="784">
        <v>437308</v>
      </c>
      <c r="P328" s="784">
        <v>0</v>
      </c>
      <c r="Q328" s="783">
        <v>0</v>
      </c>
      <c r="R328" s="783"/>
      <c r="S328" s="784">
        <v>87022</v>
      </c>
      <c r="T328" s="785">
        <v>13653</v>
      </c>
      <c r="U328" s="785">
        <v>100675</v>
      </c>
    </row>
    <row r="329" spans="1:21" x14ac:dyDescent="0.25">
      <c r="A329" s="780">
        <v>93421</v>
      </c>
      <c r="B329" s="781" t="s">
        <v>1492</v>
      </c>
      <c r="C329" s="782">
        <v>2.2629E-3</v>
      </c>
      <c r="D329" s="782">
        <v>2.2694E-3</v>
      </c>
      <c r="E329" s="783">
        <v>804631</v>
      </c>
      <c r="F329" s="783">
        <v>-1252523</v>
      </c>
      <c r="G329" s="783">
        <v>1015576</v>
      </c>
      <c r="H329" s="783"/>
      <c r="I329" s="784">
        <v>0</v>
      </c>
      <c r="J329" s="784">
        <v>2040946</v>
      </c>
      <c r="K329" s="784">
        <v>0</v>
      </c>
      <c r="L329" s="783">
        <v>0</v>
      </c>
      <c r="M329" s="783"/>
      <c r="N329" s="784">
        <v>238720</v>
      </c>
      <c r="O329" s="784">
        <v>2330079</v>
      </c>
      <c r="P329" s="784">
        <v>0</v>
      </c>
      <c r="Q329" s="783">
        <v>239303</v>
      </c>
      <c r="R329" s="783"/>
      <c r="S329" s="784">
        <v>463673</v>
      </c>
      <c r="T329" s="785">
        <v>-72834</v>
      </c>
      <c r="U329" s="785">
        <v>390839</v>
      </c>
    </row>
    <row r="330" spans="1:21" x14ac:dyDescent="0.25">
      <c r="A330" s="780">
        <v>93431</v>
      </c>
      <c r="B330" s="781" t="s">
        <v>1493</v>
      </c>
      <c r="C330" s="782">
        <v>1.3469999999999999E-4</v>
      </c>
      <c r="D330" s="782">
        <v>1.382E-4</v>
      </c>
      <c r="E330" s="783">
        <v>55902</v>
      </c>
      <c r="F330" s="783">
        <v>-76275</v>
      </c>
      <c r="G330" s="783">
        <v>60453</v>
      </c>
      <c r="H330" s="783"/>
      <c r="I330" s="784">
        <v>0</v>
      </c>
      <c r="J330" s="784">
        <v>121488</v>
      </c>
      <c r="K330" s="784">
        <v>0</v>
      </c>
      <c r="L330" s="783">
        <v>2518</v>
      </c>
      <c r="M330" s="783"/>
      <c r="N330" s="784">
        <v>14210</v>
      </c>
      <c r="O330" s="784">
        <v>138699</v>
      </c>
      <c r="P330" s="784">
        <v>0</v>
      </c>
      <c r="Q330" s="783">
        <v>1738</v>
      </c>
      <c r="R330" s="783"/>
      <c r="S330" s="784">
        <v>27600</v>
      </c>
      <c r="T330" s="785">
        <v>387</v>
      </c>
      <c r="U330" s="785">
        <v>27987</v>
      </c>
    </row>
    <row r="331" spans="1:21" x14ac:dyDescent="0.25">
      <c r="A331" s="780">
        <v>93441</v>
      </c>
      <c r="B331" s="781" t="s">
        <v>1494</v>
      </c>
      <c r="C331" s="782">
        <v>1.3239999999999999E-4</v>
      </c>
      <c r="D331" s="782">
        <v>1.4559999999999999E-4</v>
      </c>
      <c r="E331" s="783">
        <v>72517</v>
      </c>
      <c r="F331" s="783">
        <v>-80359</v>
      </c>
      <c r="G331" s="783">
        <v>59420</v>
      </c>
      <c r="H331" s="783"/>
      <c r="I331" s="784">
        <v>0</v>
      </c>
      <c r="J331" s="784">
        <v>119414</v>
      </c>
      <c r="K331" s="784">
        <v>0</v>
      </c>
      <c r="L331" s="783">
        <v>25535</v>
      </c>
      <c r="M331" s="783"/>
      <c r="N331" s="784">
        <v>13967</v>
      </c>
      <c r="O331" s="784">
        <v>136331</v>
      </c>
      <c r="P331" s="784">
        <v>0</v>
      </c>
      <c r="Q331" s="783">
        <v>0</v>
      </c>
      <c r="R331" s="783"/>
      <c r="S331" s="784">
        <v>27129</v>
      </c>
      <c r="T331" s="785">
        <v>8150</v>
      </c>
      <c r="U331" s="785">
        <v>35279</v>
      </c>
    </row>
    <row r="332" spans="1:21" x14ac:dyDescent="0.25">
      <c r="A332" s="780">
        <v>93442</v>
      </c>
      <c r="B332" s="781" t="s">
        <v>1495</v>
      </c>
      <c r="C332" s="782">
        <v>1.7799999999999999E-4</v>
      </c>
      <c r="D332" s="782">
        <v>1.4219999999999999E-4</v>
      </c>
      <c r="E332" s="783">
        <v>52458</v>
      </c>
      <c r="F332" s="783">
        <v>-78483</v>
      </c>
      <c r="G332" s="783">
        <v>79885</v>
      </c>
      <c r="H332" s="783"/>
      <c r="I332" s="784">
        <v>0</v>
      </c>
      <c r="J332" s="784">
        <v>160541</v>
      </c>
      <c r="K332" s="784">
        <v>0</v>
      </c>
      <c r="L332" s="783">
        <v>9100</v>
      </c>
      <c r="M332" s="783"/>
      <c r="N332" s="784">
        <v>18778</v>
      </c>
      <c r="O332" s="784">
        <v>183284</v>
      </c>
      <c r="P332" s="784">
        <v>0</v>
      </c>
      <c r="Q332" s="783">
        <v>7367</v>
      </c>
      <c r="R332" s="783"/>
      <c r="S332" s="784">
        <v>36473</v>
      </c>
      <c r="T332" s="785">
        <v>-82</v>
      </c>
      <c r="U332" s="785">
        <v>36391</v>
      </c>
    </row>
    <row r="333" spans="1:21" x14ac:dyDescent="0.25">
      <c r="A333" s="780">
        <v>93451</v>
      </c>
      <c r="B333" s="781" t="s">
        <v>1496</v>
      </c>
      <c r="C333" s="782">
        <v>7.6699999999999994E-5</v>
      </c>
      <c r="D333" s="782">
        <v>7.2700000000000005E-5</v>
      </c>
      <c r="E333" s="783">
        <v>45586</v>
      </c>
      <c r="F333" s="783">
        <v>-40124</v>
      </c>
      <c r="G333" s="783">
        <v>34422</v>
      </c>
      <c r="H333" s="783"/>
      <c r="I333" s="784">
        <v>0</v>
      </c>
      <c r="J333" s="784">
        <v>69177</v>
      </c>
      <c r="K333" s="784">
        <v>0</v>
      </c>
      <c r="L333" s="783">
        <v>14117</v>
      </c>
      <c r="M333" s="783"/>
      <c r="N333" s="784">
        <v>8091</v>
      </c>
      <c r="O333" s="784">
        <v>78977</v>
      </c>
      <c r="P333" s="784">
        <v>0</v>
      </c>
      <c r="Q333" s="783">
        <v>4505.93</v>
      </c>
      <c r="R333" s="783"/>
      <c r="S333" s="784">
        <v>15716</v>
      </c>
      <c r="T333" s="785">
        <v>2189</v>
      </c>
      <c r="U333" s="785">
        <v>17905</v>
      </c>
    </row>
    <row r="334" spans="1:21" x14ac:dyDescent="0.25">
      <c r="A334" s="780">
        <v>93461</v>
      </c>
      <c r="B334" s="781" t="s">
        <v>1497</v>
      </c>
      <c r="C334" s="782">
        <v>1.7200000000000001E-5</v>
      </c>
      <c r="D334" s="782">
        <v>1.7499999999999998E-5</v>
      </c>
      <c r="E334" s="783">
        <v>7817</v>
      </c>
      <c r="F334" s="783">
        <v>-9659</v>
      </c>
      <c r="G334" s="783">
        <v>7719</v>
      </c>
      <c r="H334" s="783"/>
      <c r="I334" s="784">
        <v>0</v>
      </c>
      <c r="J334" s="784">
        <v>15513</v>
      </c>
      <c r="K334" s="784">
        <v>0</v>
      </c>
      <c r="L334" s="783">
        <v>524</v>
      </c>
      <c r="M334" s="783"/>
      <c r="N334" s="784">
        <v>1814</v>
      </c>
      <c r="O334" s="784">
        <v>17711</v>
      </c>
      <c r="P334" s="784">
        <v>0</v>
      </c>
      <c r="Q334" s="783">
        <v>0</v>
      </c>
      <c r="R334" s="783"/>
      <c r="S334" s="784">
        <v>3524</v>
      </c>
      <c r="T334" s="785">
        <v>145</v>
      </c>
      <c r="U334" s="785">
        <v>3669</v>
      </c>
    </row>
    <row r="335" spans="1:21" x14ac:dyDescent="0.25">
      <c r="A335" s="780">
        <v>93471</v>
      </c>
      <c r="B335" s="781" t="s">
        <v>1498</v>
      </c>
      <c r="C335" s="782">
        <v>1.34E-5</v>
      </c>
      <c r="D335" s="782">
        <v>1.4399999999999999E-5</v>
      </c>
      <c r="E335" s="783">
        <v>7432</v>
      </c>
      <c r="F335" s="783">
        <v>-7948</v>
      </c>
      <c r="G335" s="783">
        <v>6014</v>
      </c>
      <c r="H335" s="783"/>
      <c r="I335" s="784">
        <v>0</v>
      </c>
      <c r="J335" s="784">
        <v>12086</v>
      </c>
      <c r="K335" s="784">
        <v>0</v>
      </c>
      <c r="L335" s="783">
        <v>852</v>
      </c>
      <c r="M335" s="783"/>
      <c r="N335" s="784">
        <v>1414</v>
      </c>
      <c r="O335" s="784">
        <v>13798</v>
      </c>
      <c r="P335" s="784">
        <v>0</v>
      </c>
      <c r="Q335" s="783">
        <v>191.36</v>
      </c>
      <c r="R335" s="783"/>
      <c r="S335" s="784">
        <v>2746</v>
      </c>
      <c r="T335" s="785">
        <v>159</v>
      </c>
      <c r="U335" s="785">
        <v>2905</v>
      </c>
    </row>
    <row r="336" spans="1:21" x14ac:dyDescent="0.25">
      <c r="A336" s="780">
        <v>93501</v>
      </c>
      <c r="B336" s="781" t="s">
        <v>1499</v>
      </c>
      <c r="C336" s="782">
        <v>3.4708E-3</v>
      </c>
      <c r="D336" s="782">
        <v>3.3026000000000002E-3</v>
      </c>
      <c r="E336" s="783">
        <v>1383576</v>
      </c>
      <c r="F336" s="783">
        <v>-1822764</v>
      </c>
      <c r="G336" s="783">
        <v>1557674</v>
      </c>
      <c r="H336" s="783"/>
      <c r="I336" s="784">
        <v>0</v>
      </c>
      <c r="J336" s="784">
        <v>3130370</v>
      </c>
      <c r="K336" s="784">
        <v>0</v>
      </c>
      <c r="L336" s="783">
        <v>238351</v>
      </c>
      <c r="M336" s="783"/>
      <c r="N336" s="784">
        <v>366145</v>
      </c>
      <c r="O336" s="784">
        <v>3573838</v>
      </c>
      <c r="P336" s="784">
        <v>0</v>
      </c>
      <c r="Q336" s="783">
        <v>0</v>
      </c>
      <c r="R336" s="783"/>
      <c r="S336" s="784">
        <v>711174</v>
      </c>
      <c r="T336" s="785">
        <v>73068</v>
      </c>
      <c r="U336" s="785">
        <v>784241</v>
      </c>
    </row>
    <row r="337" spans="1:21" x14ac:dyDescent="0.25">
      <c r="A337" s="780">
        <v>93511</v>
      </c>
      <c r="B337" s="781" t="s">
        <v>1500</v>
      </c>
      <c r="C337" s="782">
        <v>1.142E-4</v>
      </c>
      <c r="D337" s="782">
        <v>1.247E-4</v>
      </c>
      <c r="E337" s="783">
        <v>44956</v>
      </c>
      <c r="F337" s="783">
        <v>-68824</v>
      </c>
      <c r="G337" s="783">
        <v>51252</v>
      </c>
      <c r="H337" s="783"/>
      <c r="I337" s="784">
        <v>0</v>
      </c>
      <c r="J337" s="784">
        <v>102999</v>
      </c>
      <c r="K337" s="784">
        <v>0</v>
      </c>
      <c r="L337" s="783">
        <v>7818.85</v>
      </c>
      <c r="M337" s="783"/>
      <c r="N337" s="784">
        <v>12047</v>
      </c>
      <c r="O337" s="784">
        <v>117590</v>
      </c>
      <c r="P337" s="784">
        <v>0</v>
      </c>
      <c r="Q337" s="783">
        <v>8692</v>
      </c>
      <c r="R337" s="783"/>
      <c r="S337" s="784">
        <v>23400</v>
      </c>
      <c r="T337" s="785">
        <v>340</v>
      </c>
      <c r="U337" s="785">
        <v>23739</v>
      </c>
    </row>
    <row r="338" spans="1:21" x14ac:dyDescent="0.25">
      <c r="A338" s="780">
        <v>93517</v>
      </c>
      <c r="B338" s="781" t="s">
        <v>1501</v>
      </c>
      <c r="C338" s="782">
        <v>6.6000000000000003E-6</v>
      </c>
      <c r="D338" s="782">
        <v>3.9999999999999998E-6</v>
      </c>
      <c r="E338" s="783">
        <v>4102</v>
      </c>
      <c r="F338" s="783">
        <v>-2208</v>
      </c>
      <c r="G338" s="783">
        <v>2962</v>
      </c>
      <c r="H338" s="783"/>
      <c r="I338" s="784">
        <v>0</v>
      </c>
      <c r="J338" s="784">
        <v>5953</v>
      </c>
      <c r="K338" s="784">
        <v>0</v>
      </c>
      <c r="L338" s="783">
        <v>2940</v>
      </c>
      <c r="M338" s="783"/>
      <c r="N338" s="784">
        <v>696</v>
      </c>
      <c r="O338" s="784">
        <v>6796</v>
      </c>
      <c r="P338" s="784">
        <v>0</v>
      </c>
      <c r="Q338" s="783">
        <v>1518.92</v>
      </c>
      <c r="R338" s="783"/>
      <c r="S338" s="784">
        <v>1352</v>
      </c>
      <c r="T338" s="785">
        <v>262</v>
      </c>
      <c r="U338" s="785">
        <v>1614</v>
      </c>
    </row>
    <row r="339" spans="1:21" x14ac:dyDescent="0.25">
      <c r="A339" s="780">
        <v>93521</v>
      </c>
      <c r="B339" s="781" t="s">
        <v>1502</v>
      </c>
      <c r="C339" s="782">
        <v>4.75E-4</v>
      </c>
      <c r="D339" s="782">
        <v>4.7249999999999999E-4</v>
      </c>
      <c r="E339" s="783">
        <v>188711</v>
      </c>
      <c r="F339" s="783">
        <v>-260781</v>
      </c>
      <c r="G339" s="783">
        <v>213177.15</v>
      </c>
      <c r="H339" s="783"/>
      <c r="I339" s="784">
        <v>0</v>
      </c>
      <c r="J339" s="784">
        <v>428410.1</v>
      </c>
      <c r="K339" s="784">
        <v>0</v>
      </c>
      <c r="L339" s="783">
        <v>0</v>
      </c>
      <c r="M339" s="783"/>
      <c r="N339" s="784">
        <v>50109</v>
      </c>
      <c r="O339" s="784">
        <v>489101</v>
      </c>
      <c r="P339" s="784">
        <v>0</v>
      </c>
      <c r="Q339" s="783">
        <v>15750</v>
      </c>
      <c r="R339" s="783"/>
      <c r="S339" s="784">
        <v>97328.45</v>
      </c>
      <c r="T339" s="785">
        <v>-5094</v>
      </c>
      <c r="U339" s="785">
        <v>92234</v>
      </c>
    </row>
    <row r="340" spans="1:21" x14ac:dyDescent="0.25">
      <c r="A340" s="780">
        <v>93527</v>
      </c>
      <c r="B340" s="781" t="s">
        <v>1503</v>
      </c>
      <c r="C340" s="782">
        <v>5.4E-6</v>
      </c>
      <c r="D340" s="782">
        <v>5.6999999999999996E-6</v>
      </c>
      <c r="E340" s="783">
        <v>8588</v>
      </c>
      <c r="F340" s="783">
        <v>-3146</v>
      </c>
      <c r="G340" s="783">
        <v>2423</v>
      </c>
      <c r="H340" s="783"/>
      <c r="I340" s="784">
        <v>0</v>
      </c>
      <c r="J340" s="784">
        <v>4870</v>
      </c>
      <c r="K340" s="784">
        <v>0</v>
      </c>
      <c r="L340" s="783">
        <v>9097</v>
      </c>
      <c r="M340" s="783"/>
      <c r="N340" s="784">
        <v>570</v>
      </c>
      <c r="O340" s="784">
        <v>5560</v>
      </c>
      <c r="P340" s="784">
        <v>0</v>
      </c>
      <c r="Q340" s="783">
        <v>0</v>
      </c>
      <c r="R340" s="783"/>
      <c r="S340" s="784">
        <v>1106</v>
      </c>
      <c r="T340" s="785">
        <v>2690</v>
      </c>
      <c r="U340" s="785">
        <v>3797</v>
      </c>
    </row>
    <row r="341" spans="1:21" x14ac:dyDescent="0.25">
      <c r="A341" s="780">
        <v>93531</v>
      </c>
      <c r="B341" s="781" t="s">
        <v>1504</v>
      </c>
      <c r="C341" s="782">
        <v>2.4700000000000001E-5</v>
      </c>
      <c r="D341" s="782">
        <v>2.9200000000000002E-5</v>
      </c>
      <c r="E341" s="783">
        <v>13849</v>
      </c>
      <c r="F341" s="783">
        <v>-16116</v>
      </c>
      <c r="G341" s="783">
        <v>11085</v>
      </c>
      <c r="H341" s="783"/>
      <c r="I341" s="784">
        <v>0</v>
      </c>
      <c r="J341" s="784">
        <v>22277</v>
      </c>
      <c r="K341" s="784">
        <v>0</v>
      </c>
      <c r="L341" s="783">
        <v>0</v>
      </c>
      <c r="M341" s="783"/>
      <c r="N341" s="784">
        <v>2606</v>
      </c>
      <c r="O341" s="784">
        <v>25433</v>
      </c>
      <c r="P341" s="784">
        <v>0</v>
      </c>
      <c r="Q341" s="783">
        <v>3260</v>
      </c>
      <c r="R341" s="783"/>
      <c r="S341" s="784">
        <v>5061</v>
      </c>
      <c r="T341" s="785">
        <v>-1078</v>
      </c>
      <c r="U341" s="785">
        <v>3983</v>
      </c>
    </row>
    <row r="342" spans="1:21" x14ac:dyDescent="0.25">
      <c r="A342" s="780">
        <v>93537</v>
      </c>
      <c r="B342" s="781" t="s">
        <v>1505</v>
      </c>
      <c r="C342" s="782">
        <v>1.13E-5</v>
      </c>
      <c r="D342" s="782">
        <v>1.0499999999999999E-5</v>
      </c>
      <c r="E342" s="783">
        <v>3658</v>
      </c>
      <c r="F342" s="783">
        <v>-5795</v>
      </c>
      <c r="G342" s="783">
        <v>5071</v>
      </c>
      <c r="H342" s="783"/>
      <c r="I342" s="784">
        <v>0</v>
      </c>
      <c r="J342" s="784">
        <v>10192</v>
      </c>
      <c r="K342" s="784">
        <v>0</v>
      </c>
      <c r="L342" s="783">
        <v>0</v>
      </c>
      <c r="M342" s="783"/>
      <c r="N342" s="784">
        <v>1192</v>
      </c>
      <c r="O342" s="784">
        <v>11635</v>
      </c>
      <c r="P342" s="784">
        <v>0</v>
      </c>
      <c r="Q342" s="783">
        <v>253</v>
      </c>
      <c r="R342" s="783"/>
      <c r="S342" s="784">
        <v>2315</v>
      </c>
      <c r="T342" s="785">
        <v>-70</v>
      </c>
      <c r="U342" s="785">
        <v>2245</v>
      </c>
    </row>
    <row r="343" spans="1:21" x14ac:dyDescent="0.25">
      <c r="A343" s="780">
        <v>93541</v>
      </c>
      <c r="B343" s="781" t="s">
        <v>1506</v>
      </c>
      <c r="C343" s="782">
        <v>1.069E-4</v>
      </c>
      <c r="D343" s="782">
        <v>1.0900000000000001E-4</v>
      </c>
      <c r="E343" s="783">
        <v>44172</v>
      </c>
      <c r="F343" s="783">
        <v>-60159</v>
      </c>
      <c r="G343" s="783">
        <v>47976</v>
      </c>
      <c r="H343" s="783"/>
      <c r="I343" s="784">
        <v>0</v>
      </c>
      <c r="J343" s="784">
        <v>96415</v>
      </c>
      <c r="K343" s="784">
        <v>0</v>
      </c>
      <c r="L343" s="783">
        <v>12860</v>
      </c>
      <c r="M343" s="783"/>
      <c r="N343" s="784">
        <v>11277</v>
      </c>
      <c r="O343" s="784">
        <v>110074</v>
      </c>
      <c r="P343" s="784">
        <v>0</v>
      </c>
      <c r="Q343" s="783">
        <v>1056</v>
      </c>
      <c r="R343" s="783"/>
      <c r="S343" s="784">
        <v>21904</v>
      </c>
      <c r="T343" s="785">
        <v>4025</v>
      </c>
      <c r="U343" s="785">
        <v>25929</v>
      </c>
    </row>
    <row r="344" spans="1:21" x14ac:dyDescent="0.25">
      <c r="A344" s="780">
        <v>93601</v>
      </c>
      <c r="B344" s="781" t="s">
        <v>1507</v>
      </c>
      <c r="C344" s="782">
        <v>1.09906E-2</v>
      </c>
      <c r="D344" s="782">
        <v>1.14287E-2</v>
      </c>
      <c r="E344" s="783">
        <v>4686744</v>
      </c>
      <c r="F344" s="783">
        <v>-6307705</v>
      </c>
      <c r="G344" s="783">
        <v>4932515</v>
      </c>
      <c r="H344" s="783"/>
      <c r="I344" s="784">
        <v>0</v>
      </c>
      <c r="J344" s="784">
        <v>9912598</v>
      </c>
      <c r="K344" s="784">
        <v>0</v>
      </c>
      <c r="L344" s="783">
        <v>0</v>
      </c>
      <c r="M344" s="783"/>
      <c r="N344" s="784">
        <v>1159431</v>
      </c>
      <c r="O344" s="784">
        <v>11316878</v>
      </c>
      <c r="P344" s="784">
        <v>0</v>
      </c>
      <c r="Q344" s="783">
        <v>222320</v>
      </c>
      <c r="R344" s="783"/>
      <c r="S344" s="784">
        <v>2251996</v>
      </c>
      <c r="T344" s="785">
        <v>-63502</v>
      </c>
      <c r="U344" s="785">
        <v>2188493</v>
      </c>
    </row>
    <row r="345" spans="1:21" x14ac:dyDescent="0.25">
      <c r="A345" s="780">
        <v>93602</v>
      </c>
      <c r="B345" s="781" t="s">
        <v>1508</v>
      </c>
      <c r="C345" s="782">
        <v>1.873E-4</v>
      </c>
      <c r="D345" s="782">
        <v>1.7919999999999999E-4</v>
      </c>
      <c r="E345" s="783">
        <v>71337</v>
      </c>
      <c r="F345" s="783">
        <v>-98904</v>
      </c>
      <c r="G345" s="783">
        <v>84059</v>
      </c>
      <c r="H345" s="783"/>
      <c r="I345" s="784">
        <v>0</v>
      </c>
      <c r="J345" s="784">
        <v>168929</v>
      </c>
      <c r="K345" s="784">
        <v>0</v>
      </c>
      <c r="L345" s="783">
        <v>1615</v>
      </c>
      <c r="M345" s="783"/>
      <c r="N345" s="784">
        <v>19759</v>
      </c>
      <c r="O345" s="784">
        <v>192860</v>
      </c>
      <c r="P345" s="784">
        <v>0</v>
      </c>
      <c r="Q345" s="783">
        <v>2781</v>
      </c>
      <c r="R345" s="783"/>
      <c r="S345" s="784">
        <v>38378</v>
      </c>
      <c r="T345" s="785">
        <v>-507</v>
      </c>
      <c r="U345" s="785">
        <v>37871</v>
      </c>
    </row>
    <row r="346" spans="1:21" x14ac:dyDescent="0.25">
      <c r="A346" s="780">
        <v>93609</v>
      </c>
      <c r="B346" s="781" t="s">
        <v>1509</v>
      </c>
      <c r="C346" s="782">
        <v>2.777E-3</v>
      </c>
      <c r="D346" s="782">
        <v>2.6464000000000001E-3</v>
      </c>
      <c r="E346" s="783">
        <v>1190904</v>
      </c>
      <c r="F346" s="783">
        <v>-1460596</v>
      </c>
      <c r="G346" s="783">
        <v>1246301</v>
      </c>
      <c r="H346" s="783"/>
      <c r="I346" s="784">
        <v>0</v>
      </c>
      <c r="J346" s="784">
        <v>2504621</v>
      </c>
      <c r="K346" s="784">
        <v>0</v>
      </c>
      <c r="L346" s="783">
        <v>629094</v>
      </c>
      <c r="M346" s="783"/>
      <c r="N346" s="784">
        <v>292954</v>
      </c>
      <c r="O346" s="784">
        <v>2859441</v>
      </c>
      <c r="P346" s="784">
        <v>0</v>
      </c>
      <c r="Q346" s="783">
        <v>0</v>
      </c>
      <c r="R346" s="783"/>
      <c r="S346" s="784">
        <v>569013</v>
      </c>
      <c r="T346" s="785">
        <v>200451</v>
      </c>
      <c r="U346" s="785">
        <v>769464</v>
      </c>
    </row>
    <row r="347" spans="1:21" x14ac:dyDescent="0.25">
      <c r="A347" s="780">
        <v>93610</v>
      </c>
      <c r="B347" s="781" t="s">
        <v>1510</v>
      </c>
      <c r="C347" s="782">
        <v>1.84E-5</v>
      </c>
      <c r="D347" s="782">
        <v>1.2799999999999999E-5</v>
      </c>
      <c r="E347" s="783">
        <v>6217</v>
      </c>
      <c r="F347" s="783">
        <v>-7065</v>
      </c>
      <c r="G347" s="783">
        <v>8258</v>
      </c>
      <c r="H347" s="783"/>
      <c r="I347" s="784">
        <v>0</v>
      </c>
      <c r="J347" s="784">
        <v>16595</v>
      </c>
      <c r="K347" s="784">
        <v>0</v>
      </c>
      <c r="L347" s="783">
        <v>4619</v>
      </c>
      <c r="M347" s="783"/>
      <c r="N347" s="784">
        <v>1941</v>
      </c>
      <c r="O347" s="784">
        <v>18946</v>
      </c>
      <c r="P347" s="784">
        <v>0</v>
      </c>
      <c r="Q347" s="783">
        <v>0</v>
      </c>
      <c r="R347" s="783"/>
      <c r="S347" s="784">
        <v>3770</v>
      </c>
      <c r="T347" s="785">
        <v>1334</v>
      </c>
      <c r="U347" s="785">
        <v>5104</v>
      </c>
    </row>
    <row r="348" spans="1:21" x14ac:dyDescent="0.25">
      <c r="A348" s="780">
        <v>93611</v>
      </c>
      <c r="B348" s="781" t="s">
        <v>1511</v>
      </c>
      <c r="C348" s="782">
        <v>6.9034999999999999E-3</v>
      </c>
      <c r="D348" s="782">
        <v>7.1165000000000004E-3</v>
      </c>
      <c r="E348" s="783">
        <v>2849642</v>
      </c>
      <c r="F348" s="783">
        <v>-3927724</v>
      </c>
      <c r="G348" s="783">
        <v>3098249</v>
      </c>
      <c r="H348" s="783"/>
      <c r="I348" s="784">
        <v>0</v>
      </c>
      <c r="J348" s="784">
        <v>6226377</v>
      </c>
      <c r="K348" s="784">
        <v>0</v>
      </c>
      <c r="L348" s="783">
        <v>0</v>
      </c>
      <c r="M348" s="783"/>
      <c r="N348" s="784">
        <v>728271</v>
      </c>
      <c r="O348" s="784">
        <v>7108444</v>
      </c>
      <c r="P348" s="784">
        <v>0</v>
      </c>
      <c r="Q348" s="783">
        <v>344120</v>
      </c>
      <c r="R348" s="783"/>
      <c r="S348" s="784">
        <v>1414541</v>
      </c>
      <c r="T348" s="785">
        <v>-106018</v>
      </c>
      <c r="U348" s="785">
        <v>1308523</v>
      </c>
    </row>
    <row r="349" spans="1:21" x14ac:dyDescent="0.25">
      <c r="A349" s="780">
        <v>93617</v>
      </c>
      <c r="B349" s="781" t="s">
        <v>1512</v>
      </c>
      <c r="C349" s="782">
        <v>7.9200000000000001E-5</v>
      </c>
      <c r="D349" s="782">
        <v>8.2100000000000003E-5</v>
      </c>
      <c r="E349" s="783">
        <v>47597</v>
      </c>
      <c r="F349" s="783">
        <v>-45312</v>
      </c>
      <c r="G349" s="783">
        <v>35544</v>
      </c>
      <c r="H349" s="783"/>
      <c r="I349" s="784">
        <v>0</v>
      </c>
      <c r="J349" s="784">
        <v>71432</v>
      </c>
      <c r="K349" s="784">
        <v>0</v>
      </c>
      <c r="L349" s="783">
        <v>21174</v>
      </c>
      <c r="M349" s="783"/>
      <c r="N349" s="784">
        <v>8355</v>
      </c>
      <c r="O349" s="784">
        <v>81551</v>
      </c>
      <c r="P349" s="784">
        <v>0</v>
      </c>
      <c r="Q349" s="783">
        <v>0</v>
      </c>
      <c r="R349" s="783"/>
      <c r="S349" s="784">
        <v>16228</v>
      </c>
      <c r="T349" s="785">
        <v>6350</v>
      </c>
      <c r="U349" s="785">
        <v>22579</v>
      </c>
    </row>
    <row r="350" spans="1:21" x14ac:dyDescent="0.25">
      <c r="A350" s="780">
        <v>93618</v>
      </c>
      <c r="B350" s="781" t="s">
        <v>1513</v>
      </c>
      <c r="C350" s="782">
        <v>1.0200000000000001E-5</v>
      </c>
      <c r="D350" s="782">
        <v>9.5999999999999996E-6</v>
      </c>
      <c r="E350" s="783">
        <v>22501</v>
      </c>
      <c r="F350" s="783">
        <v>-5298</v>
      </c>
      <c r="G350" s="783">
        <v>4578</v>
      </c>
      <c r="H350" s="783"/>
      <c r="I350" s="784">
        <v>0</v>
      </c>
      <c r="J350" s="784">
        <v>9200</v>
      </c>
      <c r="K350" s="784">
        <v>0</v>
      </c>
      <c r="L350" s="783">
        <v>17088</v>
      </c>
      <c r="M350" s="783"/>
      <c r="N350" s="784">
        <v>1076</v>
      </c>
      <c r="O350" s="784">
        <v>10503</v>
      </c>
      <c r="P350" s="784">
        <v>0</v>
      </c>
      <c r="Q350" s="783">
        <v>0</v>
      </c>
      <c r="R350" s="783"/>
      <c r="S350" s="784">
        <v>2090</v>
      </c>
      <c r="T350" s="785">
        <v>4629</v>
      </c>
      <c r="U350" s="785">
        <v>6719</v>
      </c>
    </row>
    <row r="351" spans="1:21" x14ac:dyDescent="0.25">
      <c r="A351" s="780">
        <v>93621</v>
      </c>
      <c r="B351" s="781" t="s">
        <v>1514</v>
      </c>
      <c r="C351" s="782">
        <v>9.5949999999999996E-4</v>
      </c>
      <c r="D351" s="782">
        <v>9.5149999999999998E-4</v>
      </c>
      <c r="E351" s="783">
        <v>351795</v>
      </c>
      <c r="F351" s="783">
        <v>-525150</v>
      </c>
      <c r="G351" s="783">
        <v>430618</v>
      </c>
      <c r="H351" s="783"/>
      <c r="I351" s="784">
        <v>0</v>
      </c>
      <c r="J351" s="784">
        <v>865388</v>
      </c>
      <c r="K351" s="784">
        <v>0</v>
      </c>
      <c r="L351" s="783">
        <v>0</v>
      </c>
      <c r="M351" s="783"/>
      <c r="N351" s="784">
        <v>101221</v>
      </c>
      <c r="O351" s="784">
        <v>987985</v>
      </c>
      <c r="P351" s="784">
        <v>0</v>
      </c>
      <c r="Q351" s="783">
        <v>63881</v>
      </c>
      <c r="R351" s="783"/>
      <c r="S351" s="784">
        <v>196603</v>
      </c>
      <c r="T351" s="785">
        <v>-19472</v>
      </c>
      <c r="U351" s="785">
        <v>177131</v>
      </c>
    </row>
    <row r="352" spans="1:21" x14ac:dyDescent="0.25">
      <c r="A352" s="780">
        <v>93623</v>
      </c>
      <c r="B352" s="781" t="s">
        <v>1515</v>
      </c>
      <c r="C352" s="782">
        <v>1.24E-5</v>
      </c>
      <c r="D352" s="782">
        <v>1.26E-5</v>
      </c>
      <c r="E352" s="783">
        <v>8314</v>
      </c>
      <c r="F352" s="783">
        <v>-6954</v>
      </c>
      <c r="G352" s="783">
        <v>5565</v>
      </c>
      <c r="H352" s="783"/>
      <c r="I352" s="784">
        <v>0</v>
      </c>
      <c r="J352" s="784">
        <v>11184</v>
      </c>
      <c r="K352" s="784">
        <v>0</v>
      </c>
      <c r="L352" s="783">
        <v>2436</v>
      </c>
      <c r="M352" s="783"/>
      <c r="N352" s="784">
        <v>1308</v>
      </c>
      <c r="O352" s="784">
        <v>12768</v>
      </c>
      <c r="P352" s="784">
        <v>0</v>
      </c>
      <c r="Q352" s="783">
        <v>2.99</v>
      </c>
      <c r="R352" s="783"/>
      <c r="S352" s="784">
        <v>2541</v>
      </c>
      <c r="T352" s="785">
        <v>637</v>
      </c>
      <c r="U352" s="785">
        <v>3178</v>
      </c>
    </row>
    <row r="353" spans="1:21" x14ac:dyDescent="0.25">
      <c r="A353" s="780">
        <v>93631</v>
      </c>
      <c r="B353" s="781" t="s">
        <v>1516</v>
      </c>
      <c r="C353" s="782">
        <v>2.3680000000000001E-4</v>
      </c>
      <c r="D353" s="782">
        <v>2.4279999999999999E-4</v>
      </c>
      <c r="E353" s="783">
        <v>87008</v>
      </c>
      <c r="F353" s="783">
        <v>-134006</v>
      </c>
      <c r="G353" s="783">
        <v>106274</v>
      </c>
      <c r="H353" s="783"/>
      <c r="I353" s="784">
        <v>0</v>
      </c>
      <c r="J353" s="784">
        <v>213574</v>
      </c>
      <c r="K353" s="784">
        <v>0</v>
      </c>
      <c r="L353" s="783">
        <v>1313</v>
      </c>
      <c r="M353" s="783"/>
      <c r="N353" s="784">
        <v>24981</v>
      </c>
      <c r="O353" s="784">
        <v>243830</v>
      </c>
      <c r="P353" s="784">
        <v>0</v>
      </c>
      <c r="Q353" s="783">
        <v>11877</v>
      </c>
      <c r="R353" s="783"/>
      <c r="S353" s="784">
        <v>48521</v>
      </c>
      <c r="T353" s="785">
        <v>-2670</v>
      </c>
      <c r="U353" s="785">
        <v>45851</v>
      </c>
    </row>
    <row r="354" spans="1:21" x14ac:dyDescent="0.25">
      <c r="A354" s="780">
        <v>93641</v>
      </c>
      <c r="B354" s="781" t="s">
        <v>1517</v>
      </c>
      <c r="C354" s="782">
        <v>4.3100000000000001E-4</v>
      </c>
      <c r="D354" s="782">
        <v>4.1619999999999998E-4</v>
      </c>
      <c r="E354" s="783">
        <v>185702</v>
      </c>
      <c r="F354" s="783">
        <v>-229708</v>
      </c>
      <c r="G354" s="783">
        <v>193430</v>
      </c>
      <c r="H354" s="783"/>
      <c r="I354" s="784">
        <v>0</v>
      </c>
      <c r="J354" s="784">
        <v>388726</v>
      </c>
      <c r="K354" s="784">
        <v>0</v>
      </c>
      <c r="L354" s="783">
        <v>22249</v>
      </c>
      <c r="M354" s="783"/>
      <c r="N354" s="784">
        <v>45467</v>
      </c>
      <c r="O354" s="784">
        <v>443795</v>
      </c>
      <c r="P354" s="784">
        <v>0</v>
      </c>
      <c r="Q354" s="783">
        <v>0</v>
      </c>
      <c r="R354" s="783"/>
      <c r="S354" s="784">
        <v>88313</v>
      </c>
      <c r="T354" s="785">
        <v>6126</v>
      </c>
      <c r="U354" s="785">
        <v>94439</v>
      </c>
    </row>
    <row r="355" spans="1:21" x14ac:dyDescent="0.25">
      <c r="A355" s="780">
        <v>93647</v>
      </c>
      <c r="B355" s="781" t="s">
        <v>1518</v>
      </c>
      <c r="C355" s="782">
        <v>6.0000000000000002E-6</v>
      </c>
      <c r="D355" s="782">
        <v>5.4999999999999999E-6</v>
      </c>
      <c r="E355" s="783">
        <v>11547</v>
      </c>
      <c r="F355" s="783">
        <v>-3036</v>
      </c>
      <c r="G355" s="783">
        <v>2693</v>
      </c>
      <c r="H355" s="783"/>
      <c r="I355" s="784">
        <v>0</v>
      </c>
      <c r="J355" s="784">
        <v>5411</v>
      </c>
      <c r="K355" s="784">
        <v>0</v>
      </c>
      <c r="L355" s="783">
        <v>8515</v>
      </c>
      <c r="M355" s="783"/>
      <c r="N355" s="784">
        <v>633</v>
      </c>
      <c r="O355" s="784">
        <v>6178</v>
      </c>
      <c r="P355" s="784">
        <v>0</v>
      </c>
      <c r="Q355" s="783">
        <v>0</v>
      </c>
      <c r="R355" s="783"/>
      <c r="S355" s="784">
        <v>1229</v>
      </c>
      <c r="T355" s="785">
        <v>2298</v>
      </c>
      <c r="U355" s="785">
        <v>3528</v>
      </c>
    </row>
    <row r="356" spans="1:21" x14ac:dyDescent="0.25">
      <c r="A356" s="780">
        <v>93651</v>
      </c>
      <c r="B356" s="781" t="s">
        <v>1519</v>
      </c>
      <c r="C356" s="782">
        <v>4.216E-4</v>
      </c>
      <c r="D356" s="782">
        <v>3.9379999999999998E-4</v>
      </c>
      <c r="E356" s="783">
        <v>162955</v>
      </c>
      <c r="F356" s="783">
        <v>-217345</v>
      </c>
      <c r="G356" s="783">
        <v>189212</v>
      </c>
      <c r="H356" s="783"/>
      <c r="I356" s="784">
        <v>0</v>
      </c>
      <c r="J356" s="784">
        <v>380248</v>
      </c>
      <c r="K356" s="784">
        <v>0</v>
      </c>
      <c r="L356" s="783">
        <v>12236</v>
      </c>
      <c r="M356" s="783"/>
      <c r="N356" s="784">
        <v>44476</v>
      </c>
      <c r="O356" s="784">
        <v>434116</v>
      </c>
      <c r="P356" s="784">
        <v>0</v>
      </c>
      <c r="Q356" s="783">
        <v>1883.7</v>
      </c>
      <c r="R356" s="783"/>
      <c r="S356" s="784">
        <v>86387</v>
      </c>
      <c r="T356" s="785">
        <v>2573</v>
      </c>
      <c r="U356" s="785">
        <v>88960</v>
      </c>
    </row>
    <row r="357" spans="1:21" x14ac:dyDescent="0.25">
      <c r="A357" s="780">
        <v>93661</v>
      </c>
      <c r="B357" s="781" t="s">
        <v>1520</v>
      </c>
      <c r="C357" s="782">
        <v>1.2750000000000001E-4</v>
      </c>
      <c r="D357" s="782">
        <v>1.3520000000000001E-4</v>
      </c>
      <c r="E357" s="783">
        <v>62267</v>
      </c>
      <c r="F357" s="783">
        <v>-74619</v>
      </c>
      <c r="G357" s="783">
        <v>57221</v>
      </c>
      <c r="H357" s="783"/>
      <c r="I357" s="784">
        <v>0</v>
      </c>
      <c r="J357" s="784">
        <v>114994</v>
      </c>
      <c r="K357" s="784">
        <v>0</v>
      </c>
      <c r="L357" s="783">
        <v>6463</v>
      </c>
      <c r="M357" s="783"/>
      <c r="N357" s="784">
        <v>13450</v>
      </c>
      <c r="O357" s="784">
        <v>131285</v>
      </c>
      <c r="P357" s="784">
        <v>0</v>
      </c>
      <c r="Q357" s="783">
        <v>0</v>
      </c>
      <c r="R357" s="783"/>
      <c r="S357" s="784">
        <v>26125</v>
      </c>
      <c r="T357" s="785">
        <v>1966</v>
      </c>
      <c r="U357" s="785">
        <v>28091</v>
      </c>
    </row>
    <row r="358" spans="1:21" x14ac:dyDescent="0.25">
      <c r="A358" s="780">
        <v>93671</v>
      </c>
      <c r="B358" s="781" t="s">
        <v>1521</v>
      </c>
      <c r="C358" s="782">
        <v>3.5710000000000001E-4</v>
      </c>
      <c r="D358" s="782">
        <v>2.8600000000000001E-4</v>
      </c>
      <c r="E358" s="783">
        <v>138775</v>
      </c>
      <c r="F358" s="783">
        <v>-157849</v>
      </c>
      <c r="G358" s="783">
        <v>160264</v>
      </c>
      <c r="H358" s="783"/>
      <c r="I358" s="784">
        <v>0</v>
      </c>
      <c r="J358" s="784">
        <v>322074</v>
      </c>
      <c r="K358" s="784">
        <v>0</v>
      </c>
      <c r="L358" s="783">
        <v>97320</v>
      </c>
      <c r="M358" s="783"/>
      <c r="N358" s="784">
        <v>37672</v>
      </c>
      <c r="O358" s="784">
        <v>367701</v>
      </c>
      <c r="P358" s="784">
        <v>0</v>
      </c>
      <c r="Q358" s="783">
        <v>0</v>
      </c>
      <c r="R358" s="783"/>
      <c r="S358" s="784">
        <v>73171</v>
      </c>
      <c r="T358" s="785">
        <v>29327</v>
      </c>
      <c r="U358" s="785">
        <v>102498</v>
      </c>
    </row>
    <row r="359" spans="1:21" x14ac:dyDescent="0.25">
      <c r="A359" s="780">
        <v>93677</v>
      </c>
      <c r="B359" s="781" t="s">
        <v>1522</v>
      </c>
      <c r="C359" s="782">
        <v>0</v>
      </c>
      <c r="D359" s="782">
        <v>0</v>
      </c>
      <c r="E359" s="783"/>
      <c r="F359" s="783">
        <v>0</v>
      </c>
      <c r="G359" s="783">
        <v>0</v>
      </c>
      <c r="H359" s="783"/>
      <c r="I359" s="784">
        <v>0</v>
      </c>
      <c r="J359" s="784">
        <v>0</v>
      </c>
      <c r="K359" s="784">
        <v>0</v>
      </c>
      <c r="L359" s="783">
        <v>0</v>
      </c>
      <c r="M359" s="783"/>
      <c r="N359" s="784">
        <v>0</v>
      </c>
      <c r="O359" s="784">
        <v>0</v>
      </c>
      <c r="P359" s="784">
        <v>0</v>
      </c>
      <c r="Q359" s="783">
        <v>2167.75</v>
      </c>
      <c r="R359" s="783"/>
      <c r="S359" s="784">
        <v>0</v>
      </c>
      <c r="T359" s="785">
        <v>-725</v>
      </c>
      <c r="U359" s="785">
        <v>-725</v>
      </c>
    </row>
    <row r="360" spans="1:21" x14ac:dyDescent="0.25">
      <c r="A360" s="780">
        <v>93681</v>
      </c>
      <c r="B360" s="781" t="s">
        <v>1523</v>
      </c>
      <c r="C360" s="782">
        <v>1.2769999999999999E-4</v>
      </c>
      <c r="D360" s="782">
        <v>1.204E-4</v>
      </c>
      <c r="E360" s="783">
        <v>46373</v>
      </c>
      <c r="F360" s="783">
        <v>-66451</v>
      </c>
      <c r="G360" s="783">
        <v>57311</v>
      </c>
      <c r="H360" s="783"/>
      <c r="I360" s="784">
        <v>0</v>
      </c>
      <c r="J360" s="784">
        <v>115175</v>
      </c>
      <c r="K360" s="784">
        <v>0</v>
      </c>
      <c r="L360" s="783">
        <v>554</v>
      </c>
      <c r="M360" s="783"/>
      <c r="N360" s="784">
        <v>13471</v>
      </c>
      <c r="O360" s="784">
        <v>131491</v>
      </c>
      <c r="P360" s="784">
        <v>0</v>
      </c>
      <c r="Q360" s="783">
        <v>10838.75</v>
      </c>
      <c r="R360" s="783"/>
      <c r="S360" s="784">
        <v>26166</v>
      </c>
      <c r="T360" s="785">
        <v>-3480</v>
      </c>
      <c r="U360" s="785">
        <v>22686</v>
      </c>
    </row>
    <row r="361" spans="1:21" x14ac:dyDescent="0.25">
      <c r="A361" s="780">
        <v>93691</v>
      </c>
      <c r="B361" s="781" t="s">
        <v>1524</v>
      </c>
      <c r="C361" s="782">
        <v>1.1314999999999999E-3</v>
      </c>
      <c r="D361" s="782">
        <v>1.1435E-3</v>
      </c>
      <c r="E361" s="783">
        <v>414994</v>
      </c>
      <c r="F361" s="783">
        <v>-631118</v>
      </c>
      <c r="G361" s="783">
        <v>507810</v>
      </c>
      <c r="H361" s="783"/>
      <c r="I361" s="784">
        <v>0</v>
      </c>
      <c r="J361" s="784">
        <v>1020518</v>
      </c>
      <c r="K361" s="784">
        <v>0</v>
      </c>
      <c r="L361" s="783">
        <v>0</v>
      </c>
      <c r="M361" s="783"/>
      <c r="N361" s="784">
        <v>119365</v>
      </c>
      <c r="O361" s="784">
        <v>1165091</v>
      </c>
      <c r="P361" s="784">
        <v>0</v>
      </c>
      <c r="Q361" s="783">
        <v>59651</v>
      </c>
      <c r="R361" s="783"/>
      <c r="S361" s="784">
        <v>231847</v>
      </c>
      <c r="T361" s="785">
        <v>-16633</v>
      </c>
      <c r="U361" s="785">
        <v>215214</v>
      </c>
    </row>
    <row r="362" spans="1:21" x14ac:dyDescent="0.25">
      <c r="A362" s="780">
        <v>93701</v>
      </c>
      <c r="B362" s="781" t="s">
        <v>1525</v>
      </c>
      <c r="C362" s="782">
        <v>4.7169999999999997E-4</v>
      </c>
      <c r="D362" s="782">
        <v>4.5029999999999999E-4</v>
      </c>
      <c r="E362" s="783">
        <v>186358</v>
      </c>
      <c r="F362" s="783">
        <v>-248529</v>
      </c>
      <c r="G362" s="783">
        <v>211696</v>
      </c>
      <c r="H362" s="783"/>
      <c r="I362" s="784">
        <v>0</v>
      </c>
      <c r="J362" s="784">
        <v>425434</v>
      </c>
      <c r="K362" s="784">
        <v>0</v>
      </c>
      <c r="L362" s="783">
        <v>19505</v>
      </c>
      <c r="M362" s="783"/>
      <c r="N362" s="784">
        <v>49761</v>
      </c>
      <c r="O362" s="784">
        <v>485703</v>
      </c>
      <c r="P362" s="784">
        <v>0</v>
      </c>
      <c r="Q362" s="783">
        <v>0</v>
      </c>
      <c r="R362" s="783"/>
      <c r="S362" s="784">
        <v>96652</v>
      </c>
      <c r="T362" s="785">
        <v>5791</v>
      </c>
      <c r="U362" s="785">
        <v>102443</v>
      </c>
    </row>
    <row r="363" spans="1:21" x14ac:dyDescent="0.25">
      <c r="A363" s="780">
        <v>93704</v>
      </c>
      <c r="B363" s="781" t="s">
        <v>1526</v>
      </c>
      <c r="C363" s="782">
        <v>3.3000000000000002E-6</v>
      </c>
      <c r="D363" s="782">
        <v>3.5999999999999998E-6</v>
      </c>
      <c r="E363" s="783">
        <v>1740</v>
      </c>
      <c r="F363" s="783">
        <v>-1987</v>
      </c>
      <c r="G363" s="783">
        <v>1481</v>
      </c>
      <c r="H363" s="783"/>
      <c r="I363" s="784">
        <v>0</v>
      </c>
      <c r="J363" s="784">
        <v>2976</v>
      </c>
      <c r="K363" s="784">
        <v>0</v>
      </c>
      <c r="L363" s="783">
        <v>100</v>
      </c>
      <c r="M363" s="783"/>
      <c r="N363" s="784">
        <v>348</v>
      </c>
      <c r="O363" s="784">
        <v>3398</v>
      </c>
      <c r="P363" s="784">
        <v>0</v>
      </c>
      <c r="Q363" s="783">
        <v>147</v>
      </c>
      <c r="R363" s="783"/>
      <c r="S363" s="784">
        <v>676</v>
      </c>
      <c r="T363" s="785">
        <v>-23</v>
      </c>
      <c r="U363" s="785">
        <v>653</v>
      </c>
    </row>
    <row r="364" spans="1:21" x14ac:dyDescent="0.25">
      <c r="A364" s="780">
        <v>93801</v>
      </c>
      <c r="B364" s="781" t="s">
        <v>1527</v>
      </c>
      <c r="C364" s="782">
        <v>4.4959999999999998E-4</v>
      </c>
      <c r="D364" s="782">
        <v>5.4609999999999999E-4</v>
      </c>
      <c r="E364" s="783">
        <v>310339</v>
      </c>
      <c r="F364" s="783">
        <v>-301402</v>
      </c>
      <c r="G364" s="783">
        <v>201778</v>
      </c>
      <c r="H364" s="783"/>
      <c r="I364" s="784">
        <v>0</v>
      </c>
      <c r="J364" s="784">
        <v>405501</v>
      </c>
      <c r="K364" s="784">
        <v>0</v>
      </c>
      <c r="L364" s="783">
        <v>32756</v>
      </c>
      <c r="M364" s="783"/>
      <c r="N364" s="784">
        <v>47430</v>
      </c>
      <c r="O364" s="784">
        <v>462947</v>
      </c>
      <c r="P364" s="784">
        <v>0</v>
      </c>
      <c r="Q364" s="783">
        <v>4422.21</v>
      </c>
      <c r="R364" s="783"/>
      <c r="S364" s="784">
        <v>92124</v>
      </c>
      <c r="T364" s="785">
        <v>7096</v>
      </c>
      <c r="U364" s="785">
        <v>99220</v>
      </c>
    </row>
    <row r="365" spans="1:21" x14ac:dyDescent="0.25">
      <c r="A365" s="780">
        <v>93803</v>
      </c>
      <c r="B365" s="781" t="s">
        <v>1528</v>
      </c>
      <c r="C365" s="782">
        <v>1.582E-4</v>
      </c>
      <c r="D365" s="782">
        <v>1.6320000000000001E-4</v>
      </c>
      <c r="E365" s="783">
        <v>54158</v>
      </c>
      <c r="F365" s="783">
        <v>-90073</v>
      </c>
      <c r="G365" s="783">
        <v>70999</v>
      </c>
      <c r="H365" s="783"/>
      <c r="I365" s="784">
        <v>0</v>
      </c>
      <c r="J365" s="784">
        <v>142683</v>
      </c>
      <c r="K365" s="784">
        <v>0</v>
      </c>
      <c r="L365" s="783">
        <v>0</v>
      </c>
      <c r="M365" s="783"/>
      <c r="N365" s="784">
        <v>16689</v>
      </c>
      <c r="O365" s="784">
        <v>162896</v>
      </c>
      <c r="P365" s="784">
        <v>0</v>
      </c>
      <c r="Q365" s="783">
        <v>27950</v>
      </c>
      <c r="R365" s="783"/>
      <c r="S365" s="784">
        <v>32415</v>
      </c>
      <c r="T365" s="785">
        <v>-8492</v>
      </c>
      <c r="U365" s="785">
        <v>23924</v>
      </c>
    </row>
    <row r="366" spans="1:21" x14ac:dyDescent="0.25">
      <c r="A366" s="780">
        <v>93806</v>
      </c>
      <c r="B366" s="781" t="s">
        <v>1529</v>
      </c>
      <c r="C366" s="782">
        <v>7.7899999999999996E-5</v>
      </c>
      <c r="D366" s="782">
        <v>7.3700000000000002E-5</v>
      </c>
      <c r="E366" s="783">
        <v>31151</v>
      </c>
      <c r="F366" s="783">
        <v>-40676</v>
      </c>
      <c r="G366" s="783">
        <v>34961</v>
      </c>
      <c r="H366" s="783"/>
      <c r="I366" s="784">
        <v>0</v>
      </c>
      <c r="J366" s="784">
        <v>70259</v>
      </c>
      <c r="K366" s="784">
        <v>0</v>
      </c>
      <c r="L366" s="783">
        <v>2429</v>
      </c>
      <c r="M366" s="783"/>
      <c r="N366" s="784">
        <v>8218</v>
      </c>
      <c r="O366" s="784">
        <v>80213</v>
      </c>
      <c r="P366" s="784">
        <v>0</v>
      </c>
      <c r="Q366" s="783">
        <v>28695</v>
      </c>
      <c r="R366" s="783"/>
      <c r="S366" s="784">
        <v>15962</v>
      </c>
      <c r="T366" s="785">
        <v>-8961</v>
      </c>
      <c r="U366" s="785">
        <v>7001</v>
      </c>
    </row>
    <row r="367" spans="1:21" x14ac:dyDescent="0.25">
      <c r="A367" s="780">
        <v>93821</v>
      </c>
      <c r="B367" s="781" t="s">
        <v>1530</v>
      </c>
      <c r="C367" s="782">
        <v>5.2899999999999998E-5</v>
      </c>
      <c r="D367" s="782">
        <v>4.7899999999999999E-5</v>
      </c>
      <c r="E367" s="783">
        <v>24453</v>
      </c>
      <c r="F367" s="783">
        <v>-26437</v>
      </c>
      <c r="G367" s="783">
        <v>23741</v>
      </c>
      <c r="H367" s="783"/>
      <c r="I367" s="784">
        <v>0</v>
      </c>
      <c r="J367" s="784">
        <v>47711</v>
      </c>
      <c r="K367" s="784">
        <v>0</v>
      </c>
      <c r="L367" s="783">
        <v>9096</v>
      </c>
      <c r="M367" s="783"/>
      <c r="N367" s="784">
        <v>5581</v>
      </c>
      <c r="O367" s="784">
        <v>54470</v>
      </c>
      <c r="P367" s="784">
        <v>0</v>
      </c>
      <c r="Q367" s="783">
        <v>0</v>
      </c>
      <c r="R367" s="783"/>
      <c r="S367" s="784">
        <v>10839</v>
      </c>
      <c r="T367" s="785">
        <v>2623</v>
      </c>
      <c r="U367" s="785">
        <v>13462</v>
      </c>
    </row>
    <row r="368" spans="1:21" x14ac:dyDescent="0.25">
      <c r="A368" s="780">
        <v>93901</v>
      </c>
      <c r="B368" s="781" t="s">
        <v>1531</v>
      </c>
      <c r="C368" s="782">
        <v>1.7983999999999999E-3</v>
      </c>
      <c r="D368" s="782">
        <v>1.8154E-3</v>
      </c>
      <c r="E368" s="783">
        <v>790415</v>
      </c>
      <c r="F368" s="783">
        <v>-1001952</v>
      </c>
      <c r="G368" s="783">
        <v>807111</v>
      </c>
      <c r="H368" s="783"/>
      <c r="I368" s="784">
        <v>0</v>
      </c>
      <c r="J368" s="784">
        <v>1622006</v>
      </c>
      <c r="K368" s="784">
        <v>0</v>
      </c>
      <c r="L368" s="783">
        <v>45329</v>
      </c>
      <c r="M368" s="783"/>
      <c r="N368" s="784">
        <v>189719</v>
      </c>
      <c r="O368" s="784">
        <v>1851789</v>
      </c>
      <c r="P368" s="784">
        <v>0</v>
      </c>
      <c r="Q368" s="783">
        <v>0</v>
      </c>
      <c r="R368" s="783"/>
      <c r="S368" s="784">
        <v>368496</v>
      </c>
      <c r="T368" s="785">
        <v>12793</v>
      </c>
      <c r="U368" s="785">
        <v>381288</v>
      </c>
    </row>
    <row r="369" spans="1:21" x14ac:dyDescent="0.25">
      <c r="A369" s="780">
        <v>93904</v>
      </c>
      <c r="B369" s="781" t="s">
        <v>1532</v>
      </c>
      <c r="C369" s="782">
        <v>2.5700000000000001E-5</v>
      </c>
      <c r="D369" s="782">
        <v>2.3099999999999999E-5</v>
      </c>
      <c r="E369" s="783">
        <v>13661</v>
      </c>
      <c r="F369" s="783">
        <v>-12749</v>
      </c>
      <c r="G369" s="783">
        <v>11534</v>
      </c>
      <c r="H369" s="783"/>
      <c r="I369" s="784">
        <v>0</v>
      </c>
      <c r="J369" s="784">
        <v>23179</v>
      </c>
      <c r="K369" s="784">
        <v>0</v>
      </c>
      <c r="L369" s="783">
        <v>4336</v>
      </c>
      <c r="M369" s="783"/>
      <c r="N369" s="784">
        <v>2711</v>
      </c>
      <c r="O369" s="784">
        <v>26463</v>
      </c>
      <c r="P369" s="784">
        <v>0</v>
      </c>
      <c r="Q369" s="783">
        <v>83.72</v>
      </c>
      <c r="R369" s="783"/>
      <c r="S369" s="784">
        <v>5266</v>
      </c>
      <c r="T369" s="785">
        <v>1107</v>
      </c>
      <c r="U369" s="785">
        <v>6373</v>
      </c>
    </row>
    <row r="370" spans="1:21" x14ac:dyDescent="0.25">
      <c r="A370" s="780">
        <v>93906</v>
      </c>
      <c r="B370" s="781" t="s">
        <v>1533</v>
      </c>
      <c r="C370" s="782">
        <v>3.4020000000000001E-3</v>
      </c>
      <c r="D370" s="782">
        <v>3.6600000000000001E-3</v>
      </c>
      <c r="E370" s="783">
        <v>1383160</v>
      </c>
      <c r="F370" s="783">
        <v>-2020020</v>
      </c>
      <c r="G370" s="783">
        <v>1526797</v>
      </c>
      <c r="H370" s="783"/>
      <c r="I370" s="784">
        <v>0</v>
      </c>
      <c r="J370" s="784">
        <v>3068318</v>
      </c>
      <c r="K370" s="784">
        <v>0</v>
      </c>
      <c r="L370" s="783">
        <v>45250.66</v>
      </c>
      <c r="M370" s="783"/>
      <c r="N370" s="784">
        <v>358887</v>
      </c>
      <c r="O370" s="784">
        <v>3502995</v>
      </c>
      <c r="P370" s="784">
        <v>0</v>
      </c>
      <c r="Q370" s="783">
        <v>185657</v>
      </c>
      <c r="R370" s="783"/>
      <c r="S370" s="784">
        <v>697077</v>
      </c>
      <c r="T370" s="785">
        <v>-33467</v>
      </c>
      <c r="U370" s="785">
        <v>663609</v>
      </c>
    </row>
    <row r="371" spans="1:21" x14ac:dyDescent="0.25">
      <c r="A371" s="780">
        <v>93908</v>
      </c>
      <c r="B371" s="781" t="s">
        <v>1534</v>
      </c>
      <c r="C371" s="782">
        <v>5.1309999999999995E-4</v>
      </c>
      <c r="D371" s="782">
        <v>5.6240000000000001E-4</v>
      </c>
      <c r="E371" s="783">
        <v>215864</v>
      </c>
      <c r="F371" s="783">
        <v>-310399</v>
      </c>
      <c r="G371" s="783">
        <v>230276</v>
      </c>
      <c r="H371" s="783"/>
      <c r="I371" s="784">
        <v>0</v>
      </c>
      <c r="J371" s="784">
        <v>462773</v>
      </c>
      <c r="K371" s="784">
        <v>0</v>
      </c>
      <c r="L371" s="783">
        <v>12663</v>
      </c>
      <c r="M371" s="783"/>
      <c r="N371" s="784">
        <v>54128</v>
      </c>
      <c r="O371" s="784">
        <v>528332</v>
      </c>
      <c r="P371" s="784">
        <v>0</v>
      </c>
      <c r="Q371" s="783">
        <v>29543</v>
      </c>
      <c r="R371" s="783"/>
      <c r="S371" s="784">
        <v>105135</v>
      </c>
      <c r="T371" s="785">
        <v>-3499</v>
      </c>
      <c r="U371" s="785">
        <v>101636</v>
      </c>
    </row>
    <row r="372" spans="1:21" x14ac:dyDescent="0.25">
      <c r="A372" s="780">
        <v>93910</v>
      </c>
      <c r="B372" s="781" t="s">
        <v>1535</v>
      </c>
      <c r="C372" s="782">
        <v>2.8830000000000001E-4</v>
      </c>
      <c r="D372" s="782">
        <v>2.9070000000000002E-4</v>
      </c>
      <c r="E372" s="783">
        <v>107591</v>
      </c>
      <c r="F372" s="783">
        <v>-160443</v>
      </c>
      <c r="G372" s="783">
        <v>129387</v>
      </c>
      <c r="H372" s="783"/>
      <c r="I372" s="784">
        <v>0</v>
      </c>
      <c r="J372" s="784">
        <v>260022</v>
      </c>
      <c r="K372" s="784">
        <v>0</v>
      </c>
      <c r="L372" s="783">
        <v>0</v>
      </c>
      <c r="M372" s="783"/>
      <c r="N372" s="784">
        <v>30414</v>
      </c>
      <c r="O372" s="784">
        <v>296859</v>
      </c>
      <c r="P372" s="784">
        <v>0</v>
      </c>
      <c r="Q372" s="783">
        <v>25124</v>
      </c>
      <c r="R372" s="783"/>
      <c r="S372" s="784">
        <v>59073</v>
      </c>
      <c r="T372" s="785">
        <v>-7698</v>
      </c>
      <c r="U372" s="785">
        <v>51376</v>
      </c>
    </row>
    <row r="373" spans="1:21" x14ac:dyDescent="0.25">
      <c r="A373" s="780">
        <v>93911</v>
      </c>
      <c r="B373" s="781" t="s">
        <v>1536</v>
      </c>
      <c r="C373" s="782">
        <v>7.1869999999999996E-4</v>
      </c>
      <c r="D373" s="782">
        <v>6.7610000000000001E-4</v>
      </c>
      <c r="E373" s="783">
        <v>282624</v>
      </c>
      <c r="F373" s="783">
        <v>-373152</v>
      </c>
      <c r="G373" s="783">
        <v>322548</v>
      </c>
      <c r="H373" s="783"/>
      <c r="I373" s="784">
        <v>0</v>
      </c>
      <c r="J373" s="784">
        <v>648207</v>
      </c>
      <c r="K373" s="784">
        <v>0</v>
      </c>
      <c r="L373" s="783">
        <v>30430</v>
      </c>
      <c r="M373" s="783"/>
      <c r="N373" s="784">
        <v>75818</v>
      </c>
      <c r="O373" s="784">
        <v>740036</v>
      </c>
      <c r="P373" s="784">
        <v>0</v>
      </c>
      <c r="Q373" s="783">
        <v>0</v>
      </c>
      <c r="R373" s="783"/>
      <c r="S373" s="784">
        <v>147263</v>
      </c>
      <c r="T373" s="785">
        <v>8627</v>
      </c>
      <c r="U373" s="785">
        <v>155890</v>
      </c>
    </row>
    <row r="374" spans="1:21" x14ac:dyDescent="0.25">
      <c r="A374" s="780">
        <v>93913</v>
      </c>
      <c r="B374" s="781" t="s">
        <v>1537</v>
      </c>
      <c r="C374" s="782">
        <v>5.5699999999999999E-5</v>
      </c>
      <c r="D374" s="782">
        <v>5.9599999999999999E-5</v>
      </c>
      <c r="E374" s="783">
        <v>24049</v>
      </c>
      <c r="F374" s="783">
        <v>-32894</v>
      </c>
      <c r="G374" s="783">
        <v>24998</v>
      </c>
      <c r="H374" s="783"/>
      <c r="I374" s="784">
        <v>0</v>
      </c>
      <c r="J374" s="784">
        <v>50237</v>
      </c>
      <c r="K374" s="784">
        <v>0</v>
      </c>
      <c r="L374" s="783">
        <v>0</v>
      </c>
      <c r="M374" s="783"/>
      <c r="N374" s="784">
        <v>5876</v>
      </c>
      <c r="O374" s="784">
        <v>57354</v>
      </c>
      <c r="P374" s="784">
        <v>0</v>
      </c>
      <c r="Q374" s="783">
        <v>1820</v>
      </c>
      <c r="R374" s="783"/>
      <c r="S374" s="784">
        <v>11413</v>
      </c>
      <c r="T374" s="785">
        <v>-485</v>
      </c>
      <c r="U374" s="785">
        <v>10928</v>
      </c>
    </row>
    <row r="375" spans="1:21" x14ac:dyDescent="0.25">
      <c r="A375" s="780">
        <v>93914</v>
      </c>
      <c r="B375" s="781" t="s">
        <v>1538</v>
      </c>
      <c r="C375" s="782">
        <v>1.0000000000000001E-5</v>
      </c>
      <c r="D375" s="782">
        <v>1.04E-5</v>
      </c>
      <c r="E375" s="783">
        <v>6184</v>
      </c>
      <c r="F375" s="783">
        <v>-5740</v>
      </c>
      <c r="G375" s="783">
        <v>4488</v>
      </c>
      <c r="H375" s="783"/>
      <c r="I375" s="784">
        <v>0</v>
      </c>
      <c r="J375" s="784">
        <v>9019.16</v>
      </c>
      <c r="K375" s="784">
        <v>0</v>
      </c>
      <c r="L375" s="783">
        <v>2751</v>
      </c>
      <c r="M375" s="783"/>
      <c r="N375" s="784">
        <v>1054.93</v>
      </c>
      <c r="O375" s="784">
        <v>10297</v>
      </c>
      <c r="P375" s="784">
        <v>0</v>
      </c>
      <c r="Q375" s="783">
        <v>0</v>
      </c>
      <c r="R375" s="783"/>
      <c r="S375" s="784">
        <v>2049.02</v>
      </c>
      <c r="T375" s="785">
        <v>820</v>
      </c>
      <c r="U375" s="785">
        <v>2869</v>
      </c>
    </row>
    <row r="376" spans="1:21" x14ac:dyDescent="0.25">
      <c r="A376" s="780">
        <v>93921</v>
      </c>
      <c r="B376" s="781" t="s">
        <v>1539</v>
      </c>
      <c r="C376" s="782">
        <v>2.8130000000000001E-4</v>
      </c>
      <c r="D376" s="782">
        <v>2.6600000000000001E-4</v>
      </c>
      <c r="E376" s="783">
        <v>116105</v>
      </c>
      <c r="F376" s="783">
        <v>-146810</v>
      </c>
      <c r="G376" s="783">
        <v>126246</v>
      </c>
      <c r="H376" s="783"/>
      <c r="I376" s="784">
        <v>0</v>
      </c>
      <c r="J376" s="784">
        <v>253709</v>
      </c>
      <c r="K376" s="784">
        <v>0</v>
      </c>
      <c r="L376" s="783">
        <v>21099</v>
      </c>
      <c r="M376" s="783"/>
      <c r="N376" s="784">
        <v>29675</v>
      </c>
      <c r="O376" s="784">
        <v>289651</v>
      </c>
      <c r="P376" s="784">
        <v>0</v>
      </c>
      <c r="Q376" s="783">
        <v>0</v>
      </c>
      <c r="R376" s="783"/>
      <c r="S376" s="784">
        <v>57639</v>
      </c>
      <c r="T376" s="785">
        <v>6204</v>
      </c>
      <c r="U376" s="785">
        <v>63843</v>
      </c>
    </row>
    <row r="377" spans="1:21" x14ac:dyDescent="0.25">
      <c r="A377" s="780">
        <v>93931</v>
      </c>
      <c r="B377" s="781" t="s">
        <v>1540</v>
      </c>
      <c r="C377" s="782">
        <v>5.1309999999999995E-4</v>
      </c>
      <c r="D377" s="782">
        <v>3.6230000000000002E-4</v>
      </c>
      <c r="E377" s="783">
        <v>183687</v>
      </c>
      <c r="F377" s="783">
        <v>-199960</v>
      </c>
      <c r="G377" s="783">
        <v>230276</v>
      </c>
      <c r="H377" s="783"/>
      <c r="I377" s="784">
        <v>0</v>
      </c>
      <c r="J377" s="784">
        <v>462773</v>
      </c>
      <c r="K377" s="784">
        <v>0</v>
      </c>
      <c r="L377" s="783">
        <v>287416</v>
      </c>
      <c r="M377" s="783"/>
      <c r="N377" s="784">
        <v>54128</v>
      </c>
      <c r="O377" s="784">
        <v>528332</v>
      </c>
      <c r="P377" s="784">
        <v>0</v>
      </c>
      <c r="Q377" s="783">
        <v>0</v>
      </c>
      <c r="R377" s="783"/>
      <c r="S377" s="784">
        <v>105135</v>
      </c>
      <c r="T377" s="785">
        <v>89922</v>
      </c>
      <c r="U377" s="785">
        <v>195057</v>
      </c>
    </row>
    <row r="378" spans="1:21" x14ac:dyDescent="0.25">
      <c r="A378" s="780">
        <v>94001</v>
      </c>
      <c r="B378" s="781" t="s">
        <v>1541</v>
      </c>
      <c r="C378" s="782">
        <v>8.1820000000000005E-4</v>
      </c>
      <c r="D378" s="782">
        <v>8.5919999999999996E-4</v>
      </c>
      <c r="E378" s="783">
        <v>364818</v>
      </c>
      <c r="F378" s="783">
        <v>-474208</v>
      </c>
      <c r="G378" s="783">
        <v>367203</v>
      </c>
      <c r="H378" s="783"/>
      <c r="I378" s="784">
        <v>0</v>
      </c>
      <c r="J378" s="784">
        <v>737948</v>
      </c>
      <c r="K378" s="784">
        <v>0</v>
      </c>
      <c r="L378" s="783">
        <v>0</v>
      </c>
      <c r="M378" s="783"/>
      <c r="N378" s="784">
        <v>86314</v>
      </c>
      <c r="O378" s="784">
        <v>842490</v>
      </c>
      <c r="P378" s="784">
        <v>0</v>
      </c>
      <c r="Q378" s="783">
        <v>80125</v>
      </c>
      <c r="R378" s="783"/>
      <c r="S378" s="784">
        <v>167651</v>
      </c>
      <c r="T378" s="785">
        <v>-26479</v>
      </c>
      <c r="U378" s="785">
        <v>141172</v>
      </c>
    </row>
    <row r="379" spans="1:21" x14ac:dyDescent="0.25">
      <c r="A379" s="780">
        <v>94002</v>
      </c>
      <c r="B379" s="781" t="s">
        <v>1542</v>
      </c>
      <c r="C379" s="782">
        <v>8.3000000000000002E-6</v>
      </c>
      <c r="D379" s="782">
        <v>8.8000000000000004E-6</v>
      </c>
      <c r="E379" s="783">
        <v>4285</v>
      </c>
      <c r="F379" s="783">
        <v>-4857</v>
      </c>
      <c r="G379" s="783">
        <v>3725</v>
      </c>
      <c r="H379" s="783"/>
      <c r="I379" s="784">
        <v>0</v>
      </c>
      <c r="J379" s="784">
        <v>7486</v>
      </c>
      <c r="K379" s="784">
        <v>0</v>
      </c>
      <c r="L379" s="783">
        <v>359</v>
      </c>
      <c r="M379" s="783"/>
      <c r="N379" s="784">
        <v>876</v>
      </c>
      <c r="O379" s="784">
        <v>8546</v>
      </c>
      <c r="P379" s="784">
        <v>0</v>
      </c>
      <c r="Q379" s="783">
        <v>645.84</v>
      </c>
      <c r="R379" s="783"/>
      <c r="S379" s="784">
        <v>1701</v>
      </c>
      <c r="T379" s="785">
        <v>-122</v>
      </c>
      <c r="U379" s="785">
        <v>1579</v>
      </c>
    </row>
    <row r="380" spans="1:21" x14ac:dyDescent="0.25">
      <c r="A380" s="780">
        <v>94004</v>
      </c>
      <c r="B380" s="781" t="s">
        <v>1543</v>
      </c>
      <c r="C380" s="782">
        <v>2.2000000000000001E-6</v>
      </c>
      <c r="D380" s="782">
        <v>2.7E-6</v>
      </c>
      <c r="E380" s="783">
        <v>1141</v>
      </c>
      <c r="F380" s="783">
        <v>-1490</v>
      </c>
      <c r="G380" s="783">
        <v>987</v>
      </c>
      <c r="H380" s="783"/>
      <c r="I380" s="784">
        <v>0</v>
      </c>
      <c r="J380" s="784">
        <v>1984</v>
      </c>
      <c r="K380" s="784">
        <v>0</v>
      </c>
      <c r="L380" s="783">
        <v>0</v>
      </c>
      <c r="M380" s="783"/>
      <c r="N380" s="784">
        <v>232</v>
      </c>
      <c r="O380" s="784">
        <v>2265</v>
      </c>
      <c r="P380" s="784">
        <v>0</v>
      </c>
      <c r="Q380" s="783">
        <v>1821</v>
      </c>
      <c r="R380" s="783"/>
      <c r="S380" s="784">
        <v>451</v>
      </c>
      <c r="T380" s="785">
        <v>-598</v>
      </c>
      <c r="U380" s="785">
        <v>-147</v>
      </c>
    </row>
    <row r="381" spans="1:21" x14ac:dyDescent="0.25">
      <c r="A381" s="780">
        <v>94005</v>
      </c>
      <c r="B381" s="781" t="s">
        <v>1544</v>
      </c>
      <c r="C381" s="782">
        <v>6.2999999999999998E-6</v>
      </c>
      <c r="D381" s="782">
        <v>8.3999999999999992E-6</v>
      </c>
      <c r="E381" s="783">
        <v>2217</v>
      </c>
      <c r="F381" s="783">
        <v>-4636</v>
      </c>
      <c r="G381" s="783">
        <v>2827</v>
      </c>
      <c r="H381" s="783"/>
      <c r="I381" s="784">
        <v>0</v>
      </c>
      <c r="J381" s="784">
        <v>5682</v>
      </c>
      <c r="K381" s="784">
        <v>0</v>
      </c>
      <c r="L381" s="783">
        <v>0</v>
      </c>
      <c r="M381" s="783"/>
      <c r="N381" s="784">
        <v>665</v>
      </c>
      <c r="O381" s="784">
        <v>6487</v>
      </c>
      <c r="P381" s="784">
        <v>0</v>
      </c>
      <c r="Q381" s="783">
        <v>2165</v>
      </c>
      <c r="R381" s="783"/>
      <c r="S381" s="784">
        <v>1291</v>
      </c>
      <c r="T381" s="785">
        <v>-597</v>
      </c>
      <c r="U381" s="785">
        <v>694</v>
      </c>
    </row>
    <row r="382" spans="1:21" x14ac:dyDescent="0.25">
      <c r="A382" s="780">
        <v>94011</v>
      </c>
      <c r="B382" s="781" t="s">
        <v>1545</v>
      </c>
      <c r="C382" s="782">
        <v>1.3900000000000001E-5</v>
      </c>
      <c r="D382" s="782">
        <v>1.3499999999999999E-5</v>
      </c>
      <c r="E382" s="783">
        <v>5011</v>
      </c>
      <c r="F382" s="783">
        <v>-7451</v>
      </c>
      <c r="G382" s="783">
        <v>6238</v>
      </c>
      <c r="H382" s="783"/>
      <c r="I382" s="784">
        <v>0</v>
      </c>
      <c r="J382" s="784">
        <v>12537</v>
      </c>
      <c r="K382" s="784">
        <v>0</v>
      </c>
      <c r="L382" s="783">
        <v>0</v>
      </c>
      <c r="M382" s="783"/>
      <c r="N382" s="784">
        <v>1466</v>
      </c>
      <c r="O382" s="784">
        <v>14313</v>
      </c>
      <c r="P382" s="784">
        <v>0</v>
      </c>
      <c r="Q382" s="783">
        <v>1505</v>
      </c>
      <c r="R382" s="783"/>
      <c r="S382" s="784">
        <v>2848</v>
      </c>
      <c r="T382" s="785">
        <v>-485</v>
      </c>
      <c r="U382" s="785">
        <v>2363</v>
      </c>
    </row>
    <row r="383" spans="1:21" x14ac:dyDescent="0.25">
      <c r="A383" s="780">
        <v>94021</v>
      </c>
      <c r="B383" s="781" t="s">
        <v>1546</v>
      </c>
      <c r="C383" s="782">
        <v>7.6899999999999999E-5</v>
      </c>
      <c r="D383" s="782">
        <v>7.3999999999999996E-5</v>
      </c>
      <c r="E383" s="783">
        <v>35767</v>
      </c>
      <c r="F383" s="783">
        <v>-40842</v>
      </c>
      <c r="G383" s="783">
        <v>34512</v>
      </c>
      <c r="H383" s="783"/>
      <c r="I383" s="784">
        <v>0</v>
      </c>
      <c r="J383" s="784">
        <v>69357</v>
      </c>
      <c r="K383" s="784">
        <v>0</v>
      </c>
      <c r="L383" s="783">
        <v>15464</v>
      </c>
      <c r="M383" s="783"/>
      <c r="N383" s="784">
        <v>8112</v>
      </c>
      <c r="O383" s="784">
        <v>79183</v>
      </c>
      <c r="P383" s="784">
        <v>0</v>
      </c>
      <c r="Q383" s="783">
        <v>0</v>
      </c>
      <c r="R383" s="783"/>
      <c r="S383" s="784">
        <v>15757</v>
      </c>
      <c r="T383" s="785">
        <v>4772</v>
      </c>
      <c r="U383" s="785">
        <v>20529</v>
      </c>
    </row>
    <row r="384" spans="1:21" x14ac:dyDescent="0.25">
      <c r="A384" s="780">
        <v>94031</v>
      </c>
      <c r="B384" s="781" t="s">
        <v>1547</v>
      </c>
      <c r="C384" s="782">
        <v>6.9E-6</v>
      </c>
      <c r="D384" s="782">
        <v>3.7000000000000002E-6</v>
      </c>
      <c r="E384" s="783">
        <v>6682</v>
      </c>
      <c r="F384" s="783">
        <v>-2042</v>
      </c>
      <c r="G384" s="783">
        <v>3097</v>
      </c>
      <c r="H384" s="783"/>
      <c r="I384" s="784">
        <v>0</v>
      </c>
      <c r="J384" s="784">
        <v>6223</v>
      </c>
      <c r="K384" s="784">
        <v>0</v>
      </c>
      <c r="L384" s="783">
        <v>5309</v>
      </c>
      <c r="M384" s="783"/>
      <c r="N384" s="784">
        <v>728</v>
      </c>
      <c r="O384" s="784">
        <v>7105</v>
      </c>
      <c r="P384" s="784">
        <v>0</v>
      </c>
      <c r="Q384" s="783">
        <v>122.59</v>
      </c>
      <c r="R384" s="783"/>
      <c r="S384" s="784">
        <v>1414</v>
      </c>
      <c r="T384" s="785">
        <v>1349</v>
      </c>
      <c r="U384" s="785">
        <v>2763</v>
      </c>
    </row>
    <row r="385" spans="1:21" x14ac:dyDescent="0.25">
      <c r="A385" s="780">
        <v>94101</v>
      </c>
      <c r="B385" s="781" t="s">
        <v>1548</v>
      </c>
      <c r="C385" s="782">
        <v>1.9464599999999999E-2</v>
      </c>
      <c r="D385" s="782">
        <v>1.84431E-2</v>
      </c>
      <c r="E385" s="783">
        <v>7761803</v>
      </c>
      <c r="F385" s="783">
        <v>-10179079</v>
      </c>
      <c r="G385" s="783">
        <v>8735596</v>
      </c>
      <c r="H385" s="783"/>
      <c r="I385" s="784">
        <v>0</v>
      </c>
      <c r="J385" s="784">
        <v>17555434</v>
      </c>
      <c r="K385" s="784">
        <v>0</v>
      </c>
      <c r="L385" s="783">
        <v>570013</v>
      </c>
      <c r="M385" s="783"/>
      <c r="N385" s="784">
        <v>2053379</v>
      </c>
      <c r="O385" s="784">
        <v>20042446</v>
      </c>
      <c r="P385" s="784">
        <v>0</v>
      </c>
      <c r="Q385" s="783">
        <v>782940</v>
      </c>
      <c r="R385" s="783"/>
      <c r="S385" s="784">
        <v>3988335</v>
      </c>
      <c r="T385" s="785">
        <v>-112635</v>
      </c>
      <c r="U385" s="785">
        <v>3875701</v>
      </c>
    </row>
    <row r="386" spans="1:21" x14ac:dyDescent="0.25">
      <c r="A386" s="780">
        <v>94102</v>
      </c>
      <c r="B386" s="781" t="s">
        <v>1549</v>
      </c>
      <c r="C386" s="782">
        <v>2.7809999999999998E-4</v>
      </c>
      <c r="D386" s="782">
        <v>2.9030000000000001E-4</v>
      </c>
      <c r="E386" s="783">
        <v>95896</v>
      </c>
      <c r="F386" s="783">
        <v>-160222</v>
      </c>
      <c r="G386" s="783">
        <v>124810</v>
      </c>
      <c r="H386" s="783"/>
      <c r="I386" s="784">
        <v>0</v>
      </c>
      <c r="J386" s="784">
        <v>250823</v>
      </c>
      <c r="K386" s="784">
        <v>0</v>
      </c>
      <c r="L386" s="783">
        <v>7762</v>
      </c>
      <c r="M386" s="783"/>
      <c r="N386" s="784">
        <v>29338</v>
      </c>
      <c r="O386" s="784">
        <v>286356</v>
      </c>
      <c r="P386" s="784">
        <v>0</v>
      </c>
      <c r="Q386" s="783">
        <v>22547</v>
      </c>
      <c r="R386" s="783"/>
      <c r="S386" s="784">
        <v>56983</v>
      </c>
      <c r="T386" s="785">
        <v>-3306</v>
      </c>
      <c r="U386" s="785">
        <v>53677</v>
      </c>
    </row>
    <row r="387" spans="1:21" x14ac:dyDescent="0.25">
      <c r="A387" s="780">
        <v>94108</v>
      </c>
      <c r="B387" s="781" t="s">
        <v>1550</v>
      </c>
      <c r="C387" s="782">
        <v>3.991E-4</v>
      </c>
      <c r="D387" s="782">
        <v>3.8749999999999999E-4</v>
      </c>
      <c r="E387" s="783">
        <v>106283</v>
      </c>
      <c r="F387" s="783">
        <v>-213868</v>
      </c>
      <c r="G387" s="783">
        <v>179114</v>
      </c>
      <c r="H387" s="783"/>
      <c r="I387" s="784">
        <v>0</v>
      </c>
      <c r="J387" s="784">
        <v>359955</v>
      </c>
      <c r="K387" s="784">
        <v>0</v>
      </c>
      <c r="L387" s="783">
        <v>0</v>
      </c>
      <c r="M387" s="783"/>
      <c r="N387" s="784">
        <v>42102</v>
      </c>
      <c r="O387" s="784">
        <v>410948</v>
      </c>
      <c r="P387" s="784">
        <v>0</v>
      </c>
      <c r="Q387" s="783">
        <v>76781</v>
      </c>
      <c r="R387" s="783"/>
      <c r="S387" s="784">
        <v>81776</v>
      </c>
      <c r="T387" s="785">
        <v>-23008</v>
      </c>
      <c r="U387" s="785">
        <v>58769</v>
      </c>
    </row>
    <row r="388" spans="1:21" x14ac:dyDescent="0.25">
      <c r="A388" s="780">
        <v>94109</v>
      </c>
      <c r="B388" s="781" t="s">
        <v>1551</v>
      </c>
      <c r="C388" s="782">
        <v>1.359E-4</v>
      </c>
      <c r="D388" s="782">
        <v>1.217E-4</v>
      </c>
      <c r="E388" s="783">
        <v>30593</v>
      </c>
      <c r="F388" s="783">
        <v>-67168</v>
      </c>
      <c r="G388" s="783">
        <v>60991</v>
      </c>
      <c r="H388" s="783"/>
      <c r="I388" s="784">
        <v>0</v>
      </c>
      <c r="J388" s="784">
        <v>122570</v>
      </c>
      <c r="K388" s="784">
        <v>0</v>
      </c>
      <c r="L388" s="783">
        <v>2403.96</v>
      </c>
      <c r="M388" s="783"/>
      <c r="N388" s="784">
        <v>14336</v>
      </c>
      <c r="O388" s="784">
        <v>139934</v>
      </c>
      <c r="P388" s="784">
        <v>0</v>
      </c>
      <c r="Q388" s="783">
        <v>9763</v>
      </c>
      <c r="R388" s="783"/>
      <c r="S388" s="784">
        <v>27846</v>
      </c>
      <c r="T388" s="785">
        <v>-1752</v>
      </c>
      <c r="U388" s="785">
        <v>26094</v>
      </c>
    </row>
    <row r="389" spans="1:21" x14ac:dyDescent="0.25">
      <c r="A389" s="780">
        <v>94111</v>
      </c>
      <c r="B389" s="781" t="s">
        <v>1552</v>
      </c>
      <c r="C389" s="782">
        <v>2.7054000000000002E-2</v>
      </c>
      <c r="D389" s="782">
        <v>2.7062200000000002E-2</v>
      </c>
      <c r="E389" s="783">
        <v>10414334</v>
      </c>
      <c r="F389" s="783">
        <v>-14936115</v>
      </c>
      <c r="G389" s="783">
        <v>12141673</v>
      </c>
      <c r="H389" s="783"/>
      <c r="I389" s="784">
        <v>0</v>
      </c>
      <c r="J389" s="784">
        <v>24400435</v>
      </c>
      <c r="K389" s="784">
        <v>0</v>
      </c>
      <c r="L389" s="783">
        <v>22736</v>
      </c>
      <c r="M389" s="783"/>
      <c r="N389" s="784">
        <v>2854008</v>
      </c>
      <c r="O389" s="784">
        <v>27857152</v>
      </c>
      <c r="P389" s="784">
        <v>0</v>
      </c>
      <c r="Q389" s="783">
        <v>506101</v>
      </c>
      <c r="R389" s="783"/>
      <c r="S389" s="784">
        <v>5543419</v>
      </c>
      <c r="T389" s="785">
        <v>-124883</v>
      </c>
      <c r="U389" s="785">
        <v>5418536</v>
      </c>
    </row>
    <row r="390" spans="1:21" x14ac:dyDescent="0.25">
      <c r="A390" s="780">
        <v>94112</v>
      </c>
      <c r="B390" s="781" t="s">
        <v>1553</v>
      </c>
      <c r="C390" s="782">
        <v>1.6909999999999999E-4</v>
      </c>
      <c r="D390" s="782">
        <v>1.7239999999999999E-4</v>
      </c>
      <c r="E390" s="783">
        <v>60495</v>
      </c>
      <c r="F390" s="783">
        <v>-95151</v>
      </c>
      <c r="G390" s="783">
        <v>75891</v>
      </c>
      <c r="H390" s="783"/>
      <c r="I390" s="784">
        <v>0</v>
      </c>
      <c r="J390" s="784">
        <v>152514</v>
      </c>
      <c r="K390" s="784">
        <v>0</v>
      </c>
      <c r="L390" s="783">
        <v>0</v>
      </c>
      <c r="M390" s="783"/>
      <c r="N390" s="784">
        <v>17839</v>
      </c>
      <c r="O390" s="784">
        <v>174120</v>
      </c>
      <c r="P390" s="784">
        <v>0</v>
      </c>
      <c r="Q390" s="783">
        <v>16225</v>
      </c>
      <c r="R390" s="783"/>
      <c r="S390" s="784">
        <v>34649</v>
      </c>
      <c r="T390" s="785">
        <v>-4766</v>
      </c>
      <c r="U390" s="785">
        <v>29883</v>
      </c>
    </row>
    <row r="391" spans="1:21" x14ac:dyDescent="0.25">
      <c r="A391" s="780">
        <v>94117</v>
      </c>
      <c r="B391" s="781" t="s">
        <v>1554</v>
      </c>
      <c r="C391" s="782">
        <v>4.17E-4</v>
      </c>
      <c r="D391" s="782">
        <v>3.8910000000000003E-4</v>
      </c>
      <c r="E391" s="783">
        <v>166742</v>
      </c>
      <c r="F391" s="783">
        <v>-214751</v>
      </c>
      <c r="G391" s="783">
        <v>187147</v>
      </c>
      <c r="H391" s="783"/>
      <c r="I391" s="784">
        <v>0</v>
      </c>
      <c r="J391" s="784">
        <v>376099</v>
      </c>
      <c r="K391" s="784">
        <v>0</v>
      </c>
      <c r="L391" s="783">
        <v>17190</v>
      </c>
      <c r="M391" s="783"/>
      <c r="N391" s="784">
        <v>43991</v>
      </c>
      <c r="O391" s="784">
        <v>429379</v>
      </c>
      <c r="P391" s="784">
        <v>0</v>
      </c>
      <c r="Q391" s="783">
        <v>0</v>
      </c>
      <c r="R391" s="783"/>
      <c r="S391" s="784">
        <v>85444</v>
      </c>
      <c r="T391" s="785">
        <v>4529</v>
      </c>
      <c r="U391" s="785">
        <v>89973</v>
      </c>
    </row>
    <row r="392" spans="1:21" x14ac:dyDescent="0.25">
      <c r="A392" s="780">
        <v>94118</v>
      </c>
      <c r="B392" s="781" t="s">
        <v>1555</v>
      </c>
      <c r="C392" s="782">
        <v>1.918E-4</v>
      </c>
      <c r="D392" s="782">
        <v>1.9819999999999999E-4</v>
      </c>
      <c r="E392" s="783">
        <v>52305</v>
      </c>
      <c r="F392" s="783">
        <v>-109390</v>
      </c>
      <c r="G392" s="783">
        <v>86079</v>
      </c>
      <c r="H392" s="783"/>
      <c r="I392" s="784">
        <v>0</v>
      </c>
      <c r="J392" s="784">
        <v>172987</v>
      </c>
      <c r="K392" s="784">
        <v>0</v>
      </c>
      <c r="L392" s="783">
        <v>0</v>
      </c>
      <c r="M392" s="783"/>
      <c r="N392" s="784">
        <v>20234</v>
      </c>
      <c r="O392" s="784">
        <v>197494</v>
      </c>
      <c r="P392" s="784">
        <v>0</v>
      </c>
      <c r="Q392" s="783">
        <v>45232</v>
      </c>
      <c r="R392" s="783"/>
      <c r="S392" s="784">
        <v>39300</v>
      </c>
      <c r="T392" s="785">
        <v>-13304</v>
      </c>
      <c r="U392" s="785">
        <v>25997</v>
      </c>
    </row>
    <row r="393" spans="1:21" x14ac:dyDescent="0.25">
      <c r="A393" s="780">
        <v>94121</v>
      </c>
      <c r="B393" s="781" t="s">
        <v>1556</v>
      </c>
      <c r="C393" s="782">
        <v>1.20112E-2</v>
      </c>
      <c r="D393" s="782">
        <v>1.16855E-2</v>
      </c>
      <c r="E393" s="783">
        <v>4688858</v>
      </c>
      <c r="F393" s="783">
        <v>-6449438</v>
      </c>
      <c r="G393" s="783">
        <v>5390554</v>
      </c>
      <c r="H393" s="783"/>
      <c r="I393" s="784">
        <v>0</v>
      </c>
      <c r="J393" s="784">
        <v>10833093</v>
      </c>
      <c r="K393" s="784">
        <v>0</v>
      </c>
      <c r="L393" s="783">
        <v>58083</v>
      </c>
      <c r="M393" s="783"/>
      <c r="N393" s="784">
        <v>1267098</v>
      </c>
      <c r="O393" s="784">
        <v>12367776</v>
      </c>
      <c r="P393" s="784">
        <v>0</v>
      </c>
      <c r="Q393" s="783">
        <v>255935</v>
      </c>
      <c r="R393" s="783"/>
      <c r="S393" s="784">
        <v>2461119</v>
      </c>
      <c r="T393" s="785">
        <v>-70392</v>
      </c>
      <c r="U393" s="785">
        <v>2390727</v>
      </c>
    </row>
    <row r="394" spans="1:21" x14ac:dyDescent="0.25">
      <c r="A394" s="780">
        <v>94127</v>
      </c>
      <c r="B394" s="781" t="s">
        <v>1557</v>
      </c>
      <c r="C394" s="782">
        <v>1.4530000000000001E-4</v>
      </c>
      <c r="D394" s="782">
        <v>1.4970000000000001E-4</v>
      </c>
      <c r="E394" s="783">
        <v>62165</v>
      </c>
      <c r="F394" s="783">
        <v>-82622</v>
      </c>
      <c r="G394" s="783">
        <v>65210</v>
      </c>
      <c r="H394" s="783"/>
      <c r="I394" s="784">
        <v>0</v>
      </c>
      <c r="J394" s="784">
        <v>131048</v>
      </c>
      <c r="K394" s="784">
        <v>0</v>
      </c>
      <c r="L394" s="783">
        <v>1794</v>
      </c>
      <c r="M394" s="783"/>
      <c r="N394" s="784">
        <v>15328</v>
      </c>
      <c r="O394" s="784">
        <v>149614</v>
      </c>
      <c r="P394" s="784">
        <v>0</v>
      </c>
      <c r="Q394" s="783">
        <v>836</v>
      </c>
      <c r="R394" s="783"/>
      <c r="S394" s="784">
        <v>29772</v>
      </c>
      <c r="T394" s="785">
        <v>381</v>
      </c>
      <c r="U394" s="785">
        <v>30153</v>
      </c>
    </row>
    <row r="395" spans="1:21" x14ac:dyDescent="0.25">
      <c r="A395" s="780">
        <v>94131</v>
      </c>
      <c r="B395" s="781" t="s">
        <v>1558</v>
      </c>
      <c r="C395" s="782">
        <v>2.0120000000000001E-4</v>
      </c>
      <c r="D395" s="782">
        <v>1.9819999999999999E-4</v>
      </c>
      <c r="E395" s="783">
        <v>86000</v>
      </c>
      <c r="F395" s="783">
        <v>-109390</v>
      </c>
      <c r="G395" s="783">
        <v>90297</v>
      </c>
      <c r="H395" s="783"/>
      <c r="I395" s="784">
        <v>0</v>
      </c>
      <c r="J395" s="784">
        <v>181465</v>
      </c>
      <c r="K395" s="784">
        <v>0</v>
      </c>
      <c r="L395" s="783">
        <v>5160</v>
      </c>
      <c r="M395" s="783"/>
      <c r="N395" s="784">
        <v>21225</v>
      </c>
      <c r="O395" s="784">
        <v>207173</v>
      </c>
      <c r="P395" s="784">
        <v>0</v>
      </c>
      <c r="Q395" s="783">
        <v>1683</v>
      </c>
      <c r="R395" s="783"/>
      <c r="S395" s="784">
        <v>41226</v>
      </c>
      <c r="T395" s="785">
        <v>788</v>
      </c>
      <c r="U395" s="785">
        <v>42014</v>
      </c>
    </row>
    <row r="396" spans="1:21" x14ac:dyDescent="0.25">
      <c r="A396" s="780">
        <v>94151</v>
      </c>
      <c r="B396" s="781" t="s">
        <v>1559</v>
      </c>
      <c r="C396" s="782">
        <v>4.0200000000000001E-4</v>
      </c>
      <c r="D396" s="782">
        <v>3.837E-4</v>
      </c>
      <c r="E396" s="783">
        <v>137673</v>
      </c>
      <c r="F396" s="783">
        <v>-211771</v>
      </c>
      <c r="G396" s="783">
        <v>180415</v>
      </c>
      <c r="H396" s="783"/>
      <c r="I396" s="784">
        <v>0</v>
      </c>
      <c r="J396" s="784">
        <v>362570</v>
      </c>
      <c r="K396" s="784">
        <v>0</v>
      </c>
      <c r="L396" s="783">
        <v>0</v>
      </c>
      <c r="M396" s="783"/>
      <c r="N396" s="784">
        <v>42408</v>
      </c>
      <c r="O396" s="784">
        <v>413934</v>
      </c>
      <c r="P396" s="784">
        <v>0</v>
      </c>
      <c r="Q396" s="783">
        <v>15932</v>
      </c>
      <c r="R396" s="783"/>
      <c r="S396" s="784">
        <v>82371</v>
      </c>
      <c r="T396" s="785">
        <v>-4738</v>
      </c>
      <c r="U396" s="785">
        <v>77633</v>
      </c>
    </row>
    <row r="397" spans="1:21" x14ac:dyDescent="0.25">
      <c r="A397" s="780">
        <v>94157</v>
      </c>
      <c r="B397" s="781" t="s">
        <v>1560</v>
      </c>
      <c r="C397" s="782">
        <v>8.1999999999999994E-6</v>
      </c>
      <c r="D397" s="782">
        <v>6.8000000000000001E-6</v>
      </c>
      <c r="E397" s="783">
        <v>5209</v>
      </c>
      <c r="F397" s="783">
        <v>-3753</v>
      </c>
      <c r="G397" s="783">
        <v>3680</v>
      </c>
      <c r="H397" s="783"/>
      <c r="I397" s="784">
        <v>0</v>
      </c>
      <c r="J397" s="784">
        <v>7396</v>
      </c>
      <c r="K397" s="784">
        <v>0</v>
      </c>
      <c r="L397" s="783">
        <v>5172</v>
      </c>
      <c r="M397" s="783"/>
      <c r="N397" s="784">
        <v>865</v>
      </c>
      <c r="O397" s="784">
        <v>8443</v>
      </c>
      <c r="P397" s="784">
        <v>0</v>
      </c>
      <c r="Q397" s="783">
        <v>0</v>
      </c>
      <c r="R397" s="783"/>
      <c r="S397" s="784">
        <v>1680</v>
      </c>
      <c r="T397" s="785">
        <v>1551</v>
      </c>
      <c r="U397" s="785">
        <v>3231</v>
      </c>
    </row>
    <row r="398" spans="1:21" x14ac:dyDescent="0.25">
      <c r="A398" s="780">
        <v>94161</v>
      </c>
      <c r="B398" s="781" t="s">
        <v>1561</v>
      </c>
      <c r="C398" s="782">
        <v>5.3000000000000001E-5</v>
      </c>
      <c r="D398" s="782">
        <v>4.0599999999999998E-5</v>
      </c>
      <c r="E398" s="783">
        <v>21407</v>
      </c>
      <c r="F398" s="783">
        <v>-22408</v>
      </c>
      <c r="G398" s="783">
        <v>23786</v>
      </c>
      <c r="H398" s="783"/>
      <c r="I398" s="784">
        <v>0</v>
      </c>
      <c r="J398" s="784">
        <v>47802</v>
      </c>
      <c r="K398" s="784">
        <v>0</v>
      </c>
      <c r="L398" s="783">
        <v>10210</v>
      </c>
      <c r="M398" s="783"/>
      <c r="N398" s="784">
        <v>5591</v>
      </c>
      <c r="O398" s="784">
        <v>54573</v>
      </c>
      <c r="P398" s="784">
        <v>0</v>
      </c>
      <c r="Q398" s="783">
        <v>0</v>
      </c>
      <c r="R398" s="783"/>
      <c r="S398" s="784">
        <v>10860</v>
      </c>
      <c r="T398" s="785">
        <v>2796</v>
      </c>
      <c r="U398" s="785">
        <v>13656</v>
      </c>
    </row>
    <row r="399" spans="1:21" x14ac:dyDescent="0.25">
      <c r="A399" s="780">
        <v>94168</v>
      </c>
      <c r="B399" s="781" t="s">
        <v>1562</v>
      </c>
      <c r="C399" s="782">
        <v>4.18E-5</v>
      </c>
      <c r="D399" s="782">
        <v>4.4499999999999997E-5</v>
      </c>
      <c r="E399" s="783">
        <v>12999</v>
      </c>
      <c r="F399" s="783">
        <v>-24560</v>
      </c>
      <c r="G399" s="783">
        <v>18760</v>
      </c>
      <c r="H399" s="783"/>
      <c r="I399" s="784">
        <v>0</v>
      </c>
      <c r="J399" s="784">
        <v>37700</v>
      </c>
      <c r="K399" s="784">
        <v>0</v>
      </c>
      <c r="L399" s="783">
        <v>0</v>
      </c>
      <c r="M399" s="783"/>
      <c r="N399" s="784">
        <v>4410</v>
      </c>
      <c r="O399" s="784">
        <v>43041</v>
      </c>
      <c r="P399" s="784">
        <v>0</v>
      </c>
      <c r="Q399" s="783">
        <v>10581</v>
      </c>
      <c r="R399" s="783"/>
      <c r="S399" s="784">
        <v>8565</v>
      </c>
      <c r="T399" s="785">
        <v>-3167</v>
      </c>
      <c r="U399" s="785">
        <v>5398</v>
      </c>
    </row>
    <row r="400" spans="1:21" x14ac:dyDescent="0.25">
      <c r="A400" s="780">
        <v>94171</v>
      </c>
      <c r="B400" s="781" t="s">
        <v>1563</v>
      </c>
      <c r="C400" s="782">
        <v>5.1100000000000002E-5</v>
      </c>
      <c r="D400" s="782">
        <v>4.18E-5</v>
      </c>
      <c r="E400" s="783">
        <v>22153</v>
      </c>
      <c r="F400" s="783">
        <v>-23070</v>
      </c>
      <c r="G400" s="783">
        <v>22933</v>
      </c>
      <c r="H400" s="783"/>
      <c r="I400" s="784">
        <v>0</v>
      </c>
      <c r="J400" s="784">
        <v>46088</v>
      </c>
      <c r="K400" s="784">
        <v>0</v>
      </c>
      <c r="L400" s="783">
        <v>7548</v>
      </c>
      <c r="M400" s="783"/>
      <c r="N400" s="784">
        <v>5391</v>
      </c>
      <c r="O400" s="784">
        <v>52617</v>
      </c>
      <c r="P400" s="784">
        <v>0</v>
      </c>
      <c r="Q400" s="783">
        <v>2604.29</v>
      </c>
      <c r="R400" s="783"/>
      <c r="S400" s="784">
        <v>10470</v>
      </c>
      <c r="T400" s="785">
        <v>1105</v>
      </c>
      <c r="U400" s="785">
        <v>11575</v>
      </c>
    </row>
    <row r="401" spans="1:21" x14ac:dyDescent="0.25">
      <c r="A401" s="780">
        <v>94172</v>
      </c>
      <c r="B401" s="781" t="s">
        <v>1564</v>
      </c>
      <c r="C401" s="782">
        <v>3.1379999999999998E-4</v>
      </c>
      <c r="D401" s="782">
        <v>3.0210000000000002E-4</v>
      </c>
      <c r="E401" s="783">
        <v>81118</v>
      </c>
      <c r="F401" s="783">
        <v>-166734</v>
      </c>
      <c r="G401" s="783">
        <v>140832</v>
      </c>
      <c r="H401" s="783"/>
      <c r="I401" s="784">
        <v>0</v>
      </c>
      <c r="J401" s="784">
        <v>283021</v>
      </c>
      <c r="K401" s="784">
        <v>0</v>
      </c>
      <c r="L401" s="783">
        <v>0</v>
      </c>
      <c r="M401" s="783"/>
      <c r="N401" s="784">
        <v>33104</v>
      </c>
      <c r="O401" s="784">
        <v>323116</v>
      </c>
      <c r="P401" s="784">
        <v>0</v>
      </c>
      <c r="Q401" s="783">
        <v>72580</v>
      </c>
      <c r="R401" s="783"/>
      <c r="S401" s="784">
        <v>64298</v>
      </c>
      <c r="T401" s="785">
        <v>-22164</v>
      </c>
      <c r="U401" s="785">
        <v>42134</v>
      </c>
    </row>
    <row r="402" spans="1:21" x14ac:dyDescent="0.25">
      <c r="A402" s="780">
        <v>94201</v>
      </c>
      <c r="B402" s="781" t="s">
        <v>1565</v>
      </c>
      <c r="C402" s="782">
        <v>3.4115E-3</v>
      </c>
      <c r="D402" s="782">
        <v>3.3898000000000001E-3</v>
      </c>
      <c r="E402" s="783">
        <v>1437510</v>
      </c>
      <c r="F402" s="783">
        <v>-1870892</v>
      </c>
      <c r="G402" s="783">
        <v>1531061</v>
      </c>
      <c r="H402" s="783"/>
      <c r="I402" s="784">
        <v>0</v>
      </c>
      <c r="J402" s="784">
        <v>3076886</v>
      </c>
      <c r="K402" s="784">
        <v>0</v>
      </c>
      <c r="L402" s="783">
        <v>50619</v>
      </c>
      <c r="M402" s="783"/>
      <c r="N402" s="784">
        <v>359889</v>
      </c>
      <c r="O402" s="784">
        <v>3512777</v>
      </c>
      <c r="P402" s="784">
        <v>0</v>
      </c>
      <c r="Q402" s="783">
        <v>5561</v>
      </c>
      <c r="R402" s="783"/>
      <c r="S402" s="784">
        <v>699023</v>
      </c>
      <c r="T402" s="785">
        <v>11391</v>
      </c>
      <c r="U402" s="785">
        <v>710414</v>
      </c>
    </row>
    <row r="403" spans="1:21" x14ac:dyDescent="0.25">
      <c r="A403" s="780">
        <v>94204</v>
      </c>
      <c r="B403" s="781" t="s">
        <v>1566</v>
      </c>
      <c r="C403" s="782">
        <v>2.41E-5</v>
      </c>
      <c r="D403" s="782">
        <v>2.26E-5</v>
      </c>
      <c r="E403" s="783">
        <v>15436</v>
      </c>
      <c r="F403" s="783">
        <v>-12473</v>
      </c>
      <c r="G403" s="783">
        <v>10816</v>
      </c>
      <c r="H403" s="783"/>
      <c r="I403" s="784">
        <v>0</v>
      </c>
      <c r="J403" s="784">
        <v>21736</v>
      </c>
      <c r="K403" s="784">
        <v>0</v>
      </c>
      <c r="L403" s="783">
        <v>8780</v>
      </c>
      <c r="M403" s="783"/>
      <c r="N403" s="784">
        <v>2542</v>
      </c>
      <c r="O403" s="784">
        <v>24815</v>
      </c>
      <c r="P403" s="784">
        <v>0</v>
      </c>
      <c r="Q403" s="783">
        <v>0</v>
      </c>
      <c r="R403" s="783"/>
      <c r="S403" s="784">
        <v>4938</v>
      </c>
      <c r="T403" s="785">
        <v>2538</v>
      </c>
      <c r="U403" s="785">
        <v>7476</v>
      </c>
    </row>
    <row r="404" spans="1:21" x14ac:dyDescent="0.25">
      <c r="A404" s="780">
        <v>94205</v>
      </c>
      <c r="B404" s="781" t="s">
        <v>1567</v>
      </c>
      <c r="C404" s="782">
        <v>2.6999999999999999E-5</v>
      </c>
      <c r="D404" s="782">
        <v>2.5400000000000001E-5</v>
      </c>
      <c r="E404" s="783">
        <v>12286</v>
      </c>
      <c r="F404" s="783">
        <v>-14019</v>
      </c>
      <c r="G404" s="783">
        <v>12117</v>
      </c>
      <c r="H404" s="783"/>
      <c r="I404" s="784">
        <v>0</v>
      </c>
      <c r="J404" s="784">
        <v>24352</v>
      </c>
      <c r="K404" s="784">
        <v>0</v>
      </c>
      <c r="L404" s="783">
        <v>2123</v>
      </c>
      <c r="M404" s="783"/>
      <c r="N404" s="784">
        <v>2848</v>
      </c>
      <c r="O404" s="784">
        <v>27802</v>
      </c>
      <c r="P404" s="784">
        <v>0</v>
      </c>
      <c r="Q404" s="783">
        <v>10106</v>
      </c>
      <c r="R404" s="783"/>
      <c r="S404" s="784">
        <v>5532</v>
      </c>
      <c r="T404" s="785">
        <v>-2824</v>
      </c>
      <c r="U404" s="785">
        <v>2708</v>
      </c>
    </row>
    <row r="405" spans="1:21" x14ac:dyDescent="0.25">
      <c r="A405" s="780">
        <v>94209</v>
      </c>
      <c r="B405" s="781" t="s">
        <v>1568</v>
      </c>
      <c r="C405" s="782">
        <v>3.5540000000000002E-4</v>
      </c>
      <c r="D405" s="782">
        <v>3.234E-4</v>
      </c>
      <c r="E405" s="783">
        <v>148246</v>
      </c>
      <c r="F405" s="783">
        <v>-178490</v>
      </c>
      <c r="G405" s="783">
        <v>159501</v>
      </c>
      <c r="H405" s="783"/>
      <c r="I405" s="784">
        <v>0</v>
      </c>
      <c r="J405" s="784">
        <v>320541</v>
      </c>
      <c r="K405" s="784">
        <v>0</v>
      </c>
      <c r="L405" s="783">
        <v>33797</v>
      </c>
      <c r="M405" s="783"/>
      <c r="N405" s="784">
        <v>37492</v>
      </c>
      <c r="O405" s="784">
        <v>365951</v>
      </c>
      <c r="P405" s="784">
        <v>0</v>
      </c>
      <c r="Q405" s="783">
        <v>0</v>
      </c>
      <c r="R405" s="783"/>
      <c r="S405" s="784">
        <v>72822</v>
      </c>
      <c r="T405" s="785">
        <v>9490</v>
      </c>
      <c r="U405" s="785">
        <v>82313</v>
      </c>
    </row>
    <row r="406" spans="1:21" x14ac:dyDescent="0.25">
      <c r="A406" s="780">
        <v>94211</v>
      </c>
      <c r="B406" s="781" t="s">
        <v>1569</v>
      </c>
      <c r="C406" s="782">
        <v>1.217E-4</v>
      </c>
      <c r="D406" s="782">
        <v>1.516E-4</v>
      </c>
      <c r="E406" s="783">
        <v>53405</v>
      </c>
      <c r="F406" s="783">
        <v>-83671</v>
      </c>
      <c r="G406" s="783">
        <v>54618</v>
      </c>
      <c r="H406" s="783"/>
      <c r="I406" s="784">
        <v>0</v>
      </c>
      <c r="J406" s="784">
        <v>109763</v>
      </c>
      <c r="K406" s="784">
        <v>0</v>
      </c>
      <c r="L406" s="783">
        <v>0</v>
      </c>
      <c r="M406" s="783"/>
      <c r="N406" s="784">
        <v>12838</v>
      </c>
      <c r="O406" s="784">
        <v>125313</v>
      </c>
      <c r="P406" s="784">
        <v>0</v>
      </c>
      <c r="Q406" s="783">
        <v>44410</v>
      </c>
      <c r="R406" s="783"/>
      <c r="S406" s="784">
        <v>24937</v>
      </c>
      <c r="T406" s="785">
        <v>-13542</v>
      </c>
      <c r="U406" s="785">
        <v>11394</v>
      </c>
    </row>
    <row r="407" spans="1:21" x14ac:dyDescent="0.25">
      <c r="A407" s="780">
        <v>94221</v>
      </c>
      <c r="B407" s="781" t="s">
        <v>1570</v>
      </c>
      <c r="C407" s="782">
        <v>1.1294E-3</v>
      </c>
      <c r="D407" s="782">
        <v>8.6799999999999996E-4</v>
      </c>
      <c r="E407" s="783">
        <v>398427</v>
      </c>
      <c r="F407" s="783">
        <v>-479065</v>
      </c>
      <c r="G407" s="783">
        <v>506868</v>
      </c>
      <c r="H407" s="783"/>
      <c r="I407" s="784">
        <v>0</v>
      </c>
      <c r="J407" s="784">
        <v>1018624</v>
      </c>
      <c r="K407" s="784">
        <v>0</v>
      </c>
      <c r="L407" s="783">
        <v>133753</v>
      </c>
      <c r="M407" s="783"/>
      <c r="N407" s="784">
        <v>119144</v>
      </c>
      <c r="O407" s="784">
        <v>1162928</v>
      </c>
      <c r="P407" s="784">
        <v>0</v>
      </c>
      <c r="Q407" s="783">
        <v>95551</v>
      </c>
      <c r="R407" s="783"/>
      <c r="S407" s="784">
        <v>231416</v>
      </c>
      <c r="T407" s="785">
        <v>3057</v>
      </c>
      <c r="U407" s="785">
        <v>234473</v>
      </c>
    </row>
    <row r="408" spans="1:21" x14ac:dyDescent="0.25">
      <c r="A408" s="780">
        <v>94231</v>
      </c>
      <c r="B408" s="781" t="s">
        <v>1571</v>
      </c>
      <c r="C408" s="782">
        <v>1.9469999999999999E-4</v>
      </c>
      <c r="D408" s="782">
        <v>2.0149999999999999E-4</v>
      </c>
      <c r="E408" s="783">
        <v>75465</v>
      </c>
      <c r="F408" s="783">
        <v>-111211</v>
      </c>
      <c r="G408" s="783">
        <v>87380</v>
      </c>
      <c r="H408" s="783"/>
      <c r="I408" s="784">
        <v>0</v>
      </c>
      <c r="J408" s="784">
        <v>175603</v>
      </c>
      <c r="K408" s="784">
        <v>0</v>
      </c>
      <c r="L408" s="783">
        <v>0</v>
      </c>
      <c r="M408" s="783"/>
      <c r="N408" s="784">
        <v>20539</v>
      </c>
      <c r="O408" s="784">
        <v>200480</v>
      </c>
      <c r="P408" s="784">
        <v>0</v>
      </c>
      <c r="Q408" s="783">
        <v>16781</v>
      </c>
      <c r="R408" s="783"/>
      <c r="S408" s="784">
        <v>39894</v>
      </c>
      <c r="T408" s="785">
        <v>-5034</v>
      </c>
      <c r="U408" s="785">
        <v>34861</v>
      </c>
    </row>
    <row r="409" spans="1:21" x14ac:dyDescent="0.25">
      <c r="A409" s="780">
        <v>94241</v>
      </c>
      <c r="B409" s="781" t="s">
        <v>1572</v>
      </c>
      <c r="C409" s="782">
        <v>8.4800000000000001E-5</v>
      </c>
      <c r="D409" s="782">
        <v>9.3800000000000003E-5</v>
      </c>
      <c r="E409" s="783">
        <v>40323</v>
      </c>
      <c r="F409" s="783">
        <v>-51770</v>
      </c>
      <c r="G409" s="783">
        <v>38058</v>
      </c>
      <c r="H409" s="783"/>
      <c r="I409" s="784">
        <v>0</v>
      </c>
      <c r="J409" s="784">
        <v>76482</v>
      </c>
      <c r="K409" s="784">
        <v>0</v>
      </c>
      <c r="L409" s="783">
        <v>1946</v>
      </c>
      <c r="M409" s="783"/>
      <c r="N409" s="784">
        <v>8946</v>
      </c>
      <c r="O409" s="784">
        <v>87317</v>
      </c>
      <c r="P409" s="784">
        <v>0</v>
      </c>
      <c r="Q409" s="783">
        <v>1798</v>
      </c>
      <c r="R409" s="783"/>
      <c r="S409" s="784">
        <v>17376</v>
      </c>
      <c r="T409" s="785">
        <v>180</v>
      </c>
      <c r="U409" s="785">
        <v>17556</v>
      </c>
    </row>
    <row r="410" spans="1:21" x14ac:dyDescent="0.25">
      <c r="A410" s="780">
        <v>94251</v>
      </c>
      <c r="B410" s="781" t="s">
        <v>1573</v>
      </c>
      <c r="C410" s="782">
        <v>2.37E-5</v>
      </c>
      <c r="D410" s="782">
        <v>3.1399999999999998E-5</v>
      </c>
      <c r="E410" s="783">
        <v>8401</v>
      </c>
      <c r="F410" s="783">
        <v>-17330</v>
      </c>
      <c r="G410" s="783">
        <v>10636</v>
      </c>
      <c r="H410" s="783"/>
      <c r="I410" s="784">
        <v>0</v>
      </c>
      <c r="J410" s="784">
        <v>21375</v>
      </c>
      <c r="K410" s="784">
        <v>0</v>
      </c>
      <c r="L410" s="783">
        <v>0</v>
      </c>
      <c r="M410" s="783"/>
      <c r="N410" s="784">
        <v>2500</v>
      </c>
      <c r="O410" s="784">
        <v>24404</v>
      </c>
      <c r="P410" s="784">
        <v>0</v>
      </c>
      <c r="Q410" s="783">
        <v>7479</v>
      </c>
      <c r="R410" s="783"/>
      <c r="S410" s="784">
        <v>4856</v>
      </c>
      <c r="T410" s="785">
        <v>-2035</v>
      </c>
      <c r="U410" s="785">
        <v>2821</v>
      </c>
    </row>
    <row r="411" spans="1:21" x14ac:dyDescent="0.25">
      <c r="A411" s="780">
        <v>94261</v>
      </c>
      <c r="B411" s="781" t="s">
        <v>1574</v>
      </c>
      <c r="C411" s="782">
        <v>1.66E-5</v>
      </c>
      <c r="D411" s="782">
        <v>2.0100000000000001E-5</v>
      </c>
      <c r="E411" s="783">
        <v>14576</v>
      </c>
      <c r="F411" s="783">
        <v>-11094</v>
      </c>
      <c r="G411" s="783">
        <v>7450</v>
      </c>
      <c r="H411" s="783"/>
      <c r="I411" s="784">
        <v>0</v>
      </c>
      <c r="J411" s="784">
        <v>14972</v>
      </c>
      <c r="K411" s="784">
        <v>0</v>
      </c>
      <c r="L411" s="783">
        <v>5710</v>
      </c>
      <c r="M411" s="783"/>
      <c r="N411" s="784">
        <v>1751</v>
      </c>
      <c r="O411" s="784">
        <v>17093</v>
      </c>
      <c r="P411" s="784">
        <v>0</v>
      </c>
      <c r="Q411" s="783">
        <v>0</v>
      </c>
      <c r="R411" s="783"/>
      <c r="S411" s="784">
        <v>3401</v>
      </c>
      <c r="T411" s="785">
        <v>1639</v>
      </c>
      <c r="U411" s="785">
        <v>5040</v>
      </c>
    </row>
    <row r="412" spans="1:21" x14ac:dyDescent="0.25">
      <c r="A412" s="780">
        <v>94301</v>
      </c>
      <c r="B412" s="781" t="s">
        <v>1575</v>
      </c>
      <c r="C412" s="782">
        <v>6.0625999999999996E-3</v>
      </c>
      <c r="D412" s="782">
        <v>6.1358999999999997E-3</v>
      </c>
      <c r="E412" s="783">
        <v>2406347</v>
      </c>
      <c r="F412" s="783">
        <v>-3386514</v>
      </c>
      <c r="G412" s="783">
        <v>2720859</v>
      </c>
      <c r="H412" s="783"/>
      <c r="I412" s="784">
        <v>0</v>
      </c>
      <c r="J412" s="784">
        <v>5467956</v>
      </c>
      <c r="K412" s="784">
        <v>0</v>
      </c>
      <c r="L412" s="783">
        <v>28375</v>
      </c>
      <c r="M412" s="783"/>
      <c r="N412" s="784">
        <v>639562</v>
      </c>
      <c r="O412" s="784">
        <v>6242580</v>
      </c>
      <c r="P412" s="784">
        <v>0</v>
      </c>
      <c r="Q412" s="783">
        <v>106045</v>
      </c>
      <c r="R412" s="783"/>
      <c r="S412" s="784">
        <v>1242239</v>
      </c>
      <c r="T412" s="785">
        <v>-18270</v>
      </c>
      <c r="U412" s="785">
        <v>1223968</v>
      </c>
    </row>
    <row r="413" spans="1:21" x14ac:dyDescent="0.25">
      <c r="A413" s="780">
        <v>94311</v>
      </c>
      <c r="B413" s="781" t="s">
        <v>1576</v>
      </c>
      <c r="C413" s="782">
        <v>8.4360000000000001E-4</v>
      </c>
      <c r="D413" s="782">
        <v>9.1140000000000004E-4</v>
      </c>
      <c r="E413" s="783">
        <v>354169</v>
      </c>
      <c r="F413" s="783">
        <v>-503018</v>
      </c>
      <c r="G413" s="783">
        <v>378603</v>
      </c>
      <c r="H413" s="783"/>
      <c r="I413" s="784">
        <v>0</v>
      </c>
      <c r="J413" s="784">
        <v>760856</v>
      </c>
      <c r="K413" s="784">
        <v>0</v>
      </c>
      <c r="L413" s="783">
        <v>8398.91</v>
      </c>
      <c r="M413" s="783"/>
      <c r="N413" s="784">
        <v>88994</v>
      </c>
      <c r="O413" s="784">
        <v>868644</v>
      </c>
      <c r="P413" s="784">
        <v>0</v>
      </c>
      <c r="Q413" s="783">
        <v>39856</v>
      </c>
      <c r="R413" s="783"/>
      <c r="S413" s="784">
        <v>172855</v>
      </c>
      <c r="T413" s="785">
        <v>-7625</v>
      </c>
      <c r="U413" s="785">
        <v>165231</v>
      </c>
    </row>
    <row r="414" spans="1:21" x14ac:dyDescent="0.25">
      <c r="A414" s="780">
        <v>94313</v>
      </c>
      <c r="B414" s="781" t="s">
        <v>1577</v>
      </c>
      <c r="C414" s="782">
        <v>1.8099999999999999E-5</v>
      </c>
      <c r="D414" s="782">
        <v>2.0999999999999999E-5</v>
      </c>
      <c r="E414" s="783">
        <v>13402</v>
      </c>
      <c r="F414" s="783">
        <v>-11590</v>
      </c>
      <c r="G414" s="783">
        <v>8123</v>
      </c>
      <c r="H414" s="783"/>
      <c r="I414" s="784">
        <v>0</v>
      </c>
      <c r="J414" s="784">
        <v>16325</v>
      </c>
      <c r="K414" s="784">
        <v>0</v>
      </c>
      <c r="L414" s="783">
        <v>4957</v>
      </c>
      <c r="M414" s="783"/>
      <c r="N414" s="784">
        <v>1909</v>
      </c>
      <c r="O414" s="784">
        <v>18637</v>
      </c>
      <c r="P414" s="784">
        <v>0</v>
      </c>
      <c r="Q414" s="783">
        <v>0</v>
      </c>
      <c r="R414" s="783"/>
      <c r="S414" s="784">
        <v>3709</v>
      </c>
      <c r="T414" s="785">
        <v>1459</v>
      </c>
      <c r="U414" s="785">
        <v>5168</v>
      </c>
    </row>
    <row r="415" spans="1:21" x14ac:dyDescent="0.25">
      <c r="A415" s="780">
        <v>94317</v>
      </c>
      <c r="B415" s="781" t="s">
        <v>1578</v>
      </c>
      <c r="C415" s="782">
        <v>1.15E-5</v>
      </c>
      <c r="D415" s="782">
        <v>1.11E-5</v>
      </c>
      <c r="E415" s="783">
        <v>8264</v>
      </c>
      <c r="F415" s="783">
        <v>-6126</v>
      </c>
      <c r="G415" s="783">
        <v>5161</v>
      </c>
      <c r="H415" s="783"/>
      <c r="I415" s="784">
        <v>0</v>
      </c>
      <c r="J415" s="784">
        <v>10372</v>
      </c>
      <c r="K415" s="784">
        <v>0</v>
      </c>
      <c r="L415" s="783">
        <v>5283</v>
      </c>
      <c r="M415" s="783"/>
      <c r="N415" s="784">
        <v>1213</v>
      </c>
      <c r="O415" s="784">
        <v>11841</v>
      </c>
      <c r="P415" s="784">
        <v>0</v>
      </c>
      <c r="Q415" s="783">
        <v>0</v>
      </c>
      <c r="R415" s="783"/>
      <c r="S415" s="784">
        <v>2356</v>
      </c>
      <c r="T415" s="785">
        <v>1541</v>
      </c>
      <c r="U415" s="785">
        <v>3897</v>
      </c>
    </row>
    <row r="416" spans="1:21" x14ac:dyDescent="0.25">
      <c r="A416" s="780">
        <v>94321</v>
      </c>
      <c r="B416" s="781" t="s">
        <v>1579</v>
      </c>
      <c r="C416" s="782">
        <v>2.7270000000000001E-4</v>
      </c>
      <c r="D416" s="782">
        <v>2.676E-4</v>
      </c>
      <c r="E416" s="783">
        <v>95061</v>
      </c>
      <c r="F416" s="783">
        <v>-147693</v>
      </c>
      <c r="G416" s="783">
        <v>122386</v>
      </c>
      <c r="H416" s="783"/>
      <c r="I416" s="784">
        <v>0</v>
      </c>
      <c r="J416" s="784">
        <v>245952</v>
      </c>
      <c r="K416" s="784">
        <v>0</v>
      </c>
      <c r="L416" s="783">
        <v>5110</v>
      </c>
      <c r="M416" s="783"/>
      <c r="N416" s="784">
        <v>28768</v>
      </c>
      <c r="O416" s="784">
        <v>280796</v>
      </c>
      <c r="P416" s="784">
        <v>0</v>
      </c>
      <c r="Q416" s="783">
        <v>9322</v>
      </c>
      <c r="R416" s="783"/>
      <c r="S416" s="784">
        <v>55877</v>
      </c>
      <c r="T416" s="785">
        <v>-731</v>
      </c>
      <c r="U416" s="785">
        <v>55146</v>
      </c>
    </row>
    <row r="417" spans="1:21" x14ac:dyDescent="0.25">
      <c r="A417" s="780">
        <v>94331</v>
      </c>
      <c r="B417" s="781" t="s">
        <v>1580</v>
      </c>
      <c r="C417" s="782">
        <v>1.7420000000000001E-4</v>
      </c>
      <c r="D417" s="782">
        <v>1.7119999999999999E-4</v>
      </c>
      <c r="E417" s="783">
        <v>78312</v>
      </c>
      <c r="F417" s="783">
        <v>-94488</v>
      </c>
      <c r="G417" s="783">
        <v>78180</v>
      </c>
      <c r="H417" s="783"/>
      <c r="I417" s="784">
        <v>0</v>
      </c>
      <c r="J417" s="784">
        <v>157114</v>
      </c>
      <c r="K417" s="784">
        <v>0</v>
      </c>
      <c r="L417" s="783">
        <v>19876</v>
      </c>
      <c r="M417" s="783"/>
      <c r="N417" s="784">
        <v>18377</v>
      </c>
      <c r="O417" s="784">
        <v>179371</v>
      </c>
      <c r="P417" s="784">
        <v>0</v>
      </c>
      <c r="Q417" s="783">
        <v>0</v>
      </c>
      <c r="R417" s="783"/>
      <c r="S417" s="784">
        <v>35694</v>
      </c>
      <c r="T417" s="785">
        <v>6081</v>
      </c>
      <c r="U417" s="785">
        <v>41775</v>
      </c>
    </row>
    <row r="418" spans="1:21" x14ac:dyDescent="0.25">
      <c r="A418" s="780">
        <v>94341</v>
      </c>
      <c r="B418" s="781" t="s">
        <v>1581</v>
      </c>
      <c r="C418" s="782">
        <v>8.8399999999999994E-5</v>
      </c>
      <c r="D418" s="782">
        <v>8.3499999999999997E-5</v>
      </c>
      <c r="E418" s="783">
        <v>32630</v>
      </c>
      <c r="F418" s="783">
        <v>-46085</v>
      </c>
      <c r="G418" s="783">
        <v>39673</v>
      </c>
      <c r="H418" s="783"/>
      <c r="I418" s="784">
        <v>0</v>
      </c>
      <c r="J418" s="784">
        <v>79729</v>
      </c>
      <c r="K418" s="784">
        <v>0</v>
      </c>
      <c r="L418" s="783">
        <v>695</v>
      </c>
      <c r="M418" s="783"/>
      <c r="N418" s="784">
        <v>9326</v>
      </c>
      <c r="O418" s="784">
        <v>91024</v>
      </c>
      <c r="P418" s="784">
        <v>0</v>
      </c>
      <c r="Q418" s="783">
        <v>5830.5</v>
      </c>
      <c r="R418" s="783"/>
      <c r="S418" s="784">
        <v>18113</v>
      </c>
      <c r="T418" s="785">
        <v>-1768</v>
      </c>
      <c r="U418" s="785">
        <v>16345</v>
      </c>
    </row>
    <row r="419" spans="1:21" x14ac:dyDescent="0.25">
      <c r="A419" s="780">
        <v>94347</v>
      </c>
      <c r="B419" s="781" t="s">
        <v>1582</v>
      </c>
      <c r="C419" s="782">
        <v>1.31E-5</v>
      </c>
      <c r="D419" s="782">
        <v>1.49E-5</v>
      </c>
      <c r="E419" s="783">
        <v>7297</v>
      </c>
      <c r="F419" s="783">
        <v>-8224</v>
      </c>
      <c r="G419" s="783">
        <v>5879</v>
      </c>
      <c r="H419" s="783"/>
      <c r="I419" s="784">
        <v>0</v>
      </c>
      <c r="J419" s="784">
        <v>11815</v>
      </c>
      <c r="K419" s="784">
        <v>0</v>
      </c>
      <c r="L419" s="783">
        <v>3077</v>
      </c>
      <c r="M419" s="783"/>
      <c r="N419" s="784">
        <v>1382</v>
      </c>
      <c r="O419" s="784">
        <v>13489</v>
      </c>
      <c r="P419" s="784">
        <v>0</v>
      </c>
      <c r="Q419" s="783">
        <v>0</v>
      </c>
      <c r="R419" s="783"/>
      <c r="S419" s="784">
        <v>2684</v>
      </c>
      <c r="T419" s="785">
        <v>1009</v>
      </c>
      <c r="U419" s="785">
        <v>3693</v>
      </c>
    </row>
    <row r="420" spans="1:21" x14ac:dyDescent="0.25">
      <c r="A420" s="780">
        <v>94351</v>
      </c>
      <c r="B420" s="781" t="s">
        <v>1583</v>
      </c>
      <c r="C420" s="782">
        <v>2.3049999999999999E-4</v>
      </c>
      <c r="D420" s="782">
        <v>2.1900000000000001E-4</v>
      </c>
      <c r="E420" s="783">
        <v>88142</v>
      </c>
      <c r="F420" s="783">
        <v>-120870</v>
      </c>
      <c r="G420" s="783">
        <v>103447</v>
      </c>
      <c r="H420" s="783"/>
      <c r="I420" s="784">
        <v>0</v>
      </c>
      <c r="J420" s="784">
        <v>207892</v>
      </c>
      <c r="K420" s="784">
        <v>0</v>
      </c>
      <c r="L420" s="783">
        <v>3341</v>
      </c>
      <c r="M420" s="783"/>
      <c r="N420" s="784">
        <v>24316</v>
      </c>
      <c r="O420" s="784">
        <v>237343</v>
      </c>
      <c r="P420" s="784">
        <v>0</v>
      </c>
      <c r="Q420" s="783">
        <v>5005.26</v>
      </c>
      <c r="R420" s="783"/>
      <c r="S420" s="784">
        <v>47230</v>
      </c>
      <c r="T420" s="785">
        <v>-799</v>
      </c>
      <c r="U420" s="785">
        <v>46430</v>
      </c>
    </row>
    <row r="421" spans="1:21" x14ac:dyDescent="0.25">
      <c r="A421" s="780">
        <v>94401</v>
      </c>
      <c r="B421" s="781" t="s">
        <v>1584</v>
      </c>
      <c r="C421" s="782">
        <v>3.3264000000000002E-3</v>
      </c>
      <c r="D421" s="782">
        <v>3.3192999999999999E-3</v>
      </c>
      <c r="E421" s="783">
        <v>1386679</v>
      </c>
      <c r="F421" s="783">
        <v>-1831981</v>
      </c>
      <c r="G421" s="783">
        <v>1492868</v>
      </c>
      <c r="H421" s="783"/>
      <c r="I421" s="784">
        <v>0</v>
      </c>
      <c r="J421" s="784">
        <v>3000133</v>
      </c>
      <c r="K421" s="784">
        <v>0</v>
      </c>
      <c r="L421" s="783">
        <v>27625</v>
      </c>
      <c r="M421" s="783"/>
      <c r="N421" s="784">
        <v>350912</v>
      </c>
      <c r="O421" s="784">
        <v>3425151</v>
      </c>
      <c r="P421" s="784">
        <v>0</v>
      </c>
      <c r="Q421" s="783">
        <v>954</v>
      </c>
      <c r="R421" s="783"/>
      <c r="S421" s="784">
        <v>681586</v>
      </c>
      <c r="T421" s="785">
        <v>6913</v>
      </c>
      <c r="U421" s="785">
        <v>688499</v>
      </c>
    </row>
    <row r="422" spans="1:21" x14ac:dyDescent="0.25">
      <c r="A422" s="780">
        <v>94402</v>
      </c>
      <c r="B422" s="781" t="s">
        <v>1585</v>
      </c>
      <c r="C422" s="782">
        <v>0</v>
      </c>
      <c r="D422" s="782">
        <v>5.0961000000000001E-3</v>
      </c>
      <c r="E422" s="783"/>
      <c r="F422" s="783">
        <v>-2812629</v>
      </c>
      <c r="G422" s="783">
        <v>0</v>
      </c>
      <c r="H422" s="783"/>
      <c r="I422" s="784">
        <v>0</v>
      </c>
      <c r="J422" s="784">
        <v>0</v>
      </c>
      <c r="K422" s="784">
        <v>0</v>
      </c>
      <c r="L422" s="783">
        <v>0</v>
      </c>
      <c r="M422" s="783"/>
      <c r="N422" s="784">
        <v>0</v>
      </c>
      <c r="O422" s="784">
        <v>0</v>
      </c>
      <c r="P422" s="784">
        <v>0</v>
      </c>
      <c r="Q422" s="783">
        <v>3789229</v>
      </c>
      <c r="R422" s="783"/>
      <c r="S422" s="784">
        <v>0</v>
      </c>
      <c r="T422" s="785">
        <v>-1007431</v>
      </c>
      <c r="U422" s="785">
        <v>-1007431</v>
      </c>
    </row>
    <row r="423" spans="1:21" x14ac:dyDescent="0.25">
      <c r="A423" s="780">
        <v>94408</v>
      </c>
      <c r="B423" s="781" t="s">
        <v>1586</v>
      </c>
      <c r="C423" s="782">
        <v>1.9000000000000001E-5</v>
      </c>
      <c r="D423" s="782">
        <v>1.7099999999999999E-5</v>
      </c>
      <c r="E423" s="783">
        <v>7969</v>
      </c>
      <c r="F423" s="783">
        <v>-9438</v>
      </c>
      <c r="G423" s="783">
        <v>8527</v>
      </c>
      <c r="H423" s="783"/>
      <c r="I423" s="784">
        <v>0</v>
      </c>
      <c r="J423" s="784">
        <v>17136</v>
      </c>
      <c r="K423" s="784">
        <v>0</v>
      </c>
      <c r="L423" s="783">
        <v>1501</v>
      </c>
      <c r="M423" s="783"/>
      <c r="N423" s="784">
        <v>2004</v>
      </c>
      <c r="O423" s="784">
        <v>19564</v>
      </c>
      <c r="P423" s="784">
        <v>0</v>
      </c>
      <c r="Q423" s="783">
        <v>5540.47</v>
      </c>
      <c r="R423" s="783"/>
      <c r="S423" s="784">
        <v>3893</v>
      </c>
      <c r="T423" s="785">
        <v>-1460</v>
      </c>
      <c r="U423" s="785">
        <v>2433</v>
      </c>
    </row>
    <row r="424" spans="1:21" x14ac:dyDescent="0.25">
      <c r="A424" s="780">
        <v>94411</v>
      </c>
      <c r="B424" s="781" t="s">
        <v>1587</v>
      </c>
      <c r="C424" s="782">
        <v>1.1820999999999999E-3</v>
      </c>
      <c r="D424" s="782">
        <v>1.1234999999999999E-3</v>
      </c>
      <c r="E424" s="783">
        <v>463628</v>
      </c>
      <c r="F424" s="783">
        <v>-620080</v>
      </c>
      <c r="G424" s="783">
        <v>530519</v>
      </c>
      <c r="H424" s="783"/>
      <c r="I424" s="784">
        <v>0</v>
      </c>
      <c r="J424" s="784">
        <v>1066155</v>
      </c>
      <c r="K424" s="784">
        <v>0</v>
      </c>
      <c r="L424" s="783">
        <v>26062</v>
      </c>
      <c r="M424" s="783"/>
      <c r="N424" s="784">
        <v>124703</v>
      </c>
      <c r="O424" s="784">
        <v>1217193</v>
      </c>
      <c r="P424" s="784">
        <v>0</v>
      </c>
      <c r="Q424" s="783">
        <v>182</v>
      </c>
      <c r="R424" s="783"/>
      <c r="S424" s="784">
        <v>242215</v>
      </c>
      <c r="T424" s="785">
        <v>6761</v>
      </c>
      <c r="U424" s="785">
        <v>248976</v>
      </c>
    </row>
    <row r="425" spans="1:21" x14ac:dyDescent="0.25">
      <c r="A425" s="780">
        <v>94412</v>
      </c>
      <c r="B425" s="781" t="s">
        <v>1588</v>
      </c>
      <c r="C425" s="782">
        <v>1.7200000000000001E-5</v>
      </c>
      <c r="D425" s="782">
        <v>1.8E-5</v>
      </c>
      <c r="E425" s="783">
        <v>14436</v>
      </c>
      <c r="F425" s="783">
        <v>-9935</v>
      </c>
      <c r="G425" s="783">
        <v>7719</v>
      </c>
      <c r="H425" s="783"/>
      <c r="I425" s="784">
        <v>0</v>
      </c>
      <c r="J425" s="784">
        <v>15513</v>
      </c>
      <c r="K425" s="784">
        <v>0</v>
      </c>
      <c r="L425" s="783">
        <v>11778</v>
      </c>
      <c r="M425" s="783"/>
      <c r="N425" s="784">
        <v>1814</v>
      </c>
      <c r="O425" s="784">
        <v>17711</v>
      </c>
      <c r="P425" s="784">
        <v>0</v>
      </c>
      <c r="Q425" s="783">
        <v>0</v>
      </c>
      <c r="R425" s="783"/>
      <c r="S425" s="784">
        <v>3524</v>
      </c>
      <c r="T425" s="785">
        <v>3553</v>
      </c>
      <c r="U425" s="785">
        <v>7077</v>
      </c>
    </row>
    <row r="426" spans="1:21" x14ac:dyDescent="0.25">
      <c r="A426" s="780">
        <v>94421</v>
      </c>
      <c r="B426" s="781" t="s">
        <v>1589</v>
      </c>
      <c r="C426" s="782">
        <v>1.7149999999999999E-4</v>
      </c>
      <c r="D426" s="782">
        <v>1.6330000000000001E-4</v>
      </c>
      <c r="E426" s="783">
        <v>68791</v>
      </c>
      <c r="F426" s="783">
        <v>-90128</v>
      </c>
      <c r="G426" s="783">
        <v>76968</v>
      </c>
      <c r="H426" s="783"/>
      <c r="I426" s="784">
        <v>0</v>
      </c>
      <c r="J426" s="784">
        <v>154679</v>
      </c>
      <c r="K426" s="784">
        <v>0</v>
      </c>
      <c r="L426" s="783">
        <v>4780</v>
      </c>
      <c r="M426" s="783"/>
      <c r="N426" s="784">
        <v>18092</v>
      </c>
      <c r="O426" s="784">
        <v>176591</v>
      </c>
      <c r="P426" s="784">
        <v>0</v>
      </c>
      <c r="Q426" s="783">
        <v>14753</v>
      </c>
      <c r="R426" s="783"/>
      <c r="S426" s="784">
        <v>35141</v>
      </c>
      <c r="T426" s="785">
        <v>-3683</v>
      </c>
      <c r="U426" s="785">
        <v>31458</v>
      </c>
    </row>
    <row r="427" spans="1:21" x14ac:dyDescent="0.25">
      <c r="A427" s="780">
        <v>94427</v>
      </c>
      <c r="B427" s="781" t="s">
        <v>1590</v>
      </c>
      <c r="C427" s="782">
        <v>1.56E-5</v>
      </c>
      <c r="D427" s="782">
        <v>1.5800000000000001E-5</v>
      </c>
      <c r="E427" s="783">
        <v>7889</v>
      </c>
      <c r="F427" s="783">
        <v>-8720</v>
      </c>
      <c r="G427" s="783">
        <v>7001</v>
      </c>
      <c r="H427" s="783"/>
      <c r="I427" s="784">
        <v>0</v>
      </c>
      <c r="J427" s="784">
        <v>14070</v>
      </c>
      <c r="K427" s="784">
        <v>0</v>
      </c>
      <c r="L427" s="783">
        <v>1064</v>
      </c>
      <c r="M427" s="783"/>
      <c r="N427" s="784">
        <v>1646</v>
      </c>
      <c r="O427" s="784">
        <v>16063</v>
      </c>
      <c r="P427" s="784">
        <v>0</v>
      </c>
      <c r="Q427" s="783">
        <v>296</v>
      </c>
      <c r="R427" s="783"/>
      <c r="S427" s="784">
        <v>3196</v>
      </c>
      <c r="T427" s="785">
        <v>179</v>
      </c>
      <c r="U427" s="785">
        <v>3376</v>
      </c>
    </row>
    <row r="428" spans="1:21" x14ac:dyDescent="0.25">
      <c r="A428" s="780">
        <v>94428</v>
      </c>
      <c r="B428" s="781" t="s">
        <v>1591</v>
      </c>
      <c r="C428" s="782">
        <v>7.7799999999999994E-5</v>
      </c>
      <c r="D428" s="782">
        <v>7.4900000000000005E-5</v>
      </c>
      <c r="E428" s="783">
        <v>33482</v>
      </c>
      <c r="F428" s="783">
        <v>-41339</v>
      </c>
      <c r="G428" s="783">
        <v>34916</v>
      </c>
      <c r="H428" s="783"/>
      <c r="I428" s="784">
        <v>0</v>
      </c>
      <c r="J428" s="784">
        <v>70169</v>
      </c>
      <c r="K428" s="784">
        <v>0</v>
      </c>
      <c r="L428" s="783">
        <v>3717</v>
      </c>
      <c r="M428" s="783"/>
      <c r="N428" s="784">
        <v>8207</v>
      </c>
      <c r="O428" s="784">
        <v>80110</v>
      </c>
      <c r="P428" s="784">
        <v>0</v>
      </c>
      <c r="Q428" s="783">
        <v>0</v>
      </c>
      <c r="R428" s="783"/>
      <c r="S428" s="784">
        <v>15941</v>
      </c>
      <c r="T428" s="785">
        <v>996</v>
      </c>
      <c r="U428" s="785">
        <v>16938</v>
      </c>
    </row>
    <row r="429" spans="1:21" x14ac:dyDescent="0.25">
      <c r="A429" s="780">
        <v>94431</v>
      </c>
      <c r="B429" s="781" t="s">
        <v>1592</v>
      </c>
      <c r="C429" s="782">
        <v>3.6390000000000001E-4</v>
      </c>
      <c r="D429" s="782">
        <v>3.7550000000000002E-4</v>
      </c>
      <c r="E429" s="783">
        <v>242673</v>
      </c>
      <c r="F429" s="783">
        <v>-207245</v>
      </c>
      <c r="G429" s="783">
        <v>163316</v>
      </c>
      <c r="H429" s="783"/>
      <c r="I429" s="784">
        <v>0</v>
      </c>
      <c r="J429" s="784">
        <v>328207</v>
      </c>
      <c r="K429" s="784">
        <v>0</v>
      </c>
      <c r="L429" s="783">
        <v>66437</v>
      </c>
      <c r="M429" s="783"/>
      <c r="N429" s="784">
        <v>38389</v>
      </c>
      <c r="O429" s="784">
        <v>374703</v>
      </c>
      <c r="P429" s="784">
        <v>0</v>
      </c>
      <c r="Q429" s="783">
        <v>1845</v>
      </c>
      <c r="R429" s="783"/>
      <c r="S429" s="784">
        <v>74564</v>
      </c>
      <c r="T429" s="785">
        <v>16775</v>
      </c>
      <c r="U429" s="785">
        <v>91339</v>
      </c>
    </row>
    <row r="430" spans="1:21" x14ac:dyDescent="0.25">
      <c r="A430" s="780">
        <v>94437</v>
      </c>
      <c r="B430" s="781" t="s">
        <v>1593</v>
      </c>
      <c r="C430" s="782">
        <v>1.1600000000000001E-5</v>
      </c>
      <c r="D430" s="782">
        <v>1.01E-5</v>
      </c>
      <c r="E430" s="783">
        <v>9983</v>
      </c>
      <c r="F430" s="783">
        <v>-5574</v>
      </c>
      <c r="G430" s="783">
        <v>5206</v>
      </c>
      <c r="H430" s="783"/>
      <c r="I430" s="784">
        <v>0</v>
      </c>
      <c r="J430" s="784">
        <v>10462</v>
      </c>
      <c r="K430" s="784">
        <v>0</v>
      </c>
      <c r="L430" s="783">
        <v>9266</v>
      </c>
      <c r="M430" s="783"/>
      <c r="N430" s="784">
        <v>1224</v>
      </c>
      <c r="O430" s="784">
        <v>11944</v>
      </c>
      <c r="P430" s="784">
        <v>0</v>
      </c>
      <c r="Q430" s="783">
        <v>0</v>
      </c>
      <c r="R430" s="783"/>
      <c r="S430" s="784">
        <v>2377</v>
      </c>
      <c r="T430" s="785">
        <v>2720</v>
      </c>
      <c r="U430" s="785">
        <v>5097</v>
      </c>
    </row>
    <row r="431" spans="1:21" x14ac:dyDescent="0.25">
      <c r="A431" s="780">
        <v>94501</v>
      </c>
      <c r="B431" s="781" t="s">
        <v>1594</v>
      </c>
      <c r="C431" s="782">
        <v>5.5922999999999997E-3</v>
      </c>
      <c r="D431" s="782">
        <v>5.4612999999999997E-3</v>
      </c>
      <c r="E431" s="783">
        <v>2353504</v>
      </c>
      <c r="F431" s="783">
        <v>-3014190</v>
      </c>
      <c r="G431" s="783">
        <v>2509791</v>
      </c>
      <c r="H431" s="783"/>
      <c r="I431" s="784">
        <v>0</v>
      </c>
      <c r="J431" s="784">
        <v>5043785</v>
      </c>
      <c r="K431" s="784">
        <v>0</v>
      </c>
      <c r="L431" s="783">
        <v>320395</v>
      </c>
      <c r="M431" s="783"/>
      <c r="N431" s="784">
        <v>589949</v>
      </c>
      <c r="O431" s="784">
        <v>5758319</v>
      </c>
      <c r="P431" s="784">
        <v>0</v>
      </c>
      <c r="Q431" s="783">
        <v>0</v>
      </c>
      <c r="R431" s="783"/>
      <c r="S431" s="784">
        <v>1145873</v>
      </c>
      <c r="T431" s="785">
        <v>96428</v>
      </c>
      <c r="U431" s="785">
        <v>1242302</v>
      </c>
    </row>
    <row r="432" spans="1:21" x14ac:dyDescent="0.25">
      <c r="A432" s="780">
        <v>94511</v>
      </c>
      <c r="B432" s="781" t="s">
        <v>1595</v>
      </c>
      <c r="C432" s="782">
        <v>1.7692999999999999E-3</v>
      </c>
      <c r="D432" s="782">
        <v>1.3025000000000001E-3</v>
      </c>
      <c r="E432" s="783">
        <v>678134</v>
      </c>
      <c r="F432" s="783">
        <v>-718873</v>
      </c>
      <c r="G432" s="783">
        <v>794051</v>
      </c>
      <c r="H432" s="783"/>
      <c r="I432" s="784">
        <v>0</v>
      </c>
      <c r="J432" s="784">
        <v>1595760</v>
      </c>
      <c r="K432" s="784">
        <v>0</v>
      </c>
      <c r="L432" s="783">
        <v>305854</v>
      </c>
      <c r="M432" s="783"/>
      <c r="N432" s="784">
        <v>186649</v>
      </c>
      <c r="O432" s="784">
        <v>1821825</v>
      </c>
      <c r="P432" s="784">
        <v>0</v>
      </c>
      <c r="Q432" s="783">
        <v>0</v>
      </c>
      <c r="R432" s="783"/>
      <c r="S432" s="784">
        <v>362533</v>
      </c>
      <c r="T432" s="785">
        <v>81036</v>
      </c>
      <c r="U432" s="785">
        <v>443569</v>
      </c>
    </row>
    <row r="433" spans="1:21" x14ac:dyDescent="0.25">
      <c r="A433" s="780">
        <v>94512</v>
      </c>
      <c r="B433" s="781" t="s">
        <v>1596</v>
      </c>
      <c r="C433" s="782">
        <v>0</v>
      </c>
      <c r="D433" s="782">
        <v>3.9780000000000002E-4</v>
      </c>
      <c r="E433" s="783"/>
      <c r="F433" s="783">
        <v>-219553</v>
      </c>
      <c r="G433" s="783">
        <v>0</v>
      </c>
      <c r="H433" s="783"/>
      <c r="I433" s="784">
        <v>0</v>
      </c>
      <c r="J433" s="784">
        <v>0</v>
      </c>
      <c r="K433" s="784">
        <v>0</v>
      </c>
      <c r="L433" s="783">
        <v>0</v>
      </c>
      <c r="M433" s="783"/>
      <c r="N433" s="784">
        <v>0</v>
      </c>
      <c r="O433" s="784">
        <v>0</v>
      </c>
      <c r="P433" s="784">
        <v>0</v>
      </c>
      <c r="Q433" s="783">
        <v>296006</v>
      </c>
      <c r="R433" s="783"/>
      <c r="S433" s="784">
        <v>0</v>
      </c>
      <c r="T433" s="785">
        <v>-78713</v>
      </c>
      <c r="U433" s="785">
        <v>-78713</v>
      </c>
    </row>
    <row r="434" spans="1:21" x14ac:dyDescent="0.25">
      <c r="A434" s="780">
        <v>94517</v>
      </c>
      <c r="B434" s="781" t="s">
        <v>1597</v>
      </c>
      <c r="C434" s="782">
        <v>4.9100000000000001E-5</v>
      </c>
      <c r="D434" s="782">
        <v>4.8399999999999997E-5</v>
      </c>
      <c r="E434" s="783">
        <v>29071</v>
      </c>
      <c r="F434" s="783">
        <v>-26713</v>
      </c>
      <c r="G434" s="783">
        <v>22036</v>
      </c>
      <c r="H434" s="783"/>
      <c r="I434" s="784">
        <v>0</v>
      </c>
      <c r="J434" s="784">
        <v>44284</v>
      </c>
      <c r="K434" s="784">
        <v>0</v>
      </c>
      <c r="L434" s="783">
        <v>18662</v>
      </c>
      <c r="M434" s="783"/>
      <c r="N434" s="784">
        <v>5180</v>
      </c>
      <c r="O434" s="784">
        <v>50558</v>
      </c>
      <c r="P434" s="784">
        <v>0</v>
      </c>
      <c r="Q434" s="783">
        <v>0</v>
      </c>
      <c r="R434" s="783"/>
      <c r="S434" s="784">
        <v>10061</v>
      </c>
      <c r="T434" s="785">
        <v>5686</v>
      </c>
      <c r="U434" s="785">
        <v>15747</v>
      </c>
    </row>
    <row r="435" spans="1:21" x14ac:dyDescent="0.25">
      <c r="A435" s="780">
        <v>94521</v>
      </c>
      <c r="B435" s="781" t="s">
        <v>1598</v>
      </c>
      <c r="C435" s="782">
        <v>1.6320000000000001E-4</v>
      </c>
      <c r="D435" s="782">
        <v>1.4440000000000001E-4</v>
      </c>
      <c r="E435" s="783">
        <v>57170</v>
      </c>
      <c r="F435" s="783">
        <v>-79697</v>
      </c>
      <c r="G435" s="783">
        <v>73243</v>
      </c>
      <c r="H435" s="783"/>
      <c r="I435" s="784">
        <v>0</v>
      </c>
      <c r="J435" s="784">
        <v>147193</v>
      </c>
      <c r="K435" s="784">
        <v>0</v>
      </c>
      <c r="L435" s="783">
        <v>8170</v>
      </c>
      <c r="M435" s="783"/>
      <c r="N435" s="784">
        <v>17216</v>
      </c>
      <c r="O435" s="784">
        <v>168045</v>
      </c>
      <c r="P435" s="784">
        <v>0</v>
      </c>
      <c r="Q435" s="783">
        <v>0</v>
      </c>
      <c r="R435" s="783"/>
      <c r="S435" s="784">
        <v>33440</v>
      </c>
      <c r="T435" s="785">
        <v>2319</v>
      </c>
      <c r="U435" s="785">
        <v>35759</v>
      </c>
    </row>
    <row r="436" spans="1:21" x14ac:dyDescent="0.25">
      <c r="A436" s="780">
        <v>94527</v>
      </c>
      <c r="B436" s="781" t="s">
        <v>1599</v>
      </c>
      <c r="C436" s="782">
        <v>9.0000000000000002E-6</v>
      </c>
      <c r="D436" s="782">
        <v>8.8999999999999995E-6</v>
      </c>
      <c r="E436" s="783">
        <v>4401</v>
      </c>
      <c r="F436" s="783">
        <v>-4912</v>
      </c>
      <c r="G436" s="783">
        <v>4039</v>
      </c>
      <c r="H436" s="783"/>
      <c r="I436" s="784">
        <v>0</v>
      </c>
      <c r="J436" s="784">
        <v>8117</v>
      </c>
      <c r="K436" s="784">
        <v>0</v>
      </c>
      <c r="L436" s="783">
        <v>646</v>
      </c>
      <c r="M436" s="783"/>
      <c r="N436" s="784">
        <v>949</v>
      </c>
      <c r="O436" s="784">
        <v>9267</v>
      </c>
      <c r="P436" s="784">
        <v>0</v>
      </c>
      <c r="Q436" s="783">
        <v>87</v>
      </c>
      <c r="R436" s="783"/>
      <c r="S436" s="784">
        <v>1844</v>
      </c>
      <c r="T436" s="785">
        <v>140</v>
      </c>
      <c r="U436" s="785">
        <v>1984</v>
      </c>
    </row>
    <row r="437" spans="1:21" x14ac:dyDescent="0.25">
      <c r="A437" s="780">
        <v>94531</v>
      </c>
      <c r="B437" s="781" t="s">
        <v>1600</v>
      </c>
      <c r="C437" s="782">
        <v>1.66E-5</v>
      </c>
      <c r="D437" s="782">
        <v>1.7600000000000001E-5</v>
      </c>
      <c r="E437" s="783">
        <v>10252</v>
      </c>
      <c r="F437" s="783">
        <v>-9714</v>
      </c>
      <c r="G437" s="783">
        <v>7450</v>
      </c>
      <c r="H437" s="783"/>
      <c r="I437" s="784">
        <v>0</v>
      </c>
      <c r="J437" s="784">
        <v>14972</v>
      </c>
      <c r="K437" s="784">
        <v>0</v>
      </c>
      <c r="L437" s="783">
        <v>4255</v>
      </c>
      <c r="M437" s="783"/>
      <c r="N437" s="784">
        <v>1751</v>
      </c>
      <c r="O437" s="784">
        <v>17093</v>
      </c>
      <c r="P437" s="784">
        <v>0</v>
      </c>
      <c r="Q437" s="783">
        <v>0</v>
      </c>
      <c r="R437" s="783"/>
      <c r="S437" s="784">
        <v>3401</v>
      </c>
      <c r="T437" s="785">
        <v>1274</v>
      </c>
      <c r="U437" s="785">
        <v>4675</v>
      </c>
    </row>
    <row r="438" spans="1:21" x14ac:dyDescent="0.25">
      <c r="A438" s="780">
        <v>94532</v>
      </c>
      <c r="B438" s="781" t="s">
        <v>1601</v>
      </c>
      <c r="C438" s="782">
        <v>1.155E-4</v>
      </c>
      <c r="D438" s="782">
        <v>1.1239999999999999E-4</v>
      </c>
      <c r="E438" s="783">
        <v>43686</v>
      </c>
      <c r="F438" s="783">
        <v>-62036</v>
      </c>
      <c r="G438" s="783">
        <v>51836</v>
      </c>
      <c r="H438" s="783"/>
      <c r="I438" s="784">
        <v>0</v>
      </c>
      <c r="J438" s="784">
        <v>104171</v>
      </c>
      <c r="K438" s="784">
        <v>0</v>
      </c>
      <c r="L438" s="783">
        <v>0</v>
      </c>
      <c r="M438" s="783"/>
      <c r="N438" s="784">
        <v>12184</v>
      </c>
      <c r="O438" s="784">
        <v>118929</v>
      </c>
      <c r="P438" s="784">
        <v>0</v>
      </c>
      <c r="Q438" s="783">
        <v>9222</v>
      </c>
      <c r="R438" s="783"/>
      <c r="S438" s="784">
        <v>23666</v>
      </c>
      <c r="T438" s="785">
        <v>-3043</v>
      </c>
      <c r="U438" s="785">
        <v>20624</v>
      </c>
    </row>
    <row r="439" spans="1:21" x14ac:dyDescent="0.25">
      <c r="A439" s="780">
        <v>94541</v>
      </c>
      <c r="B439" s="781" t="s">
        <v>1602</v>
      </c>
      <c r="C439" s="782">
        <v>2.8739999999999999E-4</v>
      </c>
      <c r="D439" s="782">
        <v>3.0019999999999998E-4</v>
      </c>
      <c r="E439" s="783">
        <v>103532</v>
      </c>
      <c r="F439" s="783">
        <v>-165686</v>
      </c>
      <c r="G439" s="783">
        <v>128983</v>
      </c>
      <c r="H439" s="783"/>
      <c r="I439" s="784">
        <v>0</v>
      </c>
      <c r="J439" s="784">
        <v>259211</v>
      </c>
      <c r="K439" s="784">
        <v>0</v>
      </c>
      <c r="L439" s="783">
        <v>0</v>
      </c>
      <c r="M439" s="783"/>
      <c r="N439" s="784">
        <v>30319</v>
      </c>
      <c r="O439" s="784">
        <v>295932</v>
      </c>
      <c r="P439" s="784">
        <v>0</v>
      </c>
      <c r="Q439" s="783">
        <v>21032</v>
      </c>
      <c r="R439" s="783"/>
      <c r="S439" s="784">
        <v>58889</v>
      </c>
      <c r="T439" s="785">
        <v>-5586</v>
      </c>
      <c r="U439" s="785">
        <v>53303</v>
      </c>
    </row>
    <row r="440" spans="1:21" x14ac:dyDescent="0.25">
      <c r="A440" s="780">
        <v>94547</v>
      </c>
      <c r="B440" s="781" t="s">
        <v>1603</v>
      </c>
      <c r="C440" s="782">
        <v>1.3499999999999999E-5</v>
      </c>
      <c r="D440" s="782">
        <v>1.4E-5</v>
      </c>
      <c r="E440" s="783">
        <v>7360</v>
      </c>
      <c r="F440" s="783">
        <v>-7727</v>
      </c>
      <c r="G440" s="783">
        <v>6059</v>
      </c>
      <c r="H440" s="783"/>
      <c r="I440" s="784">
        <v>0</v>
      </c>
      <c r="J440" s="784">
        <v>12176</v>
      </c>
      <c r="K440" s="784">
        <v>0</v>
      </c>
      <c r="L440" s="783">
        <v>1270</v>
      </c>
      <c r="M440" s="783"/>
      <c r="N440" s="784">
        <v>1424</v>
      </c>
      <c r="O440" s="784">
        <v>13901</v>
      </c>
      <c r="P440" s="784">
        <v>0</v>
      </c>
      <c r="Q440" s="783">
        <v>0</v>
      </c>
      <c r="R440" s="783"/>
      <c r="S440" s="784">
        <v>2766</v>
      </c>
      <c r="T440" s="785">
        <v>344</v>
      </c>
      <c r="U440" s="785">
        <v>3110</v>
      </c>
    </row>
    <row r="441" spans="1:21" x14ac:dyDescent="0.25">
      <c r="A441" s="780">
        <v>94551</v>
      </c>
      <c r="B441" s="781" t="s">
        <v>1604</v>
      </c>
      <c r="C441" s="782">
        <v>3.0599999999999998E-5</v>
      </c>
      <c r="D441" s="782">
        <v>4.5000000000000003E-5</v>
      </c>
      <c r="E441" s="783">
        <v>21069</v>
      </c>
      <c r="F441" s="783">
        <v>-24836.31</v>
      </c>
      <c r="G441" s="783">
        <v>13733</v>
      </c>
      <c r="H441" s="783"/>
      <c r="I441" s="784">
        <v>0</v>
      </c>
      <c r="J441" s="784">
        <v>27599</v>
      </c>
      <c r="K441" s="784">
        <v>0</v>
      </c>
      <c r="L441" s="783">
        <v>5089</v>
      </c>
      <c r="M441" s="783"/>
      <c r="N441" s="784">
        <v>3228</v>
      </c>
      <c r="O441" s="784">
        <v>31508</v>
      </c>
      <c r="P441" s="784">
        <v>0</v>
      </c>
      <c r="Q441" s="783">
        <v>3309</v>
      </c>
      <c r="R441" s="783"/>
      <c r="S441" s="784">
        <v>6270</v>
      </c>
      <c r="T441" s="785">
        <v>836</v>
      </c>
      <c r="U441" s="785">
        <v>7106</v>
      </c>
    </row>
    <row r="442" spans="1:21" x14ac:dyDescent="0.25">
      <c r="A442" s="780">
        <v>94601</v>
      </c>
      <c r="B442" s="781" t="s">
        <v>1605</v>
      </c>
      <c r="C442" s="782">
        <v>9.7179999999999999E-4</v>
      </c>
      <c r="D442" s="782">
        <v>1.0158999999999999E-3</v>
      </c>
      <c r="E442" s="783">
        <v>430037</v>
      </c>
      <c r="F442" s="783">
        <v>-560693</v>
      </c>
      <c r="G442" s="783">
        <v>436138</v>
      </c>
      <c r="H442" s="783"/>
      <c r="I442" s="784">
        <v>0</v>
      </c>
      <c r="J442" s="784">
        <v>876482</v>
      </c>
      <c r="K442" s="784">
        <v>0</v>
      </c>
      <c r="L442" s="783">
        <v>3989</v>
      </c>
      <c r="M442" s="783"/>
      <c r="N442" s="784">
        <v>102518</v>
      </c>
      <c r="O442" s="784">
        <v>1000650</v>
      </c>
      <c r="P442" s="784">
        <v>0</v>
      </c>
      <c r="Q442" s="783">
        <v>4581</v>
      </c>
      <c r="R442" s="783"/>
      <c r="S442" s="784">
        <v>199124</v>
      </c>
      <c r="T442" s="785">
        <v>135</v>
      </c>
      <c r="U442" s="785">
        <v>199259</v>
      </c>
    </row>
    <row r="443" spans="1:21" x14ac:dyDescent="0.25">
      <c r="A443" s="780">
        <v>94604</v>
      </c>
      <c r="B443" s="781" t="s">
        <v>1606</v>
      </c>
      <c r="C443" s="782">
        <v>2.76E-5</v>
      </c>
      <c r="D443" s="782">
        <v>2.8500000000000002E-5</v>
      </c>
      <c r="E443" s="783">
        <v>12452</v>
      </c>
      <c r="F443" s="783">
        <v>-15730</v>
      </c>
      <c r="G443" s="783">
        <v>12387</v>
      </c>
      <c r="H443" s="783"/>
      <c r="I443" s="784">
        <v>0</v>
      </c>
      <c r="J443" s="784">
        <v>24893</v>
      </c>
      <c r="K443" s="784">
        <v>0</v>
      </c>
      <c r="L443" s="783">
        <v>306</v>
      </c>
      <c r="M443" s="783"/>
      <c r="N443" s="784">
        <v>2912</v>
      </c>
      <c r="O443" s="784">
        <v>28419</v>
      </c>
      <c r="P443" s="784">
        <v>0</v>
      </c>
      <c r="Q443" s="783">
        <v>78</v>
      </c>
      <c r="R443" s="783"/>
      <c r="S443" s="784">
        <v>5655</v>
      </c>
      <c r="T443" s="785">
        <v>54</v>
      </c>
      <c r="U443" s="785">
        <v>5709</v>
      </c>
    </row>
    <row r="444" spans="1:21" x14ac:dyDescent="0.25">
      <c r="A444" s="780">
        <v>94606</v>
      </c>
      <c r="B444" s="781" t="s">
        <v>1607</v>
      </c>
      <c r="C444" s="782">
        <v>2.8610000000000002E-4</v>
      </c>
      <c r="D444" s="782">
        <v>3.1530000000000002E-4</v>
      </c>
      <c r="E444" s="783">
        <v>114419</v>
      </c>
      <c r="F444" s="783">
        <v>-174020</v>
      </c>
      <c r="G444" s="783">
        <v>128400</v>
      </c>
      <c r="H444" s="783"/>
      <c r="I444" s="784">
        <v>0</v>
      </c>
      <c r="J444" s="784">
        <v>258038</v>
      </c>
      <c r="K444" s="784">
        <v>0</v>
      </c>
      <c r="L444" s="783">
        <v>0</v>
      </c>
      <c r="M444" s="783"/>
      <c r="N444" s="784">
        <v>30182</v>
      </c>
      <c r="O444" s="784">
        <v>294593</v>
      </c>
      <c r="P444" s="784">
        <v>0</v>
      </c>
      <c r="Q444" s="783">
        <v>49118</v>
      </c>
      <c r="R444" s="783"/>
      <c r="S444" s="784">
        <v>58622</v>
      </c>
      <c r="T444" s="785">
        <v>-14801</v>
      </c>
      <c r="U444" s="785">
        <v>43822</v>
      </c>
    </row>
    <row r="445" spans="1:21" x14ac:dyDescent="0.25">
      <c r="A445" s="780">
        <v>94611</v>
      </c>
      <c r="B445" s="781" t="s">
        <v>1608</v>
      </c>
      <c r="C445" s="782">
        <v>4.5360000000000002E-4</v>
      </c>
      <c r="D445" s="782">
        <v>4.5520000000000001E-4</v>
      </c>
      <c r="E445" s="783">
        <v>193171</v>
      </c>
      <c r="F445" s="783">
        <v>-251233</v>
      </c>
      <c r="G445" s="783">
        <v>203573</v>
      </c>
      <c r="H445" s="783"/>
      <c r="I445" s="784">
        <v>0</v>
      </c>
      <c r="J445" s="784">
        <v>409109</v>
      </c>
      <c r="K445" s="784">
        <v>0</v>
      </c>
      <c r="L445" s="783">
        <v>5197</v>
      </c>
      <c r="M445" s="783"/>
      <c r="N445" s="784">
        <v>47852</v>
      </c>
      <c r="O445" s="784">
        <v>467066</v>
      </c>
      <c r="P445" s="784">
        <v>0</v>
      </c>
      <c r="Q445" s="783">
        <v>7385.3</v>
      </c>
      <c r="R445" s="783"/>
      <c r="S445" s="784">
        <v>92944</v>
      </c>
      <c r="T445" s="785">
        <v>-1109</v>
      </c>
      <c r="U445" s="785">
        <v>91834</v>
      </c>
    </row>
    <row r="446" spans="1:21" x14ac:dyDescent="0.25">
      <c r="A446" s="780">
        <v>94621</v>
      </c>
      <c r="B446" s="781" t="s">
        <v>1609</v>
      </c>
      <c r="C446" s="782">
        <v>1.5200000000000001E-4</v>
      </c>
      <c r="D446" s="782">
        <v>1.942E-4</v>
      </c>
      <c r="E446" s="783">
        <v>71064</v>
      </c>
      <c r="F446" s="783">
        <v>-107182</v>
      </c>
      <c r="G446" s="783">
        <v>68217</v>
      </c>
      <c r="H446" s="783"/>
      <c r="I446" s="784">
        <v>0</v>
      </c>
      <c r="J446" s="784">
        <v>137091</v>
      </c>
      <c r="K446" s="784">
        <v>0</v>
      </c>
      <c r="L446" s="783">
        <v>19889</v>
      </c>
      <c r="M446" s="783"/>
      <c r="N446" s="784">
        <v>16035</v>
      </c>
      <c r="O446" s="784">
        <v>156512</v>
      </c>
      <c r="P446" s="784">
        <v>0</v>
      </c>
      <c r="Q446" s="783">
        <v>22477</v>
      </c>
      <c r="R446" s="783"/>
      <c r="S446" s="784">
        <v>31145</v>
      </c>
      <c r="T446" s="785">
        <v>768</v>
      </c>
      <c r="U446" s="785">
        <v>31913</v>
      </c>
    </row>
    <row r="447" spans="1:21" x14ac:dyDescent="0.25">
      <c r="A447" s="780">
        <v>94631</v>
      </c>
      <c r="B447" s="781" t="s">
        <v>1610</v>
      </c>
      <c r="C447" s="782">
        <v>4.0299999999999997E-5</v>
      </c>
      <c r="D447" s="782">
        <v>4.1300000000000001E-5</v>
      </c>
      <c r="E447" s="783">
        <v>20240</v>
      </c>
      <c r="F447" s="783">
        <v>-22794</v>
      </c>
      <c r="G447" s="783">
        <v>18086</v>
      </c>
      <c r="H447" s="783"/>
      <c r="I447" s="784">
        <v>0</v>
      </c>
      <c r="J447" s="784">
        <v>36347</v>
      </c>
      <c r="K447" s="784">
        <v>0</v>
      </c>
      <c r="L447" s="783">
        <v>3734</v>
      </c>
      <c r="M447" s="783"/>
      <c r="N447" s="784">
        <v>4251</v>
      </c>
      <c r="O447" s="784">
        <v>41496</v>
      </c>
      <c r="P447" s="784">
        <v>0</v>
      </c>
      <c r="Q447" s="783">
        <v>0</v>
      </c>
      <c r="R447" s="783"/>
      <c r="S447" s="784">
        <v>8258</v>
      </c>
      <c r="T447" s="785">
        <v>1082</v>
      </c>
      <c r="U447" s="785">
        <v>9339</v>
      </c>
    </row>
    <row r="448" spans="1:21" x14ac:dyDescent="0.25">
      <c r="A448" s="780">
        <v>94641</v>
      </c>
      <c r="B448" s="781" t="s">
        <v>1611</v>
      </c>
      <c r="C448" s="782">
        <v>4.6999999999999999E-6</v>
      </c>
      <c r="D448" s="782">
        <v>5.1000000000000003E-6</v>
      </c>
      <c r="E448" s="783">
        <v>4958</v>
      </c>
      <c r="F448" s="783">
        <v>-2815</v>
      </c>
      <c r="G448" s="783">
        <v>2109</v>
      </c>
      <c r="H448" s="783"/>
      <c r="I448" s="784">
        <v>0</v>
      </c>
      <c r="J448" s="784">
        <v>4239</v>
      </c>
      <c r="K448" s="784">
        <v>0</v>
      </c>
      <c r="L448" s="783">
        <v>3886</v>
      </c>
      <c r="M448" s="783"/>
      <c r="N448" s="784">
        <v>496</v>
      </c>
      <c r="O448" s="784">
        <v>4840</v>
      </c>
      <c r="P448" s="784">
        <v>0</v>
      </c>
      <c r="Q448" s="783">
        <v>0</v>
      </c>
      <c r="R448" s="783"/>
      <c r="S448" s="784">
        <v>963</v>
      </c>
      <c r="T448" s="785">
        <v>1145</v>
      </c>
      <c r="U448" s="785">
        <v>2108</v>
      </c>
    </row>
    <row r="449" spans="1:21" x14ac:dyDescent="0.25">
      <c r="A449" s="780">
        <v>94701</v>
      </c>
      <c r="B449" s="781" t="s">
        <v>1612</v>
      </c>
      <c r="C449" s="782">
        <v>2.6064999999999999E-3</v>
      </c>
      <c r="D449" s="782">
        <v>2.4745000000000001E-3</v>
      </c>
      <c r="E449" s="783">
        <v>1034649</v>
      </c>
      <c r="F449" s="783">
        <v>-1365721</v>
      </c>
      <c r="G449" s="783">
        <v>1169782</v>
      </c>
      <c r="H449" s="783"/>
      <c r="I449" s="784">
        <v>0</v>
      </c>
      <c r="J449" s="784">
        <v>2350844</v>
      </c>
      <c r="K449" s="784">
        <v>0</v>
      </c>
      <c r="L449" s="783">
        <v>106283</v>
      </c>
      <c r="M449" s="783"/>
      <c r="N449" s="784">
        <v>274968</v>
      </c>
      <c r="O449" s="784">
        <v>2683879</v>
      </c>
      <c r="P449" s="784">
        <v>0</v>
      </c>
      <c r="Q449" s="783">
        <v>0</v>
      </c>
      <c r="R449" s="783"/>
      <c r="S449" s="784">
        <v>534077</v>
      </c>
      <c r="T449" s="785">
        <v>30516</v>
      </c>
      <c r="U449" s="785">
        <v>564593</v>
      </c>
    </row>
    <row r="450" spans="1:21" x14ac:dyDescent="0.25">
      <c r="A450" s="780">
        <v>94704</v>
      </c>
      <c r="B450" s="781" t="s">
        <v>1613</v>
      </c>
      <c r="C450" s="782">
        <v>1.0900000000000001E-5</v>
      </c>
      <c r="D450" s="782">
        <v>1.11E-5</v>
      </c>
      <c r="E450" s="783">
        <v>4681</v>
      </c>
      <c r="F450" s="783">
        <v>-6126</v>
      </c>
      <c r="G450" s="783">
        <v>4892</v>
      </c>
      <c r="H450" s="783"/>
      <c r="I450" s="784">
        <v>0</v>
      </c>
      <c r="J450" s="784">
        <v>9831</v>
      </c>
      <c r="K450" s="784">
        <v>0</v>
      </c>
      <c r="L450" s="783">
        <v>216</v>
      </c>
      <c r="M450" s="783"/>
      <c r="N450" s="784">
        <v>1150</v>
      </c>
      <c r="O450" s="784">
        <v>11224</v>
      </c>
      <c r="P450" s="784">
        <v>0</v>
      </c>
      <c r="Q450" s="783">
        <v>0</v>
      </c>
      <c r="R450" s="783"/>
      <c r="S450" s="784">
        <v>2233</v>
      </c>
      <c r="T450" s="785">
        <v>69</v>
      </c>
      <c r="U450" s="785">
        <v>2302</v>
      </c>
    </row>
    <row r="451" spans="1:21" x14ac:dyDescent="0.25">
      <c r="A451" s="780">
        <v>94711</v>
      </c>
      <c r="B451" s="781" t="s">
        <v>1614</v>
      </c>
      <c r="C451" s="782">
        <v>3.5270000000000001E-4</v>
      </c>
      <c r="D451" s="782">
        <v>3.2749999999999999E-4</v>
      </c>
      <c r="E451" s="783">
        <v>145824</v>
      </c>
      <c r="F451" s="783">
        <v>-180753</v>
      </c>
      <c r="G451" s="783">
        <v>158290</v>
      </c>
      <c r="H451" s="783"/>
      <c r="I451" s="784">
        <v>0</v>
      </c>
      <c r="J451" s="784">
        <v>318106</v>
      </c>
      <c r="K451" s="784">
        <v>0</v>
      </c>
      <c r="L451" s="783">
        <v>19128</v>
      </c>
      <c r="M451" s="783"/>
      <c r="N451" s="784">
        <v>37207</v>
      </c>
      <c r="O451" s="784">
        <v>363171</v>
      </c>
      <c r="P451" s="784">
        <v>0</v>
      </c>
      <c r="Q451" s="783">
        <v>7454</v>
      </c>
      <c r="R451" s="783"/>
      <c r="S451" s="784">
        <v>72269</v>
      </c>
      <c r="T451" s="785">
        <v>2514</v>
      </c>
      <c r="U451" s="785">
        <v>74783</v>
      </c>
    </row>
    <row r="452" spans="1:21" x14ac:dyDescent="0.25">
      <c r="A452" s="780">
        <v>94801</v>
      </c>
      <c r="B452" s="781" t="s">
        <v>1615</v>
      </c>
      <c r="C452" s="782">
        <v>7.425E-4</v>
      </c>
      <c r="D452" s="782">
        <v>7.0549999999999996E-4</v>
      </c>
      <c r="E452" s="783">
        <v>337755</v>
      </c>
      <c r="F452" s="783">
        <v>-389378</v>
      </c>
      <c r="G452" s="783">
        <v>333230</v>
      </c>
      <c r="H452" s="783"/>
      <c r="I452" s="784">
        <v>0</v>
      </c>
      <c r="J452" s="784">
        <v>669672.63</v>
      </c>
      <c r="K452" s="784">
        <v>0</v>
      </c>
      <c r="L452" s="783">
        <v>68986</v>
      </c>
      <c r="M452" s="783"/>
      <c r="N452" s="784">
        <v>78329</v>
      </c>
      <c r="O452" s="784">
        <v>764543</v>
      </c>
      <c r="P452" s="784">
        <v>0</v>
      </c>
      <c r="Q452" s="783">
        <v>0</v>
      </c>
      <c r="R452" s="783"/>
      <c r="S452" s="784">
        <v>152140</v>
      </c>
      <c r="T452" s="785">
        <v>19193</v>
      </c>
      <c r="U452" s="785">
        <v>171332</v>
      </c>
    </row>
    <row r="453" spans="1:21" x14ac:dyDescent="0.25">
      <c r="A453" s="780">
        <v>94804</v>
      </c>
      <c r="B453" s="781" t="s">
        <v>1616</v>
      </c>
      <c r="C453" s="782">
        <v>5.5999999999999997E-6</v>
      </c>
      <c r="D453" s="782">
        <v>6.0000000000000002E-6</v>
      </c>
      <c r="E453" s="783">
        <v>2762</v>
      </c>
      <c r="F453" s="783">
        <v>-3312</v>
      </c>
      <c r="G453" s="783">
        <v>2513</v>
      </c>
      <c r="H453" s="783"/>
      <c r="I453" s="784">
        <v>0</v>
      </c>
      <c r="J453" s="784">
        <v>5051</v>
      </c>
      <c r="K453" s="784">
        <v>0</v>
      </c>
      <c r="L453" s="783">
        <v>5272</v>
      </c>
      <c r="M453" s="783"/>
      <c r="N453" s="784">
        <v>591</v>
      </c>
      <c r="O453" s="784">
        <v>5766</v>
      </c>
      <c r="P453" s="784">
        <v>0</v>
      </c>
      <c r="Q453" s="783">
        <v>0</v>
      </c>
      <c r="R453" s="783"/>
      <c r="S453" s="784">
        <v>1147</v>
      </c>
      <c r="T453" s="785">
        <v>1756</v>
      </c>
      <c r="U453" s="785">
        <v>2904</v>
      </c>
    </row>
    <row r="454" spans="1:21" x14ac:dyDescent="0.25">
      <c r="A454" s="780">
        <v>94812</v>
      </c>
      <c r="B454" s="781" t="s">
        <v>1617</v>
      </c>
      <c r="C454" s="782">
        <v>2.8200000000000001E-5</v>
      </c>
      <c r="D454" s="782">
        <v>2.7699999999999999E-5</v>
      </c>
      <c r="E454" s="783">
        <v>17490</v>
      </c>
      <c r="F454" s="783">
        <v>-15288</v>
      </c>
      <c r="G454" s="783">
        <v>12656</v>
      </c>
      <c r="H454" s="783"/>
      <c r="I454" s="784">
        <v>0</v>
      </c>
      <c r="J454" s="784">
        <v>25434</v>
      </c>
      <c r="K454" s="784">
        <v>0</v>
      </c>
      <c r="L454" s="783">
        <v>6140</v>
      </c>
      <c r="M454" s="783"/>
      <c r="N454" s="784">
        <v>2975</v>
      </c>
      <c r="O454" s="784">
        <v>29037</v>
      </c>
      <c r="P454" s="784">
        <v>0</v>
      </c>
      <c r="Q454" s="783">
        <v>0</v>
      </c>
      <c r="R454" s="783"/>
      <c r="S454" s="784">
        <v>5778</v>
      </c>
      <c r="T454" s="785">
        <v>1684</v>
      </c>
      <c r="U454" s="785">
        <v>7462</v>
      </c>
    </row>
    <row r="455" spans="1:21" x14ac:dyDescent="0.25">
      <c r="A455" s="780">
        <v>94901</v>
      </c>
      <c r="B455" s="781" t="s">
        <v>1618</v>
      </c>
      <c r="C455" s="782">
        <v>6.6921999999999997E-3</v>
      </c>
      <c r="D455" s="782">
        <v>6.8738999999999996E-3</v>
      </c>
      <c r="E455" s="783">
        <v>2752711</v>
      </c>
      <c r="F455" s="783">
        <v>-3793829</v>
      </c>
      <c r="G455" s="783">
        <v>3003419</v>
      </c>
      <c r="H455" s="783"/>
      <c r="I455" s="784">
        <v>0</v>
      </c>
      <c r="J455" s="784">
        <v>6035802</v>
      </c>
      <c r="K455" s="784">
        <v>0</v>
      </c>
      <c r="L455" s="783">
        <v>27750</v>
      </c>
      <c r="M455" s="783"/>
      <c r="N455" s="784">
        <v>705980</v>
      </c>
      <c r="O455" s="784">
        <v>6890871</v>
      </c>
      <c r="P455" s="784">
        <v>0</v>
      </c>
      <c r="Q455" s="783">
        <v>111333</v>
      </c>
      <c r="R455" s="783"/>
      <c r="S455" s="784">
        <v>1371245</v>
      </c>
      <c r="T455" s="785">
        <v>-19864</v>
      </c>
      <c r="U455" s="785">
        <v>1351381</v>
      </c>
    </row>
    <row r="456" spans="1:21" x14ac:dyDescent="0.25">
      <c r="A456" s="780">
        <v>94908</v>
      </c>
      <c r="B456" s="781" t="s">
        <v>1619</v>
      </c>
      <c r="C456" s="782">
        <v>4.2799999999999997E-5</v>
      </c>
      <c r="D456" s="782">
        <v>4.4299999999999999E-5</v>
      </c>
      <c r="E456" s="783">
        <v>15426</v>
      </c>
      <c r="F456" s="783">
        <v>-24450</v>
      </c>
      <c r="G456" s="783">
        <v>19208</v>
      </c>
      <c r="H456" s="783"/>
      <c r="I456" s="784">
        <v>0</v>
      </c>
      <c r="J456" s="784">
        <v>38602</v>
      </c>
      <c r="K456" s="784">
        <v>0</v>
      </c>
      <c r="L456" s="783">
        <v>0</v>
      </c>
      <c r="M456" s="783"/>
      <c r="N456" s="784">
        <v>4515</v>
      </c>
      <c r="O456" s="784">
        <v>44071</v>
      </c>
      <c r="P456" s="784">
        <v>0</v>
      </c>
      <c r="Q456" s="783">
        <v>6118</v>
      </c>
      <c r="R456" s="783"/>
      <c r="S456" s="784">
        <v>8770</v>
      </c>
      <c r="T456" s="785">
        <v>-1852</v>
      </c>
      <c r="U456" s="785">
        <v>6918</v>
      </c>
    </row>
    <row r="457" spans="1:21" x14ac:dyDescent="0.25">
      <c r="A457" s="780">
        <v>94911</v>
      </c>
      <c r="B457" s="781" t="s">
        <v>1620</v>
      </c>
      <c r="C457" s="782">
        <v>2.8086000000000001E-3</v>
      </c>
      <c r="D457" s="782">
        <v>2.8134000000000002E-3</v>
      </c>
      <c r="E457" s="783">
        <v>1163784</v>
      </c>
      <c r="F457" s="783">
        <v>-1552766</v>
      </c>
      <c r="G457" s="783">
        <v>1260483</v>
      </c>
      <c r="H457" s="783"/>
      <c r="I457" s="784">
        <v>0</v>
      </c>
      <c r="J457" s="784">
        <v>2533121</v>
      </c>
      <c r="K457" s="784">
        <v>0</v>
      </c>
      <c r="L457" s="783">
        <v>10171</v>
      </c>
      <c r="M457" s="783"/>
      <c r="N457" s="784">
        <v>296288</v>
      </c>
      <c r="O457" s="784">
        <v>2891979</v>
      </c>
      <c r="P457" s="784">
        <v>0</v>
      </c>
      <c r="Q457" s="783">
        <v>21982</v>
      </c>
      <c r="R457" s="783"/>
      <c r="S457" s="784">
        <v>575488</v>
      </c>
      <c r="T457" s="785">
        <v>-4690</v>
      </c>
      <c r="U457" s="785">
        <v>570798</v>
      </c>
    </row>
    <row r="458" spans="1:21" x14ac:dyDescent="0.25">
      <c r="A458" s="780">
        <v>94917</v>
      </c>
      <c r="B458" s="781" t="s">
        <v>1621</v>
      </c>
      <c r="C458" s="782">
        <v>4.0399999999999999E-5</v>
      </c>
      <c r="D458" s="782">
        <v>4.1399999999999997E-5</v>
      </c>
      <c r="E458" s="783">
        <v>26013</v>
      </c>
      <c r="F458" s="783">
        <v>-22849</v>
      </c>
      <c r="G458" s="783">
        <v>18131</v>
      </c>
      <c r="H458" s="783"/>
      <c r="I458" s="784">
        <v>0</v>
      </c>
      <c r="J458" s="784">
        <v>36437</v>
      </c>
      <c r="K458" s="784">
        <v>0</v>
      </c>
      <c r="L458" s="783">
        <v>13207</v>
      </c>
      <c r="M458" s="783"/>
      <c r="N458" s="784">
        <v>4262</v>
      </c>
      <c r="O458" s="784">
        <v>41599</v>
      </c>
      <c r="P458" s="784">
        <v>0</v>
      </c>
      <c r="Q458" s="783">
        <v>0</v>
      </c>
      <c r="R458" s="783"/>
      <c r="S458" s="784">
        <v>8278</v>
      </c>
      <c r="T458" s="785">
        <v>3920</v>
      </c>
      <c r="U458" s="785">
        <v>12198</v>
      </c>
    </row>
    <row r="459" spans="1:21" x14ac:dyDescent="0.25">
      <c r="A459" s="780">
        <v>94921</v>
      </c>
      <c r="B459" s="781" t="s">
        <v>1622</v>
      </c>
      <c r="C459" s="782">
        <v>4.0699999999999998E-3</v>
      </c>
      <c r="D459" s="782">
        <v>4.0539E-3</v>
      </c>
      <c r="E459" s="783">
        <v>1399413</v>
      </c>
      <c r="F459" s="783">
        <v>-2237420</v>
      </c>
      <c r="G459" s="783">
        <v>1826592</v>
      </c>
      <c r="H459" s="783"/>
      <c r="I459" s="784">
        <v>0</v>
      </c>
      <c r="J459" s="784">
        <v>3670798</v>
      </c>
      <c r="K459" s="784">
        <v>0</v>
      </c>
      <c r="L459" s="783">
        <v>0</v>
      </c>
      <c r="M459" s="783"/>
      <c r="N459" s="784">
        <v>429356.51</v>
      </c>
      <c r="O459" s="784">
        <v>4190826.09</v>
      </c>
      <c r="P459" s="784">
        <v>0</v>
      </c>
      <c r="Q459" s="783">
        <v>261755</v>
      </c>
      <c r="R459" s="783"/>
      <c r="S459" s="784">
        <v>833951.14</v>
      </c>
      <c r="T459" s="785">
        <v>-73258</v>
      </c>
      <c r="U459" s="785">
        <v>760693</v>
      </c>
    </row>
    <row r="460" spans="1:21" x14ac:dyDescent="0.25">
      <c r="A460" s="780">
        <v>94923</v>
      </c>
      <c r="B460" s="781" t="s">
        <v>1623</v>
      </c>
      <c r="C460" s="782">
        <v>2.9300000000000001E-5</v>
      </c>
      <c r="D460" s="782">
        <v>3.0800000000000003E-5</v>
      </c>
      <c r="E460" s="783">
        <v>14772</v>
      </c>
      <c r="F460" s="783">
        <v>-16999</v>
      </c>
      <c r="G460" s="783">
        <v>13150</v>
      </c>
      <c r="H460" s="783"/>
      <c r="I460" s="784">
        <v>0</v>
      </c>
      <c r="J460" s="784">
        <v>26426</v>
      </c>
      <c r="K460" s="784">
        <v>0</v>
      </c>
      <c r="L460" s="783">
        <v>1174</v>
      </c>
      <c r="M460" s="783"/>
      <c r="N460" s="784">
        <v>3091</v>
      </c>
      <c r="O460" s="784">
        <v>30170</v>
      </c>
      <c r="P460" s="784">
        <v>0</v>
      </c>
      <c r="Q460" s="783">
        <v>260.13</v>
      </c>
      <c r="R460" s="783"/>
      <c r="S460" s="784">
        <v>6004</v>
      </c>
      <c r="T460" s="785">
        <v>220</v>
      </c>
      <c r="U460" s="785">
        <v>6224</v>
      </c>
    </row>
    <row r="461" spans="1:21" x14ac:dyDescent="0.25">
      <c r="A461" s="780">
        <v>94927</v>
      </c>
      <c r="B461" s="781" t="s">
        <v>1624</v>
      </c>
      <c r="C461" s="782">
        <v>3.2700000000000002E-5</v>
      </c>
      <c r="D461" s="782">
        <v>3.4400000000000003E-5</v>
      </c>
      <c r="E461" s="783">
        <v>15406</v>
      </c>
      <c r="F461" s="783">
        <v>-18986</v>
      </c>
      <c r="G461" s="783">
        <v>14676</v>
      </c>
      <c r="H461" s="783"/>
      <c r="I461" s="784">
        <v>0</v>
      </c>
      <c r="J461" s="784">
        <v>29493</v>
      </c>
      <c r="K461" s="784">
        <v>0</v>
      </c>
      <c r="L461" s="783">
        <v>436</v>
      </c>
      <c r="M461" s="783"/>
      <c r="N461" s="784">
        <v>3450</v>
      </c>
      <c r="O461" s="784">
        <v>33671</v>
      </c>
      <c r="P461" s="784">
        <v>0</v>
      </c>
      <c r="Q461" s="783">
        <v>78</v>
      </c>
      <c r="R461" s="783"/>
      <c r="S461" s="784">
        <v>6700</v>
      </c>
      <c r="T461" s="785">
        <v>88</v>
      </c>
      <c r="U461" s="785">
        <v>6788</v>
      </c>
    </row>
    <row r="462" spans="1:21" x14ac:dyDescent="0.25">
      <c r="A462" s="780">
        <v>94931</v>
      </c>
      <c r="B462" s="781" t="s">
        <v>1625</v>
      </c>
      <c r="C462" s="782">
        <v>2.4020000000000001E-4</v>
      </c>
      <c r="D462" s="782">
        <v>2.3149999999999999E-4</v>
      </c>
      <c r="E462" s="783">
        <v>86895</v>
      </c>
      <c r="F462" s="783">
        <v>-127769</v>
      </c>
      <c r="G462" s="783">
        <v>107800</v>
      </c>
      <c r="H462" s="783"/>
      <c r="I462" s="784">
        <v>0</v>
      </c>
      <c r="J462" s="784">
        <v>216640</v>
      </c>
      <c r="K462" s="784">
        <v>0</v>
      </c>
      <c r="L462" s="783">
        <v>0</v>
      </c>
      <c r="M462" s="783"/>
      <c r="N462" s="784">
        <v>25339</v>
      </c>
      <c r="O462" s="784">
        <v>247331</v>
      </c>
      <c r="P462" s="784">
        <v>0</v>
      </c>
      <c r="Q462" s="783">
        <v>13608</v>
      </c>
      <c r="R462" s="783"/>
      <c r="S462" s="784">
        <v>49217</v>
      </c>
      <c r="T462" s="785">
        <v>-4351</v>
      </c>
      <c r="U462" s="785">
        <v>44866</v>
      </c>
    </row>
    <row r="463" spans="1:21" x14ac:dyDescent="0.25">
      <c r="A463" s="780">
        <v>94941</v>
      </c>
      <c r="B463" s="781" t="s">
        <v>1626</v>
      </c>
      <c r="C463" s="782">
        <v>5.0549999999999998E-4</v>
      </c>
      <c r="D463" s="782">
        <v>4.35E-4</v>
      </c>
      <c r="E463" s="783">
        <v>212016</v>
      </c>
      <c r="F463" s="783">
        <v>-240084.33</v>
      </c>
      <c r="G463" s="783">
        <v>226865</v>
      </c>
      <c r="H463" s="783"/>
      <c r="I463" s="784">
        <v>0</v>
      </c>
      <c r="J463" s="784">
        <v>455919</v>
      </c>
      <c r="K463" s="784">
        <v>0</v>
      </c>
      <c r="L463" s="783">
        <v>138270</v>
      </c>
      <c r="M463" s="783"/>
      <c r="N463" s="784">
        <v>53327</v>
      </c>
      <c r="O463" s="784">
        <v>520507</v>
      </c>
      <c r="P463" s="784">
        <v>0</v>
      </c>
      <c r="Q463" s="783">
        <v>0</v>
      </c>
      <c r="R463" s="783"/>
      <c r="S463" s="784">
        <v>103578</v>
      </c>
      <c r="T463" s="785">
        <v>42325</v>
      </c>
      <c r="U463" s="785">
        <v>145903</v>
      </c>
    </row>
    <row r="464" spans="1:21" x14ac:dyDescent="0.25">
      <c r="A464" s="780">
        <v>95001</v>
      </c>
      <c r="B464" s="781" t="s">
        <v>1627</v>
      </c>
      <c r="C464" s="782">
        <v>2.3674E-3</v>
      </c>
      <c r="D464" s="782">
        <v>2.3798000000000001E-3</v>
      </c>
      <c r="E464" s="783">
        <v>1049790</v>
      </c>
      <c r="F464" s="783">
        <v>-1313454</v>
      </c>
      <c r="G464" s="783">
        <v>1062475</v>
      </c>
      <c r="H464" s="783"/>
      <c r="I464" s="784">
        <v>0</v>
      </c>
      <c r="J464" s="784">
        <v>2135196</v>
      </c>
      <c r="K464" s="784">
        <v>0</v>
      </c>
      <c r="L464" s="783">
        <v>57256</v>
      </c>
      <c r="M464" s="783"/>
      <c r="N464" s="784">
        <v>249744</v>
      </c>
      <c r="O464" s="784">
        <v>2437681</v>
      </c>
      <c r="P464" s="784">
        <v>0</v>
      </c>
      <c r="Q464" s="783">
        <v>12052.69</v>
      </c>
      <c r="R464" s="783"/>
      <c r="S464" s="784">
        <v>485085</v>
      </c>
      <c r="T464" s="785">
        <v>10957</v>
      </c>
      <c r="U464" s="785">
        <v>496042</v>
      </c>
    </row>
    <row r="465" spans="1:21" x14ac:dyDescent="0.25">
      <c r="A465" s="780">
        <v>95002</v>
      </c>
      <c r="B465" s="781" t="s">
        <v>1628</v>
      </c>
      <c r="C465" s="782">
        <v>1.919E-4</v>
      </c>
      <c r="D465" s="782">
        <v>1.9890000000000001E-4</v>
      </c>
      <c r="E465" s="783">
        <v>89153</v>
      </c>
      <c r="F465" s="783">
        <v>-109776</v>
      </c>
      <c r="G465" s="783">
        <v>86124</v>
      </c>
      <c r="H465" s="783"/>
      <c r="I465" s="784">
        <v>0</v>
      </c>
      <c r="J465" s="784">
        <v>173078</v>
      </c>
      <c r="K465" s="784">
        <v>0</v>
      </c>
      <c r="L465" s="783">
        <v>7462</v>
      </c>
      <c r="M465" s="783"/>
      <c r="N465" s="784">
        <v>20244</v>
      </c>
      <c r="O465" s="784">
        <v>197597</v>
      </c>
      <c r="P465" s="784">
        <v>0</v>
      </c>
      <c r="Q465" s="783">
        <v>0</v>
      </c>
      <c r="R465" s="783"/>
      <c r="S465" s="784">
        <v>39321</v>
      </c>
      <c r="T465" s="785">
        <v>2230</v>
      </c>
      <c r="U465" s="785">
        <v>41551</v>
      </c>
    </row>
    <row r="466" spans="1:21" x14ac:dyDescent="0.25">
      <c r="A466" s="780">
        <v>95005</v>
      </c>
      <c r="B466" s="781" t="s">
        <v>1629</v>
      </c>
      <c r="C466" s="782">
        <v>2.4499999999999999E-4</v>
      </c>
      <c r="D466" s="782">
        <v>2.206E-4</v>
      </c>
      <c r="E466" s="783">
        <v>103644</v>
      </c>
      <c r="F466" s="783">
        <v>-121753</v>
      </c>
      <c r="G466" s="783">
        <v>109954.53</v>
      </c>
      <c r="H466" s="783"/>
      <c r="I466" s="784">
        <v>0</v>
      </c>
      <c r="J466" s="784">
        <v>220969</v>
      </c>
      <c r="K466" s="784">
        <v>0</v>
      </c>
      <c r="L466" s="783">
        <v>32686</v>
      </c>
      <c r="M466" s="783"/>
      <c r="N466" s="784">
        <v>25846</v>
      </c>
      <c r="O466" s="784">
        <v>252273</v>
      </c>
      <c r="P466" s="784">
        <v>0</v>
      </c>
      <c r="Q466" s="783">
        <v>0</v>
      </c>
      <c r="R466" s="783"/>
      <c r="S466" s="784">
        <v>50200.99</v>
      </c>
      <c r="T466" s="785">
        <v>9479</v>
      </c>
      <c r="U466" s="785">
        <v>59680</v>
      </c>
    </row>
    <row r="467" spans="1:21" x14ac:dyDescent="0.25">
      <c r="A467" s="780">
        <v>95008</v>
      </c>
      <c r="B467" s="781" t="s">
        <v>1630</v>
      </c>
      <c r="C467" s="782">
        <v>1.3669999999999999E-4</v>
      </c>
      <c r="D467" s="782">
        <v>1.2889999999999999E-4</v>
      </c>
      <c r="E467" s="783">
        <v>65700</v>
      </c>
      <c r="F467" s="783">
        <v>-71142</v>
      </c>
      <c r="G467" s="783">
        <v>61350</v>
      </c>
      <c r="H467" s="783"/>
      <c r="I467" s="784">
        <v>0</v>
      </c>
      <c r="J467" s="784">
        <v>123292</v>
      </c>
      <c r="K467" s="784">
        <v>0</v>
      </c>
      <c r="L467" s="783">
        <v>31519</v>
      </c>
      <c r="M467" s="783"/>
      <c r="N467" s="784">
        <v>14421</v>
      </c>
      <c r="O467" s="784">
        <v>140758</v>
      </c>
      <c r="P467" s="784">
        <v>0</v>
      </c>
      <c r="Q467" s="783">
        <v>0</v>
      </c>
      <c r="R467" s="783"/>
      <c r="S467" s="784">
        <v>28010</v>
      </c>
      <c r="T467" s="785">
        <v>9574</v>
      </c>
      <c r="U467" s="785">
        <v>37584</v>
      </c>
    </row>
    <row r="468" spans="1:21" x14ac:dyDescent="0.25">
      <c r="A468" s="780">
        <v>95009</v>
      </c>
      <c r="B468" s="781" t="s">
        <v>1631</v>
      </c>
      <c r="C468" s="782">
        <v>3.614E-3</v>
      </c>
      <c r="D468" s="782">
        <v>2.9634000000000001E-3</v>
      </c>
      <c r="E468" s="783">
        <v>1560606</v>
      </c>
      <c r="F468" s="783">
        <v>-1635554</v>
      </c>
      <c r="G468" s="783">
        <v>1621942</v>
      </c>
      <c r="H468" s="783"/>
      <c r="I468" s="784">
        <v>0</v>
      </c>
      <c r="J468" s="784">
        <v>3259524</v>
      </c>
      <c r="K468" s="784">
        <v>0</v>
      </c>
      <c r="L468" s="783">
        <v>1586223</v>
      </c>
      <c r="M468" s="783"/>
      <c r="N468" s="784">
        <v>381252</v>
      </c>
      <c r="O468" s="784">
        <v>3721289</v>
      </c>
      <c r="P468" s="784">
        <v>0</v>
      </c>
      <c r="Q468" s="783">
        <v>0</v>
      </c>
      <c r="R468" s="783"/>
      <c r="S468" s="784">
        <v>740516</v>
      </c>
      <c r="T468" s="785">
        <v>492433</v>
      </c>
      <c r="U468" s="785">
        <v>1232949</v>
      </c>
    </row>
    <row r="469" spans="1:21" x14ac:dyDescent="0.25">
      <c r="A469" s="780">
        <v>95011</v>
      </c>
      <c r="B469" s="781" t="s">
        <v>1632</v>
      </c>
      <c r="C469" s="782">
        <v>1.8760000000000001E-4</v>
      </c>
      <c r="D469" s="782">
        <v>1.8679999999999999E-4</v>
      </c>
      <c r="E469" s="783">
        <v>72782</v>
      </c>
      <c r="F469" s="783">
        <v>-103098</v>
      </c>
      <c r="G469" s="783">
        <v>84194</v>
      </c>
      <c r="H469" s="783"/>
      <c r="I469" s="784">
        <v>0</v>
      </c>
      <c r="J469" s="784">
        <v>169199</v>
      </c>
      <c r="K469" s="784">
        <v>0</v>
      </c>
      <c r="L469" s="783">
        <v>0</v>
      </c>
      <c r="M469" s="783"/>
      <c r="N469" s="784">
        <v>19790</v>
      </c>
      <c r="O469" s="784">
        <v>193169</v>
      </c>
      <c r="P469" s="784">
        <v>0</v>
      </c>
      <c r="Q469" s="783">
        <v>8448</v>
      </c>
      <c r="R469" s="783"/>
      <c r="S469" s="784">
        <v>38440</v>
      </c>
      <c r="T469" s="785">
        <v>-2647</v>
      </c>
      <c r="U469" s="785">
        <v>35793</v>
      </c>
    </row>
    <row r="470" spans="1:21" x14ac:dyDescent="0.25">
      <c r="A470" s="780">
        <v>95017</v>
      </c>
      <c r="B470" s="781" t="s">
        <v>1633</v>
      </c>
      <c r="C470" s="782">
        <v>3.9900000000000001E-5</v>
      </c>
      <c r="D470" s="782">
        <v>2.2900000000000001E-5</v>
      </c>
      <c r="E470" s="783">
        <v>25253</v>
      </c>
      <c r="F470" s="783">
        <v>-12639</v>
      </c>
      <c r="G470" s="783">
        <v>17907</v>
      </c>
      <c r="H470" s="783"/>
      <c r="I470" s="784">
        <v>0</v>
      </c>
      <c r="J470" s="784">
        <v>35986</v>
      </c>
      <c r="K470" s="784">
        <v>0</v>
      </c>
      <c r="L470" s="783">
        <v>24346</v>
      </c>
      <c r="M470" s="783"/>
      <c r="N470" s="784">
        <v>4209</v>
      </c>
      <c r="O470" s="784">
        <v>41085</v>
      </c>
      <c r="P470" s="784">
        <v>0</v>
      </c>
      <c r="Q470" s="783">
        <v>0</v>
      </c>
      <c r="R470" s="783"/>
      <c r="S470" s="784">
        <v>8176</v>
      </c>
      <c r="T470" s="785">
        <v>6759</v>
      </c>
      <c r="U470" s="785">
        <v>14935</v>
      </c>
    </row>
    <row r="471" spans="1:21" x14ac:dyDescent="0.25">
      <c r="A471" s="780">
        <v>95101</v>
      </c>
      <c r="B471" s="781" t="s">
        <v>1634</v>
      </c>
      <c r="C471" s="782">
        <v>7.8796000000000005E-3</v>
      </c>
      <c r="D471" s="782">
        <v>7.7166999999999999E-3</v>
      </c>
      <c r="E471" s="783">
        <v>3087284</v>
      </c>
      <c r="F471" s="783">
        <v>-4258986</v>
      </c>
      <c r="G471" s="783">
        <v>3536317</v>
      </c>
      <c r="H471" s="783"/>
      <c r="I471" s="784">
        <v>0</v>
      </c>
      <c r="J471" s="784">
        <v>7106737</v>
      </c>
      <c r="K471" s="784">
        <v>0</v>
      </c>
      <c r="L471" s="783">
        <v>114469</v>
      </c>
      <c r="M471" s="783"/>
      <c r="N471" s="784">
        <v>831243</v>
      </c>
      <c r="O471" s="784">
        <v>8113522</v>
      </c>
      <c r="P471" s="784">
        <v>0</v>
      </c>
      <c r="Q471" s="783">
        <v>0</v>
      </c>
      <c r="R471" s="783"/>
      <c r="S471" s="784">
        <v>1614546</v>
      </c>
      <c r="T471" s="785">
        <v>37453</v>
      </c>
      <c r="U471" s="785">
        <v>1651999</v>
      </c>
    </row>
    <row r="472" spans="1:21" x14ac:dyDescent="0.25">
      <c r="A472" s="780">
        <v>95103</v>
      </c>
      <c r="B472" s="781" t="s">
        <v>1635</v>
      </c>
      <c r="C472" s="782">
        <v>5.91E-5</v>
      </c>
      <c r="D472" s="782">
        <v>5.8499999999999999E-5</v>
      </c>
      <c r="E472" s="783">
        <v>33673</v>
      </c>
      <c r="F472" s="783">
        <v>-32287</v>
      </c>
      <c r="G472" s="783">
        <v>26524</v>
      </c>
      <c r="H472" s="783"/>
      <c r="I472" s="784">
        <v>0</v>
      </c>
      <c r="J472" s="784">
        <v>53303</v>
      </c>
      <c r="K472" s="784">
        <v>0</v>
      </c>
      <c r="L472" s="783">
        <v>48801</v>
      </c>
      <c r="M472" s="783"/>
      <c r="N472" s="784">
        <v>6235</v>
      </c>
      <c r="O472" s="784">
        <v>60855</v>
      </c>
      <c r="P472" s="784">
        <v>0</v>
      </c>
      <c r="Q472" s="783">
        <v>0</v>
      </c>
      <c r="R472" s="783"/>
      <c r="S472" s="784">
        <v>12110</v>
      </c>
      <c r="T472" s="785">
        <v>15741</v>
      </c>
      <c r="U472" s="785">
        <v>27851</v>
      </c>
    </row>
    <row r="473" spans="1:21" x14ac:dyDescent="0.25">
      <c r="A473" s="780">
        <v>95104</v>
      </c>
      <c r="B473" s="781" t="s">
        <v>1636</v>
      </c>
      <c r="C473" s="782">
        <v>1.022E-4</v>
      </c>
      <c r="D473" s="782">
        <v>9.2499999999999999E-5</v>
      </c>
      <c r="E473" s="783">
        <v>51434</v>
      </c>
      <c r="F473" s="783">
        <v>-51052</v>
      </c>
      <c r="G473" s="783">
        <v>45867</v>
      </c>
      <c r="H473" s="783"/>
      <c r="I473" s="784">
        <v>0</v>
      </c>
      <c r="J473" s="784">
        <v>92176</v>
      </c>
      <c r="K473" s="784">
        <v>0</v>
      </c>
      <c r="L473" s="783">
        <v>18618</v>
      </c>
      <c r="M473" s="783"/>
      <c r="N473" s="784">
        <v>10781</v>
      </c>
      <c r="O473" s="784">
        <v>105234</v>
      </c>
      <c r="P473" s="784">
        <v>0</v>
      </c>
      <c r="Q473" s="783">
        <v>0</v>
      </c>
      <c r="R473" s="783"/>
      <c r="S473" s="784">
        <v>20941</v>
      </c>
      <c r="T473" s="785">
        <v>5173</v>
      </c>
      <c r="U473" s="785">
        <v>26114</v>
      </c>
    </row>
    <row r="474" spans="1:21" x14ac:dyDescent="0.25">
      <c r="A474" s="780">
        <v>95105</v>
      </c>
      <c r="B474" s="781" t="s">
        <v>1637</v>
      </c>
      <c r="C474" s="782">
        <v>6.2199999999999994E-5</v>
      </c>
      <c r="D474" s="782">
        <v>6.1699999999999995E-5</v>
      </c>
      <c r="E474" s="783">
        <v>30143</v>
      </c>
      <c r="F474" s="783">
        <v>-34053</v>
      </c>
      <c r="G474" s="783">
        <v>27915</v>
      </c>
      <c r="H474" s="783"/>
      <c r="I474" s="784">
        <v>0</v>
      </c>
      <c r="J474" s="784">
        <v>56099</v>
      </c>
      <c r="K474" s="784">
        <v>0</v>
      </c>
      <c r="L474" s="783">
        <v>8844</v>
      </c>
      <c r="M474" s="783"/>
      <c r="N474" s="784">
        <v>6562</v>
      </c>
      <c r="O474" s="784">
        <v>64047</v>
      </c>
      <c r="P474" s="784">
        <v>0</v>
      </c>
      <c r="Q474" s="783">
        <v>0</v>
      </c>
      <c r="R474" s="783"/>
      <c r="S474" s="784">
        <v>12745</v>
      </c>
      <c r="T474" s="785">
        <v>2659</v>
      </c>
      <c r="U474" s="785">
        <v>15404</v>
      </c>
    </row>
    <row r="475" spans="1:21" x14ac:dyDescent="0.25">
      <c r="A475" s="780">
        <v>95106</v>
      </c>
      <c r="B475" s="781" t="s">
        <v>1638</v>
      </c>
      <c r="C475" s="782">
        <v>5.9000000000000003E-6</v>
      </c>
      <c r="D475" s="782">
        <v>1.7E-6</v>
      </c>
      <c r="E475" s="783">
        <v>3515</v>
      </c>
      <c r="F475" s="783">
        <v>-938</v>
      </c>
      <c r="G475" s="783">
        <v>2648</v>
      </c>
      <c r="H475" s="783"/>
      <c r="I475" s="784">
        <v>0</v>
      </c>
      <c r="J475" s="784">
        <v>5321</v>
      </c>
      <c r="K475" s="784">
        <v>0</v>
      </c>
      <c r="L475" s="783">
        <v>6153</v>
      </c>
      <c r="M475" s="783"/>
      <c r="N475" s="784">
        <v>622</v>
      </c>
      <c r="O475" s="784">
        <v>6075</v>
      </c>
      <c r="P475" s="784">
        <v>0</v>
      </c>
      <c r="Q475" s="783">
        <v>0</v>
      </c>
      <c r="R475" s="783"/>
      <c r="S475" s="784">
        <v>1209</v>
      </c>
      <c r="T475" s="785">
        <v>1780</v>
      </c>
      <c r="U475" s="785">
        <v>2989</v>
      </c>
    </row>
    <row r="476" spans="1:21" x14ac:dyDescent="0.25">
      <c r="A476" s="780">
        <v>95110</v>
      </c>
      <c r="B476" s="781" t="s">
        <v>1639</v>
      </c>
      <c r="C476" s="782">
        <v>5.5170000000000002E-3</v>
      </c>
      <c r="D476" s="782">
        <v>6.2360999999999996E-3</v>
      </c>
      <c r="E476" s="783">
        <v>2223239</v>
      </c>
      <c r="F476" s="783">
        <v>-3441816</v>
      </c>
      <c r="G476" s="783">
        <v>2475996</v>
      </c>
      <c r="H476" s="783"/>
      <c r="I476" s="784">
        <v>0</v>
      </c>
      <c r="J476" s="784">
        <v>4975871</v>
      </c>
      <c r="K476" s="784">
        <v>0</v>
      </c>
      <c r="L476" s="783">
        <v>0</v>
      </c>
      <c r="M476" s="783"/>
      <c r="N476" s="784">
        <v>582005</v>
      </c>
      <c r="O476" s="784">
        <v>5680783</v>
      </c>
      <c r="P476" s="784">
        <v>0</v>
      </c>
      <c r="Q476" s="783">
        <v>1506750</v>
      </c>
      <c r="R476" s="783"/>
      <c r="S476" s="784">
        <v>1130444</v>
      </c>
      <c r="T476" s="785">
        <v>-465575</v>
      </c>
      <c r="U476" s="785">
        <v>664869</v>
      </c>
    </row>
    <row r="477" spans="1:21" x14ac:dyDescent="0.25">
      <c r="A477" s="780">
        <v>95111</v>
      </c>
      <c r="B477" s="781" t="s">
        <v>1640</v>
      </c>
      <c r="C477" s="782">
        <v>1.1418999999999999E-3</v>
      </c>
      <c r="D477" s="782">
        <v>1.1846000000000001E-3</v>
      </c>
      <c r="E477" s="783">
        <v>428548</v>
      </c>
      <c r="F477" s="783">
        <v>-653802</v>
      </c>
      <c r="G477" s="783">
        <v>512478</v>
      </c>
      <c r="H477" s="783"/>
      <c r="I477" s="784">
        <v>0</v>
      </c>
      <c r="J477" s="784">
        <v>1029898</v>
      </c>
      <c r="K477" s="784">
        <v>0</v>
      </c>
      <c r="L477" s="783">
        <v>0</v>
      </c>
      <c r="M477" s="783"/>
      <c r="N477" s="784">
        <v>120462</v>
      </c>
      <c r="O477" s="784">
        <v>1175800</v>
      </c>
      <c r="P477" s="784">
        <v>0</v>
      </c>
      <c r="Q477" s="783">
        <v>120258</v>
      </c>
      <c r="R477" s="783"/>
      <c r="S477" s="784">
        <v>233978</v>
      </c>
      <c r="T477" s="785">
        <v>-35873</v>
      </c>
      <c r="U477" s="785">
        <v>198104</v>
      </c>
    </row>
    <row r="478" spans="1:21" x14ac:dyDescent="0.25">
      <c r="A478" s="780">
        <v>95113</v>
      </c>
      <c r="B478" s="781" t="s">
        <v>1641</v>
      </c>
      <c r="C478" s="782">
        <v>4.4299999999999999E-5</v>
      </c>
      <c r="D478" s="782">
        <v>4.2799999999999997E-5</v>
      </c>
      <c r="E478" s="783">
        <v>61308</v>
      </c>
      <c r="F478" s="783">
        <v>-23622</v>
      </c>
      <c r="G478" s="783">
        <v>19882</v>
      </c>
      <c r="H478" s="783"/>
      <c r="I478" s="784">
        <v>0</v>
      </c>
      <c r="J478" s="784">
        <v>39955</v>
      </c>
      <c r="K478" s="784">
        <v>0</v>
      </c>
      <c r="L478" s="783">
        <v>47395</v>
      </c>
      <c r="M478" s="783"/>
      <c r="N478" s="784">
        <v>4673</v>
      </c>
      <c r="O478" s="784">
        <v>45615</v>
      </c>
      <c r="P478" s="784">
        <v>0</v>
      </c>
      <c r="Q478" s="783">
        <v>0</v>
      </c>
      <c r="R478" s="783"/>
      <c r="S478" s="784">
        <v>9077</v>
      </c>
      <c r="T478" s="785">
        <v>13286</v>
      </c>
      <c r="U478" s="785">
        <v>22363</v>
      </c>
    </row>
    <row r="479" spans="1:21" x14ac:dyDescent="0.25">
      <c r="A479" s="780">
        <v>95121</v>
      </c>
      <c r="B479" s="781" t="s">
        <v>1642</v>
      </c>
      <c r="C479" s="782">
        <v>4.7540000000000001E-4</v>
      </c>
      <c r="D479" s="782">
        <v>4.64E-4</v>
      </c>
      <c r="E479" s="783">
        <v>199480</v>
      </c>
      <c r="F479" s="783">
        <v>-256090</v>
      </c>
      <c r="G479" s="783">
        <v>213357</v>
      </c>
      <c r="H479" s="783"/>
      <c r="I479" s="784">
        <v>0</v>
      </c>
      <c r="J479" s="784">
        <v>428771</v>
      </c>
      <c r="K479" s="784">
        <v>0</v>
      </c>
      <c r="L479" s="783">
        <v>12266</v>
      </c>
      <c r="M479" s="783"/>
      <c r="N479" s="784">
        <v>50151</v>
      </c>
      <c r="O479" s="784">
        <v>489513</v>
      </c>
      <c r="P479" s="784">
        <v>0</v>
      </c>
      <c r="Q479" s="783">
        <v>38233</v>
      </c>
      <c r="R479" s="783"/>
      <c r="S479" s="784">
        <v>97410</v>
      </c>
      <c r="T479" s="785">
        <v>-9576</v>
      </c>
      <c r="U479" s="785">
        <v>87834</v>
      </c>
    </row>
    <row r="480" spans="1:21" x14ac:dyDescent="0.25">
      <c r="A480" s="780">
        <v>95122</v>
      </c>
      <c r="B480" s="781" t="s">
        <v>1643</v>
      </c>
      <c r="C480" s="782">
        <v>3.3000000000000002E-6</v>
      </c>
      <c r="D480" s="782">
        <v>3.5999999999999998E-6</v>
      </c>
      <c r="E480" s="783">
        <v>2565</v>
      </c>
      <c r="F480" s="783">
        <v>-1987</v>
      </c>
      <c r="G480" s="783">
        <v>1481</v>
      </c>
      <c r="H480" s="783"/>
      <c r="I480" s="784">
        <v>0</v>
      </c>
      <c r="J480" s="784">
        <v>2976</v>
      </c>
      <c r="K480" s="784">
        <v>0</v>
      </c>
      <c r="L480" s="783">
        <v>770</v>
      </c>
      <c r="M480" s="783"/>
      <c r="N480" s="784">
        <v>348</v>
      </c>
      <c r="O480" s="784">
        <v>3398</v>
      </c>
      <c r="P480" s="784">
        <v>0</v>
      </c>
      <c r="Q480" s="783">
        <v>0</v>
      </c>
      <c r="R480" s="783"/>
      <c r="S480" s="784">
        <v>676</v>
      </c>
      <c r="T480" s="785">
        <v>203</v>
      </c>
      <c r="U480" s="785">
        <v>879</v>
      </c>
    </row>
    <row r="481" spans="1:21" x14ac:dyDescent="0.25">
      <c r="A481" s="780">
        <v>95123</v>
      </c>
      <c r="B481" s="781" t="s">
        <v>1644</v>
      </c>
      <c r="C481" s="782">
        <v>5.1199999999999998E-5</v>
      </c>
      <c r="D481" s="782">
        <v>5.1100000000000002E-5</v>
      </c>
      <c r="E481" s="783">
        <v>27386</v>
      </c>
      <c r="F481" s="783">
        <v>-28203</v>
      </c>
      <c r="G481" s="783">
        <v>22978</v>
      </c>
      <c r="H481" s="783"/>
      <c r="I481" s="784">
        <v>0</v>
      </c>
      <c r="J481" s="784">
        <v>46178</v>
      </c>
      <c r="K481" s="784">
        <v>0</v>
      </c>
      <c r="L481" s="783">
        <v>5208</v>
      </c>
      <c r="M481" s="783"/>
      <c r="N481" s="784">
        <v>5401</v>
      </c>
      <c r="O481" s="784">
        <v>52720</v>
      </c>
      <c r="P481" s="784">
        <v>0</v>
      </c>
      <c r="Q481" s="783">
        <v>4407.26</v>
      </c>
      <c r="R481" s="783"/>
      <c r="S481" s="784">
        <v>10491</v>
      </c>
      <c r="T481" s="785">
        <v>-111</v>
      </c>
      <c r="U481" s="785">
        <v>10380</v>
      </c>
    </row>
    <row r="482" spans="1:21" x14ac:dyDescent="0.25">
      <c r="A482" s="780">
        <v>95131</v>
      </c>
      <c r="B482" s="781" t="s">
        <v>1645</v>
      </c>
      <c r="C482" s="782">
        <v>1.4713E-3</v>
      </c>
      <c r="D482" s="782">
        <v>1.3908E-3</v>
      </c>
      <c r="E482" s="783">
        <v>590334</v>
      </c>
      <c r="F482" s="783">
        <v>-767608</v>
      </c>
      <c r="G482" s="783">
        <v>660311</v>
      </c>
      <c r="H482" s="783"/>
      <c r="I482" s="784">
        <v>0</v>
      </c>
      <c r="J482" s="784">
        <v>1326989</v>
      </c>
      <c r="K482" s="784">
        <v>0</v>
      </c>
      <c r="L482" s="783">
        <v>48270</v>
      </c>
      <c r="M482" s="783"/>
      <c r="N482" s="784">
        <v>155212</v>
      </c>
      <c r="O482" s="784">
        <v>1514978</v>
      </c>
      <c r="P482" s="784">
        <v>0</v>
      </c>
      <c r="Q482" s="783">
        <v>2556</v>
      </c>
      <c r="R482" s="783"/>
      <c r="S482" s="784">
        <v>301472</v>
      </c>
      <c r="T482" s="785">
        <v>11781</v>
      </c>
      <c r="U482" s="785">
        <v>313254</v>
      </c>
    </row>
    <row r="483" spans="1:21" x14ac:dyDescent="0.25">
      <c r="A483" s="780">
        <v>95141</v>
      </c>
      <c r="B483" s="781" t="s">
        <v>1646</v>
      </c>
      <c r="C483" s="782">
        <v>2.99E-4</v>
      </c>
      <c r="D483" s="782">
        <v>3.4660000000000002E-4</v>
      </c>
      <c r="E483" s="783">
        <v>119302</v>
      </c>
      <c r="F483" s="783">
        <v>-191295</v>
      </c>
      <c r="G483" s="783">
        <v>134189</v>
      </c>
      <c r="H483" s="783"/>
      <c r="I483" s="784">
        <v>0</v>
      </c>
      <c r="J483" s="784">
        <v>269673</v>
      </c>
      <c r="K483" s="784">
        <v>0</v>
      </c>
      <c r="L483" s="783">
        <v>3779.36</v>
      </c>
      <c r="M483" s="783"/>
      <c r="N483" s="784">
        <v>31542</v>
      </c>
      <c r="O483" s="784">
        <v>307876</v>
      </c>
      <c r="P483" s="784">
        <v>0</v>
      </c>
      <c r="Q483" s="783">
        <v>35601</v>
      </c>
      <c r="R483" s="783"/>
      <c r="S483" s="784">
        <v>61266</v>
      </c>
      <c r="T483" s="785">
        <v>-8056</v>
      </c>
      <c r="U483" s="785">
        <v>53210</v>
      </c>
    </row>
    <row r="484" spans="1:21" x14ac:dyDescent="0.25">
      <c r="A484" s="780">
        <v>95151</v>
      </c>
      <c r="B484" s="781" t="s">
        <v>1647</v>
      </c>
      <c r="C484" s="782">
        <v>1.05E-4</v>
      </c>
      <c r="D484" s="782">
        <v>1.132E-4</v>
      </c>
      <c r="E484" s="783">
        <v>41639</v>
      </c>
      <c r="F484" s="783">
        <v>-62477</v>
      </c>
      <c r="G484" s="783">
        <v>47123.37</v>
      </c>
      <c r="H484" s="783"/>
      <c r="I484" s="784">
        <v>0</v>
      </c>
      <c r="J484" s="784">
        <v>94701</v>
      </c>
      <c r="K484" s="784">
        <v>0</v>
      </c>
      <c r="L484" s="783">
        <v>1100</v>
      </c>
      <c r="M484" s="783"/>
      <c r="N484" s="784">
        <v>11077</v>
      </c>
      <c r="O484" s="784">
        <v>108117</v>
      </c>
      <c r="P484" s="784">
        <v>0</v>
      </c>
      <c r="Q484" s="783">
        <v>6729</v>
      </c>
      <c r="R484" s="783"/>
      <c r="S484" s="784">
        <v>21514.71</v>
      </c>
      <c r="T484" s="785">
        <v>-1394</v>
      </c>
      <c r="U484" s="785">
        <v>20121</v>
      </c>
    </row>
    <row r="485" spans="1:21" x14ac:dyDescent="0.25">
      <c r="A485" s="780">
        <v>95161</v>
      </c>
      <c r="B485" s="781" t="s">
        <v>1648</v>
      </c>
      <c r="C485" s="782">
        <v>7.0599999999999995E-5</v>
      </c>
      <c r="D485" s="782">
        <v>8.1500000000000002E-5</v>
      </c>
      <c r="E485" s="783">
        <v>34894</v>
      </c>
      <c r="F485" s="783">
        <v>-44981</v>
      </c>
      <c r="G485" s="783">
        <v>31685</v>
      </c>
      <c r="H485" s="783"/>
      <c r="I485" s="784">
        <v>0</v>
      </c>
      <c r="J485" s="784">
        <v>63675</v>
      </c>
      <c r="K485" s="784">
        <v>0</v>
      </c>
      <c r="L485" s="783">
        <v>983.71</v>
      </c>
      <c r="M485" s="783"/>
      <c r="N485" s="784">
        <v>7448</v>
      </c>
      <c r="O485" s="784">
        <v>72696</v>
      </c>
      <c r="P485" s="784">
        <v>0</v>
      </c>
      <c r="Q485" s="783">
        <v>2839</v>
      </c>
      <c r="R485" s="783"/>
      <c r="S485" s="784">
        <v>14466</v>
      </c>
      <c r="T485" s="785">
        <v>-414</v>
      </c>
      <c r="U485" s="785">
        <v>14052</v>
      </c>
    </row>
    <row r="486" spans="1:21" x14ac:dyDescent="0.25">
      <c r="A486" s="780">
        <v>95171</v>
      </c>
      <c r="B486" s="781" t="s">
        <v>1649</v>
      </c>
      <c r="C486" s="782">
        <v>1.2740000000000001E-4</v>
      </c>
      <c r="D486" s="782">
        <v>1.016E-4</v>
      </c>
      <c r="E486" s="783">
        <v>46928</v>
      </c>
      <c r="F486" s="783">
        <v>-56075</v>
      </c>
      <c r="G486" s="783">
        <v>57176</v>
      </c>
      <c r="H486" s="783"/>
      <c r="I486" s="784">
        <v>0</v>
      </c>
      <c r="J486" s="784">
        <v>114904</v>
      </c>
      <c r="K486" s="784">
        <v>0</v>
      </c>
      <c r="L486" s="783">
        <v>14073</v>
      </c>
      <c r="M486" s="783"/>
      <c r="N486" s="784">
        <v>13440</v>
      </c>
      <c r="O486" s="784">
        <v>131182</v>
      </c>
      <c r="P486" s="784">
        <v>0</v>
      </c>
      <c r="Q486" s="783">
        <v>13027.43</v>
      </c>
      <c r="R486" s="783"/>
      <c r="S486" s="784">
        <v>26105</v>
      </c>
      <c r="T486" s="785">
        <v>-673</v>
      </c>
      <c r="U486" s="785">
        <v>25432</v>
      </c>
    </row>
    <row r="487" spans="1:21" x14ac:dyDescent="0.25">
      <c r="A487" s="780">
        <v>95181</v>
      </c>
      <c r="B487" s="781" t="s">
        <v>1650</v>
      </c>
      <c r="C487" s="782">
        <v>8.0400000000000003E-5</v>
      </c>
      <c r="D487" s="782">
        <v>7.1600000000000006E-5</v>
      </c>
      <c r="E487" s="783">
        <v>27865</v>
      </c>
      <c r="F487" s="783">
        <v>-39517</v>
      </c>
      <c r="G487" s="783">
        <v>36083</v>
      </c>
      <c r="H487" s="783"/>
      <c r="I487" s="784">
        <v>0</v>
      </c>
      <c r="J487" s="784">
        <v>72514</v>
      </c>
      <c r="K487" s="784">
        <v>0</v>
      </c>
      <c r="L487" s="783">
        <v>2244</v>
      </c>
      <c r="M487" s="783"/>
      <c r="N487" s="784">
        <v>8482</v>
      </c>
      <c r="O487" s="784">
        <v>82787</v>
      </c>
      <c r="P487" s="784">
        <v>0</v>
      </c>
      <c r="Q487" s="783">
        <v>891</v>
      </c>
      <c r="R487" s="783"/>
      <c r="S487" s="784">
        <v>16474</v>
      </c>
      <c r="T487" s="785">
        <v>289</v>
      </c>
      <c r="U487" s="785">
        <v>16764</v>
      </c>
    </row>
    <row r="488" spans="1:21" x14ac:dyDescent="0.25">
      <c r="A488" s="780">
        <v>95191</v>
      </c>
      <c r="B488" s="781" t="s">
        <v>1651</v>
      </c>
      <c r="C488" s="782">
        <v>7.9099999999999998E-5</v>
      </c>
      <c r="D488" s="782">
        <v>6.3600000000000001E-5</v>
      </c>
      <c r="E488" s="783">
        <v>32337</v>
      </c>
      <c r="F488" s="783">
        <v>-35102</v>
      </c>
      <c r="G488" s="783">
        <v>35500</v>
      </c>
      <c r="H488" s="783"/>
      <c r="I488" s="784">
        <v>0</v>
      </c>
      <c r="J488" s="784">
        <v>71342</v>
      </c>
      <c r="K488" s="784">
        <v>0</v>
      </c>
      <c r="L488" s="783">
        <v>17276</v>
      </c>
      <c r="M488" s="783"/>
      <c r="N488" s="784">
        <v>8344</v>
      </c>
      <c r="O488" s="784">
        <v>81448</v>
      </c>
      <c r="P488" s="784">
        <v>0</v>
      </c>
      <c r="Q488" s="783">
        <v>0</v>
      </c>
      <c r="R488" s="783"/>
      <c r="S488" s="784">
        <v>16208</v>
      </c>
      <c r="T488" s="785">
        <v>4985</v>
      </c>
      <c r="U488" s="785">
        <v>21193</v>
      </c>
    </row>
    <row r="489" spans="1:21" x14ac:dyDescent="0.25">
      <c r="A489" s="780">
        <v>95201</v>
      </c>
      <c r="B489" s="781" t="s">
        <v>1652</v>
      </c>
      <c r="C489" s="782">
        <v>6.3000000000000003E-4</v>
      </c>
      <c r="D489" s="782">
        <v>6.7960000000000004E-4</v>
      </c>
      <c r="E489" s="783">
        <v>246717</v>
      </c>
      <c r="F489" s="783">
        <v>-375083</v>
      </c>
      <c r="G489" s="783">
        <v>282740</v>
      </c>
      <c r="H489" s="783"/>
      <c r="I489" s="784">
        <v>0</v>
      </c>
      <c r="J489" s="784">
        <v>568207</v>
      </c>
      <c r="K489" s="784">
        <v>0</v>
      </c>
      <c r="L489" s="783">
        <v>0</v>
      </c>
      <c r="M489" s="783"/>
      <c r="N489" s="784">
        <v>66460.59</v>
      </c>
      <c r="O489" s="784">
        <v>648703</v>
      </c>
      <c r="P489" s="784">
        <v>0</v>
      </c>
      <c r="Q489" s="783">
        <v>44970</v>
      </c>
      <c r="R489" s="783"/>
      <c r="S489" s="784">
        <v>129088</v>
      </c>
      <c r="T489" s="785">
        <v>-11906</v>
      </c>
      <c r="U489" s="785">
        <v>117182</v>
      </c>
    </row>
    <row r="490" spans="1:21" x14ac:dyDescent="0.25">
      <c r="A490" s="780">
        <v>95204</v>
      </c>
      <c r="B490" s="781" t="s">
        <v>1653</v>
      </c>
      <c r="C490" s="782">
        <v>1.49E-5</v>
      </c>
      <c r="D490" s="782">
        <v>1.6200000000000001E-5</v>
      </c>
      <c r="E490" s="783">
        <v>6571</v>
      </c>
      <c r="F490" s="783">
        <v>-8941</v>
      </c>
      <c r="G490" s="783">
        <v>6687</v>
      </c>
      <c r="H490" s="783"/>
      <c r="I490" s="784">
        <v>0</v>
      </c>
      <c r="J490" s="784">
        <v>13439</v>
      </c>
      <c r="K490" s="784">
        <v>0</v>
      </c>
      <c r="L490" s="783">
        <v>0</v>
      </c>
      <c r="M490" s="783"/>
      <c r="N490" s="784">
        <v>1572</v>
      </c>
      <c r="O490" s="784">
        <v>15342</v>
      </c>
      <c r="P490" s="784">
        <v>0</v>
      </c>
      <c r="Q490" s="783">
        <v>1443</v>
      </c>
      <c r="R490" s="783"/>
      <c r="S490" s="784">
        <v>3053</v>
      </c>
      <c r="T490" s="785">
        <v>-445</v>
      </c>
      <c r="U490" s="785">
        <v>2608</v>
      </c>
    </row>
    <row r="491" spans="1:21" x14ac:dyDescent="0.25">
      <c r="A491" s="780">
        <v>95205</v>
      </c>
      <c r="B491" s="781" t="s">
        <v>1654</v>
      </c>
      <c r="C491" s="782">
        <v>5.0000000000000004E-6</v>
      </c>
      <c r="D491" s="782">
        <v>5.0000000000000004E-6</v>
      </c>
      <c r="E491" s="783">
        <v>2546</v>
      </c>
      <c r="F491" s="783">
        <v>-2759.59</v>
      </c>
      <c r="G491" s="783">
        <v>2244</v>
      </c>
      <c r="H491" s="783"/>
      <c r="I491" s="784">
        <v>0</v>
      </c>
      <c r="J491" s="784">
        <v>4509.58</v>
      </c>
      <c r="K491" s="784">
        <v>0</v>
      </c>
      <c r="L491" s="783">
        <v>732</v>
      </c>
      <c r="M491" s="783"/>
      <c r="N491" s="784">
        <v>527.46500000000003</v>
      </c>
      <c r="O491" s="784">
        <v>5148</v>
      </c>
      <c r="P491" s="784">
        <v>0</v>
      </c>
      <c r="Q491" s="783">
        <v>0</v>
      </c>
      <c r="R491" s="783"/>
      <c r="S491" s="784">
        <v>1024.51</v>
      </c>
      <c r="T491" s="785">
        <v>216</v>
      </c>
      <c r="U491" s="785">
        <v>1240</v>
      </c>
    </row>
    <row r="492" spans="1:21" x14ac:dyDescent="0.25">
      <c r="A492" s="780">
        <v>95211</v>
      </c>
      <c r="B492" s="781" t="s">
        <v>1655</v>
      </c>
      <c r="C492" s="782">
        <v>5.9000000000000003E-6</v>
      </c>
      <c r="D492" s="782">
        <v>9.2E-6</v>
      </c>
      <c r="E492" s="783">
        <v>5179</v>
      </c>
      <c r="F492" s="783">
        <v>-5078</v>
      </c>
      <c r="G492" s="783">
        <v>2648</v>
      </c>
      <c r="H492" s="783"/>
      <c r="I492" s="784">
        <v>0</v>
      </c>
      <c r="J492" s="784">
        <v>5321</v>
      </c>
      <c r="K492" s="784">
        <v>0</v>
      </c>
      <c r="L492" s="783">
        <v>0</v>
      </c>
      <c r="M492" s="783"/>
      <c r="N492" s="784">
        <v>622</v>
      </c>
      <c r="O492" s="784">
        <v>6075</v>
      </c>
      <c r="P492" s="784">
        <v>0</v>
      </c>
      <c r="Q492" s="783">
        <v>2928</v>
      </c>
      <c r="R492" s="783"/>
      <c r="S492" s="784">
        <v>1209</v>
      </c>
      <c r="T492" s="785">
        <v>-971</v>
      </c>
      <c r="U492" s="785">
        <v>238</v>
      </c>
    </row>
    <row r="493" spans="1:21" x14ac:dyDescent="0.25">
      <c r="A493" s="780">
        <v>95221</v>
      </c>
      <c r="B493" s="781" t="s">
        <v>1656</v>
      </c>
      <c r="C493" s="782">
        <v>4.5099999999999998E-5</v>
      </c>
      <c r="D493" s="782">
        <v>6.0000000000000002E-5</v>
      </c>
      <c r="E493" s="783">
        <v>20581</v>
      </c>
      <c r="F493" s="783">
        <v>-33115.08</v>
      </c>
      <c r="G493" s="783">
        <v>20241</v>
      </c>
      <c r="H493" s="783"/>
      <c r="I493" s="784">
        <v>0</v>
      </c>
      <c r="J493" s="784">
        <v>40676</v>
      </c>
      <c r="K493" s="784">
        <v>0</v>
      </c>
      <c r="L493" s="783">
        <v>8178</v>
      </c>
      <c r="M493" s="783"/>
      <c r="N493" s="784">
        <v>4758</v>
      </c>
      <c r="O493" s="784">
        <v>46439</v>
      </c>
      <c r="P493" s="784">
        <v>0</v>
      </c>
      <c r="Q493" s="783">
        <v>8738</v>
      </c>
      <c r="R493" s="783"/>
      <c r="S493" s="784">
        <v>9241</v>
      </c>
      <c r="T493" s="785">
        <v>448</v>
      </c>
      <c r="U493" s="785">
        <v>9689</v>
      </c>
    </row>
    <row r="494" spans="1:21" x14ac:dyDescent="0.25">
      <c r="A494" s="780">
        <v>95301</v>
      </c>
      <c r="B494" s="781" t="s">
        <v>1657</v>
      </c>
      <c r="C494" s="782">
        <v>2.3544E-3</v>
      </c>
      <c r="D494" s="782">
        <v>2.2685000000000001E-3</v>
      </c>
      <c r="E494" s="783">
        <v>984785</v>
      </c>
      <c r="F494" s="783">
        <v>-1252026</v>
      </c>
      <c r="G494" s="783">
        <v>1056641</v>
      </c>
      <c r="H494" s="783"/>
      <c r="I494" s="784">
        <v>0</v>
      </c>
      <c r="J494" s="784">
        <v>2123471</v>
      </c>
      <c r="K494" s="784">
        <v>0</v>
      </c>
      <c r="L494" s="783">
        <v>78924</v>
      </c>
      <c r="M494" s="783"/>
      <c r="N494" s="784">
        <v>248373</v>
      </c>
      <c r="O494" s="784">
        <v>2424295</v>
      </c>
      <c r="P494" s="784">
        <v>0</v>
      </c>
      <c r="Q494" s="783">
        <v>33910</v>
      </c>
      <c r="R494" s="783"/>
      <c r="S494" s="784">
        <v>482421</v>
      </c>
      <c r="T494" s="785">
        <v>9320</v>
      </c>
      <c r="U494" s="785">
        <v>491741</v>
      </c>
    </row>
    <row r="495" spans="1:21" x14ac:dyDescent="0.25">
      <c r="A495" s="780">
        <v>95311</v>
      </c>
      <c r="B495" s="781" t="s">
        <v>1658</v>
      </c>
      <c r="C495" s="782">
        <v>2.9946E-3</v>
      </c>
      <c r="D495" s="782">
        <v>2.8942E-3</v>
      </c>
      <c r="E495" s="783">
        <v>1148108</v>
      </c>
      <c r="F495" s="783">
        <v>-1597361</v>
      </c>
      <c r="G495" s="783">
        <v>1343959</v>
      </c>
      <c r="H495" s="783"/>
      <c r="I495" s="784">
        <v>0</v>
      </c>
      <c r="J495" s="784">
        <v>2700878</v>
      </c>
      <c r="K495" s="784">
        <v>0</v>
      </c>
      <c r="L495" s="783">
        <v>11385</v>
      </c>
      <c r="M495" s="783"/>
      <c r="N495" s="784">
        <v>315909</v>
      </c>
      <c r="O495" s="784">
        <v>3083501</v>
      </c>
      <c r="P495" s="784">
        <v>0</v>
      </c>
      <c r="Q495" s="783">
        <v>80619</v>
      </c>
      <c r="R495" s="783"/>
      <c r="S495" s="784">
        <v>613600</v>
      </c>
      <c r="T495" s="785">
        <v>-23983</v>
      </c>
      <c r="U495" s="785">
        <v>589617</v>
      </c>
    </row>
    <row r="496" spans="1:21" x14ac:dyDescent="0.25">
      <c r="A496" s="780">
        <v>95317</v>
      </c>
      <c r="B496" s="781" t="s">
        <v>1659</v>
      </c>
      <c r="C496" s="782">
        <v>5.3900000000000002E-5</v>
      </c>
      <c r="D496" s="782">
        <v>5.0000000000000002E-5</v>
      </c>
      <c r="E496" s="783">
        <v>25659</v>
      </c>
      <c r="F496" s="783">
        <v>-27595.9</v>
      </c>
      <c r="G496" s="783">
        <v>24190</v>
      </c>
      <c r="H496" s="783"/>
      <c r="I496" s="784">
        <v>0</v>
      </c>
      <c r="J496" s="784">
        <v>48613</v>
      </c>
      <c r="K496" s="784">
        <v>0</v>
      </c>
      <c r="L496" s="783">
        <v>5631</v>
      </c>
      <c r="M496" s="783"/>
      <c r="N496" s="784">
        <v>5686</v>
      </c>
      <c r="O496" s="784">
        <v>55500</v>
      </c>
      <c r="P496" s="784">
        <v>0</v>
      </c>
      <c r="Q496" s="783">
        <v>113.62</v>
      </c>
      <c r="R496" s="783"/>
      <c r="S496" s="784">
        <v>11044</v>
      </c>
      <c r="T496" s="785">
        <v>1436</v>
      </c>
      <c r="U496" s="785">
        <v>12480</v>
      </c>
    </row>
    <row r="497" spans="1:21" x14ac:dyDescent="0.25">
      <c r="A497" s="780">
        <v>95321</v>
      </c>
      <c r="B497" s="781" t="s">
        <v>1660</v>
      </c>
      <c r="C497" s="782">
        <v>5.6499999999999998E-5</v>
      </c>
      <c r="D497" s="782">
        <v>5.1900000000000001E-5</v>
      </c>
      <c r="E497" s="783">
        <v>24910</v>
      </c>
      <c r="F497" s="783">
        <v>-28645</v>
      </c>
      <c r="G497" s="783">
        <v>25357</v>
      </c>
      <c r="H497" s="783"/>
      <c r="I497" s="784">
        <v>0</v>
      </c>
      <c r="J497" s="784">
        <v>50958</v>
      </c>
      <c r="K497" s="784">
        <v>0</v>
      </c>
      <c r="L497" s="783">
        <v>5157</v>
      </c>
      <c r="M497" s="783"/>
      <c r="N497" s="784">
        <v>5960</v>
      </c>
      <c r="O497" s="784">
        <v>58177</v>
      </c>
      <c r="P497" s="784">
        <v>0</v>
      </c>
      <c r="Q497" s="783">
        <v>0</v>
      </c>
      <c r="R497" s="783"/>
      <c r="S497" s="784">
        <v>11577</v>
      </c>
      <c r="T497" s="785">
        <v>1384</v>
      </c>
      <c r="U497" s="785">
        <v>12961</v>
      </c>
    </row>
    <row r="498" spans="1:21" x14ac:dyDescent="0.25">
      <c r="A498" s="780">
        <v>95401</v>
      </c>
      <c r="B498" s="781" t="s">
        <v>1661</v>
      </c>
      <c r="C498" s="782">
        <v>2.8663999999999999E-3</v>
      </c>
      <c r="D498" s="782">
        <v>2.8936999999999999E-3</v>
      </c>
      <c r="E498" s="783">
        <v>1208280</v>
      </c>
      <c r="F498" s="783">
        <v>-1597085</v>
      </c>
      <c r="G498" s="783">
        <v>1286423</v>
      </c>
      <c r="H498" s="783"/>
      <c r="I498" s="784">
        <v>0</v>
      </c>
      <c r="J498" s="784">
        <v>2585252</v>
      </c>
      <c r="K498" s="784">
        <v>0</v>
      </c>
      <c r="L498" s="783">
        <v>30785</v>
      </c>
      <c r="M498" s="783"/>
      <c r="N498" s="784">
        <v>302385</v>
      </c>
      <c r="O498" s="784">
        <v>2951495</v>
      </c>
      <c r="P498" s="784">
        <v>0</v>
      </c>
      <c r="Q498" s="783">
        <v>0</v>
      </c>
      <c r="R498" s="783"/>
      <c r="S498" s="784">
        <v>587331</v>
      </c>
      <c r="T498" s="785">
        <v>9501</v>
      </c>
      <c r="U498" s="785">
        <v>596832</v>
      </c>
    </row>
    <row r="499" spans="1:21" x14ac:dyDescent="0.25">
      <c r="A499" s="780">
        <v>95404</v>
      </c>
      <c r="B499" s="781" t="s">
        <v>1662</v>
      </c>
      <c r="C499" s="782">
        <v>3.4999999999999997E-5</v>
      </c>
      <c r="D499" s="782">
        <v>3.4199999999999998E-5</v>
      </c>
      <c r="E499" s="783">
        <v>14464</v>
      </c>
      <c r="F499" s="783">
        <v>-18876</v>
      </c>
      <c r="G499" s="783">
        <v>15708</v>
      </c>
      <c r="H499" s="783"/>
      <c r="I499" s="784">
        <v>0</v>
      </c>
      <c r="J499" s="784">
        <v>31567</v>
      </c>
      <c r="K499" s="784">
        <v>0</v>
      </c>
      <c r="L499" s="783">
        <v>1247</v>
      </c>
      <c r="M499" s="783"/>
      <c r="N499" s="784">
        <v>3692</v>
      </c>
      <c r="O499" s="784">
        <v>36039</v>
      </c>
      <c r="P499" s="784">
        <v>0</v>
      </c>
      <c r="Q499" s="783">
        <v>0</v>
      </c>
      <c r="R499" s="783"/>
      <c r="S499" s="784">
        <v>7171.57</v>
      </c>
      <c r="T499" s="785">
        <v>366</v>
      </c>
      <c r="U499" s="785">
        <v>7538</v>
      </c>
    </row>
    <row r="500" spans="1:21" x14ac:dyDescent="0.25">
      <c r="A500" s="780">
        <v>95405</v>
      </c>
      <c r="B500" s="781" t="s">
        <v>1663</v>
      </c>
      <c r="C500" s="782">
        <v>1.7E-5</v>
      </c>
      <c r="D500" s="782">
        <v>1.56E-5</v>
      </c>
      <c r="E500" s="783">
        <v>15062</v>
      </c>
      <c r="F500" s="783">
        <v>-8610</v>
      </c>
      <c r="G500" s="783">
        <v>7629</v>
      </c>
      <c r="H500" s="783"/>
      <c r="I500" s="784">
        <v>0</v>
      </c>
      <c r="J500" s="784">
        <v>15333</v>
      </c>
      <c r="K500" s="784">
        <v>0</v>
      </c>
      <c r="L500" s="783">
        <v>7508</v>
      </c>
      <c r="M500" s="783"/>
      <c r="N500" s="784">
        <v>1793</v>
      </c>
      <c r="O500" s="784">
        <v>17505</v>
      </c>
      <c r="P500" s="784">
        <v>0</v>
      </c>
      <c r="Q500" s="783">
        <v>0</v>
      </c>
      <c r="R500" s="783"/>
      <c r="S500" s="784">
        <v>3483</v>
      </c>
      <c r="T500" s="785">
        <v>1972</v>
      </c>
      <c r="U500" s="785">
        <v>5455</v>
      </c>
    </row>
    <row r="501" spans="1:21" x14ac:dyDescent="0.25">
      <c r="A501" s="780">
        <v>95411</v>
      </c>
      <c r="B501" s="781" t="s">
        <v>1664</v>
      </c>
      <c r="C501" s="782">
        <v>2.3019E-3</v>
      </c>
      <c r="D501" s="782">
        <v>2.3509999999999998E-3</v>
      </c>
      <c r="E501" s="783">
        <v>988710</v>
      </c>
      <c r="F501" s="783">
        <v>-1297559</v>
      </c>
      <c r="G501" s="783">
        <v>1033079</v>
      </c>
      <c r="H501" s="783"/>
      <c r="I501" s="784">
        <v>0</v>
      </c>
      <c r="J501" s="784">
        <v>2076120</v>
      </c>
      <c r="K501" s="784">
        <v>0</v>
      </c>
      <c r="L501" s="783">
        <v>4288</v>
      </c>
      <c r="M501" s="783"/>
      <c r="N501" s="784">
        <v>242834</v>
      </c>
      <c r="O501" s="784">
        <v>2370237</v>
      </c>
      <c r="P501" s="784">
        <v>0</v>
      </c>
      <c r="Q501" s="783">
        <v>56250.87</v>
      </c>
      <c r="R501" s="783"/>
      <c r="S501" s="784">
        <v>471664</v>
      </c>
      <c r="T501" s="785">
        <v>-17690</v>
      </c>
      <c r="U501" s="785">
        <v>453973</v>
      </c>
    </row>
    <row r="502" spans="1:21" x14ac:dyDescent="0.25">
      <c r="A502" s="780">
        <v>95412</v>
      </c>
      <c r="B502" s="781" t="s">
        <v>1665</v>
      </c>
      <c r="C502" s="782">
        <v>0</v>
      </c>
      <c r="D502" s="782">
        <v>6.2299999999999996E-5</v>
      </c>
      <c r="E502" s="783"/>
      <c r="F502" s="783">
        <v>-34384</v>
      </c>
      <c r="G502" s="783">
        <v>0</v>
      </c>
      <c r="H502" s="783"/>
      <c r="I502" s="784">
        <v>0</v>
      </c>
      <c r="J502" s="784">
        <v>0</v>
      </c>
      <c r="K502" s="784">
        <v>0</v>
      </c>
      <c r="L502" s="783">
        <v>0</v>
      </c>
      <c r="M502" s="783"/>
      <c r="N502" s="784">
        <v>0</v>
      </c>
      <c r="O502" s="784">
        <v>0</v>
      </c>
      <c r="P502" s="784">
        <v>0</v>
      </c>
      <c r="Q502" s="783">
        <v>64866</v>
      </c>
      <c r="R502" s="783"/>
      <c r="S502" s="784">
        <v>0</v>
      </c>
      <c r="T502" s="785">
        <v>-18518</v>
      </c>
      <c r="U502" s="785">
        <v>-18518</v>
      </c>
    </row>
    <row r="503" spans="1:21" x14ac:dyDescent="0.25">
      <c r="A503" s="780">
        <v>95413</v>
      </c>
      <c r="B503" s="781" t="s">
        <v>1666</v>
      </c>
      <c r="C503" s="782">
        <v>2.9579999999999998E-4</v>
      </c>
      <c r="D503" s="782">
        <v>2.9779999999999997E-4</v>
      </c>
      <c r="E503" s="783">
        <v>269788</v>
      </c>
      <c r="F503" s="783">
        <v>-164361</v>
      </c>
      <c r="G503" s="783">
        <v>132753</v>
      </c>
      <c r="H503" s="783"/>
      <c r="I503" s="784">
        <v>0</v>
      </c>
      <c r="J503" s="784">
        <v>266787</v>
      </c>
      <c r="K503" s="784">
        <v>0</v>
      </c>
      <c r="L503" s="783">
        <v>116698</v>
      </c>
      <c r="M503" s="783"/>
      <c r="N503" s="784">
        <v>31205</v>
      </c>
      <c r="O503" s="784">
        <v>304581</v>
      </c>
      <c r="P503" s="784">
        <v>0</v>
      </c>
      <c r="Q503" s="783">
        <v>28393.040000000001</v>
      </c>
      <c r="R503" s="783"/>
      <c r="S503" s="784">
        <v>60610</v>
      </c>
      <c r="T503" s="785">
        <v>21053</v>
      </c>
      <c r="U503" s="785">
        <v>81663</v>
      </c>
    </row>
    <row r="504" spans="1:21" x14ac:dyDescent="0.25">
      <c r="A504" s="780">
        <v>95415</v>
      </c>
      <c r="B504" s="781" t="s">
        <v>1667</v>
      </c>
      <c r="C504" s="782">
        <v>7.6600000000000005E-5</v>
      </c>
      <c r="D504" s="782">
        <v>8.4300000000000003E-5</v>
      </c>
      <c r="E504" s="783">
        <v>27674</v>
      </c>
      <c r="F504" s="783">
        <v>-46527</v>
      </c>
      <c r="G504" s="783">
        <v>34378</v>
      </c>
      <c r="H504" s="783"/>
      <c r="I504" s="784">
        <v>0</v>
      </c>
      <c r="J504" s="784">
        <v>69087</v>
      </c>
      <c r="K504" s="784">
        <v>0</v>
      </c>
      <c r="L504" s="783">
        <v>16011.45</v>
      </c>
      <c r="M504" s="783"/>
      <c r="N504" s="784">
        <v>8081</v>
      </c>
      <c r="O504" s="784">
        <v>78874</v>
      </c>
      <c r="P504" s="784">
        <v>0</v>
      </c>
      <c r="Q504" s="783">
        <v>8257</v>
      </c>
      <c r="R504" s="783"/>
      <c r="S504" s="784">
        <v>15695</v>
      </c>
      <c r="T504" s="785">
        <v>3193</v>
      </c>
      <c r="U504" s="785">
        <v>18889</v>
      </c>
    </row>
    <row r="505" spans="1:21" x14ac:dyDescent="0.25">
      <c r="A505" s="780">
        <v>95421</v>
      </c>
      <c r="B505" s="781" t="s">
        <v>1668</v>
      </c>
      <c r="C505" s="782">
        <v>5.1E-5</v>
      </c>
      <c r="D505" s="782">
        <v>5.13E-5</v>
      </c>
      <c r="E505" s="783">
        <v>14449</v>
      </c>
      <c r="F505" s="783">
        <v>-28313</v>
      </c>
      <c r="G505" s="783">
        <v>22888</v>
      </c>
      <c r="H505" s="783"/>
      <c r="I505" s="784">
        <v>0</v>
      </c>
      <c r="J505" s="784">
        <v>45998</v>
      </c>
      <c r="K505" s="784">
        <v>0</v>
      </c>
      <c r="L505" s="783">
        <v>0</v>
      </c>
      <c r="M505" s="783"/>
      <c r="N505" s="784">
        <v>5380</v>
      </c>
      <c r="O505" s="784">
        <v>52514</v>
      </c>
      <c r="P505" s="784">
        <v>0</v>
      </c>
      <c r="Q505" s="783">
        <v>10740</v>
      </c>
      <c r="R505" s="783"/>
      <c r="S505" s="784">
        <v>10450</v>
      </c>
      <c r="T505" s="785">
        <v>-3209</v>
      </c>
      <c r="U505" s="785">
        <v>7241</v>
      </c>
    </row>
    <row r="506" spans="1:21" x14ac:dyDescent="0.25">
      <c r="A506" s="780">
        <v>95431</v>
      </c>
      <c r="B506" s="781" t="s">
        <v>1669</v>
      </c>
      <c r="C506" s="782">
        <v>1.7249999999999999E-4</v>
      </c>
      <c r="D506" s="782">
        <v>1.738E-4</v>
      </c>
      <c r="E506" s="783">
        <v>61862</v>
      </c>
      <c r="F506" s="783">
        <v>-95923</v>
      </c>
      <c r="G506" s="783">
        <v>77417</v>
      </c>
      <c r="H506" s="783"/>
      <c r="I506" s="784">
        <v>0</v>
      </c>
      <c r="J506" s="784">
        <v>155581</v>
      </c>
      <c r="K506" s="784">
        <v>0</v>
      </c>
      <c r="L506" s="783">
        <v>675.74</v>
      </c>
      <c r="M506" s="783"/>
      <c r="N506" s="784">
        <v>18198</v>
      </c>
      <c r="O506" s="784">
        <v>177621</v>
      </c>
      <c r="P506" s="784">
        <v>0</v>
      </c>
      <c r="Q506" s="783">
        <v>7701</v>
      </c>
      <c r="R506" s="783"/>
      <c r="S506" s="784">
        <v>35346</v>
      </c>
      <c r="T506" s="785">
        <v>-1790</v>
      </c>
      <c r="U506" s="785">
        <v>33556</v>
      </c>
    </row>
    <row r="507" spans="1:21" x14ac:dyDescent="0.25">
      <c r="A507" s="780">
        <v>95501</v>
      </c>
      <c r="B507" s="781" t="s">
        <v>1670</v>
      </c>
      <c r="C507" s="782">
        <v>4.8338000000000001E-3</v>
      </c>
      <c r="D507" s="782">
        <v>4.7701000000000002E-3</v>
      </c>
      <c r="E507" s="783">
        <v>1889220</v>
      </c>
      <c r="F507" s="783">
        <v>-2632704</v>
      </c>
      <c r="G507" s="783">
        <v>2169380</v>
      </c>
      <c r="H507" s="783"/>
      <c r="I507" s="784">
        <v>0</v>
      </c>
      <c r="J507" s="784">
        <v>4359682</v>
      </c>
      <c r="K507" s="784">
        <v>0</v>
      </c>
      <c r="L507" s="783">
        <v>95724.85</v>
      </c>
      <c r="M507" s="783"/>
      <c r="N507" s="784">
        <v>509932</v>
      </c>
      <c r="O507" s="784">
        <v>4977301</v>
      </c>
      <c r="P507" s="784">
        <v>0</v>
      </c>
      <c r="Q507" s="783">
        <v>22136</v>
      </c>
      <c r="R507" s="783"/>
      <c r="S507" s="784">
        <v>990455</v>
      </c>
      <c r="T507" s="785">
        <v>26220</v>
      </c>
      <c r="U507" s="785">
        <v>1016675</v>
      </c>
    </row>
    <row r="508" spans="1:21" x14ac:dyDescent="0.25">
      <c r="A508" s="780">
        <v>95504</v>
      </c>
      <c r="B508" s="781" t="s">
        <v>1671</v>
      </c>
      <c r="C508" s="782">
        <v>1.2099999999999999E-5</v>
      </c>
      <c r="D508" s="782">
        <v>7.0999999999999998E-6</v>
      </c>
      <c r="E508" s="783">
        <v>7639</v>
      </c>
      <c r="F508" s="783">
        <v>-3919</v>
      </c>
      <c r="G508" s="783">
        <v>5430</v>
      </c>
      <c r="H508" s="783"/>
      <c r="I508" s="784">
        <v>0</v>
      </c>
      <c r="J508" s="784">
        <v>10913</v>
      </c>
      <c r="K508" s="784">
        <v>0</v>
      </c>
      <c r="L508" s="783">
        <v>6006</v>
      </c>
      <c r="M508" s="783"/>
      <c r="N508" s="784">
        <v>1276</v>
      </c>
      <c r="O508" s="784">
        <v>12459</v>
      </c>
      <c r="P508" s="784">
        <v>0</v>
      </c>
      <c r="Q508" s="783">
        <v>0</v>
      </c>
      <c r="R508" s="783"/>
      <c r="S508" s="784">
        <v>2479</v>
      </c>
      <c r="T508" s="785">
        <v>1598</v>
      </c>
      <c r="U508" s="785">
        <v>4078</v>
      </c>
    </row>
    <row r="509" spans="1:21" x14ac:dyDescent="0.25">
      <c r="A509" s="780">
        <v>95511</v>
      </c>
      <c r="B509" s="781" t="s">
        <v>1672</v>
      </c>
      <c r="C509" s="782">
        <v>1.0989000000000001E-3</v>
      </c>
      <c r="D509" s="782">
        <v>1.1119000000000001E-3</v>
      </c>
      <c r="E509" s="783">
        <v>440045</v>
      </c>
      <c r="F509" s="783">
        <v>-613678</v>
      </c>
      <c r="G509" s="783">
        <v>493180</v>
      </c>
      <c r="H509" s="783"/>
      <c r="I509" s="784">
        <v>0</v>
      </c>
      <c r="J509" s="784">
        <v>991115</v>
      </c>
      <c r="K509" s="784">
        <v>0</v>
      </c>
      <c r="L509" s="783">
        <v>16238.69</v>
      </c>
      <c r="M509" s="783"/>
      <c r="N509" s="784">
        <v>115926</v>
      </c>
      <c r="O509" s="784">
        <v>1131523</v>
      </c>
      <c r="P509" s="784">
        <v>0</v>
      </c>
      <c r="Q509" s="783">
        <v>15951</v>
      </c>
      <c r="R509" s="783"/>
      <c r="S509" s="784">
        <v>225167</v>
      </c>
      <c r="T509" s="785">
        <v>1255</v>
      </c>
      <c r="U509" s="785">
        <v>226422</v>
      </c>
    </row>
    <row r="510" spans="1:21" x14ac:dyDescent="0.25">
      <c r="A510" s="780">
        <v>95513</v>
      </c>
      <c r="B510" s="781" t="s">
        <v>1673</v>
      </c>
      <c r="C510" s="782">
        <v>4.4499999999999997E-5</v>
      </c>
      <c r="D510" s="782">
        <v>4.5300000000000003E-5</v>
      </c>
      <c r="E510" s="783">
        <v>30386</v>
      </c>
      <c r="F510" s="783">
        <v>-25002</v>
      </c>
      <c r="G510" s="783">
        <v>19971</v>
      </c>
      <c r="H510" s="783"/>
      <c r="I510" s="784">
        <v>0</v>
      </c>
      <c r="J510" s="784">
        <v>40135</v>
      </c>
      <c r="K510" s="784">
        <v>0</v>
      </c>
      <c r="L510" s="783">
        <v>16106</v>
      </c>
      <c r="M510" s="783"/>
      <c r="N510" s="784">
        <v>4694</v>
      </c>
      <c r="O510" s="784">
        <v>45821</v>
      </c>
      <c r="P510" s="784">
        <v>0</v>
      </c>
      <c r="Q510" s="783">
        <v>0</v>
      </c>
      <c r="R510" s="783"/>
      <c r="S510" s="784">
        <v>9118</v>
      </c>
      <c r="T510" s="785">
        <v>4724</v>
      </c>
      <c r="U510" s="785">
        <v>13842</v>
      </c>
    </row>
    <row r="511" spans="1:21" x14ac:dyDescent="0.25">
      <c r="A511" s="780">
        <v>95517</v>
      </c>
      <c r="B511" s="781" t="s">
        <v>1674</v>
      </c>
      <c r="C511" s="782">
        <v>1.1399999999999999E-5</v>
      </c>
      <c r="D511" s="782">
        <v>1.2300000000000001E-5</v>
      </c>
      <c r="E511" s="783">
        <v>11504</v>
      </c>
      <c r="F511" s="783">
        <v>-6789</v>
      </c>
      <c r="G511" s="783">
        <v>5116</v>
      </c>
      <c r="H511" s="783"/>
      <c r="I511" s="784">
        <v>0</v>
      </c>
      <c r="J511" s="784">
        <v>10282</v>
      </c>
      <c r="K511" s="784">
        <v>0</v>
      </c>
      <c r="L511" s="783">
        <v>7907</v>
      </c>
      <c r="M511" s="783"/>
      <c r="N511" s="784">
        <v>1203</v>
      </c>
      <c r="O511" s="784">
        <v>11738</v>
      </c>
      <c r="P511" s="784">
        <v>0</v>
      </c>
      <c r="Q511" s="783">
        <v>0</v>
      </c>
      <c r="R511" s="783"/>
      <c r="S511" s="784">
        <v>2336</v>
      </c>
      <c r="T511" s="785">
        <v>2296</v>
      </c>
      <c r="U511" s="785">
        <v>4632</v>
      </c>
    </row>
    <row r="512" spans="1:21" x14ac:dyDescent="0.25">
      <c r="A512" s="780">
        <v>95601</v>
      </c>
      <c r="B512" s="781" t="s">
        <v>1675</v>
      </c>
      <c r="C512" s="782">
        <v>2.4567999999999999E-3</v>
      </c>
      <c r="D512" s="782">
        <v>2.4214000000000002E-3</v>
      </c>
      <c r="E512" s="783">
        <v>1038784</v>
      </c>
      <c r="F512" s="783">
        <v>-1336414</v>
      </c>
      <c r="G512" s="783">
        <v>1102597</v>
      </c>
      <c r="H512" s="783"/>
      <c r="I512" s="784">
        <v>0</v>
      </c>
      <c r="J512" s="784">
        <v>2215827</v>
      </c>
      <c r="K512" s="784">
        <v>0</v>
      </c>
      <c r="L512" s="783">
        <v>133089</v>
      </c>
      <c r="M512" s="783"/>
      <c r="N512" s="784">
        <v>259175</v>
      </c>
      <c r="O512" s="784">
        <v>2529735</v>
      </c>
      <c r="P512" s="784">
        <v>0</v>
      </c>
      <c r="Q512" s="783">
        <v>0</v>
      </c>
      <c r="R512" s="783"/>
      <c r="S512" s="784">
        <v>503403</v>
      </c>
      <c r="T512" s="785">
        <v>40649</v>
      </c>
      <c r="U512" s="785">
        <v>544052</v>
      </c>
    </row>
    <row r="513" spans="1:21" x14ac:dyDescent="0.25">
      <c r="A513" s="780">
        <v>95611</v>
      </c>
      <c r="B513" s="781" t="s">
        <v>1676</v>
      </c>
      <c r="C513" s="782">
        <v>3.9500000000000001E-4</v>
      </c>
      <c r="D513" s="782">
        <v>4.0559999999999999E-4</v>
      </c>
      <c r="E513" s="783">
        <v>161168</v>
      </c>
      <c r="F513" s="783">
        <v>-223858</v>
      </c>
      <c r="G513" s="783">
        <v>177273.63</v>
      </c>
      <c r="H513" s="783"/>
      <c r="I513" s="784">
        <v>0</v>
      </c>
      <c r="J513" s="784">
        <v>356256.82</v>
      </c>
      <c r="K513" s="784">
        <v>0</v>
      </c>
      <c r="L513" s="783">
        <v>4132.18</v>
      </c>
      <c r="M513" s="783"/>
      <c r="N513" s="784">
        <v>41670</v>
      </c>
      <c r="O513" s="784">
        <v>406726</v>
      </c>
      <c r="P513" s="784">
        <v>0</v>
      </c>
      <c r="Q513" s="783">
        <v>7521</v>
      </c>
      <c r="R513" s="783"/>
      <c r="S513" s="784">
        <v>80936</v>
      </c>
      <c r="T513" s="785">
        <v>-587</v>
      </c>
      <c r="U513" s="785">
        <v>80350</v>
      </c>
    </row>
    <row r="514" spans="1:21" x14ac:dyDescent="0.25">
      <c r="A514" s="780">
        <v>95617</v>
      </c>
      <c r="B514" s="781" t="s">
        <v>1677</v>
      </c>
      <c r="C514" s="782">
        <v>1.63E-5</v>
      </c>
      <c r="D514" s="782">
        <v>2.0299999999999999E-5</v>
      </c>
      <c r="E514" s="783">
        <v>7751</v>
      </c>
      <c r="F514" s="783">
        <v>-11204</v>
      </c>
      <c r="G514" s="783">
        <v>7315</v>
      </c>
      <c r="H514" s="783"/>
      <c r="I514" s="784">
        <v>0</v>
      </c>
      <c r="J514" s="784">
        <v>14701</v>
      </c>
      <c r="K514" s="784">
        <v>0</v>
      </c>
      <c r="L514" s="783">
        <v>0</v>
      </c>
      <c r="M514" s="783"/>
      <c r="N514" s="784">
        <v>1720</v>
      </c>
      <c r="O514" s="784">
        <v>16784</v>
      </c>
      <c r="P514" s="784">
        <v>0</v>
      </c>
      <c r="Q514" s="783">
        <v>3006</v>
      </c>
      <c r="R514" s="783"/>
      <c r="S514" s="784">
        <v>3340</v>
      </c>
      <c r="T514" s="785">
        <v>-864</v>
      </c>
      <c r="U514" s="785">
        <v>2476</v>
      </c>
    </row>
    <row r="515" spans="1:21" x14ac:dyDescent="0.25">
      <c r="A515" s="780">
        <v>95621</v>
      </c>
      <c r="B515" s="781" t="s">
        <v>1678</v>
      </c>
      <c r="C515" s="782">
        <v>5.0210000000000001E-4</v>
      </c>
      <c r="D515" s="782">
        <v>5.1590000000000002E-4</v>
      </c>
      <c r="E515" s="783">
        <v>212115</v>
      </c>
      <c r="F515" s="783">
        <v>-284734</v>
      </c>
      <c r="G515" s="783">
        <v>225339</v>
      </c>
      <c r="H515" s="783"/>
      <c r="I515" s="784">
        <v>0</v>
      </c>
      <c r="J515" s="784">
        <v>452852</v>
      </c>
      <c r="K515" s="784">
        <v>0</v>
      </c>
      <c r="L515" s="783">
        <v>9562.02</v>
      </c>
      <c r="M515" s="783"/>
      <c r="N515" s="784">
        <v>52968</v>
      </c>
      <c r="O515" s="784">
        <v>517006</v>
      </c>
      <c r="P515" s="784">
        <v>0</v>
      </c>
      <c r="Q515" s="783">
        <v>4044</v>
      </c>
      <c r="R515" s="783"/>
      <c r="S515" s="784">
        <v>102881</v>
      </c>
      <c r="T515" s="785">
        <v>2139</v>
      </c>
      <c r="U515" s="785">
        <v>105021</v>
      </c>
    </row>
    <row r="516" spans="1:21" x14ac:dyDescent="0.25">
      <c r="A516" s="780">
        <v>95701</v>
      </c>
      <c r="B516" s="781" t="s">
        <v>1679</v>
      </c>
      <c r="C516" s="782">
        <v>1.2436999999999999E-3</v>
      </c>
      <c r="D516" s="782">
        <v>1.2654000000000001E-3</v>
      </c>
      <c r="E516" s="783">
        <v>546793</v>
      </c>
      <c r="F516" s="783">
        <v>-698397</v>
      </c>
      <c r="G516" s="783">
        <v>558165</v>
      </c>
      <c r="H516" s="783"/>
      <c r="I516" s="784">
        <v>0</v>
      </c>
      <c r="J516" s="784">
        <v>1121713</v>
      </c>
      <c r="K516" s="784">
        <v>0</v>
      </c>
      <c r="L516" s="783">
        <v>53748</v>
      </c>
      <c r="M516" s="783"/>
      <c r="N516" s="784">
        <v>131202</v>
      </c>
      <c r="O516" s="784">
        <v>1280622</v>
      </c>
      <c r="P516" s="784">
        <v>0</v>
      </c>
      <c r="Q516" s="783">
        <v>0</v>
      </c>
      <c r="R516" s="783"/>
      <c r="S516" s="784">
        <v>254837</v>
      </c>
      <c r="T516" s="785">
        <v>16836</v>
      </c>
      <c r="U516" s="785">
        <v>271672</v>
      </c>
    </row>
    <row r="517" spans="1:21" x14ac:dyDescent="0.25">
      <c r="A517" s="780">
        <v>95711</v>
      </c>
      <c r="B517" s="781" t="s">
        <v>1680</v>
      </c>
      <c r="C517" s="782">
        <v>1.284E-4</v>
      </c>
      <c r="D517" s="782">
        <v>1.11E-4</v>
      </c>
      <c r="E517" s="783">
        <v>51045</v>
      </c>
      <c r="F517" s="783">
        <v>-61263</v>
      </c>
      <c r="G517" s="783">
        <v>57625</v>
      </c>
      <c r="H517" s="783"/>
      <c r="I517" s="784">
        <v>0</v>
      </c>
      <c r="J517" s="784">
        <v>115806</v>
      </c>
      <c r="K517" s="784">
        <v>0</v>
      </c>
      <c r="L517" s="783">
        <v>11118</v>
      </c>
      <c r="M517" s="783"/>
      <c r="N517" s="784">
        <v>13545</v>
      </c>
      <c r="O517" s="784">
        <v>132212</v>
      </c>
      <c r="P517" s="784">
        <v>0</v>
      </c>
      <c r="Q517" s="783">
        <v>215</v>
      </c>
      <c r="R517" s="783"/>
      <c r="S517" s="784">
        <v>26309</v>
      </c>
      <c r="T517" s="785">
        <v>2838</v>
      </c>
      <c r="U517" s="785">
        <v>29148</v>
      </c>
    </row>
    <row r="518" spans="1:21" x14ac:dyDescent="0.25">
      <c r="A518" s="780">
        <v>95721</v>
      </c>
      <c r="B518" s="781" t="s">
        <v>1681</v>
      </c>
      <c r="C518" s="782">
        <v>6.7199999999999994E-5</v>
      </c>
      <c r="D518" s="782">
        <v>6.2600000000000004E-5</v>
      </c>
      <c r="E518" s="783">
        <v>22801</v>
      </c>
      <c r="F518" s="783">
        <v>-34550</v>
      </c>
      <c r="G518" s="783">
        <v>30159</v>
      </c>
      <c r="H518" s="783"/>
      <c r="I518" s="784">
        <v>0</v>
      </c>
      <c r="J518" s="784">
        <v>60609</v>
      </c>
      <c r="K518" s="784">
        <v>0</v>
      </c>
      <c r="L518" s="783">
        <v>0</v>
      </c>
      <c r="M518" s="783"/>
      <c r="N518" s="784">
        <v>7089</v>
      </c>
      <c r="O518" s="784">
        <v>69195</v>
      </c>
      <c r="P518" s="784">
        <v>0</v>
      </c>
      <c r="Q518" s="783">
        <v>7726</v>
      </c>
      <c r="R518" s="783"/>
      <c r="S518" s="784">
        <v>13769</v>
      </c>
      <c r="T518" s="785">
        <v>-2552</v>
      </c>
      <c r="U518" s="785">
        <v>11218</v>
      </c>
    </row>
    <row r="519" spans="1:21" x14ac:dyDescent="0.25">
      <c r="A519" s="780">
        <v>95733</v>
      </c>
      <c r="B519" s="781" t="s">
        <v>1682</v>
      </c>
      <c r="C519" s="782">
        <v>1.63E-5</v>
      </c>
      <c r="D519" s="782">
        <v>1.45E-5</v>
      </c>
      <c r="E519" s="783">
        <v>6456</v>
      </c>
      <c r="F519" s="783">
        <v>-8003</v>
      </c>
      <c r="G519" s="783">
        <v>7315</v>
      </c>
      <c r="H519" s="783"/>
      <c r="I519" s="784">
        <v>0</v>
      </c>
      <c r="J519" s="784">
        <v>14701</v>
      </c>
      <c r="K519" s="784">
        <v>0</v>
      </c>
      <c r="L519" s="783">
        <v>1270</v>
      </c>
      <c r="M519" s="783"/>
      <c r="N519" s="784">
        <v>1720</v>
      </c>
      <c r="O519" s="784">
        <v>16784</v>
      </c>
      <c r="P519" s="784">
        <v>0</v>
      </c>
      <c r="Q519" s="783">
        <v>0</v>
      </c>
      <c r="R519" s="783"/>
      <c r="S519" s="784">
        <v>3340</v>
      </c>
      <c r="T519" s="785">
        <v>344</v>
      </c>
      <c r="U519" s="785">
        <v>3684</v>
      </c>
    </row>
    <row r="520" spans="1:21" x14ac:dyDescent="0.25">
      <c r="A520" s="780">
        <v>95801</v>
      </c>
      <c r="B520" s="781" t="s">
        <v>1683</v>
      </c>
      <c r="C520" s="782">
        <v>9.1810000000000004E-4</v>
      </c>
      <c r="D520" s="782">
        <v>9.167E-4</v>
      </c>
      <c r="E520" s="783">
        <v>398584</v>
      </c>
      <c r="F520" s="783">
        <v>-505943</v>
      </c>
      <c r="G520" s="783">
        <v>412038</v>
      </c>
      <c r="H520" s="783"/>
      <c r="I520" s="784">
        <v>0</v>
      </c>
      <c r="J520" s="784">
        <v>828049</v>
      </c>
      <c r="K520" s="784">
        <v>0</v>
      </c>
      <c r="L520" s="783">
        <v>19797</v>
      </c>
      <c r="M520" s="783"/>
      <c r="N520" s="784">
        <v>96853</v>
      </c>
      <c r="O520" s="784">
        <v>945356</v>
      </c>
      <c r="P520" s="784">
        <v>0</v>
      </c>
      <c r="Q520" s="783">
        <v>11625.12</v>
      </c>
      <c r="R520" s="783"/>
      <c r="S520" s="784">
        <v>188121</v>
      </c>
      <c r="T520" s="785">
        <v>1295</v>
      </c>
      <c r="U520" s="785">
        <v>189415</v>
      </c>
    </row>
    <row r="521" spans="1:21" x14ac:dyDescent="0.25">
      <c r="A521" s="780">
        <v>95802</v>
      </c>
      <c r="B521" s="781" t="s">
        <v>1684</v>
      </c>
      <c r="C521" s="782">
        <v>6.8000000000000001E-6</v>
      </c>
      <c r="D521" s="782">
        <v>6.2999999999999998E-6</v>
      </c>
      <c r="E521" s="783">
        <v>4533</v>
      </c>
      <c r="F521" s="783">
        <v>-3477</v>
      </c>
      <c r="G521" s="783">
        <v>3052</v>
      </c>
      <c r="H521" s="783"/>
      <c r="I521" s="784">
        <v>0</v>
      </c>
      <c r="J521" s="784">
        <v>6133</v>
      </c>
      <c r="K521" s="784">
        <v>0</v>
      </c>
      <c r="L521" s="783">
        <v>1743</v>
      </c>
      <c r="M521" s="783"/>
      <c r="N521" s="784">
        <v>717</v>
      </c>
      <c r="O521" s="784">
        <v>7002</v>
      </c>
      <c r="P521" s="784">
        <v>0</v>
      </c>
      <c r="Q521" s="783">
        <v>3770</v>
      </c>
      <c r="R521" s="783"/>
      <c r="S521" s="784">
        <v>1393</v>
      </c>
      <c r="T521" s="785">
        <v>-805</v>
      </c>
      <c r="U521" s="785">
        <v>589</v>
      </c>
    </row>
    <row r="522" spans="1:21" x14ac:dyDescent="0.25">
      <c r="A522" s="780">
        <v>95804</v>
      </c>
      <c r="B522" s="781" t="s">
        <v>1685</v>
      </c>
      <c r="C522" s="782">
        <v>1.4399999999999999E-5</v>
      </c>
      <c r="D522" s="782">
        <v>1.2099999999999999E-5</v>
      </c>
      <c r="E522" s="783">
        <v>6493</v>
      </c>
      <c r="F522" s="783">
        <v>-6678</v>
      </c>
      <c r="G522" s="783">
        <v>6463</v>
      </c>
      <c r="H522" s="783"/>
      <c r="I522" s="784">
        <v>0</v>
      </c>
      <c r="J522" s="784">
        <v>12988</v>
      </c>
      <c r="K522" s="784">
        <v>0</v>
      </c>
      <c r="L522" s="783">
        <v>3631</v>
      </c>
      <c r="M522" s="783"/>
      <c r="N522" s="784">
        <v>1519</v>
      </c>
      <c r="O522" s="784">
        <v>14827</v>
      </c>
      <c r="P522" s="784">
        <v>0</v>
      </c>
      <c r="Q522" s="783">
        <v>0</v>
      </c>
      <c r="R522" s="783"/>
      <c r="S522" s="784">
        <v>2951</v>
      </c>
      <c r="T522" s="785">
        <v>1062</v>
      </c>
      <c r="U522" s="785">
        <v>4012</v>
      </c>
    </row>
    <row r="523" spans="1:21" x14ac:dyDescent="0.25">
      <c r="A523" s="780">
        <v>95811</v>
      </c>
      <c r="B523" s="781" t="s">
        <v>1686</v>
      </c>
      <c r="C523" s="782">
        <v>5.2459999999999996E-4</v>
      </c>
      <c r="D523" s="782">
        <v>5.4000000000000001E-4</v>
      </c>
      <c r="E523" s="783">
        <v>218684</v>
      </c>
      <c r="F523" s="783">
        <v>-298036</v>
      </c>
      <c r="G523" s="783">
        <v>235437</v>
      </c>
      <c r="H523" s="783"/>
      <c r="I523" s="784">
        <v>0</v>
      </c>
      <c r="J523" s="784">
        <v>473145</v>
      </c>
      <c r="K523" s="784">
        <v>0</v>
      </c>
      <c r="L523" s="783">
        <v>1267.76</v>
      </c>
      <c r="M523" s="783"/>
      <c r="N523" s="784">
        <v>55342</v>
      </c>
      <c r="O523" s="784">
        <v>540174</v>
      </c>
      <c r="P523" s="784">
        <v>0</v>
      </c>
      <c r="Q523" s="783">
        <v>7241</v>
      </c>
      <c r="R523" s="783"/>
      <c r="S523" s="784">
        <v>107492</v>
      </c>
      <c r="T523" s="785">
        <v>-1472</v>
      </c>
      <c r="U523" s="785">
        <v>106020</v>
      </c>
    </row>
    <row r="524" spans="1:21" x14ac:dyDescent="0.25">
      <c r="A524" s="780">
        <v>95813</v>
      </c>
      <c r="B524" s="781" t="s">
        <v>1687</v>
      </c>
      <c r="C524" s="782">
        <v>5.02E-5</v>
      </c>
      <c r="D524" s="782">
        <v>5.5300000000000002E-5</v>
      </c>
      <c r="E524" s="783">
        <v>59536</v>
      </c>
      <c r="F524" s="783">
        <v>-30521</v>
      </c>
      <c r="G524" s="783">
        <v>22529</v>
      </c>
      <c r="H524" s="783"/>
      <c r="I524" s="784">
        <v>0</v>
      </c>
      <c r="J524" s="784">
        <v>45276</v>
      </c>
      <c r="K524" s="784">
        <v>0</v>
      </c>
      <c r="L524" s="783">
        <v>28420</v>
      </c>
      <c r="M524" s="783"/>
      <c r="N524" s="784">
        <v>5296</v>
      </c>
      <c r="O524" s="784">
        <v>51690</v>
      </c>
      <c r="P524" s="784">
        <v>0</v>
      </c>
      <c r="Q524" s="783">
        <v>0</v>
      </c>
      <c r="R524" s="783"/>
      <c r="S524" s="784">
        <v>10286</v>
      </c>
      <c r="T524" s="785">
        <v>7517</v>
      </c>
      <c r="U524" s="785">
        <v>17803</v>
      </c>
    </row>
    <row r="525" spans="1:21" x14ac:dyDescent="0.25">
      <c r="A525" s="780">
        <v>95821</v>
      </c>
      <c r="B525" s="781" t="s">
        <v>1688</v>
      </c>
      <c r="C525" s="782">
        <v>1.5999999999999999E-6</v>
      </c>
      <c r="D525" s="782">
        <v>1.7999999999999999E-6</v>
      </c>
      <c r="E525" s="783">
        <v>1872</v>
      </c>
      <c r="F525" s="783">
        <v>-993</v>
      </c>
      <c r="G525" s="783">
        <v>718</v>
      </c>
      <c r="H525" s="783"/>
      <c r="I525" s="784">
        <v>0</v>
      </c>
      <c r="J525" s="784">
        <v>1443</v>
      </c>
      <c r="K525" s="784">
        <v>0</v>
      </c>
      <c r="L525" s="783">
        <v>1247</v>
      </c>
      <c r="M525" s="783"/>
      <c r="N525" s="784">
        <v>169</v>
      </c>
      <c r="O525" s="784">
        <v>1647</v>
      </c>
      <c r="P525" s="784">
        <v>0</v>
      </c>
      <c r="Q525" s="783">
        <v>0</v>
      </c>
      <c r="R525" s="783"/>
      <c r="S525" s="784">
        <v>328</v>
      </c>
      <c r="T525" s="785">
        <v>357</v>
      </c>
      <c r="U525" s="785">
        <v>685</v>
      </c>
    </row>
    <row r="526" spans="1:21" x14ac:dyDescent="0.25">
      <c r="A526" s="780">
        <v>95831</v>
      </c>
      <c r="B526" s="781" t="s">
        <v>1689</v>
      </c>
      <c r="C526" s="782">
        <v>1.9199999999999999E-5</v>
      </c>
      <c r="D526" s="782">
        <v>1.9599999999999999E-5</v>
      </c>
      <c r="E526" s="783">
        <v>20276</v>
      </c>
      <c r="F526" s="783">
        <v>-10818</v>
      </c>
      <c r="G526" s="783">
        <v>8617</v>
      </c>
      <c r="H526" s="783"/>
      <c r="I526" s="784">
        <v>0</v>
      </c>
      <c r="J526" s="784">
        <v>17317</v>
      </c>
      <c r="K526" s="784">
        <v>0</v>
      </c>
      <c r="L526" s="783">
        <v>10186</v>
      </c>
      <c r="M526" s="783"/>
      <c r="N526" s="784">
        <v>2025</v>
      </c>
      <c r="O526" s="784">
        <v>19770</v>
      </c>
      <c r="P526" s="784">
        <v>0</v>
      </c>
      <c r="Q526" s="783">
        <v>0</v>
      </c>
      <c r="R526" s="783"/>
      <c r="S526" s="784">
        <v>3934</v>
      </c>
      <c r="T526" s="785">
        <v>2711</v>
      </c>
      <c r="U526" s="785">
        <v>6645</v>
      </c>
    </row>
    <row r="527" spans="1:21" x14ac:dyDescent="0.25">
      <c r="A527" s="780">
        <v>95841</v>
      </c>
      <c r="B527" s="781" t="s">
        <v>1690</v>
      </c>
      <c r="C527" s="782">
        <v>2.0699999999999998E-5</v>
      </c>
      <c r="D527" s="782">
        <v>2.0699999999999998E-5</v>
      </c>
      <c r="E527" s="783">
        <v>9477</v>
      </c>
      <c r="F527" s="783">
        <v>-11425</v>
      </c>
      <c r="G527" s="783">
        <v>9290</v>
      </c>
      <c r="H527" s="783"/>
      <c r="I527" s="784">
        <v>0</v>
      </c>
      <c r="J527" s="784">
        <v>18670</v>
      </c>
      <c r="K527" s="784">
        <v>0</v>
      </c>
      <c r="L527" s="783">
        <v>1226</v>
      </c>
      <c r="M527" s="783"/>
      <c r="N527" s="784">
        <v>2184</v>
      </c>
      <c r="O527" s="784">
        <v>21315</v>
      </c>
      <c r="P527" s="784">
        <v>0</v>
      </c>
      <c r="Q527" s="783">
        <v>0</v>
      </c>
      <c r="R527" s="783"/>
      <c r="S527" s="784">
        <v>4241</v>
      </c>
      <c r="T527" s="785">
        <v>351</v>
      </c>
      <c r="U527" s="785">
        <v>4592</v>
      </c>
    </row>
    <row r="528" spans="1:21" x14ac:dyDescent="0.25">
      <c r="A528" s="780">
        <v>95851</v>
      </c>
      <c r="B528" s="781" t="s">
        <v>1691</v>
      </c>
      <c r="C528" s="782">
        <v>1.44E-4</v>
      </c>
      <c r="D528" s="782">
        <v>1.5190000000000001E-4</v>
      </c>
      <c r="E528" s="783">
        <v>132720</v>
      </c>
      <c r="F528" s="783">
        <v>-83836</v>
      </c>
      <c r="G528" s="783">
        <v>64626</v>
      </c>
      <c r="H528" s="783"/>
      <c r="I528" s="784">
        <v>0</v>
      </c>
      <c r="J528" s="784">
        <v>129876</v>
      </c>
      <c r="K528" s="784">
        <v>0</v>
      </c>
      <c r="L528" s="783">
        <v>53046</v>
      </c>
      <c r="M528" s="783"/>
      <c r="N528" s="784">
        <v>15191</v>
      </c>
      <c r="O528" s="784">
        <v>148275</v>
      </c>
      <c r="P528" s="784">
        <v>0</v>
      </c>
      <c r="Q528" s="783">
        <v>12623.78</v>
      </c>
      <c r="R528" s="783"/>
      <c r="S528" s="784">
        <v>29506</v>
      </c>
      <c r="T528" s="785">
        <v>9664</v>
      </c>
      <c r="U528" s="785">
        <v>39170</v>
      </c>
    </row>
    <row r="529" spans="1:21" x14ac:dyDescent="0.25">
      <c r="A529" s="780">
        <v>95853</v>
      </c>
      <c r="B529" s="781" t="s">
        <v>1692</v>
      </c>
      <c r="C529" s="782">
        <v>2.44E-5</v>
      </c>
      <c r="D529" s="782">
        <v>2.5599999999999999E-5</v>
      </c>
      <c r="E529" s="783">
        <v>14790</v>
      </c>
      <c r="F529" s="783">
        <v>-14129</v>
      </c>
      <c r="G529" s="783">
        <v>10951</v>
      </c>
      <c r="H529" s="783"/>
      <c r="I529" s="784">
        <v>0</v>
      </c>
      <c r="J529" s="784">
        <v>22007</v>
      </c>
      <c r="K529" s="784">
        <v>0</v>
      </c>
      <c r="L529" s="783">
        <v>6046</v>
      </c>
      <c r="M529" s="783"/>
      <c r="N529" s="784">
        <v>2574</v>
      </c>
      <c r="O529" s="784">
        <v>25124</v>
      </c>
      <c r="P529" s="784">
        <v>0</v>
      </c>
      <c r="Q529" s="783">
        <v>0</v>
      </c>
      <c r="R529" s="783"/>
      <c r="S529" s="784">
        <v>5000</v>
      </c>
      <c r="T529" s="785">
        <v>1805</v>
      </c>
      <c r="U529" s="785">
        <v>6805</v>
      </c>
    </row>
    <row r="530" spans="1:21" x14ac:dyDescent="0.25">
      <c r="A530" s="780">
        <v>95901</v>
      </c>
      <c r="B530" s="781" t="s">
        <v>1693</v>
      </c>
      <c r="C530" s="782">
        <v>1.8056000000000001E-3</v>
      </c>
      <c r="D530" s="782">
        <v>1.7918000000000001E-3</v>
      </c>
      <c r="E530" s="783">
        <v>750366</v>
      </c>
      <c r="F530" s="783">
        <v>-988927</v>
      </c>
      <c r="G530" s="783">
        <v>810342</v>
      </c>
      <c r="H530" s="783"/>
      <c r="I530" s="784">
        <v>0</v>
      </c>
      <c r="J530" s="784">
        <v>1628500</v>
      </c>
      <c r="K530" s="784">
        <v>0</v>
      </c>
      <c r="L530" s="783">
        <v>101864</v>
      </c>
      <c r="M530" s="783"/>
      <c r="N530" s="784">
        <v>190478</v>
      </c>
      <c r="O530" s="784">
        <v>1859203</v>
      </c>
      <c r="P530" s="784">
        <v>0</v>
      </c>
      <c r="Q530" s="783">
        <v>0</v>
      </c>
      <c r="R530" s="783"/>
      <c r="S530" s="784">
        <v>369971</v>
      </c>
      <c r="T530" s="785">
        <v>32606</v>
      </c>
      <c r="U530" s="785">
        <v>402577</v>
      </c>
    </row>
    <row r="531" spans="1:21" x14ac:dyDescent="0.25">
      <c r="A531" s="780">
        <v>95908</v>
      </c>
      <c r="B531" s="781" t="s">
        <v>1694</v>
      </c>
      <c r="C531" s="782">
        <v>6.6699999999999995E-5</v>
      </c>
      <c r="D531" s="782">
        <v>8.81E-5</v>
      </c>
      <c r="E531" s="783">
        <v>19280</v>
      </c>
      <c r="F531" s="783">
        <v>-48624</v>
      </c>
      <c r="G531" s="783">
        <v>29935</v>
      </c>
      <c r="H531" s="783"/>
      <c r="I531" s="784">
        <v>0</v>
      </c>
      <c r="J531" s="784">
        <v>60158</v>
      </c>
      <c r="K531" s="784">
        <v>0</v>
      </c>
      <c r="L531" s="783">
        <v>0</v>
      </c>
      <c r="M531" s="783"/>
      <c r="N531" s="784">
        <v>7036</v>
      </c>
      <c r="O531" s="784">
        <v>68680</v>
      </c>
      <c r="P531" s="784">
        <v>0</v>
      </c>
      <c r="Q531" s="783">
        <v>28750</v>
      </c>
      <c r="R531" s="783"/>
      <c r="S531" s="784">
        <v>13667</v>
      </c>
      <c r="T531" s="785">
        <v>-8066</v>
      </c>
      <c r="U531" s="785">
        <v>5601</v>
      </c>
    </row>
    <row r="532" spans="1:21" x14ac:dyDescent="0.25">
      <c r="A532" s="780">
        <v>95911</v>
      </c>
      <c r="B532" s="781" t="s">
        <v>1695</v>
      </c>
      <c r="C532" s="782">
        <v>6.2100000000000002E-4</v>
      </c>
      <c r="D532" s="782">
        <v>5.8920000000000001E-4</v>
      </c>
      <c r="E532" s="783">
        <v>233060</v>
      </c>
      <c r="F532" s="783">
        <v>-325190</v>
      </c>
      <c r="G532" s="783">
        <v>278701</v>
      </c>
      <c r="H532" s="783"/>
      <c r="I532" s="784">
        <v>0</v>
      </c>
      <c r="J532" s="784">
        <v>560090</v>
      </c>
      <c r="K532" s="784">
        <v>0</v>
      </c>
      <c r="L532" s="783">
        <v>6082</v>
      </c>
      <c r="M532" s="783"/>
      <c r="N532" s="784">
        <v>65511</v>
      </c>
      <c r="O532" s="784">
        <v>639436</v>
      </c>
      <c r="P532" s="784">
        <v>0</v>
      </c>
      <c r="Q532" s="783">
        <v>11622</v>
      </c>
      <c r="R532" s="783"/>
      <c r="S532" s="784">
        <v>127244</v>
      </c>
      <c r="T532" s="785">
        <v>-2295</v>
      </c>
      <c r="U532" s="785">
        <v>124949</v>
      </c>
    </row>
    <row r="533" spans="1:21" x14ac:dyDescent="0.25">
      <c r="A533" s="780">
        <v>95917</v>
      </c>
      <c r="B533" s="781" t="s">
        <v>1696</v>
      </c>
      <c r="C533" s="782">
        <v>2.4499999999999999E-5</v>
      </c>
      <c r="D533" s="782">
        <v>2.0800000000000001E-5</v>
      </c>
      <c r="E533" s="783">
        <v>10201</v>
      </c>
      <c r="F533" s="783">
        <v>-11480</v>
      </c>
      <c r="G533" s="783">
        <v>10995</v>
      </c>
      <c r="H533" s="783"/>
      <c r="I533" s="784">
        <v>0</v>
      </c>
      <c r="J533" s="784">
        <v>22097</v>
      </c>
      <c r="K533" s="784">
        <v>0</v>
      </c>
      <c r="L533" s="783">
        <v>6344</v>
      </c>
      <c r="M533" s="783"/>
      <c r="N533" s="784">
        <v>2585</v>
      </c>
      <c r="O533" s="784">
        <v>25227</v>
      </c>
      <c r="P533" s="784">
        <v>0</v>
      </c>
      <c r="Q533" s="783">
        <v>0</v>
      </c>
      <c r="R533" s="783"/>
      <c r="S533" s="784">
        <v>5020</v>
      </c>
      <c r="T533" s="785">
        <v>1922</v>
      </c>
      <c r="U533" s="785">
        <v>6942</v>
      </c>
    </row>
    <row r="534" spans="1:21" x14ac:dyDescent="0.25">
      <c r="A534" s="780">
        <v>95921</v>
      </c>
      <c r="B534" s="781" t="s">
        <v>1697</v>
      </c>
      <c r="C534" s="782">
        <v>3.4600000000000001E-5</v>
      </c>
      <c r="D534" s="782">
        <v>3.3399999999999999E-5</v>
      </c>
      <c r="E534" s="783">
        <v>14870</v>
      </c>
      <c r="F534" s="783">
        <v>-18434</v>
      </c>
      <c r="G534" s="783">
        <v>15528</v>
      </c>
      <c r="H534" s="783"/>
      <c r="I534" s="784">
        <v>0</v>
      </c>
      <c r="J534" s="784">
        <v>31206</v>
      </c>
      <c r="K534" s="784">
        <v>0</v>
      </c>
      <c r="L534" s="783">
        <v>1431</v>
      </c>
      <c r="M534" s="783"/>
      <c r="N534" s="784">
        <v>3650</v>
      </c>
      <c r="O534" s="784">
        <v>35627</v>
      </c>
      <c r="P534" s="784">
        <v>0</v>
      </c>
      <c r="Q534" s="783">
        <v>2864.42</v>
      </c>
      <c r="R534" s="783"/>
      <c r="S534" s="784">
        <v>7090</v>
      </c>
      <c r="T534" s="785">
        <v>-583</v>
      </c>
      <c r="U534" s="785">
        <v>6506</v>
      </c>
    </row>
    <row r="535" spans="1:21" x14ac:dyDescent="0.25">
      <c r="A535" s="780">
        <v>96001</v>
      </c>
      <c r="B535" s="781" t="s">
        <v>1698</v>
      </c>
      <c r="C535" s="782">
        <v>4.41456E-2</v>
      </c>
      <c r="D535" s="782">
        <v>4.3575700000000002E-2</v>
      </c>
      <c r="E535" s="783">
        <v>18226128</v>
      </c>
      <c r="F535" s="783">
        <v>-24050213</v>
      </c>
      <c r="G535" s="783">
        <v>19812280</v>
      </c>
      <c r="H535" s="783"/>
      <c r="I535" s="784">
        <v>0</v>
      </c>
      <c r="J535" s="784">
        <v>39815623</v>
      </c>
      <c r="K535" s="784">
        <v>0</v>
      </c>
      <c r="L535" s="783">
        <v>4155557</v>
      </c>
      <c r="M535" s="783"/>
      <c r="N535" s="784">
        <v>4657052</v>
      </c>
      <c r="O535" s="784">
        <v>45456150</v>
      </c>
      <c r="P535" s="784">
        <v>0</v>
      </c>
      <c r="Q535" s="783">
        <v>0</v>
      </c>
      <c r="R535" s="783"/>
      <c r="S535" s="784">
        <v>9045522</v>
      </c>
      <c r="T535" s="785">
        <v>1349108</v>
      </c>
      <c r="U535" s="785">
        <v>10394629</v>
      </c>
    </row>
    <row r="536" spans="1:21" x14ac:dyDescent="0.25">
      <c r="A536" s="780">
        <v>96003</v>
      </c>
      <c r="B536" s="781" t="s">
        <v>1699</v>
      </c>
      <c r="C536" s="782">
        <v>1.7633E-3</v>
      </c>
      <c r="D536" s="782">
        <v>1.6972999999999999E-3</v>
      </c>
      <c r="E536" s="783">
        <v>669665</v>
      </c>
      <c r="F536" s="783">
        <v>-936770</v>
      </c>
      <c r="G536" s="783">
        <v>791358</v>
      </c>
      <c r="H536" s="783"/>
      <c r="I536" s="784">
        <v>0</v>
      </c>
      <c r="J536" s="784">
        <v>1590348</v>
      </c>
      <c r="K536" s="784">
        <v>0</v>
      </c>
      <c r="L536" s="783">
        <v>6483</v>
      </c>
      <c r="M536" s="783"/>
      <c r="N536" s="784">
        <v>186016</v>
      </c>
      <c r="O536" s="784">
        <v>1815647</v>
      </c>
      <c r="P536" s="784">
        <v>0</v>
      </c>
      <c r="Q536" s="783">
        <v>76107</v>
      </c>
      <c r="R536" s="783"/>
      <c r="S536" s="784">
        <v>361304</v>
      </c>
      <c r="T536" s="785">
        <v>-23757</v>
      </c>
      <c r="U536" s="785">
        <v>337547</v>
      </c>
    </row>
    <row r="537" spans="1:21" x14ac:dyDescent="0.25">
      <c r="A537" s="780">
        <v>96004</v>
      </c>
      <c r="B537" s="781" t="s">
        <v>1700</v>
      </c>
      <c r="C537" s="782">
        <v>8.208E-4</v>
      </c>
      <c r="D537" s="782">
        <v>8.0990000000000001E-4</v>
      </c>
      <c r="E537" s="783">
        <v>410932</v>
      </c>
      <c r="F537" s="783">
        <v>-446998</v>
      </c>
      <c r="G537" s="783">
        <v>368370</v>
      </c>
      <c r="H537" s="783"/>
      <c r="I537" s="784">
        <v>0</v>
      </c>
      <c r="J537" s="784">
        <v>740293</v>
      </c>
      <c r="K537" s="784">
        <v>0</v>
      </c>
      <c r="L537" s="783">
        <v>122867</v>
      </c>
      <c r="M537" s="783"/>
      <c r="N537" s="784">
        <v>86589</v>
      </c>
      <c r="O537" s="784">
        <v>845167</v>
      </c>
      <c r="P537" s="784">
        <v>0</v>
      </c>
      <c r="Q537" s="783">
        <v>0</v>
      </c>
      <c r="R537" s="783"/>
      <c r="S537" s="784">
        <v>168184</v>
      </c>
      <c r="T537" s="785">
        <v>36170</v>
      </c>
      <c r="U537" s="785">
        <v>204354</v>
      </c>
    </row>
    <row r="538" spans="1:21" x14ac:dyDescent="0.25">
      <c r="A538" s="780">
        <v>96005</v>
      </c>
      <c r="B538" s="781" t="s">
        <v>1701</v>
      </c>
      <c r="C538" s="782">
        <v>2.6692E-3</v>
      </c>
      <c r="D538" s="782">
        <v>2.4970000000000001E-3</v>
      </c>
      <c r="E538" s="783">
        <v>1150224</v>
      </c>
      <c r="F538" s="783">
        <v>-1378139</v>
      </c>
      <c r="G538" s="783">
        <v>1197921</v>
      </c>
      <c r="H538" s="783"/>
      <c r="I538" s="784">
        <v>0</v>
      </c>
      <c r="J538" s="784">
        <v>2407394</v>
      </c>
      <c r="K538" s="784">
        <v>0</v>
      </c>
      <c r="L538" s="783">
        <v>480553</v>
      </c>
      <c r="M538" s="783"/>
      <c r="N538" s="784">
        <v>281582</v>
      </c>
      <c r="O538" s="784">
        <v>2748441</v>
      </c>
      <c r="P538" s="784">
        <v>0</v>
      </c>
      <c r="Q538" s="783">
        <v>0</v>
      </c>
      <c r="R538" s="783"/>
      <c r="S538" s="784">
        <v>546924</v>
      </c>
      <c r="T538" s="785">
        <v>148458</v>
      </c>
      <c r="U538" s="785">
        <v>695383</v>
      </c>
    </row>
    <row r="539" spans="1:21" x14ac:dyDescent="0.25">
      <c r="A539" s="780">
        <v>96008</v>
      </c>
      <c r="B539" s="781" t="s">
        <v>1702</v>
      </c>
      <c r="C539" s="782">
        <v>5.4187000000000003E-3</v>
      </c>
      <c r="D539" s="782">
        <v>5.1526000000000002E-3</v>
      </c>
      <c r="E539" s="783">
        <v>1908108</v>
      </c>
      <c r="F539" s="783">
        <v>-2843813</v>
      </c>
      <c r="G539" s="783">
        <v>2431880</v>
      </c>
      <c r="H539" s="783"/>
      <c r="I539" s="784">
        <v>0</v>
      </c>
      <c r="J539" s="784">
        <v>4887212</v>
      </c>
      <c r="K539" s="784">
        <v>0</v>
      </c>
      <c r="L539" s="783">
        <v>0</v>
      </c>
      <c r="M539" s="783"/>
      <c r="N539" s="784">
        <v>571635</v>
      </c>
      <c r="O539" s="784">
        <v>5579565</v>
      </c>
      <c r="P539" s="784">
        <v>0</v>
      </c>
      <c r="Q539" s="783">
        <v>289783</v>
      </c>
      <c r="R539" s="783"/>
      <c r="S539" s="784">
        <v>1110302</v>
      </c>
      <c r="T539" s="785">
        <v>-92965</v>
      </c>
      <c r="U539" s="785">
        <v>1017338</v>
      </c>
    </row>
    <row r="540" spans="1:21" x14ac:dyDescent="0.25">
      <c r="A540" s="780">
        <v>96009</v>
      </c>
      <c r="B540" s="781" t="s">
        <v>1703</v>
      </c>
      <c r="C540" s="782">
        <v>3.9110000000000002E-4</v>
      </c>
      <c r="D540" s="782">
        <v>4.0850000000000001E-4</v>
      </c>
      <c r="E540" s="783">
        <v>180815</v>
      </c>
      <c r="F540" s="783">
        <v>-225459</v>
      </c>
      <c r="G540" s="783">
        <v>175523</v>
      </c>
      <c r="H540" s="783"/>
      <c r="I540" s="784">
        <v>0</v>
      </c>
      <c r="J540" s="784">
        <v>352739</v>
      </c>
      <c r="K540" s="784">
        <v>0</v>
      </c>
      <c r="L540" s="783">
        <v>18336</v>
      </c>
      <c r="M540" s="783"/>
      <c r="N540" s="784">
        <v>41258</v>
      </c>
      <c r="O540" s="784">
        <v>402711</v>
      </c>
      <c r="P540" s="784">
        <v>0</v>
      </c>
      <c r="Q540" s="783">
        <v>0</v>
      </c>
      <c r="R540" s="783"/>
      <c r="S540" s="784">
        <v>80137</v>
      </c>
      <c r="T540" s="785">
        <v>5803</v>
      </c>
      <c r="U540" s="785">
        <v>85940</v>
      </c>
    </row>
    <row r="541" spans="1:21" x14ac:dyDescent="0.25">
      <c r="A541" s="780">
        <v>96011</v>
      </c>
      <c r="B541" s="781" t="s">
        <v>1704</v>
      </c>
      <c r="C541" s="782">
        <v>5.8946100000000001E-2</v>
      </c>
      <c r="D541" s="782">
        <v>5.8814900000000003E-2</v>
      </c>
      <c r="E541" s="783">
        <v>24236328</v>
      </c>
      <c r="F541" s="783">
        <v>-32461002</v>
      </c>
      <c r="G541" s="783">
        <v>26454656</v>
      </c>
      <c r="H541" s="783"/>
      <c r="I541" s="784">
        <v>0</v>
      </c>
      <c r="J541" s="784">
        <v>53164431</v>
      </c>
      <c r="K541" s="784">
        <v>0</v>
      </c>
      <c r="L541" s="783">
        <v>226557</v>
      </c>
      <c r="M541" s="783"/>
      <c r="N541" s="784">
        <v>6218401</v>
      </c>
      <c r="O541" s="784">
        <v>60696033</v>
      </c>
      <c r="P541" s="784">
        <v>0</v>
      </c>
      <c r="Q541" s="783">
        <v>4009.59</v>
      </c>
      <c r="R541" s="783"/>
      <c r="S541" s="784">
        <v>12078174</v>
      </c>
      <c r="T541" s="785">
        <v>57967</v>
      </c>
      <c r="U541" s="785">
        <v>12136141</v>
      </c>
    </row>
    <row r="542" spans="1:21" x14ac:dyDescent="0.25">
      <c r="A542" s="780">
        <v>96012</v>
      </c>
      <c r="B542" s="781" t="s">
        <v>1705</v>
      </c>
      <c r="C542" s="782">
        <v>2.1905000000000002E-3</v>
      </c>
      <c r="D542" s="782">
        <v>2.1489E-3</v>
      </c>
      <c r="E542" s="783">
        <v>901166</v>
      </c>
      <c r="F542" s="783">
        <v>-1186017</v>
      </c>
      <c r="G542" s="783">
        <v>983083</v>
      </c>
      <c r="H542" s="783"/>
      <c r="I542" s="784">
        <v>0</v>
      </c>
      <c r="J542" s="784">
        <v>1975647</v>
      </c>
      <c r="K542" s="784">
        <v>0</v>
      </c>
      <c r="L542" s="783">
        <v>60138</v>
      </c>
      <c r="M542" s="783"/>
      <c r="N542" s="784">
        <v>231082</v>
      </c>
      <c r="O542" s="784">
        <v>2255529</v>
      </c>
      <c r="P542" s="784">
        <v>0</v>
      </c>
      <c r="Q542" s="783">
        <v>0</v>
      </c>
      <c r="R542" s="783"/>
      <c r="S542" s="784">
        <v>448838</v>
      </c>
      <c r="T542" s="785">
        <v>17599</v>
      </c>
      <c r="U542" s="785">
        <v>466437</v>
      </c>
    </row>
    <row r="543" spans="1:21" x14ac:dyDescent="0.25">
      <c r="A543" s="780">
        <v>96018</v>
      </c>
      <c r="B543" s="781" t="s">
        <v>1706</v>
      </c>
      <c r="C543" s="782">
        <v>3.3599999999999997E-5</v>
      </c>
      <c r="D543" s="782">
        <v>2.62E-5</v>
      </c>
      <c r="E543" s="783">
        <v>13911</v>
      </c>
      <c r="F543" s="783">
        <v>-14460</v>
      </c>
      <c r="G543" s="783">
        <v>15079</v>
      </c>
      <c r="H543" s="783"/>
      <c r="I543" s="784">
        <v>0</v>
      </c>
      <c r="J543" s="784">
        <v>30304</v>
      </c>
      <c r="K543" s="784">
        <v>0</v>
      </c>
      <c r="L543" s="783">
        <v>16080</v>
      </c>
      <c r="M543" s="783"/>
      <c r="N543" s="784">
        <v>3545</v>
      </c>
      <c r="O543" s="784">
        <v>34597</v>
      </c>
      <c r="P543" s="784">
        <v>0</v>
      </c>
      <c r="Q543" s="783">
        <v>0</v>
      </c>
      <c r="R543" s="783"/>
      <c r="S543" s="784">
        <v>6885</v>
      </c>
      <c r="T543" s="785">
        <v>4989</v>
      </c>
      <c r="U543" s="785">
        <v>11874</v>
      </c>
    </row>
    <row r="544" spans="1:21" x14ac:dyDescent="0.25">
      <c r="A544" s="780">
        <v>96021</v>
      </c>
      <c r="B544" s="781" t="s">
        <v>1707</v>
      </c>
      <c r="C544" s="782">
        <v>8.8719999999999999E-4</v>
      </c>
      <c r="D544" s="782">
        <v>7.6659999999999999E-4</v>
      </c>
      <c r="E544" s="783">
        <v>335207</v>
      </c>
      <c r="F544" s="783">
        <v>-423100</v>
      </c>
      <c r="G544" s="783">
        <v>398170</v>
      </c>
      <c r="H544" s="783"/>
      <c r="I544" s="784">
        <v>0</v>
      </c>
      <c r="J544" s="784">
        <v>800180</v>
      </c>
      <c r="K544" s="784">
        <v>0</v>
      </c>
      <c r="L544" s="783">
        <v>68773</v>
      </c>
      <c r="M544" s="783"/>
      <c r="N544" s="784">
        <v>93593</v>
      </c>
      <c r="O544" s="784">
        <v>913538</v>
      </c>
      <c r="P544" s="784">
        <v>0</v>
      </c>
      <c r="Q544" s="783">
        <v>0</v>
      </c>
      <c r="R544" s="783"/>
      <c r="S544" s="784">
        <v>181789</v>
      </c>
      <c r="T544" s="785">
        <v>18407</v>
      </c>
      <c r="U544" s="785">
        <v>200196</v>
      </c>
    </row>
    <row r="545" spans="1:21" x14ac:dyDescent="0.25">
      <c r="A545" s="780">
        <v>96031</v>
      </c>
      <c r="B545" s="781" t="s">
        <v>1708</v>
      </c>
      <c r="C545" s="782">
        <v>8.116E-4</v>
      </c>
      <c r="D545" s="782">
        <v>8.7100000000000003E-4</v>
      </c>
      <c r="E545" s="783">
        <v>271686</v>
      </c>
      <c r="F545" s="783">
        <v>-480721</v>
      </c>
      <c r="G545" s="783">
        <v>364241</v>
      </c>
      <c r="H545" s="783"/>
      <c r="I545" s="784">
        <v>0</v>
      </c>
      <c r="J545" s="784">
        <v>731995</v>
      </c>
      <c r="K545" s="784">
        <v>0</v>
      </c>
      <c r="L545" s="783">
        <v>0</v>
      </c>
      <c r="M545" s="783"/>
      <c r="N545" s="784">
        <v>85618</v>
      </c>
      <c r="O545" s="784">
        <v>835694</v>
      </c>
      <c r="P545" s="784">
        <v>0</v>
      </c>
      <c r="Q545" s="783">
        <v>146924</v>
      </c>
      <c r="R545" s="783"/>
      <c r="S545" s="784">
        <v>166298</v>
      </c>
      <c r="T545" s="785">
        <v>-42673</v>
      </c>
      <c r="U545" s="785">
        <v>123626</v>
      </c>
    </row>
    <row r="546" spans="1:21" x14ac:dyDescent="0.25">
      <c r="A546" s="780">
        <v>96041</v>
      </c>
      <c r="B546" s="781" t="s">
        <v>1709</v>
      </c>
      <c r="C546" s="782">
        <v>1.6793999999999999E-3</v>
      </c>
      <c r="D546" s="782">
        <v>1.6793000000000001E-3</v>
      </c>
      <c r="E546" s="783">
        <v>606806</v>
      </c>
      <c r="F546" s="783">
        <v>-926836</v>
      </c>
      <c r="G546" s="783">
        <v>753705</v>
      </c>
      <c r="H546" s="783"/>
      <c r="I546" s="784">
        <v>0</v>
      </c>
      <c r="J546" s="784">
        <v>1514678</v>
      </c>
      <c r="K546" s="784">
        <v>0</v>
      </c>
      <c r="L546" s="783">
        <v>0</v>
      </c>
      <c r="M546" s="783"/>
      <c r="N546" s="784">
        <v>177165</v>
      </c>
      <c r="O546" s="784">
        <v>1729256</v>
      </c>
      <c r="P546" s="784">
        <v>0</v>
      </c>
      <c r="Q546" s="783">
        <v>113428</v>
      </c>
      <c r="R546" s="783"/>
      <c r="S546" s="784">
        <v>344112</v>
      </c>
      <c r="T546" s="785">
        <v>-33399</v>
      </c>
      <c r="U546" s="785">
        <v>310713</v>
      </c>
    </row>
    <row r="547" spans="1:21" x14ac:dyDescent="0.25">
      <c r="A547" s="780">
        <v>96051</v>
      </c>
      <c r="B547" s="781" t="s">
        <v>1710</v>
      </c>
      <c r="C547" s="782">
        <v>1.0265999999999999E-3</v>
      </c>
      <c r="D547" s="782">
        <v>1.029E-3</v>
      </c>
      <c r="E547" s="783">
        <v>369455</v>
      </c>
      <c r="F547" s="783">
        <v>-567924</v>
      </c>
      <c r="G547" s="783">
        <v>460732</v>
      </c>
      <c r="H547" s="783"/>
      <c r="I547" s="784">
        <v>0</v>
      </c>
      <c r="J547" s="784">
        <v>925907</v>
      </c>
      <c r="K547" s="784">
        <v>0</v>
      </c>
      <c r="L547" s="783">
        <v>0</v>
      </c>
      <c r="M547" s="783"/>
      <c r="N547" s="784">
        <v>108299</v>
      </c>
      <c r="O547" s="784">
        <v>1057077</v>
      </c>
      <c r="P547" s="784">
        <v>0</v>
      </c>
      <c r="Q547" s="783">
        <v>74458</v>
      </c>
      <c r="R547" s="783"/>
      <c r="S547" s="784">
        <v>210352</v>
      </c>
      <c r="T547" s="785">
        <v>-21918</v>
      </c>
      <c r="U547" s="785">
        <v>188434</v>
      </c>
    </row>
    <row r="548" spans="1:21" x14ac:dyDescent="0.25">
      <c r="A548" s="780">
        <v>96061</v>
      </c>
      <c r="B548" s="781" t="s">
        <v>1711</v>
      </c>
      <c r="C548" s="782">
        <v>3.1809999999999998E-4</v>
      </c>
      <c r="D548" s="782">
        <v>3.057E-4</v>
      </c>
      <c r="E548" s="783">
        <v>122722</v>
      </c>
      <c r="F548" s="783">
        <v>-168721</v>
      </c>
      <c r="G548" s="783">
        <v>142761</v>
      </c>
      <c r="H548" s="783"/>
      <c r="I548" s="784">
        <v>0</v>
      </c>
      <c r="J548" s="784">
        <v>286899</v>
      </c>
      <c r="K548" s="784">
        <v>0</v>
      </c>
      <c r="L548" s="783">
        <v>3033</v>
      </c>
      <c r="M548" s="783"/>
      <c r="N548" s="784">
        <v>33557</v>
      </c>
      <c r="O548" s="784">
        <v>327543</v>
      </c>
      <c r="P548" s="784">
        <v>0</v>
      </c>
      <c r="Q548" s="783">
        <v>4822.87</v>
      </c>
      <c r="R548" s="783"/>
      <c r="S548" s="784">
        <v>65179</v>
      </c>
      <c r="T548" s="785">
        <v>-819</v>
      </c>
      <c r="U548" s="785">
        <v>64360</v>
      </c>
    </row>
    <row r="549" spans="1:21" x14ac:dyDescent="0.25">
      <c r="A549" s="780">
        <v>96071</v>
      </c>
      <c r="B549" s="781" t="s">
        <v>1712</v>
      </c>
      <c r="C549" s="782">
        <v>1.2979000000000001E-3</v>
      </c>
      <c r="D549" s="782">
        <v>1.1546E-3</v>
      </c>
      <c r="E549" s="783">
        <v>512928</v>
      </c>
      <c r="F549" s="783">
        <v>-637245</v>
      </c>
      <c r="G549" s="783">
        <v>582490</v>
      </c>
      <c r="H549" s="783"/>
      <c r="I549" s="784">
        <v>0</v>
      </c>
      <c r="J549" s="784">
        <v>1170597</v>
      </c>
      <c r="K549" s="784">
        <v>0</v>
      </c>
      <c r="L549" s="783">
        <v>87101</v>
      </c>
      <c r="M549" s="783"/>
      <c r="N549" s="784">
        <v>136919</v>
      </c>
      <c r="O549" s="784">
        <v>1336431</v>
      </c>
      <c r="P549" s="784">
        <v>0</v>
      </c>
      <c r="Q549" s="783">
        <v>31476</v>
      </c>
      <c r="R549" s="783"/>
      <c r="S549" s="784">
        <v>265942</v>
      </c>
      <c r="T549" s="785">
        <v>12274</v>
      </c>
      <c r="U549" s="785">
        <v>278217</v>
      </c>
    </row>
    <row r="550" spans="1:21" x14ac:dyDescent="0.25">
      <c r="A550" s="780">
        <v>96081</v>
      </c>
      <c r="B550" s="781" t="s">
        <v>1713</v>
      </c>
      <c r="C550" s="782">
        <v>4.3820000000000003E-4</v>
      </c>
      <c r="D550" s="782">
        <v>4.3780000000000002E-4</v>
      </c>
      <c r="E550" s="783">
        <v>167658</v>
      </c>
      <c r="F550" s="783">
        <v>-241630</v>
      </c>
      <c r="G550" s="783">
        <v>196662</v>
      </c>
      <c r="H550" s="783"/>
      <c r="I550" s="784">
        <v>0</v>
      </c>
      <c r="J550" s="784">
        <v>395220</v>
      </c>
      <c r="K550" s="784">
        <v>0</v>
      </c>
      <c r="L550" s="783">
        <v>18152.29</v>
      </c>
      <c r="M550" s="783"/>
      <c r="N550" s="784">
        <v>46227</v>
      </c>
      <c r="O550" s="784">
        <v>451209</v>
      </c>
      <c r="P550" s="784">
        <v>0</v>
      </c>
      <c r="Q550" s="783">
        <v>8636</v>
      </c>
      <c r="R550" s="783"/>
      <c r="S550" s="784">
        <v>89788</v>
      </c>
      <c r="T550" s="785">
        <v>3810</v>
      </c>
      <c r="U550" s="785">
        <v>93598</v>
      </c>
    </row>
    <row r="551" spans="1:21" x14ac:dyDescent="0.25">
      <c r="A551" s="780">
        <v>96101</v>
      </c>
      <c r="B551" s="781" t="s">
        <v>1714</v>
      </c>
      <c r="C551" s="782">
        <v>7.6990000000000001E-4</v>
      </c>
      <c r="D551" s="782">
        <v>7.4390000000000003E-4</v>
      </c>
      <c r="E551" s="783">
        <v>319810</v>
      </c>
      <c r="F551" s="783">
        <v>-410572</v>
      </c>
      <c r="G551" s="783">
        <v>345527</v>
      </c>
      <c r="H551" s="783"/>
      <c r="I551" s="784">
        <v>0</v>
      </c>
      <c r="J551" s="784">
        <v>694385</v>
      </c>
      <c r="K551" s="784">
        <v>0</v>
      </c>
      <c r="L551" s="783">
        <v>44144</v>
      </c>
      <c r="M551" s="783"/>
      <c r="N551" s="784">
        <v>81219</v>
      </c>
      <c r="O551" s="784">
        <v>792756</v>
      </c>
      <c r="P551" s="784">
        <v>0</v>
      </c>
      <c r="Q551" s="783">
        <v>0</v>
      </c>
      <c r="R551" s="783"/>
      <c r="S551" s="784">
        <v>157754</v>
      </c>
      <c r="T551" s="785">
        <v>13123</v>
      </c>
      <c r="U551" s="785">
        <v>170877</v>
      </c>
    </row>
    <row r="552" spans="1:21" x14ac:dyDescent="0.25">
      <c r="A552" s="780">
        <v>96102</v>
      </c>
      <c r="B552" s="781" t="s">
        <v>1715</v>
      </c>
      <c r="C552" s="782">
        <v>1.3699999999999999E-5</v>
      </c>
      <c r="D552" s="782">
        <v>1.5500000000000001E-5</v>
      </c>
      <c r="E552" s="783">
        <v>4681</v>
      </c>
      <c r="F552" s="783">
        <v>-8555</v>
      </c>
      <c r="G552" s="783">
        <v>6148</v>
      </c>
      <c r="H552" s="783"/>
      <c r="I552" s="784">
        <v>0</v>
      </c>
      <c r="J552" s="784">
        <v>12356</v>
      </c>
      <c r="K552" s="784">
        <v>0</v>
      </c>
      <c r="L552" s="783">
        <v>0</v>
      </c>
      <c r="M552" s="783"/>
      <c r="N552" s="784">
        <v>1445</v>
      </c>
      <c r="O552" s="784">
        <v>14107</v>
      </c>
      <c r="P552" s="784">
        <v>0</v>
      </c>
      <c r="Q552" s="783">
        <v>3275</v>
      </c>
      <c r="R552" s="783"/>
      <c r="S552" s="784">
        <v>2807</v>
      </c>
      <c r="T552" s="785">
        <v>-951</v>
      </c>
      <c r="U552" s="785">
        <v>1856</v>
      </c>
    </row>
    <row r="553" spans="1:21" x14ac:dyDescent="0.25">
      <c r="A553" s="780">
        <v>96111</v>
      </c>
      <c r="B553" s="781" t="s">
        <v>1716</v>
      </c>
      <c r="C553" s="782">
        <v>1.616E-4</v>
      </c>
      <c r="D553" s="782">
        <v>1.6699999999999999E-4</v>
      </c>
      <c r="E553" s="783">
        <v>74225</v>
      </c>
      <c r="F553" s="783">
        <v>-92170</v>
      </c>
      <c r="G553" s="783">
        <v>72525</v>
      </c>
      <c r="H553" s="783"/>
      <c r="I553" s="784">
        <v>0</v>
      </c>
      <c r="J553" s="784">
        <v>145750</v>
      </c>
      <c r="K553" s="784">
        <v>0</v>
      </c>
      <c r="L553" s="783">
        <v>19326</v>
      </c>
      <c r="M553" s="783"/>
      <c r="N553" s="784">
        <v>17048</v>
      </c>
      <c r="O553" s="784">
        <v>166397</v>
      </c>
      <c r="P553" s="784">
        <v>0</v>
      </c>
      <c r="Q553" s="783">
        <v>0</v>
      </c>
      <c r="R553" s="783"/>
      <c r="S553" s="784">
        <v>33112</v>
      </c>
      <c r="T553" s="785">
        <v>6264</v>
      </c>
      <c r="U553" s="785">
        <v>39376</v>
      </c>
    </row>
    <row r="554" spans="1:21" x14ac:dyDescent="0.25">
      <c r="A554" s="780">
        <v>96121</v>
      </c>
      <c r="B554" s="781" t="s">
        <v>1717</v>
      </c>
      <c r="C554" s="782">
        <v>1.9199999999999999E-5</v>
      </c>
      <c r="D554" s="782">
        <v>2.02E-5</v>
      </c>
      <c r="E554" s="783">
        <v>8009</v>
      </c>
      <c r="F554" s="783">
        <v>-11149</v>
      </c>
      <c r="G554" s="783">
        <v>8617</v>
      </c>
      <c r="H554" s="783"/>
      <c r="I554" s="784">
        <v>0</v>
      </c>
      <c r="J554" s="784">
        <v>17317</v>
      </c>
      <c r="K554" s="784">
        <v>0</v>
      </c>
      <c r="L554" s="783">
        <v>0</v>
      </c>
      <c r="M554" s="783"/>
      <c r="N554" s="784">
        <v>2025</v>
      </c>
      <c r="O554" s="784">
        <v>19770</v>
      </c>
      <c r="P554" s="784">
        <v>0</v>
      </c>
      <c r="Q554" s="783">
        <v>2804</v>
      </c>
      <c r="R554" s="783"/>
      <c r="S554" s="784">
        <v>3934</v>
      </c>
      <c r="T554" s="785">
        <v>-896</v>
      </c>
      <c r="U554" s="785">
        <v>3038</v>
      </c>
    </row>
    <row r="555" spans="1:21" x14ac:dyDescent="0.25">
      <c r="A555" s="780">
        <v>96201</v>
      </c>
      <c r="B555" s="781" t="s">
        <v>1718</v>
      </c>
      <c r="C555" s="782">
        <v>1.2474000000000001E-3</v>
      </c>
      <c r="D555" s="782">
        <v>1.2522E-3</v>
      </c>
      <c r="E555" s="783">
        <v>502072</v>
      </c>
      <c r="F555" s="783">
        <v>-691112</v>
      </c>
      <c r="G555" s="783">
        <v>559826</v>
      </c>
      <c r="H555" s="783"/>
      <c r="I555" s="784">
        <v>0</v>
      </c>
      <c r="J555" s="784">
        <v>1125050</v>
      </c>
      <c r="K555" s="784">
        <v>0</v>
      </c>
      <c r="L555" s="783">
        <v>0</v>
      </c>
      <c r="M555" s="783"/>
      <c r="N555" s="784">
        <v>131592</v>
      </c>
      <c r="O555" s="784">
        <v>1284432</v>
      </c>
      <c r="P555" s="784">
        <v>0</v>
      </c>
      <c r="Q555" s="783">
        <v>15240</v>
      </c>
      <c r="R555" s="783"/>
      <c r="S555" s="784">
        <v>255595</v>
      </c>
      <c r="T555" s="785">
        <v>-4436</v>
      </c>
      <c r="U555" s="785">
        <v>251158</v>
      </c>
    </row>
    <row r="556" spans="1:21" x14ac:dyDescent="0.25">
      <c r="A556" s="780">
        <v>96204</v>
      </c>
      <c r="B556" s="781" t="s">
        <v>1719</v>
      </c>
      <c r="C556" s="782">
        <v>1.49E-5</v>
      </c>
      <c r="D556" s="782">
        <v>1.4100000000000001E-5</v>
      </c>
      <c r="E556" s="783">
        <v>7950</v>
      </c>
      <c r="F556" s="783">
        <v>-7782</v>
      </c>
      <c r="G556" s="783">
        <v>6687</v>
      </c>
      <c r="H556" s="783"/>
      <c r="I556" s="784">
        <v>0</v>
      </c>
      <c r="J556" s="784">
        <v>13439</v>
      </c>
      <c r="K556" s="784">
        <v>0</v>
      </c>
      <c r="L556" s="783">
        <v>3580</v>
      </c>
      <c r="M556" s="783"/>
      <c r="N556" s="784">
        <v>1572</v>
      </c>
      <c r="O556" s="784">
        <v>15342</v>
      </c>
      <c r="P556" s="784">
        <v>0</v>
      </c>
      <c r="Q556" s="783">
        <v>0</v>
      </c>
      <c r="R556" s="783"/>
      <c r="S556" s="784">
        <v>3053</v>
      </c>
      <c r="T556" s="785">
        <v>1049</v>
      </c>
      <c r="U556" s="785">
        <v>4102</v>
      </c>
    </row>
    <row r="557" spans="1:21" x14ac:dyDescent="0.25">
      <c r="A557" s="780">
        <v>96211</v>
      </c>
      <c r="B557" s="781" t="s">
        <v>1720</v>
      </c>
      <c r="C557" s="782">
        <v>2.7399999999999999E-5</v>
      </c>
      <c r="D557" s="782">
        <v>2.4700000000000001E-5</v>
      </c>
      <c r="E557" s="783">
        <v>13099</v>
      </c>
      <c r="F557" s="783">
        <v>-13632</v>
      </c>
      <c r="G557" s="783">
        <v>12297</v>
      </c>
      <c r="H557" s="783"/>
      <c r="I557" s="784">
        <v>0</v>
      </c>
      <c r="J557" s="784">
        <v>24712</v>
      </c>
      <c r="K557" s="784">
        <v>0</v>
      </c>
      <c r="L557" s="783">
        <v>3410</v>
      </c>
      <c r="M557" s="783"/>
      <c r="N557" s="784">
        <v>2891</v>
      </c>
      <c r="O557" s="784">
        <v>28213</v>
      </c>
      <c r="P557" s="784">
        <v>0</v>
      </c>
      <c r="Q557" s="783">
        <v>13475.93</v>
      </c>
      <c r="R557" s="783"/>
      <c r="S557" s="784">
        <v>5614</v>
      </c>
      <c r="T557" s="785">
        <v>-3614</v>
      </c>
      <c r="U557" s="785">
        <v>2000</v>
      </c>
    </row>
    <row r="558" spans="1:21" x14ac:dyDescent="0.25">
      <c r="A558" s="780">
        <v>96221</v>
      </c>
      <c r="B558" s="781" t="s">
        <v>1721</v>
      </c>
      <c r="C558" s="782">
        <v>2.3719999999999999E-4</v>
      </c>
      <c r="D558" s="782">
        <v>2.474E-4</v>
      </c>
      <c r="E558" s="783">
        <v>93411</v>
      </c>
      <c r="F558" s="783">
        <v>-136545</v>
      </c>
      <c r="G558" s="783">
        <v>106454</v>
      </c>
      <c r="H558" s="783"/>
      <c r="I558" s="784">
        <v>0</v>
      </c>
      <c r="J558" s="784">
        <v>213934</v>
      </c>
      <c r="K558" s="784">
        <v>0</v>
      </c>
      <c r="L558" s="783">
        <v>7367</v>
      </c>
      <c r="M558" s="783"/>
      <c r="N558" s="784">
        <v>25023</v>
      </c>
      <c r="O558" s="784">
        <v>244242</v>
      </c>
      <c r="P558" s="784">
        <v>0</v>
      </c>
      <c r="Q558" s="783">
        <v>9879</v>
      </c>
      <c r="R558" s="783"/>
      <c r="S558" s="784">
        <v>48603</v>
      </c>
      <c r="T558" s="785">
        <v>-122</v>
      </c>
      <c r="U558" s="785">
        <v>48481</v>
      </c>
    </row>
    <row r="559" spans="1:21" x14ac:dyDescent="0.25">
      <c r="A559" s="780">
        <v>96231</v>
      </c>
      <c r="B559" s="781" t="s">
        <v>1722</v>
      </c>
      <c r="C559" s="782">
        <v>1.2420000000000001E-4</v>
      </c>
      <c r="D559" s="782">
        <v>1.3109999999999999E-4</v>
      </c>
      <c r="E559" s="783">
        <v>43891</v>
      </c>
      <c r="F559" s="783">
        <v>-72356</v>
      </c>
      <c r="G559" s="783">
        <v>55740</v>
      </c>
      <c r="H559" s="783"/>
      <c r="I559" s="784">
        <v>0</v>
      </c>
      <c r="J559" s="784">
        <v>112018</v>
      </c>
      <c r="K559" s="784">
        <v>0</v>
      </c>
      <c r="L559" s="783">
        <v>0</v>
      </c>
      <c r="M559" s="783"/>
      <c r="N559" s="784">
        <v>13102</v>
      </c>
      <c r="O559" s="784">
        <v>127887</v>
      </c>
      <c r="P559" s="784">
        <v>0</v>
      </c>
      <c r="Q559" s="783">
        <v>17230</v>
      </c>
      <c r="R559" s="783"/>
      <c r="S559" s="784">
        <v>25449</v>
      </c>
      <c r="T559" s="785">
        <v>-5018</v>
      </c>
      <c r="U559" s="785">
        <v>20431</v>
      </c>
    </row>
    <row r="560" spans="1:21" x14ac:dyDescent="0.25">
      <c r="A560" s="780">
        <v>96241</v>
      </c>
      <c r="B560" s="781" t="s">
        <v>1723</v>
      </c>
      <c r="C560" s="782">
        <v>5.7000000000000003E-5</v>
      </c>
      <c r="D560" s="782">
        <v>5.5000000000000002E-5</v>
      </c>
      <c r="E560" s="783">
        <v>24238</v>
      </c>
      <c r="F560" s="783">
        <v>-30355.49</v>
      </c>
      <c r="G560" s="783">
        <v>25581</v>
      </c>
      <c r="H560" s="783"/>
      <c r="I560" s="784">
        <v>0</v>
      </c>
      <c r="J560" s="784">
        <v>51409</v>
      </c>
      <c r="K560" s="784">
        <v>0</v>
      </c>
      <c r="L560" s="783">
        <v>11582</v>
      </c>
      <c r="M560" s="783"/>
      <c r="N560" s="784">
        <v>6013</v>
      </c>
      <c r="O560" s="784">
        <v>58692</v>
      </c>
      <c r="P560" s="784">
        <v>0</v>
      </c>
      <c r="Q560" s="783">
        <v>0</v>
      </c>
      <c r="R560" s="783"/>
      <c r="S560" s="784">
        <v>11679</v>
      </c>
      <c r="T560" s="785">
        <v>3716</v>
      </c>
      <c r="U560" s="785">
        <v>15395</v>
      </c>
    </row>
    <row r="561" spans="1:21" x14ac:dyDescent="0.25">
      <c r="A561" s="780">
        <v>96251</v>
      </c>
      <c r="B561" s="781" t="s">
        <v>1724</v>
      </c>
      <c r="C561" s="782">
        <v>9.0699999999999996E-5</v>
      </c>
      <c r="D561" s="782">
        <v>1.127E-4</v>
      </c>
      <c r="E561" s="783">
        <v>34062</v>
      </c>
      <c r="F561" s="783">
        <v>-62201</v>
      </c>
      <c r="G561" s="783">
        <v>40706</v>
      </c>
      <c r="H561" s="783"/>
      <c r="I561" s="784">
        <v>0</v>
      </c>
      <c r="J561" s="784">
        <v>81804</v>
      </c>
      <c r="K561" s="784">
        <v>0</v>
      </c>
      <c r="L561" s="783">
        <v>0</v>
      </c>
      <c r="M561" s="783"/>
      <c r="N561" s="784">
        <v>9568</v>
      </c>
      <c r="O561" s="784">
        <v>93393</v>
      </c>
      <c r="P561" s="784">
        <v>0</v>
      </c>
      <c r="Q561" s="783">
        <v>22611</v>
      </c>
      <c r="R561" s="783"/>
      <c r="S561" s="784">
        <v>18585</v>
      </c>
      <c r="T561" s="785">
        <v>-6269</v>
      </c>
      <c r="U561" s="785">
        <v>12315</v>
      </c>
    </row>
    <row r="562" spans="1:21" x14ac:dyDescent="0.25">
      <c r="A562" s="780">
        <v>96301</v>
      </c>
      <c r="B562" s="781" t="s">
        <v>1725</v>
      </c>
      <c r="C562" s="782">
        <v>4.5367999999999997E-3</v>
      </c>
      <c r="D562" s="782">
        <v>4.3090000000000003E-3</v>
      </c>
      <c r="E562" s="783">
        <v>1811574</v>
      </c>
      <c r="F562" s="783">
        <v>-2378215</v>
      </c>
      <c r="G562" s="783">
        <v>2036089</v>
      </c>
      <c r="H562" s="783"/>
      <c r="I562" s="784">
        <v>0</v>
      </c>
      <c r="J562" s="784">
        <v>4091813</v>
      </c>
      <c r="K562" s="784">
        <v>0</v>
      </c>
      <c r="L562" s="783">
        <v>127584</v>
      </c>
      <c r="M562" s="783"/>
      <c r="N562" s="784">
        <v>478601</v>
      </c>
      <c r="O562" s="784">
        <v>4671484</v>
      </c>
      <c r="P562" s="784">
        <v>0</v>
      </c>
      <c r="Q562" s="783">
        <v>50322</v>
      </c>
      <c r="R562" s="783"/>
      <c r="S562" s="784">
        <v>929599</v>
      </c>
      <c r="T562" s="785">
        <v>16569</v>
      </c>
      <c r="U562" s="785">
        <v>946168</v>
      </c>
    </row>
    <row r="563" spans="1:21" x14ac:dyDescent="0.25">
      <c r="A563" s="780">
        <v>96302</v>
      </c>
      <c r="B563" s="781" t="s">
        <v>1726</v>
      </c>
      <c r="C563" s="782">
        <v>1.42E-5</v>
      </c>
      <c r="D563" s="782">
        <v>1.2799999999999999E-5</v>
      </c>
      <c r="E563" s="783">
        <v>8086</v>
      </c>
      <c r="F563" s="783">
        <v>-7065</v>
      </c>
      <c r="G563" s="783">
        <v>6373</v>
      </c>
      <c r="H563" s="783"/>
      <c r="I563" s="784">
        <v>0</v>
      </c>
      <c r="J563" s="784">
        <v>12807</v>
      </c>
      <c r="K563" s="784">
        <v>0</v>
      </c>
      <c r="L563" s="783">
        <v>3813</v>
      </c>
      <c r="M563" s="783"/>
      <c r="N563" s="784">
        <v>1498</v>
      </c>
      <c r="O563" s="784">
        <v>14622</v>
      </c>
      <c r="P563" s="784">
        <v>0</v>
      </c>
      <c r="Q563" s="783">
        <v>0</v>
      </c>
      <c r="R563" s="783"/>
      <c r="S563" s="784">
        <v>2910</v>
      </c>
      <c r="T563" s="785">
        <v>1072</v>
      </c>
      <c r="U563" s="785">
        <v>3982</v>
      </c>
    </row>
    <row r="564" spans="1:21" x14ac:dyDescent="0.25">
      <c r="A564" s="780">
        <v>96304</v>
      </c>
      <c r="B564" s="781" t="s">
        <v>1727</v>
      </c>
      <c r="C564" s="782">
        <v>5.24E-5</v>
      </c>
      <c r="D564" s="782">
        <v>4.8999999999999998E-5</v>
      </c>
      <c r="E564" s="783">
        <v>25444</v>
      </c>
      <c r="F564" s="783">
        <v>-27044</v>
      </c>
      <c r="G564" s="783">
        <v>23517</v>
      </c>
      <c r="H564" s="783"/>
      <c r="I564" s="784">
        <v>0</v>
      </c>
      <c r="J564" s="784">
        <v>47260</v>
      </c>
      <c r="K564" s="784">
        <v>0</v>
      </c>
      <c r="L564" s="783">
        <v>5596</v>
      </c>
      <c r="M564" s="783"/>
      <c r="N564" s="784">
        <v>5528</v>
      </c>
      <c r="O564" s="784">
        <v>53956</v>
      </c>
      <c r="P564" s="784">
        <v>0</v>
      </c>
      <c r="Q564" s="783">
        <v>347</v>
      </c>
      <c r="R564" s="783"/>
      <c r="S564" s="784">
        <v>10737</v>
      </c>
      <c r="T564" s="785">
        <v>1349</v>
      </c>
      <c r="U564" s="785">
        <v>12086</v>
      </c>
    </row>
    <row r="565" spans="1:21" x14ac:dyDescent="0.25">
      <c r="A565" s="780">
        <v>96305</v>
      </c>
      <c r="B565" s="781" t="s">
        <v>1728</v>
      </c>
      <c r="C565" s="782">
        <v>5.0399999999999999E-5</v>
      </c>
      <c r="D565" s="782">
        <v>4.8699999999999998E-5</v>
      </c>
      <c r="E565" s="783">
        <v>27665</v>
      </c>
      <c r="F565" s="783">
        <v>-26878</v>
      </c>
      <c r="G565" s="783">
        <v>22619</v>
      </c>
      <c r="H565" s="783"/>
      <c r="I565" s="784">
        <v>0</v>
      </c>
      <c r="J565" s="784">
        <v>45457</v>
      </c>
      <c r="K565" s="784">
        <v>0</v>
      </c>
      <c r="L565" s="783">
        <v>6951</v>
      </c>
      <c r="M565" s="783"/>
      <c r="N565" s="784">
        <v>5317</v>
      </c>
      <c r="O565" s="784">
        <v>51896</v>
      </c>
      <c r="P565" s="784">
        <v>0</v>
      </c>
      <c r="Q565" s="783">
        <v>0</v>
      </c>
      <c r="R565" s="783"/>
      <c r="S565" s="784">
        <v>10327</v>
      </c>
      <c r="T565" s="785">
        <v>1830</v>
      </c>
      <c r="U565" s="785">
        <v>12157</v>
      </c>
    </row>
    <row r="566" spans="1:21" x14ac:dyDescent="0.25">
      <c r="A566" s="780">
        <v>96310</v>
      </c>
      <c r="B566" s="781" t="s">
        <v>1729</v>
      </c>
      <c r="C566" s="782">
        <v>6.1299999999999999E-5</v>
      </c>
      <c r="D566" s="782">
        <v>6.0099999999999997E-5</v>
      </c>
      <c r="E566" s="783">
        <v>27132</v>
      </c>
      <c r="F566" s="783">
        <v>-33170</v>
      </c>
      <c r="G566" s="783">
        <v>27511</v>
      </c>
      <c r="H566" s="783"/>
      <c r="I566" s="784">
        <v>0</v>
      </c>
      <c r="J566" s="784">
        <v>55287</v>
      </c>
      <c r="K566" s="784">
        <v>0</v>
      </c>
      <c r="L566" s="783">
        <v>8825</v>
      </c>
      <c r="M566" s="783"/>
      <c r="N566" s="784">
        <v>6467</v>
      </c>
      <c r="O566" s="784">
        <v>63120</v>
      </c>
      <c r="P566" s="784">
        <v>0</v>
      </c>
      <c r="Q566" s="783">
        <v>0</v>
      </c>
      <c r="R566" s="783"/>
      <c r="S566" s="784">
        <v>12560</v>
      </c>
      <c r="T566" s="785">
        <v>2769</v>
      </c>
      <c r="U566" s="785">
        <v>15330</v>
      </c>
    </row>
    <row r="567" spans="1:21" x14ac:dyDescent="0.25">
      <c r="A567" s="780">
        <v>96311</v>
      </c>
      <c r="B567" s="781" t="s">
        <v>1730</v>
      </c>
      <c r="C567" s="782">
        <v>1.4383E-3</v>
      </c>
      <c r="D567" s="782">
        <v>1.42E-3</v>
      </c>
      <c r="E567" s="783">
        <v>524962</v>
      </c>
      <c r="F567" s="783">
        <v>-783723.56</v>
      </c>
      <c r="G567" s="783">
        <v>645500</v>
      </c>
      <c r="H567" s="783"/>
      <c r="I567" s="784">
        <v>0</v>
      </c>
      <c r="J567" s="784">
        <v>1297226</v>
      </c>
      <c r="K567" s="784">
        <v>0</v>
      </c>
      <c r="L567" s="783">
        <v>33347.47</v>
      </c>
      <c r="M567" s="783"/>
      <c r="N567" s="784">
        <v>151731</v>
      </c>
      <c r="O567" s="784">
        <v>1480999</v>
      </c>
      <c r="P567" s="784">
        <v>0</v>
      </c>
      <c r="Q567" s="783">
        <v>36509</v>
      </c>
      <c r="R567" s="783"/>
      <c r="S567" s="784">
        <v>294711</v>
      </c>
      <c r="T567" s="785">
        <v>1596</v>
      </c>
      <c r="U567" s="785">
        <v>296306</v>
      </c>
    </row>
    <row r="568" spans="1:21" x14ac:dyDescent="0.25">
      <c r="A568" s="780">
        <v>96312</v>
      </c>
      <c r="B568" s="781" t="s">
        <v>1731</v>
      </c>
      <c r="C568" s="782">
        <v>4.7999999999999998E-6</v>
      </c>
      <c r="D568" s="782">
        <v>6.7000000000000002E-6</v>
      </c>
      <c r="E568" s="783">
        <v>3730</v>
      </c>
      <c r="F568" s="783">
        <v>-3698</v>
      </c>
      <c r="G568" s="783">
        <v>2154</v>
      </c>
      <c r="H568" s="783"/>
      <c r="I568" s="784">
        <v>0</v>
      </c>
      <c r="J568" s="784">
        <v>4329</v>
      </c>
      <c r="K568" s="784">
        <v>0</v>
      </c>
      <c r="L568" s="783">
        <v>70</v>
      </c>
      <c r="M568" s="783"/>
      <c r="N568" s="784">
        <v>506</v>
      </c>
      <c r="O568" s="784">
        <v>4942</v>
      </c>
      <c r="P568" s="784">
        <v>0</v>
      </c>
      <c r="Q568" s="783">
        <v>4120.22</v>
      </c>
      <c r="R568" s="783"/>
      <c r="S568" s="784">
        <v>984</v>
      </c>
      <c r="T568" s="785">
        <v>-1360</v>
      </c>
      <c r="U568" s="785">
        <v>-376</v>
      </c>
    </row>
    <row r="569" spans="1:21" x14ac:dyDescent="0.25">
      <c r="A569" s="780">
        <v>96321</v>
      </c>
      <c r="B569" s="781" t="s">
        <v>1732</v>
      </c>
      <c r="C569" s="782">
        <v>3.9700000000000003E-5</v>
      </c>
      <c r="D569" s="782">
        <v>3.4999999999999997E-5</v>
      </c>
      <c r="E569" s="783">
        <v>13477</v>
      </c>
      <c r="F569" s="783">
        <v>-19317</v>
      </c>
      <c r="G569" s="783">
        <v>17817</v>
      </c>
      <c r="H569" s="783"/>
      <c r="I569" s="784">
        <v>0</v>
      </c>
      <c r="J569" s="784">
        <v>35806</v>
      </c>
      <c r="K569" s="784">
        <v>0</v>
      </c>
      <c r="L569" s="783">
        <v>1133</v>
      </c>
      <c r="M569" s="783"/>
      <c r="N569" s="784">
        <v>4188</v>
      </c>
      <c r="O569" s="784">
        <v>40879</v>
      </c>
      <c r="P569" s="784">
        <v>0</v>
      </c>
      <c r="Q569" s="783">
        <v>936</v>
      </c>
      <c r="R569" s="783"/>
      <c r="S569" s="784">
        <v>8135</v>
      </c>
      <c r="T569" s="785">
        <v>-16</v>
      </c>
      <c r="U569" s="785">
        <v>8118</v>
      </c>
    </row>
    <row r="570" spans="1:21" x14ac:dyDescent="0.25">
      <c r="A570" s="780">
        <v>96331</v>
      </c>
      <c r="B570" s="781" t="s">
        <v>1733</v>
      </c>
      <c r="C570" s="782">
        <v>7.6110000000000001E-4</v>
      </c>
      <c r="D570" s="782">
        <v>7.138E-4</v>
      </c>
      <c r="E570" s="783">
        <v>277090</v>
      </c>
      <c r="F570" s="783">
        <v>-393959</v>
      </c>
      <c r="G570" s="783">
        <v>341577</v>
      </c>
      <c r="H570" s="783"/>
      <c r="I570" s="784">
        <v>0</v>
      </c>
      <c r="J570" s="784">
        <v>686448</v>
      </c>
      <c r="K570" s="784">
        <v>0</v>
      </c>
      <c r="L570" s="783">
        <v>6521</v>
      </c>
      <c r="M570" s="783"/>
      <c r="N570" s="784">
        <v>80291</v>
      </c>
      <c r="O570" s="784">
        <v>783695</v>
      </c>
      <c r="P570" s="784">
        <v>0</v>
      </c>
      <c r="Q570" s="783">
        <v>28384</v>
      </c>
      <c r="R570" s="783"/>
      <c r="S570" s="784">
        <v>155951</v>
      </c>
      <c r="T570" s="785">
        <v>-7786</v>
      </c>
      <c r="U570" s="785">
        <v>148165</v>
      </c>
    </row>
    <row r="571" spans="1:21" x14ac:dyDescent="0.25">
      <c r="A571" s="780">
        <v>96341</v>
      </c>
      <c r="B571" s="781" t="s">
        <v>1734</v>
      </c>
      <c r="C571" s="782">
        <v>8.0799999999999999E-5</v>
      </c>
      <c r="D571" s="782">
        <v>6.2199999999999994E-5</v>
      </c>
      <c r="E571" s="783">
        <v>36228</v>
      </c>
      <c r="F571" s="783">
        <v>-34329</v>
      </c>
      <c r="G571" s="783">
        <v>36263</v>
      </c>
      <c r="H571" s="783"/>
      <c r="I571" s="784">
        <v>0</v>
      </c>
      <c r="J571" s="784">
        <v>72875</v>
      </c>
      <c r="K571" s="784">
        <v>0</v>
      </c>
      <c r="L571" s="783">
        <v>15619</v>
      </c>
      <c r="M571" s="783"/>
      <c r="N571" s="784">
        <v>8524</v>
      </c>
      <c r="O571" s="784">
        <v>83199</v>
      </c>
      <c r="P571" s="784">
        <v>0</v>
      </c>
      <c r="Q571" s="783">
        <v>16810</v>
      </c>
      <c r="R571" s="783"/>
      <c r="S571" s="784">
        <v>16556</v>
      </c>
      <c r="T571" s="785">
        <v>-1533</v>
      </c>
      <c r="U571" s="785">
        <v>15023</v>
      </c>
    </row>
    <row r="572" spans="1:21" x14ac:dyDescent="0.25">
      <c r="A572" s="780">
        <v>96351</v>
      </c>
      <c r="B572" s="781" t="s">
        <v>1735</v>
      </c>
      <c r="C572" s="782">
        <v>1.0939999999999999E-3</v>
      </c>
      <c r="D572" s="782">
        <v>1.0826E-3</v>
      </c>
      <c r="E572" s="783">
        <v>444788</v>
      </c>
      <c r="F572" s="783">
        <v>-597506</v>
      </c>
      <c r="G572" s="783">
        <v>490981</v>
      </c>
      <c r="H572" s="783"/>
      <c r="I572" s="784">
        <v>0</v>
      </c>
      <c r="J572" s="784">
        <v>986696</v>
      </c>
      <c r="K572" s="784">
        <v>0</v>
      </c>
      <c r="L572" s="783">
        <v>13512</v>
      </c>
      <c r="M572" s="783"/>
      <c r="N572" s="784">
        <v>115409</v>
      </c>
      <c r="O572" s="784">
        <v>1126478</v>
      </c>
      <c r="P572" s="784">
        <v>0</v>
      </c>
      <c r="Q572" s="783">
        <v>0</v>
      </c>
      <c r="R572" s="783"/>
      <c r="S572" s="784">
        <v>224163</v>
      </c>
      <c r="T572" s="785">
        <v>4046</v>
      </c>
      <c r="U572" s="785">
        <v>228208</v>
      </c>
    </row>
    <row r="573" spans="1:21" x14ac:dyDescent="0.25">
      <c r="A573" s="780">
        <v>96361</v>
      </c>
      <c r="B573" s="781" t="s">
        <v>1736</v>
      </c>
      <c r="C573" s="782">
        <v>4.8999999999999998E-5</v>
      </c>
      <c r="D573" s="782">
        <v>4.9499999999999997E-5</v>
      </c>
      <c r="E573" s="783">
        <v>19782</v>
      </c>
      <c r="F573" s="783">
        <v>-27320</v>
      </c>
      <c r="G573" s="783">
        <v>21991</v>
      </c>
      <c r="H573" s="783"/>
      <c r="I573" s="784">
        <v>0</v>
      </c>
      <c r="J573" s="784">
        <v>44194</v>
      </c>
      <c r="K573" s="784">
        <v>0</v>
      </c>
      <c r="L573" s="783">
        <v>3094.65</v>
      </c>
      <c r="M573" s="783"/>
      <c r="N573" s="784">
        <v>5169</v>
      </c>
      <c r="O573" s="784">
        <v>50455</v>
      </c>
      <c r="P573" s="784">
        <v>0</v>
      </c>
      <c r="Q573" s="783">
        <v>528</v>
      </c>
      <c r="R573" s="783"/>
      <c r="S573" s="784">
        <v>10040</v>
      </c>
      <c r="T573" s="785">
        <v>897</v>
      </c>
      <c r="U573" s="785">
        <v>10937</v>
      </c>
    </row>
    <row r="574" spans="1:21" x14ac:dyDescent="0.25">
      <c r="A574" s="780">
        <v>96371</v>
      </c>
      <c r="B574" s="781" t="s">
        <v>1737</v>
      </c>
      <c r="C574" s="782">
        <v>1.6760000000000001E-4</v>
      </c>
      <c r="D574" s="782">
        <v>1.652E-4</v>
      </c>
      <c r="E574" s="783">
        <v>63222</v>
      </c>
      <c r="F574" s="783">
        <v>-91177</v>
      </c>
      <c r="G574" s="783">
        <v>75218</v>
      </c>
      <c r="H574" s="783"/>
      <c r="I574" s="784">
        <v>0</v>
      </c>
      <c r="J574" s="784">
        <v>151161</v>
      </c>
      <c r="K574" s="784">
        <v>0</v>
      </c>
      <c r="L574" s="783">
        <v>4031</v>
      </c>
      <c r="M574" s="783"/>
      <c r="N574" s="784">
        <v>17681</v>
      </c>
      <c r="O574" s="784">
        <v>172576</v>
      </c>
      <c r="P574" s="784">
        <v>0</v>
      </c>
      <c r="Q574" s="783">
        <v>2442</v>
      </c>
      <c r="R574" s="783"/>
      <c r="S574" s="784">
        <v>34342</v>
      </c>
      <c r="T574" s="785">
        <v>709</v>
      </c>
      <c r="U574" s="785">
        <v>35050</v>
      </c>
    </row>
    <row r="575" spans="1:21" x14ac:dyDescent="0.25">
      <c r="A575" s="780">
        <v>96381</v>
      </c>
      <c r="B575" s="781" t="s">
        <v>1738</v>
      </c>
      <c r="C575" s="782">
        <v>2.9600000000000001E-5</v>
      </c>
      <c r="D575" s="782">
        <v>3.4700000000000003E-5</v>
      </c>
      <c r="E575" s="783">
        <v>12883</v>
      </c>
      <c r="F575" s="783">
        <v>-19152</v>
      </c>
      <c r="G575" s="783">
        <v>13284</v>
      </c>
      <c r="H575" s="783"/>
      <c r="I575" s="784">
        <v>0</v>
      </c>
      <c r="J575" s="784">
        <v>26697</v>
      </c>
      <c r="K575" s="784">
        <v>0</v>
      </c>
      <c r="L575" s="783">
        <v>0</v>
      </c>
      <c r="M575" s="783"/>
      <c r="N575" s="784">
        <v>3123</v>
      </c>
      <c r="O575" s="784">
        <v>30479</v>
      </c>
      <c r="P575" s="784">
        <v>0</v>
      </c>
      <c r="Q575" s="783">
        <v>4319</v>
      </c>
      <c r="R575" s="783"/>
      <c r="S575" s="784">
        <v>6065</v>
      </c>
      <c r="T575" s="785">
        <v>-1230</v>
      </c>
      <c r="U575" s="785">
        <v>4835</v>
      </c>
    </row>
    <row r="576" spans="1:21" x14ac:dyDescent="0.25">
      <c r="A576" s="780">
        <v>96391</v>
      </c>
      <c r="B576" s="781" t="s">
        <v>1739</v>
      </c>
      <c r="C576" s="782">
        <v>1.9450000000000001E-4</v>
      </c>
      <c r="D576" s="782">
        <v>1.9680000000000001E-4</v>
      </c>
      <c r="E576" s="783">
        <v>60801</v>
      </c>
      <c r="F576" s="783">
        <v>-108617</v>
      </c>
      <c r="G576" s="783">
        <v>87290</v>
      </c>
      <c r="H576" s="783"/>
      <c r="I576" s="784">
        <v>0</v>
      </c>
      <c r="J576" s="784">
        <v>175423</v>
      </c>
      <c r="K576" s="784">
        <v>0</v>
      </c>
      <c r="L576" s="783">
        <v>29690.7</v>
      </c>
      <c r="M576" s="783"/>
      <c r="N576" s="784">
        <v>20518</v>
      </c>
      <c r="O576" s="784">
        <v>200274</v>
      </c>
      <c r="P576" s="784">
        <v>0</v>
      </c>
      <c r="Q576" s="783">
        <v>16363</v>
      </c>
      <c r="R576" s="783"/>
      <c r="S576" s="784">
        <v>39853</v>
      </c>
      <c r="T576" s="785">
        <v>5646</v>
      </c>
      <c r="U576" s="785">
        <v>45500</v>
      </c>
    </row>
    <row r="577" spans="1:21" x14ac:dyDescent="0.25">
      <c r="A577" s="780">
        <v>96401</v>
      </c>
      <c r="B577" s="781" t="s">
        <v>1740</v>
      </c>
      <c r="C577" s="782">
        <v>4.5434999999999998E-3</v>
      </c>
      <c r="D577" s="782">
        <v>4.6289E-3</v>
      </c>
      <c r="E577" s="783">
        <v>1894272</v>
      </c>
      <c r="F577" s="783">
        <v>-2554773</v>
      </c>
      <c r="G577" s="783">
        <v>2039096</v>
      </c>
      <c r="H577" s="783"/>
      <c r="I577" s="784">
        <v>0</v>
      </c>
      <c r="J577" s="784">
        <v>4097855</v>
      </c>
      <c r="K577" s="784">
        <v>0</v>
      </c>
      <c r="L577" s="783">
        <v>47927</v>
      </c>
      <c r="M577" s="783"/>
      <c r="N577" s="784">
        <v>479307</v>
      </c>
      <c r="O577" s="784">
        <v>4678383</v>
      </c>
      <c r="P577" s="784">
        <v>0</v>
      </c>
      <c r="Q577" s="783">
        <v>28827</v>
      </c>
      <c r="R577" s="783"/>
      <c r="S577" s="784">
        <v>930972</v>
      </c>
      <c r="T577" s="785">
        <v>8483</v>
      </c>
      <c r="U577" s="785">
        <v>939455</v>
      </c>
    </row>
    <row r="578" spans="1:21" x14ac:dyDescent="0.25">
      <c r="A578" s="780">
        <v>96404</v>
      </c>
      <c r="B578" s="781" t="s">
        <v>1741</v>
      </c>
      <c r="C578" s="782">
        <v>8.92E-5</v>
      </c>
      <c r="D578" s="782">
        <v>9.0199999999999997E-5</v>
      </c>
      <c r="E578" s="783">
        <v>50597</v>
      </c>
      <c r="F578" s="783">
        <v>-49783</v>
      </c>
      <c r="G578" s="783">
        <v>40032</v>
      </c>
      <c r="H578" s="783"/>
      <c r="I578" s="784">
        <v>0</v>
      </c>
      <c r="J578" s="784">
        <v>80451</v>
      </c>
      <c r="K578" s="784">
        <v>0</v>
      </c>
      <c r="L578" s="783">
        <v>16085</v>
      </c>
      <c r="M578" s="783"/>
      <c r="N578" s="784">
        <v>9410</v>
      </c>
      <c r="O578" s="784">
        <v>91848</v>
      </c>
      <c r="P578" s="784">
        <v>0</v>
      </c>
      <c r="Q578" s="783">
        <v>0</v>
      </c>
      <c r="R578" s="783"/>
      <c r="S578" s="784">
        <v>18277</v>
      </c>
      <c r="T578" s="785">
        <v>4614</v>
      </c>
      <c r="U578" s="785">
        <v>22891</v>
      </c>
    </row>
    <row r="579" spans="1:21" x14ac:dyDescent="0.25">
      <c r="A579" s="780">
        <v>96405</v>
      </c>
      <c r="B579" s="781" t="s">
        <v>1742</v>
      </c>
      <c r="C579" s="782">
        <v>1.942E-4</v>
      </c>
      <c r="D579" s="782">
        <v>1.775E-4</v>
      </c>
      <c r="E579" s="783">
        <v>91571</v>
      </c>
      <c r="F579" s="783">
        <v>-97965</v>
      </c>
      <c r="G579" s="783">
        <v>87156</v>
      </c>
      <c r="H579" s="783"/>
      <c r="I579" s="784">
        <v>0</v>
      </c>
      <c r="J579" s="784">
        <v>175152</v>
      </c>
      <c r="K579" s="784">
        <v>0</v>
      </c>
      <c r="L579" s="783">
        <v>21454</v>
      </c>
      <c r="M579" s="783"/>
      <c r="N579" s="784">
        <v>20487</v>
      </c>
      <c r="O579" s="784">
        <v>199965</v>
      </c>
      <c r="P579" s="784">
        <v>0</v>
      </c>
      <c r="Q579" s="783">
        <v>2631</v>
      </c>
      <c r="R579" s="783"/>
      <c r="S579" s="784">
        <v>39792</v>
      </c>
      <c r="T579" s="785">
        <v>4736</v>
      </c>
      <c r="U579" s="785">
        <v>44528</v>
      </c>
    </row>
    <row r="580" spans="1:21" x14ac:dyDescent="0.25">
      <c r="A580" s="780">
        <v>96411</v>
      </c>
      <c r="B580" s="781" t="s">
        <v>1743</v>
      </c>
      <c r="C580" s="782">
        <v>6.6699999999999995E-5</v>
      </c>
      <c r="D580" s="782">
        <v>4.7899999999999999E-5</v>
      </c>
      <c r="E580" s="783">
        <v>24569</v>
      </c>
      <c r="F580" s="783">
        <v>-26437</v>
      </c>
      <c r="G580" s="783">
        <v>29935</v>
      </c>
      <c r="H580" s="783"/>
      <c r="I580" s="784">
        <v>0</v>
      </c>
      <c r="J580" s="784">
        <v>60158</v>
      </c>
      <c r="K580" s="784">
        <v>0</v>
      </c>
      <c r="L580" s="783">
        <v>11082</v>
      </c>
      <c r="M580" s="783"/>
      <c r="N580" s="784">
        <v>7036</v>
      </c>
      <c r="O580" s="784">
        <v>68680</v>
      </c>
      <c r="P580" s="784">
        <v>0</v>
      </c>
      <c r="Q580" s="783">
        <v>3306.94</v>
      </c>
      <c r="R580" s="783"/>
      <c r="S580" s="784">
        <v>13667</v>
      </c>
      <c r="T580" s="785">
        <v>1795</v>
      </c>
      <c r="U580" s="785">
        <v>15462</v>
      </c>
    </row>
    <row r="581" spans="1:21" x14ac:dyDescent="0.25">
      <c r="A581" s="780">
        <v>96421</v>
      </c>
      <c r="B581" s="781" t="s">
        <v>1744</v>
      </c>
      <c r="C581" s="782">
        <v>4.6069999999999998E-4</v>
      </c>
      <c r="D581" s="782">
        <v>4.8440000000000001E-4</v>
      </c>
      <c r="E581" s="783">
        <v>158107</v>
      </c>
      <c r="F581" s="783">
        <v>-267349</v>
      </c>
      <c r="G581" s="783">
        <v>206759</v>
      </c>
      <c r="H581" s="783"/>
      <c r="I581" s="784">
        <v>0</v>
      </c>
      <c r="J581" s="784">
        <v>415513</v>
      </c>
      <c r="K581" s="784">
        <v>0</v>
      </c>
      <c r="L581" s="783">
        <v>0</v>
      </c>
      <c r="M581" s="783"/>
      <c r="N581" s="784">
        <v>48601</v>
      </c>
      <c r="O581" s="784">
        <v>474377</v>
      </c>
      <c r="P581" s="784">
        <v>0</v>
      </c>
      <c r="Q581" s="783">
        <v>67679</v>
      </c>
      <c r="R581" s="783"/>
      <c r="S581" s="784">
        <v>94398</v>
      </c>
      <c r="T581" s="785">
        <v>-19699</v>
      </c>
      <c r="U581" s="785">
        <v>74699</v>
      </c>
    </row>
    <row r="582" spans="1:21" x14ac:dyDescent="0.25">
      <c r="A582" s="780">
        <v>96431</v>
      </c>
      <c r="B582" s="781" t="s">
        <v>1745</v>
      </c>
      <c r="C582" s="782">
        <v>3.9400000000000002E-5</v>
      </c>
      <c r="D582" s="782">
        <v>5.1900000000000001E-5</v>
      </c>
      <c r="E582" s="783">
        <v>23323</v>
      </c>
      <c r="F582" s="783">
        <v>-28645</v>
      </c>
      <c r="G582" s="783">
        <v>17682</v>
      </c>
      <c r="H582" s="783"/>
      <c r="I582" s="784">
        <v>0</v>
      </c>
      <c r="J582" s="784">
        <v>35535</v>
      </c>
      <c r="K582" s="784">
        <v>0</v>
      </c>
      <c r="L582" s="783">
        <v>0</v>
      </c>
      <c r="M582" s="783"/>
      <c r="N582" s="784">
        <v>4156</v>
      </c>
      <c r="O582" s="784">
        <v>40570</v>
      </c>
      <c r="P582" s="784">
        <v>0</v>
      </c>
      <c r="Q582" s="783">
        <v>6311</v>
      </c>
      <c r="R582" s="783"/>
      <c r="S582" s="784">
        <v>8073</v>
      </c>
      <c r="T582" s="785">
        <v>-1890</v>
      </c>
      <c r="U582" s="785">
        <v>6183</v>
      </c>
    </row>
    <row r="583" spans="1:21" x14ac:dyDescent="0.25">
      <c r="A583" s="780">
        <v>96441</v>
      </c>
      <c r="B583" s="781" t="s">
        <v>1746</v>
      </c>
      <c r="C583" s="782">
        <v>3.9100000000000002E-5</v>
      </c>
      <c r="D583" s="782">
        <v>2.9200000000000002E-5</v>
      </c>
      <c r="E583" s="783">
        <v>18949</v>
      </c>
      <c r="F583" s="783">
        <v>-16116</v>
      </c>
      <c r="G583" s="783">
        <v>17548</v>
      </c>
      <c r="H583" s="783"/>
      <c r="I583" s="784">
        <v>0</v>
      </c>
      <c r="J583" s="784">
        <v>35265</v>
      </c>
      <c r="K583" s="784">
        <v>0</v>
      </c>
      <c r="L583" s="783">
        <v>9313</v>
      </c>
      <c r="M583" s="783"/>
      <c r="N583" s="784">
        <v>4125</v>
      </c>
      <c r="O583" s="784">
        <v>40261</v>
      </c>
      <c r="P583" s="784">
        <v>0</v>
      </c>
      <c r="Q583" s="783">
        <v>1061.45</v>
      </c>
      <c r="R583" s="783"/>
      <c r="S583" s="784">
        <v>8012</v>
      </c>
      <c r="T583" s="785">
        <v>2083</v>
      </c>
      <c r="U583" s="785">
        <v>10095</v>
      </c>
    </row>
    <row r="584" spans="1:21" x14ac:dyDescent="0.25">
      <c r="A584" s="780">
        <v>96451</v>
      </c>
      <c r="B584" s="781" t="s">
        <v>1747</v>
      </c>
      <c r="C584" s="782">
        <v>8.8999999999999995E-6</v>
      </c>
      <c r="D584" s="782">
        <v>1.5800000000000001E-5</v>
      </c>
      <c r="E584" s="783">
        <v>7144</v>
      </c>
      <c r="F584" s="783">
        <v>-8720</v>
      </c>
      <c r="G584" s="783">
        <v>3994</v>
      </c>
      <c r="H584" s="783"/>
      <c r="I584" s="784">
        <v>0</v>
      </c>
      <c r="J584" s="784">
        <v>8027</v>
      </c>
      <c r="K584" s="784">
        <v>0</v>
      </c>
      <c r="L584" s="783">
        <v>0</v>
      </c>
      <c r="M584" s="783"/>
      <c r="N584" s="784">
        <v>939</v>
      </c>
      <c r="O584" s="784">
        <v>9164</v>
      </c>
      <c r="P584" s="784">
        <v>0</v>
      </c>
      <c r="Q584" s="783">
        <v>3080</v>
      </c>
      <c r="R584" s="783"/>
      <c r="S584" s="784">
        <v>1824</v>
      </c>
      <c r="T584" s="785">
        <v>-880</v>
      </c>
      <c r="U584" s="785">
        <v>943</v>
      </c>
    </row>
    <row r="585" spans="1:21" x14ac:dyDescent="0.25">
      <c r="A585" s="780">
        <v>96461</v>
      </c>
      <c r="B585" s="781" t="s">
        <v>1748</v>
      </c>
      <c r="C585" s="782">
        <v>1.6129999999999999E-4</v>
      </c>
      <c r="D585" s="782">
        <v>1.9210000000000001E-4</v>
      </c>
      <c r="E585" s="783">
        <v>64771</v>
      </c>
      <c r="F585" s="783">
        <v>-106023</v>
      </c>
      <c r="G585" s="783">
        <v>72390</v>
      </c>
      <c r="H585" s="783"/>
      <c r="I585" s="784">
        <v>0</v>
      </c>
      <c r="J585" s="784">
        <v>145479</v>
      </c>
      <c r="K585" s="784">
        <v>0</v>
      </c>
      <c r="L585" s="783">
        <v>12089</v>
      </c>
      <c r="M585" s="783"/>
      <c r="N585" s="784">
        <v>17016</v>
      </c>
      <c r="O585" s="784">
        <v>166089</v>
      </c>
      <c r="P585" s="784">
        <v>0</v>
      </c>
      <c r="Q585" s="783">
        <v>22473</v>
      </c>
      <c r="R585" s="783"/>
      <c r="S585" s="784">
        <v>33051</v>
      </c>
      <c r="T585" s="785">
        <v>-1840</v>
      </c>
      <c r="U585" s="785">
        <v>31211</v>
      </c>
    </row>
    <row r="586" spans="1:21" x14ac:dyDescent="0.25">
      <c r="A586" s="780">
        <v>96501</v>
      </c>
      <c r="B586" s="781" t="s">
        <v>1749</v>
      </c>
      <c r="C586" s="782">
        <v>1.4844599999999999E-2</v>
      </c>
      <c r="D586" s="782">
        <v>1.36948E-2</v>
      </c>
      <c r="E586" s="783">
        <v>5637296</v>
      </c>
      <c r="F586" s="783">
        <v>-7558407</v>
      </c>
      <c r="G586" s="783">
        <v>6662167</v>
      </c>
      <c r="H586" s="783"/>
      <c r="I586" s="784">
        <v>0</v>
      </c>
      <c r="J586" s="784">
        <v>13388582</v>
      </c>
      <c r="K586" s="784">
        <v>0</v>
      </c>
      <c r="L586" s="783">
        <v>846416</v>
      </c>
      <c r="M586" s="783"/>
      <c r="N586" s="784">
        <v>1566001</v>
      </c>
      <c r="O586" s="784">
        <v>15285292</v>
      </c>
      <c r="P586" s="784">
        <v>0</v>
      </c>
      <c r="Q586" s="783">
        <v>0</v>
      </c>
      <c r="R586" s="783"/>
      <c r="S586" s="784">
        <v>3041688</v>
      </c>
      <c r="T586" s="785">
        <v>248839</v>
      </c>
      <c r="U586" s="785">
        <v>3290527</v>
      </c>
    </row>
    <row r="587" spans="1:21" x14ac:dyDescent="0.25">
      <c r="A587" s="780">
        <v>96502</v>
      </c>
      <c r="B587" s="781" t="s">
        <v>1750</v>
      </c>
      <c r="C587" s="782">
        <v>3.9639999999999999E-4</v>
      </c>
      <c r="D587" s="782">
        <v>3.8949999999999998E-4</v>
      </c>
      <c r="E587" s="783">
        <v>179348</v>
      </c>
      <c r="F587" s="783">
        <v>-214972</v>
      </c>
      <c r="G587" s="783">
        <v>177902</v>
      </c>
      <c r="H587" s="783"/>
      <c r="I587" s="784">
        <v>0</v>
      </c>
      <c r="J587" s="784">
        <v>357520</v>
      </c>
      <c r="K587" s="784">
        <v>0</v>
      </c>
      <c r="L587" s="783">
        <v>55319</v>
      </c>
      <c r="M587" s="783"/>
      <c r="N587" s="784">
        <v>41817</v>
      </c>
      <c r="O587" s="784">
        <v>408168</v>
      </c>
      <c r="P587" s="784">
        <v>0</v>
      </c>
      <c r="Q587" s="783">
        <v>0</v>
      </c>
      <c r="R587" s="783"/>
      <c r="S587" s="784">
        <v>81223</v>
      </c>
      <c r="T587" s="785">
        <v>17141</v>
      </c>
      <c r="U587" s="785">
        <v>98364</v>
      </c>
    </row>
    <row r="588" spans="1:21" x14ac:dyDescent="0.25">
      <c r="A588" s="780">
        <v>96503</v>
      </c>
      <c r="B588" s="781" t="s">
        <v>1751</v>
      </c>
      <c r="C588" s="782">
        <v>3.746E-4</v>
      </c>
      <c r="D588" s="782">
        <v>3.8739999999999998E-4</v>
      </c>
      <c r="E588" s="783">
        <v>326748</v>
      </c>
      <c r="F588" s="783">
        <v>-213813</v>
      </c>
      <c r="G588" s="783">
        <v>168118</v>
      </c>
      <c r="H588" s="783"/>
      <c r="I588" s="784">
        <v>0</v>
      </c>
      <c r="J588" s="784">
        <v>337858</v>
      </c>
      <c r="K588" s="784">
        <v>0</v>
      </c>
      <c r="L588" s="783">
        <v>128764</v>
      </c>
      <c r="M588" s="783"/>
      <c r="N588" s="784">
        <v>39518</v>
      </c>
      <c r="O588" s="784">
        <v>385721</v>
      </c>
      <c r="P588" s="784">
        <v>0</v>
      </c>
      <c r="Q588" s="783">
        <v>44921.760000000002</v>
      </c>
      <c r="R588" s="783"/>
      <c r="S588" s="784">
        <v>76756</v>
      </c>
      <c r="T588" s="785">
        <v>18684</v>
      </c>
      <c r="U588" s="785">
        <v>95440</v>
      </c>
    </row>
    <row r="589" spans="1:21" x14ac:dyDescent="0.25">
      <c r="A589" s="780">
        <v>96504</v>
      </c>
      <c r="B589" s="781" t="s">
        <v>1752</v>
      </c>
      <c r="C589" s="782">
        <v>3.7149999999999998E-4</v>
      </c>
      <c r="D589" s="782">
        <v>3.5540000000000002E-4</v>
      </c>
      <c r="E589" s="783">
        <v>156682</v>
      </c>
      <c r="F589" s="783">
        <v>-196152</v>
      </c>
      <c r="G589" s="783">
        <v>166727</v>
      </c>
      <c r="H589" s="783"/>
      <c r="I589" s="784">
        <v>0</v>
      </c>
      <c r="J589" s="784">
        <v>335062</v>
      </c>
      <c r="K589" s="784">
        <v>0</v>
      </c>
      <c r="L589" s="783">
        <v>15265</v>
      </c>
      <c r="M589" s="783"/>
      <c r="N589" s="784">
        <v>39191</v>
      </c>
      <c r="O589" s="784">
        <v>382529</v>
      </c>
      <c r="P589" s="784">
        <v>0</v>
      </c>
      <c r="Q589" s="783">
        <v>678.73</v>
      </c>
      <c r="R589" s="783"/>
      <c r="S589" s="784">
        <v>76121</v>
      </c>
      <c r="T589" s="785">
        <v>3769</v>
      </c>
      <c r="U589" s="785">
        <v>79890</v>
      </c>
    </row>
    <row r="590" spans="1:21" x14ac:dyDescent="0.25">
      <c r="A590" s="780">
        <v>96507</v>
      </c>
      <c r="B590" s="781" t="s">
        <v>1753</v>
      </c>
      <c r="C590" s="782">
        <v>2.1895999999999999E-3</v>
      </c>
      <c r="D590" s="782">
        <v>2.1332999999999999E-3</v>
      </c>
      <c r="E590" s="783">
        <v>944228</v>
      </c>
      <c r="F590" s="783">
        <v>-1177407</v>
      </c>
      <c r="G590" s="783">
        <v>982679</v>
      </c>
      <c r="H590" s="783"/>
      <c r="I590" s="784">
        <v>0</v>
      </c>
      <c r="J590" s="784">
        <v>1974835</v>
      </c>
      <c r="K590" s="784">
        <v>0</v>
      </c>
      <c r="L590" s="783">
        <v>154964</v>
      </c>
      <c r="M590" s="783"/>
      <c r="N590" s="784">
        <v>230987</v>
      </c>
      <c r="O590" s="784">
        <v>2254603</v>
      </c>
      <c r="P590" s="784">
        <v>0</v>
      </c>
      <c r="Q590" s="783">
        <v>0</v>
      </c>
      <c r="R590" s="783"/>
      <c r="S590" s="784">
        <v>448653</v>
      </c>
      <c r="T590" s="785">
        <v>46062</v>
      </c>
      <c r="U590" s="785">
        <v>494716</v>
      </c>
    </row>
    <row r="591" spans="1:21" x14ac:dyDescent="0.25">
      <c r="A591" s="780">
        <v>96508</v>
      </c>
      <c r="B591" s="781" t="s">
        <v>1754</v>
      </c>
      <c r="C591" s="782">
        <v>1.03E-5</v>
      </c>
      <c r="D591" s="782">
        <v>1.11E-5</v>
      </c>
      <c r="E591" s="783">
        <v>10239</v>
      </c>
      <c r="F591" s="783">
        <v>-6126</v>
      </c>
      <c r="G591" s="783">
        <v>4623</v>
      </c>
      <c r="H591" s="783"/>
      <c r="I591" s="784">
        <v>0</v>
      </c>
      <c r="J591" s="784">
        <v>9290</v>
      </c>
      <c r="K591" s="784">
        <v>0</v>
      </c>
      <c r="L591" s="783">
        <v>6981</v>
      </c>
      <c r="M591" s="783"/>
      <c r="N591" s="784">
        <v>1087</v>
      </c>
      <c r="O591" s="784">
        <v>10606</v>
      </c>
      <c r="P591" s="784">
        <v>0</v>
      </c>
      <c r="Q591" s="783">
        <v>0</v>
      </c>
      <c r="R591" s="783"/>
      <c r="S591" s="784">
        <v>2110</v>
      </c>
      <c r="T591" s="785">
        <v>2028</v>
      </c>
      <c r="U591" s="785">
        <v>4138</v>
      </c>
    </row>
    <row r="592" spans="1:21" x14ac:dyDescent="0.25">
      <c r="A592" s="780">
        <v>96511</v>
      </c>
      <c r="B592" s="781" t="s">
        <v>1755</v>
      </c>
      <c r="C592" s="782">
        <v>7.5080000000000004E-4</v>
      </c>
      <c r="D592" s="782">
        <v>7.3999999999999999E-4</v>
      </c>
      <c r="E592" s="783">
        <v>280697</v>
      </c>
      <c r="F592" s="783">
        <v>-408419.32</v>
      </c>
      <c r="G592" s="783">
        <v>336955</v>
      </c>
      <c r="H592" s="783"/>
      <c r="I592" s="784">
        <v>0</v>
      </c>
      <c r="J592" s="784">
        <v>677159</v>
      </c>
      <c r="K592" s="784">
        <v>0</v>
      </c>
      <c r="L592" s="783">
        <v>0</v>
      </c>
      <c r="M592" s="783"/>
      <c r="N592" s="784">
        <v>79204</v>
      </c>
      <c r="O592" s="784">
        <v>773089</v>
      </c>
      <c r="P592" s="784">
        <v>0</v>
      </c>
      <c r="Q592" s="783">
        <v>83594</v>
      </c>
      <c r="R592" s="783"/>
      <c r="S592" s="784">
        <v>153840</v>
      </c>
      <c r="T592" s="785">
        <v>-27020</v>
      </c>
      <c r="U592" s="785">
        <v>126820</v>
      </c>
    </row>
    <row r="593" spans="1:21" x14ac:dyDescent="0.25">
      <c r="A593" s="780">
        <v>96512</v>
      </c>
      <c r="B593" s="781" t="s">
        <v>1756</v>
      </c>
      <c r="C593" s="782">
        <v>1.5550000000000001E-4</v>
      </c>
      <c r="D593" s="782">
        <v>1.46E-4</v>
      </c>
      <c r="E593" s="783">
        <v>63345</v>
      </c>
      <c r="F593" s="783">
        <v>-80580</v>
      </c>
      <c r="G593" s="783">
        <v>69787</v>
      </c>
      <c r="H593" s="783"/>
      <c r="I593" s="784">
        <v>0</v>
      </c>
      <c r="J593" s="784">
        <v>140248</v>
      </c>
      <c r="K593" s="784">
        <v>0</v>
      </c>
      <c r="L593" s="783">
        <v>7077</v>
      </c>
      <c r="M593" s="783"/>
      <c r="N593" s="784">
        <v>16404</v>
      </c>
      <c r="O593" s="784">
        <v>160116</v>
      </c>
      <c r="P593" s="784">
        <v>0</v>
      </c>
      <c r="Q593" s="783">
        <v>0</v>
      </c>
      <c r="R593" s="783"/>
      <c r="S593" s="784">
        <v>31862</v>
      </c>
      <c r="T593" s="785">
        <v>1891</v>
      </c>
      <c r="U593" s="785">
        <v>33753</v>
      </c>
    </row>
    <row r="594" spans="1:21" x14ac:dyDescent="0.25">
      <c r="A594" s="780">
        <v>96519</v>
      </c>
      <c r="B594" s="781" t="s">
        <v>1757</v>
      </c>
      <c r="C594" s="782">
        <v>1.7197E-3</v>
      </c>
      <c r="D594" s="782">
        <v>1.5574E-3</v>
      </c>
      <c r="E594" s="783">
        <v>706651</v>
      </c>
      <c r="F594" s="783">
        <v>-859557</v>
      </c>
      <c r="G594" s="783">
        <v>771791</v>
      </c>
      <c r="H594" s="783"/>
      <c r="I594" s="784">
        <v>0</v>
      </c>
      <c r="J594" s="784">
        <v>1551025</v>
      </c>
      <c r="K594" s="784">
        <v>0</v>
      </c>
      <c r="L594" s="783">
        <v>439316</v>
      </c>
      <c r="M594" s="783"/>
      <c r="N594" s="784">
        <v>181416</v>
      </c>
      <c r="O594" s="784">
        <v>1770753</v>
      </c>
      <c r="P594" s="784">
        <v>0</v>
      </c>
      <c r="Q594" s="783">
        <v>0</v>
      </c>
      <c r="R594" s="783"/>
      <c r="S594" s="784">
        <v>352370</v>
      </c>
      <c r="T594" s="785">
        <v>138391</v>
      </c>
      <c r="U594" s="785">
        <v>490761</v>
      </c>
    </row>
    <row r="595" spans="1:21" x14ac:dyDescent="0.25">
      <c r="A595" s="780">
        <v>96521</v>
      </c>
      <c r="B595" s="781" t="s">
        <v>1758</v>
      </c>
      <c r="C595" s="782">
        <v>9.0479999999999998E-4</v>
      </c>
      <c r="D595" s="782">
        <v>7.7110000000000004E-4</v>
      </c>
      <c r="E595" s="783">
        <v>330545</v>
      </c>
      <c r="F595" s="783">
        <v>-425584</v>
      </c>
      <c r="G595" s="783">
        <v>406069</v>
      </c>
      <c r="H595" s="783"/>
      <c r="I595" s="784">
        <v>0</v>
      </c>
      <c r="J595" s="784">
        <v>816054</v>
      </c>
      <c r="K595" s="784">
        <v>0</v>
      </c>
      <c r="L595" s="783">
        <v>63018</v>
      </c>
      <c r="M595" s="783"/>
      <c r="N595" s="784">
        <v>95450</v>
      </c>
      <c r="O595" s="784">
        <v>931661</v>
      </c>
      <c r="P595" s="784">
        <v>0</v>
      </c>
      <c r="Q595" s="783">
        <v>6999.59</v>
      </c>
      <c r="R595" s="783"/>
      <c r="S595" s="784">
        <v>185395</v>
      </c>
      <c r="T595" s="785">
        <v>14156</v>
      </c>
      <c r="U595" s="785">
        <v>199551</v>
      </c>
    </row>
    <row r="596" spans="1:21" x14ac:dyDescent="0.25">
      <c r="A596" s="780">
        <v>96531</v>
      </c>
      <c r="B596" s="781" t="s">
        <v>1759</v>
      </c>
      <c r="C596" s="782">
        <v>9.1912000000000001E-3</v>
      </c>
      <c r="D596" s="782">
        <v>8.6663999999999995E-3</v>
      </c>
      <c r="E596" s="783">
        <v>3417071</v>
      </c>
      <c r="F596" s="783">
        <v>-4783142</v>
      </c>
      <c r="G596" s="783">
        <v>4124955</v>
      </c>
      <c r="H596" s="783"/>
      <c r="I596" s="784">
        <v>0</v>
      </c>
      <c r="J596" s="784">
        <v>8289690</v>
      </c>
      <c r="K596" s="784">
        <v>0</v>
      </c>
      <c r="L596" s="783">
        <v>102353</v>
      </c>
      <c r="M596" s="783"/>
      <c r="N596" s="784">
        <v>969607</v>
      </c>
      <c r="O596" s="784">
        <v>9464059</v>
      </c>
      <c r="P596" s="784">
        <v>0</v>
      </c>
      <c r="Q596" s="783">
        <v>56777.11</v>
      </c>
      <c r="R596" s="783"/>
      <c r="S596" s="784">
        <v>1883295</v>
      </c>
      <c r="T596" s="785">
        <v>7805</v>
      </c>
      <c r="U596" s="785">
        <v>1891100</v>
      </c>
    </row>
    <row r="597" spans="1:21" x14ac:dyDescent="0.25">
      <c r="A597" s="780">
        <v>96541</v>
      </c>
      <c r="B597" s="781" t="s">
        <v>1760</v>
      </c>
      <c r="C597" s="782">
        <v>3.2759999999999999E-4</v>
      </c>
      <c r="D597" s="782">
        <v>3.123E-4</v>
      </c>
      <c r="E597" s="783">
        <v>130407</v>
      </c>
      <c r="F597" s="783">
        <v>-172364</v>
      </c>
      <c r="G597" s="783">
        <v>147025</v>
      </c>
      <c r="H597" s="783"/>
      <c r="I597" s="784">
        <v>0</v>
      </c>
      <c r="J597" s="784">
        <v>295468</v>
      </c>
      <c r="K597" s="784">
        <v>0</v>
      </c>
      <c r="L597" s="783">
        <v>29974</v>
      </c>
      <c r="M597" s="783"/>
      <c r="N597" s="784">
        <v>34560</v>
      </c>
      <c r="O597" s="784">
        <v>337325</v>
      </c>
      <c r="P597" s="784">
        <v>0</v>
      </c>
      <c r="Q597" s="783">
        <v>0</v>
      </c>
      <c r="R597" s="783"/>
      <c r="S597" s="784">
        <v>67126</v>
      </c>
      <c r="T597" s="785">
        <v>9437</v>
      </c>
      <c r="U597" s="785">
        <v>76563</v>
      </c>
    </row>
    <row r="598" spans="1:21" x14ac:dyDescent="0.25">
      <c r="A598" s="780">
        <v>96601</v>
      </c>
      <c r="B598" s="781" t="s">
        <v>1761</v>
      </c>
      <c r="C598" s="782">
        <v>1.8462999999999999E-3</v>
      </c>
      <c r="D598" s="782">
        <v>1.921E-3</v>
      </c>
      <c r="E598" s="783">
        <v>808992</v>
      </c>
      <c r="F598" s="783">
        <v>-1060234</v>
      </c>
      <c r="G598" s="783">
        <v>828608</v>
      </c>
      <c r="H598" s="783"/>
      <c r="I598" s="784">
        <v>0</v>
      </c>
      <c r="J598" s="784">
        <v>1665208</v>
      </c>
      <c r="K598" s="784">
        <v>0</v>
      </c>
      <c r="L598" s="783">
        <v>76768.25</v>
      </c>
      <c r="M598" s="783"/>
      <c r="N598" s="784">
        <v>194772</v>
      </c>
      <c r="O598" s="784">
        <v>1901111</v>
      </c>
      <c r="P598" s="784">
        <v>0</v>
      </c>
      <c r="Q598" s="783">
        <v>8687</v>
      </c>
      <c r="R598" s="783"/>
      <c r="S598" s="784">
        <v>378311</v>
      </c>
      <c r="T598" s="785">
        <v>23401</v>
      </c>
      <c r="U598" s="785">
        <v>401712</v>
      </c>
    </row>
    <row r="599" spans="1:21" x14ac:dyDescent="0.25">
      <c r="A599" s="780">
        <v>96604</v>
      </c>
      <c r="B599" s="781" t="s">
        <v>1762</v>
      </c>
      <c r="C599" s="782">
        <v>7.9000000000000006E-6</v>
      </c>
      <c r="D599" s="782">
        <v>9.3999999999999998E-6</v>
      </c>
      <c r="E599" s="783">
        <v>4369</v>
      </c>
      <c r="F599" s="783">
        <v>-5188</v>
      </c>
      <c r="G599" s="783">
        <v>3545</v>
      </c>
      <c r="H599" s="783"/>
      <c r="I599" s="784">
        <v>0</v>
      </c>
      <c r="J599" s="784">
        <v>7125</v>
      </c>
      <c r="K599" s="784">
        <v>0</v>
      </c>
      <c r="L599" s="783">
        <v>1052.48</v>
      </c>
      <c r="M599" s="783"/>
      <c r="N599" s="784">
        <v>833</v>
      </c>
      <c r="O599" s="784">
        <v>8135</v>
      </c>
      <c r="P599" s="784">
        <v>0</v>
      </c>
      <c r="Q599" s="783">
        <v>146</v>
      </c>
      <c r="R599" s="783"/>
      <c r="S599" s="784">
        <v>1619</v>
      </c>
      <c r="T599" s="785">
        <v>314</v>
      </c>
      <c r="U599" s="785">
        <v>1932</v>
      </c>
    </row>
    <row r="600" spans="1:21" x14ac:dyDescent="0.25">
      <c r="A600" s="780">
        <v>96611</v>
      </c>
      <c r="B600" s="781" t="s">
        <v>1763</v>
      </c>
      <c r="C600" s="782">
        <v>2.9499999999999999E-5</v>
      </c>
      <c r="D600" s="782">
        <v>2.9899999999999998E-5</v>
      </c>
      <c r="E600" s="783">
        <v>11290</v>
      </c>
      <c r="F600" s="783">
        <v>-16502</v>
      </c>
      <c r="G600" s="783">
        <v>13239</v>
      </c>
      <c r="H600" s="783"/>
      <c r="I600" s="784">
        <v>0</v>
      </c>
      <c r="J600" s="784">
        <v>26607</v>
      </c>
      <c r="K600" s="784">
        <v>0</v>
      </c>
      <c r="L600" s="783">
        <v>3489</v>
      </c>
      <c r="M600" s="783"/>
      <c r="N600" s="784">
        <v>3112</v>
      </c>
      <c r="O600" s="784">
        <v>30376</v>
      </c>
      <c r="P600" s="784">
        <v>0</v>
      </c>
      <c r="Q600" s="783">
        <v>879</v>
      </c>
      <c r="R600" s="783"/>
      <c r="S600" s="784">
        <v>6045</v>
      </c>
      <c r="T600" s="785">
        <v>937</v>
      </c>
      <c r="U600" s="785">
        <v>6982</v>
      </c>
    </row>
    <row r="601" spans="1:21" x14ac:dyDescent="0.25">
      <c r="A601" s="780">
        <v>96612</v>
      </c>
      <c r="B601" s="781" t="s">
        <v>1764</v>
      </c>
      <c r="C601" s="782">
        <v>6.4399999999999993E-5</v>
      </c>
      <c r="D601" s="782">
        <v>6.5099999999999997E-5</v>
      </c>
      <c r="E601" s="783">
        <v>33587</v>
      </c>
      <c r="F601" s="783">
        <v>-35930</v>
      </c>
      <c r="G601" s="783">
        <v>28902</v>
      </c>
      <c r="H601" s="783"/>
      <c r="I601" s="784">
        <v>0</v>
      </c>
      <c r="J601" s="784">
        <v>58083</v>
      </c>
      <c r="K601" s="784">
        <v>0</v>
      </c>
      <c r="L601" s="783">
        <v>5289</v>
      </c>
      <c r="M601" s="783"/>
      <c r="N601" s="784">
        <v>6794</v>
      </c>
      <c r="O601" s="784">
        <v>66312</v>
      </c>
      <c r="P601" s="784">
        <v>0</v>
      </c>
      <c r="Q601" s="783">
        <v>1988</v>
      </c>
      <c r="R601" s="783"/>
      <c r="S601" s="784">
        <v>13196</v>
      </c>
      <c r="T601" s="785">
        <v>720</v>
      </c>
      <c r="U601" s="785">
        <v>13915</v>
      </c>
    </row>
    <row r="602" spans="1:21" x14ac:dyDescent="0.25">
      <c r="A602" s="780">
        <v>96621</v>
      </c>
      <c r="B602" s="781" t="s">
        <v>1765</v>
      </c>
      <c r="C602" s="782">
        <v>3.6600000000000002E-5</v>
      </c>
      <c r="D602" s="782">
        <v>3.3399999999999999E-5</v>
      </c>
      <c r="E602" s="783">
        <v>14046</v>
      </c>
      <c r="F602" s="783">
        <v>-18434</v>
      </c>
      <c r="G602" s="783">
        <v>16426</v>
      </c>
      <c r="H602" s="783"/>
      <c r="I602" s="784">
        <v>0</v>
      </c>
      <c r="J602" s="784">
        <v>33010</v>
      </c>
      <c r="K602" s="784">
        <v>0</v>
      </c>
      <c r="L602" s="783">
        <v>1535</v>
      </c>
      <c r="M602" s="783"/>
      <c r="N602" s="784">
        <v>3861</v>
      </c>
      <c r="O602" s="784">
        <v>37687</v>
      </c>
      <c r="P602" s="784">
        <v>0</v>
      </c>
      <c r="Q602" s="783">
        <v>5352.1</v>
      </c>
      <c r="R602" s="783"/>
      <c r="S602" s="784">
        <v>7499</v>
      </c>
      <c r="T602" s="785">
        <v>-1388</v>
      </c>
      <c r="U602" s="785">
        <v>6111</v>
      </c>
    </row>
    <row r="603" spans="1:21" x14ac:dyDescent="0.25">
      <c r="A603" s="780">
        <v>96631</v>
      </c>
      <c r="B603" s="781" t="s">
        <v>1766</v>
      </c>
      <c r="C603" s="782">
        <v>2.5599999999999999E-5</v>
      </c>
      <c r="D603" s="782">
        <v>1.8199999999999999E-5</v>
      </c>
      <c r="E603" s="783">
        <v>10337</v>
      </c>
      <c r="F603" s="783">
        <v>-10045</v>
      </c>
      <c r="G603" s="783">
        <v>11489</v>
      </c>
      <c r="H603" s="783"/>
      <c r="I603" s="784">
        <v>0</v>
      </c>
      <c r="J603" s="784">
        <v>23089</v>
      </c>
      <c r="K603" s="784">
        <v>0</v>
      </c>
      <c r="L603" s="783">
        <v>7954</v>
      </c>
      <c r="M603" s="783"/>
      <c r="N603" s="784">
        <v>2701</v>
      </c>
      <c r="O603" s="784">
        <v>26360</v>
      </c>
      <c r="P603" s="784">
        <v>0</v>
      </c>
      <c r="Q603" s="783">
        <v>0</v>
      </c>
      <c r="R603" s="783"/>
      <c r="S603" s="784">
        <v>5245</v>
      </c>
      <c r="T603" s="785">
        <v>2289</v>
      </c>
      <c r="U603" s="785">
        <v>7535</v>
      </c>
    </row>
    <row r="604" spans="1:21" x14ac:dyDescent="0.25">
      <c r="A604" s="780">
        <v>96641</v>
      </c>
      <c r="B604" s="781" t="s">
        <v>1767</v>
      </c>
      <c r="C604" s="782">
        <v>2.7100000000000001E-5</v>
      </c>
      <c r="D604" s="782">
        <v>2.7699999999999999E-5</v>
      </c>
      <c r="E604" s="783">
        <v>16821</v>
      </c>
      <c r="F604" s="783">
        <v>-15288</v>
      </c>
      <c r="G604" s="783">
        <v>12162</v>
      </c>
      <c r="H604" s="783"/>
      <c r="I604" s="784">
        <v>0</v>
      </c>
      <c r="J604" s="784">
        <v>24442</v>
      </c>
      <c r="K604" s="784">
        <v>0</v>
      </c>
      <c r="L604" s="783">
        <v>8689</v>
      </c>
      <c r="M604" s="783"/>
      <c r="N604" s="784">
        <v>2859</v>
      </c>
      <c r="O604" s="784">
        <v>27905</v>
      </c>
      <c r="P604" s="784">
        <v>0</v>
      </c>
      <c r="Q604" s="783">
        <v>0</v>
      </c>
      <c r="R604" s="783"/>
      <c r="S604" s="784">
        <v>5553</v>
      </c>
      <c r="T604" s="785">
        <v>2605</v>
      </c>
      <c r="U604" s="785">
        <v>8158</v>
      </c>
    </row>
    <row r="605" spans="1:21" x14ac:dyDescent="0.25">
      <c r="A605" s="780">
        <v>96651</v>
      </c>
      <c r="B605" s="781" t="s">
        <v>1768</v>
      </c>
      <c r="C605" s="782">
        <v>1.9300000000000002E-5</v>
      </c>
      <c r="D605" s="782">
        <v>2.2799999999999999E-5</v>
      </c>
      <c r="E605" s="783">
        <v>8675</v>
      </c>
      <c r="F605" s="783">
        <v>-12584</v>
      </c>
      <c r="G605" s="783">
        <v>8662</v>
      </c>
      <c r="H605" s="783"/>
      <c r="I605" s="784">
        <v>0</v>
      </c>
      <c r="J605" s="784">
        <v>17407</v>
      </c>
      <c r="K605" s="784">
        <v>0</v>
      </c>
      <c r="L605" s="783">
        <v>0</v>
      </c>
      <c r="M605" s="783"/>
      <c r="N605" s="784">
        <v>2036</v>
      </c>
      <c r="O605" s="784">
        <v>19873</v>
      </c>
      <c r="P605" s="784">
        <v>0</v>
      </c>
      <c r="Q605" s="783">
        <v>3139</v>
      </c>
      <c r="R605" s="783"/>
      <c r="S605" s="784">
        <v>3955</v>
      </c>
      <c r="T605" s="785">
        <v>-917</v>
      </c>
      <c r="U605" s="785">
        <v>3038</v>
      </c>
    </row>
    <row r="606" spans="1:21" x14ac:dyDescent="0.25">
      <c r="A606" s="780">
        <v>96661</v>
      </c>
      <c r="B606" s="781" t="s">
        <v>1769</v>
      </c>
      <c r="C606" s="782">
        <v>1.7200000000000001E-5</v>
      </c>
      <c r="D606" s="782">
        <v>1.5699999999999999E-5</v>
      </c>
      <c r="E606" s="783">
        <v>9989</v>
      </c>
      <c r="F606" s="783">
        <v>-8665</v>
      </c>
      <c r="G606" s="783">
        <v>7719</v>
      </c>
      <c r="H606" s="783"/>
      <c r="I606" s="784">
        <v>0</v>
      </c>
      <c r="J606" s="784">
        <v>15513</v>
      </c>
      <c r="K606" s="784">
        <v>0</v>
      </c>
      <c r="L606" s="783">
        <v>5464</v>
      </c>
      <c r="M606" s="783"/>
      <c r="N606" s="784">
        <v>1814</v>
      </c>
      <c r="O606" s="784">
        <v>17711</v>
      </c>
      <c r="P606" s="784">
        <v>0</v>
      </c>
      <c r="Q606" s="783">
        <v>0</v>
      </c>
      <c r="R606" s="783"/>
      <c r="S606" s="784">
        <v>3524</v>
      </c>
      <c r="T606" s="785">
        <v>1580</v>
      </c>
      <c r="U606" s="785">
        <v>5104</v>
      </c>
    </row>
    <row r="607" spans="1:21" x14ac:dyDescent="0.25">
      <c r="A607" s="780">
        <v>96671</v>
      </c>
      <c r="B607" s="781" t="s">
        <v>1770</v>
      </c>
      <c r="C607" s="782">
        <v>1.56E-5</v>
      </c>
      <c r="D607" s="782">
        <v>8.1000000000000004E-6</v>
      </c>
      <c r="E607" s="783">
        <v>11701</v>
      </c>
      <c r="F607" s="783">
        <v>-4471</v>
      </c>
      <c r="G607" s="783">
        <v>7001</v>
      </c>
      <c r="H607" s="783"/>
      <c r="I607" s="784">
        <v>0</v>
      </c>
      <c r="J607" s="784">
        <v>14070</v>
      </c>
      <c r="K607" s="784">
        <v>0</v>
      </c>
      <c r="L607" s="783">
        <v>9488</v>
      </c>
      <c r="M607" s="783"/>
      <c r="N607" s="784">
        <v>1646</v>
      </c>
      <c r="O607" s="784">
        <v>16063</v>
      </c>
      <c r="P607" s="784">
        <v>0</v>
      </c>
      <c r="Q607" s="783">
        <v>628</v>
      </c>
      <c r="R607" s="783"/>
      <c r="S607" s="784">
        <v>3196</v>
      </c>
      <c r="T607" s="785">
        <v>2274</v>
      </c>
      <c r="U607" s="785">
        <v>5470</v>
      </c>
    </row>
    <row r="608" spans="1:21" x14ac:dyDescent="0.25">
      <c r="A608" s="780">
        <v>96681</v>
      </c>
      <c r="B608" s="781" t="s">
        <v>1771</v>
      </c>
      <c r="C608" s="782">
        <v>3.4700000000000003E-5</v>
      </c>
      <c r="D608" s="782">
        <v>2.2200000000000001E-5</v>
      </c>
      <c r="E608" s="783">
        <v>23201</v>
      </c>
      <c r="F608" s="783">
        <v>-12253</v>
      </c>
      <c r="G608" s="783">
        <v>15573</v>
      </c>
      <c r="H608" s="783"/>
      <c r="I608" s="784">
        <v>0</v>
      </c>
      <c r="J608" s="784">
        <v>31296</v>
      </c>
      <c r="K608" s="784">
        <v>0</v>
      </c>
      <c r="L608" s="783">
        <v>15931</v>
      </c>
      <c r="M608" s="783"/>
      <c r="N608" s="784">
        <v>3661</v>
      </c>
      <c r="O608" s="784">
        <v>35730</v>
      </c>
      <c r="P608" s="784">
        <v>0</v>
      </c>
      <c r="Q608" s="783">
        <v>2245</v>
      </c>
      <c r="R608" s="783"/>
      <c r="S608" s="784">
        <v>7110</v>
      </c>
      <c r="T608" s="785">
        <v>3419</v>
      </c>
      <c r="U608" s="785">
        <v>10530</v>
      </c>
    </row>
    <row r="609" spans="1:21" x14ac:dyDescent="0.25">
      <c r="A609" s="780">
        <v>96701</v>
      </c>
      <c r="B609" s="781" t="s">
        <v>1772</v>
      </c>
      <c r="C609" s="782">
        <v>7.7803999999999998E-3</v>
      </c>
      <c r="D609" s="782">
        <v>7.2164000000000004E-3</v>
      </c>
      <c r="E609" s="783">
        <v>3171519</v>
      </c>
      <c r="F609" s="783">
        <v>-3982861</v>
      </c>
      <c r="G609" s="783">
        <v>3491797</v>
      </c>
      <c r="H609" s="783"/>
      <c r="I609" s="784">
        <v>0</v>
      </c>
      <c r="J609" s="784">
        <v>7017267</v>
      </c>
      <c r="K609" s="784">
        <v>0</v>
      </c>
      <c r="L609" s="783">
        <v>391755</v>
      </c>
      <c r="M609" s="783"/>
      <c r="N609" s="784">
        <v>820778</v>
      </c>
      <c r="O609" s="784">
        <v>8011377</v>
      </c>
      <c r="P609" s="784">
        <v>0</v>
      </c>
      <c r="Q609" s="783">
        <v>44907</v>
      </c>
      <c r="R609" s="783"/>
      <c r="S609" s="784">
        <v>1594220</v>
      </c>
      <c r="T609" s="785">
        <v>87535</v>
      </c>
      <c r="U609" s="785">
        <v>1681754</v>
      </c>
    </row>
    <row r="610" spans="1:21" x14ac:dyDescent="0.25">
      <c r="A610" s="780">
        <v>96704</v>
      </c>
      <c r="B610" s="781" t="s">
        <v>1773</v>
      </c>
      <c r="C610" s="782">
        <v>1.5919999999999999E-4</v>
      </c>
      <c r="D610" s="782">
        <v>1.6990000000000001E-4</v>
      </c>
      <c r="E610" s="783">
        <v>74550</v>
      </c>
      <c r="F610" s="783">
        <v>-93771</v>
      </c>
      <c r="G610" s="783">
        <v>71448</v>
      </c>
      <c r="H610" s="783"/>
      <c r="I610" s="784">
        <v>0</v>
      </c>
      <c r="J610" s="784">
        <v>143585</v>
      </c>
      <c r="K610" s="784">
        <v>0</v>
      </c>
      <c r="L610" s="783">
        <v>8646</v>
      </c>
      <c r="M610" s="783"/>
      <c r="N610" s="784">
        <v>16794</v>
      </c>
      <c r="O610" s="784">
        <v>163926</v>
      </c>
      <c r="P610" s="784">
        <v>0</v>
      </c>
      <c r="Q610" s="783">
        <v>0</v>
      </c>
      <c r="R610" s="783"/>
      <c r="S610" s="784">
        <v>32620</v>
      </c>
      <c r="T610" s="785">
        <v>2887</v>
      </c>
      <c r="U610" s="785">
        <v>35507</v>
      </c>
    </row>
    <row r="611" spans="1:21" x14ac:dyDescent="0.25">
      <c r="A611" s="780">
        <v>96708</v>
      </c>
      <c r="B611" s="781" t="s">
        <v>1774</v>
      </c>
      <c r="C611" s="782">
        <v>9.8109999999999994E-4</v>
      </c>
      <c r="D611" s="782">
        <v>9.6270000000000004E-4</v>
      </c>
      <c r="E611" s="783">
        <v>459930</v>
      </c>
      <c r="F611" s="783">
        <v>-531331</v>
      </c>
      <c r="G611" s="783">
        <v>440312</v>
      </c>
      <c r="H611" s="783"/>
      <c r="I611" s="784">
        <v>0</v>
      </c>
      <c r="J611" s="784">
        <v>884870</v>
      </c>
      <c r="K611" s="784">
        <v>0</v>
      </c>
      <c r="L611" s="783">
        <v>75998</v>
      </c>
      <c r="M611" s="783"/>
      <c r="N611" s="784">
        <v>103499</v>
      </c>
      <c r="O611" s="784">
        <v>1010226</v>
      </c>
      <c r="P611" s="784">
        <v>0</v>
      </c>
      <c r="Q611" s="783">
        <v>0</v>
      </c>
      <c r="R611" s="783"/>
      <c r="S611" s="784">
        <v>201029</v>
      </c>
      <c r="T611" s="785">
        <v>21060</v>
      </c>
      <c r="U611" s="785">
        <v>222090</v>
      </c>
    </row>
    <row r="612" spans="1:21" x14ac:dyDescent="0.25">
      <c r="A612" s="780">
        <v>96711</v>
      </c>
      <c r="B612" s="781" t="s">
        <v>1775</v>
      </c>
      <c r="C612" s="782">
        <v>4.2459999999999998E-3</v>
      </c>
      <c r="D612" s="782">
        <v>4.7368000000000002E-3</v>
      </c>
      <c r="E612" s="783">
        <v>1700667</v>
      </c>
      <c r="F612" s="783">
        <v>-2614325</v>
      </c>
      <c r="G612" s="783">
        <v>1905579</v>
      </c>
      <c r="H612" s="783"/>
      <c r="I612" s="784">
        <v>0</v>
      </c>
      <c r="J612" s="784">
        <v>3829535</v>
      </c>
      <c r="K612" s="784">
        <v>0</v>
      </c>
      <c r="L612" s="783">
        <v>31177</v>
      </c>
      <c r="M612" s="783"/>
      <c r="N612" s="784">
        <v>447923</v>
      </c>
      <c r="O612" s="784">
        <v>4372051</v>
      </c>
      <c r="P612" s="784">
        <v>0</v>
      </c>
      <c r="Q612" s="783">
        <v>370486</v>
      </c>
      <c r="R612" s="783"/>
      <c r="S612" s="784">
        <v>870014</v>
      </c>
      <c r="T612" s="785">
        <v>-86559</v>
      </c>
      <c r="U612" s="785">
        <v>783455</v>
      </c>
    </row>
    <row r="613" spans="1:21" x14ac:dyDescent="0.25">
      <c r="A613" s="780">
        <v>96721</v>
      </c>
      <c r="B613" s="781" t="s">
        <v>1776</v>
      </c>
      <c r="C613" s="782">
        <v>2.5119999999999998E-4</v>
      </c>
      <c r="D613" s="782">
        <v>2.3049999999999999E-4</v>
      </c>
      <c r="E613" s="783">
        <v>85133</v>
      </c>
      <c r="F613" s="783">
        <v>-127217</v>
      </c>
      <c r="G613" s="783">
        <v>112737</v>
      </c>
      <c r="H613" s="783"/>
      <c r="I613" s="784">
        <v>0</v>
      </c>
      <c r="J613" s="784">
        <v>226561</v>
      </c>
      <c r="K613" s="784">
        <v>0</v>
      </c>
      <c r="L613" s="783">
        <v>16232</v>
      </c>
      <c r="M613" s="783"/>
      <c r="N613" s="784">
        <v>26500</v>
      </c>
      <c r="O613" s="784">
        <v>258657</v>
      </c>
      <c r="P613" s="784">
        <v>0</v>
      </c>
      <c r="Q613" s="783">
        <v>0</v>
      </c>
      <c r="R613" s="783"/>
      <c r="S613" s="784">
        <v>51471</v>
      </c>
      <c r="T613" s="785">
        <v>5377</v>
      </c>
      <c r="U613" s="785">
        <v>56848</v>
      </c>
    </row>
    <row r="614" spans="1:21" x14ac:dyDescent="0.25">
      <c r="A614" s="780">
        <v>96731</v>
      </c>
      <c r="B614" s="781" t="s">
        <v>1777</v>
      </c>
      <c r="C614" s="782">
        <v>1.3420000000000001E-4</v>
      </c>
      <c r="D614" s="782">
        <v>1.2870000000000001E-4</v>
      </c>
      <c r="E614" s="783">
        <v>60439</v>
      </c>
      <c r="F614" s="783">
        <v>-71032</v>
      </c>
      <c r="G614" s="783">
        <v>60228</v>
      </c>
      <c r="H614" s="783"/>
      <c r="I614" s="784">
        <v>0</v>
      </c>
      <c r="J614" s="784">
        <v>121037</v>
      </c>
      <c r="K614" s="784">
        <v>0</v>
      </c>
      <c r="L614" s="783">
        <v>8335</v>
      </c>
      <c r="M614" s="783"/>
      <c r="N614" s="784">
        <v>14157</v>
      </c>
      <c r="O614" s="784">
        <v>138184</v>
      </c>
      <c r="P614" s="784">
        <v>0</v>
      </c>
      <c r="Q614" s="783">
        <v>18</v>
      </c>
      <c r="R614" s="783"/>
      <c r="S614" s="784">
        <v>27498</v>
      </c>
      <c r="T614" s="785">
        <v>2176</v>
      </c>
      <c r="U614" s="785">
        <v>29674</v>
      </c>
    </row>
    <row r="615" spans="1:21" x14ac:dyDescent="0.25">
      <c r="A615" s="780">
        <v>96733</v>
      </c>
      <c r="B615" s="781" t="s">
        <v>1778</v>
      </c>
      <c r="C615" s="782">
        <v>4.1999999999999996E-6</v>
      </c>
      <c r="D615" s="782">
        <v>8.6999999999999997E-6</v>
      </c>
      <c r="E615" s="783">
        <v>3908</v>
      </c>
      <c r="F615" s="783">
        <v>-4802</v>
      </c>
      <c r="G615" s="783">
        <v>1885</v>
      </c>
      <c r="H615" s="783"/>
      <c r="I615" s="784">
        <v>0</v>
      </c>
      <c r="J615" s="784">
        <v>3788</v>
      </c>
      <c r="K615" s="784">
        <v>0</v>
      </c>
      <c r="L615" s="783">
        <v>3128</v>
      </c>
      <c r="M615" s="783"/>
      <c r="N615" s="784">
        <v>443</v>
      </c>
      <c r="O615" s="784">
        <v>4325</v>
      </c>
      <c r="P615" s="784">
        <v>0</v>
      </c>
      <c r="Q615" s="783">
        <v>1420</v>
      </c>
      <c r="R615" s="783"/>
      <c r="S615" s="784">
        <v>861</v>
      </c>
      <c r="T615" s="785">
        <v>674</v>
      </c>
      <c r="U615" s="785">
        <v>1535</v>
      </c>
    </row>
    <row r="616" spans="1:21" x14ac:dyDescent="0.25">
      <c r="A616" s="780">
        <v>96741</v>
      </c>
      <c r="B616" s="781" t="s">
        <v>1779</v>
      </c>
      <c r="C616" s="782">
        <v>9.2899999999999995E-5</v>
      </c>
      <c r="D616" s="782">
        <v>8.2000000000000001E-5</v>
      </c>
      <c r="E616" s="783">
        <v>35834</v>
      </c>
      <c r="F616" s="783">
        <v>-45257</v>
      </c>
      <c r="G616" s="783">
        <v>41693</v>
      </c>
      <c r="H616" s="783"/>
      <c r="I616" s="784">
        <v>0</v>
      </c>
      <c r="J616" s="784">
        <v>83788</v>
      </c>
      <c r="K616" s="784">
        <v>0</v>
      </c>
      <c r="L616" s="783">
        <v>10067</v>
      </c>
      <c r="M616" s="783"/>
      <c r="N616" s="784">
        <v>9800</v>
      </c>
      <c r="O616" s="784">
        <v>95658</v>
      </c>
      <c r="P616" s="784">
        <v>0</v>
      </c>
      <c r="Q616" s="783">
        <v>0</v>
      </c>
      <c r="R616" s="783"/>
      <c r="S616" s="784">
        <v>19035</v>
      </c>
      <c r="T616" s="785">
        <v>2932</v>
      </c>
      <c r="U616" s="785">
        <v>21967</v>
      </c>
    </row>
    <row r="617" spans="1:21" x14ac:dyDescent="0.25">
      <c r="A617" s="780">
        <v>96751</v>
      </c>
      <c r="B617" s="781" t="s">
        <v>1780</v>
      </c>
      <c r="C617" s="782">
        <v>3.0909999999999998E-4</v>
      </c>
      <c r="D617" s="782">
        <v>3.1E-4</v>
      </c>
      <c r="E617" s="783">
        <v>112195</v>
      </c>
      <c r="F617" s="783">
        <v>-171094.58</v>
      </c>
      <c r="G617" s="783">
        <v>138722</v>
      </c>
      <c r="H617" s="783"/>
      <c r="I617" s="784">
        <v>0</v>
      </c>
      <c r="J617" s="784">
        <v>278782</v>
      </c>
      <c r="K617" s="784">
        <v>0</v>
      </c>
      <c r="L617" s="783">
        <v>32647.81</v>
      </c>
      <c r="M617" s="783"/>
      <c r="N617" s="784">
        <v>32608</v>
      </c>
      <c r="O617" s="784">
        <v>318276</v>
      </c>
      <c r="P617" s="784">
        <v>0</v>
      </c>
      <c r="Q617" s="783">
        <v>11731</v>
      </c>
      <c r="R617" s="783"/>
      <c r="S617" s="784">
        <v>63335</v>
      </c>
      <c r="T617" s="785">
        <v>7848</v>
      </c>
      <c r="U617" s="785">
        <v>71183</v>
      </c>
    </row>
    <row r="618" spans="1:21" x14ac:dyDescent="0.25">
      <c r="A618" s="780">
        <v>96801</v>
      </c>
      <c r="B618" s="781" t="s">
        <v>1781</v>
      </c>
      <c r="C618" s="782">
        <v>7.0825000000000003E-3</v>
      </c>
      <c r="D618" s="782">
        <v>6.9423999999999996E-3</v>
      </c>
      <c r="E618" s="783">
        <v>3037177</v>
      </c>
      <c r="F618" s="783">
        <v>-3831636</v>
      </c>
      <c r="G618" s="783">
        <v>3178584</v>
      </c>
      <c r="H618" s="783"/>
      <c r="I618" s="784">
        <v>0</v>
      </c>
      <c r="J618" s="784">
        <v>6387820</v>
      </c>
      <c r="K618" s="784">
        <v>0</v>
      </c>
      <c r="L618" s="783">
        <v>548289</v>
      </c>
      <c r="M618" s="783"/>
      <c r="N618" s="784">
        <v>747154</v>
      </c>
      <c r="O618" s="784">
        <v>7292758</v>
      </c>
      <c r="P618" s="784">
        <v>0</v>
      </c>
      <c r="Q618" s="783">
        <v>0</v>
      </c>
      <c r="R618" s="783"/>
      <c r="S618" s="784">
        <v>1451218</v>
      </c>
      <c r="T618" s="785">
        <v>167849</v>
      </c>
      <c r="U618" s="785">
        <v>1619068</v>
      </c>
    </row>
    <row r="619" spans="1:21" x14ac:dyDescent="0.25">
      <c r="A619" s="780">
        <v>96804</v>
      </c>
      <c r="B619" s="781" t="s">
        <v>1782</v>
      </c>
      <c r="C619" s="782">
        <v>2.275E-4</v>
      </c>
      <c r="D619" s="782">
        <v>2.2910000000000001E-4</v>
      </c>
      <c r="E619" s="783">
        <v>88887</v>
      </c>
      <c r="F619" s="783">
        <v>-126444</v>
      </c>
      <c r="G619" s="783">
        <v>102101</v>
      </c>
      <c r="H619" s="783"/>
      <c r="I619" s="784">
        <v>0</v>
      </c>
      <c r="J619" s="784">
        <v>205185.89</v>
      </c>
      <c r="K619" s="784">
        <v>0</v>
      </c>
      <c r="L619" s="783">
        <v>6509</v>
      </c>
      <c r="M619" s="783"/>
      <c r="N619" s="784">
        <v>24000</v>
      </c>
      <c r="O619" s="784">
        <v>234254</v>
      </c>
      <c r="P619" s="784">
        <v>0</v>
      </c>
      <c r="Q619" s="783">
        <v>4291</v>
      </c>
      <c r="R619" s="783"/>
      <c r="S619" s="784">
        <v>46615</v>
      </c>
      <c r="T619" s="785">
        <v>1054</v>
      </c>
      <c r="U619" s="785">
        <v>47669</v>
      </c>
    </row>
    <row r="620" spans="1:21" x14ac:dyDescent="0.25">
      <c r="A620" s="780">
        <v>96808</v>
      </c>
      <c r="B620" s="781" t="s">
        <v>1783</v>
      </c>
      <c r="C620" s="782">
        <v>1.1995E-3</v>
      </c>
      <c r="D620" s="782">
        <v>1.2036E-3</v>
      </c>
      <c r="E620" s="783">
        <v>519145</v>
      </c>
      <c r="F620" s="783">
        <v>-664289</v>
      </c>
      <c r="G620" s="783">
        <v>538328</v>
      </c>
      <c r="H620" s="783"/>
      <c r="I620" s="784">
        <v>0</v>
      </c>
      <c r="J620" s="784">
        <v>1081848</v>
      </c>
      <c r="K620" s="784">
        <v>0</v>
      </c>
      <c r="L620" s="783">
        <v>55837</v>
      </c>
      <c r="M620" s="783"/>
      <c r="N620" s="784">
        <v>126539</v>
      </c>
      <c r="O620" s="784">
        <v>1235110</v>
      </c>
      <c r="P620" s="784">
        <v>0</v>
      </c>
      <c r="Q620" s="783">
        <v>0</v>
      </c>
      <c r="R620" s="783"/>
      <c r="S620" s="784">
        <v>245780</v>
      </c>
      <c r="T620" s="785">
        <v>17190</v>
      </c>
      <c r="U620" s="785">
        <v>262970</v>
      </c>
    </row>
    <row r="621" spans="1:21" x14ac:dyDescent="0.25">
      <c r="A621" s="780">
        <v>96811</v>
      </c>
      <c r="B621" s="781" t="s">
        <v>1784</v>
      </c>
      <c r="C621" s="782">
        <v>6.0393000000000001E-3</v>
      </c>
      <c r="D621" s="782">
        <v>6.0203000000000001E-3</v>
      </c>
      <c r="E621" s="783">
        <v>2447971</v>
      </c>
      <c r="F621" s="783">
        <v>-3322712</v>
      </c>
      <c r="G621" s="783">
        <v>2710402</v>
      </c>
      <c r="H621" s="783"/>
      <c r="I621" s="784">
        <v>0</v>
      </c>
      <c r="J621" s="784">
        <v>5446941</v>
      </c>
      <c r="K621" s="784">
        <v>0</v>
      </c>
      <c r="L621" s="783">
        <v>0</v>
      </c>
      <c r="M621" s="783"/>
      <c r="N621" s="784">
        <v>637104</v>
      </c>
      <c r="O621" s="784">
        <v>6218589</v>
      </c>
      <c r="P621" s="784">
        <v>0</v>
      </c>
      <c r="Q621" s="783">
        <v>64512</v>
      </c>
      <c r="R621" s="783"/>
      <c r="S621" s="784">
        <v>1237465</v>
      </c>
      <c r="T621" s="785">
        <v>-21522</v>
      </c>
      <c r="U621" s="785">
        <v>1215943</v>
      </c>
    </row>
    <row r="622" spans="1:21" x14ac:dyDescent="0.25">
      <c r="A622" s="780">
        <v>96821</v>
      </c>
      <c r="B622" s="781" t="s">
        <v>1785</v>
      </c>
      <c r="C622" s="782">
        <v>1.4808E-3</v>
      </c>
      <c r="D622" s="782">
        <v>1.4963000000000001E-3</v>
      </c>
      <c r="E622" s="783">
        <v>552995</v>
      </c>
      <c r="F622" s="783">
        <v>-825835</v>
      </c>
      <c r="G622" s="783">
        <v>664574</v>
      </c>
      <c r="H622" s="783"/>
      <c r="I622" s="784">
        <v>0</v>
      </c>
      <c r="J622" s="784">
        <v>1335557</v>
      </c>
      <c r="K622" s="784">
        <v>0</v>
      </c>
      <c r="L622" s="783">
        <v>0</v>
      </c>
      <c r="M622" s="783"/>
      <c r="N622" s="784">
        <v>156214</v>
      </c>
      <c r="O622" s="784">
        <v>1524761</v>
      </c>
      <c r="P622" s="784">
        <v>0</v>
      </c>
      <c r="Q622" s="783">
        <v>78182</v>
      </c>
      <c r="R622" s="783"/>
      <c r="S622" s="784">
        <v>303419</v>
      </c>
      <c r="T622" s="785">
        <v>-22386</v>
      </c>
      <c r="U622" s="785">
        <v>281032</v>
      </c>
    </row>
    <row r="623" spans="1:21" x14ac:dyDescent="0.25">
      <c r="A623" s="780">
        <v>96831</v>
      </c>
      <c r="B623" s="781" t="s">
        <v>1786</v>
      </c>
      <c r="C623" s="782">
        <v>8.3830000000000005E-4</v>
      </c>
      <c r="D623" s="782">
        <v>8.0909999999999999E-4</v>
      </c>
      <c r="E623" s="783">
        <v>349540</v>
      </c>
      <c r="F623" s="783">
        <v>-446557</v>
      </c>
      <c r="G623" s="783">
        <v>376224</v>
      </c>
      <c r="H623" s="783"/>
      <c r="I623" s="784">
        <v>0</v>
      </c>
      <c r="J623" s="784">
        <v>756076</v>
      </c>
      <c r="K623" s="784">
        <v>0</v>
      </c>
      <c r="L623" s="783">
        <v>43358</v>
      </c>
      <c r="M623" s="783"/>
      <c r="N623" s="784">
        <v>88435</v>
      </c>
      <c r="O623" s="784">
        <v>863187</v>
      </c>
      <c r="P623" s="784">
        <v>0</v>
      </c>
      <c r="Q623" s="783">
        <v>0</v>
      </c>
      <c r="R623" s="783"/>
      <c r="S623" s="784">
        <v>171769</v>
      </c>
      <c r="T623" s="785">
        <v>12593</v>
      </c>
      <c r="U623" s="785">
        <v>184362</v>
      </c>
    </row>
    <row r="624" spans="1:21" x14ac:dyDescent="0.25">
      <c r="A624" s="780">
        <v>96901</v>
      </c>
      <c r="B624" s="781" t="s">
        <v>1787</v>
      </c>
      <c r="C624" s="782">
        <v>7.6599999999999997E-4</v>
      </c>
      <c r="D624" s="782">
        <v>7.4260000000000005E-4</v>
      </c>
      <c r="E624" s="783">
        <v>328970</v>
      </c>
      <c r="F624" s="783">
        <v>-409854</v>
      </c>
      <c r="G624" s="783">
        <v>343776</v>
      </c>
      <c r="H624" s="783"/>
      <c r="I624" s="784">
        <v>0</v>
      </c>
      <c r="J624" s="784">
        <v>690868</v>
      </c>
      <c r="K624" s="784">
        <v>0</v>
      </c>
      <c r="L624" s="783">
        <v>36588</v>
      </c>
      <c r="M624" s="783"/>
      <c r="N624" s="784">
        <v>80808</v>
      </c>
      <c r="O624" s="784">
        <v>788740</v>
      </c>
      <c r="P624" s="784">
        <v>0</v>
      </c>
      <c r="Q624" s="783">
        <v>0</v>
      </c>
      <c r="R624" s="783"/>
      <c r="S624" s="784">
        <v>156955</v>
      </c>
      <c r="T624" s="785">
        <v>10109</v>
      </c>
      <c r="U624" s="785">
        <v>167064</v>
      </c>
    </row>
    <row r="625" spans="1:21" x14ac:dyDescent="0.25">
      <c r="A625" s="780">
        <v>96911</v>
      </c>
      <c r="B625" s="781" t="s">
        <v>1788</v>
      </c>
      <c r="C625" s="782">
        <v>1.15E-5</v>
      </c>
      <c r="D625" s="782">
        <v>5.2000000000000002E-6</v>
      </c>
      <c r="E625" s="783">
        <v>4609</v>
      </c>
      <c r="F625" s="783">
        <v>-2870</v>
      </c>
      <c r="G625" s="783">
        <v>5161</v>
      </c>
      <c r="H625" s="783"/>
      <c r="I625" s="784">
        <v>0</v>
      </c>
      <c r="J625" s="784">
        <v>10372</v>
      </c>
      <c r="K625" s="784">
        <v>0</v>
      </c>
      <c r="L625" s="783">
        <v>5530</v>
      </c>
      <c r="M625" s="783"/>
      <c r="N625" s="784">
        <v>1213</v>
      </c>
      <c r="O625" s="784">
        <v>11841</v>
      </c>
      <c r="P625" s="784">
        <v>0</v>
      </c>
      <c r="Q625" s="783">
        <v>0</v>
      </c>
      <c r="R625" s="783"/>
      <c r="S625" s="784">
        <v>2356</v>
      </c>
      <c r="T625" s="785">
        <v>1533</v>
      </c>
      <c r="U625" s="785">
        <v>3890</v>
      </c>
    </row>
    <row r="626" spans="1:21" x14ac:dyDescent="0.25">
      <c r="A626" s="780">
        <v>96912</v>
      </c>
      <c r="B626" s="781" t="s">
        <v>1789</v>
      </c>
      <c r="C626" s="782">
        <v>5.5899999999999997E-5</v>
      </c>
      <c r="D626" s="782">
        <v>4.6799999999999999E-5</v>
      </c>
      <c r="E626" s="783">
        <v>20812</v>
      </c>
      <c r="F626" s="783">
        <v>-25830</v>
      </c>
      <c r="G626" s="783">
        <v>25088</v>
      </c>
      <c r="H626" s="783"/>
      <c r="I626" s="784">
        <v>0</v>
      </c>
      <c r="J626" s="784">
        <v>50417</v>
      </c>
      <c r="K626" s="784">
        <v>0</v>
      </c>
      <c r="L626" s="783">
        <v>10958</v>
      </c>
      <c r="M626" s="783"/>
      <c r="N626" s="784">
        <v>5897</v>
      </c>
      <c r="O626" s="784">
        <v>57560</v>
      </c>
      <c r="P626" s="784">
        <v>0</v>
      </c>
      <c r="Q626" s="783">
        <v>0</v>
      </c>
      <c r="R626" s="783"/>
      <c r="S626" s="784">
        <v>11454</v>
      </c>
      <c r="T626" s="785">
        <v>3316</v>
      </c>
      <c r="U626" s="785">
        <v>14771</v>
      </c>
    </row>
    <row r="627" spans="1:21" x14ac:dyDescent="0.25">
      <c r="A627" s="780">
        <v>96918</v>
      </c>
      <c r="B627" s="781" t="s">
        <v>1790</v>
      </c>
      <c r="C627" s="782">
        <v>4.5099999999999998E-5</v>
      </c>
      <c r="D627" s="782">
        <v>3.8800000000000001E-5</v>
      </c>
      <c r="E627" s="783">
        <v>20761</v>
      </c>
      <c r="F627" s="783">
        <v>-21414</v>
      </c>
      <c r="G627" s="783">
        <v>20241</v>
      </c>
      <c r="H627" s="783"/>
      <c r="I627" s="784">
        <v>0</v>
      </c>
      <c r="J627" s="784">
        <v>40676</v>
      </c>
      <c r="K627" s="784">
        <v>0</v>
      </c>
      <c r="L627" s="783">
        <v>18728</v>
      </c>
      <c r="M627" s="783"/>
      <c r="N627" s="784">
        <v>4758</v>
      </c>
      <c r="O627" s="784">
        <v>46439</v>
      </c>
      <c r="P627" s="784">
        <v>0</v>
      </c>
      <c r="Q627" s="783">
        <v>0</v>
      </c>
      <c r="R627" s="783"/>
      <c r="S627" s="784">
        <v>9241</v>
      </c>
      <c r="T627" s="785">
        <v>5807</v>
      </c>
      <c r="U627" s="785">
        <v>15048</v>
      </c>
    </row>
    <row r="628" spans="1:21" x14ac:dyDescent="0.25">
      <c r="A628" s="780">
        <v>97001</v>
      </c>
      <c r="B628" s="781" t="s">
        <v>1791</v>
      </c>
      <c r="C628" s="782">
        <v>1.3221999999999999E-3</v>
      </c>
      <c r="D628" s="782">
        <v>1.3572E-3</v>
      </c>
      <c r="E628" s="783">
        <v>612403</v>
      </c>
      <c r="F628" s="783">
        <v>-749063</v>
      </c>
      <c r="G628" s="783">
        <v>593395</v>
      </c>
      <c r="H628" s="783"/>
      <c r="I628" s="784">
        <v>0</v>
      </c>
      <c r="J628" s="784">
        <v>1192513</v>
      </c>
      <c r="K628" s="784">
        <v>0</v>
      </c>
      <c r="L628" s="783">
        <v>32955</v>
      </c>
      <c r="M628" s="783"/>
      <c r="N628" s="784">
        <v>139483</v>
      </c>
      <c r="O628" s="784">
        <v>1361452</v>
      </c>
      <c r="P628" s="784">
        <v>0</v>
      </c>
      <c r="Q628" s="783">
        <v>34800.61</v>
      </c>
      <c r="R628" s="783"/>
      <c r="S628" s="784">
        <v>270921</v>
      </c>
      <c r="T628" s="785">
        <v>-3012</v>
      </c>
      <c r="U628" s="785">
        <v>267909</v>
      </c>
    </row>
    <row r="629" spans="1:21" x14ac:dyDescent="0.25">
      <c r="A629" s="780">
        <v>97002</v>
      </c>
      <c r="B629" s="781" t="s">
        <v>1792</v>
      </c>
      <c r="C629" s="782">
        <v>3.9229999999999999E-4</v>
      </c>
      <c r="D629" s="782">
        <v>3.5819999999999998E-4</v>
      </c>
      <c r="E629" s="783">
        <v>137393</v>
      </c>
      <c r="F629" s="783">
        <v>-197697</v>
      </c>
      <c r="G629" s="783">
        <v>176062</v>
      </c>
      <c r="H629" s="783"/>
      <c r="I629" s="784">
        <v>0</v>
      </c>
      <c r="J629" s="784">
        <v>353822</v>
      </c>
      <c r="K629" s="784">
        <v>0</v>
      </c>
      <c r="L629" s="783">
        <v>30256</v>
      </c>
      <c r="M629" s="783"/>
      <c r="N629" s="784">
        <v>41385</v>
      </c>
      <c r="O629" s="784">
        <v>403946</v>
      </c>
      <c r="P629" s="784">
        <v>0</v>
      </c>
      <c r="Q629" s="783">
        <v>0</v>
      </c>
      <c r="R629" s="783"/>
      <c r="S629" s="784">
        <v>80383</v>
      </c>
      <c r="T629" s="785">
        <v>9692</v>
      </c>
      <c r="U629" s="785">
        <v>90075</v>
      </c>
    </row>
    <row r="630" spans="1:21" x14ac:dyDescent="0.25">
      <c r="A630" s="780">
        <v>97004</v>
      </c>
      <c r="B630" s="781" t="s">
        <v>1793</v>
      </c>
      <c r="C630" s="782">
        <v>1.47E-5</v>
      </c>
      <c r="D630" s="782">
        <v>1.5699999999999999E-5</v>
      </c>
      <c r="E630" s="783">
        <v>10166</v>
      </c>
      <c r="F630" s="783">
        <v>-8665</v>
      </c>
      <c r="G630" s="783">
        <v>6597</v>
      </c>
      <c r="H630" s="783"/>
      <c r="I630" s="784">
        <v>0</v>
      </c>
      <c r="J630" s="784">
        <v>13258</v>
      </c>
      <c r="K630" s="784">
        <v>0</v>
      </c>
      <c r="L630" s="783">
        <v>4261</v>
      </c>
      <c r="M630" s="783"/>
      <c r="N630" s="784">
        <v>1551</v>
      </c>
      <c r="O630" s="784">
        <v>15136</v>
      </c>
      <c r="P630" s="784">
        <v>0</v>
      </c>
      <c r="Q630" s="783">
        <v>0</v>
      </c>
      <c r="R630" s="783"/>
      <c r="S630" s="784">
        <v>3012</v>
      </c>
      <c r="T630" s="785">
        <v>1236</v>
      </c>
      <c r="U630" s="785">
        <v>4248</v>
      </c>
    </row>
    <row r="631" spans="1:21" x14ac:dyDescent="0.25">
      <c r="A631" s="780">
        <v>97005</v>
      </c>
      <c r="B631" s="781" t="s">
        <v>1794</v>
      </c>
      <c r="C631" s="782">
        <v>2.3799999999999999E-5</v>
      </c>
      <c r="D631" s="782">
        <v>2.1999999999999999E-5</v>
      </c>
      <c r="E631" s="783">
        <v>13407</v>
      </c>
      <c r="F631" s="783">
        <v>-12142</v>
      </c>
      <c r="G631" s="783">
        <v>10681</v>
      </c>
      <c r="H631" s="783"/>
      <c r="I631" s="784">
        <v>0</v>
      </c>
      <c r="J631" s="784">
        <v>21466</v>
      </c>
      <c r="K631" s="784">
        <v>0</v>
      </c>
      <c r="L631" s="783">
        <v>4188</v>
      </c>
      <c r="M631" s="783"/>
      <c r="N631" s="784">
        <v>2511</v>
      </c>
      <c r="O631" s="784">
        <v>24507</v>
      </c>
      <c r="P631" s="784">
        <v>0</v>
      </c>
      <c r="Q631" s="783">
        <v>870.09</v>
      </c>
      <c r="R631" s="783"/>
      <c r="S631" s="784">
        <v>4877</v>
      </c>
      <c r="T631" s="785">
        <v>805</v>
      </c>
      <c r="U631" s="785">
        <v>5682</v>
      </c>
    </row>
    <row r="632" spans="1:21" x14ac:dyDescent="0.25">
      <c r="A632" s="780">
        <v>97008</v>
      </c>
      <c r="B632" s="781" t="s">
        <v>1795</v>
      </c>
      <c r="C632" s="782">
        <v>2.6959999999999999E-4</v>
      </c>
      <c r="D632" s="782">
        <v>2.6919999999999998E-4</v>
      </c>
      <c r="E632" s="783">
        <v>104642</v>
      </c>
      <c r="F632" s="783">
        <v>-148576</v>
      </c>
      <c r="G632" s="783">
        <v>120995</v>
      </c>
      <c r="H632" s="783"/>
      <c r="I632" s="784">
        <v>0</v>
      </c>
      <c r="J632" s="784">
        <v>243157</v>
      </c>
      <c r="K632" s="784">
        <v>0</v>
      </c>
      <c r="L632" s="783">
        <v>22069</v>
      </c>
      <c r="M632" s="783"/>
      <c r="N632" s="784">
        <v>28441</v>
      </c>
      <c r="O632" s="784">
        <v>277604</v>
      </c>
      <c r="P632" s="784">
        <v>0</v>
      </c>
      <c r="Q632" s="783">
        <v>4023</v>
      </c>
      <c r="R632" s="783"/>
      <c r="S632" s="784">
        <v>55242</v>
      </c>
      <c r="T632" s="785">
        <v>6328</v>
      </c>
      <c r="U632" s="785">
        <v>61569</v>
      </c>
    </row>
    <row r="633" spans="1:21" x14ac:dyDescent="0.25">
      <c r="A633" s="780">
        <v>97010</v>
      </c>
      <c r="B633" s="781" t="s">
        <v>1796</v>
      </c>
      <c r="C633" s="782">
        <v>0</v>
      </c>
      <c r="D633" s="782">
        <v>5.1634000000000003E-3</v>
      </c>
      <c r="E633" s="783">
        <v>0</v>
      </c>
      <c r="F633" s="783">
        <v>-2849773</v>
      </c>
      <c r="G633" s="783">
        <v>0</v>
      </c>
      <c r="H633" s="783"/>
      <c r="I633" s="784">
        <v>0</v>
      </c>
      <c r="J633" s="784">
        <v>0</v>
      </c>
      <c r="K633" s="784">
        <v>0</v>
      </c>
      <c r="L633" s="783">
        <v>0</v>
      </c>
      <c r="M633" s="783"/>
      <c r="N633" s="784">
        <v>0</v>
      </c>
      <c r="O633" s="784">
        <v>0</v>
      </c>
      <c r="P633" s="784">
        <v>0</v>
      </c>
      <c r="Q633" s="783">
        <v>4621809</v>
      </c>
      <c r="R633" s="783"/>
      <c r="S633" s="784">
        <v>0</v>
      </c>
      <c r="T633" s="785">
        <v>-1282454</v>
      </c>
      <c r="U633" s="785">
        <v>-1282454</v>
      </c>
    </row>
    <row r="634" spans="1:21" x14ac:dyDescent="0.25">
      <c r="A634" s="780">
        <v>97011</v>
      </c>
      <c r="B634" s="781" t="s">
        <v>1797</v>
      </c>
      <c r="C634" s="782">
        <v>2.0471E-3</v>
      </c>
      <c r="D634" s="782">
        <v>2.0693999999999999E-3</v>
      </c>
      <c r="E634" s="783">
        <v>820739</v>
      </c>
      <c r="F634" s="783">
        <v>-1142139</v>
      </c>
      <c r="G634" s="783">
        <v>918726</v>
      </c>
      <c r="H634" s="783"/>
      <c r="I634" s="784">
        <v>0</v>
      </c>
      <c r="J634" s="784">
        <v>1846312</v>
      </c>
      <c r="K634" s="784">
        <v>0</v>
      </c>
      <c r="L634" s="783">
        <v>0</v>
      </c>
      <c r="M634" s="783"/>
      <c r="N634" s="784">
        <v>215955</v>
      </c>
      <c r="O634" s="784">
        <v>2107872</v>
      </c>
      <c r="P634" s="784">
        <v>0</v>
      </c>
      <c r="Q634" s="783">
        <v>45455</v>
      </c>
      <c r="R634" s="783"/>
      <c r="S634" s="784">
        <v>419455</v>
      </c>
      <c r="T634" s="785">
        <v>-13198</v>
      </c>
      <c r="U634" s="785">
        <v>406257</v>
      </c>
    </row>
    <row r="635" spans="1:21" x14ac:dyDescent="0.25">
      <c r="A635" s="780">
        <v>97012</v>
      </c>
      <c r="B635" s="781" t="s">
        <v>1798</v>
      </c>
      <c r="C635" s="782">
        <v>2.4199999999999999E-5</v>
      </c>
      <c r="D635" s="782">
        <v>3.3099999999999998E-5</v>
      </c>
      <c r="E635" s="783">
        <v>15328</v>
      </c>
      <c r="F635" s="783">
        <v>-18268</v>
      </c>
      <c r="G635" s="783">
        <v>10861</v>
      </c>
      <c r="H635" s="783"/>
      <c r="I635" s="784">
        <v>0</v>
      </c>
      <c r="J635" s="784">
        <v>21826</v>
      </c>
      <c r="K635" s="784">
        <v>0</v>
      </c>
      <c r="L635" s="783">
        <v>0</v>
      </c>
      <c r="M635" s="783"/>
      <c r="N635" s="784">
        <v>2553</v>
      </c>
      <c r="O635" s="784">
        <v>24918</v>
      </c>
      <c r="P635" s="784">
        <v>0</v>
      </c>
      <c r="Q635" s="783">
        <v>2625</v>
      </c>
      <c r="R635" s="783"/>
      <c r="S635" s="784">
        <v>4959</v>
      </c>
      <c r="T635" s="785">
        <v>-738</v>
      </c>
      <c r="U635" s="785">
        <v>4221</v>
      </c>
    </row>
    <row r="636" spans="1:21" x14ac:dyDescent="0.25">
      <c r="A636" s="780">
        <v>97013</v>
      </c>
      <c r="B636" s="781" t="s">
        <v>1799</v>
      </c>
      <c r="C636" s="782">
        <v>1.1399999999999999E-5</v>
      </c>
      <c r="D636" s="782">
        <v>1.03E-5</v>
      </c>
      <c r="E636" s="783">
        <v>8715</v>
      </c>
      <c r="F636" s="783">
        <v>-5685</v>
      </c>
      <c r="G636" s="783">
        <v>5116</v>
      </c>
      <c r="H636" s="783"/>
      <c r="I636" s="784">
        <v>0</v>
      </c>
      <c r="J636" s="784">
        <v>10282</v>
      </c>
      <c r="K636" s="784">
        <v>0</v>
      </c>
      <c r="L636" s="783">
        <v>3990</v>
      </c>
      <c r="M636" s="783"/>
      <c r="N636" s="784">
        <v>1203</v>
      </c>
      <c r="O636" s="784">
        <v>11738</v>
      </c>
      <c r="P636" s="784">
        <v>0</v>
      </c>
      <c r="Q636" s="783">
        <v>1301</v>
      </c>
      <c r="R636" s="783"/>
      <c r="S636" s="784">
        <v>2336</v>
      </c>
      <c r="T636" s="785">
        <v>610</v>
      </c>
      <c r="U636" s="785">
        <v>2945</v>
      </c>
    </row>
    <row r="637" spans="1:21" x14ac:dyDescent="0.25">
      <c r="A637" s="780">
        <v>97015</v>
      </c>
      <c r="B637" s="781" t="s">
        <v>1800</v>
      </c>
      <c r="C637" s="782">
        <v>4.7700000000000001E-5</v>
      </c>
      <c r="D637" s="782">
        <v>4.1199999999999999E-5</v>
      </c>
      <c r="E637" s="783">
        <v>19832</v>
      </c>
      <c r="F637" s="783">
        <v>-22739</v>
      </c>
      <c r="G637" s="783">
        <v>21407</v>
      </c>
      <c r="H637" s="783"/>
      <c r="I637" s="784">
        <v>0</v>
      </c>
      <c r="J637" s="784">
        <v>43021</v>
      </c>
      <c r="K637" s="784">
        <v>0</v>
      </c>
      <c r="L637" s="783">
        <v>4844</v>
      </c>
      <c r="M637" s="783"/>
      <c r="N637" s="784">
        <v>5032</v>
      </c>
      <c r="O637" s="784">
        <v>49116</v>
      </c>
      <c r="P637" s="784">
        <v>0</v>
      </c>
      <c r="Q637" s="783">
        <v>2386.02</v>
      </c>
      <c r="R637" s="783"/>
      <c r="S637" s="784">
        <v>9774</v>
      </c>
      <c r="T637" s="785">
        <v>470</v>
      </c>
      <c r="U637" s="785">
        <v>10244</v>
      </c>
    </row>
    <row r="638" spans="1:21" x14ac:dyDescent="0.25">
      <c r="A638" s="780">
        <v>97018</v>
      </c>
      <c r="B638" s="781" t="s">
        <v>1801</v>
      </c>
      <c r="C638" s="782">
        <v>9.5000000000000005E-6</v>
      </c>
      <c r="D638" s="782">
        <v>9.5999999999999996E-6</v>
      </c>
      <c r="E638" s="783">
        <v>7624</v>
      </c>
      <c r="F638" s="783">
        <v>-5298</v>
      </c>
      <c r="G638" s="783">
        <v>4264</v>
      </c>
      <c r="H638" s="783"/>
      <c r="I638" s="784">
        <v>0</v>
      </c>
      <c r="J638" s="784">
        <v>8568</v>
      </c>
      <c r="K638" s="784">
        <v>0</v>
      </c>
      <c r="L638" s="783">
        <v>4824</v>
      </c>
      <c r="M638" s="783"/>
      <c r="N638" s="784">
        <v>1002</v>
      </c>
      <c r="O638" s="784">
        <v>9782</v>
      </c>
      <c r="P638" s="784">
        <v>0</v>
      </c>
      <c r="Q638" s="783">
        <v>0</v>
      </c>
      <c r="R638" s="783"/>
      <c r="S638" s="784">
        <v>1947</v>
      </c>
      <c r="T638" s="785">
        <v>1403</v>
      </c>
      <c r="U638" s="785">
        <v>3349</v>
      </c>
    </row>
    <row r="639" spans="1:21" x14ac:dyDescent="0.25">
      <c r="A639" s="780">
        <v>97101</v>
      </c>
      <c r="B639" s="781" t="s">
        <v>1802</v>
      </c>
      <c r="C639" s="782">
        <v>2.5864999999999998E-3</v>
      </c>
      <c r="D639" s="782">
        <v>2.5546000000000002E-3</v>
      </c>
      <c r="E639" s="783">
        <v>1067838</v>
      </c>
      <c r="F639" s="783">
        <v>-1409930</v>
      </c>
      <c r="G639" s="783">
        <v>1160806</v>
      </c>
      <c r="H639" s="783"/>
      <c r="I639" s="784">
        <v>0</v>
      </c>
      <c r="J639" s="784">
        <v>2332806</v>
      </c>
      <c r="K639" s="784">
        <v>0</v>
      </c>
      <c r="L639" s="783">
        <v>31750</v>
      </c>
      <c r="M639" s="783"/>
      <c r="N639" s="784">
        <v>272858</v>
      </c>
      <c r="O639" s="784">
        <v>2663285</v>
      </c>
      <c r="P639" s="784">
        <v>0</v>
      </c>
      <c r="Q639" s="783">
        <v>20950.93</v>
      </c>
      <c r="R639" s="783"/>
      <c r="S639" s="784">
        <v>529979</v>
      </c>
      <c r="T639" s="785">
        <v>1305</v>
      </c>
      <c r="U639" s="785">
        <v>531284</v>
      </c>
    </row>
    <row r="640" spans="1:21" x14ac:dyDescent="0.25">
      <c r="A640" s="780">
        <v>97104</v>
      </c>
      <c r="B640" s="781" t="s">
        <v>1803</v>
      </c>
      <c r="C640" s="782">
        <v>5.2099999999999999E-5</v>
      </c>
      <c r="D640" s="782">
        <v>4.6300000000000001E-5</v>
      </c>
      <c r="E640" s="783">
        <v>27879</v>
      </c>
      <c r="F640" s="783">
        <v>-25554</v>
      </c>
      <c r="G640" s="783">
        <v>23382</v>
      </c>
      <c r="H640" s="783"/>
      <c r="I640" s="784">
        <v>0</v>
      </c>
      <c r="J640" s="784">
        <v>46990</v>
      </c>
      <c r="K640" s="784">
        <v>0</v>
      </c>
      <c r="L640" s="783">
        <v>15368</v>
      </c>
      <c r="M640" s="783"/>
      <c r="N640" s="784">
        <v>5496</v>
      </c>
      <c r="O640" s="784">
        <v>53647</v>
      </c>
      <c r="P640" s="784">
        <v>0</v>
      </c>
      <c r="Q640" s="783">
        <v>0</v>
      </c>
      <c r="R640" s="783"/>
      <c r="S640" s="784">
        <v>10675</v>
      </c>
      <c r="T640" s="785">
        <v>4463</v>
      </c>
      <c r="U640" s="785">
        <v>15139</v>
      </c>
    </row>
    <row r="641" spans="1:21" x14ac:dyDescent="0.25">
      <c r="A641" s="780">
        <v>97111</v>
      </c>
      <c r="B641" s="781" t="s">
        <v>1804</v>
      </c>
      <c r="C641" s="782">
        <v>2.5099999999999998E-4</v>
      </c>
      <c r="D641" s="782">
        <v>2.8420000000000002E-4</v>
      </c>
      <c r="E641" s="783">
        <v>102116</v>
      </c>
      <c r="F641" s="783">
        <v>-156855</v>
      </c>
      <c r="G641" s="783">
        <v>112647</v>
      </c>
      <c r="H641" s="783"/>
      <c r="I641" s="784">
        <v>0</v>
      </c>
      <c r="J641" s="784">
        <v>226381</v>
      </c>
      <c r="K641" s="784">
        <v>0</v>
      </c>
      <c r="L641" s="783">
        <v>19973.2</v>
      </c>
      <c r="M641" s="783"/>
      <c r="N641" s="784">
        <v>26479</v>
      </c>
      <c r="O641" s="784">
        <v>258451</v>
      </c>
      <c r="P641" s="784">
        <v>0</v>
      </c>
      <c r="Q641" s="783">
        <v>23585</v>
      </c>
      <c r="R641" s="783"/>
      <c r="S641" s="784">
        <v>51430</v>
      </c>
      <c r="T641" s="785">
        <v>506</v>
      </c>
      <c r="U641" s="785">
        <v>51936</v>
      </c>
    </row>
    <row r="642" spans="1:21" x14ac:dyDescent="0.25">
      <c r="A642" s="780">
        <v>97121</v>
      </c>
      <c r="B642" s="781" t="s">
        <v>1805</v>
      </c>
      <c r="C642" s="782">
        <v>1.495E-4</v>
      </c>
      <c r="D642" s="782">
        <v>1.473E-4</v>
      </c>
      <c r="E642" s="783">
        <v>58553</v>
      </c>
      <c r="F642" s="783">
        <v>-81298</v>
      </c>
      <c r="G642" s="783">
        <v>67095</v>
      </c>
      <c r="H642" s="783"/>
      <c r="I642" s="784">
        <v>0</v>
      </c>
      <c r="J642" s="784">
        <v>134836</v>
      </c>
      <c r="K642" s="784">
        <v>0</v>
      </c>
      <c r="L642" s="783">
        <v>0</v>
      </c>
      <c r="M642" s="783"/>
      <c r="N642" s="784">
        <v>15771</v>
      </c>
      <c r="O642" s="784">
        <v>153938</v>
      </c>
      <c r="P642" s="784">
        <v>0</v>
      </c>
      <c r="Q642" s="783">
        <v>4857</v>
      </c>
      <c r="R642" s="783"/>
      <c r="S642" s="784">
        <v>30633</v>
      </c>
      <c r="T642" s="785">
        <v>-1594</v>
      </c>
      <c r="U642" s="785">
        <v>29039</v>
      </c>
    </row>
    <row r="643" spans="1:21" x14ac:dyDescent="0.25">
      <c r="A643" s="780">
        <v>97131</v>
      </c>
      <c r="B643" s="781" t="s">
        <v>1806</v>
      </c>
      <c r="C643" s="782">
        <v>5.9650000000000002E-4</v>
      </c>
      <c r="D643" s="782">
        <v>5.5769999999999995E-4</v>
      </c>
      <c r="E643" s="783">
        <v>220878</v>
      </c>
      <c r="F643" s="783">
        <v>-307805</v>
      </c>
      <c r="G643" s="783">
        <v>267706</v>
      </c>
      <c r="H643" s="783"/>
      <c r="I643" s="784">
        <v>0</v>
      </c>
      <c r="J643" s="784">
        <v>537993</v>
      </c>
      <c r="K643" s="784">
        <v>0</v>
      </c>
      <c r="L643" s="783">
        <v>9267</v>
      </c>
      <c r="M643" s="783"/>
      <c r="N643" s="784">
        <v>62927</v>
      </c>
      <c r="O643" s="784">
        <v>614208</v>
      </c>
      <c r="P643" s="784">
        <v>0</v>
      </c>
      <c r="Q643" s="783">
        <v>263.12</v>
      </c>
      <c r="R643" s="783"/>
      <c r="S643" s="784">
        <v>122224</v>
      </c>
      <c r="T643" s="785">
        <v>2338</v>
      </c>
      <c r="U643" s="785">
        <v>124562</v>
      </c>
    </row>
    <row r="644" spans="1:21" x14ac:dyDescent="0.25">
      <c r="A644" s="780">
        <v>97201</v>
      </c>
      <c r="B644" s="781" t="s">
        <v>1807</v>
      </c>
      <c r="C644" s="782">
        <v>4.7249999999999999E-4</v>
      </c>
      <c r="D644" s="782">
        <v>4.9109999999999996E-4</v>
      </c>
      <c r="E644" s="783">
        <v>213405</v>
      </c>
      <c r="F644" s="783">
        <v>-271047</v>
      </c>
      <c r="G644" s="783">
        <v>212055</v>
      </c>
      <c r="H644" s="783"/>
      <c r="I644" s="784">
        <v>0</v>
      </c>
      <c r="J644" s="784">
        <v>426155.31</v>
      </c>
      <c r="K644" s="784">
        <v>0</v>
      </c>
      <c r="L644" s="783">
        <v>3188</v>
      </c>
      <c r="M644" s="783"/>
      <c r="N644" s="784">
        <v>49845</v>
      </c>
      <c r="O644" s="784">
        <v>486527</v>
      </c>
      <c r="P644" s="784">
        <v>0</v>
      </c>
      <c r="Q644" s="783">
        <v>5669.04</v>
      </c>
      <c r="R644" s="783"/>
      <c r="S644" s="784">
        <v>96816</v>
      </c>
      <c r="T644" s="785">
        <v>-1061</v>
      </c>
      <c r="U644" s="785">
        <v>95755</v>
      </c>
    </row>
    <row r="645" spans="1:21" x14ac:dyDescent="0.25">
      <c r="A645" s="780">
        <v>97211</v>
      </c>
      <c r="B645" s="781" t="s">
        <v>1808</v>
      </c>
      <c r="C645" s="782">
        <v>1.7689999999999999E-4</v>
      </c>
      <c r="D645" s="782">
        <v>1.6349999999999999E-4</v>
      </c>
      <c r="E645" s="783">
        <v>66468</v>
      </c>
      <c r="F645" s="783">
        <v>-90239</v>
      </c>
      <c r="G645" s="783">
        <v>79392</v>
      </c>
      <c r="H645" s="783"/>
      <c r="I645" s="784">
        <v>0</v>
      </c>
      <c r="J645" s="784">
        <v>159549</v>
      </c>
      <c r="K645" s="784">
        <v>0</v>
      </c>
      <c r="L645" s="783">
        <v>4840</v>
      </c>
      <c r="M645" s="783"/>
      <c r="N645" s="784">
        <v>18662</v>
      </c>
      <c r="O645" s="784">
        <v>182152</v>
      </c>
      <c r="P645" s="784">
        <v>0</v>
      </c>
      <c r="Q645" s="783">
        <v>493.35</v>
      </c>
      <c r="R645" s="783"/>
      <c r="S645" s="784">
        <v>36247</v>
      </c>
      <c r="T645" s="785">
        <v>1102</v>
      </c>
      <c r="U645" s="785">
        <v>37349</v>
      </c>
    </row>
    <row r="646" spans="1:21" x14ac:dyDescent="0.25">
      <c r="A646" s="780">
        <v>97213</v>
      </c>
      <c r="B646" s="781" t="s">
        <v>1809</v>
      </c>
      <c r="C646" s="782">
        <v>4.0800000000000002E-5</v>
      </c>
      <c r="D646" s="782">
        <v>4.0899999999999998E-5</v>
      </c>
      <c r="E646" s="783">
        <v>17054</v>
      </c>
      <c r="F646" s="783">
        <v>-22573</v>
      </c>
      <c r="G646" s="783">
        <v>18311</v>
      </c>
      <c r="H646" s="783"/>
      <c r="I646" s="784">
        <v>0</v>
      </c>
      <c r="J646" s="784">
        <v>36798</v>
      </c>
      <c r="K646" s="784">
        <v>0</v>
      </c>
      <c r="L646" s="783">
        <v>2295</v>
      </c>
      <c r="M646" s="783"/>
      <c r="N646" s="784">
        <v>4304</v>
      </c>
      <c r="O646" s="784">
        <v>42011</v>
      </c>
      <c r="P646" s="784">
        <v>0</v>
      </c>
      <c r="Q646" s="783">
        <v>0</v>
      </c>
      <c r="R646" s="783"/>
      <c r="S646" s="784">
        <v>8360</v>
      </c>
      <c r="T646" s="785">
        <v>750</v>
      </c>
      <c r="U646" s="785">
        <v>9110</v>
      </c>
    </row>
    <row r="647" spans="1:21" x14ac:dyDescent="0.25">
      <c r="A647" s="780">
        <v>97217</v>
      </c>
      <c r="B647" s="781" t="s">
        <v>1810</v>
      </c>
      <c r="C647" s="782">
        <v>5.0000000000000004E-6</v>
      </c>
      <c r="D647" s="782">
        <v>5.5999999999999997E-6</v>
      </c>
      <c r="E647" s="783">
        <v>6399</v>
      </c>
      <c r="F647" s="783">
        <v>-3091</v>
      </c>
      <c r="G647" s="783">
        <v>2244</v>
      </c>
      <c r="H647" s="783"/>
      <c r="I647" s="784">
        <v>0</v>
      </c>
      <c r="J647" s="784">
        <v>4509.58</v>
      </c>
      <c r="K647" s="784">
        <v>0</v>
      </c>
      <c r="L647" s="783">
        <v>5254</v>
      </c>
      <c r="M647" s="783"/>
      <c r="N647" s="784">
        <v>527.46500000000003</v>
      </c>
      <c r="O647" s="784">
        <v>5148</v>
      </c>
      <c r="P647" s="784">
        <v>0</v>
      </c>
      <c r="Q647" s="783">
        <v>0</v>
      </c>
      <c r="R647" s="783"/>
      <c r="S647" s="784">
        <v>1024.51</v>
      </c>
      <c r="T647" s="785">
        <v>1537</v>
      </c>
      <c r="U647" s="785">
        <v>2561</v>
      </c>
    </row>
    <row r="648" spans="1:21" x14ac:dyDescent="0.25">
      <c r="A648" s="780">
        <v>97221</v>
      </c>
      <c r="B648" s="781" t="s">
        <v>1811</v>
      </c>
      <c r="C648" s="782">
        <v>6.2999999999999998E-6</v>
      </c>
      <c r="D648" s="782">
        <v>7.9000000000000006E-6</v>
      </c>
      <c r="E648" s="783">
        <v>5542</v>
      </c>
      <c r="F648" s="783">
        <v>-4360</v>
      </c>
      <c r="G648" s="783">
        <v>2827</v>
      </c>
      <c r="H648" s="783"/>
      <c r="I648" s="784">
        <v>0</v>
      </c>
      <c r="J648" s="784">
        <v>5682</v>
      </c>
      <c r="K648" s="784">
        <v>0</v>
      </c>
      <c r="L648" s="783">
        <v>3966</v>
      </c>
      <c r="M648" s="783"/>
      <c r="N648" s="784">
        <v>665</v>
      </c>
      <c r="O648" s="784">
        <v>6487</v>
      </c>
      <c r="P648" s="784">
        <v>0</v>
      </c>
      <c r="Q648" s="783">
        <v>0</v>
      </c>
      <c r="R648" s="783"/>
      <c r="S648" s="784">
        <v>1291</v>
      </c>
      <c r="T648" s="785">
        <v>1237</v>
      </c>
      <c r="U648" s="785">
        <v>2528</v>
      </c>
    </row>
    <row r="649" spans="1:21" x14ac:dyDescent="0.25">
      <c r="A649" s="780">
        <v>97301</v>
      </c>
      <c r="B649" s="781" t="s">
        <v>1812</v>
      </c>
      <c r="C649" s="782">
        <v>2.6905000000000002E-3</v>
      </c>
      <c r="D649" s="782">
        <v>2.6635999999999999E-3</v>
      </c>
      <c r="E649" s="783">
        <v>1137457</v>
      </c>
      <c r="F649" s="783">
        <v>-1470089</v>
      </c>
      <c r="G649" s="783">
        <v>1207480</v>
      </c>
      <c r="H649" s="783"/>
      <c r="I649" s="784">
        <v>0</v>
      </c>
      <c r="J649" s="784">
        <v>2426605</v>
      </c>
      <c r="K649" s="784">
        <v>0</v>
      </c>
      <c r="L649" s="783">
        <v>49765</v>
      </c>
      <c r="M649" s="783"/>
      <c r="N649" s="784">
        <v>283829</v>
      </c>
      <c r="O649" s="784">
        <v>2770373</v>
      </c>
      <c r="P649" s="784">
        <v>0</v>
      </c>
      <c r="Q649" s="783">
        <v>24565.84</v>
      </c>
      <c r="R649" s="783"/>
      <c r="S649" s="784">
        <v>551289</v>
      </c>
      <c r="T649" s="785">
        <v>4812</v>
      </c>
      <c r="U649" s="785">
        <v>556100</v>
      </c>
    </row>
    <row r="650" spans="1:21" x14ac:dyDescent="0.25">
      <c r="A650" s="780">
        <v>97304</v>
      </c>
      <c r="B650" s="781" t="s">
        <v>1813</v>
      </c>
      <c r="C650" s="782">
        <v>1.8499999999999999E-5</v>
      </c>
      <c r="D650" s="782">
        <v>1.8600000000000001E-5</v>
      </c>
      <c r="E650" s="783">
        <v>11667</v>
      </c>
      <c r="F650" s="783">
        <v>-10266</v>
      </c>
      <c r="G650" s="783">
        <v>8303</v>
      </c>
      <c r="H650" s="783"/>
      <c r="I650" s="784">
        <v>0</v>
      </c>
      <c r="J650" s="784">
        <v>16685</v>
      </c>
      <c r="K650" s="784">
        <v>0</v>
      </c>
      <c r="L650" s="783">
        <v>5672</v>
      </c>
      <c r="M650" s="783"/>
      <c r="N650" s="784">
        <v>1952</v>
      </c>
      <c r="O650" s="784">
        <v>19049</v>
      </c>
      <c r="P650" s="784">
        <v>0</v>
      </c>
      <c r="Q650" s="783">
        <v>0</v>
      </c>
      <c r="R650" s="783"/>
      <c r="S650" s="784">
        <v>3791</v>
      </c>
      <c r="T650" s="785">
        <v>1665</v>
      </c>
      <c r="U650" s="785">
        <v>5456</v>
      </c>
    </row>
    <row r="651" spans="1:21" x14ac:dyDescent="0.25">
      <c r="A651" s="780">
        <v>97311</v>
      </c>
      <c r="B651" s="781" t="s">
        <v>1814</v>
      </c>
      <c r="C651" s="782">
        <v>1.0311000000000001E-3</v>
      </c>
      <c r="D651" s="782">
        <v>9.9400000000000009E-4</v>
      </c>
      <c r="E651" s="783">
        <v>387074</v>
      </c>
      <c r="F651" s="783">
        <v>-548606</v>
      </c>
      <c r="G651" s="783">
        <v>462751</v>
      </c>
      <c r="H651" s="783"/>
      <c r="I651" s="784">
        <v>0</v>
      </c>
      <c r="J651" s="784">
        <v>929966</v>
      </c>
      <c r="K651" s="784">
        <v>0</v>
      </c>
      <c r="L651" s="783">
        <v>0</v>
      </c>
      <c r="M651" s="783"/>
      <c r="N651" s="784">
        <v>108774</v>
      </c>
      <c r="O651" s="784">
        <v>1061710</v>
      </c>
      <c r="P651" s="784">
        <v>0</v>
      </c>
      <c r="Q651" s="783">
        <v>52902</v>
      </c>
      <c r="R651" s="783"/>
      <c r="S651" s="784">
        <v>211274</v>
      </c>
      <c r="T651" s="785">
        <v>-17632</v>
      </c>
      <c r="U651" s="785">
        <v>193642</v>
      </c>
    </row>
    <row r="652" spans="1:21" x14ac:dyDescent="0.25">
      <c r="A652" s="780">
        <v>97401</v>
      </c>
      <c r="B652" s="781" t="s">
        <v>1815</v>
      </c>
      <c r="C652" s="782">
        <v>6.9844E-3</v>
      </c>
      <c r="D652" s="782">
        <v>7.1510000000000002E-3</v>
      </c>
      <c r="E652" s="783">
        <v>2922854</v>
      </c>
      <c r="F652" s="783">
        <v>-3946766</v>
      </c>
      <c r="G652" s="783">
        <v>3134557</v>
      </c>
      <c r="H652" s="783"/>
      <c r="I652" s="784">
        <v>0</v>
      </c>
      <c r="J652" s="784">
        <v>6299342</v>
      </c>
      <c r="K652" s="784">
        <v>0</v>
      </c>
      <c r="L652" s="783">
        <v>0</v>
      </c>
      <c r="M652" s="783"/>
      <c r="N652" s="784">
        <v>736805</v>
      </c>
      <c r="O652" s="784">
        <v>7191746</v>
      </c>
      <c r="P652" s="784">
        <v>0</v>
      </c>
      <c r="Q652" s="783">
        <v>173025</v>
      </c>
      <c r="R652" s="783"/>
      <c r="S652" s="784">
        <v>1431118</v>
      </c>
      <c r="T652" s="785">
        <v>-53476</v>
      </c>
      <c r="U652" s="785">
        <v>1377642</v>
      </c>
    </row>
    <row r="653" spans="1:21" x14ac:dyDescent="0.25">
      <c r="A653" s="780">
        <v>97402</v>
      </c>
      <c r="B653" s="781" t="s">
        <v>1816</v>
      </c>
      <c r="C653" s="782">
        <v>2.3799999999999999E-5</v>
      </c>
      <c r="D653" s="782">
        <v>2.83E-5</v>
      </c>
      <c r="E653" s="783">
        <v>15900</v>
      </c>
      <c r="F653" s="783">
        <v>-15619</v>
      </c>
      <c r="G653" s="783">
        <v>10681</v>
      </c>
      <c r="H653" s="783"/>
      <c r="I653" s="784">
        <v>0</v>
      </c>
      <c r="J653" s="784">
        <v>21466</v>
      </c>
      <c r="K653" s="784">
        <v>0</v>
      </c>
      <c r="L653" s="783">
        <v>2197</v>
      </c>
      <c r="M653" s="783"/>
      <c r="N653" s="784">
        <v>2511</v>
      </c>
      <c r="O653" s="784">
        <v>24507</v>
      </c>
      <c r="P653" s="784">
        <v>0</v>
      </c>
      <c r="Q653" s="783">
        <v>0</v>
      </c>
      <c r="R653" s="783"/>
      <c r="S653" s="784">
        <v>4877</v>
      </c>
      <c r="T653" s="785">
        <v>608</v>
      </c>
      <c r="U653" s="785">
        <v>5485</v>
      </c>
    </row>
    <row r="654" spans="1:21" x14ac:dyDescent="0.25">
      <c r="A654" s="780">
        <v>97404</v>
      </c>
      <c r="B654" s="781" t="s">
        <v>1817</v>
      </c>
      <c r="C654" s="782">
        <v>2.1249999999999999E-4</v>
      </c>
      <c r="D654" s="782">
        <v>2.106E-4</v>
      </c>
      <c r="E654" s="783">
        <v>76568</v>
      </c>
      <c r="F654" s="783">
        <v>-116234</v>
      </c>
      <c r="G654" s="783">
        <v>95369</v>
      </c>
      <c r="H654" s="783"/>
      <c r="I654" s="784">
        <v>0</v>
      </c>
      <c r="J654" s="784">
        <v>191657.15</v>
      </c>
      <c r="K654" s="784">
        <v>0</v>
      </c>
      <c r="L654" s="783">
        <v>2969.07</v>
      </c>
      <c r="M654" s="783"/>
      <c r="N654" s="784">
        <v>22417</v>
      </c>
      <c r="O654" s="784">
        <v>218808</v>
      </c>
      <c r="P654" s="784">
        <v>0</v>
      </c>
      <c r="Q654" s="783">
        <v>6744</v>
      </c>
      <c r="R654" s="783"/>
      <c r="S654" s="784">
        <v>43542</v>
      </c>
      <c r="T654" s="785">
        <v>-772</v>
      </c>
      <c r="U654" s="785">
        <v>42769</v>
      </c>
    </row>
    <row r="655" spans="1:21" x14ac:dyDescent="0.25">
      <c r="A655" s="780">
        <v>97405</v>
      </c>
      <c r="B655" s="781" t="s">
        <v>1818</v>
      </c>
      <c r="C655" s="782">
        <v>1.081E-4</v>
      </c>
      <c r="D655" s="782">
        <v>1.004E-4</v>
      </c>
      <c r="E655" s="783">
        <v>57551</v>
      </c>
      <c r="F655" s="783">
        <v>-55413</v>
      </c>
      <c r="G655" s="783">
        <v>48515</v>
      </c>
      <c r="H655" s="783"/>
      <c r="I655" s="784">
        <v>0</v>
      </c>
      <c r="J655" s="784">
        <v>97497</v>
      </c>
      <c r="K655" s="784">
        <v>0</v>
      </c>
      <c r="L655" s="783">
        <v>16036</v>
      </c>
      <c r="M655" s="783"/>
      <c r="N655" s="784">
        <v>11404</v>
      </c>
      <c r="O655" s="784">
        <v>111309</v>
      </c>
      <c r="P655" s="784">
        <v>0</v>
      </c>
      <c r="Q655" s="783">
        <v>14767.61</v>
      </c>
      <c r="R655" s="783"/>
      <c r="S655" s="784">
        <v>22150</v>
      </c>
      <c r="T655" s="785">
        <v>-741</v>
      </c>
      <c r="U655" s="785">
        <v>21409</v>
      </c>
    </row>
    <row r="656" spans="1:21" x14ac:dyDescent="0.25">
      <c r="A656" s="780">
        <v>97408</v>
      </c>
      <c r="B656" s="781" t="s">
        <v>1819</v>
      </c>
      <c r="C656" s="782">
        <v>5.1199999999999998E-5</v>
      </c>
      <c r="D656" s="782">
        <v>5.6400000000000002E-5</v>
      </c>
      <c r="E656" s="783">
        <v>27682</v>
      </c>
      <c r="F656" s="783">
        <v>-31128</v>
      </c>
      <c r="G656" s="783">
        <v>22978</v>
      </c>
      <c r="H656" s="783"/>
      <c r="I656" s="784">
        <v>0</v>
      </c>
      <c r="J656" s="784">
        <v>46178</v>
      </c>
      <c r="K656" s="784">
        <v>0</v>
      </c>
      <c r="L656" s="783">
        <v>3502</v>
      </c>
      <c r="M656" s="783"/>
      <c r="N656" s="784">
        <v>5401</v>
      </c>
      <c r="O656" s="784">
        <v>52720</v>
      </c>
      <c r="P656" s="784">
        <v>0</v>
      </c>
      <c r="Q656" s="783">
        <v>0</v>
      </c>
      <c r="R656" s="783"/>
      <c r="S656" s="784">
        <v>10491</v>
      </c>
      <c r="T656" s="785">
        <v>1046</v>
      </c>
      <c r="U656" s="785">
        <v>11537</v>
      </c>
    </row>
    <row r="657" spans="1:21" x14ac:dyDescent="0.25">
      <c r="A657" s="780">
        <v>97411</v>
      </c>
      <c r="B657" s="781" t="s">
        <v>1820</v>
      </c>
      <c r="C657" s="782">
        <v>7.0987000000000003E-3</v>
      </c>
      <c r="D657" s="782">
        <v>7.3848999999999998E-3</v>
      </c>
      <c r="E657" s="783">
        <v>2623764</v>
      </c>
      <c r="F657" s="783">
        <v>-4075859</v>
      </c>
      <c r="G657" s="783">
        <v>3185854</v>
      </c>
      <c r="H657" s="783"/>
      <c r="I657" s="784">
        <v>0</v>
      </c>
      <c r="J657" s="784">
        <v>6402431</v>
      </c>
      <c r="K657" s="784">
        <v>0</v>
      </c>
      <c r="L657" s="783">
        <v>0</v>
      </c>
      <c r="M657" s="783"/>
      <c r="N657" s="784">
        <v>748863</v>
      </c>
      <c r="O657" s="784">
        <v>7309439</v>
      </c>
      <c r="P657" s="784">
        <v>0</v>
      </c>
      <c r="Q657" s="783">
        <v>655467</v>
      </c>
      <c r="R657" s="783"/>
      <c r="S657" s="784">
        <v>1454538</v>
      </c>
      <c r="T657" s="785">
        <v>-188816</v>
      </c>
      <c r="U657" s="785">
        <v>1265722</v>
      </c>
    </row>
    <row r="658" spans="1:21" x14ac:dyDescent="0.25">
      <c r="A658" s="780">
        <v>97412</v>
      </c>
      <c r="B658" s="781" t="s">
        <v>1821</v>
      </c>
      <c r="C658" s="782">
        <v>4.1891999999999997E-3</v>
      </c>
      <c r="D658" s="782">
        <v>4.2068000000000001E-3</v>
      </c>
      <c r="E658" s="783">
        <v>1787262</v>
      </c>
      <c r="F658" s="783">
        <v>-2321809</v>
      </c>
      <c r="G658" s="783">
        <v>1880088</v>
      </c>
      <c r="H658" s="783"/>
      <c r="I658" s="784">
        <v>0</v>
      </c>
      <c r="J658" s="784">
        <v>3778307</v>
      </c>
      <c r="K658" s="784">
        <v>0</v>
      </c>
      <c r="L658" s="783">
        <v>108364</v>
      </c>
      <c r="M658" s="783"/>
      <c r="N658" s="784">
        <v>441931</v>
      </c>
      <c r="O658" s="784">
        <v>4313565</v>
      </c>
      <c r="P658" s="784">
        <v>0</v>
      </c>
      <c r="Q658" s="783">
        <v>0</v>
      </c>
      <c r="R658" s="783"/>
      <c r="S658" s="784">
        <v>858375</v>
      </c>
      <c r="T658" s="785">
        <v>32711</v>
      </c>
      <c r="U658" s="785">
        <v>891087</v>
      </c>
    </row>
    <row r="659" spans="1:21" x14ac:dyDescent="0.25">
      <c r="A659" s="780">
        <v>97413</v>
      </c>
      <c r="B659" s="781" t="s">
        <v>1822</v>
      </c>
      <c r="C659" s="782">
        <v>2.9320000000000003E-4</v>
      </c>
      <c r="D659" s="782">
        <v>3.0610000000000001E-4</v>
      </c>
      <c r="E659" s="783">
        <v>128543</v>
      </c>
      <c r="F659" s="783">
        <v>-168942</v>
      </c>
      <c r="G659" s="783">
        <v>131586</v>
      </c>
      <c r="H659" s="783"/>
      <c r="I659" s="784">
        <v>0</v>
      </c>
      <c r="J659" s="784">
        <v>264442</v>
      </c>
      <c r="K659" s="784">
        <v>0</v>
      </c>
      <c r="L659" s="783">
        <v>0</v>
      </c>
      <c r="M659" s="783"/>
      <c r="N659" s="784">
        <v>30931</v>
      </c>
      <c r="O659" s="784">
        <v>301904</v>
      </c>
      <c r="P659" s="784">
        <v>0</v>
      </c>
      <c r="Q659" s="783">
        <v>15120</v>
      </c>
      <c r="R659" s="783"/>
      <c r="S659" s="784">
        <v>60077</v>
      </c>
      <c r="T659" s="785">
        <v>-4908</v>
      </c>
      <c r="U659" s="785">
        <v>55169</v>
      </c>
    </row>
    <row r="660" spans="1:21" x14ac:dyDescent="0.25">
      <c r="A660" s="780">
        <v>97421</v>
      </c>
      <c r="B660" s="781" t="s">
        <v>1823</v>
      </c>
      <c r="C660" s="782">
        <v>4.1140000000000003E-4</v>
      </c>
      <c r="D660" s="782">
        <v>4.595E-4</v>
      </c>
      <c r="E660" s="783">
        <v>178618</v>
      </c>
      <c r="F660" s="783">
        <v>-253606</v>
      </c>
      <c r="G660" s="783">
        <v>184634</v>
      </c>
      <c r="H660" s="783"/>
      <c r="I660" s="784">
        <v>0</v>
      </c>
      <c r="J660" s="784">
        <v>371048</v>
      </c>
      <c r="K660" s="784">
        <v>0</v>
      </c>
      <c r="L660" s="783">
        <v>0</v>
      </c>
      <c r="M660" s="783"/>
      <c r="N660" s="784">
        <v>43400</v>
      </c>
      <c r="O660" s="784">
        <v>423613</v>
      </c>
      <c r="P660" s="784">
        <v>0</v>
      </c>
      <c r="Q660" s="783">
        <v>49361</v>
      </c>
      <c r="R660" s="783"/>
      <c r="S660" s="784">
        <v>84297</v>
      </c>
      <c r="T660" s="785">
        <v>-14669</v>
      </c>
      <c r="U660" s="785">
        <v>69627</v>
      </c>
    </row>
    <row r="661" spans="1:21" x14ac:dyDescent="0.25">
      <c r="A661" s="780">
        <v>97423</v>
      </c>
      <c r="B661" s="781" t="s">
        <v>1824</v>
      </c>
      <c r="C661" s="782">
        <v>4.5300000000000003E-5</v>
      </c>
      <c r="D661" s="782">
        <v>4.4499999999999997E-5</v>
      </c>
      <c r="E661" s="783">
        <v>36814</v>
      </c>
      <c r="F661" s="783">
        <v>-24560</v>
      </c>
      <c r="G661" s="783">
        <v>20330</v>
      </c>
      <c r="H661" s="783"/>
      <c r="I661" s="784">
        <v>0</v>
      </c>
      <c r="J661" s="784">
        <v>40857</v>
      </c>
      <c r="K661" s="784">
        <v>0</v>
      </c>
      <c r="L661" s="783">
        <v>15480</v>
      </c>
      <c r="M661" s="783"/>
      <c r="N661" s="784">
        <v>4779</v>
      </c>
      <c r="O661" s="784">
        <v>46645</v>
      </c>
      <c r="P661" s="784">
        <v>0</v>
      </c>
      <c r="Q661" s="783">
        <v>0</v>
      </c>
      <c r="R661" s="783"/>
      <c r="S661" s="784">
        <v>9282</v>
      </c>
      <c r="T661" s="785">
        <v>4082</v>
      </c>
      <c r="U661" s="785">
        <v>13364</v>
      </c>
    </row>
    <row r="662" spans="1:21" x14ac:dyDescent="0.25">
      <c r="A662" s="780">
        <v>97431</v>
      </c>
      <c r="B662" s="781" t="s">
        <v>1825</v>
      </c>
      <c r="C662" s="782">
        <v>8.7700000000000004E-5</v>
      </c>
      <c r="D662" s="782">
        <v>8.8800000000000004E-5</v>
      </c>
      <c r="E662" s="783">
        <v>39203</v>
      </c>
      <c r="F662" s="783">
        <v>-49010</v>
      </c>
      <c r="G662" s="783">
        <v>39359</v>
      </c>
      <c r="H662" s="783"/>
      <c r="I662" s="784">
        <v>0</v>
      </c>
      <c r="J662" s="784">
        <v>79098</v>
      </c>
      <c r="K662" s="784">
        <v>0</v>
      </c>
      <c r="L662" s="783">
        <v>2088</v>
      </c>
      <c r="M662" s="783"/>
      <c r="N662" s="784">
        <v>9252</v>
      </c>
      <c r="O662" s="784">
        <v>90304</v>
      </c>
      <c r="P662" s="784">
        <v>0</v>
      </c>
      <c r="Q662" s="783">
        <v>0</v>
      </c>
      <c r="R662" s="783"/>
      <c r="S662" s="784">
        <v>17970</v>
      </c>
      <c r="T662" s="785">
        <v>559</v>
      </c>
      <c r="U662" s="785">
        <v>18529</v>
      </c>
    </row>
    <row r="663" spans="1:21" x14ac:dyDescent="0.25">
      <c r="A663" s="780">
        <v>97441</v>
      </c>
      <c r="B663" s="781" t="s">
        <v>1826</v>
      </c>
      <c r="C663" s="782">
        <v>6.8700000000000003E-5</v>
      </c>
      <c r="D663" s="782">
        <v>6.8100000000000002E-5</v>
      </c>
      <c r="E663" s="783">
        <v>25339</v>
      </c>
      <c r="F663" s="783">
        <v>-37586</v>
      </c>
      <c r="G663" s="783">
        <v>30832</v>
      </c>
      <c r="H663" s="783"/>
      <c r="I663" s="784">
        <v>0</v>
      </c>
      <c r="J663" s="784">
        <v>61962</v>
      </c>
      <c r="K663" s="784">
        <v>0</v>
      </c>
      <c r="L663" s="783">
        <v>609.96</v>
      </c>
      <c r="M663" s="783"/>
      <c r="N663" s="784">
        <v>7247</v>
      </c>
      <c r="O663" s="784">
        <v>70739</v>
      </c>
      <c r="P663" s="784">
        <v>0</v>
      </c>
      <c r="Q663" s="783">
        <v>1727</v>
      </c>
      <c r="R663" s="783"/>
      <c r="S663" s="784">
        <v>14077</v>
      </c>
      <c r="T663" s="785">
        <v>-248</v>
      </c>
      <c r="U663" s="785">
        <v>13829</v>
      </c>
    </row>
    <row r="664" spans="1:21" x14ac:dyDescent="0.25">
      <c r="A664" s="780">
        <v>97451</v>
      </c>
      <c r="B664" s="781" t="s">
        <v>1827</v>
      </c>
      <c r="C664" s="782">
        <v>5.1670000000000004E-4</v>
      </c>
      <c r="D664" s="782">
        <v>5.2559999999999998E-4</v>
      </c>
      <c r="E664" s="783">
        <v>208790</v>
      </c>
      <c r="F664" s="783">
        <v>-290088</v>
      </c>
      <c r="G664" s="783">
        <v>231892</v>
      </c>
      <c r="H664" s="783"/>
      <c r="I664" s="784">
        <v>0</v>
      </c>
      <c r="J664" s="784">
        <v>466020</v>
      </c>
      <c r="K664" s="784">
        <v>0</v>
      </c>
      <c r="L664" s="783">
        <v>15362.62</v>
      </c>
      <c r="M664" s="783"/>
      <c r="N664" s="784">
        <v>54508</v>
      </c>
      <c r="O664" s="784">
        <v>532039</v>
      </c>
      <c r="P664" s="784">
        <v>0</v>
      </c>
      <c r="Q664" s="783">
        <v>7964</v>
      </c>
      <c r="R664" s="783"/>
      <c r="S664" s="784">
        <v>105873</v>
      </c>
      <c r="T664" s="785">
        <v>3053</v>
      </c>
      <c r="U664" s="785">
        <v>108926</v>
      </c>
    </row>
    <row r="665" spans="1:21" x14ac:dyDescent="0.25">
      <c r="A665" s="780">
        <v>97461</v>
      </c>
      <c r="B665" s="781" t="s">
        <v>1828</v>
      </c>
      <c r="C665" s="782">
        <v>5.3859999999999997E-4</v>
      </c>
      <c r="D665" s="782">
        <v>5.7419999999999997E-4</v>
      </c>
      <c r="E665" s="783">
        <v>206134</v>
      </c>
      <c r="F665" s="783">
        <v>-316911</v>
      </c>
      <c r="G665" s="783">
        <v>241720</v>
      </c>
      <c r="H665" s="783"/>
      <c r="I665" s="784">
        <v>0</v>
      </c>
      <c r="J665" s="784">
        <v>485772</v>
      </c>
      <c r="K665" s="784">
        <v>0</v>
      </c>
      <c r="L665" s="783">
        <v>6692</v>
      </c>
      <c r="M665" s="783"/>
      <c r="N665" s="784">
        <v>56819</v>
      </c>
      <c r="O665" s="784">
        <v>554589</v>
      </c>
      <c r="P665" s="784">
        <v>0</v>
      </c>
      <c r="Q665" s="783">
        <v>35892</v>
      </c>
      <c r="R665" s="783"/>
      <c r="S665" s="784">
        <v>110360</v>
      </c>
      <c r="T665" s="785">
        <v>-7158</v>
      </c>
      <c r="U665" s="785">
        <v>103202</v>
      </c>
    </row>
    <row r="666" spans="1:21" x14ac:dyDescent="0.25">
      <c r="A666" s="780">
        <v>97463</v>
      </c>
      <c r="B666" s="781" t="s">
        <v>1829</v>
      </c>
      <c r="C666" s="782">
        <v>5.6400000000000002E-5</v>
      </c>
      <c r="D666" s="782">
        <v>5.3399999999999997E-5</v>
      </c>
      <c r="E666" s="783">
        <v>22186</v>
      </c>
      <c r="F666" s="783">
        <v>-29472</v>
      </c>
      <c r="G666" s="783">
        <v>25312</v>
      </c>
      <c r="H666" s="783"/>
      <c r="I666" s="784">
        <v>0</v>
      </c>
      <c r="J666" s="784">
        <v>50868</v>
      </c>
      <c r="K666" s="784">
        <v>0</v>
      </c>
      <c r="L666" s="783">
        <v>3657</v>
      </c>
      <c r="M666" s="783"/>
      <c r="N666" s="784">
        <v>5950</v>
      </c>
      <c r="O666" s="784">
        <v>58074</v>
      </c>
      <c r="P666" s="784">
        <v>0</v>
      </c>
      <c r="Q666" s="783">
        <v>0</v>
      </c>
      <c r="R666" s="783"/>
      <c r="S666" s="784">
        <v>11556</v>
      </c>
      <c r="T666" s="785">
        <v>1119</v>
      </c>
      <c r="U666" s="785">
        <v>12675</v>
      </c>
    </row>
    <row r="667" spans="1:21" x14ac:dyDescent="0.25">
      <c r="A667" s="780">
        <v>97471</v>
      </c>
      <c r="B667" s="781" t="s">
        <v>1830</v>
      </c>
      <c r="C667" s="782">
        <v>1.31E-5</v>
      </c>
      <c r="D667" s="782">
        <v>1.33E-5</v>
      </c>
      <c r="E667" s="783">
        <v>8318</v>
      </c>
      <c r="F667" s="783">
        <v>-7341</v>
      </c>
      <c r="G667" s="783">
        <v>5879</v>
      </c>
      <c r="H667" s="783"/>
      <c r="I667" s="784">
        <v>0</v>
      </c>
      <c r="J667" s="784">
        <v>11815</v>
      </c>
      <c r="K667" s="784">
        <v>0</v>
      </c>
      <c r="L667" s="783">
        <v>3951</v>
      </c>
      <c r="M667" s="783"/>
      <c r="N667" s="784">
        <v>1382</v>
      </c>
      <c r="O667" s="784">
        <v>13489</v>
      </c>
      <c r="P667" s="784">
        <v>0</v>
      </c>
      <c r="Q667" s="783">
        <v>0</v>
      </c>
      <c r="R667" s="783"/>
      <c r="S667" s="784">
        <v>2684</v>
      </c>
      <c r="T667" s="785">
        <v>1160</v>
      </c>
      <c r="U667" s="785">
        <v>3845</v>
      </c>
    </row>
    <row r="668" spans="1:21" x14ac:dyDescent="0.25">
      <c r="A668" s="780">
        <v>97481</v>
      </c>
      <c r="B668" s="781" t="s">
        <v>1831</v>
      </c>
      <c r="C668" s="782">
        <v>1.13E-5</v>
      </c>
      <c r="D668" s="782">
        <v>1.0900000000000001E-5</v>
      </c>
      <c r="E668" s="783">
        <v>5838</v>
      </c>
      <c r="F668" s="783">
        <v>-6016</v>
      </c>
      <c r="G668" s="783">
        <v>5071</v>
      </c>
      <c r="H668" s="783"/>
      <c r="I668" s="784">
        <v>0</v>
      </c>
      <c r="J668" s="784">
        <v>10192</v>
      </c>
      <c r="K668" s="784">
        <v>0</v>
      </c>
      <c r="L668" s="783">
        <v>5813</v>
      </c>
      <c r="M668" s="783"/>
      <c r="N668" s="784">
        <v>1192</v>
      </c>
      <c r="O668" s="784">
        <v>11635</v>
      </c>
      <c r="P668" s="784">
        <v>0</v>
      </c>
      <c r="Q668" s="783">
        <v>0</v>
      </c>
      <c r="R668" s="783"/>
      <c r="S668" s="784">
        <v>2315</v>
      </c>
      <c r="T668" s="785">
        <v>1853</v>
      </c>
      <c r="U668" s="785">
        <v>4169</v>
      </c>
    </row>
    <row r="669" spans="1:21" x14ac:dyDescent="0.25">
      <c r="A669" s="780">
        <v>97491</v>
      </c>
      <c r="B669" s="781" t="s">
        <v>1832</v>
      </c>
      <c r="C669" s="782">
        <v>0</v>
      </c>
      <c r="D669" s="782">
        <v>1.9400000000000001E-5</v>
      </c>
      <c r="E669" s="783"/>
      <c r="F669" s="783">
        <v>-10707</v>
      </c>
      <c r="G669" s="783">
        <v>0</v>
      </c>
      <c r="H669" s="783"/>
      <c r="I669" s="784">
        <v>0</v>
      </c>
      <c r="J669" s="784">
        <v>0</v>
      </c>
      <c r="K669" s="784">
        <v>0</v>
      </c>
      <c r="L669" s="783">
        <v>0</v>
      </c>
      <c r="M669" s="783"/>
      <c r="N669" s="784">
        <v>0</v>
      </c>
      <c r="O669" s="784">
        <v>0</v>
      </c>
      <c r="P669" s="784">
        <v>0</v>
      </c>
      <c r="Q669" s="783">
        <v>17731</v>
      </c>
      <c r="R669" s="783"/>
      <c r="S669" s="784">
        <v>0</v>
      </c>
      <c r="T669" s="785">
        <v>-4941</v>
      </c>
      <c r="U669" s="785">
        <v>-4941</v>
      </c>
    </row>
    <row r="670" spans="1:21" x14ac:dyDescent="0.25">
      <c r="A670" s="780">
        <v>97501</v>
      </c>
      <c r="B670" s="781" t="s">
        <v>1833</v>
      </c>
      <c r="C670" s="782">
        <v>9.7659999999999999E-4</v>
      </c>
      <c r="D670" s="782">
        <v>9.7519999999999996E-4</v>
      </c>
      <c r="E670" s="783">
        <v>412613</v>
      </c>
      <c r="F670" s="783">
        <v>-538230</v>
      </c>
      <c r="G670" s="783">
        <v>438292</v>
      </c>
      <c r="H670" s="783"/>
      <c r="I670" s="784">
        <v>0</v>
      </c>
      <c r="J670" s="784">
        <v>880811</v>
      </c>
      <c r="K670" s="784">
        <v>0</v>
      </c>
      <c r="L670" s="783">
        <v>56032</v>
      </c>
      <c r="M670" s="783"/>
      <c r="N670" s="784">
        <v>103024</v>
      </c>
      <c r="O670" s="784">
        <v>1005592</v>
      </c>
      <c r="P670" s="784">
        <v>0</v>
      </c>
      <c r="Q670" s="783">
        <v>0</v>
      </c>
      <c r="R670" s="783"/>
      <c r="S670" s="784">
        <v>200107</v>
      </c>
      <c r="T670" s="785">
        <v>17869</v>
      </c>
      <c r="U670" s="785">
        <v>217976</v>
      </c>
    </row>
    <row r="671" spans="1:21" x14ac:dyDescent="0.25">
      <c r="A671" s="780">
        <v>97511</v>
      </c>
      <c r="B671" s="781" t="s">
        <v>1834</v>
      </c>
      <c r="C671" s="782">
        <v>2.1719999999999999E-4</v>
      </c>
      <c r="D671" s="782">
        <v>2.2790000000000001E-4</v>
      </c>
      <c r="E671" s="783">
        <v>95918</v>
      </c>
      <c r="F671" s="783">
        <v>-125782</v>
      </c>
      <c r="G671" s="783">
        <v>97478</v>
      </c>
      <c r="H671" s="783"/>
      <c r="I671" s="784">
        <v>0</v>
      </c>
      <c r="J671" s="784">
        <v>195896</v>
      </c>
      <c r="K671" s="784">
        <v>0</v>
      </c>
      <c r="L671" s="783">
        <v>1256</v>
      </c>
      <c r="M671" s="783"/>
      <c r="N671" s="784">
        <v>22913</v>
      </c>
      <c r="O671" s="784">
        <v>223648</v>
      </c>
      <c r="P671" s="784">
        <v>0</v>
      </c>
      <c r="Q671" s="783">
        <v>1771</v>
      </c>
      <c r="R671" s="783"/>
      <c r="S671" s="784">
        <v>44505</v>
      </c>
      <c r="T671" s="785">
        <v>-44</v>
      </c>
      <c r="U671" s="785">
        <v>44461</v>
      </c>
    </row>
    <row r="672" spans="1:21" x14ac:dyDescent="0.25">
      <c r="A672" s="780">
        <v>97521</v>
      </c>
      <c r="B672" s="781" t="s">
        <v>1835</v>
      </c>
      <c r="C672" s="782">
        <v>1.404E-4</v>
      </c>
      <c r="D672" s="782">
        <v>1.4559999999999999E-4</v>
      </c>
      <c r="E672" s="783">
        <v>49066</v>
      </c>
      <c r="F672" s="783">
        <v>-80359</v>
      </c>
      <c r="G672" s="783">
        <v>63011</v>
      </c>
      <c r="H672" s="783"/>
      <c r="I672" s="784">
        <v>0</v>
      </c>
      <c r="J672" s="784">
        <v>126629</v>
      </c>
      <c r="K672" s="784">
        <v>0</v>
      </c>
      <c r="L672" s="783">
        <v>6613.88</v>
      </c>
      <c r="M672" s="783"/>
      <c r="N672" s="784">
        <v>14811</v>
      </c>
      <c r="O672" s="784">
        <v>144568</v>
      </c>
      <c r="P672" s="784">
        <v>0</v>
      </c>
      <c r="Q672" s="783">
        <v>10193</v>
      </c>
      <c r="R672" s="783"/>
      <c r="S672" s="784">
        <v>28768</v>
      </c>
      <c r="T672" s="785">
        <v>-456</v>
      </c>
      <c r="U672" s="785">
        <v>28312</v>
      </c>
    </row>
    <row r="673" spans="1:21" x14ac:dyDescent="0.25">
      <c r="A673" s="780">
        <v>97531</v>
      </c>
      <c r="B673" s="781" t="s">
        <v>1836</v>
      </c>
      <c r="C673" s="782">
        <v>3.5099999999999999E-5</v>
      </c>
      <c r="D673" s="782">
        <v>6.5500000000000006E-5</v>
      </c>
      <c r="E673" s="783">
        <v>20544</v>
      </c>
      <c r="F673" s="783">
        <v>-36151</v>
      </c>
      <c r="G673" s="783">
        <v>15753</v>
      </c>
      <c r="H673" s="783"/>
      <c r="I673" s="784">
        <v>0</v>
      </c>
      <c r="J673" s="784">
        <v>31657</v>
      </c>
      <c r="K673" s="784">
        <v>0</v>
      </c>
      <c r="L673" s="783">
        <v>0</v>
      </c>
      <c r="M673" s="783"/>
      <c r="N673" s="784">
        <v>3703</v>
      </c>
      <c r="O673" s="784">
        <v>36142</v>
      </c>
      <c r="P673" s="784">
        <v>0</v>
      </c>
      <c r="Q673" s="783">
        <v>20137</v>
      </c>
      <c r="R673" s="783"/>
      <c r="S673" s="784">
        <v>7192</v>
      </c>
      <c r="T673" s="785">
        <v>-5542</v>
      </c>
      <c r="U673" s="785">
        <v>1650</v>
      </c>
    </row>
    <row r="674" spans="1:21" x14ac:dyDescent="0.25">
      <c r="A674" s="780">
        <v>97601</v>
      </c>
      <c r="B674" s="781" t="s">
        <v>1837</v>
      </c>
      <c r="C674" s="782">
        <v>4.8238999999999999E-3</v>
      </c>
      <c r="D674" s="782">
        <v>4.8945999999999998E-3</v>
      </c>
      <c r="E674" s="783">
        <v>1952839</v>
      </c>
      <c r="F674" s="783">
        <v>-2701418</v>
      </c>
      <c r="G674" s="783">
        <v>2164937</v>
      </c>
      <c r="H674" s="783"/>
      <c r="I674" s="784">
        <v>0</v>
      </c>
      <c r="J674" s="784">
        <v>4350753</v>
      </c>
      <c r="K674" s="784">
        <v>0</v>
      </c>
      <c r="L674" s="783">
        <v>0</v>
      </c>
      <c r="M674" s="783"/>
      <c r="N674" s="784">
        <v>508888</v>
      </c>
      <c r="O674" s="784">
        <v>4967107</v>
      </c>
      <c r="P674" s="784">
        <v>0</v>
      </c>
      <c r="Q674" s="783">
        <v>99926</v>
      </c>
      <c r="R674" s="783"/>
      <c r="S674" s="784">
        <v>988427</v>
      </c>
      <c r="T674" s="785">
        <v>-28855</v>
      </c>
      <c r="U674" s="785">
        <v>959572</v>
      </c>
    </row>
    <row r="675" spans="1:21" x14ac:dyDescent="0.25">
      <c r="A675" s="780">
        <v>97607</v>
      </c>
      <c r="B675" s="781" t="s">
        <v>1838</v>
      </c>
      <c r="C675" s="782">
        <v>2.27E-5</v>
      </c>
      <c r="D675" s="782">
        <v>2.1500000000000001E-5</v>
      </c>
      <c r="E675" s="783">
        <v>13153</v>
      </c>
      <c r="F675" s="783">
        <v>-11866</v>
      </c>
      <c r="G675" s="783">
        <v>10188</v>
      </c>
      <c r="H675" s="783"/>
      <c r="I675" s="784">
        <v>0</v>
      </c>
      <c r="J675" s="784">
        <v>20473</v>
      </c>
      <c r="K675" s="784">
        <v>0</v>
      </c>
      <c r="L675" s="783">
        <v>9315</v>
      </c>
      <c r="M675" s="783"/>
      <c r="N675" s="784">
        <v>2395</v>
      </c>
      <c r="O675" s="784">
        <v>23374</v>
      </c>
      <c r="P675" s="784">
        <v>0</v>
      </c>
      <c r="Q675" s="783">
        <v>0</v>
      </c>
      <c r="R675" s="783"/>
      <c r="S675" s="784">
        <v>4651</v>
      </c>
      <c r="T675" s="785">
        <v>2830</v>
      </c>
      <c r="U675" s="785">
        <v>7482</v>
      </c>
    </row>
    <row r="676" spans="1:21" x14ac:dyDescent="0.25">
      <c r="A676" s="780">
        <v>97611</v>
      </c>
      <c r="B676" s="781" t="s">
        <v>1839</v>
      </c>
      <c r="C676" s="782">
        <v>2.7582000000000001E-3</v>
      </c>
      <c r="D676" s="782">
        <v>2.7924E-3</v>
      </c>
      <c r="E676" s="783">
        <v>1054751</v>
      </c>
      <c r="F676" s="783">
        <v>-1541176</v>
      </c>
      <c r="G676" s="783">
        <v>1237864</v>
      </c>
      <c r="H676" s="783"/>
      <c r="I676" s="784">
        <v>0</v>
      </c>
      <c r="J676" s="784">
        <v>2487665</v>
      </c>
      <c r="K676" s="784">
        <v>0</v>
      </c>
      <c r="L676" s="783">
        <v>0</v>
      </c>
      <c r="M676" s="783"/>
      <c r="N676" s="784">
        <v>290971</v>
      </c>
      <c r="O676" s="784">
        <v>2840083</v>
      </c>
      <c r="P676" s="784">
        <v>0</v>
      </c>
      <c r="Q676" s="783">
        <v>175198</v>
      </c>
      <c r="R676" s="783"/>
      <c r="S676" s="784">
        <v>565161</v>
      </c>
      <c r="T676" s="785">
        <v>-52740</v>
      </c>
      <c r="U676" s="785">
        <v>512420</v>
      </c>
    </row>
    <row r="677" spans="1:21" x14ac:dyDescent="0.25">
      <c r="A677" s="780">
        <v>97613</v>
      </c>
      <c r="B677" s="781" t="s">
        <v>1840</v>
      </c>
      <c r="C677" s="782">
        <v>1.21E-4</v>
      </c>
      <c r="D677" s="782">
        <v>1.3889999999999999E-4</v>
      </c>
      <c r="E677" s="783">
        <v>56232</v>
      </c>
      <c r="F677" s="783">
        <v>-76661</v>
      </c>
      <c r="G677" s="783">
        <v>54304</v>
      </c>
      <c r="H677" s="783"/>
      <c r="I677" s="784">
        <v>0</v>
      </c>
      <c r="J677" s="784">
        <v>109132</v>
      </c>
      <c r="K677" s="784">
        <v>0</v>
      </c>
      <c r="L677" s="783">
        <v>0</v>
      </c>
      <c r="M677" s="783"/>
      <c r="N677" s="784">
        <v>12765</v>
      </c>
      <c r="O677" s="784">
        <v>124592</v>
      </c>
      <c r="P677" s="784">
        <v>0</v>
      </c>
      <c r="Q677" s="783">
        <v>7211</v>
      </c>
      <c r="R677" s="783"/>
      <c r="S677" s="784">
        <v>24793</v>
      </c>
      <c r="T677" s="785">
        <v>-1892</v>
      </c>
      <c r="U677" s="785">
        <v>22901</v>
      </c>
    </row>
    <row r="678" spans="1:21" x14ac:dyDescent="0.25">
      <c r="A678" s="780">
        <v>97621</v>
      </c>
      <c r="B678" s="781" t="s">
        <v>1841</v>
      </c>
      <c r="C678" s="782">
        <v>5.1290000000000005E-4</v>
      </c>
      <c r="D678" s="782">
        <v>4.1780000000000002E-4</v>
      </c>
      <c r="E678" s="783">
        <v>167007</v>
      </c>
      <c r="F678" s="783">
        <v>-230591</v>
      </c>
      <c r="G678" s="783">
        <v>230186</v>
      </c>
      <c r="H678" s="783"/>
      <c r="I678" s="784">
        <v>0</v>
      </c>
      <c r="J678" s="784">
        <v>462593</v>
      </c>
      <c r="K678" s="784">
        <v>0</v>
      </c>
      <c r="L678" s="783">
        <v>33286</v>
      </c>
      <c r="M678" s="783"/>
      <c r="N678" s="784">
        <v>54107</v>
      </c>
      <c r="O678" s="784">
        <v>528126</v>
      </c>
      <c r="P678" s="784">
        <v>0</v>
      </c>
      <c r="Q678" s="783">
        <v>0</v>
      </c>
      <c r="R678" s="783"/>
      <c r="S678" s="784">
        <v>105094</v>
      </c>
      <c r="T678" s="785">
        <v>8725</v>
      </c>
      <c r="U678" s="785">
        <v>113819</v>
      </c>
    </row>
    <row r="679" spans="1:21" x14ac:dyDescent="0.25">
      <c r="A679" s="780">
        <v>97623</v>
      </c>
      <c r="B679" s="781" t="s">
        <v>1842</v>
      </c>
      <c r="C679" s="782">
        <v>3.0000000000000001E-5</v>
      </c>
      <c r="D679" s="782">
        <v>2.76E-5</v>
      </c>
      <c r="E679" s="783">
        <v>23381</v>
      </c>
      <c r="F679" s="783">
        <v>-15233</v>
      </c>
      <c r="G679" s="783">
        <v>13463.82</v>
      </c>
      <c r="H679" s="783"/>
      <c r="I679" s="784">
        <v>0</v>
      </c>
      <c r="J679" s="784">
        <v>27057.48</v>
      </c>
      <c r="K679" s="784">
        <v>0</v>
      </c>
      <c r="L679" s="783">
        <v>12396</v>
      </c>
      <c r="M679" s="783"/>
      <c r="N679" s="784">
        <v>3164.79</v>
      </c>
      <c r="O679" s="784">
        <v>30890.61</v>
      </c>
      <c r="P679" s="784">
        <v>0</v>
      </c>
      <c r="Q679" s="783">
        <v>0</v>
      </c>
      <c r="R679" s="783"/>
      <c r="S679" s="784">
        <v>6147.06</v>
      </c>
      <c r="T679" s="785">
        <v>3382</v>
      </c>
      <c r="U679" s="785">
        <v>9530</v>
      </c>
    </row>
    <row r="680" spans="1:21" x14ac:dyDescent="0.25">
      <c r="A680" s="780">
        <v>97627</v>
      </c>
      <c r="B680" s="781" t="s">
        <v>1843</v>
      </c>
      <c r="C680" s="782">
        <v>9.0999999999999993E-6</v>
      </c>
      <c r="D680" s="782">
        <v>1.36E-5</v>
      </c>
      <c r="E680" s="783">
        <v>5031</v>
      </c>
      <c r="F680" s="783">
        <v>-7506</v>
      </c>
      <c r="G680" s="783">
        <v>4084</v>
      </c>
      <c r="H680" s="783"/>
      <c r="I680" s="784">
        <v>0</v>
      </c>
      <c r="J680" s="784">
        <v>8207</v>
      </c>
      <c r="K680" s="784">
        <v>0</v>
      </c>
      <c r="L680" s="783">
        <v>574</v>
      </c>
      <c r="M680" s="783"/>
      <c r="N680" s="784">
        <v>960</v>
      </c>
      <c r="O680" s="784">
        <v>9370</v>
      </c>
      <c r="P680" s="784">
        <v>0</v>
      </c>
      <c r="Q680" s="783">
        <v>2115</v>
      </c>
      <c r="R680" s="783"/>
      <c r="S680" s="784">
        <v>1865</v>
      </c>
      <c r="T680" s="785">
        <v>-362</v>
      </c>
      <c r="U680" s="785">
        <v>1503</v>
      </c>
    </row>
    <row r="681" spans="1:21" x14ac:dyDescent="0.25">
      <c r="A681" s="780">
        <v>97631</v>
      </c>
      <c r="B681" s="781" t="s">
        <v>1844</v>
      </c>
      <c r="C681" s="782">
        <v>1.7239999999999999E-4</v>
      </c>
      <c r="D681" s="782">
        <v>1.628E-4</v>
      </c>
      <c r="E681" s="783">
        <v>69500</v>
      </c>
      <c r="F681" s="783">
        <v>-89852</v>
      </c>
      <c r="G681" s="783">
        <v>77372</v>
      </c>
      <c r="H681" s="783"/>
      <c r="I681" s="784">
        <v>0</v>
      </c>
      <c r="J681" s="784">
        <v>155490</v>
      </c>
      <c r="K681" s="784">
        <v>0</v>
      </c>
      <c r="L681" s="783">
        <v>13630</v>
      </c>
      <c r="M681" s="783"/>
      <c r="N681" s="784">
        <v>18187</v>
      </c>
      <c r="O681" s="784">
        <v>177518</v>
      </c>
      <c r="P681" s="784">
        <v>0</v>
      </c>
      <c r="Q681" s="783">
        <v>0</v>
      </c>
      <c r="R681" s="783"/>
      <c r="S681" s="784">
        <v>35325</v>
      </c>
      <c r="T681" s="785">
        <v>4120</v>
      </c>
      <c r="U681" s="785">
        <v>39445</v>
      </c>
    </row>
    <row r="682" spans="1:21" x14ac:dyDescent="0.25">
      <c r="A682" s="780">
        <v>97637</v>
      </c>
      <c r="B682" s="781" t="s">
        <v>1845</v>
      </c>
      <c r="C682" s="782">
        <v>6.1999999999999999E-6</v>
      </c>
      <c r="D682" s="782">
        <v>6.4999999999999996E-6</v>
      </c>
      <c r="E682" s="783">
        <v>3662</v>
      </c>
      <c r="F682" s="783">
        <v>-3587</v>
      </c>
      <c r="G682" s="783">
        <v>2783</v>
      </c>
      <c r="H682" s="783"/>
      <c r="I682" s="784">
        <v>0</v>
      </c>
      <c r="J682" s="784">
        <v>5592</v>
      </c>
      <c r="K682" s="784">
        <v>0</v>
      </c>
      <c r="L682" s="783">
        <v>910</v>
      </c>
      <c r="M682" s="783"/>
      <c r="N682" s="784">
        <v>654</v>
      </c>
      <c r="O682" s="784">
        <v>6384</v>
      </c>
      <c r="P682" s="784">
        <v>0</v>
      </c>
      <c r="Q682" s="783">
        <v>0</v>
      </c>
      <c r="R682" s="783"/>
      <c r="S682" s="784">
        <v>1270</v>
      </c>
      <c r="T682" s="785">
        <v>254</v>
      </c>
      <c r="U682" s="785">
        <v>1525</v>
      </c>
    </row>
    <row r="683" spans="1:21" x14ac:dyDescent="0.25">
      <c r="A683" s="780">
        <v>97641</v>
      </c>
      <c r="B683" s="781" t="s">
        <v>1846</v>
      </c>
      <c r="C683" s="782">
        <v>5.3900000000000002E-5</v>
      </c>
      <c r="D683" s="782">
        <v>5.8799999999999999E-5</v>
      </c>
      <c r="E683" s="783">
        <v>34147</v>
      </c>
      <c r="F683" s="783">
        <v>-32453</v>
      </c>
      <c r="G683" s="783">
        <v>24190</v>
      </c>
      <c r="H683" s="783"/>
      <c r="I683" s="784">
        <v>0</v>
      </c>
      <c r="J683" s="784">
        <v>48613</v>
      </c>
      <c r="K683" s="784">
        <v>0</v>
      </c>
      <c r="L683" s="783">
        <v>6183</v>
      </c>
      <c r="M683" s="783"/>
      <c r="N683" s="784">
        <v>5686</v>
      </c>
      <c r="O683" s="784">
        <v>55500</v>
      </c>
      <c r="P683" s="784">
        <v>0</v>
      </c>
      <c r="Q683" s="783">
        <v>8725</v>
      </c>
      <c r="R683" s="783"/>
      <c r="S683" s="784">
        <v>11044</v>
      </c>
      <c r="T683" s="785">
        <v>-1299</v>
      </c>
      <c r="U683" s="785">
        <v>9745</v>
      </c>
    </row>
    <row r="684" spans="1:21" x14ac:dyDescent="0.25">
      <c r="A684" s="780">
        <v>97651</v>
      </c>
      <c r="B684" s="781" t="s">
        <v>1847</v>
      </c>
      <c r="C684" s="782">
        <v>5.4140000000000004E-4</v>
      </c>
      <c r="D684" s="782">
        <v>5.0819999999999999E-4</v>
      </c>
      <c r="E684" s="783">
        <v>198590</v>
      </c>
      <c r="F684" s="783">
        <v>-280485</v>
      </c>
      <c r="G684" s="783">
        <v>242977</v>
      </c>
      <c r="H684" s="783"/>
      <c r="I684" s="784">
        <v>0</v>
      </c>
      <c r="J684" s="784">
        <v>488297</v>
      </c>
      <c r="K684" s="784">
        <v>0</v>
      </c>
      <c r="L684" s="783">
        <v>5502</v>
      </c>
      <c r="M684" s="783"/>
      <c r="N684" s="784">
        <v>57114</v>
      </c>
      <c r="O684" s="784">
        <v>557473</v>
      </c>
      <c r="P684" s="784">
        <v>0</v>
      </c>
      <c r="Q684" s="783">
        <v>31347</v>
      </c>
      <c r="R684" s="783"/>
      <c r="S684" s="784">
        <v>110934</v>
      </c>
      <c r="T684" s="785">
        <v>-9044</v>
      </c>
      <c r="U684" s="785">
        <v>101890</v>
      </c>
    </row>
    <row r="685" spans="1:21" x14ac:dyDescent="0.25">
      <c r="A685" s="780">
        <v>97661</v>
      </c>
      <c r="B685" s="781" t="s">
        <v>1848</v>
      </c>
      <c r="C685" s="782">
        <v>3.1999999999999999E-5</v>
      </c>
      <c r="D685" s="782">
        <v>4.1E-5</v>
      </c>
      <c r="E685" s="783">
        <v>15968</v>
      </c>
      <c r="F685" s="783">
        <v>-22629</v>
      </c>
      <c r="G685" s="783">
        <v>14361</v>
      </c>
      <c r="H685" s="783"/>
      <c r="I685" s="784">
        <v>0</v>
      </c>
      <c r="J685" s="784">
        <v>28861</v>
      </c>
      <c r="K685" s="784">
        <v>0</v>
      </c>
      <c r="L685" s="783">
        <v>7917.52</v>
      </c>
      <c r="M685" s="783"/>
      <c r="N685" s="784">
        <v>3376</v>
      </c>
      <c r="O685" s="784">
        <v>32950</v>
      </c>
      <c r="P685" s="784">
        <v>0</v>
      </c>
      <c r="Q685" s="783">
        <v>4015</v>
      </c>
      <c r="R685" s="783"/>
      <c r="S685" s="784">
        <v>6557</v>
      </c>
      <c r="T685" s="785">
        <v>1597</v>
      </c>
      <c r="U685" s="785">
        <v>8154</v>
      </c>
    </row>
    <row r="686" spans="1:21" x14ac:dyDescent="0.25">
      <c r="A686" s="780">
        <v>97701</v>
      </c>
      <c r="B686" s="781" t="s">
        <v>1849</v>
      </c>
      <c r="C686" s="782">
        <v>2.4424999999999998E-3</v>
      </c>
      <c r="D686" s="782">
        <v>2.4356E-3</v>
      </c>
      <c r="E686" s="783">
        <v>1011552</v>
      </c>
      <c r="F686" s="783">
        <v>-1344251</v>
      </c>
      <c r="G686" s="783">
        <v>1096179</v>
      </c>
      <c r="H686" s="783"/>
      <c r="I686" s="784">
        <v>0</v>
      </c>
      <c r="J686" s="784">
        <v>2202930</v>
      </c>
      <c r="K686" s="784">
        <v>0</v>
      </c>
      <c r="L686" s="783">
        <v>16193</v>
      </c>
      <c r="M686" s="783"/>
      <c r="N686" s="784">
        <v>257667</v>
      </c>
      <c r="O686" s="784">
        <v>2515010</v>
      </c>
      <c r="P686" s="784">
        <v>0</v>
      </c>
      <c r="Q686" s="783">
        <v>26195</v>
      </c>
      <c r="R686" s="783"/>
      <c r="S686" s="784">
        <v>500473</v>
      </c>
      <c r="T686" s="785">
        <v>-4522</v>
      </c>
      <c r="U686" s="785">
        <v>495951</v>
      </c>
    </row>
    <row r="687" spans="1:21" x14ac:dyDescent="0.25">
      <c r="A687" s="780">
        <v>97705</v>
      </c>
      <c r="B687" s="781" t="s">
        <v>1850</v>
      </c>
      <c r="C687" s="782">
        <v>5.1700000000000003E-5</v>
      </c>
      <c r="D687" s="782">
        <v>5.8300000000000001E-5</v>
      </c>
      <c r="E687" s="783">
        <v>20926</v>
      </c>
      <c r="F687" s="783">
        <v>-32177</v>
      </c>
      <c r="G687" s="783">
        <v>23203</v>
      </c>
      <c r="H687" s="783"/>
      <c r="I687" s="784">
        <v>0</v>
      </c>
      <c r="J687" s="784">
        <v>46629</v>
      </c>
      <c r="K687" s="784">
        <v>0</v>
      </c>
      <c r="L687" s="783">
        <v>9594.91</v>
      </c>
      <c r="M687" s="783"/>
      <c r="N687" s="784">
        <v>5454</v>
      </c>
      <c r="O687" s="784">
        <v>53235</v>
      </c>
      <c r="P687" s="784">
        <v>0</v>
      </c>
      <c r="Q687" s="783">
        <v>4776</v>
      </c>
      <c r="R687" s="783"/>
      <c r="S687" s="784">
        <v>10593</v>
      </c>
      <c r="T687" s="785">
        <v>1959</v>
      </c>
      <c r="U687" s="785">
        <v>12552</v>
      </c>
    </row>
    <row r="688" spans="1:21" x14ac:dyDescent="0.25">
      <c r="A688" s="780">
        <v>97711</v>
      </c>
      <c r="B688" s="781" t="s">
        <v>1851</v>
      </c>
      <c r="C688" s="782">
        <v>9.6489999999999998E-4</v>
      </c>
      <c r="D688" s="782">
        <v>9.3789999999999998E-4</v>
      </c>
      <c r="E688" s="783">
        <v>378945</v>
      </c>
      <c r="F688" s="783">
        <v>-517644</v>
      </c>
      <c r="G688" s="783">
        <v>433041</v>
      </c>
      <c r="H688" s="783"/>
      <c r="I688" s="784">
        <v>0</v>
      </c>
      <c r="J688" s="784">
        <v>870259</v>
      </c>
      <c r="K688" s="784">
        <v>0</v>
      </c>
      <c r="L688" s="783">
        <v>27003</v>
      </c>
      <c r="M688" s="783"/>
      <c r="N688" s="784">
        <v>101790</v>
      </c>
      <c r="O688" s="784">
        <v>993545</v>
      </c>
      <c r="P688" s="784">
        <v>0</v>
      </c>
      <c r="Q688" s="783">
        <v>0</v>
      </c>
      <c r="R688" s="783"/>
      <c r="S688" s="784">
        <v>197710</v>
      </c>
      <c r="T688" s="785">
        <v>8519</v>
      </c>
      <c r="U688" s="785">
        <v>206229</v>
      </c>
    </row>
    <row r="689" spans="1:21" x14ac:dyDescent="0.25">
      <c r="A689" s="780">
        <v>97713</v>
      </c>
      <c r="B689" s="781" t="s">
        <v>1852</v>
      </c>
      <c r="C689" s="782">
        <v>5.5600000000000003E-5</v>
      </c>
      <c r="D689" s="782">
        <v>6.2600000000000004E-5</v>
      </c>
      <c r="E689" s="783">
        <v>18570</v>
      </c>
      <c r="F689" s="783">
        <v>-34550</v>
      </c>
      <c r="G689" s="783">
        <v>24953</v>
      </c>
      <c r="H689" s="783"/>
      <c r="I689" s="784">
        <v>0</v>
      </c>
      <c r="J689" s="784">
        <v>50147</v>
      </c>
      <c r="K689" s="784">
        <v>0</v>
      </c>
      <c r="L689" s="783">
        <v>2799</v>
      </c>
      <c r="M689" s="783"/>
      <c r="N689" s="784">
        <v>5865</v>
      </c>
      <c r="O689" s="784">
        <v>57251</v>
      </c>
      <c r="P689" s="784">
        <v>0</v>
      </c>
      <c r="Q689" s="783">
        <v>8186</v>
      </c>
      <c r="R689" s="783"/>
      <c r="S689" s="784">
        <v>11393</v>
      </c>
      <c r="T689" s="785">
        <v>-1207</v>
      </c>
      <c r="U689" s="785">
        <v>10186</v>
      </c>
    </row>
    <row r="690" spans="1:21" x14ac:dyDescent="0.25">
      <c r="A690" s="780">
        <v>97717</v>
      </c>
      <c r="B690" s="781" t="s">
        <v>1853</v>
      </c>
      <c r="C690" s="782">
        <v>6.6000000000000003E-6</v>
      </c>
      <c r="D690" s="782">
        <v>1.0200000000000001E-5</v>
      </c>
      <c r="E690" s="783">
        <v>4335</v>
      </c>
      <c r="F690" s="783">
        <v>-5630</v>
      </c>
      <c r="G690" s="783">
        <v>2962</v>
      </c>
      <c r="H690" s="783"/>
      <c r="I690" s="784">
        <v>0</v>
      </c>
      <c r="J690" s="784">
        <v>5953</v>
      </c>
      <c r="K690" s="784">
        <v>0</v>
      </c>
      <c r="L690" s="783">
        <v>0</v>
      </c>
      <c r="M690" s="783"/>
      <c r="N690" s="784">
        <v>696</v>
      </c>
      <c r="O690" s="784">
        <v>6796</v>
      </c>
      <c r="P690" s="784">
        <v>0</v>
      </c>
      <c r="Q690" s="783">
        <v>4817</v>
      </c>
      <c r="R690" s="783"/>
      <c r="S690" s="784">
        <v>1352</v>
      </c>
      <c r="T690" s="785">
        <v>-1522</v>
      </c>
      <c r="U690" s="785">
        <v>-170</v>
      </c>
    </row>
    <row r="691" spans="1:21" x14ac:dyDescent="0.25">
      <c r="A691" s="780">
        <v>97721</v>
      </c>
      <c r="B691" s="781" t="s">
        <v>1854</v>
      </c>
      <c r="C691" s="782">
        <v>5.2689999999999996E-4</v>
      </c>
      <c r="D691" s="782">
        <v>6.1399999999999996E-4</v>
      </c>
      <c r="E691" s="783">
        <v>229481</v>
      </c>
      <c r="F691" s="783">
        <v>-338878</v>
      </c>
      <c r="G691" s="783">
        <v>236470</v>
      </c>
      <c r="H691" s="783"/>
      <c r="I691" s="784">
        <v>0</v>
      </c>
      <c r="J691" s="784">
        <v>475220</v>
      </c>
      <c r="K691" s="784">
        <v>0</v>
      </c>
      <c r="L691" s="783">
        <v>5208.58</v>
      </c>
      <c r="M691" s="783"/>
      <c r="N691" s="784">
        <v>55584</v>
      </c>
      <c r="O691" s="784">
        <v>542542</v>
      </c>
      <c r="P691" s="784">
        <v>0</v>
      </c>
      <c r="Q691" s="783">
        <v>49743</v>
      </c>
      <c r="R691" s="783"/>
      <c r="S691" s="784">
        <v>107963</v>
      </c>
      <c r="T691" s="785">
        <v>-11280</v>
      </c>
      <c r="U691" s="785">
        <v>96683</v>
      </c>
    </row>
    <row r="692" spans="1:21" x14ac:dyDescent="0.25">
      <c r="A692" s="780">
        <v>97727</v>
      </c>
      <c r="B692" s="781" t="s">
        <v>1855</v>
      </c>
      <c r="C692" s="782">
        <v>2.5299999999999998E-5</v>
      </c>
      <c r="D692" s="782">
        <v>2.6400000000000001E-5</v>
      </c>
      <c r="E692" s="783">
        <v>9642</v>
      </c>
      <c r="F692" s="783">
        <v>-14571</v>
      </c>
      <c r="G692" s="783">
        <v>11354</v>
      </c>
      <c r="H692" s="783"/>
      <c r="I692" s="784">
        <v>0</v>
      </c>
      <c r="J692" s="784">
        <v>22818</v>
      </c>
      <c r="K692" s="784">
        <v>0</v>
      </c>
      <c r="L692" s="783">
        <v>0</v>
      </c>
      <c r="M692" s="783"/>
      <c r="N692" s="784">
        <v>2669</v>
      </c>
      <c r="O692" s="784">
        <v>26051</v>
      </c>
      <c r="P692" s="784">
        <v>0</v>
      </c>
      <c r="Q692" s="783">
        <v>2991</v>
      </c>
      <c r="R692" s="783"/>
      <c r="S692" s="784">
        <v>5184</v>
      </c>
      <c r="T692" s="785">
        <v>-905</v>
      </c>
      <c r="U692" s="785">
        <v>4279</v>
      </c>
    </row>
    <row r="693" spans="1:21" x14ac:dyDescent="0.25">
      <c r="A693" s="780">
        <v>97731</v>
      </c>
      <c r="B693" s="781" t="s">
        <v>1856</v>
      </c>
      <c r="C693" s="782">
        <v>3.3599999999999997E-5</v>
      </c>
      <c r="D693" s="782">
        <v>2.8799999999999999E-5</v>
      </c>
      <c r="E693" s="783">
        <v>16775</v>
      </c>
      <c r="F693" s="783">
        <v>-15895</v>
      </c>
      <c r="G693" s="783">
        <v>15079</v>
      </c>
      <c r="H693" s="783"/>
      <c r="I693" s="784">
        <v>0</v>
      </c>
      <c r="J693" s="784">
        <v>30304</v>
      </c>
      <c r="K693" s="784">
        <v>0</v>
      </c>
      <c r="L693" s="783">
        <v>6942</v>
      </c>
      <c r="M693" s="783"/>
      <c r="N693" s="784">
        <v>3545</v>
      </c>
      <c r="O693" s="784">
        <v>34597</v>
      </c>
      <c r="P693" s="784">
        <v>0</v>
      </c>
      <c r="Q693" s="783">
        <v>0</v>
      </c>
      <c r="R693" s="783"/>
      <c r="S693" s="784">
        <v>6885</v>
      </c>
      <c r="T693" s="785">
        <v>1901</v>
      </c>
      <c r="U693" s="785">
        <v>8786</v>
      </c>
    </row>
    <row r="694" spans="1:21" x14ac:dyDescent="0.25">
      <c r="A694" s="780">
        <v>97801</v>
      </c>
      <c r="B694" s="781" t="s">
        <v>1857</v>
      </c>
      <c r="C694" s="782">
        <v>7.4117999999999996E-3</v>
      </c>
      <c r="D694" s="782">
        <v>7.5839999999999996E-3</v>
      </c>
      <c r="E694" s="783">
        <v>3038990</v>
      </c>
      <c r="F694" s="783">
        <v>-4185746</v>
      </c>
      <c r="G694" s="783">
        <v>3326371</v>
      </c>
      <c r="H694" s="783"/>
      <c r="I694" s="784">
        <v>0</v>
      </c>
      <c r="J694" s="784">
        <v>6684821</v>
      </c>
      <c r="K694" s="784">
        <v>0</v>
      </c>
      <c r="L694" s="783">
        <v>83852</v>
      </c>
      <c r="M694" s="783"/>
      <c r="N694" s="784">
        <v>781893</v>
      </c>
      <c r="O694" s="784">
        <v>7631834</v>
      </c>
      <c r="P694" s="784">
        <v>0</v>
      </c>
      <c r="Q694" s="783">
        <v>110627</v>
      </c>
      <c r="R694" s="783"/>
      <c r="S694" s="784">
        <v>1518693</v>
      </c>
      <c r="T694" s="785">
        <v>-916</v>
      </c>
      <c r="U694" s="785">
        <v>1517777</v>
      </c>
    </row>
    <row r="695" spans="1:21" x14ac:dyDescent="0.25">
      <c r="A695" s="780">
        <v>97802</v>
      </c>
      <c r="B695" s="781" t="s">
        <v>1858</v>
      </c>
      <c r="C695" s="782">
        <v>1.8599999999999999E-4</v>
      </c>
      <c r="D695" s="782">
        <v>2.3250000000000001E-4</v>
      </c>
      <c r="E695" s="783">
        <v>84428</v>
      </c>
      <c r="F695" s="783">
        <v>-128321</v>
      </c>
      <c r="G695" s="783">
        <v>83476</v>
      </c>
      <c r="H695" s="783"/>
      <c r="I695" s="784">
        <v>0</v>
      </c>
      <c r="J695" s="784">
        <v>167756</v>
      </c>
      <c r="K695" s="784">
        <v>0</v>
      </c>
      <c r="L695" s="783">
        <v>29284.06</v>
      </c>
      <c r="M695" s="783"/>
      <c r="N695" s="784">
        <v>19622</v>
      </c>
      <c r="O695" s="784">
        <v>191522</v>
      </c>
      <c r="P695" s="784">
        <v>0</v>
      </c>
      <c r="Q695" s="783">
        <v>25905</v>
      </c>
      <c r="R695" s="783"/>
      <c r="S695" s="784">
        <v>38112</v>
      </c>
      <c r="T695" s="785">
        <v>3013</v>
      </c>
      <c r="U695" s="785">
        <v>41124</v>
      </c>
    </row>
    <row r="696" spans="1:21" x14ac:dyDescent="0.25">
      <c r="A696" s="780">
        <v>97803</v>
      </c>
      <c r="B696" s="781" t="s">
        <v>1859</v>
      </c>
      <c r="C696" s="782">
        <v>7.6600000000000005E-5</v>
      </c>
      <c r="D696" s="782">
        <v>8.6600000000000004E-5</v>
      </c>
      <c r="E696" s="783">
        <v>36099</v>
      </c>
      <c r="F696" s="783">
        <v>-47796</v>
      </c>
      <c r="G696" s="783">
        <v>34378</v>
      </c>
      <c r="H696" s="783"/>
      <c r="I696" s="784">
        <v>0</v>
      </c>
      <c r="J696" s="784">
        <v>69087</v>
      </c>
      <c r="K696" s="784">
        <v>0</v>
      </c>
      <c r="L696" s="783">
        <v>10731.11</v>
      </c>
      <c r="M696" s="783"/>
      <c r="N696" s="784">
        <v>8081</v>
      </c>
      <c r="O696" s="784">
        <v>78874</v>
      </c>
      <c r="P696" s="784">
        <v>0</v>
      </c>
      <c r="Q696" s="783">
        <v>3194</v>
      </c>
      <c r="R696" s="783"/>
      <c r="S696" s="784">
        <v>15695</v>
      </c>
      <c r="T696" s="785">
        <v>2753</v>
      </c>
      <c r="U696" s="785">
        <v>18448</v>
      </c>
    </row>
    <row r="697" spans="1:21" x14ac:dyDescent="0.25">
      <c r="A697" s="780">
        <v>97805</v>
      </c>
      <c r="B697" s="781" t="s">
        <v>1860</v>
      </c>
      <c r="C697" s="782">
        <v>6.7700000000000006E-5</v>
      </c>
      <c r="D697" s="782">
        <v>6.1500000000000004E-5</v>
      </c>
      <c r="E697" s="783">
        <v>31214</v>
      </c>
      <c r="F697" s="783">
        <v>-33943</v>
      </c>
      <c r="G697" s="783">
        <v>30383</v>
      </c>
      <c r="H697" s="783"/>
      <c r="I697" s="784">
        <v>0</v>
      </c>
      <c r="J697" s="784">
        <v>61060</v>
      </c>
      <c r="K697" s="784">
        <v>0</v>
      </c>
      <c r="L697" s="783">
        <v>7183</v>
      </c>
      <c r="M697" s="783"/>
      <c r="N697" s="784">
        <v>7142</v>
      </c>
      <c r="O697" s="784">
        <v>69710</v>
      </c>
      <c r="P697" s="784">
        <v>0</v>
      </c>
      <c r="Q697" s="783">
        <v>681.72</v>
      </c>
      <c r="R697" s="783"/>
      <c r="S697" s="784">
        <v>13872</v>
      </c>
      <c r="T697" s="785">
        <v>1652</v>
      </c>
      <c r="U697" s="785">
        <v>15524</v>
      </c>
    </row>
    <row r="698" spans="1:21" x14ac:dyDescent="0.25">
      <c r="A698" s="780">
        <v>97811</v>
      </c>
      <c r="B698" s="781" t="s">
        <v>1861</v>
      </c>
      <c r="C698" s="782">
        <v>2.5788E-3</v>
      </c>
      <c r="D698" s="782">
        <v>2.6984999999999999E-3</v>
      </c>
      <c r="E698" s="783">
        <v>981598</v>
      </c>
      <c r="F698" s="783">
        <v>-1489351</v>
      </c>
      <c r="G698" s="783">
        <v>1157350</v>
      </c>
      <c r="H698" s="783"/>
      <c r="I698" s="784">
        <v>0</v>
      </c>
      <c r="J698" s="784">
        <v>2325861</v>
      </c>
      <c r="K698" s="784">
        <v>0</v>
      </c>
      <c r="L698" s="783">
        <v>0</v>
      </c>
      <c r="M698" s="783"/>
      <c r="N698" s="784">
        <v>272045</v>
      </c>
      <c r="O698" s="784">
        <v>2655357</v>
      </c>
      <c r="P698" s="784">
        <v>0</v>
      </c>
      <c r="Q698" s="783">
        <v>152581</v>
      </c>
      <c r="R698" s="783"/>
      <c r="S698" s="784">
        <v>528401</v>
      </c>
      <c r="T698" s="785">
        <v>-40821</v>
      </c>
      <c r="U698" s="785">
        <v>487580</v>
      </c>
    </row>
    <row r="699" spans="1:21" x14ac:dyDescent="0.25">
      <c r="A699" s="780">
        <v>97817</v>
      </c>
      <c r="B699" s="781" t="s">
        <v>1862</v>
      </c>
      <c r="C699" s="782">
        <v>7.0999999999999998E-6</v>
      </c>
      <c r="D699" s="782">
        <v>1.8899999999999999E-5</v>
      </c>
      <c r="E699" s="783">
        <v>6943</v>
      </c>
      <c r="F699" s="783">
        <v>-10431</v>
      </c>
      <c r="G699" s="783">
        <v>3186</v>
      </c>
      <c r="H699" s="783"/>
      <c r="I699" s="784">
        <v>0</v>
      </c>
      <c r="J699" s="784">
        <v>6404</v>
      </c>
      <c r="K699" s="784">
        <v>0</v>
      </c>
      <c r="L699" s="783">
        <v>2036.19</v>
      </c>
      <c r="M699" s="783"/>
      <c r="N699" s="784">
        <v>749</v>
      </c>
      <c r="O699" s="784">
        <v>7311</v>
      </c>
      <c r="P699" s="784">
        <v>0</v>
      </c>
      <c r="Q699" s="783">
        <v>5075</v>
      </c>
      <c r="R699" s="783"/>
      <c r="S699" s="784">
        <v>1455</v>
      </c>
      <c r="T699" s="785">
        <v>-648</v>
      </c>
      <c r="U699" s="785">
        <v>807</v>
      </c>
    </row>
    <row r="700" spans="1:21" x14ac:dyDescent="0.25">
      <c r="A700" s="780">
        <v>97818</v>
      </c>
      <c r="B700" s="781" t="s">
        <v>1863</v>
      </c>
      <c r="C700" s="782">
        <v>8.3999999999999992E-6</v>
      </c>
      <c r="D700" s="782">
        <v>9.0999999999999993E-6</v>
      </c>
      <c r="E700" s="783">
        <v>6102</v>
      </c>
      <c r="F700" s="783">
        <v>-5022</v>
      </c>
      <c r="G700" s="783">
        <v>3770</v>
      </c>
      <c r="H700" s="783"/>
      <c r="I700" s="784">
        <v>0</v>
      </c>
      <c r="J700" s="784">
        <v>7576</v>
      </c>
      <c r="K700" s="784">
        <v>0</v>
      </c>
      <c r="L700" s="783">
        <v>1627</v>
      </c>
      <c r="M700" s="783"/>
      <c r="N700" s="784">
        <v>886</v>
      </c>
      <c r="O700" s="784">
        <v>8649</v>
      </c>
      <c r="P700" s="784">
        <v>0</v>
      </c>
      <c r="Q700" s="783">
        <v>6452.42</v>
      </c>
      <c r="R700" s="783"/>
      <c r="S700" s="784">
        <v>1721</v>
      </c>
      <c r="T700" s="785">
        <v>-1732</v>
      </c>
      <c r="U700" s="785">
        <v>-11</v>
      </c>
    </row>
    <row r="701" spans="1:21" x14ac:dyDescent="0.25">
      <c r="A701" s="780">
        <v>97821</v>
      </c>
      <c r="B701" s="781" t="s">
        <v>1864</v>
      </c>
      <c r="C701" s="782">
        <v>1.3329999999999999E-4</v>
      </c>
      <c r="D701" s="782">
        <v>1.4779999999999999E-4</v>
      </c>
      <c r="E701" s="783">
        <v>51041</v>
      </c>
      <c r="F701" s="783">
        <v>-81573</v>
      </c>
      <c r="G701" s="783">
        <v>59824</v>
      </c>
      <c r="H701" s="783"/>
      <c r="I701" s="784">
        <v>0</v>
      </c>
      <c r="J701" s="784">
        <v>120225</v>
      </c>
      <c r="K701" s="784">
        <v>0</v>
      </c>
      <c r="L701" s="783">
        <v>0</v>
      </c>
      <c r="M701" s="783"/>
      <c r="N701" s="784">
        <v>14062</v>
      </c>
      <c r="O701" s="784">
        <v>137257</v>
      </c>
      <c r="P701" s="784">
        <v>0</v>
      </c>
      <c r="Q701" s="783">
        <v>30153</v>
      </c>
      <c r="R701" s="783"/>
      <c r="S701" s="784">
        <v>27313</v>
      </c>
      <c r="T701" s="785">
        <v>-9151</v>
      </c>
      <c r="U701" s="785">
        <v>18163</v>
      </c>
    </row>
    <row r="702" spans="1:21" x14ac:dyDescent="0.25">
      <c r="A702" s="780">
        <v>97823</v>
      </c>
      <c r="B702" s="781" t="s">
        <v>1865</v>
      </c>
      <c r="C702" s="782">
        <v>2.58E-5</v>
      </c>
      <c r="D702" s="782">
        <v>2.73E-5</v>
      </c>
      <c r="E702" s="783">
        <v>12198</v>
      </c>
      <c r="F702" s="783">
        <v>-15067</v>
      </c>
      <c r="G702" s="783">
        <v>11579</v>
      </c>
      <c r="H702" s="783"/>
      <c r="I702" s="784">
        <v>0</v>
      </c>
      <c r="J702" s="784">
        <v>23269</v>
      </c>
      <c r="K702" s="784">
        <v>0</v>
      </c>
      <c r="L702" s="783">
        <v>267</v>
      </c>
      <c r="M702" s="783"/>
      <c r="N702" s="784">
        <v>2722</v>
      </c>
      <c r="O702" s="784">
        <v>26566</v>
      </c>
      <c r="P702" s="784">
        <v>0</v>
      </c>
      <c r="Q702" s="783">
        <v>1785</v>
      </c>
      <c r="R702" s="783"/>
      <c r="S702" s="784">
        <v>5286</v>
      </c>
      <c r="T702" s="785">
        <v>-527</v>
      </c>
      <c r="U702" s="785">
        <v>4759</v>
      </c>
    </row>
    <row r="703" spans="1:21" x14ac:dyDescent="0.25">
      <c r="A703" s="780">
        <v>97831</v>
      </c>
      <c r="B703" s="781" t="s">
        <v>1866</v>
      </c>
      <c r="C703" s="782">
        <v>1.5860000000000001E-4</v>
      </c>
      <c r="D703" s="782">
        <v>1.8039999999999999E-4</v>
      </c>
      <c r="E703" s="783">
        <v>72559</v>
      </c>
      <c r="F703" s="783">
        <v>-99566</v>
      </c>
      <c r="G703" s="783">
        <v>71179</v>
      </c>
      <c r="H703" s="783"/>
      <c r="I703" s="784">
        <v>0</v>
      </c>
      <c r="J703" s="784">
        <v>143044</v>
      </c>
      <c r="K703" s="784">
        <v>0</v>
      </c>
      <c r="L703" s="783">
        <v>0</v>
      </c>
      <c r="M703" s="783"/>
      <c r="N703" s="784">
        <v>16731</v>
      </c>
      <c r="O703" s="784">
        <v>163308</v>
      </c>
      <c r="P703" s="784">
        <v>0</v>
      </c>
      <c r="Q703" s="783">
        <v>18623</v>
      </c>
      <c r="R703" s="783"/>
      <c r="S703" s="784">
        <v>32497</v>
      </c>
      <c r="T703" s="785">
        <v>-5566</v>
      </c>
      <c r="U703" s="785">
        <v>26931</v>
      </c>
    </row>
    <row r="704" spans="1:21" x14ac:dyDescent="0.25">
      <c r="A704" s="780">
        <v>97837</v>
      </c>
      <c r="B704" s="781" t="s">
        <v>1867</v>
      </c>
      <c r="C704" s="782">
        <v>1.3699999999999999E-5</v>
      </c>
      <c r="D704" s="782">
        <v>1.27E-5</v>
      </c>
      <c r="E704" s="783">
        <v>7316</v>
      </c>
      <c r="F704" s="783">
        <v>-7009</v>
      </c>
      <c r="G704" s="783">
        <v>6148</v>
      </c>
      <c r="H704" s="783"/>
      <c r="I704" s="784">
        <v>0</v>
      </c>
      <c r="J704" s="784">
        <v>12356</v>
      </c>
      <c r="K704" s="784">
        <v>0</v>
      </c>
      <c r="L704" s="783">
        <v>2919</v>
      </c>
      <c r="M704" s="783"/>
      <c r="N704" s="784">
        <v>1445</v>
      </c>
      <c r="O704" s="784">
        <v>14107</v>
      </c>
      <c r="P704" s="784">
        <v>0</v>
      </c>
      <c r="Q704" s="783">
        <v>0</v>
      </c>
      <c r="R704" s="783"/>
      <c r="S704" s="784">
        <v>2807</v>
      </c>
      <c r="T704" s="785">
        <v>826</v>
      </c>
      <c r="U704" s="785">
        <v>3633</v>
      </c>
    </row>
    <row r="705" spans="1:21" x14ac:dyDescent="0.25">
      <c r="A705" s="780">
        <v>97840</v>
      </c>
      <c r="B705" s="781" t="s">
        <v>1868</v>
      </c>
      <c r="C705" s="782">
        <v>1.4799999999999999E-4</v>
      </c>
      <c r="D705" s="782">
        <v>1.3100000000000001E-4</v>
      </c>
      <c r="E705" s="783">
        <v>106326</v>
      </c>
      <c r="F705" s="783">
        <v>-72301</v>
      </c>
      <c r="G705" s="783">
        <v>66422</v>
      </c>
      <c r="H705" s="783"/>
      <c r="I705" s="784">
        <v>0</v>
      </c>
      <c r="J705" s="784">
        <v>133484</v>
      </c>
      <c r="K705" s="784">
        <v>0</v>
      </c>
      <c r="L705" s="783">
        <v>48307</v>
      </c>
      <c r="M705" s="783"/>
      <c r="N705" s="784">
        <v>15613</v>
      </c>
      <c r="O705" s="784">
        <v>152394</v>
      </c>
      <c r="P705" s="784">
        <v>0</v>
      </c>
      <c r="Q705" s="783">
        <v>2912.26</v>
      </c>
      <c r="R705" s="783"/>
      <c r="S705" s="784">
        <v>30325</v>
      </c>
      <c r="T705" s="785">
        <v>11672</v>
      </c>
      <c r="U705" s="785">
        <v>41997</v>
      </c>
    </row>
    <row r="706" spans="1:21" x14ac:dyDescent="0.25">
      <c r="A706" s="780">
        <v>97841</v>
      </c>
      <c r="B706" s="781" t="s">
        <v>1869</v>
      </c>
      <c r="C706" s="782">
        <v>1.5699999999999999E-5</v>
      </c>
      <c r="D706" s="782">
        <v>1.6900000000000001E-5</v>
      </c>
      <c r="E706" s="783">
        <v>8559</v>
      </c>
      <c r="F706" s="783">
        <v>-9327</v>
      </c>
      <c r="G706" s="783">
        <v>7046</v>
      </c>
      <c r="H706" s="783"/>
      <c r="I706" s="784">
        <v>0</v>
      </c>
      <c r="J706" s="784">
        <v>14160</v>
      </c>
      <c r="K706" s="784">
        <v>0</v>
      </c>
      <c r="L706" s="783">
        <v>861</v>
      </c>
      <c r="M706" s="783"/>
      <c r="N706" s="784">
        <v>1656</v>
      </c>
      <c r="O706" s="784">
        <v>16166</v>
      </c>
      <c r="P706" s="784">
        <v>0</v>
      </c>
      <c r="Q706" s="783">
        <v>11332.1</v>
      </c>
      <c r="R706" s="783"/>
      <c r="S706" s="784">
        <v>3217</v>
      </c>
      <c r="T706" s="785">
        <v>-3565</v>
      </c>
      <c r="U706" s="785">
        <v>-348</v>
      </c>
    </row>
    <row r="707" spans="1:21" x14ac:dyDescent="0.25">
      <c r="A707" s="780">
        <v>97847</v>
      </c>
      <c r="B707" s="781" t="s">
        <v>1870</v>
      </c>
      <c r="C707" s="782">
        <v>2.7E-6</v>
      </c>
      <c r="D707" s="782">
        <v>3.1999999999999999E-6</v>
      </c>
      <c r="E707" s="783">
        <v>1857</v>
      </c>
      <c r="F707" s="783">
        <v>-1766</v>
      </c>
      <c r="G707" s="783">
        <v>1212</v>
      </c>
      <c r="H707" s="783"/>
      <c r="I707" s="784">
        <v>0</v>
      </c>
      <c r="J707" s="784">
        <v>2435</v>
      </c>
      <c r="K707" s="784">
        <v>0</v>
      </c>
      <c r="L707" s="783">
        <v>247</v>
      </c>
      <c r="M707" s="783"/>
      <c r="N707" s="784">
        <v>285</v>
      </c>
      <c r="O707" s="784">
        <v>2780</v>
      </c>
      <c r="P707" s="784">
        <v>0</v>
      </c>
      <c r="Q707" s="783">
        <v>218.27</v>
      </c>
      <c r="R707" s="783"/>
      <c r="S707" s="784">
        <v>553</v>
      </c>
      <c r="T707" s="785">
        <v>-8</v>
      </c>
      <c r="U707" s="785">
        <v>545</v>
      </c>
    </row>
    <row r="708" spans="1:21" x14ac:dyDescent="0.25">
      <c r="A708" s="780">
        <v>97851</v>
      </c>
      <c r="B708" s="781" t="s">
        <v>1871</v>
      </c>
      <c r="C708" s="782">
        <v>2.7E-4</v>
      </c>
      <c r="D708" s="782">
        <v>2.6699999999999998E-4</v>
      </c>
      <c r="E708" s="783">
        <v>104960</v>
      </c>
      <c r="F708" s="783">
        <v>-147362</v>
      </c>
      <c r="G708" s="783">
        <v>121174.38</v>
      </c>
      <c r="H708" s="783"/>
      <c r="I708" s="784">
        <v>0</v>
      </c>
      <c r="J708" s="784">
        <v>243517.32</v>
      </c>
      <c r="K708" s="784">
        <v>0</v>
      </c>
      <c r="L708" s="783">
        <v>4374.37</v>
      </c>
      <c r="M708" s="783"/>
      <c r="N708" s="784">
        <v>28483.11</v>
      </c>
      <c r="O708" s="784">
        <v>278015.49</v>
      </c>
      <c r="P708" s="784">
        <v>0</v>
      </c>
      <c r="Q708" s="783">
        <v>2076</v>
      </c>
      <c r="R708" s="783"/>
      <c r="S708" s="784">
        <v>55323.54</v>
      </c>
      <c r="T708" s="785">
        <v>920</v>
      </c>
      <c r="U708" s="785">
        <v>56243</v>
      </c>
    </row>
    <row r="709" spans="1:21" x14ac:dyDescent="0.25">
      <c r="A709" s="780">
        <v>97853</v>
      </c>
      <c r="B709" s="781" t="s">
        <v>1872</v>
      </c>
      <c r="C709" s="782">
        <v>1.114E-4</v>
      </c>
      <c r="D709" s="782">
        <v>9.5600000000000006E-5</v>
      </c>
      <c r="E709" s="783">
        <v>38359</v>
      </c>
      <c r="F709" s="783">
        <v>-52763</v>
      </c>
      <c r="G709" s="783">
        <v>49996</v>
      </c>
      <c r="H709" s="783"/>
      <c r="I709" s="784">
        <v>0</v>
      </c>
      <c r="J709" s="784">
        <v>100473</v>
      </c>
      <c r="K709" s="784">
        <v>0</v>
      </c>
      <c r="L709" s="783">
        <v>8907</v>
      </c>
      <c r="M709" s="783"/>
      <c r="N709" s="784">
        <v>11752</v>
      </c>
      <c r="O709" s="784">
        <v>114707</v>
      </c>
      <c r="P709" s="784">
        <v>0</v>
      </c>
      <c r="Q709" s="783">
        <v>0</v>
      </c>
      <c r="R709" s="783"/>
      <c r="S709" s="784">
        <v>22826</v>
      </c>
      <c r="T709" s="785">
        <v>2583</v>
      </c>
      <c r="U709" s="785">
        <v>25410</v>
      </c>
    </row>
    <row r="710" spans="1:21" x14ac:dyDescent="0.25">
      <c r="A710" s="780">
        <v>97861</v>
      </c>
      <c r="B710" s="781" t="s">
        <v>1873</v>
      </c>
      <c r="C710" s="782">
        <v>6.6799999999999997E-5</v>
      </c>
      <c r="D710" s="782">
        <v>6.1400000000000002E-5</v>
      </c>
      <c r="E710" s="783">
        <v>27183</v>
      </c>
      <c r="F710" s="783">
        <v>-33888</v>
      </c>
      <c r="G710" s="783">
        <v>29979</v>
      </c>
      <c r="H710" s="783"/>
      <c r="I710" s="784">
        <v>0</v>
      </c>
      <c r="J710" s="784">
        <v>60248</v>
      </c>
      <c r="K710" s="784">
        <v>0</v>
      </c>
      <c r="L710" s="783">
        <v>3718</v>
      </c>
      <c r="M710" s="783"/>
      <c r="N710" s="784">
        <v>7047</v>
      </c>
      <c r="O710" s="784">
        <v>68783</v>
      </c>
      <c r="P710" s="784">
        <v>0</v>
      </c>
      <c r="Q710" s="783">
        <v>10408.19</v>
      </c>
      <c r="R710" s="783"/>
      <c r="S710" s="784">
        <v>13687</v>
      </c>
      <c r="T710" s="785">
        <v>-2508</v>
      </c>
      <c r="U710" s="785">
        <v>11180</v>
      </c>
    </row>
    <row r="711" spans="1:21" x14ac:dyDescent="0.25">
      <c r="A711" s="780">
        <v>97871</v>
      </c>
      <c r="B711" s="781" t="s">
        <v>1874</v>
      </c>
      <c r="C711" s="782">
        <v>3.1530000000000002E-4</v>
      </c>
      <c r="D711" s="782">
        <v>3.212E-4</v>
      </c>
      <c r="E711" s="783">
        <v>244340</v>
      </c>
      <c r="F711" s="783">
        <v>-177276</v>
      </c>
      <c r="G711" s="783">
        <v>141505</v>
      </c>
      <c r="H711" s="783"/>
      <c r="I711" s="784">
        <v>0</v>
      </c>
      <c r="J711" s="784">
        <v>284374</v>
      </c>
      <c r="K711" s="784">
        <v>0</v>
      </c>
      <c r="L711" s="783">
        <v>110246</v>
      </c>
      <c r="M711" s="783"/>
      <c r="N711" s="784">
        <v>33262</v>
      </c>
      <c r="O711" s="784">
        <v>324660</v>
      </c>
      <c r="P711" s="784">
        <v>0</v>
      </c>
      <c r="Q711" s="783">
        <v>0</v>
      </c>
      <c r="R711" s="783"/>
      <c r="S711" s="784">
        <v>64606</v>
      </c>
      <c r="T711" s="785">
        <v>30514</v>
      </c>
      <c r="U711" s="785">
        <v>95120</v>
      </c>
    </row>
    <row r="712" spans="1:21" x14ac:dyDescent="0.25">
      <c r="A712" s="780">
        <v>97877</v>
      </c>
      <c r="B712" s="781" t="s">
        <v>1875</v>
      </c>
      <c r="C712" s="782">
        <v>2.6000000000000001E-6</v>
      </c>
      <c r="D712" s="782">
        <v>2.9000000000000002E-6</v>
      </c>
      <c r="E712" s="783">
        <v>2031</v>
      </c>
      <c r="F712" s="783">
        <v>-1601</v>
      </c>
      <c r="G712" s="783">
        <v>1167</v>
      </c>
      <c r="H712" s="783"/>
      <c r="I712" s="784">
        <v>0</v>
      </c>
      <c r="J712" s="784">
        <v>2345</v>
      </c>
      <c r="K712" s="784">
        <v>0</v>
      </c>
      <c r="L712" s="783">
        <v>1018</v>
      </c>
      <c r="M712" s="783"/>
      <c r="N712" s="784">
        <v>274</v>
      </c>
      <c r="O712" s="784">
        <v>2677</v>
      </c>
      <c r="P712" s="784">
        <v>0</v>
      </c>
      <c r="Q712" s="783">
        <v>0</v>
      </c>
      <c r="R712" s="783"/>
      <c r="S712" s="784">
        <v>533</v>
      </c>
      <c r="T712" s="785">
        <v>300</v>
      </c>
      <c r="U712" s="785">
        <v>833</v>
      </c>
    </row>
    <row r="713" spans="1:21" x14ac:dyDescent="0.25">
      <c r="A713" s="780">
        <v>97901</v>
      </c>
      <c r="B713" s="781" t="s">
        <v>1876</v>
      </c>
      <c r="C713" s="782">
        <v>4.2928000000000003E-3</v>
      </c>
      <c r="D713" s="782">
        <v>4.2611000000000003E-3</v>
      </c>
      <c r="E713" s="783">
        <v>1823176</v>
      </c>
      <c r="F713" s="783">
        <v>-2351778</v>
      </c>
      <c r="G713" s="783">
        <v>1926583</v>
      </c>
      <c r="H713" s="783"/>
      <c r="I713" s="784">
        <v>0</v>
      </c>
      <c r="J713" s="784">
        <v>3871745</v>
      </c>
      <c r="K713" s="784">
        <v>0</v>
      </c>
      <c r="L713" s="783">
        <v>106230</v>
      </c>
      <c r="M713" s="783"/>
      <c r="N713" s="784">
        <v>452860</v>
      </c>
      <c r="O713" s="784">
        <v>4420240</v>
      </c>
      <c r="P713" s="784">
        <v>0</v>
      </c>
      <c r="Q713" s="783">
        <v>0</v>
      </c>
      <c r="R713" s="783"/>
      <c r="S713" s="784">
        <v>879603</v>
      </c>
      <c r="T713" s="785">
        <v>29852</v>
      </c>
      <c r="U713" s="785">
        <v>909455</v>
      </c>
    </row>
    <row r="714" spans="1:21" x14ac:dyDescent="0.25">
      <c r="A714" s="780">
        <v>97911</v>
      </c>
      <c r="B714" s="781" t="s">
        <v>1877</v>
      </c>
      <c r="C714" s="782">
        <v>1.4008E-3</v>
      </c>
      <c r="D714" s="782">
        <v>1.3319E-3</v>
      </c>
      <c r="E714" s="783">
        <v>571580</v>
      </c>
      <c r="F714" s="783">
        <v>-735100</v>
      </c>
      <c r="G714" s="783">
        <v>628671</v>
      </c>
      <c r="H714" s="783"/>
      <c r="I714" s="784">
        <v>0</v>
      </c>
      <c r="J714" s="784">
        <v>1263404</v>
      </c>
      <c r="K714" s="784">
        <v>0</v>
      </c>
      <c r="L714" s="783">
        <v>71282</v>
      </c>
      <c r="M714" s="783"/>
      <c r="N714" s="784">
        <v>147775</v>
      </c>
      <c r="O714" s="784">
        <v>1442386</v>
      </c>
      <c r="P714" s="784">
        <v>0</v>
      </c>
      <c r="Q714" s="783">
        <v>0</v>
      </c>
      <c r="R714" s="783"/>
      <c r="S714" s="784">
        <v>287027</v>
      </c>
      <c r="T714" s="785">
        <v>20346</v>
      </c>
      <c r="U714" s="785">
        <v>307373</v>
      </c>
    </row>
    <row r="715" spans="1:21" x14ac:dyDescent="0.25">
      <c r="A715" s="780">
        <v>97913</v>
      </c>
      <c r="B715" s="781" t="s">
        <v>1878</v>
      </c>
      <c r="C715" s="782">
        <v>3.7700000000000002E-5</v>
      </c>
      <c r="D715" s="782">
        <v>3.8699999999999999E-5</v>
      </c>
      <c r="E715" s="783">
        <v>22973</v>
      </c>
      <c r="F715" s="783">
        <v>-21359</v>
      </c>
      <c r="G715" s="783">
        <v>16920</v>
      </c>
      <c r="H715" s="783"/>
      <c r="I715" s="784">
        <v>0</v>
      </c>
      <c r="J715" s="784">
        <v>34002</v>
      </c>
      <c r="K715" s="784">
        <v>0</v>
      </c>
      <c r="L715" s="783">
        <v>6158</v>
      </c>
      <c r="M715" s="783"/>
      <c r="N715" s="784">
        <v>3977</v>
      </c>
      <c r="O715" s="784">
        <v>38819</v>
      </c>
      <c r="P715" s="784">
        <v>0</v>
      </c>
      <c r="Q715" s="783">
        <v>0</v>
      </c>
      <c r="R715" s="783"/>
      <c r="S715" s="784">
        <v>7725</v>
      </c>
      <c r="T715" s="785">
        <v>1674</v>
      </c>
      <c r="U715" s="785">
        <v>9399</v>
      </c>
    </row>
    <row r="716" spans="1:21" x14ac:dyDescent="0.25">
      <c r="A716" s="780">
        <v>97917</v>
      </c>
      <c r="B716" s="781" t="s">
        <v>1879</v>
      </c>
      <c r="C716" s="782">
        <v>2.0599999999999999E-5</v>
      </c>
      <c r="D716" s="782">
        <v>2.0699999999999998E-5</v>
      </c>
      <c r="E716" s="783">
        <v>11635</v>
      </c>
      <c r="F716" s="783">
        <v>-11425</v>
      </c>
      <c r="G716" s="783">
        <v>9245</v>
      </c>
      <c r="H716" s="783"/>
      <c r="I716" s="784">
        <v>0</v>
      </c>
      <c r="J716" s="784">
        <v>18579</v>
      </c>
      <c r="K716" s="784">
        <v>0</v>
      </c>
      <c r="L716" s="783">
        <v>5143</v>
      </c>
      <c r="M716" s="783"/>
      <c r="N716" s="784">
        <v>2173</v>
      </c>
      <c r="O716" s="784">
        <v>21212</v>
      </c>
      <c r="P716" s="784">
        <v>0</v>
      </c>
      <c r="Q716" s="783">
        <v>0</v>
      </c>
      <c r="R716" s="783"/>
      <c r="S716" s="784">
        <v>4221</v>
      </c>
      <c r="T716" s="785">
        <v>1540</v>
      </c>
      <c r="U716" s="785">
        <v>5761</v>
      </c>
    </row>
    <row r="717" spans="1:21" x14ac:dyDescent="0.25">
      <c r="A717" s="780">
        <v>97921</v>
      </c>
      <c r="B717" s="781" t="s">
        <v>1880</v>
      </c>
      <c r="C717" s="782">
        <v>2.3599999999999999E-4</v>
      </c>
      <c r="D717" s="782">
        <v>2.0489999999999999E-4</v>
      </c>
      <c r="E717" s="783">
        <v>99437</v>
      </c>
      <c r="F717" s="783">
        <v>-113088</v>
      </c>
      <c r="G717" s="783">
        <v>105915</v>
      </c>
      <c r="H717" s="783"/>
      <c r="I717" s="784">
        <v>0</v>
      </c>
      <c r="J717" s="784">
        <v>212852</v>
      </c>
      <c r="K717" s="784">
        <v>0</v>
      </c>
      <c r="L717" s="783">
        <v>24267</v>
      </c>
      <c r="M717" s="783"/>
      <c r="N717" s="784">
        <v>24896</v>
      </c>
      <c r="O717" s="784">
        <v>243006</v>
      </c>
      <c r="P717" s="784">
        <v>0</v>
      </c>
      <c r="Q717" s="783">
        <v>4792.97</v>
      </c>
      <c r="R717" s="783"/>
      <c r="S717" s="784">
        <v>48357</v>
      </c>
      <c r="T717" s="785">
        <v>4750</v>
      </c>
      <c r="U717" s="785">
        <v>53107</v>
      </c>
    </row>
    <row r="718" spans="1:21" x14ac:dyDescent="0.25">
      <c r="A718" s="780">
        <v>97931</v>
      </c>
      <c r="B718" s="781" t="s">
        <v>1881</v>
      </c>
      <c r="C718" s="782">
        <v>6.7999999999999999E-5</v>
      </c>
      <c r="D718" s="782">
        <v>2.83E-5</v>
      </c>
      <c r="E718" s="783">
        <v>26050</v>
      </c>
      <c r="F718" s="783">
        <v>-15619</v>
      </c>
      <c r="G718" s="783">
        <v>30518</v>
      </c>
      <c r="H718" s="783"/>
      <c r="I718" s="784">
        <v>0</v>
      </c>
      <c r="J718" s="784">
        <v>61330</v>
      </c>
      <c r="K718" s="784">
        <v>0</v>
      </c>
      <c r="L718" s="783">
        <v>26501</v>
      </c>
      <c r="M718" s="783"/>
      <c r="N718" s="784">
        <v>7174</v>
      </c>
      <c r="O718" s="784">
        <v>70019</v>
      </c>
      <c r="P718" s="784">
        <v>0</v>
      </c>
      <c r="Q718" s="783">
        <v>16394</v>
      </c>
      <c r="R718" s="783"/>
      <c r="S718" s="784">
        <v>13933</v>
      </c>
      <c r="T718" s="785">
        <v>1455</v>
      </c>
      <c r="U718" s="785">
        <v>15388</v>
      </c>
    </row>
    <row r="719" spans="1:21" x14ac:dyDescent="0.25">
      <c r="A719" s="780">
        <v>97941</v>
      </c>
      <c r="B719" s="781" t="s">
        <v>1882</v>
      </c>
      <c r="C719" s="782">
        <v>2.3120000000000001E-4</v>
      </c>
      <c r="D719" s="782">
        <v>1.9249999999999999E-4</v>
      </c>
      <c r="E719" s="783">
        <v>100486</v>
      </c>
      <c r="F719" s="783">
        <v>-106244</v>
      </c>
      <c r="G719" s="783">
        <v>103761</v>
      </c>
      <c r="H719" s="783"/>
      <c r="I719" s="784">
        <v>0</v>
      </c>
      <c r="J719" s="784">
        <v>208523</v>
      </c>
      <c r="K719" s="784">
        <v>0</v>
      </c>
      <c r="L719" s="783">
        <v>31985</v>
      </c>
      <c r="M719" s="783"/>
      <c r="N719" s="784">
        <v>24390</v>
      </c>
      <c r="O719" s="784">
        <v>238064</v>
      </c>
      <c r="P719" s="784">
        <v>0</v>
      </c>
      <c r="Q719" s="783">
        <v>449</v>
      </c>
      <c r="R719" s="783"/>
      <c r="S719" s="784">
        <v>47373</v>
      </c>
      <c r="T719" s="785">
        <v>8223</v>
      </c>
      <c r="U719" s="785">
        <v>55596</v>
      </c>
    </row>
    <row r="720" spans="1:21" x14ac:dyDescent="0.25">
      <c r="A720" s="780">
        <v>97947</v>
      </c>
      <c r="B720" s="781" t="s">
        <v>1883</v>
      </c>
      <c r="C720" s="782">
        <v>1.1199999999999999E-5</v>
      </c>
      <c r="D720" s="782">
        <v>1.26E-5</v>
      </c>
      <c r="E720" s="783">
        <v>11057</v>
      </c>
      <c r="F720" s="783">
        <v>-6954</v>
      </c>
      <c r="G720" s="783">
        <v>5026</v>
      </c>
      <c r="H720" s="783"/>
      <c r="I720" s="784">
        <v>0</v>
      </c>
      <c r="J720" s="784">
        <v>10101</v>
      </c>
      <c r="K720" s="784">
        <v>0</v>
      </c>
      <c r="L720" s="783">
        <v>4156</v>
      </c>
      <c r="M720" s="783"/>
      <c r="N720" s="784">
        <v>1182</v>
      </c>
      <c r="O720" s="784">
        <v>11532</v>
      </c>
      <c r="P720" s="784">
        <v>0</v>
      </c>
      <c r="Q720" s="783">
        <v>924</v>
      </c>
      <c r="R720" s="783"/>
      <c r="S720" s="784">
        <v>2295</v>
      </c>
      <c r="T720" s="785">
        <v>779</v>
      </c>
      <c r="U720" s="785">
        <v>3074</v>
      </c>
    </row>
    <row r="721" spans="1:21" x14ac:dyDescent="0.25">
      <c r="A721" s="780">
        <v>97948</v>
      </c>
      <c r="B721" s="781" t="s">
        <v>1884</v>
      </c>
      <c r="C721" s="782">
        <v>3.43E-5</v>
      </c>
      <c r="D721" s="782">
        <v>3.0300000000000001E-5</v>
      </c>
      <c r="E721" s="783">
        <v>15110</v>
      </c>
      <c r="F721" s="783">
        <v>-16723</v>
      </c>
      <c r="G721" s="783">
        <v>15394</v>
      </c>
      <c r="H721" s="783"/>
      <c r="I721" s="784">
        <v>0</v>
      </c>
      <c r="J721" s="784">
        <v>30936</v>
      </c>
      <c r="K721" s="784">
        <v>0</v>
      </c>
      <c r="L721" s="783">
        <v>4150</v>
      </c>
      <c r="M721" s="783"/>
      <c r="N721" s="784">
        <v>3618</v>
      </c>
      <c r="O721" s="784">
        <v>35318</v>
      </c>
      <c r="P721" s="784">
        <v>0</v>
      </c>
      <c r="Q721" s="783">
        <v>0</v>
      </c>
      <c r="R721" s="783"/>
      <c r="S721" s="784">
        <v>7028</v>
      </c>
      <c r="T721" s="785">
        <v>1120</v>
      </c>
      <c r="U721" s="785">
        <v>8148</v>
      </c>
    </row>
    <row r="722" spans="1:21" x14ac:dyDescent="0.25">
      <c r="A722" s="780">
        <v>97951</v>
      </c>
      <c r="B722" s="781" t="s">
        <v>1885</v>
      </c>
      <c r="C722" s="782">
        <v>1.2842000000000001E-3</v>
      </c>
      <c r="D722" s="782">
        <v>1.2836E-3</v>
      </c>
      <c r="E722" s="783">
        <v>550895</v>
      </c>
      <c r="F722" s="783">
        <v>-708442</v>
      </c>
      <c r="G722" s="783">
        <v>576341</v>
      </c>
      <c r="H722" s="783"/>
      <c r="I722" s="784">
        <v>0</v>
      </c>
      <c r="J722" s="784">
        <v>1158241</v>
      </c>
      <c r="K722" s="784">
        <v>0</v>
      </c>
      <c r="L722" s="783">
        <v>21486</v>
      </c>
      <c r="M722" s="783"/>
      <c r="N722" s="784">
        <v>135474</v>
      </c>
      <c r="O722" s="784">
        <v>1322324</v>
      </c>
      <c r="P722" s="784">
        <v>0</v>
      </c>
      <c r="Q722" s="783">
        <v>21343</v>
      </c>
      <c r="R722" s="783"/>
      <c r="S722" s="784">
        <v>263135</v>
      </c>
      <c r="T722" s="785">
        <v>-1513</v>
      </c>
      <c r="U722" s="785">
        <v>261622</v>
      </c>
    </row>
    <row r="723" spans="1:21" x14ac:dyDescent="0.25">
      <c r="A723" s="780">
        <v>97957</v>
      </c>
      <c r="B723" s="781" t="s">
        <v>1886</v>
      </c>
      <c r="C723" s="782">
        <v>1.9899999999999999E-5</v>
      </c>
      <c r="D723" s="782">
        <v>2.6800000000000001E-5</v>
      </c>
      <c r="E723" s="783">
        <v>11493</v>
      </c>
      <c r="F723" s="783">
        <v>-14791</v>
      </c>
      <c r="G723" s="783">
        <v>8931</v>
      </c>
      <c r="H723" s="783"/>
      <c r="I723" s="784">
        <v>0</v>
      </c>
      <c r="J723" s="784">
        <v>17948</v>
      </c>
      <c r="K723" s="784">
        <v>0</v>
      </c>
      <c r="L723" s="783">
        <v>0</v>
      </c>
      <c r="M723" s="783"/>
      <c r="N723" s="784">
        <v>2099</v>
      </c>
      <c r="O723" s="784">
        <v>20491</v>
      </c>
      <c r="P723" s="784">
        <v>0</v>
      </c>
      <c r="Q723" s="783">
        <v>2439</v>
      </c>
      <c r="R723" s="783"/>
      <c r="S723" s="784">
        <v>4078</v>
      </c>
      <c r="T723" s="785">
        <v>-658</v>
      </c>
      <c r="U723" s="785">
        <v>3420</v>
      </c>
    </row>
    <row r="724" spans="1:21" x14ac:dyDescent="0.25">
      <c r="A724" s="780">
        <v>98001</v>
      </c>
      <c r="B724" s="781" t="s">
        <v>1887</v>
      </c>
      <c r="C724" s="782">
        <v>4.9379999999999997E-3</v>
      </c>
      <c r="D724" s="782">
        <v>4.9490999999999997E-3</v>
      </c>
      <c r="E724" s="783">
        <v>2103543</v>
      </c>
      <c r="F724" s="783">
        <v>-2731497</v>
      </c>
      <c r="G724" s="783">
        <v>2216145</v>
      </c>
      <c r="H724" s="783"/>
      <c r="I724" s="784">
        <v>0</v>
      </c>
      <c r="J724" s="784">
        <v>4453661</v>
      </c>
      <c r="K724" s="784">
        <v>0</v>
      </c>
      <c r="L724" s="783">
        <v>168061</v>
      </c>
      <c r="M724" s="783"/>
      <c r="N724" s="784">
        <v>520924</v>
      </c>
      <c r="O724" s="784">
        <v>5084594</v>
      </c>
      <c r="P724" s="784">
        <v>0</v>
      </c>
      <c r="Q724" s="783">
        <v>0</v>
      </c>
      <c r="R724" s="783"/>
      <c r="S724" s="784">
        <v>1011806</v>
      </c>
      <c r="T724" s="785">
        <v>51737</v>
      </c>
      <c r="U724" s="785">
        <v>1063544</v>
      </c>
    </row>
    <row r="725" spans="1:21" x14ac:dyDescent="0.25">
      <c r="A725" s="780">
        <v>98002</v>
      </c>
      <c r="B725" s="781" t="s">
        <v>1888</v>
      </c>
      <c r="C725" s="782">
        <v>7.1999999999999997E-6</v>
      </c>
      <c r="D725" s="782">
        <v>7.6000000000000001E-6</v>
      </c>
      <c r="E725" s="783">
        <v>3694</v>
      </c>
      <c r="F725" s="783">
        <v>-4195</v>
      </c>
      <c r="G725" s="783">
        <v>3231</v>
      </c>
      <c r="H725" s="783"/>
      <c r="I725" s="784">
        <v>0</v>
      </c>
      <c r="J725" s="784">
        <v>6494</v>
      </c>
      <c r="K725" s="784">
        <v>0</v>
      </c>
      <c r="L725" s="783">
        <v>317</v>
      </c>
      <c r="M725" s="783"/>
      <c r="N725" s="784">
        <v>760</v>
      </c>
      <c r="O725" s="784">
        <v>7414</v>
      </c>
      <c r="P725" s="784">
        <v>0</v>
      </c>
      <c r="Q725" s="783">
        <v>19608</v>
      </c>
      <c r="R725" s="783"/>
      <c r="S725" s="784">
        <v>1475</v>
      </c>
      <c r="T725" s="785">
        <v>-6475</v>
      </c>
      <c r="U725" s="785">
        <v>-5000</v>
      </c>
    </row>
    <row r="726" spans="1:21" x14ac:dyDescent="0.25">
      <c r="A726" s="780">
        <v>98003</v>
      </c>
      <c r="B726" s="781" t="s">
        <v>1889</v>
      </c>
      <c r="C726" s="782">
        <v>6.8100000000000002E-5</v>
      </c>
      <c r="D726" s="782">
        <v>8.0400000000000003E-5</v>
      </c>
      <c r="E726" s="783">
        <v>57711</v>
      </c>
      <c r="F726" s="783">
        <v>-44374</v>
      </c>
      <c r="G726" s="783">
        <v>30563</v>
      </c>
      <c r="H726" s="783"/>
      <c r="I726" s="784">
        <v>0</v>
      </c>
      <c r="J726" s="784">
        <v>61420</v>
      </c>
      <c r="K726" s="784">
        <v>0</v>
      </c>
      <c r="L726" s="783">
        <v>17489</v>
      </c>
      <c r="M726" s="783"/>
      <c r="N726" s="784">
        <v>7184</v>
      </c>
      <c r="O726" s="784">
        <v>70122</v>
      </c>
      <c r="P726" s="784">
        <v>0</v>
      </c>
      <c r="Q726" s="783">
        <v>0</v>
      </c>
      <c r="R726" s="783"/>
      <c r="S726" s="784">
        <v>13954</v>
      </c>
      <c r="T726" s="785">
        <v>4754</v>
      </c>
      <c r="U726" s="785">
        <v>18708</v>
      </c>
    </row>
    <row r="727" spans="1:21" x14ac:dyDescent="0.25">
      <c r="A727" s="780">
        <v>98004</v>
      </c>
      <c r="B727" s="781" t="s">
        <v>1890</v>
      </c>
      <c r="C727" s="782">
        <v>1.2630000000000001E-4</v>
      </c>
      <c r="D727" s="782">
        <v>1.294E-4</v>
      </c>
      <c r="E727" s="783">
        <v>69020</v>
      </c>
      <c r="F727" s="783">
        <v>-71418</v>
      </c>
      <c r="G727" s="783">
        <v>56683</v>
      </c>
      <c r="H727" s="783"/>
      <c r="I727" s="784">
        <v>0</v>
      </c>
      <c r="J727" s="784">
        <v>113912</v>
      </c>
      <c r="K727" s="784">
        <v>0</v>
      </c>
      <c r="L727" s="783">
        <v>20837</v>
      </c>
      <c r="M727" s="783"/>
      <c r="N727" s="784">
        <v>13324</v>
      </c>
      <c r="O727" s="784">
        <v>130049</v>
      </c>
      <c r="P727" s="784">
        <v>0</v>
      </c>
      <c r="Q727" s="783">
        <v>0</v>
      </c>
      <c r="R727" s="783"/>
      <c r="S727" s="784">
        <v>25879</v>
      </c>
      <c r="T727" s="785">
        <v>6122</v>
      </c>
      <c r="U727" s="785">
        <v>32001</v>
      </c>
    </row>
    <row r="728" spans="1:21" x14ac:dyDescent="0.25">
      <c r="A728" s="780">
        <v>98008</v>
      </c>
      <c r="B728" s="781" t="s">
        <v>1891</v>
      </c>
      <c r="C728" s="782">
        <v>8.3000000000000002E-6</v>
      </c>
      <c r="D728" s="782">
        <v>8.6000000000000007E-6</v>
      </c>
      <c r="E728" s="783">
        <v>3032</v>
      </c>
      <c r="F728" s="783">
        <v>-4746</v>
      </c>
      <c r="G728" s="783">
        <v>3725</v>
      </c>
      <c r="H728" s="783"/>
      <c r="I728" s="784">
        <v>0</v>
      </c>
      <c r="J728" s="784">
        <v>7486</v>
      </c>
      <c r="K728" s="784">
        <v>0</v>
      </c>
      <c r="L728" s="783">
        <v>0</v>
      </c>
      <c r="M728" s="783"/>
      <c r="N728" s="784">
        <v>876</v>
      </c>
      <c r="O728" s="784">
        <v>8546</v>
      </c>
      <c r="P728" s="784">
        <v>0</v>
      </c>
      <c r="Q728" s="783">
        <v>1261</v>
      </c>
      <c r="R728" s="783"/>
      <c r="S728" s="784">
        <v>1701</v>
      </c>
      <c r="T728" s="785">
        <v>-386</v>
      </c>
      <c r="U728" s="785">
        <v>1315</v>
      </c>
    </row>
    <row r="729" spans="1:21" x14ac:dyDescent="0.25">
      <c r="A729" s="780">
        <v>98011</v>
      </c>
      <c r="B729" s="781" t="s">
        <v>1892</v>
      </c>
      <c r="C729" s="782">
        <v>3.5899E-3</v>
      </c>
      <c r="D729" s="782">
        <v>3.4841E-3</v>
      </c>
      <c r="E729" s="783">
        <v>1274340</v>
      </c>
      <c r="F729" s="783">
        <v>-1922938</v>
      </c>
      <c r="G729" s="783">
        <v>1611126</v>
      </c>
      <c r="H729" s="783"/>
      <c r="I729" s="784">
        <v>0</v>
      </c>
      <c r="J729" s="784">
        <v>3237788</v>
      </c>
      <c r="K729" s="784">
        <v>0</v>
      </c>
      <c r="L729" s="783">
        <v>0</v>
      </c>
      <c r="M729" s="783"/>
      <c r="N729" s="784">
        <v>378709</v>
      </c>
      <c r="O729" s="784">
        <v>3696473</v>
      </c>
      <c r="P729" s="784">
        <v>0</v>
      </c>
      <c r="Q729" s="783">
        <v>225366</v>
      </c>
      <c r="R729" s="783"/>
      <c r="S729" s="784">
        <v>735578</v>
      </c>
      <c r="T729" s="785">
        <v>-69748</v>
      </c>
      <c r="U729" s="785">
        <v>665830</v>
      </c>
    </row>
    <row r="730" spans="1:21" x14ac:dyDescent="0.25">
      <c r="A730" s="780">
        <v>98013</v>
      </c>
      <c r="B730" s="781" t="s">
        <v>1893</v>
      </c>
      <c r="C730" s="782">
        <v>1.427E-4</v>
      </c>
      <c r="D730" s="782">
        <v>1.4799999999999999E-4</v>
      </c>
      <c r="E730" s="783">
        <v>136873</v>
      </c>
      <c r="F730" s="783">
        <v>-81684</v>
      </c>
      <c r="G730" s="783">
        <v>64043</v>
      </c>
      <c r="H730" s="783"/>
      <c r="I730" s="784">
        <v>0</v>
      </c>
      <c r="J730" s="784">
        <v>128703</v>
      </c>
      <c r="K730" s="784">
        <v>0</v>
      </c>
      <c r="L730" s="783">
        <v>58583</v>
      </c>
      <c r="M730" s="783"/>
      <c r="N730" s="784">
        <v>15054</v>
      </c>
      <c r="O730" s="784">
        <v>146936</v>
      </c>
      <c r="P730" s="784">
        <v>0</v>
      </c>
      <c r="Q730" s="783">
        <v>6261.06</v>
      </c>
      <c r="R730" s="783"/>
      <c r="S730" s="784">
        <v>29240</v>
      </c>
      <c r="T730" s="785">
        <v>13242</v>
      </c>
      <c r="U730" s="785">
        <v>42481</v>
      </c>
    </row>
    <row r="731" spans="1:21" x14ac:dyDescent="0.25">
      <c r="A731" s="780">
        <v>98021</v>
      </c>
      <c r="B731" s="781" t="s">
        <v>1894</v>
      </c>
      <c r="C731" s="782">
        <v>7.4099999999999999E-5</v>
      </c>
      <c r="D731" s="782">
        <v>3.2400000000000001E-5</v>
      </c>
      <c r="E731" s="783">
        <v>28998</v>
      </c>
      <c r="F731" s="783">
        <v>-17882</v>
      </c>
      <c r="G731" s="783">
        <v>33256</v>
      </c>
      <c r="H731" s="783"/>
      <c r="I731" s="784">
        <v>0</v>
      </c>
      <c r="J731" s="784">
        <v>66832</v>
      </c>
      <c r="K731" s="784">
        <v>0</v>
      </c>
      <c r="L731" s="783">
        <v>28268</v>
      </c>
      <c r="M731" s="783"/>
      <c r="N731" s="784">
        <v>7817</v>
      </c>
      <c r="O731" s="784">
        <v>76300</v>
      </c>
      <c r="P731" s="784">
        <v>0</v>
      </c>
      <c r="Q731" s="783">
        <v>511.29</v>
      </c>
      <c r="R731" s="783"/>
      <c r="S731" s="784">
        <v>15183</v>
      </c>
      <c r="T731" s="785">
        <v>7229</v>
      </c>
      <c r="U731" s="785">
        <v>22412</v>
      </c>
    </row>
    <row r="732" spans="1:21" x14ac:dyDescent="0.25">
      <c r="A732" s="780">
        <v>98023</v>
      </c>
      <c r="B732" s="781" t="s">
        <v>1895</v>
      </c>
      <c r="C732" s="782">
        <v>2.1500000000000001E-5</v>
      </c>
      <c r="D732" s="782">
        <v>2.4499999999999999E-5</v>
      </c>
      <c r="E732" s="783">
        <v>6403</v>
      </c>
      <c r="F732" s="783">
        <v>-13522</v>
      </c>
      <c r="G732" s="783">
        <v>9649</v>
      </c>
      <c r="H732" s="783"/>
      <c r="I732" s="784">
        <v>0</v>
      </c>
      <c r="J732" s="784">
        <v>19391</v>
      </c>
      <c r="K732" s="784">
        <v>0</v>
      </c>
      <c r="L732" s="783">
        <v>0</v>
      </c>
      <c r="M732" s="783"/>
      <c r="N732" s="784">
        <v>2268</v>
      </c>
      <c r="O732" s="784">
        <v>22138</v>
      </c>
      <c r="P732" s="784">
        <v>0</v>
      </c>
      <c r="Q732" s="783">
        <v>5970</v>
      </c>
      <c r="R732" s="783"/>
      <c r="S732" s="784">
        <v>4405</v>
      </c>
      <c r="T732" s="785">
        <v>-1707</v>
      </c>
      <c r="U732" s="785">
        <v>2699</v>
      </c>
    </row>
    <row r="733" spans="1:21" x14ac:dyDescent="0.25">
      <c r="A733" s="780">
        <v>98031</v>
      </c>
      <c r="B733" s="781" t="s">
        <v>1896</v>
      </c>
      <c r="C733" s="782">
        <v>1.7009999999999999E-4</v>
      </c>
      <c r="D733" s="782">
        <v>1.5689999999999999E-4</v>
      </c>
      <c r="E733" s="783">
        <v>70079</v>
      </c>
      <c r="F733" s="783">
        <v>-86596</v>
      </c>
      <c r="G733" s="783">
        <v>76340</v>
      </c>
      <c r="H733" s="783"/>
      <c r="I733" s="784">
        <v>0</v>
      </c>
      <c r="J733" s="784">
        <v>153416</v>
      </c>
      <c r="K733" s="784">
        <v>0</v>
      </c>
      <c r="L733" s="783">
        <v>9763</v>
      </c>
      <c r="M733" s="783"/>
      <c r="N733" s="784">
        <v>17944</v>
      </c>
      <c r="O733" s="784">
        <v>175150</v>
      </c>
      <c r="P733" s="784">
        <v>0</v>
      </c>
      <c r="Q733" s="783">
        <v>4928</v>
      </c>
      <c r="R733" s="783"/>
      <c r="S733" s="784">
        <v>34854</v>
      </c>
      <c r="T733" s="785">
        <v>908</v>
      </c>
      <c r="U733" s="785">
        <v>35762</v>
      </c>
    </row>
    <row r="734" spans="1:21" x14ac:dyDescent="0.25">
      <c r="A734" s="780">
        <v>98041</v>
      </c>
      <c r="B734" s="781" t="s">
        <v>1897</v>
      </c>
      <c r="C734" s="782">
        <v>1.438E-4</v>
      </c>
      <c r="D734" s="782">
        <v>1.5689999999999999E-4</v>
      </c>
      <c r="E734" s="783">
        <v>59131</v>
      </c>
      <c r="F734" s="783">
        <v>-86596</v>
      </c>
      <c r="G734" s="783">
        <v>64537</v>
      </c>
      <c r="H734" s="783"/>
      <c r="I734" s="784">
        <v>0</v>
      </c>
      <c r="J734" s="784">
        <v>129696</v>
      </c>
      <c r="K734" s="784">
        <v>0</v>
      </c>
      <c r="L734" s="783">
        <v>0</v>
      </c>
      <c r="M734" s="783"/>
      <c r="N734" s="784">
        <v>15170</v>
      </c>
      <c r="O734" s="784">
        <v>148069</v>
      </c>
      <c r="P734" s="784">
        <v>0</v>
      </c>
      <c r="Q734" s="783">
        <v>13566</v>
      </c>
      <c r="R734" s="783"/>
      <c r="S734" s="784">
        <v>29465</v>
      </c>
      <c r="T734" s="785">
        <v>-3893</v>
      </c>
      <c r="U734" s="785">
        <v>25572</v>
      </c>
    </row>
    <row r="735" spans="1:21" x14ac:dyDescent="0.25">
      <c r="A735" s="780">
        <v>98051</v>
      </c>
      <c r="B735" s="781" t="s">
        <v>1898</v>
      </c>
      <c r="C735" s="782">
        <v>2.699E-4</v>
      </c>
      <c r="D735" s="782">
        <v>2.5460000000000001E-4</v>
      </c>
      <c r="E735" s="783">
        <v>122459</v>
      </c>
      <c r="F735" s="783">
        <v>-140518</v>
      </c>
      <c r="G735" s="783">
        <v>121130</v>
      </c>
      <c r="H735" s="783"/>
      <c r="I735" s="784">
        <v>0</v>
      </c>
      <c r="J735" s="784">
        <v>243427</v>
      </c>
      <c r="K735" s="784">
        <v>0</v>
      </c>
      <c r="L735" s="783">
        <v>20456</v>
      </c>
      <c r="M735" s="783"/>
      <c r="N735" s="784">
        <v>28473</v>
      </c>
      <c r="O735" s="784">
        <v>277913</v>
      </c>
      <c r="P735" s="784">
        <v>0</v>
      </c>
      <c r="Q735" s="783">
        <v>343.85</v>
      </c>
      <c r="R735" s="783"/>
      <c r="S735" s="784">
        <v>55303</v>
      </c>
      <c r="T735" s="785">
        <v>5240</v>
      </c>
      <c r="U735" s="785">
        <v>60543</v>
      </c>
    </row>
    <row r="736" spans="1:21" x14ac:dyDescent="0.25">
      <c r="A736" s="780">
        <v>98061</v>
      </c>
      <c r="B736" s="781" t="s">
        <v>1899</v>
      </c>
      <c r="C736" s="782">
        <v>1.3410000000000001E-4</v>
      </c>
      <c r="D736" s="782">
        <v>1.36E-4</v>
      </c>
      <c r="E736" s="783">
        <v>46036</v>
      </c>
      <c r="F736" s="783">
        <v>-75061</v>
      </c>
      <c r="G736" s="783">
        <v>60183</v>
      </c>
      <c r="H736" s="783"/>
      <c r="I736" s="784">
        <v>0</v>
      </c>
      <c r="J736" s="784">
        <v>120947</v>
      </c>
      <c r="K736" s="784">
        <v>0</v>
      </c>
      <c r="L736" s="783">
        <v>0</v>
      </c>
      <c r="M736" s="783"/>
      <c r="N736" s="784">
        <v>14147</v>
      </c>
      <c r="O736" s="784">
        <v>138081</v>
      </c>
      <c r="P736" s="784">
        <v>0</v>
      </c>
      <c r="Q736" s="783">
        <v>9771</v>
      </c>
      <c r="R736" s="783"/>
      <c r="S736" s="784">
        <v>27477</v>
      </c>
      <c r="T736" s="785">
        <v>-2669</v>
      </c>
      <c r="U736" s="785">
        <v>24808</v>
      </c>
    </row>
    <row r="737" spans="1:21" x14ac:dyDescent="0.25">
      <c r="A737" s="780">
        <v>98071</v>
      </c>
      <c r="B737" s="781" t="s">
        <v>1900</v>
      </c>
      <c r="C737" s="782">
        <v>3.2299999999999999E-5</v>
      </c>
      <c r="D737" s="782">
        <v>4.6699999999999997E-5</v>
      </c>
      <c r="E737" s="783">
        <v>22761</v>
      </c>
      <c r="F737" s="783">
        <v>-25775</v>
      </c>
      <c r="G737" s="783">
        <v>14496</v>
      </c>
      <c r="H737" s="783"/>
      <c r="I737" s="784">
        <v>0</v>
      </c>
      <c r="J737" s="784">
        <v>29132</v>
      </c>
      <c r="K737" s="784">
        <v>0</v>
      </c>
      <c r="L737" s="783">
        <v>30</v>
      </c>
      <c r="M737" s="783"/>
      <c r="N737" s="784">
        <v>3407</v>
      </c>
      <c r="O737" s="784">
        <v>33259</v>
      </c>
      <c r="P737" s="784">
        <v>0</v>
      </c>
      <c r="Q737" s="783">
        <v>2518</v>
      </c>
      <c r="R737" s="783"/>
      <c r="S737" s="784">
        <v>6618</v>
      </c>
      <c r="T737" s="785">
        <v>-649</v>
      </c>
      <c r="U737" s="785">
        <v>5969</v>
      </c>
    </row>
    <row r="738" spans="1:21" x14ac:dyDescent="0.25">
      <c r="A738" s="780">
        <v>98081</v>
      </c>
      <c r="B738" s="781" t="s">
        <v>1901</v>
      </c>
      <c r="C738" s="782">
        <v>2.0999999999999999E-5</v>
      </c>
      <c r="D738" s="782">
        <v>2.19E-5</v>
      </c>
      <c r="E738" s="783">
        <v>7087</v>
      </c>
      <c r="F738" s="783">
        <v>-12087</v>
      </c>
      <c r="G738" s="783">
        <v>9425</v>
      </c>
      <c r="H738" s="783"/>
      <c r="I738" s="784">
        <v>0</v>
      </c>
      <c r="J738" s="784">
        <v>18940</v>
      </c>
      <c r="K738" s="784">
        <v>0</v>
      </c>
      <c r="L738" s="783">
        <v>0</v>
      </c>
      <c r="M738" s="783"/>
      <c r="N738" s="784">
        <v>2215</v>
      </c>
      <c r="O738" s="784">
        <v>21623</v>
      </c>
      <c r="P738" s="784">
        <v>0</v>
      </c>
      <c r="Q738" s="783">
        <v>3607</v>
      </c>
      <c r="R738" s="783"/>
      <c r="S738" s="784">
        <v>4303</v>
      </c>
      <c r="T738" s="785">
        <v>-1075</v>
      </c>
      <c r="U738" s="785">
        <v>3228</v>
      </c>
    </row>
    <row r="739" spans="1:21" x14ac:dyDescent="0.25">
      <c r="A739" s="780">
        <v>98091</v>
      </c>
      <c r="B739" s="781" t="s">
        <v>1902</v>
      </c>
      <c r="C739" s="782">
        <v>5.49E-5</v>
      </c>
      <c r="D739" s="782">
        <v>5.5000000000000002E-5</v>
      </c>
      <c r="E739" s="783">
        <v>24172</v>
      </c>
      <c r="F739" s="783">
        <v>-30355.49</v>
      </c>
      <c r="G739" s="783">
        <v>24639</v>
      </c>
      <c r="H739" s="783"/>
      <c r="I739" s="784">
        <v>0</v>
      </c>
      <c r="J739" s="784">
        <v>49515</v>
      </c>
      <c r="K739" s="784">
        <v>0</v>
      </c>
      <c r="L739" s="783">
        <v>1323</v>
      </c>
      <c r="M739" s="783"/>
      <c r="N739" s="784">
        <v>5792</v>
      </c>
      <c r="O739" s="784">
        <v>56530</v>
      </c>
      <c r="P739" s="784">
        <v>0</v>
      </c>
      <c r="Q739" s="783">
        <v>2437</v>
      </c>
      <c r="R739" s="783"/>
      <c r="S739" s="784">
        <v>11249</v>
      </c>
      <c r="T739" s="785">
        <v>-469</v>
      </c>
      <c r="U739" s="785">
        <v>10780</v>
      </c>
    </row>
    <row r="740" spans="1:21" x14ac:dyDescent="0.25">
      <c r="A740" s="780">
        <v>98101</v>
      </c>
      <c r="B740" s="781" t="s">
        <v>1903</v>
      </c>
      <c r="C740" s="782">
        <v>2.7445E-3</v>
      </c>
      <c r="D740" s="782">
        <v>2.6645000000000002E-3</v>
      </c>
      <c r="E740" s="783">
        <v>1127485</v>
      </c>
      <c r="F740" s="783">
        <v>-1470586</v>
      </c>
      <c r="G740" s="783">
        <v>1231715</v>
      </c>
      <c r="H740" s="783"/>
      <c r="I740" s="784">
        <v>0</v>
      </c>
      <c r="J740" s="784">
        <v>2475308</v>
      </c>
      <c r="K740" s="784">
        <v>0</v>
      </c>
      <c r="L740" s="783">
        <v>85616</v>
      </c>
      <c r="M740" s="783"/>
      <c r="N740" s="784">
        <v>289526</v>
      </c>
      <c r="O740" s="784">
        <v>2825976</v>
      </c>
      <c r="P740" s="784">
        <v>0</v>
      </c>
      <c r="Q740" s="783">
        <v>0</v>
      </c>
      <c r="R740" s="783"/>
      <c r="S740" s="784">
        <v>562354</v>
      </c>
      <c r="T740" s="785">
        <v>24154</v>
      </c>
      <c r="U740" s="785">
        <v>586508</v>
      </c>
    </row>
    <row r="741" spans="1:21" x14ac:dyDescent="0.25">
      <c r="A741" s="780">
        <v>98102</v>
      </c>
      <c r="B741" s="781" t="s">
        <v>1904</v>
      </c>
      <c r="C741" s="782">
        <v>1.7259999999999999E-4</v>
      </c>
      <c r="D741" s="782">
        <v>1.838E-4</v>
      </c>
      <c r="E741" s="783">
        <v>69512</v>
      </c>
      <c r="F741" s="783">
        <v>-101443</v>
      </c>
      <c r="G741" s="783">
        <v>77462</v>
      </c>
      <c r="H741" s="783"/>
      <c r="I741" s="784">
        <v>0</v>
      </c>
      <c r="J741" s="784">
        <v>155671</v>
      </c>
      <c r="K741" s="784">
        <v>0</v>
      </c>
      <c r="L741" s="783">
        <v>0</v>
      </c>
      <c r="M741" s="783"/>
      <c r="N741" s="784">
        <v>18208</v>
      </c>
      <c r="O741" s="784">
        <v>177724</v>
      </c>
      <c r="P741" s="784">
        <v>0</v>
      </c>
      <c r="Q741" s="783">
        <v>10956</v>
      </c>
      <c r="R741" s="783"/>
      <c r="S741" s="784">
        <v>35366</v>
      </c>
      <c r="T741" s="785">
        <v>-3038</v>
      </c>
      <c r="U741" s="785">
        <v>32328</v>
      </c>
    </row>
    <row r="742" spans="1:21" x14ac:dyDescent="0.25">
      <c r="A742" s="780">
        <v>98103</v>
      </c>
      <c r="B742" s="781" t="s">
        <v>1905</v>
      </c>
      <c r="C742" s="782">
        <v>5.7140000000000001E-4</v>
      </c>
      <c r="D742" s="782">
        <v>6.1129999999999995E-4</v>
      </c>
      <c r="E742" s="783">
        <v>249193</v>
      </c>
      <c r="F742" s="783">
        <v>-337387</v>
      </c>
      <c r="G742" s="783">
        <v>256441</v>
      </c>
      <c r="H742" s="783"/>
      <c r="I742" s="784">
        <v>0</v>
      </c>
      <c r="J742" s="784">
        <v>515355</v>
      </c>
      <c r="K742" s="784">
        <v>0</v>
      </c>
      <c r="L742" s="783">
        <v>0</v>
      </c>
      <c r="M742" s="783"/>
      <c r="N742" s="784">
        <v>60279</v>
      </c>
      <c r="O742" s="784">
        <v>588363</v>
      </c>
      <c r="P742" s="784">
        <v>0</v>
      </c>
      <c r="Q742" s="783">
        <v>54531</v>
      </c>
      <c r="R742" s="783"/>
      <c r="S742" s="784">
        <v>117081</v>
      </c>
      <c r="T742" s="785">
        <v>-17119</v>
      </c>
      <c r="U742" s="785">
        <v>99962</v>
      </c>
    </row>
    <row r="743" spans="1:21" x14ac:dyDescent="0.25">
      <c r="A743" s="780">
        <v>98107</v>
      </c>
      <c r="B743" s="781" t="s">
        <v>1906</v>
      </c>
      <c r="C743" s="782">
        <v>1.15E-5</v>
      </c>
      <c r="D743" s="782">
        <v>1.19E-5</v>
      </c>
      <c r="E743" s="783">
        <v>9634</v>
      </c>
      <c r="F743" s="783">
        <v>-6568</v>
      </c>
      <c r="G743" s="783">
        <v>5161</v>
      </c>
      <c r="H743" s="783"/>
      <c r="I743" s="784">
        <v>0</v>
      </c>
      <c r="J743" s="784">
        <v>10372</v>
      </c>
      <c r="K743" s="784">
        <v>0</v>
      </c>
      <c r="L743" s="783">
        <v>6297</v>
      </c>
      <c r="M743" s="783"/>
      <c r="N743" s="784">
        <v>1213</v>
      </c>
      <c r="O743" s="784">
        <v>11841</v>
      </c>
      <c r="P743" s="784">
        <v>0</v>
      </c>
      <c r="Q743" s="783">
        <v>0</v>
      </c>
      <c r="R743" s="783"/>
      <c r="S743" s="784">
        <v>2356</v>
      </c>
      <c r="T743" s="785">
        <v>1842</v>
      </c>
      <c r="U743" s="785">
        <v>4198</v>
      </c>
    </row>
    <row r="744" spans="1:21" x14ac:dyDescent="0.25">
      <c r="A744" s="780">
        <v>98109</v>
      </c>
      <c r="B744" s="781" t="s">
        <v>1907</v>
      </c>
      <c r="C744" s="782">
        <v>2.0680000000000001E-4</v>
      </c>
      <c r="D744" s="782">
        <v>2.1269999999999999E-4</v>
      </c>
      <c r="E744" s="783">
        <v>94815</v>
      </c>
      <c r="F744" s="783">
        <v>-117393</v>
      </c>
      <c r="G744" s="783">
        <v>92811</v>
      </c>
      <c r="H744" s="783"/>
      <c r="I744" s="784">
        <v>0</v>
      </c>
      <c r="J744" s="784">
        <v>186516</v>
      </c>
      <c r="K744" s="784">
        <v>0</v>
      </c>
      <c r="L744" s="783">
        <v>4088</v>
      </c>
      <c r="M744" s="783"/>
      <c r="N744" s="784">
        <v>21816</v>
      </c>
      <c r="O744" s="784">
        <v>212939</v>
      </c>
      <c r="P744" s="784">
        <v>0</v>
      </c>
      <c r="Q744" s="783">
        <v>12025.78</v>
      </c>
      <c r="R744" s="783"/>
      <c r="S744" s="784">
        <v>42374</v>
      </c>
      <c r="T744" s="785">
        <v>-2952</v>
      </c>
      <c r="U744" s="785">
        <v>39422</v>
      </c>
    </row>
    <row r="745" spans="1:21" x14ac:dyDescent="0.25">
      <c r="A745" s="780">
        <v>98111</v>
      </c>
      <c r="B745" s="781" t="s">
        <v>1908</v>
      </c>
      <c r="C745" s="782">
        <v>1.0443E-3</v>
      </c>
      <c r="D745" s="782">
        <v>1.0179E-3</v>
      </c>
      <c r="E745" s="783">
        <v>394912</v>
      </c>
      <c r="F745" s="783">
        <v>-561797</v>
      </c>
      <c r="G745" s="783">
        <v>468676</v>
      </c>
      <c r="H745" s="783"/>
      <c r="I745" s="784">
        <v>0</v>
      </c>
      <c r="J745" s="784">
        <v>941871</v>
      </c>
      <c r="K745" s="784">
        <v>0</v>
      </c>
      <c r="L745" s="783">
        <v>0</v>
      </c>
      <c r="M745" s="783"/>
      <c r="N745" s="784">
        <v>110166</v>
      </c>
      <c r="O745" s="784">
        <v>1075302</v>
      </c>
      <c r="P745" s="784">
        <v>0</v>
      </c>
      <c r="Q745" s="783">
        <v>8997</v>
      </c>
      <c r="R745" s="783"/>
      <c r="S745" s="784">
        <v>213979</v>
      </c>
      <c r="T745" s="785">
        <v>-2544</v>
      </c>
      <c r="U745" s="785">
        <v>211435</v>
      </c>
    </row>
    <row r="746" spans="1:21" x14ac:dyDescent="0.25">
      <c r="A746" s="780">
        <v>98113</v>
      </c>
      <c r="B746" s="781" t="s">
        <v>1909</v>
      </c>
      <c r="C746" s="782">
        <v>4.1399999999999997E-5</v>
      </c>
      <c r="D746" s="782">
        <v>3.8899999999999997E-5</v>
      </c>
      <c r="E746" s="783">
        <v>21720</v>
      </c>
      <c r="F746" s="783">
        <v>-21470</v>
      </c>
      <c r="G746" s="783">
        <v>18580</v>
      </c>
      <c r="H746" s="783"/>
      <c r="I746" s="784">
        <v>0</v>
      </c>
      <c r="J746" s="784">
        <v>37339</v>
      </c>
      <c r="K746" s="784">
        <v>0</v>
      </c>
      <c r="L746" s="783">
        <v>8658</v>
      </c>
      <c r="M746" s="783"/>
      <c r="N746" s="784">
        <v>4367</v>
      </c>
      <c r="O746" s="784">
        <v>42629</v>
      </c>
      <c r="P746" s="784">
        <v>0</v>
      </c>
      <c r="Q746" s="783">
        <v>0</v>
      </c>
      <c r="R746" s="783"/>
      <c r="S746" s="784">
        <v>8483</v>
      </c>
      <c r="T746" s="785">
        <v>2491</v>
      </c>
      <c r="U746" s="785">
        <v>10974</v>
      </c>
    </row>
    <row r="747" spans="1:21" x14ac:dyDescent="0.25">
      <c r="A747" s="780">
        <v>98121</v>
      </c>
      <c r="B747" s="781" t="s">
        <v>1910</v>
      </c>
      <c r="C747" s="782">
        <v>2.0689999999999999E-4</v>
      </c>
      <c r="D747" s="782">
        <v>2.229E-4</v>
      </c>
      <c r="E747" s="783">
        <v>87850</v>
      </c>
      <c r="F747" s="783">
        <v>-123023</v>
      </c>
      <c r="G747" s="783">
        <v>92855</v>
      </c>
      <c r="H747" s="783"/>
      <c r="I747" s="784">
        <v>0</v>
      </c>
      <c r="J747" s="784">
        <v>186606</v>
      </c>
      <c r="K747" s="784">
        <v>0</v>
      </c>
      <c r="L747" s="783">
        <v>4901</v>
      </c>
      <c r="M747" s="783"/>
      <c r="N747" s="784">
        <v>21827</v>
      </c>
      <c r="O747" s="784">
        <v>213042</v>
      </c>
      <c r="P747" s="784">
        <v>0</v>
      </c>
      <c r="Q747" s="783">
        <v>8552</v>
      </c>
      <c r="R747" s="783"/>
      <c r="S747" s="784">
        <v>42394</v>
      </c>
      <c r="T747" s="785">
        <v>-600</v>
      </c>
      <c r="U747" s="785">
        <v>41795</v>
      </c>
    </row>
    <row r="748" spans="1:21" x14ac:dyDescent="0.25">
      <c r="A748" s="780">
        <v>98131</v>
      </c>
      <c r="B748" s="781" t="s">
        <v>1911</v>
      </c>
      <c r="C748" s="782">
        <v>3.0610000000000001E-4</v>
      </c>
      <c r="D748" s="782">
        <v>3.19E-4</v>
      </c>
      <c r="E748" s="783">
        <v>111067</v>
      </c>
      <c r="F748" s="783">
        <v>-176062</v>
      </c>
      <c r="G748" s="783">
        <v>137376</v>
      </c>
      <c r="H748" s="783"/>
      <c r="I748" s="784">
        <v>0</v>
      </c>
      <c r="J748" s="784">
        <v>276076</v>
      </c>
      <c r="K748" s="784">
        <v>0</v>
      </c>
      <c r="L748" s="783">
        <v>0</v>
      </c>
      <c r="M748" s="783"/>
      <c r="N748" s="784">
        <v>32291</v>
      </c>
      <c r="O748" s="784">
        <v>315187</v>
      </c>
      <c r="P748" s="784">
        <v>0</v>
      </c>
      <c r="Q748" s="783">
        <v>45410</v>
      </c>
      <c r="R748" s="783"/>
      <c r="S748" s="784">
        <v>62721</v>
      </c>
      <c r="T748" s="785">
        <v>-13728</v>
      </c>
      <c r="U748" s="785">
        <v>48992</v>
      </c>
    </row>
    <row r="749" spans="1:21" x14ac:dyDescent="0.25">
      <c r="A749" s="780">
        <v>98141</v>
      </c>
      <c r="B749" s="781" t="s">
        <v>1912</v>
      </c>
      <c r="C749" s="782">
        <v>3.033E-4</v>
      </c>
      <c r="D749" s="782">
        <v>2.9080000000000002E-4</v>
      </c>
      <c r="E749" s="783">
        <v>115319</v>
      </c>
      <c r="F749" s="783">
        <v>-160498</v>
      </c>
      <c r="G749" s="783">
        <v>136119</v>
      </c>
      <c r="H749" s="783"/>
      <c r="I749" s="784">
        <v>0</v>
      </c>
      <c r="J749" s="784">
        <v>273551</v>
      </c>
      <c r="K749" s="784">
        <v>0</v>
      </c>
      <c r="L749" s="783">
        <v>2025</v>
      </c>
      <c r="M749" s="783"/>
      <c r="N749" s="784">
        <v>31996</v>
      </c>
      <c r="O749" s="784">
        <v>312304</v>
      </c>
      <c r="P749" s="784">
        <v>0</v>
      </c>
      <c r="Q749" s="783">
        <v>24703.38</v>
      </c>
      <c r="R749" s="783"/>
      <c r="S749" s="784">
        <v>62147</v>
      </c>
      <c r="T749" s="785">
        <v>-7732</v>
      </c>
      <c r="U749" s="785">
        <v>54415</v>
      </c>
    </row>
    <row r="750" spans="1:21" x14ac:dyDescent="0.25">
      <c r="A750" s="780">
        <v>98147</v>
      </c>
      <c r="B750" s="781" t="s">
        <v>1913</v>
      </c>
      <c r="C750" s="782">
        <v>1.03E-5</v>
      </c>
      <c r="D750" s="782">
        <v>1.1199999999999999E-5</v>
      </c>
      <c r="E750" s="783">
        <v>8144</v>
      </c>
      <c r="F750" s="783">
        <v>-6181</v>
      </c>
      <c r="G750" s="783">
        <v>4623</v>
      </c>
      <c r="H750" s="783"/>
      <c r="I750" s="784">
        <v>0</v>
      </c>
      <c r="J750" s="784">
        <v>9290</v>
      </c>
      <c r="K750" s="784">
        <v>0</v>
      </c>
      <c r="L750" s="783">
        <v>4763</v>
      </c>
      <c r="M750" s="783"/>
      <c r="N750" s="784">
        <v>1087</v>
      </c>
      <c r="O750" s="784">
        <v>10606</v>
      </c>
      <c r="P750" s="784">
        <v>0</v>
      </c>
      <c r="Q750" s="783">
        <v>0</v>
      </c>
      <c r="R750" s="783"/>
      <c r="S750" s="784">
        <v>2110</v>
      </c>
      <c r="T750" s="785">
        <v>1412</v>
      </c>
      <c r="U750" s="785">
        <v>3522</v>
      </c>
    </row>
    <row r="751" spans="1:21" x14ac:dyDescent="0.25">
      <c r="A751" s="780">
        <v>98161</v>
      </c>
      <c r="B751" s="781" t="s">
        <v>1914</v>
      </c>
      <c r="C751" s="782">
        <v>7.6000000000000001E-6</v>
      </c>
      <c r="D751" s="782">
        <v>7.9999999999999996E-6</v>
      </c>
      <c r="E751" s="783">
        <v>4479</v>
      </c>
      <c r="F751" s="783">
        <v>-4415</v>
      </c>
      <c r="G751" s="783">
        <v>3411</v>
      </c>
      <c r="H751" s="783"/>
      <c r="I751" s="784">
        <v>0</v>
      </c>
      <c r="J751" s="784">
        <v>6855</v>
      </c>
      <c r="K751" s="784">
        <v>0</v>
      </c>
      <c r="L751" s="783">
        <v>1659</v>
      </c>
      <c r="M751" s="783"/>
      <c r="N751" s="784">
        <v>802</v>
      </c>
      <c r="O751" s="784">
        <v>7826</v>
      </c>
      <c r="P751" s="784">
        <v>0</v>
      </c>
      <c r="Q751" s="783">
        <v>0</v>
      </c>
      <c r="R751" s="783"/>
      <c r="S751" s="784">
        <v>1557</v>
      </c>
      <c r="T751" s="785">
        <v>496</v>
      </c>
      <c r="U751" s="785">
        <v>2053</v>
      </c>
    </row>
    <row r="752" spans="1:21" x14ac:dyDescent="0.25">
      <c r="A752" s="780">
        <v>98201</v>
      </c>
      <c r="B752" s="781" t="s">
        <v>1915</v>
      </c>
      <c r="C752" s="782">
        <v>3.0019999999999999E-3</v>
      </c>
      <c r="D752" s="782">
        <v>3.0319000000000001E-3</v>
      </c>
      <c r="E752" s="783">
        <v>1194730</v>
      </c>
      <c r="F752" s="783">
        <v>-1673360</v>
      </c>
      <c r="G752" s="783">
        <v>1347280</v>
      </c>
      <c r="H752" s="783"/>
      <c r="I752" s="784">
        <v>0</v>
      </c>
      <c r="J752" s="784">
        <v>2707552</v>
      </c>
      <c r="K752" s="784">
        <v>0</v>
      </c>
      <c r="L752" s="783">
        <v>0</v>
      </c>
      <c r="M752" s="783"/>
      <c r="N752" s="784">
        <v>316690</v>
      </c>
      <c r="O752" s="784">
        <v>3091120</v>
      </c>
      <c r="P752" s="784">
        <v>0</v>
      </c>
      <c r="Q752" s="783">
        <v>59618</v>
      </c>
      <c r="R752" s="783"/>
      <c r="S752" s="784">
        <v>615116</v>
      </c>
      <c r="T752" s="785">
        <v>-16633</v>
      </c>
      <c r="U752" s="785">
        <v>598483</v>
      </c>
    </row>
    <row r="753" spans="1:21" x14ac:dyDescent="0.25">
      <c r="A753" s="780">
        <v>98205</v>
      </c>
      <c r="B753" s="781" t="s">
        <v>1916</v>
      </c>
      <c r="C753" s="782">
        <v>5.02E-5</v>
      </c>
      <c r="D753" s="782">
        <v>5.6900000000000001E-5</v>
      </c>
      <c r="E753" s="783">
        <v>23492</v>
      </c>
      <c r="F753" s="783">
        <v>-31404</v>
      </c>
      <c r="G753" s="783">
        <v>22529</v>
      </c>
      <c r="H753" s="783"/>
      <c r="I753" s="784">
        <v>0</v>
      </c>
      <c r="J753" s="784">
        <v>45276</v>
      </c>
      <c r="K753" s="784">
        <v>0</v>
      </c>
      <c r="L753" s="783">
        <v>568.1</v>
      </c>
      <c r="M753" s="783"/>
      <c r="N753" s="784">
        <v>5296</v>
      </c>
      <c r="O753" s="784">
        <v>51690</v>
      </c>
      <c r="P753" s="784">
        <v>0</v>
      </c>
      <c r="Q753" s="783">
        <v>2327</v>
      </c>
      <c r="R753" s="783"/>
      <c r="S753" s="784">
        <v>10286</v>
      </c>
      <c r="T753" s="785">
        <v>-419</v>
      </c>
      <c r="U753" s="785">
        <v>9867</v>
      </c>
    </row>
    <row r="754" spans="1:21" x14ac:dyDescent="0.25">
      <c r="A754" s="780">
        <v>98211</v>
      </c>
      <c r="B754" s="781" t="s">
        <v>1917</v>
      </c>
      <c r="C754" s="782">
        <v>9.4729999999999999E-4</v>
      </c>
      <c r="D754" s="782">
        <v>9.6869999999999996E-4</v>
      </c>
      <c r="E754" s="783">
        <v>340711</v>
      </c>
      <c r="F754" s="783">
        <v>-534643</v>
      </c>
      <c r="G754" s="783">
        <v>425143</v>
      </c>
      <c r="H754" s="783"/>
      <c r="I754" s="784">
        <v>0</v>
      </c>
      <c r="J754" s="784">
        <v>854385</v>
      </c>
      <c r="K754" s="784">
        <v>0</v>
      </c>
      <c r="L754" s="783">
        <v>0</v>
      </c>
      <c r="M754" s="783"/>
      <c r="N754" s="784">
        <v>99934</v>
      </c>
      <c r="O754" s="784">
        <v>975422</v>
      </c>
      <c r="P754" s="784">
        <v>0</v>
      </c>
      <c r="Q754" s="783">
        <v>66554</v>
      </c>
      <c r="R754" s="783"/>
      <c r="S754" s="784">
        <v>194104</v>
      </c>
      <c r="T754" s="785">
        <v>-18515</v>
      </c>
      <c r="U754" s="785">
        <v>175589</v>
      </c>
    </row>
    <row r="755" spans="1:21" x14ac:dyDescent="0.25">
      <c r="A755" s="780">
        <v>98218</v>
      </c>
      <c r="B755" s="781" t="s">
        <v>1918</v>
      </c>
      <c r="C755" s="782">
        <v>1.08E-5</v>
      </c>
      <c r="D755" s="782">
        <v>1.2999999999999999E-5</v>
      </c>
      <c r="E755" s="783">
        <v>5128</v>
      </c>
      <c r="F755" s="783">
        <v>-7175</v>
      </c>
      <c r="G755" s="783">
        <v>4847</v>
      </c>
      <c r="H755" s="783"/>
      <c r="I755" s="784">
        <v>0</v>
      </c>
      <c r="J755" s="784">
        <v>9741</v>
      </c>
      <c r="K755" s="784">
        <v>0</v>
      </c>
      <c r="L755" s="783">
        <v>0</v>
      </c>
      <c r="M755" s="783"/>
      <c r="N755" s="784">
        <v>1139</v>
      </c>
      <c r="O755" s="784">
        <v>11121</v>
      </c>
      <c r="P755" s="784">
        <v>0</v>
      </c>
      <c r="Q755" s="783">
        <v>2460</v>
      </c>
      <c r="R755" s="783"/>
      <c r="S755" s="784">
        <v>2213</v>
      </c>
      <c r="T755" s="785">
        <v>-752</v>
      </c>
      <c r="U755" s="785">
        <v>1461</v>
      </c>
    </row>
    <row r="756" spans="1:21" x14ac:dyDescent="0.25">
      <c r="A756" s="780">
        <v>98221</v>
      </c>
      <c r="B756" s="781" t="s">
        <v>1919</v>
      </c>
      <c r="C756" s="782">
        <v>1.5999999999999999E-5</v>
      </c>
      <c r="D756" s="782">
        <v>1.8600000000000001E-5</v>
      </c>
      <c r="E756" s="783">
        <v>9997</v>
      </c>
      <c r="F756" s="783">
        <v>-10266</v>
      </c>
      <c r="G756" s="783">
        <v>7181</v>
      </c>
      <c r="H756" s="783"/>
      <c r="I756" s="784">
        <v>0</v>
      </c>
      <c r="J756" s="784">
        <v>14431</v>
      </c>
      <c r="K756" s="784">
        <v>0</v>
      </c>
      <c r="L756" s="783">
        <v>924</v>
      </c>
      <c r="M756" s="783"/>
      <c r="N756" s="784">
        <v>1688</v>
      </c>
      <c r="O756" s="784">
        <v>16475</v>
      </c>
      <c r="P756" s="784">
        <v>0</v>
      </c>
      <c r="Q756" s="783">
        <v>0</v>
      </c>
      <c r="R756" s="783"/>
      <c r="S756" s="784">
        <v>3278</v>
      </c>
      <c r="T756" s="785">
        <v>242</v>
      </c>
      <c r="U756" s="785">
        <v>3520</v>
      </c>
    </row>
    <row r="757" spans="1:21" x14ac:dyDescent="0.25">
      <c r="A757" s="780">
        <v>98231</v>
      </c>
      <c r="B757" s="781" t="s">
        <v>1920</v>
      </c>
      <c r="C757" s="782">
        <v>3.7400000000000001E-5</v>
      </c>
      <c r="D757" s="782">
        <v>3.3599999999999997E-5</v>
      </c>
      <c r="E757" s="783">
        <v>16420</v>
      </c>
      <c r="F757" s="783">
        <v>-18544</v>
      </c>
      <c r="G757" s="783">
        <v>16785</v>
      </c>
      <c r="H757" s="783"/>
      <c r="I757" s="784">
        <v>0</v>
      </c>
      <c r="J757" s="784">
        <v>33732</v>
      </c>
      <c r="K757" s="784">
        <v>0</v>
      </c>
      <c r="L757" s="783">
        <v>3578</v>
      </c>
      <c r="M757" s="783"/>
      <c r="N757" s="784">
        <v>3945</v>
      </c>
      <c r="O757" s="784">
        <v>38510</v>
      </c>
      <c r="P757" s="784">
        <v>0</v>
      </c>
      <c r="Q757" s="783">
        <v>7750</v>
      </c>
      <c r="R757" s="783"/>
      <c r="S757" s="784">
        <v>7663</v>
      </c>
      <c r="T757" s="785">
        <v>-1655</v>
      </c>
      <c r="U757" s="785">
        <v>6008</v>
      </c>
    </row>
    <row r="758" spans="1:21" x14ac:dyDescent="0.25">
      <c r="A758" s="780">
        <v>98237</v>
      </c>
      <c r="B758" s="781" t="s">
        <v>1921</v>
      </c>
      <c r="C758" s="782">
        <v>2.9000000000000002E-6</v>
      </c>
      <c r="D758" s="782">
        <v>3.1999999999999999E-6</v>
      </c>
      <c r="E758" s="783">
        <v>2472</v>
      </c>
      <c r="F758" s="783">
        <v>-1766</v>
      </c>
      <c r="G758" s="783">
        <v>1302</v>
      </c>
      <c r="H758" s="783"/>
      <c r="I758" s="784">
        <v>0</v>
      </c>
      <c r="J758" s="784">
        <v>2616</v>
      </c>
      <c r="K758" s="784">
        <v>0</v>
      </c>
      <c r="L758" s="783">
        <v>1617</v>
      </c>
      <c r="M758" s="783"/>
      <c r="N758" s="784">
        <v>306</v>
      </c>
      <c r="O758" s="784">
        <v>2986</v>
      </c>
      <c r="P758" s="784">
        <v>0</v>
      </c>
      <c r="Q758" s="783">
        <v>0</v>
      </c>
      <c r="R758" s="783"/>
      <c r="S758" s="784">
        <v>594</v>
      </c>
      <c r="T758" s="785">
        <v>482</v>
      </c>
      <c r="U758" s="785">
        <v>1076</v>
      </c>
    </row>
    <row r="759" spans="1:21" x14ac:dyDescent="0.25">
      <c r="A759" s="780">
        <v>98241</v>
      </c>
      <c r="B759" s="781" t="s">
        <v>1922</v>
      </c>
      <c r="C759" s="782">
        <v>1.0200000000000001E-5</v>
      </c>
      <c r="D759" s="782">
        <v>1.47E-5</v>
      </c>
      <c r="E759" s="783">
        <v>7583</v>
      </c>
      <c r="F759" s="783">
        <v>-8113</v>
      </c>
      <c r="G759" s="783">
        <v>4578</v>
      </c>
      <c r="H759" s="783"/>
      <c r="I759" s="784">
        <v>0</v>
      </c>
      <c r="J759" s="784">
        <v>9200</v>
      </c>
      <c r="K759" s="784">
        <v>0</v>
      </c>
      <c r="L759" s="783">
        <v>5723</v>
      </c>
      <c r="M759" s="783"/>
      <c r="N759" s="784">
        <v>1076</v>
      </c>
      <c r="O759" s="784">
        <v>10503</v>
      </c>
      <c r="P759" s="784">
        <v>0</v>
      </c>
      <c r="Q759" s="783">
        <v>449</v>
      </c>
      <c r="R759" s="783"/>
      <c r="S759" s="784">
        <v>2090</v>
      </c>
      <c r="T759" s="785">
        <v>1797</v>
      </c>
      <c r="U759" s="785">
        <v>3887</v>
      </c>
    </row>
    <row r="760" spans="1:21" x14ac:dyDescent="0.25">
      <c r="A760" s="780">
        <v>98251</v>
      </c>
      <c r="B760" s="781" t="s">
        <v>1923</v>
      </c>
      <c r="C760" s="782">
        <v>3.1E-6</v>
      </c>
      <c r="D760" s="782">
        <v>2.9000000000000002E-6</v>
      </c>
      <c r="E760" s="783">
        <v>1912</v>
      </c>
      <c r="F760" s="783">
        <v>-1601</v>
      </c>
      <c r="G760" s="783">
        <v>1391</v>
      </c>
      <c r="H760" s="783"/>
      <c r="I760" s="784">
        <v>0</v>
      </c>
      <c r="J760" s="784">
        <v>2796</v>
      </c>
      <c r="K760" s="784">
        <v>0</v>
      </c>
      <c r="L760" s="783">
        <v>1008</v>
      </c>
      <c r="M760" s="783"/>
      <c r="N760" s="784">
        <v>327</v>
      </c>
      <c r="O760" s="784">
        <v>3192</v>
      </c>
      <c r="P760" s="784">
        <v>0</v>
      </c>
      <c r="Q760" s="783">
        <v>0</v>
      </c>
      <c r="R760" s="783"/>
      <c r="S760" s="784">
        <v>635</v>
      </c>
      <c r="T760" s="785">
        <v>290</v>
      </c>
      <c r="U760" s="785">
        <v>925</v>
      </c>
    </row>
    <row r="761" spans="1:21" x14ac:dyDescent="0.25">
      <c r="A761" s="780">
        <v>98261</v>
      </c>
      <c r="B761" s="781" t="s">
        <v>1924</v>
      </c>
      <c r="C761" s="782">
        <v>4.3099999999999997E-5</v>
      </c>
      <c r="D761" s="782">
        <v>3.0599999999999998E-5</v>
      </c>
      <c r="E761" s="783">
        <v>14163</v>
      </c>
      <c r="F761" s="783">
        <v>-16889</v>
      </c>
      <c r="G761" s="783">
        <v>19343</v>
      </c>
      <c r="H761" s="783"/>
      <c r="I761" s="784">
        <v>0</v>
      </c>
      <c r="J761" s="784">
        <v>38873</v>
      </c>
      <c r="K761" s="784">
        <v>0</v>
      </c>
      <c r="L761" s="783">
        <v>6107</v>
      </c>
      <c r="M761" s="783"/>
      <c r="N761" s="784">
        <v>4547</v>
      </c>
      <c r="O761" s="784">
        <v>44380</v>
      </c>
      <c r="P761" s="784">
        <v>0</v>
      </c>
      <c r="Q761" s="783">
        <v>0</v>
      </c>
      <c r="R761" s="783"/>
      <c r="S761" s="784">
        <v>8831</v>
      </c>
      <c r="T761" s="785">
        <v>1603</v>
      </c>
      <c r="U761" s="785">
        <v>10434</v>
      </c>
    </row>
    <row r="762" spans="1:21" x14ac:dyDescent="0.25">
      <c r="A762" s="780">
        <v>98271</v>
      </c>
      <c r="B762" s="781" t="s">
        <v>1925</v>
      </c>
      <c r="C762" s="782">
        <v>3.4000000000000001E-6</v>
      </c>
      <c r="D762" s="782">
        <v>2.9000000000000002E-6</v>
      </c>
      <c r="E762" s="783">
        <v>3432</v>
      </c>
      <c r="F762" s="783">
        <v>-1601</v>
      </c>
      <c r="G762" s="783">
        <v>1526</v>
      </c>
      <c r="H762" s="783"/>
      <c r="I762" s="784">
        <v>0</v>
      </c>
      <c r="J762" s="784">
        <v>3067</v>
      </c>
      <c r="K762" s="784">
        <v>0</v>
      </c>
      <c r="L762" s="783">
        <v>3388</v>
      </c>
      <c r="M762" s="783"/>
      <c r="N762" s="784">
        <v>359</v>
      </c>
      <c r="O762" s="784">
        <v>3501</v>
      </c>
      <c r="P762" s="784">
        <v>0</v>
      </c>
      <c r="Q762" s="783">
        <v>0</v>
      </c>
      <c r="R762" s="783"/>
      <c r="S762" s="784">
        <v>697</v>
      </c>
      <c r="T762" s="785">
        <v>990</v>
      </c>
      <c r="U762" s="785">
        <v>1686</v>
      </c>
    </row>
    <row r="763" spans="1:21" x14ac:dyDescent="0.25">
      <c r="A763" s="780">
        <v>98301</v>
      </c>
      <c r="B763" s="781" t="s">
        <v>1926</v>
      </c>
      <c r="C763" s="782">
        <v>1.7478999999999999E-3</v>
      </c>
      <c r="D763" s="782">
        <v>1.6693000000000001E-3</v>
      </c>
      <c r="E763" s="783">
        <v>739860</v>
      </c>
      <c r="F763" s="783">
        <v>-921317</v>
      </c>
      <c r="G763" s="783">
        <v>784447</v>
      </c>
      <c r="H763" s="783"/>
      <c r="I763" s="784">
        <v>0</v>
      </c>
      <c r="J763" s="784">
        <v>1576459</v>
      </c>
      <c r="K763" s="784">
        <v>0</v>
      </c>
      <c r="L763" s="783">
        <v>75940</v>
      </c>
      <c r="M763" s="783"/>
      <c r="N763" s="784">
        <v>184391</v>
      </c>
      <c r="O763" s="784">
        <v>1799790</v>
      </c>
      <c r="P763" s="784">
        <v>0</v>
      </c>
      <c r="Q763" s="783">
        <v>23606</v>
      </c>
      <c r="R763" s="783"/>
      <c r="S763" s="784">
        <v>358148</v>
      </c>
      <c r="T763" s="785">
        <v>11985</v>
      </c>
      <c r="U763" s="785">
        <v>370133</v>
      </c>
    </row>
    <row r="764" spans="1:21" x14ac:dyDescent="0.25">
      <c r="A764" s="780">
        <v>98304</v>
      </c>
      <c r="B764" s="781" t="s">
        <v>1927</v>
      </c>
      <c r="C764" s="782">
        <v>2.4499999999999999E-5</v>
      </c>
      <c r="D764" s="782">
        <v>2.5000000000000001E-5</v>
      </c>
      <c r="E764" s="783">
        <v>11779</v>
      </c>
      <c r="F764" s="783">
        <v>-13797.95</v>
      </c>
      <c r="G764" s="783">
        <v>10995</v>
      </c>
      <c r="H764" s="783"/>
      <c r="I764" s="784">
        <v>0</v>
      </c>
      <c r="J764" s="784">
        <v>22097</v>
      </c>
      <c r="K764" s="784">
        <v>0</v>
      </c>
      <c r="L764" s="783">
        <v>1227</v>
      </c>
      <c r="M764" s="783"/>
      <c r="N764" s="784">
        <v>2585</v>
      </c>
      <c r="O764" s="784">
        <v>25227</v>
      </c>
      <c r="P764" s="784">
        <v>0</v>
      </c>
      <c r="Q764" s="783">
        <v>0</v>
      </c>
      <c r="R764" s="783"/>
      <c r="S764" s="784">
        <v>5020</v>
      </c>
      <c r="T764" s="785">
        <v>334</v>
      </c>
      <c r="U764" s="785">
        <v>5354</v>
      </c>
    </row>
    <row r="765" spans="1:21" x14ac:dyDescent="0.25">
      <c r="A765" s="780">
        <v>98308</v>
      </c>
      <c r="B765" s="781" t="s">
        <v>1928</v>
      </c>
      <c r="C765" s="782">
        <v>2.5000000000000001E-5</v>
      </c>
      <c r="D765" s="782">
        <v>2.6400000000000001E-5</v>
      </c>
      <c r="E765" s="783">
        <v>15502</v>
      </c>
      <c r="F765" s="783">
        <v>-14571</v>
      </c>
      <c r="G765" s="783">
        <v>11219.85</v>
      </c>
      <c r="H765" s="783"/>
      <c r="I765" s="784">
        <v>0</v>
      </c>
      <c r="J765" s="784">
        <v>22547.9</v>
      </c>
      <c r="K765" s="784">
        <v>0</v>
      </c>
      <c r="L765" s="783">
        <v>6775</v>
      </c>
      <c r="M765" s="783"/>
      <c r="N765" s="784">
        <v>2637</v>
      </c>
      <c r="O765" s="784">
        <v>25742</v>
      </c>
      <c r="P765" s="784">
        <v>0</v>
      </c>
      <c r="Q765" s="783">
        <v>0</v>
      </c>
      <c r="R765" s="783"/>
      <c r="S765" s="784">
        <v>5122.55</v>
      </c>
      <c r="T765" s="785">
        <v>2032</v>
      </c>
      <c r="U765" s="785">
        <v>7155</v>
      </c>
    </row>
    <row r="766" spans="1:21" x14ac:dyDescent="0.25">
      <c r="A766" s="780">
        <v>98311</v>
      </c>
      <c r="B766" s="781" t="s">
        <v>1929</v>
      </c>
      <c r="C766" s="782">
        <v>1.1704E-3</v>
      </c>
      <c r="D766" s="782">
        <v>1.1291000000000001E-3</v>
      </c>
      <c r="E766" s="783">
        <v>422049</v>
      </c>
      <c r="F766" s="783">
        <v>-623171</v>
      </c>
      <c r="G766" s="783">
        <v>525268</v>
      </c>
      <c r="H766" s="783"/>
      <c r="I766" s="784">
        <v>0</v>
      </c>
      <c r="J766" s="784">
        <v>1055602</v>
      </c>
      <c r="K766" s="784">
        <v>0</v>
      </c>
      <c r="L766" s="783">
        <v>38215.19</v>
      </c>
      <c r="M766" s="783"/>
      <c r="N766" s="784">
        <v>123469</v>
      </c>
      <c r="O766" s="784">
        <v>1205146</v>
      </c>
      <c r="P766" s="784">
        <v>0</v>
      </c>
      <c r="Q766" s="783">
        <v>15245</v>
      </c>
      <c r="R766" s="783"/>
      <c r="S766" s="784">
        <v>239817</v>
      </c>
      <c r="T766" s="785">
        <v>8790</v>
      </c>
      <c r="U766" s="785">
        <v>248607</v>
      </c>
    </row>
    <row r="767" spans="1:21" x14ac:dyDescent="0.25">
      <c r="A767" s="780">
        <v>98313</v>
      </c>
      <c r="B767" s="781" t="s">
        <v>1930</v>
      </c>
      <c r="C767" s="782">
        <v>2.3589999999999999E-4</v>
      </c>
      <c r="D767" s="782">
        <v>2.5750000000000002E-4</v>
      </c>
      <c r="E767" s="783">
        <v>220698</v>
      </c>
      <c r="F767" s="783">
        <v>-142119</v>
      </c>
      <c r="G767" s="783">
        <v>105871</v>
      </c>
      <c r="H767" s="783"/>
      <c r="I767" s="784">
        <v>0</v>
      </c>
      <c r="J767" s="784">
        <v>212762</v>
      </c>
      <c r="K767" s="784">
        <v>0</v>
      </c>
      <c r="L767" s="783">
        <v>83421</v>
      </c>
      <c r="M767" s="783"/>
      <c r="N767" s="784">
        <v>24886</v>
      </c>
      <c r="O767" s="784">
        <v>242903</v>
      </c>
      <c r="P767" s="784">
        <v>0</v>
      </c>
      <c r="Q767" s="783">
        <v>179.4</v>
      </c>
      <c r="R767" s="783"/>
      <c r="S767" s="784">
        <v>48336</v>
      </c>
      <c r="T767" s="785">
        <v>21778</v>
      </c>
      <c r="U767" s="785">
        <v>70114</v>
      </c>
    </row>
    <row r="768" spans="1:21" x14ac:dyDescent="0.25">
      <c r="A768" s="780">
        <v>98321</v>
      </c>
      <c r="B768" s="781" t="s">
        <v>1931</v>
      </c>
      <c r="C768" s="782">
        <v>2.9E-5</v>
      </c>
      <c r="D768" s="782">
        <v>2.9200000000000002E-5</v>
      </c>
      <c r="E768" s="783">
        <v>11384</v>
      </c>
      <c r="F768" s="783">
        <v>-16116</v>
      </c>
      <c r="G768" s="783">
        <v>13015</v>
      </c>
      <c r="H768" s="783"/>
      <c r="I768" s="784">
        <v>0</v>
      </c>
      <c r="J768" s="784">
        <v>26156</v>
      </c>
      <c r="K768" s="784">
        <v>0</v>
      </c>
      <c r="L768" s="783">
        <v>4697.29</v>
      </c>
      <c r="M768" s="783"/>
      <c r="N768" s="784">
        <v>3059</v>
      </c>
      <c r="O768" s="784">
        <v>29861</v>
      </c>
      <c r="P768" s="784">
        <v>0</v>
      </c>
      <c r="Q768" s="783">
        <v>502</v>
      </c>
      <c r="R768" s="783"/>
      <c r="S768" s="784">
        <v>5942</v>
      </c>
      <c r="T768" s="785">
        <v>1440</v>
      </c>
      <c r="U768" s="785">
        <v>7382</v>
      </c>
    </row>
    <row r="769" spans="1:21" x14ac:dyDescent="0.25">
      <c r="A769" s="780">
        <v>98331</v>
      </c>
      <c r="B769" s="781" t="s">
        <v>1932</v>
      </c>
      <c r="C769" s="782">
        <v>9.7999999999999993E-6</v>
      </c>
      <c r="D769" s="782">
        <v>9.5999999999999996E-6</v>
      </c>
      <c r="E769" s="783">
        <v>5845</v>
      </c>
      <c r="F769" s="783">
        <v>-5298</v>
      </c>
      <c r="G769" s="783">
        <v>4398</v>
      </c>
      <c r="H769" s="783"/>
      <c r="I769" s="784">
        <v>0</v>
      </c>
      <c r="J769" s="784">
        <v>8839</v>
      </c>
      <c r="K769" s="784">
        <v>0</v>
      </c>
      <c r="L769" s="783">
        <v>1602</v>
      </c>
      <c r="M769" s="783"/>
      <c r="N769" s="784">
        <v>1034</v>
      </c>
      <c r="O769" s="784">
        <v>10091</v>
      </c>
      <c r="P769" s="784">
        <v>0</v>
      </c>
      <c r="Q769" s="783">
        <v>397.67</v>
      </c>
      <c r="R769" s="783"/>
      <c r="S769" s="784">
        <v>2008</v>
      </c>
      <c r="T769" s="785">
        <v>286</v>
      </c>
      <c r="U769" s="785">
        <v>2294</v>
      </c>
    </row>
    <row r="770" spans="1:21" x14ac:dyDescent="0.25">
      <c r="A770" s="780">
        <v>98401</v>
      </c>
      <c r="B770" s="781" t="s">
        <v>1933</v>
      </c>
      <c r="C770" s="782">
        <v>2.8057999999999998E-3</v>
      </c>
      <c r="D770" s="782">
        <v>2.7179999999999999E-3</v>
      </c>
      <c r="E770" s="783">
        <v>1214753</v>
      </c>
      <c r="F770" s="783">
        <v>-1500113</v>
      </c>
      <c r="G770" s="783">
        <v>1259226</v>
      </c>
      <c r="H770" s="783"/>
      <c r="I770" s="784">
        <v>0</v>
      </c>
      <c r="J770" s="784">
        <v>2530596</v>
      </c>
      <c r="K770" s="784">
        <v>0</v>
      </c>
      <c r="L770" s="783">
        <v>125640</v>
      </c>
      <c r="M770" s="783"/>
      <c r="N770" s="784">
        <v>295992</v>
      </c>
      <c r="O770" s="784">
        <v>2889096</v>
      </c>
      <c r="P770" s="784">
        <v>0</v>
      </c>
      <c r="Q770" s="783">
        <v>0</v>
      </c>
      <c r="R770" s="783"/>
      <c r="S770" s="784">
        <v>574914</v>
      </c>
      <c r="T770" s="785">
        <v>33558</v>
      </c>
      <c r="U770" s="785">
        <v>608472</v>
      </c>
    </row>
    <row r="771" spans="1:21" x14ac:dyDescent="0.25">
      <c r="A771" s="780">
        <v>98411</v>
      </c>
      <c r="B771" s="781" t="s">
        <v>1934</v>
      </c>
      <c r="C771" s="782">
        <v>1.9907000000000002E-3</v>
      </c>
      <c r="D771" s="782">
        <v>2.0038999999999999E-3</v>
      </c>
      <c r="E771" s="783">
        <v>794149</v>
      </c>
      <c r="F771" s="783">
        <v>-1105988</v>
      </c>
      <c r="G771" s="783">
        <v>893414</v>
      </c>
      <c r="H771" s="783"/>
      <c r="I771" s="784">
        <v>0</v>
      </c>
      <c r="J771" s="784">
        <v>1795444</v>
      </c>
      <c r="K771" s="784">
        <v>0</v>
      </c>
      <c r="L771" s="783">
        <v>12038</v>
      </c>
      <c r="M771" s="783"/>
      <c r="N771" s="784">
        <v>210005</v>
      </c>
      <c r="O771" s="784">
        <v>2049798</v>
      </c>
      <c r="P771" s="784">
        <v>0</v>
      </c>
      <c r="Q771" s="783">
        <v>24018</v>
      </c>
      <c r="R771" s="783"/>
      <c r="S771" s="784">
        <v>407898</v>
      </c>
      <c r="T771" s="785">
        <v>-2261</v>
      </c>
      <c r="U771" s="785">
        <v>405637</v>
      </c>
    </row>
    <row r="772" spans="1:21" x14ac:dyDescent="0.25">
      <c r="A772" s="780">
        <v>98417</v>
      </c>
      <c r="B772" s="781" t="s">
        <v>1935</v>
      </c>
      <c r="C772" s="782">
        <v>2.6400000000000001E-5</v>
      </c>
      <c r="D772" s="782">
        <v>2.7699999999999999E-5</v>
      </c>
      <c r="E772" s="783">
        <v>12185</v>
      </c>
      <c r="F772" s="783">
        <v>-15288</v>
      </c>
      <c r="G772" s="783">
        <v>11848</v>
      </c>
      <c r="H772" s="783"/>
      <c r="I772" s="784">
        <v>0</v>
      </c>
      <c r="J772" s="784">
        <v>23811</v>
      </c>
      <c r="K772" s="784">
        <v>0</v>
      </c>
      <c r="L772" s="783">
        <v>202</v>
      </c>
      <c r="M772" s="783"/>
      <c r="N772" s="784">
        <v>2785</v>
      </c>
      <c r="O772" s="784">
        <v>27184</v>
      </c>
      <c r="P772" s="784">
        <v>0</v>
      </c>
      <c r="Q772" s="783">
        <v>1279.72</v>
      </c>
      <c r="R772" s="783"/>
      <c r="S772" s="784">
        <v>5409</v>
      </c>
      <c r="T772" s="785">
        <v>-375</v>
      </c>
      <c r="U772" s="785">
        <v>5034</v>
      </c>
    </row>
    <row r="773" spans="1:21" x14ac:dyDescent="0.25">
      <c r="A773" s="780">
        <v>98421</v>
      </c>
      <c r="B773" s="781" t="s">
        <v>1936</v>
      </c>
      <c r="C773" s="782">
        <v>1.021E-4</v>
      </c>
      <c r="D773" s="782">
        <v>9.2299999999999994E-5</v>
      </c>
      <c r="E773" s="783">
        <v>45738</v>
      </c>
      <c r="F773" s="783">
        <v>-50942</v>
      </c>
      <c r="G773" s="783">
        <v>45822</v>
      </c>
      <c r="H773" s="783"/>
      <c r="I773" s="784">
        <v>0</v>
      </c>
      <c r="J773" s="784">
        <v>92086</v>
      </c>
      <c r="K773" s="784">
        <v>0</v>
      </c>
      <c r="L773" s="783">
        <v>10089</v>
      </c>
      <c r="M773" s="783"/>
      <c r="N773" s="784">
        <v>10771</v>
      </c>
      <c r="O773" s="784">
        <v>105131</v>
      </c>
      <c r="P773" s="784">
        <v>0</v>
      </c>
      <c r="Q773" s="783">
        <v>1926</v>
      </c>
      <c r="R773" s="783"/>
      <c r="S773" s="784">
        <v>20920</v>
      </c>
      <c r="T773" s="785">
        <v>1997</v>
      </c>
      <c r="U773" s="785">
        <v>22917</v>
      </c>
    </row>
    <row r="774" spans="1:21" x14ac:dyDescent="0.25">
      <c r="A774" s="780">
        <v>98427</v>
      </c>
      <c r="B774" s="781" t="s">
        <v>1937</v>
      </c>
      <c r="C774" s="782">
        <v>5.2000000000000002E-6</v>
      </c>
      <c r="D774" s="782">
        <v>5.5999999999999997E-6</v>
      </c>
      <c r="E774" s="783">
        <v>3003</v>
      </c>
      <c r="F774" s="783">
        <v>-3091</v>
      </c>
      <c r="G774" s="783">
        <v>2334</v>
      </c>
      <c r="H774" s="783"/>
      <c r="I774" s="784">
        <v>0</v>
      </c>
      <c r="J774" s="784">
        <v>4690</v>
      </c>
      <c r="K774" s="784">
        <v>0</v>
      </c>
      <c r="L774" s="783">
        <v>629</v>
      </c>
      <c r="M774" s="783"/>
      <c r="N774" s="784">
        <v>549</v>
      </c>
      <c r="O774" s="784">
        <v>5354</v>
      </c>
      <c r="P774" s="784">
        <v>0</v>
      </c>
      <c r="Q774" s="783">
        <v>0</v>
      </c>
      <c r="R774" s="783"/>
      <c r="S774" s="784">
        <v>1065</v>
      </c>
      <c r="T774" s="785">
        <v>180</v>
      </c>
      <c r="U774" s="785">
        <v>1246</v>
      </c>
    </row>
    <row r="775" spans="1:21" x14ac:dyDescent="0.25">
      <c r="A775" s="780">
        <v>98431</v>
      </c>
      <c r="B775" s="781" t="s">
        <v>1938</v>
      </c>
      <c r="C775" s="782">
        <v>2.0560000000000001E-4</v>
      </c>
      <c r="D775" s="782">
        <v>2.097E-4</v>
      </c>
      <c r="E775" s="783">
        <v>73013</v>
      </c>
      <c r="F775" s="783">
        <v>-115737</v>
      </c>
      <c r="G775" s="783">
        <v>92272</v>
      </c>
      <c r="H775" s="783"/>
      <c r="I775" s="784">
        <v>0</v>
      </c>
      <c r="J775" s="784">
        <v>185434</v>
      </c>
      <c r="K775" s="784">
        <v>0</v>
      </c>
      <c r="L775" s="783">
        <v>3764</v>
      </c>
      <c r="M775" s="783"/>
      <c r="N775" s="784">
        <v>21689</v>
      </c>
      <c r="O775" s="784">
        <v>211704</v>
      </c>
      <c r="P775" s="784">
        <v>0</v>
      </c>
      <c r="Q775" s="783">
        <v>11539</v>
      </c>
      <c r="R775" s="783"/>
      <c r="S775" s="784">
        <v>42128</v>
      </c>
      <c r="T775" s="785">
        <v>-1762</v>
      </c>
      <c r="U775" s="785">
        <v>40366</v>
      </c>
    </row>
    <row r="776" spans="1:21" x14ac:dyDescent="0.25">
      <c r="A776" s="780">
        <v>98441</v>
      </c>
      <c r="B776" s="781" t="s">
        <v>1939</v>
      </c>
      <c r="C776" s="782">
        <v>1.039E-4</v>
      </c>
      <c r="D776" s="782">
        <v>1.215E-4</v>
      </c>
      <c r="E776" s="783">
        <v>37953</v>
      </c>
      <c r="F776" s="783">
        <v>-67058</v>
      </c>
      <c r="G776" s="783">
        <v>46630</v>
      </c>
      <c r="H776" s="783"/>
      <c r="I776" s="784">
        <v>0</v>
      </c>
      <c r="J776" s="784">
        <v>93709</v>
      </c>
      <c r="K776" s="784">
        <v>0</v>
      </c>
      <c r="L776" s="783">
        <v>1722</v>
      </c>
      <c r="M776" s="783"/>
      <c r="N776" s="784">
        <v>10961</v>
      </c>
      <c r="O776" s="784">
        <v>106984</v>
      </c>
      <c r="P776" s="784">
        <v>0</v>
      </c>
      <c r="Q776" s="783">
        <v>15891</v>
      </c>
      <c r="R776" s="783"/>
      <c r="S776" s="784">
        <v>21289</v>
      </c>
      <c r="T776" s="785">
        <v>-3584</v>
      </c>
      <c r="U776" s="785">
        <v>17705</v>
      </c>
    </row>
    <row r="777" spans="1:21" x14ac:dyDescent="0.25">
      <c r="A777" s="780">
        <v>98451</v>
      </c>
      <c r="B777" s="781" t="s">
        <v>1940</v>
      </c>
      <c r="C777" s="782">
        <v>6.0300000000000002E-5</v>
      </c>
      <c r="D777" s="782">
        <v>6.2000000000000003E-5</v>
      </c>
      <c r="E777" s="783">
        <v>25199</v>
      </c>
      <c r="F777" s="783">
        <v>-34219</v>
      </c>
      <c r="G777" s="783">
        <v>27062</v>
      </c>
      <c r="H777" s="783"/>
      <c r="I777" s="784">
        <v>0</v>
      </c>
      <c r="J777" s="784">
        <v>54386</v>
      </c>
      <c r="K777" s="784">
        <v>0</v>
      </c>
      <c r="L777" s="783">
        <v>0</v>
      </c>
      <c r="M777" s="783"/>
      <c r="N777" s="784">
        <v>6361</v>
      </c>
      <c r="O777" s="784">
        <v>62090</v>
      </c>
      <c r="P777" s="784">
        <v>0</v>
      </c>
      <c r="Q777" s="783">
        <v>1056</v>
      </c>
      <c r="R777" s="783"/>
      <c r="S777" s="784">
        <v>12356</v>
      </c>
      <c r="T777" s="785">
        <v>-300</v>
      </c>
      <c r="U777" s="785">
        <v>12056</v>
      </c>
    </row>
    <row r="778" spans="1:21" x14ac:dyDescent="0.25">
      <c r="A778" s="780">
        <v>98481</v>
      </c>
      <c r="B778" s="781" t="s">
        <v>1941</v>
      </c>
      <c r="C778" s="782">
        <v>6.2500000000000001E-5</v>
      </c>
      <c r="D778" s="782">
        <v>6.0399999999999998E-5</v>
      </c>
      <c r="E778" s="783">
        <v>23628</v>
      </c>
      <c r="F778" s="783">
        <v>-33336</v>
      </c>
      <c r="G778" s="783">
        <v>28049.625</v>
      </c>
      <c r="H778" s="783"/>
      <c r="I778" s="784">
        <v>0</v>
      </c>
      <c r="J778" s="784">
        <v>56369.75</v>
      </c>
      <c r="K778" s="784">
        <v>0</v>
      </c>
      <c r="L778" s="783">
        <v>4667</v>
      </c>
      <c r="M778" s="783"/>
      <c r="N778" s="784">
        <v>6593.3125</v>
      </c>
      <c r="O778" s="784">
        <v>64355</v>
      </c>
      <c r="P778" s="784">
        <v>0</v>
      </c>
      <c r="Q778" s="783">
        <v>24</v>
      </c>
      <c r="R778" s="783"/>
      <c r="S778" s="784">
        <v>12806.375</v>
      </c>
      <c r="T778" s="785">
        <v>1555</v>
      </c>
      <c r="U778" s="785">
        <v>14361</v>
      </c>
    </row>
    <row r="779" spans="1:21" x14ac:dyDescent="0.25">
      <c r="A779" s="780">
        <v>98501</v>
      </c>
      <c r="B779" s="781" t="s">
        <v>1942</v>
      </c>
      <c r="C779" s="782">
        <v>1.5471E-3</v>
      </c>
      <c r="D779" s="782">
        <v>1.6026E-3</v>
      </c>
      <c r="E779" s="783">
        <v>682295</v>
      </c>
      <c r="F779" s="783">
        <v>-884504</v>
      </c>
      <c r="G779" s="783">
        <v>694329</v>
      </c>
      <c r="H779" s="783"/>
      <c r="I779" s="784">
        <v>0</v>
      </c>
      <c r="J779" s="784">
        <v>1395354</v>
      </c>
      <c r="K779" s="784">
        <v>0</v>
      </c>
      <c r="L779" s="783">
        <v>1189</v>
      </c>
      <c r="M779" s="783"/>
      <c r="N779" s="784">
        <v>163208</v>
      </c>
      <c r="O779" s="784">
        <v>1593029</v>
      </c>
      <c r="P779" s="784">
        <v>0</v>
      </c>
      <c r="Q779" s="783">
        <v>8856</v>
      </c>
      <c r="R779" s="783"/>
      <c r="S779" s="784">
        <v>317004</v>
      </c>
      <c r="T779" s="785">
        <v>-2651</v>
      </c>
      <c r="U779" s="785">
        <v>314353</v>
      </c>
    </row>
    <row r="780" spans="1:21" x14ac:dyDescent="0.25">
      <c r="A780" s="780">
        <v>98511</v>
      </c>
      <c r="B780" s="781" t="s">
        <v>1943</v>
      </c>
      <c r="C780" s="782">
        <v>3.96E-5</v>
      </c>
      <c r="D780" s="782">
        <v>4.3399999999999998E-5</v>
      </c>
      <c r="E780" s="783">
        <v>14642</v>
      </c>
      <c r="F780" s="783">
        <v>-23953</v>
      </c>
      <c r="G780" s="783">
        <v>17772</v>
      </c>
      <c r="H780" s="783"/>
      <c r="I780" s="784">
        <v>0</v>
      </c>
      <c r="J780" s="784">
        <v>35716</v>
      </c>
      <c r="K780" s="784">
        <v>0</v>
      </c>
      <c r="L780" s="783">
        <v>0</v>
      </c>
      <c r="M780" s="783"/>
      <c r="N780" s="784">
        <v>4178</v>
      </c>
      <c r="O780" s="784">
        <v>40776</v>
      </c>
      <c r="P780" s="784">
        <v>0</v>
      </c>
      <c r="Q780" s="783">
        <v>34296</v>
      </c>
      <c r="R780" s="783"/>
      <c r="S780" s="784">
        <v>8114</v>
      </c>
      <c r="T780" s="785">
        <v>-11189</v>
      </c>
      <c r="U780" s="785">
        <v>-3075</v>
      </c>
    </row>
    <row r="781" spans="1:21" x14ac:dyDescent="0.25">
      <c r="A781" s="780">
        <v>98517</v>
      </c>
      <c r="B781" s="781" t="s">
        <v>1944</v>
      </c>
      <c r="C781" s="782">
        <v>3.3000000000000002E-6</v>
      </c>
      <c r="D781" s="782">
        <v>3.8E-6</v>
      </c>
      <c r="E781" s="783">
        <v>2313</v>
      </c>
      <c r="F781" s="783">
        <v>-2097</v>
      </c>
      <c r="G781" s="783">
        <v>1481</v>
      </c>
      <c r="H781" s="783"/>
      <c r="I781" s="784">
        <v>0</v>
      </c>
      <c r="J781" s="784">
        <v>2976</v>
      </c>
      <c r="K781" s="784">
        <v>0</v>
      </c>
      <c r="L781" s="783">
        <v>761</v>
      </c>
      <c r="M781" s="783"/>
      <c r="N781" s="784">
        <v>348</v>
      </c>
      <c r="O781" s="784">
        <v>3398</v>
      </c>
      <c r="P781" s="784">
        <v>0</v>
      </c>
      <c r="Q781" s="783">
        <v>0</v>
      </c>
      <c r="R781" s="783"/>
      <c r="S781" s="784">
        <v>676</v>
      </c>
      <c r="T781" s="785">
        <v>224</v>
      </c>
      <c r="U781" s="785">
        <v>901</v>
      </c>
    </row>
    <row r="782" spans="1:21" x14ac:dyDescent="0.25">
      <c r="A782" s="780">
        <v>98521</v>
      </c>
      <c r="B782" s="781" t="s">
        <v>1945</v>
      </c>
      <c r="C782" s="782">
        <v>6.3980000000000005E-4</v>
      </c>
      <c r="D782" s="782">
        <v>6.1859999999999997E-4</v>
      </c>
      <c r="E782" s="783">
        <v>227190</v>
      </c>
      <c r="F782" s="783">
        <v>-341416</v>
      </c>
      <c r="G782" s="783">
        <v>287138</v>
      </c>
      <c r="H782" s="783"/>
      <c r="I782" s="784">
        <v>0</v>
      </c>
      <c r="J782" s="784">
        <v>577046</v>
      </c>
      <c r="K782" s="784">
        <v>0</v>
      </c>
      <c r="L782" s="783">
        <v>0</v>
      </c>
      <c r="M782" s="783"/>
      <c r="N782" s="784">
        <v>67494</v>
      </c>
      <c r="O782" s="784">
        <v>658794</v>
      </c>
      <c r="P782" s="784">
        <v>0</v>
      </c>
      <c r="Q782" s="783">
        <v>22955</v>
      </c>
      <c r="R782" s="783"/>
      <c r="S782" s="784">
        <v>131096</v>
      </c>
      <c r="T782" s="785">
        <v>-6798</v>
      </c>
      <c r="U782" s="785">
        <v>124298</v>
      </c>
    </row>
    <row r="783" spans="1:21" x14ac:dyDescent="0.25">
      <c r="A783" s="780">
        <v>98601</v>
      </c>
      <c r="B783" s="781" t="s">
        <v>1946</v>
      </c>
      <c r="C783" s="782">
        <v>3.3880999999999998E-3</v>
      </c>
      <c r="D783" s="782">
        <v>3.4897999999999999E-3</v>
      </c>
      <c r="E783" s="783">
        <v>1344084</v>
      </c>
      <c r="F783" s="783">
        <v>-1926083</v>
      </c>
      <c r="G783" s="783">
        <v>1520559</v>
      </c>
      <c r="H783" s="783"/>
      <c r="I783" s="784">
        <v>0</v>
      </c>
      <c r="J783" s="784">
        <v>3055782</v>
      </c>
      <c r="K783" s="784">
        <v>0</v>
      </c>
      <c r="L783" s="783">
        <v>0</v>
      </c>
      <c r="M783" s="783"/>
      <c r="N783" s="784">
        <v>357421</v>
      </c>
      <c r="O783" s="784">
        <v>3488683</v>
      </c>
      <c r="P783" s="784">
        <v>0</v>
      </c>
      <c r="Q783" s="783">
        <v>193863</v>
      </c>
      <c r="R783" s="783"/>
      <c r="S783" s="784">
        <v>694228</v>
      </c>
      <c r="T783" s="785">
        <v>-57392</v>
      </c>
      <c r="U783" s="785">
        <v>636836</v>
      </c>
    </row>
    <row r="784" spans="1:21" x14ac:dyDescent="0.25">
      <c r="A784" s="780">
        <v>98607</v>
      </c>
      <c r="B784" s="781" t="s">
        <v>1947</v>
      </c>
      <c r="C784" s="782">
        <v>6.0000000000000002E-6</v>
      </c>
      <c r="D784" s="782">
        <v>9.7999999999999993E-6</v>
      </c>
      <c r="E784" s="783">
        <v>2491</v>
      </c>
      <c r="F784" s="783">
        <v>-5409</v>
      </c>
      <c r="G784" s="783">
        <v>2693</v>
      </c>
      <c r="H784" s="783"/>
      <c r="I784" s="784">
        <v>0</v>
      </c>
      <c r="J784" s="784">
        <v>5411</v>
      </c>
      <c r="K784" s="784">
        <v>0</v>
      </c>
      <c r="L784" s="783">
        <v>0</v>
      </c>
      <c r="M784" s="783"/>
      <c r="N784" s="784">
        <v>633</v>
      </c>
      <c r="O784" s="784">
        <v>6178</v>
      </c>
      <c r="P784" s="784">
        <v>0</v>
      </c>
      <c r="Q784" s="783">
        <v>3127</v>
      </c>
      <c r="R784" s="783"/>
      <c r="S784" s="784">
        <v>1229</v>
      </c>
      <c r="T784" s="785">
        <v>-855</v>
      </c>
      <c r="U784" s="785">
        <v>375</v>
      </c>
    </row>
    <row r="785" spans="1:21" x14ac:dyDescent="0.25">
      <c r="A785" s="780">
        <v>98608</v>
      </c>
      <c r="B785" s="781" t="s">
        <v>1948</v>
      </c>
      <c r="C785" s="782">
        <v>5.4500000000000003E-5</v>
      </c>
      <c r="D785" s="782">
        <v>4.1300000000000001E-5</v>
      </c>
      <c r="E785" s="783">
        <v>19310</v>
      </c>
      <c r="F785" s="783">
        <v>-22794</v>
      </c>
      <c r="G785" s="783">
        <v>24459</v>
      </c>
      <c r="H785" s="783"/>
      <c r="I785" s="784">
        <v>0</v>
      </c>
      <c r="J785" s="784">
        <v>49154</v>
      </c>
      <c r="K785" s="784">
        <v>0</v>
      </c>
      <c r="L785" s="783">
        <v>8812</v>
      </c>
      <c r="M785" s="783"/>
      <c r="N785" s="784">
        <v>5749</v>
      </c>
      <c r="O785" s="784">
        <v>56118</v>
      </c>
      <c r="P785" s="784">
        <v>0</v>
      </c>
      <c r="Q785" s="783">
        <v>0</v>
      </c>
      <c r="R785" s="783"/>
      <c r="S785" s="784">
        <v>11167</v>
      </c>
      <c r="T785" s="785">
        <v>2444</v>
      </c>
      <c r="U785" s="785">
        <v>13611</v>
      </c>
    </row>
    <row r="786" spans="1:21" x14ac:dyDescent="0.25">
      <c r="A786" s="780">
        <v>98611</v>
      </c>
      <c r="B786" s="781" t="s">
        <v>1949</v>
      </c>
      <c r="C786" s="782">
        <v>1.2129999999999999E-4</v>
      </c>
      <c r="D786" s="782">
        <v>1.217E-4</v>
      </c>
      <c r="E786" s="783">
        <v>51918</v>
      </c>
      <c r="F786" s="783">
        <v>-67168</v>
      </c>
      <c r="G786" s="783">
        <v>54439</v>
      </c>
      <c r="H786" s="783"/>
      <c r="I786" s="784">
        <v>0</v>
      </c>
      <c r="J786" s="784">
        <v>109402</v>
      </c>
      <c r="K786" s="784">
        <v>0</v>
      </c>
      <c r="L786" s="783">
        <v>6920</v>
      </c>
      <c r="M786" s="783"/>
      <c r="N786" s="784">
        <v>12796</v>
      </c>
      <c r="O786" s="784">
        <v>124901</v>
      </c>
      <c r="P786" s="784">
        <v>0</v>
      </c>
      <c r="Q786" s="783">
        <v>0</v>
      </c>
      <c r="R786" s="783"/>
      <c r="S786" s="784">
        <v>24855</v>
      </c>
      <c r="T786" s="785">
        <v>2197</v>
      </c>
      <c r="U786" s="785">
        <v>27052</v>
      </c>
    </row>
    <row r="787" spans="1:21" x14ac:dyDescent="0.25">
      <c r="A787" s="780">
        <v>98621</v>
      </c>
      <c r="B787" s="781" t="s">
        <v>1950</v>
      </c>
      <c r="C787" s="782">
        <v>1.2740000000000001E-4</v>
      </c>
      <c r="D787" s="782">
        <v>1.317E-4</v>
      </c>
      <c r="E787" s="783">
        <v>46776</v>
      </c>
      <c r="F787" s="783">
        <v>-72688</v>
      </c>
      <c r="G787" s="783">
        <v>57176</v>
      </c>
      <c r="H787" s="783"/>
      <c r="I787" s="784">
        <v>0</v>
      </c>
      <c r="J787" s="784">
        <v>114904</v>
      </c>
      <c r="K787" s="784">
        <v>0</v>
      </c>
      <c r="L787" s="783">
        <v>1429.22</v>
      </c>
      <c r="M787" s="783"/>
      <c r="N787" s="784">
        <v>13440</v>
      </c>
      <c r="O787" s="784">
        <v>131182</v>
      </c>
      <c r="P787" s="784">
        <v>0</v>
      </c>
      <c r="Q787" s="783">
        <v>7170</v>
      </c>
      <c r="R787" s="783"/>
      <c r="S787" s="784">
        <v>26105</v>
      </c>
      <c r="T787" s="785">
        <v>-1399</v>
      </c>
      <c r="U787" s="785">
        <v>24706</v>
      </c>
    </row>
    <row r="788" spans="1:21" x14ac:dyDescent="0.25">
      <c r="A788" s="780">
        <v>98627</v>
      </c>
      <c r="B788" s="781" t="s">
        <v>1951</v>
      </c>
      <c r="C788" s="782">
        <v>7.4000000000000003E-6</v>
      </c>
      <c r="D788" s="782">
        <v>7.3000000000000004E-6</v>
      </c>
      <c r="E788" s="783">
        <v>2748</v>
      </c>
      <c r="F788" s="783">
        <v>-4029</v>
      </c>
      <c r="G788" s="783">
        <v>3321</v>
      </c>
      <c r="H788" s="783"/>
      <c r="I788" s="784">
        <v>0</v>
      </c>
      <c r="J788" s="784">
        <v>6674</v>
      </c>
      <c r="K788" s="784">
        <v>0</v>
      </c>
      <c r="L788" s="783">
        <v>0</v>
      </c>
      <c r="M788" s="783"/>
      <c r="N788" s="784">
        <v>781</v>
      </c>
      <c r="O788" s="784">
        <v>7620</v>
      </c>
      <c r="P788" s="784">
        <v>0</v>
      </c>
      <c r="Q788" s="783">
        <v>287</v>
      </c>
      <c r="R788" s="783"/>
      <c r="S788" s="784">
        <v>1516</v>
      </c>
      <c r="T788" s="785">
        <v>-85</v>
      </c>
      <c r="U788" s="785">
        <v>1431</v>
      </c>
    </row>
    <row r="789" spans="1:21" x14ac:dyDescent="0.25">
      <c r="A789" s="780">
        <v>98631</v>
      </c>
      <c r="B789" s="781" t="s">
        <v>1952</v>
      </c>
      <c r="C789" s="782">
        <v>1.1375000000000001E-3</v>
      </c>
      <c r="D789" s="782">
        <v>1.1872E-3</v>
      </c>
      <c r="E789" s="783">
        <v>425434</v>
      </c>
      <c r="F789" s="783">
        <v>-655237</v>
      </c>
      <c r="G789" s="783">
        <v>510503</v>
      </c>
      <c r="H789" s="783"/>
      <c r="I789" s="784">
        <v>0</v>
      </c>
      <c r="J789" s="784">
        <v>1025929</v>
      </c>
      <c r="K789" s="784">
        <v>0</v>
      </c>
      <c r="L789" s="783">
        <v>0</v>
      </c>
      <c r="M789" s="783"/>
      <c r="N789" s="784">
        <v>119998</v>
      </c>
      <c r="O789" s="784">
        <v>1171269</v>
      </c>
      <c r="P789" s="784">
        <v>0</v>
      </c>
      <c r="Q789" s="783">
        <v>73976</v>
      </c>
      <c r="R789" s="783"/>
      <c r="S789" s="784">
        <v>233076</v>
      </c>
      <c r="T789" s="785">
        <v>-19961</v>
      </c>
      <c r="U789" s="785">
        <v>213115</v>
      </c>
    </row>
    <row r="790" spans="1:21" x14ac:dyDescent="0.25">
      <c r="A790" s="780">
        <v>98637</v>
      </c>
      <c r="B790" s="781" t="s">
        <v>1953</v>
      </c>
      <c r="C790" s="782">
        <v>2.3499999999999999E-5</v>
      </c>
      <c r="D790" s="782">
        <v>2.4300000000000001E-5</v>
      </c>
      <c r="E790" s="783">
        <v>14103</v>
      </c>
      <c r="F790" s="783">
        <v>-13412</v>
      </c>
      <c r="G790" s="783">
        <v>10547</v>
      </c>
      <c r="H790" s="783"/>
      <c r="I790" s="784">
        <v>0</v>
      </c>
      <c r="J790" s="784">
        <v>21195</v>
      </c>
      <c r="K790" s="784">
        <v>0</v>
      </c>
      <c r="L790" s="783">
        <v>4776</v>
      </c>
      <c r="M790" s="783"/>
      <c r="N790" s="784">
        <v>2479</v>
      </c>
      <c r="O790" s="784">
        <v>24198</v>
      </c>
      <c r="P790" s="784">
        <v>0</v>
      </c>
      <c r="Q790" s="783">
        <v>0</v>
      </c>
      <c r="R790" s="783"/>
      <c r="S790" s="784">
        <v>4815</v>
      </c>
      <c r="T790" s="785">
        <v>1378</v>
      </c>
      <c r="U790" s="785">
        <v>6194</v>
      </c>
    </row>
    <row r="791" spans="1:21" x14ac:dyDescent="0.25">
      <c r="A791" s="780">
        <v>98641</v>
      </c>
      <c r="B791" s="781" t="s">
        <v>1954</v>
      </c>
      <c r="C791" s="782">
        <v>3.1819999999999998E-4</v>
      </c>
      <c r="D791" s="782">
        <v>3.2000000000000003E-4</v>
      </c>
      <c r="E791" s="783">
        <v>131514</v>
      </c>
      <c r="F791" s="783">
        <v>-176613.76000000001</v>
      </c>
      <c r="G791" s="783">
        <v>142806</v>
      </c>
      <c r="H791" s="783"/>
      <c r="I791" s="784">
        <v>0</v>
      </c>
      <c r="J791" s="784">
        <v>286990</v>
      </c>
      <c r="K791" s="784">
        <v>0</v>
      </c>
      <c r="L791" s="783">
        <v>6782</v>
      </c>
      <c r="M791" s="783"/>
      <c r="N791" s="784">
        <v>33568</v>
      </c>
      <c r="O791" s="784">
        <v>327646</v>
      </c>
      <c r="P791" s="784">
        <v>0</v>
      </c>
      <c r="Q791" s="783">
        <v>0</v>
      </c>
      <c r="R791" s="783"/>
      <c r="S791" s="784">
        <v>65200</v>
      </c>
      <c r="T791" s="785">
        <v>2268</v>
      </c>
      <c r="U791" s="785">
        <v>67468</v>
      </c>
    </row>
    <row r="792" spans="1:21" x14ac:dyDescent="0.25">
      <c r="A792" s="780">
        <v>98647</v>
      </c>
      <c r="B792" s="781" t="s">
        <v>1955</v>
      </c>
      <c r="C792" s="782">
        <v>1.24E-5</v>
      </c>
      <c r="D792" s="782">
        <v>1.27E-5</v>
      </c>
      <c r="E792" s="783">
        <v>11530</v>
      </c>
      <c r="F792" s="783">
        <v>-7009</v>
      </c>
      <c r="G792" s="783">
        <v>5565</v>
      </c>
      <c r="H792" s="783"/>
      <c r="I792" s="784">
        <v>0</v>
      </c>
      <c r="J792" s="784">
        <v>11184</v>
      </c>
      <c r="K792" s="784">
        <v>0</v>
      </c>
      <c r="L792" s="783">
        <v>6802</v>
      </c>
      <c r="M792" s="783"/>
      <c r="N792" s="784">
        <v>1308</v>
      </c>
      <c r="O792" s="784">
        <v>12768</v>
      </c>
      <c r="P792" s="784">
        <v>0</v>
      </c>
      <c r="Q792" s="783">
        <v>0</v>
      </c>
      <c r="R792" s="783"/>
      <c r="S792" s="784">
        <v>2541</v>
      </c>
      <c r="T792" s="785">
        <v>1918</v>
      </c>
      <c r="U792" s="785">
        <v>4459</v>
      </c>
    </row>
    <row r="793" spans="1:21" x14ac:dyDescent="0.25">
      <c r="A793" s="780">
        <v>98701</v>
      </c>
      <c r="B793" s="781" t="s">
        <v>1956</v>
      </c>
      <c r="C793" s="782">
        <v>1.0842E-3</v>
      </c>
      <c r="D793" s="782">
        <v>1.1505E-3</v>
      </c>
      <c r="E793" s="783">
        <v>428322</v>
      </c>
      <c r="F793" s="783">
        <v>-634982</v>
      </c>
      <c r="G793" s="783">
        <v>486582</v>
      </c>
      <c r="H793" s="783"/>
      <c r="I793" s="784">
        <v>0</v>
      </c>
      <c r="J793" s="784">
        <v>977857</v>
      </c>
      <c r="K793" s="784">
        <v>0</v>
      </c>
      <c r="L793" s="783">
        <v>0</v>
      </c>
      <c r="M793" s="783"/>
      <c r="N793" s="784">
        <v>114376</v>
      </c>
      <c r="O793" s="784">
        <v>1116387</v>
      </c>
      <c r="P793" s="784">
        <v>0</v>
      </c>
      <c r="Q793" s="783">
        <v>67115</v>
      </c>
      <c r="R793" s="783"/>
      <c r="S793" s="784">
        <v>222155</v>
      </c>
      <c r="T793" s="785">
        <v>-18240</v>
      </c>
      <c r="U793" s="785">
        <v>203915</v>
      </c>
    </row>
    <row r="794" spans="1:21" x14ac:dyDescent="0.25">
      <c r="A794" s="780">
        <v>98711</v>
      </c>
      <c r="B794" s="781" t="s">
        <v>1957</v>
      </c>
      <c r="C794" s="782">
        <v>1.7589999999999999E-4</v>
      </c>
      <c r="D794" s="782">
        <v>1.7340000000000001E-4</v>
      </c>
      <c r="E794" s="783">
        <v>63332</v>
      </c>
      <c r="F794" s="783">
        <v>-95703</v>
      </c>
      <c r="G794" s="783">
        <v>78943</v>
      </c>
      <c r="H794" s="783"/>
      <c r="I794" s="784">
        <v>0</v>
      </c>
      <c r="J794" s="784">
        <v>158647</v>
      </c>
      <c r="K794" s="784">
        <v>0</v>
      </c>
      <c r="L794" s="783">
        <v>3738</v>
      </c>
      <c r="M794" s="783"/>
      <c r="N794" s="784">
        <v>18556</v>
      </c>
      <c r="O794" s="784">
        <v>181122</v>
      </c>
      <c r="P794" s="784">
        <v>0</v>
      </c>
      <c r="Q794" s="783">
        <v>4970</v>
      </c>
      <c r="R794" s="783"/>
      <c r="S794" s="784">
        <v>36042</v>
      </c>
      <c r="T794" s="785">
        <v>-51</v>
      </c>
      <c r="U794" s="785">
        <v>35991</v>
      </c>
    </row>
    <row r="795" spans="1:21" x14ac:dyDescent="0.25">
      <c r="A795" s="780">
        <v>98717</v>
      </c>
      <c r="B795" s="781" t="s">
        <v>1958</v>
      </c>
      <c r="C795" s="782">
        <v>1.98E-5</v>
      </c>
      <c r="D795" s="782">
        <v>1.8099999999999999E-5</v>
      </c>
      <c r="E795" s="783">
        <v>7917</v>
      </c>
      <c r="F795" s="783">
        <v>-9990</v>
      </c>
      <c r="G795" s="783">
        <v>8886</v>
      </c>
      <c r="H795" s="783"/>
      <c r="I795" s="784">
        <v>0</v>
      </c>
      <c r="J795" s="784">
        <v>17858</v>
      </c>
      <c r="K795" s="784">
        <v>0</v>
      </c>
      <c r="L795" s="783">
        <v>1061</v>
      </c>
      <c r="M795" s="783"/>
      <c r="N795" s="784">
        <v>2089</v>
      </c>
      <c r="O795" s="784">
        <v>20388</v>
      </c>
      <c r="P795" s="784">
        <v>0</v>
      </c>
      <c r="Q795" s="783">
        <v>355.81</v>
      </c>
      <c r="R795" s="783"/>
      <c r="S795" s="784">
        <v>4057</v>
      </c>
      <c r="T795" s="785">
        <v>159</v>
      </c>
      <c r="U795" s="785">
        <v>4216</v>
      </c>
    </row>
    <row r="796" spans="1:21" x14ac:dyDescent="0.25">
      <c r="A796" s="780">
        <v>98801</v>
      </c>
      <c r="B796" s="781" t="s">
        <v>1959</v>
      </c>
      <c r="C796" s="782">
        <v>2.1686000000000001E-3</v>
      </c>
      <c r="D796" s="782">
        <v>2.1288000000000001E-3</v>
      </c>
      <c r="E796" s="783">
        <v>938480</v>
      </c>
      <c r="F796" s="783">
        <v>-1174923</v>
      </c>
      <c r="G796" s="783">
        <v>973255</v>
      </c>
      <c r="H796" s="783"/>
      <c r="I796" s="784">
        <v>0</v>
      </c>
      <c r="J796" s="784">
        <v>1955895</v>
      </c>
      <c r="K796" s="784">
        <v>0</v>
      </c>
      <c r="L796" s="783">
        <v>99717</v>
      </c>
      <c r="M796" s="783"/>
      <c r="N796" s="784">
        <v>228772</v>
      </c>
      <c r="O796" s="784">
        <v>2232979</v>
      </c>
      <c r="P796" s="784">
        <v>0</v>
      </c>
      <c r="Q796" s="783">
        <v>0</v>
      </c>
      <c r="R796" s="783"/>
      <c r="S796" s="784">
        <v>444350</v>
      </c>
      <c r="T796" s="785">
        <v>28264</v>
      </c>
      <c r="U796" s="785">
        <v>472614</v>
      </c>
    </row>
    <row r="797" spans="1:21" x14ac:dyDescent="0.25">
      <c r="A797" s="780">
        <v>98811</v>
      </c>
      <c r="B797" s="781" t="s">
        <v>1960</v>
      </c>
      <c r="C797" s="782">
        <v>7.737E-4</v>
      </c>
      <c r="D797" s="782">
        <v>7.5239999999999997E-4</v>
      </c>
      <c r="E797" s="783">
        <v>314972</v>
      </c>
      <c r="F797" s="783">
        <v>-415263</v>
      </c>
      <c r="G797" s="783">
        <v>347232</v>
      </c>
      <c r="H797" s="783"/>
      <c r="I797" s="784">
        <v>0</v>
      </c>
      <c r="J797" s="784">
        <v>697812</v>
      </c>
      <c r="K797" s="784">
        <v>0</v>
      </c>
      <c r="L797" s="783">
        <v>45027</v>
      </c>
      <c r="M797" s="783"/>
      <c r="N797" s="784">
        <v>81620</v>
      </c>
      <c r="O797" s="784">
        <v>796669</v>
      </c>
      <c r="P797" s="784">
        <v>0</v>
      </c>
      <c r="Q797" s="783">
        <v>0</v>
      </c>
      <c r="R797" s="783"/>
      <c r="S797" s="784">
        <v>158533</v>
      </c>
      <c r="T797" s="785">
        <v>14026</v>
      </c>
      <c r="U797" s="785">
        <v>172558</v>
      </c>
    </row>
    <row r="798" spans="1:21" x14ac:dyDescent="0.25">
      <c r="A798" s="780">
        <v>98817</v>
      </c>
      <c r="B798" s="781" t="s">
        <v>1961</v>
      </c>
      <c r="C798" s="782">
        <v>2.6400000000000001E-5</v>
      </c>
      <c r="D798" s="782">
        <v>2.7100000000000001E-5</v>
      </c>
      <c r="E798" s="783">
        <v>11424</v>
      </c>
      <c r="F798" s="783">
        <v>-14957</v>
      </c>
      <c r="G798" s="783">
        <v>11848</v>
      </c>
      <c r="H798" s="783"/>
      <c r="I798" s="784">
        <v>0</v>
      </c>
      <c r="J798" s="784">
        <v>23811</v>
      </c>
      <c r="K798" s="784">
        <v>0</v>
      </c>
      <c r="L798" s="783">
        <v>20</v>
      </c>
      <c r="M798" s="783"/>
      <c r="N798" s="784">
        <v>2785</v>
      </c>
      <c r="O798" s="784">
        <v>27184</v>
      </c>
      <c r="P798" s="784">
        <v>0</v>
      </c>
      <c r="Q798" s="783">
        <v>6581</v>
      </c>
      <c r="R798" s="783"/>
      <c r="S798" s="784">
        <v>5409</v>
      </c>
      <c r="T798" s="785">
        <v>-2196</v>
      </c>
      <c r="U798" s="785">
        <v>3214</v>
      </c>
    </row>
    <row r="799" spans="1:21" x14ac:dyDescent="0.25">
      <c r="A799" s="780">
        <v>98901</v>
      </c>
      <c r="B799" s="781" t="s">
        <v>1962</v>
      </c>
      <c r="C799" s="782">
        <v>3.4190000000000002E-4</v>
      </c>
      <c r="D799" s="782">
        <v>3.3609999999999998E-4</v>
      </c>
      <c r="E799" s="783">
        <v>138043</v>
      </c>
      <c r="F799" s="783">
        <v>-185500</v>
      </c>
      <c r="G799" s="783">
        <v>153443</v>
      </c>
      <c r="H799" s="783"/>
      <c r="I799" s="784">
        <v>0</v>
      </c>
      <c r="J799" s="784">
        <v>308365</v>
      </c>
      <c r="K799" s="784">
        <v>0</v>
      </c>
      <c r="L799" s="783">
        <v>2843</v>
      </c>
      <c r="M799" s="783"/>
      <c r="N799" s="784">
        <v>36068</v>
      </c>
      <c r="O799" s="784">
        <v>352050</v>
      </c>
      <c r="P799" s="784">
        <v>0</v>
      </c>
      <c r="Q799" s="783">
        <v>1929</v>
      </c>
      <c r="R799" s="783"/>
      <c r="S799" s="784">
        <v>70056</v>
      </c>
      <c r="T799" s="785">
        <v>99</v>
      </c>
      <c r="U799" s="785">
        <v>70155</v>
      </c>
    </row>
    <row r="800" spans="1:21" x14ac:dyDescent="0.25">
      <c r="A800" s="780">
        <v>98904</v>
      </c>
      <c r="B800" s="781" t="s">
        <v>1963</v>
      </c>
      <c r="C800" s="782">
        <v>3.4000000000000001E-6</v>
      </c>
      <c r="D800" s="782">
        <v>1.7999999999999999E-6</v>
      </c>
      <c r="E800" s="783">
        <v>886</v>
      </c>
      <c r="F800" s="783">
        <v>-993</v>
      </c>
      <c r="G800" s="783">
        <v>1526</v>
      </c>
      <c r="H800" s="783"/>
      <c r="I800" s="784">
        <v>0</v>
      </c>
      <c r="J800" s="784">
        <v>3067</v>
      </c>
      <c r="K800" s="784">
        <v>0</v>
      </c>
      <c r="L800" s="783">
        <v>785</v>
      </c>
      <c r="M800" s="783"/>
      <c r="N800" s="784">
        <v>359</v>
      </c>
      <c r="O800" s="784">
        <v>3501</v>
      </c>
      <c r="P800" s="784">
        <v>0</v>
      </c>
      <c r="Q800" s="783">
        <v>0</v>
      </c>
      <c r="R800" s="783"/>
      <c r="S800" s="784">
        <v>697</v>
      </c>
      <c r="T800" s="785">
        <v>210</v>
      </c>
      <c r="U800" s="785">
        <v>906</v>
      </c>
    </row>
    <row r="801" spans="1:21" x14ac:dyDescent="0.25">
      <c r="A801" s="780">
        <v>98911</v>
      </c>
      <c r="B801" s="781" t="s">
        <v>1964</v>
      </c>
      <c r="C801" s="782">
        <v>2.5899999999999999E-5</v>
      </c>
      <c r="D801" s="782">
        <v>2.0599999999999999E-5</v>
      </c>
      <c r="E801" s="783">
        <v>16950</v>
      </c>
      <c r="F801" s="783">
        <v>-11370</v>
      </c>
      <c r="G801" s="783">
        <v>11624</v>
      </c>
      <c r="H801" s="783"/>
      <c r="I801" s="784">
        <v>0</v>
      </c>
      <c r="J801" s="784">
        <v>23360</v>
      </c>
      <c r="K801" s="784">
        <v>0</v>
      </c>
      <c r="L801" s="783">
        <v>11625</v>
      </c>
      <c r="M801" s="783"/>
      <c r="N801" s="784">
        <v>2732</v>
      </c>
      <c r="O801" s="784">
        <v>26669</v>
      </c>
      <c r="P801" s="784">
        <v>0</v>
      </c>
      <c r="Q801" s="783">
        <v>0</v>
      </c>
      <c r="R801" s="783"/>
      <c r="S801" s="784">
        <v>5307</v>
      </c>
      <c r="T801" s="785">
        <v>3250</v>
      </c>
      <c r="U801" s="785">
        <v>8557</v>
      </c>
    </row>
    <row r="802" spans="1:21" x14ac:dyDescent="0.25">
      <c r="A802" s="780">
        <v>99001</v>
      </c>
      <c r="B802" s="781" t="s">
        <v>1965</v>
      </c>
      <c r="C802" s="782">
        <v>7.5116999999999996E-3</v>
      </c>
      <c r="D802" s="782">
        <v>6.9785999999999997E-3</v>
      </c>
      <c r="E802" s="783">
        <v>2973850</v>
      </c>
      <c r="F802" s="783">
        <v>-3851615</v>
      </c>
      <c r="G802" s="783">
        <v>3371206</v>
      </c>
      <c r="H802" s="783"/>
      <c r="I802" s="784">
        <v>0</v>
      </c>
      <c r="J802" s="784">
        <v>6774922</v>
      </c>
      <c r="K802" s="784">
        <v>0</v>
      </c>
      <c r="L802" s="783">
        <v>487095</v>
      </c>
      <c r="M802" s="783"/>
      <c r="N802" s="784">
        <v>792432</v>
      </c>
      <c r="O802" s="784">
        <v>7734700</v>
      </c>
      <c r="P802" s="784">
        <v>0</v>
      </c>
      <c r="Q802" s="783">
        <v>0</v>
      </c>
      <c r="R802" s="783"/>
      <c r="S802" s="784">
        <v>1539162</v>
      </c>
      <c r="T802" s="785">
        <v>141082</v>
      </c>
      <c r="U802" s="785">
        <v>1680244</v>
      </c>
    </row>
    <row r="803" spans="1:21" x14ac:dyDescent="0.25">
      <c r="A803" s="780">
        <v>99011</v>
      </c>
      <c r="B803" s="781" t="s">
        <v>1966</v>
      </c>
      <c r="C803" s="782">
        <v>4.3128999999999997E-3</v>
      </c>
      <c r="D803" s="782">
        <v>4.4080999999999999E-3</v>
      </c>
      <c r="E803" s="783">
        <v>1609040</v>
      </c>
      <c r="F803" s="783">
        <v>-2432910</v>
      </c>
      <c r="G803" s="783">
        <v>1935604</v>
      </c>
      <c r="H803" s="783"/>
      <c r="I803" s="784">
        <v>0</v>
      </c>
      <c r="J803" s="784">
        <v>3889874</v>
      </c>
      <c r="K803" s="784">
        <v>0</v>
      </c>
      <c r="L803" s="783">
        <v>0</v>
      </c>
      <c r="M803" s="783"/>
      <c r="N803" s="784">
        <v>454981</v>
      </c>
      <c r="O803" s="784">
        <v>4440937</v>
      </c>
      <c r="P803" s="784">
        <v>0</v>
      </c>
      <c r="Q803" s="783">
        <v>459033</v>
      </c>
      <c r="R803" s="783"/>
      <c r="S803" s="784">
        <v>883722</v>
      </c>
      <c r="T803" s="785">
        <v>-139923</v>
      </c>
      <c r="U803" s="785">
        <v>743799</v>
      </c>
    </row>
    <row r="804" spans="1:21" x14ac:dyDescent="0.25">
      <c r="A804" s="780">
        <v>99013</v>
      </c>
      <c r="B804" s="781" t="s">
        <v>1967</v>
      </c>
      <c r="C804" s="782">
        <v>7.2299999999999996E-5</v>
      </c>
      <c r="D804" s="782">
        <v>7.2999999999999999E-5</v>
      </c>
      <c r="E804" s="783">
        <v>28106</v>
      </c>
      <c r="F804" s="783">
        <v>-40290</v>
      </c>
      <c r="G804" s="783">
        <v>32448</v>
      </c>
      <c r="H804" s="783"/>
      <c r="I804" s="784">
        <v>0</v>
      </c>
      <c r="J804" s="784">
        <v>65209</v>
      </c>
      <c r="K804" s="784">
        <v>0</v>
      </c>
      <c r="L804" s="783">
        <v>30</v>
      </c>
      <c r="M804" s="783"/>
      <c r="N804" s="784">
        <v>7627</v>
      </c>
      <c r="O804" s="784">
        <v>74446</v>
      </c>
      <c r="P804" s="784">
        <v>0</v>
      </c>
      <c r="Q804" s="783">
        <v>1611</v>
      </c>
      <c r="R804" s="783"/>
      <c r="S804" s="784">
        <v>14814</v>
      </c>
      <c r="T804" s="785">
        <v>-412</v>
      </c>
      <c r="U804" s="785">
        <v>14403</v>
      </c>
    </row>
    <row r="805" spans="1:21" x14ac:dyDescent="0.25">
      <c r="A805" s="780">
        <v>99017</v>
      </c>
      <c r="B805" s="781" t="s">
        <v>1968</v>
      </c>
      <c r="C805" s="782">
        <v>4.1199999999999999E-5</v>
      </c>
      <c r="D805" s="782">
        <v>3.6600000000000002E-5</v>
      </c>
      <c r="E805" s="783">
        <v>16651</v>
      </c>
      <c r="F805" s="783">
        <v>-20200</v>
      </c>
      <c r="G805" s="783">
        <v>18490</v>
      </c>
      <c r="H805" s="783"/>
      <c r="I805" s="784">
        <v>0</v>
      </c>
      <c r="J805" s="784">
        <v>37159</v>
      </c>
      <c r="K805" s="784">
        <v>0</v>
      </c>
      <c r="L805" s="783">
        <v>3093</v>
      </c>
      <c r="M805" s="783"/>
      <c r="N805" s="784">
        <v>4346</v>
      </c>
      <c r="O805" s="784">
        <v>42423</v>
      </c>
      <c r="P805" s="784">
        <v>0</v>
      </c>
      <c r="Q805" s="783">
        <v>9983.61</v>
      </c>
      <c r="R805" s="783"/>
      <c r="S805" s="784">
        <v>8442</v>
      </c>
      <c r="T805" s="785">
        <v>-2529</v>
      </c>
      <c r="U805" s="785">
        <v>5913</v>
      </c>
    </row>
    <row r="806" spans="1:21" x14ac:dyDescent="0.25">
      <c r="A806" s="780">
        <v>99021</v>
      </c>
      <c r="B806" s="781" t="s">
        <v>1969</v>
      </c>
      <c r="C806" s="782">
        <v>1.3990000000000001E-4</v>
      </c>
      <c r="D806" s="782">
        <v>1.3210000000000001E-4</v>
      </c>
      <c r="E806" s="783">
        <v>58332</v>
      </c>
      <c r="F806" s="783">
        <v>-72908</v>
      </c>
      <c r="G806" s="783">
        <v>62786</v>
      </c>
      <c r="H806" s="783"/>
      <c r="I806" s="784">
        <v>0</v>
      </c>
      <c r="J806" s="784">
        <v>126178</v>
      </c>
      <c r="K806" s="784">
        <v>0</v>
      </c>
      <c r="L806" s="783">
        <v>8115</v>
      </c>
      <c r="M806" s="783"/>
      <c r="N806" s="784">
        <v>14758</v>
      </c>
      <c r="O806" s="784">
        <v>144053</v>
      </c>
      <c r="P806" s="784">
        <v>0</v>
      </c>
      <c r="Q806" s="783">
        <v>0</v>
      </c>
      <c r="R806" s="783"/>
      <c r="S806" s="784">
        <v>28666</v>
      </c>
      <c r="T806" s="785">
        <v>2247</v>
      </c>
      <c r="U806" s="785">
        <v>30912</v>
      </c>
    </row>
    <row r="807" spans="1:21" x14ac:dyDescent="0.25">
      <c r="A807" s="780">
        <v>99022</v>
      </c>
      <c r="B807" s="781" t="s">
        <v>1970</v>
      </c>
      <c r="C807" s="782">
        <v>1.33E-5</v>
      </c>
      <c r="D807" s="782">
        <v>1.3900000000000001E-5</v>
      </c>
      <c r="E807" s="783">
        <v>10570</v>
      </c>
      <c r="F807" s="783">
        <v>-7672</v>
      </c>
      <c r="G807" s="783">
        <v>5969</v>
      </c>
      <c r="H807" s="783"/>
      <c r="I807" s="784">
        <v>0</v>
      </c>
      <c r="J807" s="784">
        <v>11995</v>
      </c>
      <c r="K807" s="784">
        <v>0</v>
      </c>
      <c r="L807" s="783">
        <v>3652</v>
      </c>
      <c r="M807" s="783"/>
      <c r="N807" s="784">
        <v>1403</v>
      </c>
      <c r="O807" s="784">
        <v>13695</v>
      </c>
      <c r="P807" s="784">
        <v>0</v>
      </c>
      <c r="Q807" s="783">
        <v>397.67</v>
      </c>
      <c r="R807" s="783"/>
      <c r="S807" s="784">
        <v>2725</v>
      </c>
      <c r="T807" s="785">
        <v>823</v>
      </c>
      <c r="U807" s="785">
        <v>3548</v>
      </c>
    </row>
    <row r="808" spans="1:21" x14ac:dyDescent="0.25">
      <c r="A808" s="780">
        <v>99031</v>
      </c>
      <c r="B808" s="781" t="s">
        <v>1971</v>
      </c>
      <c r="C808" s="782">
        <v>1.2860000000000001E-4</v>
      </c>
      <c r="D808" s="782">
        <v>1.3180000000000001E-4</v>
      </c>
      <c r="E808" s="783">
        <v>47253</v>
      </c>
      <c r="F808" s="783">
        <v>-72743</v>
      </c>
      <c r="G808" s="783">
        <v>57715</v>
      </c>
      <c r="H808" s="783"/>
      <c r="I808" s="784">
        <v>0</v>
      </c>
      <c r="J808" s="784">
        <v>115986</v>
      </c>
      <c r="K808" s="784">
        <v>0</v>
      </c>
      <c r="L808" s="783">
        <v>0</v>
      </c>
      <c r="M808" s="783"/>
      <c r="N808" s="784">
        <v>13566</v>
      </c>
      <c r="O808" s="784">
        <v>132418</v>
      </c>
      <c r="P808" s="784">
        <v>0</v>
      </c>
      <c r="Q808" s="783">
        <v>29578</v>
      </c>
      <c r="R808" s="783"/>
      <c r="S808" s="784">
        <v>26350</v>
      </c>
      <c r="T808" s="785">
        <v>-9427</v>
      </c>
      <c r="U808" s="785">
        <v>16924</v>
      </c>
    </row>
    <row r="809" spans="1:21" x14ac:dyDescent="0.25">
      <c r="A809" s="780">
        <v>99041</v>
      </c>
      <c r="B809" s="781" t="s">
        <v>1972</v>
      </c>
      <c r="C809" s="782">
        <v>5.0670000000000001E-4</v>
      </c>
      <c r="D809" s="782">
        <v>4.5019999999999999E-4</v>
      </c>
      <c r="E809" s="783">
        <v>196235</v>
      </c>
      <c r="F809" s="783">
        <v>-248473</v>
      </c>
      <c r="G809" s="783">
        <v>227404</v>
      </c>
      <c r="H809" s="783"/>
      <c r="I809" s="784">
        <v>0</v>
      </c>
      <c r="J809" s="784">
        <v>457001</v>
      </c>
      <c r="K809" s="784">
        <v>0</v>
      </c>
      <c r="L809" s="783">
        <v>73962</v>
      </c>
      <c r="M809" s="783"/>
      <c r="N809" s="784">
        <v>53453</v>
      </c>
      <c r="O809" s="784">
        <v>521742</v>
      </c>
      <c r="P809" s="784">
        <v>0</v>
      </c>
      <c r="Q809" s="783">
        <v>0</v>
      </c>
      <c r="R809" s="783"/>
      <c r="S809" s="784">
        <v>103824</v>
      </c>
      <c r="T809" s="785">
        <v>22468</v>
      </c>
      <c r="U809" s="785">
        <v>126292</v>
      </c>
    </row>
    <row r="810" spans="1:21" x14ac:dyDescent="0.25">
      <c r="A810" s="780">
        <v>99047</v>
      </c>
      <c r="B810" s="781" t="s">
        <v>1973</v>
      </c>
      <c r="C810" s="782">
        <v>1.19E-5</v>
      </c>
      <c r="D810" s="782">
        <v>1.43E-5</v>
      </c>
      <c r="E810" s="783">
        <v>9821</v>
      </c>
      <c r="F810" s="783">
        <v>-7892</v>
      </c>
      <c r="G810" s="783">
        <v>5341</v>
      </c>
      <c r="H810" s="783"/>
      <c r="I810" s="784">
        <v>0</v>
      </c>
      <c r="J810" s="784">
        <v>10733</v>
      </c>
      <c r="K810" s="784">
        <v>0</v>
      </c>
      <c r="L810" s="783">
        <v>3723</v>
      </c>
      <c r="M810" s="783"/>
      <c r="N810" s="784">
        <v>1255</v>
      </c>
      <c r="O810" s="784">
        <v>12253</v>
      </c>
      <c r="P810" s="784">
        <v>0</v>
      </c>
      <c r="Q810" s="783">
        <v>0</v>
      </c>
      <c r="R810" s="783"/>
      <c r="S810" s="784">
        <v>2438</v>
      </c>
      <c r="T810" s="785">
        <v>1082</v>
      </c>
      <c r="U810" s="785">
        <v>3520</v>
      </c>
    </row>
    <row r="811" spans="1:21" x14ac:dyDescent="0.25">
      <c r="A811" s="780">
        <v>99051</v>
      </c>
      <c r="B811" s="781" t="s">
        <v>1974</v>
      </c>
      <c r="C811" s="782">
        <v>2.8449999999999998E-4</v>
      </c>
      <c r="D811" s="782">
        <v>2.8029999999999998E-4</v>
      </c>
      <c r="E811" s="783">
        <v>119792</v>
      </c>
      <c r="F811" s="783">
        <v>-154703</v>
      </c>
      <c r="G811" s="783">
        <v>127682</v>
      </c>
      <c r="H811" s="783"/>
      <c r="I811" s="784">
        <v>0</v>
      </c>
      <c r="J811" s="784">
        <v>256595</v>
      </c>
      <c r="K811" s="784">
        <v>0</v>
      </c>
      <c r="L811" s="783">
        <v>9749</v>
      </c>
      <c r="M811" s="783"/>
      <c r="N811" s="784">
        <v>30013</v>
      </c>
      <c r="O811" s="784">
        <v>292946</v>
      </c>
      <c r="P811" s="784">
        <v>0</v>
      </c>
      <c r="Q811" s="783">
        <v>0</v>
      </c>
      <c r="R811" s="783"/>
      <c r="S811" s="784">
        <v>58295</v>
      </c>
      <c r="T811" s="785">
        <v>2837</v>
      </c>
      <c r="U811" s="785">
        <v>61131</v>
      </c>
    </row>
    <row r="812" spans="1:21" x14ac:dyDescent="0.25">
      <c r="A812" s="780">
        <v>99061</v>
      </c>
      <c r="B812" s="781" t="s">
        <v>1975</v>
      </c>
      <c r="C812" s="782">
        <v>8.8000000000000004E-6</v>
      </c>
      <c r="D812" s="782">
        <v>7.5000000000000002E-6</v>
      </c>
      <c r="E812" s="783">
        <v>7388</v>
      </c>
      <c r="F812" s="783">
        <v>-4139</v>
      </c>
      <c r="G812" s="783">
        <v>3949</v>
      </c>
      <c r="H812" s="783"/>
      <c r="I812" s="784">
        <v>0</v>
      </c>
      <c r="J812" s="784">
        <v>7937</v>
      </c>
      <c r="K812" s="784">
        <v>0</v>
      </c>
      <c r="L812" s="783">
        <v>4237</v>
      </c>
      <c r="M812" s="783"/>
      <c r="N812" s="784">
        <v>928</v>
      </c>
      <c r="O812" s="784">
        <v>9061</v>
      </c>
      <c r="P812" s="784">
        <v>0</v>
      </c>
      <c r="Q812" s="783">
        <v>0</v>
      </c>
      <c r="R812" s="783"/>
      <c r="S812" s="784">
        <v>1803</v>
      </c>
      <c r="T812" s="785">
        <v>1132</v>
      </c>
      <c r="U812" s="785">
        <v>2935</v>
      </c>
    </row>
    <row r="813" spans="1:21" x14ac:dyDescent="0.25">
      <c r="A813" s="780">
        <v>99071</v>
      </c>
      <c r="B813" s="781" t="s">
        <v>1976</v>
      </c>
      <c r="C813" s="782">
        <v>3.9799999999999998E-5</v>
      </c>
      <c r="D813" s="782">
        <v>4.49E-5</v>
      </c>
      <c r="E813" s="783">
        <v>18097</v>
      </c>
      <c r="F813" s="783">
        <v>-24781</v>
      </c>
      <c r="G813" s="783">
        <v>17862</v>
      </c>
      <c r="H813" s="783"/>
      <c r="I813" s="784">
        <v>0</v>
      </c>
      <c r="J813" s="784">
        <v>35896</v>
      </c>
      <c r="K813" s="784">
        <v>0</v>
      </c>
      <c r="L813" s="783">
        <v>0</v>
      </c>
      <c r="M813" s="783"/>
      <c r="N813" s="784">
        <v>4199</v>
      </c>
      <c r="O813" s="784">
        <v>40982</v>
      </c>
      <c r="P813" s="784">
        <v>0</v>
      </c>
      <c r="Q813" s="783">
        <v>3846</v>
      </c>
      <c r="R813" s="783"/>
      <c r="S813" s="784">
        <v>8155</v>
      </c>
      <c r="T813" s="785">
        <v>-1133</v>
      </c>
      <c r="U813" s="785">
        <v>7023</v>
      </c>
    </row>
    <row r="814" spans="1:21" x14ac:dyDescent="0.25">
      <c r="A814" s="780">
        <v>99081</v>
      </c>
      <c r="B814" s="781" t="s">
        <v>1977</v>
      </c>
      <c r="C814" s="782">
        <v>3.6999999999999998E-5</v>
      </c>
      <c r="D814" s="782">
        <v>2.4499999999999999E-5</v>
      </c>
      <c r="E814" s="783">
        <v>13538</v>
      </c>
      <c r="F814" s="783">
        <v>-13522</v>
      </c>
      <c r="G814" s="783">
        <v>16605</v>
      </c>
      <c r="H814" s="783"/>
      <c r="I814" s="784">
        <v>0</v>
      </c>
      <c r="J814" s="784">
        <v>33371</v>
      </c>
      <c r="K814" s="784">
        <v>0</v>
      </c>
      <c r="L814" s="783">
        <v>7529</v>
      </c>
      <c r="M814" s="783"/>
      <c r="N814" s="784">
        <v>3903</v>
      </c>
      <c r="O814" s="784">
        <v>38098</v>
      </c>
      <c r="P814" s="784">
        <v>0</v>
      </c>
      <c r="Q814" s="783">
        <v>4939</v>
      </c>
      <c r="R814" s="783"/>
      <c r="S814" s="784">
        <v>7581</v>
      </c>
      <c r="T814" s="785">
        <v>319</v>
      </c>
      <c r="U814" s="785">
        <v>7900</v>
      </c>
    </row>
    <row r="815" spans="1:21" x14ac:dyDescent="0.25">
      <c r="A815" s="780">
        <v>99091</v>
      </c>
      <c r="B815" s="781" t="s">
        <v>1978</v>
      </c>
      <c r="C815" s="782">
        <v>4.7999999999999998E-6</v>
      </c>
      <c r="D815" s="782">
        <v>5.4E-6</v>
      </c>
      <c r="E815" s="783">
        <v>4205</v>
      </c>
      <c r="F815" s="783">
        <v>-2980</v>
      </c>
      <c r="G815" s="783">
        <v>2154</v>
      </c>
      <c r="H815" s="783"/>
      <c r="I815" s="784">
        <v>0</v>
      </c>
      <c r="J815" s="784">
        <v>4329</v>
      </c>
      <c r="K815" s="784">
        <v>0</v>
      </c>
      <c r="L815" s="783">
        <v>1358</v>
      </c>
      <c r="M815" s="783"/>
      <c r="N815" s="784">
        <v>506</v>
      </c>
      <c r="O815" s="784">
        <v>4942</v>
      </c>
      <c r="P815" s="784">
        <v>0</v>
      </c>
      <c r="Q815" s="783">
        <v>9762.35</v>
      </c>
      <c r="R815" s="783"/>
      <c r="S815" s="784">
        <v>984</v>
      </c>
      <c r="T815" s="785">
        <v>-2909</v>
      </c>
      <c r="U815" s="785">
        <v>-1926</v>
      </c>
    </row>
    <row r="816" spans="1:21" x14ac:dyDescent="0.25">
      <c r="A816" s="780">
        <v>99101</v>
      </c>
      <c r="B816" s="781" t="s">
        <v>1979</v>
      </c>
      <c r="C816" s="782">
        <v>2.026E-3</v>
      </c>
      <c r="D816" s="782">
        <v>2.0306999999999999E-3</v>
      </c>
      <c r="E816" s="783">
        <v>844790</v>
      </c>
      <c r="F816" s="783">
        <v>-1120780</v>
      </c>
      <c r="G816" s="783">
        <v>909257</v>
      </c>
      <c r="H816" s="783"/>
      <c r="I816" s="784">
        <v>0</v>
      </c>
      <c r="J816" s="784">
        <v>1827282</v>
      </c>
      <c r="K816" s="784">
        <v>0</v>
      </c>
      <c r="L816" s="783">
        <v>10659</v>
      </c>
      <c r="M816" s="783"/>
      <c r="N816" s="784">
        <v>213729</v>
      </c>
      <c r="O816" s="784">
        <v>2086146</v>
      </c>
      <c r="P816" s="784">
        <v>0</v>
      </c>
      <c r="Q816" s="783">
        <v>55132.61</v>
      </c>
      <c r="R816" s="783"/>
      <c r="S816" s="784">
        <v>415131</v>
      </c>
      <c r="T816" s="785">
        <v>-15649</v>
      </c>
      <c r="U816" s="785">
        <v>399483</v>
      </c>
    </row>
    <row r="817" spans="1:21" x14ac:dyDescent="0.25">
      <c r="A817" s="780">
        <v>99104</v>
      </c>
      <c r="B817" s="781" t="s">
        <v>1980</v>
      </c>
      <c r="C817" s="782">
        <v>2.55E-5</v>
      </c>
      <c r="D817" s="782">
        <v>2.5700000000000001E-5</v>
      </c>
      <c r="E817" s="783">
        <v>17765</v>
      </c>
      <c r="F817" s="783">
        <v>-14184</v>
      </c>
      <c r="G817" s="783">
        <v>11444</v>
      </c>
      <c r="H817" s="783"/>
      <c r="I817" s="784">
        <v>0</v>
      </c>
      <c r="J817" s="784">
        <v>22999</v>
      </c>
      <c r="K817" s="784">
        <v>0</v>
      </c>
      <c r="L817" s="783">
        <v>9419</v>
      </c>
      <c r="M817" s="783"/>
      <c r="N817" s="784">
        <v>2690</v>
      </c>
      <c r="O817" s="784">
        <v>26257</v>
      </c>
      <c r="P817" s="784">
        <v>0</v>
      </c>
      <c r="Q817" s="783">
        <v>0</v>
      </c>
      <c r="R817" s="783"/>
      <c r="S817" s="784">
        <v>5225</v>
      </c>
      <c r="T817" s="785">
        <v>2737</v>
      </c>
      <c r="U817" s="785">
        <v>7962</v>
      </c>
    </row>
    <row r="818" spans="1:21" x14ac:dyDescent="0.25">
      <c r="A818" s="780">
        <v>99109</v>
      </c>
      <c r="B818" s="781" t="s">
        <v>1981</v>
      </c>
      <c r="C818" s="782">
        <v>1.4129999999999999E-4</v>
      </c>
      <c r="D818" s="782">
        <v>1.2960000000000001E-4</v>
      </c>
      <c r="E818" s="783">
        <v>56384</v>
      </c>
      <c r="F818" s="783">
        <v>-71529</v>
      </c>
      <c r="G818" s="783">
        <v>63415</v>
      </c>
      <c r="H818" s="783"/>
      <c r="I818" s="784">
        <v>0</v>
      </c>
      <c r="J818" s="784">
        <v>127441</v>
      </c>
      <c r="K818" s="784">
        <v>0</v>
      </c>
      <c r="L818" s="783">
        <v>7175</v>
      </c>
      <c r="M818" s="783"/>
      <c r="N818" s="784">
        <v>14906</v>
      </c>
      <c r="O818" s="784">
        <v>145495</v>
      </c>
      <c r="P818" s="784">
        <v>0</v>
      </c>
      <c r="Q818" s="783">
        <v>13996.19</v>
      </c>
      <c r="R818" s="783"/>
      <c r="S818" s="784">
        <v>28953</v>
      </c>
      <c r="T818" s="785">
        <v>-2803</v>
      </c>
      <c r="U818" s="785">
        <v>26150</v>
      </c>
    </row>
    <row r="819" spans="1:21" x14ac:dyDescent="0.25">
      <c r="A819" s="780">
        <v>99110</v>
      </c>
      <c r="B819" s="781" t="s">
        <v>1982</v>
      </c>
      <c r="C819" s="782">
        <v>1.728E-4</v>
      </c>
      <c r="D819" s="782">
        <v>1.4799999999999999E-4</v>
      </c>
      <c r="E819" s="783">
        <v>100045</v>
      </c>
      <c r="F819" s="783">
        <v>-81684</v>
      </c>
      <c r="G819" s="783">
        <v>77552</v>
      </c>
      <c r="H819" s="783"/>
      <c r="I819" s="784">
        <v>0</v>
      </c>
      <c r="J819" s="784">
        <v>155851</v>
      </c>
      <c r="K819" s="784">
        <v>0</v>
      </c>
      <c r="L819" s="783">
        <v>50872</v>
      </c>
      <c r="M819" s="783"/>
      <c r="N819" s="784">
        <v>18229</v>
      </c>
      <c r="O819" s="784">
        <v>177930</v>
      </c>
      <c r="P819" s="784">
        <v>0</v>
      </c>
      <c r="Q819" s="783">
        <v>0</v>
      </c>
      <c r="R819" s="783"/>
      <c r="S819" s="784">
        <v>35407</v>
      </c>
      <c r="T819" s="785">
        <v>14051</v>
      </c>
      <c r="U819" s="785">
        <v>49458</v>
      </c>
    </row>
    <row r="820" spans="1:21" x14ac:dyDescent="0.25">
      <c r="A820" s="780">
        <v>99111</v>
      </c>
      <c r="B820" s="781" t="s">
        <v>1983</v>
      </c>
      <c r="C820" s="782">
        <v>1.3278000000000001E-3</v>
      </c>
      <c r="D820" s="782">
        <v>1.4199E-3</v>
      </c>
      <c r="E820" s="783">
        <v>512322</v>
      </c>
      <c r="F820" s="783">
        <v>-783668</v>
      </c>
      <c r="G820" s="783">
        <v>595909</v>
      </c>
      <c r="H820" s="783"/>
      <c r="I820" s="784">
        <v>0</v>
      </c>
      <c r="J820" s="784">
        <v>1197564</v>
      </c>
      <c r="K820" s="784">
        <v>0</v>
      </c>
      <c r="L820" s="783">
        <v>0</v>
      </c>
      <c r="M820" s="783"/>
      <c r="N820" s="784">
        <v>140074</v>
      </c>
      <c r="O820" s="784">
        <v>1367218</v>
      </c>
      <c r="P820" s="784">
        <v>0</v>
      </c>
      <c r="Q820" s="783">
        <v>150495</v>
      </c>
      <c r="R820" s="783"/>
      <c r="S820" s="784">
        <v>272069</v>
      </c>
      <c r="T820" s="785">
        <v>-43920</v>
      </c>
      <c r="U820" s="785">
        <v>228149</v>
      </c>
    </row>
    <row r="821" spans="1:21" x14ac:dyDescent="0.25">
      <c r="A821" s="780">
        <v>99201</v>
      </c>
      <c r="B821" s="781" t="s">
        <v>1984</v>
      </c>
      <c r="C821" s="782">
        <v>3.0831399999999998E-2</v>
      </c>
      <c r="D821" s="782">
        <v>2.99034E-2</v>
      </c>
      <c r="E821" s="783">
        <v>12842916</v>
      </c>
      <c r="F821" s="783">
        <v>-16504225</v>
      </c>
      <c r="G821" s="783">
        <v>13836947</v>
      </c>
      <c r="H821" s="783"/>
      <c r="I821" s="784">
        <v>0</v>
      </c>
      <c r="J821" s="784">
        <v>27807333</v>
      </c>
      <c r="K821" s="784">
        <v>0</v>
      </c>
      <c r="L821" s="783">
        <v>853316</v>
      </c>
      <c r="M821" s="783"/>
      <c r="N821" s="784">
        <v>3252497</v>
      </c>
      <c r="O821" s="784">
        <v>31746692</v>
      </c>
      <c r="P821" s="784">
        <v>0</v>
      </c>
      <c r="Q821" s="783">
        <v>729431.43</v>
      </c>
      <c r="R821" s="783"/>
      <c r="S821" s="784">
        <v>6317416</v>
      </c>
      <c r="T821" s="785">
        <v>-20576</v>
      </c>
      <c r="U821" s="785">
        <v>6296840</v>
      </c>
    </row>
    <row r="822" spans="1:21" x14ac:dyDescent="0.25">
      <c r="A822" s="780">
        <v>99202</v>
      </c>
      <c r="B822" s="781" t="s">
        <v>1985</v>
      </c>
      <c r="C822" s="782">
        <v>2.6002999999999998E-3</v>
      </c>
      <c r="D822" s="782">
        <v>2.5086000000000002E-3</v>
      </c>
      <c r="E822" s="783">
        <v>919588</v>
      </c>
      <c r="F822" s="783">
        <v>-1384541</v>
      </c>
      <c r="G822" s="783">
        <v>1166999</v>
      </c>
      <c r="H822" s="783"/>
      <c r="I822" s="784">
        <v>0</v>
      </c>
      <c r="J822" s="784">
        <v>2345252</v>
      </c>
      <c r="K822" s="784">
        <v>0</v>
      </c>
      <c r="L822" s="783">
        <v>0</v>
      </c>
      <c r="M822" s="783"/>
      <c r="N822" s="784">
        <v>274313</v>
      </c>
      <c r="O822" s="784">
        <v>2677495</v>
      </c>
      <c r="P822" s="784">
        <v>0</v>
      </c>
      <c r="Q822" s="783">
        <v>87018</v>
      </c>
      <c r="R822" s="783"/>
      <c r="S822" s="784">
        <v>532807</v>
      </c>
      <c r="T822" s="785">
        <v>-25597</v>
      </c>
      <c r="U822" s="785">
        <v>507209</v>
      </c>
    </row>
    <row r="823" spans="1:21" x14ac:dyDescent="0.25">
      <c r="A823" s="780">
        <v>99203</v>
      </c>
      <c r="B823" s="781" t="s">
        <v>1986</v>
      </c>
      <c r="C823" s="782">
        <v>2.5050000000000002E-4</v>
      </c>
      <c r="D823" s="782">
        <v>2.42E-4</v>
      </c>
      <c r="E823" s="783">
        <v>95689</v>
      </c>
      <c r="F823" s="783">
        <v>-133564</v>
      </c>
      <c r="G823" s="783">
        <v>112423</v>
      </c>
      <c r="H823" s="783"/>
      <c r="I823" s="784">
        <v>0</v>
      </c>
      <c r="J823" s="784">
        <v>225930</v>
      </c>
      <c r="K823" s="784">
        <v>0</v>
      </c>
      <c r="L823" s="783">
        <v>36329</v>
      </c>
      <c r="M823" s="783"/>
      <c r="N823" s="784">
        <v>26426</v>
      </c>
      <c r="O823" s="784">
        <v>257937</v>
      </c>
      <c r="P823" s="784">
        <v>0</v>
      </c>
      <c r="Q823" s="783">
        <v>0</v>
      </c>
      <c r="R823" s="783"/>
      <c r="S823" s="784">
        <v>51328</v>
      </c>
      <c r="T823" s="785">
        <v>12096</v>
      </c>
      <c r="U823" s="785">
        <v>63424</v>
      </c>
    </row>
    <row r="824" spans="1:21" x14ac:dyDescent="0.25">
      <c r="A824" s="780">
        <v>99204</v>
      </c>
      <c r="B824" s="781" t="s">
        <v>1987</v>
      </c>
      <c r="C824" s="782">
        <v>6.5600000000000001E-4</v>
      </c>
      <c r="D824" s="782">
        <v>6.5870000000000002E-4</v>
      </c>
      <c r="E824" s="783">
        <v>300226</v>
      </c>
      <c r="F824" s="783">
        <v>-363548</v>
      </c>
      <c r="G824" s="783">
        <v>294409</v>
      </c>
      <c r="H824" s="783"/>
      <c r="I824" s="784">
        <v>0</v>
      </c>
      <c r="J824" s="784">
        <v>591657</v>
      </c>
      <c r="K824" s="784">
        <v>0</v>
      </c>
      <c r="L824" s="783">
        <v>35346</v>
      </c>
      <c r="M824" s="783"/>
      <c r="N824" s="784">
        <v>69203</v>
      </c>
      <c r="O824" s="784">
        <v>675475</v>
      </c>
      <c r="P824" s="784">
        <v>0</v>
      </c>
      <c r="Q824" s="783">
        <v>0</v>
      </c>
      <c r="R824" s="783"/>
      <c r="S824" s="784">
        <v>134416</v>
      </c>
      <c r="T824" s="785">
        <v>10094</v>
      </c>
      <c r="U824" s="785">
        <v>144509</v>
      </c>
    </row>
    <row r="825" spans="1:21" x14ac:dyDescent="0.25">
      <c r="A825" s="780">
        <v>99206</v>
      </c>
      <c r="B825" s="781" t="s">
        <v>1988</v>
      </c>
      <c r="C825" s="782">
        <v>1.9373999999999999E-3</v>
      </c>
      <c r="D825" s="782">
        <v>1.9239000000000001E-3</v>
      </c>
      <c r="E825" s="783">
        <v>1150570</v>
      </c>
      <c r="F825" s="783">
        <v>-1061835</v>
      </c>
      <c r="G825" s="783">
        <v>869493</v>
      </c>
      <c r="H825" s="783"/>
      <c r="I825" s="784">
        <v>0</v>
      </c>
      <c r="J825" s="784">
        <v>1747372</v>
      </c>
      <c r="K825" s="784">
        <v>0</v>
      </c>
      <c r="L825" s="783">
        <v>294440</v>
      </c>
      <c r="M825" s="783"/>
      <c r="N825" s="784">
        <v>204382</v>
      </c>
      <c r="O825" s="784">
        <v>1994916</v>
      </c>
      <c r="P825" s="784">
        <v>0</v>
      </c>
      <c r="Q825" s="783">
        <v>20358.91</v>
      </c>
      <c r="R825" s="783"/>
      <c r="S825" s="784">
        <v>396977</v>
      </c>
      <c r="T825" s="785">
        <v>70269</v>
      </c>
      <c r="U825" s="785">
        <v>467247</v>
      </c>
    </row>
    <row r="826" spans="1:21" x14ac:dyDescent="0.25">
      <c r="A826" s="780">
        <v>99207</v>
      </c>
      <c r="B826" s="781" t="s">
        <v>1989</v>
      </c>
      <c r="C826" s="782">
        <v>1.4320000000000001E-4</v>
      </c>
      <c r="D826" s="782">
        <v>1.6479999999999999E-4</v>
      </c>
      <c r="E826" s="783">
        <v>121309</v>
      </c>
      <c r="F826" s="783">
        <v>-90956</v>
      </c>
      <c r="G826" s="783">
        <v>64267</v>
      </c>
      <c r="H826" s="783"/>
      <c r="I826" s="784">
        <v>0</v>
      </c>
      <c r="J826" s="784">
        <v>129154</v>
      </c>
      <c r="K826" s="784">
        <v>0</v>
      </c>
      <c r="L826" s="783">
        <v>42248</v>
      </c>
      <c r="M826" s="783"/>
      <c r="N826" s="784">
        <v>15107</v>
      </c>
      <c r="O826" s="784">
        <v>147451</v>
      </c>
      <c r="P826" s="784">
        <v>0</v>
      </c>
      <c r="Q826" s="783">
        <v>0</v>
      </c>
      <c r="R826" s="783"/>
      <c r="S826" s="784">
        <v>29342</v>
      </c>
      <c r="T826" s="785">
        <v>11612</v>
      </c>
      <c r="U826" s="785">
        <v>40954</v>
      </c>
    </row>
    <row r="827" spans="1:21" x14ac:dyDescent="0.25">
      <c r="A827" s="780">
        <v>99208</v>
      </c>
      <c r="B827" s="781" t="s">
        <v>1990</v>
      </c>
      <c r="C827" s="782">
        <v>1.774E-4</v>
      </c>
      <c r="D827" s="782">
        <v>1.7229999999999999E-4</v>
      </c>
      <c r="E827" s="783">
        <v>50690</v>
      </c>
      <c r="F827" s="783">
        <v>-95095</v>
      </c>
      <c r="G827" s="783">
        <v>79616</v>
      </c>
      <c r="H827" s="783"/>
      <c r="I827" s="784">
        <v>0</v>
      </c>
      <c r="J827" s="784">
        <v>160000</v>
      </c>
      <c r="K827" s="784">
        <v>0</v>
      </c>
      <c r="L827" s="783">
        <v>0</v>
      </c>
      <c r="M827" s="783"/>
      <c r="N827" s="784">
        <v>18714</v>
      </c>
      <c r="O827" s="784">
        <v>182666</v>
      </c>
      <c r="P827" s="784">
        <v>0</v>
      </c>
      <c r="Q827" s="783">
        <v>40620</v>
      </c>
      <c r="R827" s="783"/>
      <c r="S827" s="784">
        <v>36350</v>
      </c>
      <c r="T827" s="785">
        <v>-12593</v>
      </c>
      <c r="U827" s="785">
        <v>23756</v>
      </c>
    </row>
    <row r="828" spans="1:21" x14ac:dyDescent="0.25">
      <c r="A828" s="780">
        <v>99210</v>
      </c>
      <c r="B828" s="781" t="s">
        <v>1991</v>
      </c>
      <c r="C828" s="782">
        <v>1.6262E-3</v>
      </c>
      <c r="D828" s="782">
        <v>1.6076E-3</v>
      </c>
      <c r="E828" s="783">
        <v>732709</v>
      </c>
      <c r="F828" s="783">
        <v>-887263</v>
      </c>
      <c r="G828" s="783">
        <v>729829</v>
      </c>
      <c r="H828" s="783"/>
      <c r="I828" s="784">
        <v>0</v>
      </c>
      <c r="J828" s="784">
        <v>1466696</v>
      </c>
      <c r="K828" s="784">
        <v>0</v>
      </c>
      <c r="L828" s="783">
        <v>79253</v>
      </c>
      <c r="M828" s="783"/>
      <c r="N828" s="784">
        <v>171553</v>
      </c>
      <c r="O828" s="784">
        <v>1674477</v>
      </c>
      <c r="P828" s="784">
        <v>0</v>
      </c>
      <c r="Q828" s="783">
        <v>0</v>
      </c>
      <c r="R828" s="783"/>
      <c r="S828" s="784">
        <v>333212</v>
      </c>
      <c r="T828" s="785">
        <v>21598</v>
      </c>
      <c r="U828" s="785">
        <v>354809</v>
      </c>
    </row>
    <row r="829" spans="1:21" x14ac:dyDescent="0.25">
      <c r="A829" s="780">
        <v>99211</v>
      </c>
      <c r="B829" s="781" t="s">
        <v>1992</v>
      </c>
      <c r="C829" s="782">
        <v>3.7564199999999999E-2</v>
      </c>
      <c r="D829" s="782">
        <v>3.7072899999999999E-2</v>
      </c>
      <c r="E829" s="783">
        <v>14459285</v>
      </c>
      <c r="F829" s="783">
        <v>-20461201</v>
      </c>
      <c r="G829" s="783">
        <v>16858588</v>
      </c>
      <c r="H829" s="783"/>
      <c r="I829" s="784">
        <v>0</v>
      </c>
      <c r="J829" s="784">
        <v>33879753</v>
      </c>
      <c r="K829" s="784">
        <v>0</v>
      </c>
      <c r="L829" s="783">
        <v>0</v>
      </c>
      <c r="M829" s="783"/>
      <c r="N829" s="784">
        <v>3962760</v>
      </c>
      <c r="O829" s="784">
        <v>38679368</v>
      </c>
      <c r="P829" s="784">
        <v>0</v>
      </c>
      <c r="Q829" s="783">
        <v>945012</v>
      </c>
      <c r="R829" s="783"/>
      <c r="S829" s="784">
        <v>7696980</v>
      </c>
      <c r="T829" s="785">
        <v>-290574</v>
      </c>
      <c r="U829" s="785">
        <v>7406406</v>
      </c>
    </row>
    <row r="830" spans="1:21" x14ac:dyDescent="0.25">
      <c r="A830" s="780">
        <v>99212</v>
      </c>
      <c r="B830" s="781" t="s">
        <v>1993</v>
      </c>
      <c r="C830" s="782">
        <v>1.2750000000000001E-4</v>
      </c>
      <c r="D830" s="782">
        <v>1.219E-4</v>
      </c>
      <c r="E830" s="783">
        <v>27907</v>
      </c>
      <c r="F830" s="783">
        <v>-67279</v>
      </c>
      <c r="G830" s="783">
        <v>57221</v>
      </c>
      <c r="H830" s="783"/>
      <c r="I830" s="784">
        <v>0</v>
      </c>
      <c r="J830" s="784">
        <v>114994</v>
      </c>
      <c r="K830" s="784">
        <v>0</v>
      </c>
      <c r="L830" s="783">
        <v>0</v>
      </c>
      <c r="M830" s="783"/>
      <c r="N830" s="784">
        <v>13450</v>
      </c>
      <c r="O830" s="784">
        <v>131285</v>
      </c>
      <c r="P830" s="784">
        <v>0</v>
      </c>
      <c r="Q830" s="783">
        <v>24218</v>
      </c>
      <c r="R830" s="783"/>
      <c r="S830" s="784">
        <v>26125</v>
      </c>
      <c r="T830" s="785">
        <v>-6995</v>
      </c>
      <c r="U830" s="785">
        <v>19131</v>
      </c>
    </row>
    <row r="831" spans="1:21" x14ac:dyDescent="0.25">
      <c r="A831" s="780">
        <v>99213</v>
      </c>
      <c r="B831" s="781" t="s">
        <v>1994</v>
      </c>
      <c r="C831" s="782">
        <v>8.3339999999999998E-4</v>
      </c>
      <c r="D831" s="782">
        <v>8.4809999999999996E-4</v>
      </c>
      <c r="E831" s="783">
        <v>369318</v>
      </c>
      <c r="F831" s="783">
        <v>-468082</v>
      </c>
      <c r="G831" s="783">
        <v>374025</v>
      </c>
      <c r="H831" s="783"/>
      <c r="I831" s="784">
        <v>0</v>
      </c>
      <c r="J831" s="784">
        <v>751657</v>
      </c>
      <c r="K831" s="784">
        <v>0</v>
      </c>
      <c r="L831" s="783">
        <v>12712</v>
      </c>
      <c r="M831" s="783"/>
      <c r="N831" s="784">
        <v>87918</v>
      </c>
      <c r="O831" s="784">
        <v>858141</v>
      </c>
      <c r="P831" s="784">
        <v>0</v>
      </c>
      <c r="Q831" s="783">
        <v>3486.34</v>
      </c>
      <c r="R831" s="783"/>
      <c r="S831" s="784">
        <v>170765</v>
      </c>
      <c r="T831" s="785">
        <v>2162</v>
      </c>
      <c r="U831" s="785">
        <v>172927</v>
      </c>
    </row>
    <row r="832" spans="1:21" x14ac:dyDescent="0.25">
      <c r="A832" s="780">
        <v>99218</v>
      </c>
      <c r="B832" s="781" t="s">
        <v>1995</v>
      </c>
      <c r="C832" s="782">
        <v>2.8506999999999998E-3</v>
      </c>
      <c r="D832" s="782">
        <v>2.8433E-3</v>
      </c>
      <c r="E832" s="783">
        <v>1234250</v>
      </c>
      <c r="F832" s="783">
        <v>-1569268</v>
      </c>
      <c r="G832" s="783">
        <v>1279377</v>
      </c>
      <c r="H832" s="783"/>
      <c r="I832" s="784">
        <v>0</v>
      </c>
      <c r="J832" s="784">
        <v>2571092</v>
      </c>
      <c r="K832" s="784">
        <v>0</v>
      </c>
      <c r="L832" s="783">
        <v>73436</v>
      </c>
      <c r="M832" s="783"/>
      <c r="N832" s="784">
        <v>300729</v>
      </c>
      <c r="O832" s="784">
        <v>2935329</v>
      </c>
      <c r="P832" s="784">
        <v>0</v>
      </c>
      <c r="Q832" s="783">
        <v>0</v>
      </c>
      <c r="R832" s="783"/>
      <c r="S832" s="784">
        <v>584114</v>
      </c>
      <c r="T832" s="785">
        <v>20131</v>
      </c>
      <c r="U832" s="785">
        <v>604245</v>
      </c>
    </row>
    <row r="833" spans="1:21" x14ac:dyDescent="0.25">
      <c r="A833" s="780">
        <v>99221</v>
      </c>
      <c r="B833" s="781" t="s">
        <v>1996</v>
      </c>
      <c r="C833" s="782">
        <v>1.33233E-2</v>
      </c>
      <c r="D833" s="782">
        <v>1.31276E-2</v>
      </c>
      <c r="E833" s="783">
        <v>5067097</v>
      </c>
      <c r="F833" s="783">
        <v>-7245359</v>
      </c>
      <c r="G833" s="783">
        <v>5979417</v>
      </c>
      <c r="H833" s="783"/>
      <c r="I833" s="784">
        <v>0</v>
      </c>
      <c r="J833" s="784">
        <v>12016497</v>
      </c>
      <c r="K833" s="784">
        <v>0</v>
      </c>
      <c r="L833" s="783">
        <v>0</v>
      </c>
      <c r="M833" s="783"/>
      <c r="N833" s="784">
        <v>1405515</v>
      </c>
      <c r="O833" s="784">
        <v>13718829</v>
      </c>
      <c r="P833" s="784">
        <v>0</v>
      </c>
      <c r="Q833" s="783">
        <v>326287</v>
      </c>
      <c r="R833" s="783"/>
      <c r="S833" s="784">
        <v>2729971</v>
      </c>
      <c r="T833" s="785">
        <v>-97649</v>
      </c>
      <c r="U833" s="785">
        <v>2632322</v>
      </c>
    </row>
    <row r="834" spans="1:21" x14ac:dyDescent="0.25">
      <c r="A834" s="780">
        <v>99222</v>
      </c>
      <c r="B834" s="781" t="s">
        <v>1997</v>
      </c>
      <c r="C834" s="782">
        <v>3.82E-5</v>
      </c>
      <c r="D834" s="782">
        <v>2.9300000000000001E-5</v>
      </c>
      <c r="E834" s="783">
        <v>13826</v>
      </c>
      <c r="F834" s="783">
        <v>-16171</v>
      </c>
      <c r="G834" s="783">
        <v>17144</v>
      </c>
      <c r="H834" s="783"/>
      <c r="I834" s="784">
        <v>0</v>
      </c>
      <c r="J834" s="784">
        <v>34453</v>
      </c>
      <c r="K834" s="784">
        <v>0</v>
      </c>
      <c r="L834" s="783">
        <v>4842</v>
      </c>
      <c r="M834" s="783"/>
      <c r="N834" s="784">
        <v>4030</v>
      </c>
      <c r="O834" s="784">
        <v>39334</v>
      </c>
      <c r="P834" s="784">
        <v>0</v>
      </c>
      <c r="Q834" s="783">
        <v>0</v>
      </c>
      <c r="R834" s="783"/>
      <c r="S834" s="784">
        <v>7827</v>
      </c>
      <c r="T834" s="785">
        <v>1268</v>
      </c>
      <c r="U834" s="785">
        <v>9095</v>
      </c>
    </row>
    <row r="835" spans="1:21" x14ac:dyDescent="0.25">
      <c r="A835" s="780">
        <v>99231</v>
      </c>
      <c r="B835" s="781" t="s">
        <v>1998</v>
      </c>
      <c r="C835" s="782">
        <v>3.7139999999999997E-4</v>
      </c>
      <c r="D835" s="782">
        <v>3.6460000000000003E-4</v>
      </c>
      <c r="E835" s="783">
        <v>135061</v>
      </c>
      <c r="F835" s="783">
        <v>-201229</v>
      </c>
      <c r="G835" s="783">
        <v>166682</v>
      </c>
      <c r="H835" s="783"/>
      <c r="I835" s="784">
        <v>0</v>
      </c>
      <c r="J835" s="784">
        <v>334972</v>
      </c>
      <c r="K835" s="784">
        <v>0</v>
      </c>
      <c r="L835" s="783">
        <v>0</v>
      </c>
      <c r="M835" s="783"/>
      <c r="N835" s="784">
        <v>39180</v>
      </c>
      <c r="O835" s="784">
        <v>382426</v>
      </c>
      <c r="P835" s="784">
        <v>0</v>
      </c>
      <c r="Q835" s="783">
        <v>29623</v>
      </c>
      <c r="R835" s="783"/>
      <c r="S835" s="784">
        <v>76101</v>
      </c>
      <c r="T835" s="785">
        <v>-9300</v>
      </c>
      <c r="U835" s="785">
        <v>66801</v>
      </c>
    </row>
    <row r="836" spans="1:21" x14ac:dyDescent="0.25">
      <c r="A836" s="780">
        <v>99241</v>
      </c>
      <c r="B836" s="781" t="s">
        <v>1999</v>
      </c>
      <c r="C836" s="782">
        <v>5.9259999999999998E-4</v>
      </c>
      <c r="D836" s="782">
        <v>6.1919999999999998E-4</v>
      </c>
      <c r="E836" s="783">
        <v>205370</v>
      </c>
      <c r="F836" s="783">
        <v>-341748</v>
      </c>
      <c r="G836" s="783">
        <v>265955</v>
      </c>
      <c r="H836" s="783"/>
      <c r="I836" s="784">
        <v>0</v>
      </c>
      <c r="J836" s="784">
        <v>534475</v>
      </c>
      <c r="K836" s="784">
        <v>0</v>
      </c>
      <c r="L836" s="783">
        <v>0</v>
      </c>
      <c r="M836" s="783"/>
      <c r="N836" s="784">
        <v>62515</v>
      </c>
      <c r="O836" s="784">
        <v>610193</v>
      </c>
      <c r="P836" s="784">
        <v>0</v>
      </c>
      <c r="Q836" s="783">
        <v>112284</v>
      </c>
      <c r="R836" s="783"/>
      <c r="S836" s="784">
        <v>121425</v>
      </c>
      <c r="T836" s="785">
        <v>-34090</v>
      </c>
      <c r="U836" s="785">
        <v>87335</v>
      </c>
    </row>
    <row r="837" spans="1:21" x14ac:dyDescent="0.25">
      <c r="A837" s="780">
        <v>99251</v>
      </c>
      <c r="B837" s="781" t="s">
        <v>2000</v>
      </c>
      <c r="C837" s="782">
        <v>1.598E-3</v>
      </c>
      <c r="D837" s="782">
        <v>1.6119999999999999E-3</v>
      </c>
      <c r="E837" s="783">
        <v>668409</v>
      </c>
      <c r="F837" s="783">
        <v>-889692</v>
      </c>
      <c r="G837" s="783">
        <v>717173</v>
      </c>
      <c r="H837" s="783"/>
      <c r="I837" s="784">
        <v>0</v>
      </c>
      <c r="J837" s="784">
        <v>1441262</v>
      </c>
      <c r="K837" s="784">
        <v>0</v>
      </c>
      <c r="L837" s="783">
        <v>2836</v>
      </c>
      <c r="M837" s="783"/>
      <c r="N837" s="784">
        <v>168578</v>
      </c>
      <c r="O837" s="784">
        <v>1645440</v>
      </c>
      <c r="P837" s="784">
        <v>0</v>
      </c>
      <c r="Q837" s="783">
        <v>21322</v>
      </c>
      <c r="R837" s="783"/>
      <c r="S837" s="784">
        <v>327433</v>
      </c>
      <c r="T837" s="785">
        <v>-6389</v>
      </c>
      <c r="U837" s="785">
        <v>321045</v>
      </c>
    </row>
    <row r="838" spans="1:21" x14ac:dyDescent="0.25">
      <c r="A838" s="780">
        <v>99252</v>
      </c>
      <c r="B838" s="781" t="s">
        <v>2001</v>
      </c>
      <c r="C838" s="782">
        <v>7.4010000000000005E-4</v>
      </c>
      <c r="D838" s="782">
        <v>7.4960000000000001E-4</v>
      </c>
      <c r="E838" s="783">
        <v>169808</v>
      </c>
      <c r="F838" s="783">
        <v>-413718</v>
      </c>
      <c r="G838" s="783">
        <v>332152</v>
      </c>
      <c r="H838" s="783"/>
      <c r="I838" s="784">
        <v>0</v>
      </c>
      <c r="J838" s="784">
        <v>667508</v>
      </c>
      <c r="K838" s="784">
        <v>0</v>
      </c>
      <c r="L838" s="783">
        <v>0</v>
      </c>
      <c r="M838" s="783"/>
      <c r="N838" s="784">
        <v>78075</v>
      </c>
      <c r="O838" s="784">
        <v>762071</v>
      </c>
      <c r="P838" s="784">
        <v>0</v>
      </c>
      <c r="Q838" s="783">
        <v>149032</v>
      </c>
      <c r="R838" s="783"/>
      <c r="S838" s="784">
        <v>151648</v>
      </c>
      <c r="T838" s="785">
        <v>-41736</v>
      </c>
      <c r="U838" s="785">
        <v>109912</v>
      </c>
    </row>
    <row r="839" spans="1:21" x14ac:dyDescent="0.25">
      <c r="A839" s="780">
        <v>99261</v>
      </c>
      <c r="B839" s="781" t="s">
        <v>2002</v>
      </c>
      <c r="C839" s="782">
        <v>1.8552E-3</v>
      </c>
      <c r="D839" s="782">
        <v>1.7953999999999999E-3</v>
      </c>
      <c r="E839" s="783">
        <v>622456</v>
      </c>
      <c r="F839" s="783">
        <v>-990914</v>
      </c>
      <c r="G839" s="783">
        <v>832603</v>
      </c>
      <c r="H839" s="783"/>
      <c r="I839" s="784">
        <v>0</v>
      </c>
      <c r="J839" s="784">
        <v>1673235</v>
      </c>
      <c r="K839" s="784">
        <v>0</v>
      </c>
      <c r="L839" s="783">
        <v>0</v>
      </c>
      <c r="M839" s="783"/>
      <c r="N839" s="784">
        <v>195711</v>
      </c>
      <c r="O839" s="784">
        <v>1910275</v>
      </c>
      <c r="P839" s="784">
        <v>0</v>
      </c>
      <c r="Q839" s="783">
        <v>131110</v>
      </c>
      <c r="R839" s="783"/>
      <c r="S839" s="784">
        <v>380134</v>
      </c>
      <c r="T839" s="785">
        <v>-39125</v>
      </c>
      <c r="U839" s="785">
        <v>341009</v>
      </c>
    </row>
    <row r="840" spans="1:21" x14ac:dyDescent="0.25">
      <c r="A840" s="780">
        <v>99271</v>
      </c>
      <c r="B840" s="781" t="s">
        <v>2003</v>
      </c>
      <c r="C840" s="782">
        <v>3.9693000000000003E-3</v>
      </c>
      <c r="D840" s="782">
        <v>3.8363E-3</v>
      </c>
      <c r="E840" s="783">
        <v>1466154</v>
      </c>
      <c r="F840" s="783">
        <v>-2117323</v>
      </c>
      <c r="G840" s="783">
        <v>1781398</v>
      </c>
      <c r="H840" s="783"/>
      <c r="I840" s="784">
        <v>0</v>
      </c>
      <c r="J840" s="784">
        <v>3579975</v>
      </c>
      <c r="K840" s="784">
        <v>0</v>
      </c>
      <c r="L840" s="783">
        <v>0</v>
      </c>
      <c r="M840" s="783"/>
      <c r="N840" s="784">
        <v>418733</v>
      </c>
      <c r="O840" s="784">
        <v>4087137</v>
      </c>
      <c r="P840" s="784">
        <v>0</v>
      </c>
      <c r="Q840" s="783">
        <v>33239</v>
      </c>
      <c r="R840" s="783"/>
      <c r="S840" s="784">
        <v>813318</v>
      </c>
      <c r="T840" s="785">
        <v>-9004</v>
      </c>
      <c r="U840" s="785">
        <v>804313</v>
      </c>
    </row>
    <row r="841" spans="1:21" x14ac:dyDescent="0.25">
      <c r="A841" s="780">
        <v>99281</v>
      </c>
      <c r="B841" s="781" t="s">
        <v>2004</v>
      </c>
      <c r="C841" s="782">
        <v>2.3207000000000002E-3</v>
      </c>
      <c r="D841" s="782">
        <v>2.3078E-3</v>
      </c>
      <c r="E841" s="783">
        <v>884799</v>
      </c>
      <c r="F841" s="783">
        <v>-1273716</v>
      </c>
      <c r="G841" s="783">
        <v>1041516</v>
      </c>
      <c r="H841" s="783"/>
      <c r="I841" s="784">
        <v>0</v>
      </c>
      <c r="J841" s="784">
        <v>2093076</v>
      </c>
      <c r="K841" s="784">
        <v>0</v>
      </c>
      <c r="L841" s="783">
        <v>20365</v>
      </c>
      <c r="M841" s="783"/>
      <c r="N841" s="784">
        <v>244818</v>
      </c>
      <c r="O841" s="784">
        <v>2389595</v>
      </c>
      <c r="P841" s="784">
        <v>0</v>
      </c>
      <c r="Q841" s="783">
        <v>40640</v>
      </c>
      <c r="R841" s="783"/>
      <c r="S841" s="784">
        <v>475516</v>
      </c>
      <c r="T841" s="785">
        <v>-3828</v>
      </c>
      <c r="U841" s="785">
        <v>471688</v>
      </c>
    </row>
    <row r="842" spans="1:21" x14ac:dyDescent="0.25">
      <c r="A842" s="780">
        <v>99291</v>
      </c>
      <c r="B842" s="781" t="s">
        <v>2005</v>
      </c>
      <c r="C842" s="782">
        <v>8.0780000000000001E-4</v>
      </c>
      <c r="D842" s="782">
        <v>8.2589999999999996E-4</v>
      </c>
      <c r="E842" s="783">
        <v>273809</v>
      </c>
      <c r="F842" s="783">
        <v>-455829</v>
      </c>
      <c r="G842" s="783">
        <v>362536</v>
      </c>
      <c r="H842" s="783"/>
      <c r="I842" s="784">
        <v>0</v>
      </c>
      <c r="J842" s="784">
        <v>728568</v>
      </c>
      <c r="K842" s="784">
        <v>0</v>
      </c>
      <c r="L842" s="783">
        <v>0</v>
      </c>
      <c r="M842" s="783"/>
      <c r="N842" s="784">
        <v>85217</v>
      </c>
      <c r="O842" s="784">
        <v>831781</v>
      </c>
      <c r="P842" s="784">
        <v>0</v>
      </c>
      <c r="Q842" s="783">
        <v>91311</v>
      </c>
      <c r="R842" s="783"/>
      <c r="S842" s="784">
        <v>165520</v>
      </c>
      <c r="T842" s="785">
        <v>-26390</v>
      </c>
      <c r="U842" s="785">
        <v>139129</v>
      </c>
    </row>
    <row r="843" spans="1:21" x14ac:dyDescent="0.25">
      <c r="A843" s="780">
        <v>99301</v>
      </c>
      <c r="B843" s="781" t="s">
        <v>2006</v>
      </c>
      <c r="C843" s="782">
        <v>1.7903000000000001E-3</v>
      </c>
      <c r="D843" s="782">
        <v>1.7198999999999999E-3</v>
      </c>
      <c r="E843" s="783">
        <v>743736</v>
      </c>
      <c r="F843" s="783">
        <v>-949244</v>
      </c>
      <c r="G843" s="783">
        <v>803476</v>
      </c>
      <c r="H843" s="783"/>
      <c r="I843" s="784">
        <v>0</v>
      </c>
      <c r="J843" s="784">
        <v>1614700</v>
      </c>
      <c r="K843" s="784">
        <v>0</v>
      </c>
      <c r="L843" s="783">
        <v>177452</v>
      </c>
      <c r="M843" s="783"/>
      <c r="N843" s="784">
        <v>188864</v>
      </c>
      <c r="O843" s="784">
        <v>1843449</v>
      </c>
      <c r="P843" s="784">
        <v>0</v>
      </c>
      <c r="Q843" s="783">
        <v>0</v>
      </c>
      <c r="R843" s="783"/>
      <c r="S843" s="784">
        <v>366836</v>
      </c>
      <c r="T843" s="785">
        <v>55022</v>
      </c>
      <c r="U843" s="785">
        <v>421858</v>
      </c>
    </row>
    <row r="844" spans="1:21" x14ac:dyDescent="0.25">
      <c r="A844" s="780">
        <v>99304</v>
      </c>
      <c r="B844" s="781" t="s">
        <v>2007</v>
      </c>
      <c r="C844" s="782">
        <v>1.0000000000000001E-5</v>
      </c>
      <c r="D844" s="782">
        <v>9.9000000000000001E-6</v>
      </c>
      <c r="E844" s="783">
        <v>6783</v>
      </c>
      <c r="F844" s="783">
        <v>-5464</v>
      </c>
      <c r="G844" s="783">
        <v>4488</v>
      </c>
      <c r="H844" s="783"/>
      <c r="I844" s="784">
        <v>0</v>
      </c>
      <c r="J844" s="784">
        <v>9019.16</v>
      </c>
      <c r="K844" s="784">
        <v>0</v>
      </c>
      <c r="L844" s="783">
        <v>2210</v>
      </c>
      <c r="M844" s="783"/>
      <c r="N844" s="784">
        <v>1054.93</v>
      </c>
      <c r="O844" s="784">
        <v>10297</v>
      </c>
      <c r="P844" s="784">
        <v>0</v>
      </c>
      <c r="Q844" s="783">
        <v>747.5</v>
      </c>
      <c r="R844" s="783"/>
      <c r="S844" s="784">
        <v>2049.02</v>
      </c>
      <c r="T844" s="785">
        <v>329</v>
      </c>
      <c r="U844" s="785">
        <v>2378</v>
      </c>
    </row>
    <row r="845" spans="1:21" x14ac:dyDescent="0.25">
      <c r="A845" s="780">
        <v>99311</v>
      </c>
      <c r="B845" s="781" t="s">
        <v>2008</v>
      </c>
      <c r="C845" s="782">
        <v>6.2100000000000005E-5</v>
      </c>
      <c r="D845" s="782">
        <v>5.8199999999999998E-5</v>
      </c>
      <c r="E845" s="783">
        <v>21857</v>
      </c>
      <c r="F845" s="783">
        <v>-32122</v>
      </c>
      <c r="G845" s="783">
        <v>27870</v>
      </c>
      <c r="H845" s="783"/>
      <c r="I845" s="784">
        <v>0</v>
      </c>
      <c r="J845" s="784">
        <v>56009</v>
      </c>
      <c r="K845" s="784">
        <v>0</v>
      </c>
      <c r="L845" s="783">
        <v>0</v>
      </c>
      <c r="M845" s="783"/>
      <c r="N845" s="784">
        <v>6551</v>
      </c>
      <c r="O845" s="784">
        <v>63944</v>
      </c>
      <c r="P845" s="784">
        <v>0</v>
      </c>
      <c r="Q845" s="783">
        <v>4771</v>
      </c>
      <c r="R845" s="783"/>
      <c r="S845" s="784">
        <v>12724</v>
      </c>
      <c r="T845" s="785">
        <v>-1593</v>
      </c>
      <c r="U845" s="785">
        <v>11131</v>
      </c>
    </row>
    <row r="846" spans="1:21" x14ac:dyDescent="0.25">
      <c r="A846" s="780">
        <v>99321</v>
      </c>
      <c r="B846" s="781" t="s">
        <v>2009</v>
      </c>
      <c r="C846" s="782">
        <v>1.015E-4</v>
      </c>
      <c r="D846" s="782">
        <v>9.0699999999999996E-5</v>
      </c>
      <c r="E846" s="783">
        <v>85317</v>
      </c>
      <c r="F846" s="783">
        <v>-50059</v>
      </c>
      <c r="G846" s="783">
        <v>45553</v>
      </c>
      <c r="H846" s="783"/>
      <c r="I846" s="784">
        <v>0</v>
      </c>
      <c r="J846" s="784">
        <v>91544</v>
      </c>
      <c r="K846" s="784">
        <v>0</v>
      </c>
      <c r="L846" s="783">
        <v>76874</v>
      </c>
      <c r="M846" s="783"/>
      <c r="N846" s="784">
        <v>10708</v>
      </c>
      <c r="O846" s="784">
        <v>104513</v>
      </c>
      <c r="P846" s="784">
        <v>0</v>
      </c>
      <c r="Q846" s="783">
        <v>0</v>
      </c>
      <c r="R846" s="783"/>
      <c r="S846" s="784">
        <v>20798</v>
      </c>
      <c r="T846" s="785">
        <v>22633</v>
      </c>
      <c r="U846" s="785">
        <v>43430</v>
      </c>
    </row>
    <row r="847" spans="1:21" x14ac:dyDescent="0.25">
      <c r="A847" s="780">
        <v>99401</v>
      </c>
      <c r="B847" s="781" t="s">
        <v>2010</v>
      </c>
      <c r="C847" s="782">
        <v>9.0470000000000004E-4</v>
      </c>
      <c r="D847" s="782">
        <v>9.456E-4</v>
      </c>
      <c r="E847" s="783">
        <v>411341</v>
      </c>
      <c r="F847" s="783">
        <v>-521894</v>
      </c>
      <c r="G847" s="783">
        <v>406024</v>
      </c>
      <c r="H847" s="783"/>
      <c r="I847" s="784">
        <v>0</v>
      </c>
      <c r="J847" s="784">
        <v>815963</v>
      </c>
      <c r="K847" s="784">
        <v>0</v>
      </c>
      <c r="L847" s="783">
        <v>69897</v>
      </c>
      <c r="M847" s="783"/>
      <c r="N847" s="784">
        <v>95440</v>
      </c>
      <c r="O847" s="784">
        <v>931558</v>
      </c>
      <c r="P847" s="784">
        <v>0</v>
      </c>
      <c r="Q847" s="783">
        <v>0</v>
      </c>
      <c r="R847" s="783"/>
      <c r="S847" s="784">
        <v>185375</v>
      </c>
      <c r="T847" s="785">
        <v>23046</v>
      </c>
      <c r="U847" s="785">
        <v>208421</v>
      </c>
    </row>
    <row r="848" spans="1:21" x14ac:dyDescent="0.25">
      <c r="A848" s="780">
        <v>99404</v>
      </c>
      <c r="B848" s="781" t="s">
        <v>2011</v>
      </c>
      <c r="C848" s="782">
        <v>9.9000000000000001E-6</v>
      </c>
      <c r="D848" s="782">
        <v>1.0699999999999999E-5</v>
      </c>
      <c r="E848" s="783">
        <v>5045</v>
      </c>
      <c r="F848" s="783">
        <v>-5906</v>
      </c>
      <c r="G848" s="783">
        <v>4443</v>
      </c>
      <c r="H848" s="783"/>
      <c r="I848" s="784">
        <v>0</v>
      </c>
      <c r="J848" s="784">
        <v>8929</v>
      </c>
      <c r="K848" s="784">
        <v>0</v>
      </c>
      <c r="L848" s="783">
        <v>464</v>
      </c>
      <c r="M848" s="783"/>
      <c r="N848" s="784">
        <v>1044</v>
      </c>
      <c r="O848" s="784">
        <v>10194</v>
      </c>
      <c r="P848" s="784">
        <v>0</v>
      </c>
      <c r="Q848" s="783">
        <v>0</v>
      </c>
      <c r="R848" s="783"/>
      <c r="S848" s="784">
        <v>2029</v>
      </c>
      <c r="T848" s="785">
        <v>138</v>
      </c>
      <c r="U848" s="785">
        <v>2167</v>
      </c>
    </row>
    <row r="849" spans="1:21" x14ac:dyDescent="0.25">
      <c r="A849" s="780">
        <v>99405</v>
      </c>
      <c r="B849" s="781" t="s">
        <v>2012</v>
      </c>
      <c r="C849" s="782">
        <v>6.3399999999999996E-5</v>
      </c>
      <c r="D849" s="782">
        <v>5.9799999999999997E-5</v>
      </c>
      <c r="E849" s="783">
        <v>36243</v>
      </c>
      <c r="F849" s="783">
        <v>-33005</v>
      </c>
      <c r="G849" s="783">
        <v>28454</v>
      </c>
      <c r="H849" s="783"/>
      <c r="I849" s="784">
        <v>0</v>
      </c>
      <c r="J849" s="784">
        <v>57181</v>
      </c>
      <c r="K849" s="784">
        <v>0</v>
      </c>
      <c r="L849" s="783">
        <v>10735</v>
      </c>
      <c r="M849" s="783"/>
      <c r="N849" s="784">
        <v>6688</v>
      </c>
      <c r="O849" s="784">
        <v>65282</v>
      </c>
      <c r="P849" s="784">
        <v>0</v>
      </c>
      <c r="Q849" s="783">
        <v>1014</v>
      </c>
      <c r="R849" s="783"/>
      <c r="S849" s="784">
        <v>12991</v>
      </c>
      <c r="T849" s="785">
        <v>2471</v>
      </c>
      <c r="U849" s="785">
        <v>15462</v>
      </c>
    </row>
    <row r="850" spans="1:21" x14ac:dyDescent="0.25">
      <c r="A850" s="780">
        <v>99411</v>
      </c>
      <c r="B850" s="781" t="s">
        <v>2013</v>
      </c>
      <c r="C850" s="782">
        <v>1.07E-4</v>
      </c>
      <c r="D850" s="782">
        <v>1.116E-4</v>
      </c>
      <c r="E850" s="783">
        <v>59445</v>
      </c>
      <c r="F850" s="783">
        <v>-61594</v>
      </c>
      <c r="G850" s="783">
        <v>48021</v>
      </c>
      <c r="H850" s="783"/>
      <c r="I850" s="784">
        <v>0</v>
      </c>
      <c r="J850" s="784">
        <v>96505</v>
      </c>
      <c r="K850" s="784">
        <v>0</v>
      </c>
      <c r="L850" s="783">
        <v>9261</v>
      </c>
      <c r="M850" s="783"/>
      <c r="N850" s="784">
        <v>11288</v>
      </c>
      <c r="O850" s="784">
        <v>110177</v>
      </c>
      <c r="P850" s="784">
        <v>0</v>
      </c>
      <c r="Q850" s="783">
        <v>13288</v>
      </c>
      <c r="R850" s="783"/>
      <c r="S850" s="784">
        <v>21925</v>
      </c>
      <c r="T850" s="785">
        <v>-2020</v>
      </c>
      <c r="U850" s="785">
        <v>19905</v>
      </c>
    </row>
    <row r="851" spans="1:21" x14ac:dyDescent="0.25">
      <c r="A851" s="780">
        <v>99413</v>
      </c>
      <c r="B851" s="781" t="s">
        <v>2014</v>
      </c>
      <c r="C851" s="782">
        <v>4.21E-5</v>
      </c>
      <c r="D851" s="782">
        <v>4.6100000000000002E-5</v>
      </c>
      <c r="E851" s="783">
        <v>18309</v>
      </c>
      <c r="F851" s="783">
        <v>-25443</v>
      </c>
      <c r="G851" s="783">
        <v>18894</v>
      </c>
      <c r="H851" s="783"/>
      <c r="I851" s="784">
        <v>0</v>
      </c>
      <c r="J851" s="784">
        <v>37971</v>
      </c>
      <c r="K851" s="784">
        <v>0</v>
      </c>
      <c r="L851" s="783">
        <v>15</v>
      </c>
      <c r="M851" s="783"/>
      <c r="N851" s="784">
        <v>4441</v>
      </c>
      <c r="O851" s="784">
        <v>43350</v>
      </c>
      <c r="P851" s="784">
        <v>0</v>
      </c>
      <c r="Q851" s="783">
        <v>1919</v>
      </c>
      <c r="R851" s="783"/>
      <c r="S851" s="784">
        <v>8626</v>
      </c>
      <c r="T851" s="785">
        <v>-497</v>
      </c>
      <c r="U851" s="785">
        <v>8129</v>
      </c>
    </row>
    <row r="852" spans="1:21" x14ac:dyDescent="0.25">
      <c r="A852" s="780">
        <v>99421</v>
      </c>
      <c r="B852" s="781" t="s">
        <v>2015</v>
      </c>
      <c r="C852" s="782">
        <v>2.2099999999999998E-5</v>
      </c>
      <c r="D852" s="782">
        <v>2.4300000000000001E-5</v>
      </c>
      <c r="E852" s="783">
        <v>8598</v>
      </c>
      <c r="F852" s="783">
        <v>-13412</v>
      </c>
      <c r="G852" s="783">
        <v>9918</v>
      </c>
      <c r="H852" s="783"/>
      <c r="I852" s="784">
        <v>0</v>
      </c>
      <c r="J852" s="784">
        <v>19932</v>
      </c>
      <c r="K852" s="784">
        <v>0</v>
      </c>
      <c r="L852" s="783">
        <v>2308</v>
      </c>
      <c r="M852" s="783"/>
      <c r="N852" s="784">
        <v>2331</v>
      </c>
      <c r="O852" s="784">
        <v>22756</v>
      </c>
      <c r="P852" s="784">
        <v>0</v>
      </c>
      <c r="Q852" s="783">
        <v>1881</v>
      </c>
      <c r="R852" s="783"/>
      <c r="S852" s="784">
        <v>4528</v>
      </c>
      <c r="T852" s="785">
        <v>280</v>
      </c>
      <c r="U852" s="785">
        <v>4808</v>
      </c>
    </row>
    <row r="853" spans="1:21" x14ac:dyDescent="0.25">
      <c r="A853" s="780">
        <v>99431</v>
      </c>
      <c r="B853" s="781" t="s">
        <v>2016</v>
      </c>
      <c r="C853" s="782">
        <v>2.09E-5</v>
      </c>
      <c r="D853" s="782">
        <v>1.9400000000000001E-5</v>
      </c>
      <c r="E853" s="783">
        <v>6124</v>
      </c>
      <c r="F853" s="783">
        <v>-10707</v>
      </c>
      <c r="G853" s="783">
        <v>9380</v>
      </c>
      <c r="H853" s="783"/>
      <c r="I853" s="784">
        <v>0</v>
      </c>
      <c r="J853" s="784">
        <v>18850</v>
      </c>
      <c r="K853" s="784">
        <v>0</v>
      </c>
      <c r="L853" s="783">
        <v>3235</v>
      </c>
      <c r="M853" s="783"/>
      <c r="N853" s="784">
        <v>2205</v>
      </c>
      <c r="O853" s="784">
        <v>21520</v>
      </c>
      <c r="P853" s="784">
        <v>0</v>
      </c>
      <c r="Q853" s="783">
        <v>857</v>
      </c>
      <c r="R853" s="783"/>
      <c r="S853" s="784">
        <v>4282</v>
      </c>
      <c r="T853" s="785">
        <v>858</v>
      </c>
      <c r="U853" s="785">
        <v>5140</v>
      </c>
    </row>
    <row r="854" spans="1:21" x14ac:dyDescent="0.25">
      <c r="A854" s="780">
        <v>99501</v>
      </c>
      <c r="B854" s="781" t="s">
        <v>2017</v>
      </c>
      <c r="C854" s="782">
        <v>1.7404E-3</v>
      </c>
      <c r="D854" s="782">
        <v>1.7776999999999999E-3</v>
      </c>
      <c r="E854" s="783">
        <v>750180</v>
      </c>
      <c r="F854" s="783">
        <v>-981145</v>
      </c>
      <c r="G854" s="783">
        <v>781081</v>
      </c>
      <c r="H854" s="783"/>
      <c r="I854" s="784">
        <v>0</v>
      </c>
      <c r="J854" s="784">
        <v>1569695</v>
      </c>
      <c r="K854" s="784">
        <v>0</v>
      </c>
      <c r="L854" s="783">
        <v>5893</v>
      </c>
      <c r="M854" s="783"/>
      <c r="N854" s="784">
        <v>183600</v>
      </c>
      <c r="O854" s="784">
        <v>1792067</v>
      </c>
      <c r="P854" s="784">
        <v>0</v>
      </c>
      <c r="Q854" s="783">
        <v>0</v>
      </c>
      <c r="R854" s="783"/>
      <c r="S854" s="784">
        <v>356611</v>
      </c>
      <c r="T854" s="785">
        <v>1592</v>
      </c>
      <c r="U854" s="785">
        <v>358203</v>
      </c>
    </row>
    <row r="855" spans="1:21" x14ac:dyDescent="0.25">
      <c r="A855" s="780">
        <v>99502</v>
      </c>
      <c r="B855" s="781" t="s">
        <v>2018</v>
      </c>
      <c r="C855" s="782">
        <v>1.628E-4</v>
      </c>
      <c r="D855" s="782">
        <v>1.6569999999999999E-4</v>
      </c>
      <c r="E855" s="783">
        <v>98700</v>
      </c>
      <c r="F855" s="783">
        <v>-91453</v>
      </c>
      <c r="G855" s="783">
        <v>73064</v>
      </c>
      <c r="H855" s="783"/>
      <c r="I855" s="784">
        <v>0</v>
      </c>
      <c r="J855" s="784">
        <v>146832</v>
      </c>
      <c r="K855" s="784">
        <v>0</v>
      </c>
      <c r="L855" s="783">
        <v>23510</v>
      </c>
      <c r="M855" s="783"/>
      <c r="N855" s="784">
        <v>17174</v>
      </c>
      <c r="O855" s="784">
        <v>167633</v>
      </c>
      <c r="P855" s="784">
        <v>0</v>
      </c>
      <c r="Q855" s="783">
        <v>215</v>
      </c>
      <c r="R855" s="783"/>
      <c r="S855" s="784">
        <v>33358</v>
      </c>
      <c r="T855" s="785">
        <v>6082</v>
      </c>
      <c r="U855" s="785">
        <v>39440</v>
      </c>
    </row>
    <row r="856" spans="1:21" x14ac:dyDescent="0.25">
      <c r="A856" s="780">
        <v>99508</v>
      </c>
      <c r="B856" s="781" t="s">
        <v>2019</v>
      </c>
      <c r="C856" s="782">
        <v>2.3200000000000001E-5</v>
      </c>
      <c r="D856" s="782">
        <v>2.3300000000000001E-5</v>
      </c>
      <c r="E856" s="783">
        <v>8737</v>
      </c>
      <c r="F856" s="783">
        <v>-12860</v>
      </c>
      <c r="G856" s="783">
        <v>10412</v>
      </c>
      <c r="H856" s="783"/>
      <c r="I856" s="784">
        <v>0</v>
      </c>
      <c r="J856" s="784">
        <v>20924</v>
      </c>
      <c r="K856" s="784">
        <v>0</v>
      </c>
      <c r="L856" s="783">
        <v>0</v>
      </c>
      <c r="M856" s="783"/>
      <c r="N856" s="784">
        <v>2447</v>
      </c>
      <c r="O856" s="784">
        <v>23889</v>
      </c>
      <c r="P856" s="784">
        <v>0</v>
      </c>
      <c r="Q856" s="783">
        <v>2402</v>
      </c>
      <c r="R856" s="783"/>
      <c r="S856" s="784">
        <v>4754</v>
      </c>
      <c r="T856" s="785">
        <v>-756</v>
      </c>
      <c r="U856" s="785">
        <v>3998</v>
      </c>
    </row>
    <row r="857" spans="1:21" x14ac:dyDescent="0.25">
      <c r="A857" s="780">
        <v>99509</v>
      </c>
      <c r="B857" s="781" t="s">
        <v>2020</v>
      </c>
      <c r="C857" s="782">
        <v>2.87E-5</v>
      </c>
      <c r="D857" s="782">
        <v>2.8500000000000002E-5</v>
      </c>
      <c r="E857" s="783">
        <v>9734</v>
      </c>
      <c r="F857" s="783">
        <v>-15730</v>
      </c>
      <c r="G857" s="783">
        <v>12880</v>
      </c>
      <c r="H857" s="783"/>
      <c r="I857" s="784">
        <v>0</v>
      </c>
      <c r="J857" s="784">
        <v>25885</v>
      </c>
      <c r="K857" s="784">
        <v>0</v>
      </c>
      <c r="L857" s="783">
        <v>0</v>
      </c>
      <c r="M857" s="783"/>
      <c r="N857" s="784">
        <v>3028</v>
      </c>
      <c r="O857" s="784">
        <v>29552</v>
      </c>
      <c r="P857" s="784">
        <v>0</v>
      </c>
      <c r="Q857" s="783">
        <v>10919</v>
      </c>
      <c r="R857" s="783"/>
      <c r="S857" s="784">
        <v>5881</v>
      </c>
      <c r="T857" s="785">
        <v>-3548</v>
      </c>
      <c r="U857" s="785">
        <v>2333</v>
      </c>
    </row>
    <row r="858" spans="1:21" x14ac:dyDescent="0.25">
      <c r="A858" s="780">
        <v>99511</v>
      </c>
      <c r="B858" s="781" t="s">
        <v>2021</v>
      </c>
      <c r="C858" s="782">
        <v>1.4238E-3</v>
      </c>
      <c r="D858" s="782">
        <v>1.3492000000000001E-3</v>
      </c>
      <c r="E858" s="783">
        <v>527176</v>
      </c>
      <c r="F858" s="783">
        <v>-744648</v>
      </c>
      <c r="G858" s="783">
        <v>638993</v>
      </c>
      <c r="H858" s="783"/>
      <c r="I858" s="784">
        <v>0</v>
      </c>
      <c r="J858" s="784">
        <v>1284148</v>
      </c>
      <c r="K858" s="784">
        <v>0</v>
      </c>
      <c r="L858" s="783">
        <v>9445</v>
      </c>
      <c r="M858" s="783"/>
      <c r="N858" s="784">
        <v>150201</v>
      </c>
      <c r="O858" s="784">
        <v>1466068</v>
      </c>
      <c r="P858" s="784">
        <v>0</v>
      </c>
      <c r="Q858" s="783">
        <v>26201</v>
      </c>
      <c r="R858" s="783"/>
      <c r="S858" s="784">
        <v>291739</v>
      </c>
      <c r="T858" s="785">
        <v>-6290</v>
      </c>
      <c r="U858" s="785">
        <v>285449</v>
      </c>
    </row>
    <row r="859" spans="1:21" x14ac:dyDescent="0.25">
      <c r="A859" s="780">
        <v>99521</v>
      </c>
      <c r="B859" s="781" t="s">
        <v>2022</v>
      </c>
      <c r="C859" s="782">
        <v>4.0989999999999999E-4</v>
      </c>
      <c r="D859" s="782">
        <v>3.9669999999999999E-4</v>
      </c>
      <c r="E859" s="783">
        <v>146579</v>
      </c>
      <c r="F859" s="783">
        <v>-218946</v>
      </c>
      <c r="G859" s="783">
        <v>183961</v>
      </c>
      <c r="H859" s="783"/>
      <c r="I859" s="784">
        <v>0</v>
      </c>
      <c r="J859" s="784">
        <v>369695</v>
      </c>
      <c r="K859" s="784">
        <v>0</v>
      </c>
      <c r="L859" s="783">
        <v>2155.79</v>
      </c>
      <c r="M859" s="783"/>
      <c r="N859" s="784">
        <v>43242</v>
      </c>
      <c r="O859" s="784">
        <v>422069</v>
      </c>
      <c r="P859" s="784">
        <v>0</v>
      </c>
      <c r="Q859" s="783">
        <v>7202</v>
      </c>
      <c r="R859" s="783"/>
      <c r="S859" s="784">
        <v>83989</v>
      </c>
      <c r="T859" s="785">
        <v>-1164</v>
      </c>
      <c r="U859" s="785">
        <v>82825</v>
      </c>
    </row>
    <row r="860" spans="1:21" x14ac:dyDescent="0.25">
      <c r="A860" s="780">
        <v>99527</v>
      </c>
      <c r="B860" s="781" t="s">
        <v>2023</v>
      </c>
      <c r="C860" s="782">
        <v>1.1800000000000001E-5</v>
      </c>
      <c r="D860" s="782">
        <v>1.1199999999999999E-5</v>
      </c>
      <c r="E860" s="783">
        <v>5209</v>
      </c>
      <c r="F860" s="783">
        <v>-6181</v>
      </c>
      <c r="G860" s="783">
        <v>5296</v>
      </c>
      <c r="H860" s="783"/>
      <c r="I860" s="784">
        <v>0</v>
      </c>
      <c r="J860" s="784">
        <v>10643</v>
      </c>
      <c r="K860" s="784">
        <v>0</v>
      </c>
      <c r="L860" s="783">
        <v>1431</v>
      </c>
      <c r="M860" s="783"/>
      <c r="N860" s="784">
        <v>1245</v>
      </c>
      <c r="O860" s="784">
        <v>12150</v>
      </c>
      <c r="P860" s="784">
        <v>0</v>
      </c>
      <c r="Q860" s="783">
        <v>0</v>
      </c>
      <c r="R860" s="783"/>
      <c r="S860" s="784">
        <v>2418</v>
      </c>
      <c r="T860" s="785">
        <v>425</v>
      </c>
      <c r="U860" s="785">
        <v>2843</v>
      </c>
    </row>
    <row r="861" spans="1:21" x14ac:dyDescent="0.25">
      <c r="A861" s="780">
        <v>99531</v>
      </c>
      <c r="B861" s="781" t="s">
        <v>2024</v>
      </c>
      <c r="C861" s="782">
        <v>8.8200000000000003E-5</v>
      </c>
      <c r="D861" s="782">
        <v>9.4400000000000004E-5</v>
      </c>
      <c r="E861" s="783">
        <v>66218</v>
      </c>
      <c r="F861" s="783">
        <v>-52101</v>
      </c>
      <c r="G861" s="783">
        <v>39584</v>
      </c>
      <c r="H861" s="783"/>
      <c r="I861" s="784">
        <v>0</v>
      </c>
      <c r="J861" s="784">
        <v>79549</v>
      </c>
      <c r="K861" s="784">
        <v>0</v>
      </c>
      <c r="L861" s="783">
        <v>20550</v>
      </c>
      <c r="M861" s="783"/>
      <c r="N861" s="784">
        <v>9304</v>
      </c>
      <c r="O861" s="784">
        <v>90818</v>
      </c>
      <c r="P861" s="784">
        <v>0</v>
      </c>
      <c r="Q861" s="783">
        <v>0</v>
      </c>
      <c r="R861" s="783"/>
      <c r="S861" s="784">
        <v>18072</v>
      </c>
      <c r="T861" s="785">
        <v>5449</v>
      </c>
      <c r="U861" s="785">
        <v>23522</v>
      </c>
    </row>
    <row r="862" spans="1:21" x14ac:dyDescent="0.25">
      <c r="A862" s="780">
        <v>99601</v>
      </c>
      <c r="B862" s="781" t="s">
        <v>2025</v>
      </c>
      <c r="C862" s="782">
        <v>5.3274999999999998E-3</v>
      </c>
      <c r="D862" s="782">
        <v>5.1766E-3</v>
      </c>
      <c r="E862" s="783">
        <v>2145041</v>
      </c>
      <c r="F862" s="783">
        <v>-2857059</v>
      </c>
      <c r="G862" s="783">
        <v>2390950</v>
      </c>
      <c r="H862" s="783"/>
      <c r="I862" s="784">
        <v>0</v>
      </c>
      <c r="J862" s="784">
        <v>4804957.49</v>
      </c>
      <c r="K862" s="784">
        <v>0</v>
      </c>
      <c r="L862" s="783">
        <v>82052</v>
      </c>
      <c r="M862" s="783"/>
      <c r="N862" s="784">
        <v>562014</v>
      </c>
      <c r="O862" s="784">
        <v>5485657</v>
      </c>
      <c r="P862" s="784">
        <v>0</v>
      </c>
      <c r="Q862" s="783">
        <v>15204</v>
      </c>
      <c r="R862" s="783"/>
      <c r="S862" s="784">
        <v>1091615</v>
      </c>
      <c r="T862" s="785">
        <v>16394</v>
      </c>
      <c r="U862" s="785">
        <v>1108010</v>
      </c>
    </row>
    <row r="863" spans="1:21" x14ac:dyDescent="0.25">
      <c r="A863" s="780">
        <v>99602</v>
      </c>
      <c r="B863" s="781" t="s">
        <v>2026</v>
      </c>
      <c r="C863" s="782">
        <v>5.13E-5</v>
      </c>
      <c r="D863" s="782">
        <v>4.7700000000000001E-5</v>
      </c>
      <c r="E863" s="783">
        <v>23624</v>
      </c>
      <c r="F863" s="783">
        <v>-26326</v>
      </c>
      <c r="G863" s="783">
        <v>23023</v>
      </c>
      <c r="H863" s="783"/>
      <c r="I863" s="784">
        <v>0</v>
      </c>
      <c r="J863" s="784">
        <v>46268</v>
      </c>
      <c r="K863" s="784">
        <v>0</v>
      </c>
      <c r="L863" s="783">
        <v>4650</v>
      </c>
      <c r="M863" s="783"/>
      <c r="N863" s="784">
        <v>5412</v>
      </c>
      <c r="O863" s="784">
        <v>52823</v>
      </c>
      <c r="P863" s="784">
        <v>0</v>
      </c>
      <c r="Q863" s="783">
        <v>6243</v>
      </c>
      <c r="R863" s="783"/>
      <c r="S863" s="784">
        <v>10511</v>
      </c>
      <c r="T863" s="785">
        <v>-871</v>
      </c>
      <c r="U863" s="785">
        <v>9641</v>
      </c>
    </row>
    <row r="864" spans="1:21" x14ac:dyDescent="0.25">
      <c r="A864" s="780">
        <v>99603</v>
      </c>
      <c r="B864" s="781" t="s">
        <v>2027</v>
      </c>
      <c r="C864" s="782">
        <v>1.474E-4</v>
      </c>
      <c r="D864" s="782">
        <v>1.6100000000000001E-4</v>
      </c>
      <c r="E864" s="783">
        <v>140290</v>
      </c>
      <c r="F864" s="783">
        <v>-88859</v>
      </c>
      <c r="G864" s="783">
        <v>66152</v>
      </c>
      <c r="H864" s="783"/>
      <c r="I864" s="784">
        <v>0</v>
      </c>
      <c r="J864" s="784">
        <v>132942</v>
      </c>
      <c r="K864" s="784">
        <v>0</v>
      </c>
      <c r="L864" s="783">
        <v>59474</v>
      </c>
      <c r="M864" s="783"/>
      <c r="N864" s="784">
        <v>15550</v>
      </c>
      <c r="O864" s="784">
        <v>151776</v>
      </c>
      <c r="P864" s="784">
        <v>0</v>
      </c>
      <c r="Q864" s="783">
        <v>0</v>
      </c>
      <c r="R864" s="783"/>
      <c r="S864" s="784">
        <v>30203</v>
      </c>
      <c r="T864" s="785">
        <v>15971</v>
      </c>
      <c r="U864" s="785">
        <v>46173</v>
      </c>
    </row>
    <row r="865" spans="1:21" x14ac:dyDescent="0.25">
      <c r="A865" s="780">
        <v>99604</v>
      </c>
      <c r="B865" s="781" t="s">
        <v>2028</v>
      </c>
      <c r="C865" s="782">
        <v>9.3300000000000005E-5</v>
      </c>
      <c r="D865" s="782">
        <v>8.6100000000000006E-5</v>
      </c>
      <c r="E865" s="783">
        <v>45202</v>
      </c>
      <c r="F865" s="783">
        <v>-47520</v>
      </c>
      <c r="G865" s="783">
        <v>41872</v>
      </c>
      <c r="H865" s="783"/>
      <c r="I865" s="784">
        <v>0</v>
      </c>
      <c r="J865" s="784">
        <v>84149</v>
      </c>
      <c r="K865" s="784">
        <v>0</v>
      </c>
      <c r="L865" s="783">
        <v>19985</v>
      </c>
      <c r="M865" s="783"/>
      <c r="N865" s="784">
        <v>9842</v>
      </c>
      <c r="O865" s="784">
        <v>96070</v>
      </c>
      <c r="P865" s="784">
        <v>0</v>
      </c>
      <c r="Q865" s="783">
        <v>0</v>
      </c>
      <c r="R865" s="783"/>
      <c r="S865" s="784">
        <v>19117</v>
      </c>
      <c r="T865" s="785">
        <v>5908</v>
      </c>
      <c r="U865" s="785">
        <v>25025</v>
      </c>
    </row>
    <row r="866" spans="1:21" x14ac:dyDescent="0.25">
      <c r="A866" s="780">
        <v>99609</v>
      </c>
      <c r="B866" s="781" t="s">
        <v>2029</v>
      </c>
      <c r="C866" s="782">
        <v>1.98E-5</v>
      </c>
      <c r="D866" s="782">
        <v>1.9599999999999999E-5</v>
      </c>
      <c r="E866" s="783">
        <v>9993</v>
      </c>
      <c r="F866" s="783">
        <v>-10818</v>
      </c>
      <c r="G866" s="783">
        <v>8886</v>
      </c>
      <c r="H866" s="783"/>
      <c r="I866" s="784">
        <v>0</v>
      </c>
      <c r="J866" s="784">
        <v>17858</v>
      </c>
      <c r="K866" s="784">
        <v>0</v>
      </c>
      <c r="L866" s="783">
        <v>4733</v>
      </c>
      <c r="M866" s="783"/>
      <c r="N866" s="784">
        <v>2089</v>
      </c>
      <c r="O866" s="784">
        <v>20388</v>
      </c>
      <c r="P866" s="784">
        <v>0</v>
      </c>
      <c r="Q866" s="783">
        <v>0</v>
      </c>
      <c r="R866" s="783"/>
      <c r="S866" s="784">
        <v>4057</v>
      </c>
      <c r="T866" s="785">
        <v>1463</v>
      </c>
      <c r="U866" s="785">
        <v>5520</v>
      </c>
    </row>
    <row r="867" spans="1:21" x14ac:dyDescent="0.25">
      <c r="A867" s="780">
        <v>99610</v>
      </c>
      <c r="B867" s="781" t="s">
        <v>2030</v>
      </c>
      <c r="C867" s="782">
        <v>1.883E-4</v>
      </c>
      <c r="D867" s="782">
        <v>1.873E-4</v>
      </c>
      <c r="E867" s="783">
        <v>73750</v>
      </c>
      <c r="F867" s="783">
        <v>-103374</v>
      </c>
      <c r="G867" s="783">
        <v>84508</v>
      </c>
      <c r="H867" s="783"/>
      <c r="I867" s="784">
        <v>0</v>
      </c>
      <c r="J867" s="784">
        <v>169831</v>
      </c>
      <c r="K867" s="784">
        <v>0</v>
      </c>
      <c r="L867" s="783">
        <v>4221.88</v>
      </c>
      <c r="M867" s="783"/>
      <c r="N867" s="784">
        <v>19864</v>
      </c>
      <c r="O867" s="784">
        <v>193890</v>
      </c>
      <c r="P867" s="784">
        <v>0</v>
      </c>
      <c r="Q867" s="783">
        <v>1778</v>
      </c>
      <c r="R867" s="783"/>
      <c r="S867" s="784">
        <v>38583</v>
      </c>
      <c r="T867" s="785">
        <v>946</v>
      </c>
      <c r="U867" s="785">
        <v>39529</v>
      </c>
    </row>
    <row r="868" spans="1:21" x14ac:dyDescent="0.25">
      <c r="A868" s="780">
        <v>99611</v>
      </c>
      <c r="B868" s="781" t="s">
        <v>2031</v>
      </c>
      <c r="C868" s="782">
        <v>3.4461000000000001E-3</v>
      </c>
      <c r="D868" s="782">
        <v>3.4954999999999999E-3</v>
      </c>
      <c r="E868" s="783">
        <v>1362979</v>
      </c>
      <c r="F868" s="783">
        <v>-1929229</v>
      </c>
      <c r="G868" s="783">
        <v>1546589</v>
      </c>
      <c r="H868" s="783"/>
      <c r="I868" s="784">
        <v>0</v>
      </c>
      <c r="J868" s="784">
        <v>3108093</v>
      </c>
      <c r="K868" s="784">
        <v>0</v>
      </c>
      <c r="L868" s="783">
        <v>0</v>
      </c>
      <c r="M868" s="783"/>
      <c r="N868" s="784">
        <v>363539</v>
      </c>
      <c r="O868" s="784">
        <v>3548404</v>
      </c>
      <c r="P868" s="784">
        <v>0</v>
      </c>
      <c r="Q868" s="783">
        <v>169698</v>
      </c>
      <c r="R868" s="783"/>
      <c r="S868" s="784">
        <v>706113</v>
      </c>
      <c r="T868" s="785">
        <v>-51702</v>
      </c>
      <c r="U868" s="785">
        <v>654411</v>
      </c>
    </row>
    <row r="869" spans="1:21" x14ac:dyDescent="0.25">
      <c r="A869" s="780">
        <v>99613</v>
      </c>
      <c r="B869" s="781" t="s">
        <v>2032</v>
      </c>
      <c r="C869" s="782">
        <v>2.6350000000000001E-4</v>
      </c>
      <c r="D869" s="782">
        <v>3.2299999999999999E-4</v>
      </c>
      <c r="E869" s="783">
        <v>272794</v>
      </c>
      <c r="F869" s="783">
        <v>-178270</v>
      </c>
      <c r="G869" s="783">
        <v>118257</v>
      </c>
      <c r="H869" s="783"/>
      <c r="I869" s="784">
        <v>0</v>
      </c>
      <c r="J869" s="784">
        <v>237655</v>
      </c>
      <c r="K869" s="784">
        <v>0</v>
      </c>
      <c r="L869" s="783">
        <v>93901</v>
      </c>
      <c r="M869" s="783"/>
      <c r="N869" s="784">
        <v>27797</v>
      </c>
      <c r="O869" s="784">
        <v>271323</v>
      </c>
      <c r="P869" s="784">
        <v>0</v>
      </c>
      <c r="Q869" s="783">
        <v>0</v>
      </c>
      <c r="R869" s="783"/>
      <c r="S869" s="784">
        <v>53992</v>
      </c>
      <c r="T869" s="785">
        <v>24924</v>
      </c>
      <c r="U869" s="785">
        <v>78916</v>
      </c>
    </row>
    <row r="870" spans="1:21" x14ac:dyDescent="0.25">
      <c r="A870" s="780">
        <v>99621</v>
      </c>
      <c r="B870" s="781" t="s">
        <v>2033</v>
      </c>
      <c r="C870" s="782">
        <v>2.9550000000000003E-4</v>
      </c>
      <c r="D870" s="782">
        <v>3.1500000000000001E-4</v>
      </c>
      <c r="E870" s="783">
        <v>125545</v>
      </c>
      <c r="F870" s="783">
        <v>-173854.17</v>
      </c>
      <c r="G870" s="783">
        <v>132619</v>
      </c>
      <c r="H870" s="783"/>
      <c r="I870" s="784">
        <v>0</v>
      </c>
      <c r="J870" s="784">
        <v>266516</v>
      </c>
      <c r="K870" s="784">
        <v>0</v>
      </c>
      <c r="L870" s="783">
        <v>14471.6</v>
      </c>
      <c r="M870" s="783"/>
      <c r="N870" s="784">
        <v>31173</v>
      </c>
      <c r="O870" s="784">
        <v>304273</v>
      </c>
      <c r="P870" s="784">
        <v>0</v>
      </c>
      <c r="Q870" s="783">
        <v>9802</v>
      </c>
      <c r="R870" s="783"/>
      <c r="S870" s="784">
        <v>60549</v>
      </c>
      <c r="T870" s="785">
        <v>2274</v>
      </c>
      <c r="U870" s="785">
        <v>62823</v>
      </c>
    </row>
    <row r="871" spans="1:21" x14ac:dyDescent="0.25">
      <c r="A871" s="780">
        <v>99623</v>
      </c>
      <c r="B871" s="781" t="s">
        <v>2034</v>
      </c>
      <c r="C871" s="782">
        <v>2.1299999999999999E-5</v>
      </c>
      <c r="D871" s="782">
        <v>1.45E-5</v>
      </c>
      <c r="E871" s="783">
        <v>6542</v>
      </c>
      <c r="F871" s="783">
        <v>-8003</v>
      </c>
      <c r="G871" s="783">
        <v>9559</v>
      </c>
      <c r="H871" s="783"/>
      <c r="I871" s="784">
        <v>0</v>
      </c>
      <c r="J871" s="784">
        <v>19211</v>
      </c>
      <c r="K871" s="784">
        <v>0</v>
      </c>
      <c r="L871" s="783">
        <v>3065</v>
      </c>
      <c r="M871" s="783"/>
      <c r="N871" s="784">
        <v>2247</v>
      </c>
      <c r="O871" s="784">
        <v>21932</v>
      </c>
      <c r="P871" s="784">
        <v>0</v>
      </c>
      <c r="Q871" s="783">
        <v>475.41</v>
      </c>
      <c r="R871" s="783"/>
      <c r="S871" s="784">
        <v>4364</v>
      </c>
      <c r="T871" s="785">
        <v>643</v>
      </c>
      <c r="U871" s="785">
        <v>5008</v>
      </c>
    </row>
    <row r="872" spans="1:21" x14ac:dyDescent="0.25">
      <c r="A872" s="780">
        <v>99631</v>
      </c>
      <c r="B872" s="781" t="s">
        <v>2035</v>
      </c>
      <c r="C872" s="782">
        <v>9.8599999999999998E-5</v>
      </c>
      <c r="D872" s="782">
        <v>9.8400000000000007E-5</v>
      </c>
      <c r="E872" s="783">
        <v>37960</v>
      </c>
      <c r="F872" s="783">
        <v>-54309</v>
      </c>
      <c r="G872" s="783">
        <v>44251</v>
      </c>
      <c r="H872" s="783"/>
      <c r="I872" s="784">
        <v>0</v>
      </c>
      <c r="J872" s="784">
        <v>88929</v>
      </c>
      <c r="K872" s="784">
        <v>0</v>
      </c>
      <c r="L872" s="783">
        <v>0</v>
      </c>
      <c r="M872" s="783"/>
      <c r="N872" s="784">
        <v>10402</v>
      </c>
      <c r="O872" s="784">
        <v>101527</v>
      </c>
      <c r="P872" s="784">
        <v>0</v>
      </c>
      <c r="Q872" s="783">
        <v>12007</v>
      </c>
      <c r="R872" s="783"/>
      <c r="S872" s="784">
        <v>20203</v>
      </c>
      <c r="T872" s="785">
        <v>-3894</v>
      </c>
      <c r="U872" s="785">
        <v>16310</v>
      </c>
    </row>
    <row r="873" spans="1:21" x14ac:dyDescent="0.25">
      <c r="A873" s="780">
        <v>99651</v>
      </c>
      <c r="B873" s="781" t="s">
        <v>2036</v>
      </c>
      <c r="C873" s="782">
        <v>5.7500000000000002E-5</v>
      </c>
      <c r="D873" s="782">
        <v>4.57E-5</v>
      </c>
      <c r="E873" s="783">
        <v>23206</v>
      </c>
      <c r="F873" s="783">
        <v>-25223</v>
      </c>
      <c r="G873" s="783">
        <v>25806</v>
      </c>
      <c r="H873" s="783"/>
      <c r="I873" s="784">
        <v>0</v>
      </c>
      <c r="J873" s="784">
        <v>51860.17</v>
      </c>
      <c r="K873" s="784">
        <v>0</v>
      </c>
      <c r="L873" s="783">
        <v>8067</v>
      </c>
      <c r="M873" s="783"/>
      <c r="N873" s="784">
        <v>6066</v>
      </c>
      <c r="O873" s="784">
        <v>59207</v>
      </c>
      <c r="P873" s="784">
        <v>0</v>
      </c>
      <c r="Q873" s="783">
        <v>4267</v>
      </c>
      <c r="R873" s="783"/>
      <c r="S873" s="784">
        <v>11782</v>
      </c>
      <c r="T873" s="785">
        <v>685</v>
      </c>
      <c r="U873" s="785">
        <v>12467</v>
      </c>
    </row>
    <row r="874" spans="1:21" x14ac:dyDescent="0.25">
      <c r="A874" s="780">
        <v>99661</v>
      </c>
      <c r="B874" s="781" t="s">
        <v>2037</v>
      </c>
      <c r="C874" s="782">
        <v>3.4900000000000001E-5</v>
      </c>
      <c r="D874" s="782">
        <v>3.5200000000000002E-5</v>
      </c>
      <c r="E874" s="783">
        <v>37567</v>
      </c>
      <c r="F874" s="783">
        <v>-19428</v>
      </c>
      <c r="G874" s="783">
        <v>15663</v>
      </c>
      <c r="H874" s="783"/>
      <c r="I874" s="784">
        <v>0</v>
      </c>
      <c r="J874" s="784">
        <v>31477</v>
      </c>
      <c r="K874" s="784">
        <v>0</v>
      </c>
      <c r="L874" s="783">
        <v>19740</v>
      </c>
      <c r="M874" s="783"/>
      <c r="N874" s="784">
        <v>3682</v>
      </c>
      <c r="O874" s="784">
        <v>35936</v>
      </c>
      <c r="P874" s="784">
        <v>0</v>
      </c>
      <c r="Q874" s="783">
        <v>0</v>
      </c>
      <c r="R874" s="783"/>
      <c r="S874" s="784">
        <v>7151</v>
      </c>
      <c r="T874" s="785">
        <v>5275</v>
      </c>
      <c r="U874" s="785">
        <v>12426</v>
      </c>
    </row>
    <row r="875" spans="1:21" x14ac:dyDescent="0.25">
      <c r="A875" s="780">
        <v>99701</v>
      </c>
      <c r="B875" s="781" t="s">
        <v>2038</v>
      </c>
      <c r="C875" s="782">
        <v>2.7742000000000001E-3</v>
      </c>
      <c r="D875" s="782">
        <v>2.7345999999999998E-3</v>
      </c>
      <c r="E875" s="783">
        <v>1130410</v>
      </c>
      <c r="F875" s="783">
        <v>-1509275</v>
      </c>
      <c r="G875" s="783">
        <v>1245044</v>
      </c>
      <c r="H875" s="783"/>
      <c r="I875" s="784">
        <v>0</v>
      </c>
      <c r="J875" s="784">
        <v>2502095</v>
      </c>
      <c r="K875" s="784">
        <v>0</v>
      </c>
      <c r="L875" s="783">
        <v>26009</v>
      </c>
      <c r="M875" s="783"/>
      <c r="N875" s="784">
        <v>292659</v>
      </c>
      <c r="O875" s="784">
        <v>2856558</v>
      </c>
      <c r="P875" s="784">
        <v>0</v>
      </c>
      <c r="Q875" s="783">
        <v>29556.15</v>
      </c>
      <c r="R875" s="783"/>
      <c r="S875" s="784">
        <v>568439</v>
      </c>
      <c r="T875" s="785">
        <v>-3076</v>
      </c>
      <c r="U875" s="785">
        <v>565363</v>
      </c>
    </row>
    <row r="876" spans="1:21" x14ac:dyDescent="0.25">
      <c r="A876" s="780">
        <v>99705</v>
      </c>
      <c r="B876" s="781" t="s">
        <v>2039</v>
      </c>
      <c r="C876" s="782">
        <v>1.7660000000000001E-4</v>
      </c>
      <c r="D876" s="782">
        <v>1.8440000000000001E-4</v>
      </c>
      <c r="E876" s="783">
        <v>77569</v>
      </c>
      <c r="F876" s="783">
        <v>-101774</v>
      </c>
      <c r="G876" s="783">
        <v>79257</v>
      </c>
      <c r="H876" s="783"/>
      <c r="I876" s="784">
        <v>0</v>
      </c>
      <c r="J876" s="784">
        <v>159278</v>
      </c>
      <c r="K876" s="784">
        <v>0</v>
      </c>
      <c r="L876" s="783">
        <v>13078.26</v>
      </c>
      <c r="M876" s="783"/>
      <c r="N876" s="784">
        <v>18630</v>
      </c>
      <c r="O876" s="784">
        <v>181843</v>
      </c>
      <c r="P876" s="784">
        <v>0</v>
      </c>
      <c r="Q876" s="783">
        <v>1141</v>
      </c>
      <c r="R876" s="783"/>
      <c r="S876" s="784">
        <v>36186</v>
      </c>
      <c r="T876" s="785">
        <v>4075</v>
      </c>
      <c r="U876" s="785">
        <v>40261</v>
      </c>
    </row>
    <row r="877" spans="1:21" x14ac:dyDescent="0.25">
      <c r="A877" s="780">
        <v>99711</v>
      </c>
      <c r="B877" s="781" t="s">
        <v>2040</v>
      </c>
      <c r="C877" s="782">
        <v>4.506E-4</v>
      </c>
      <c r="D877" s="782">
        <v>4.8020000000000002E-4</v>
      </c>
      <c r="E877" s="783">
        <v>188249</v>
      </c>
      <c r="F877" s="783">
        <v>-265031</v>
      </c>
      <c r="G877" s="783">
        <v>202227</v>
      </c>
      <c r="H877" s="783"/>
      <c r="I877" s="784">
        <v>0</v>
      </c>
      <c r="J877" s="784">
        <v>406403</v>
      </c>
      <c r="K877" s="784">
        <v>0</v>
      </c>
      <c r="L877" s="783">
        <v>2840.5</v>
      </c>
      <c r="M877" s="783"/>
      <c r="N877" s="784">
        <v>47535</v>
      </c>
      <c r="O877" s="784">
        <v>463977</v>
      </c>
      <c r="P877" s="784">
        <v>0</v>
      </c>
      <c r="Q877" s="783">
        <v>17381</v>
      </c>
      <c r="R877" s="783"/>
      <c r="S877" s="784">
        <v>92329</v>
      </c>
      <c r="T877" s="785">
        <v>-3600</v>
      </c>
      <c r="U877" s="785">
        <v>88729</v>
      </c>
    </row>
    <row r="878" spans="1:21" x14ac:dyDescent="0.25">
      <c r="A878" s="780">
        <v>99717</v>
      </c>
      <c r="B878" s="781" t="s">
        <v>2041</v>
      </c>
      <c r="C878" s="782">
        <v>2.2399999999999999E-5</v>
      </c>
      <c r="D878" s="782">
        <v>2.2900000000000001E-5</v>
      </c>
      <c r="E878" s="783">
        <v>7872</v>
      </c>
      <c r="F878" s="783">
        <v>-12639</v>
      </c>
      <c r="G878" s="783">
        <v>10053</v>
      </c>
      <c r="H878" s="783"/>
      <c r="I878" s="784">
        <v>0</v>
      </c>
      <c r="J878" s="784">
        <v>20203</v>
      </c>
      <c r="K878" s="784">
        <v>0</v>
      </c>
      <c r="L878" s="783">
        <v>0</v>
      </c>
      <c r="M878" s="783"/>
      <c r="N878" s="784">
        <v>2363</v>
      </c>
      <c r="O878" s="784">
        <v>23065</v>
      </c>
      <c r="P878" s="784">
        <v>0</v>
      </c>
      <c r="Q878" s="783">
        <v>1405</v>
      </c>
      <c r="R878" s="783"/>
      <c r="S878" s="784">
        <v>4590</v>
      </c>
      <c r="T878" s="785">
        <v>-371</v>
      </c>
      <c r="U878" s="785">
        <v>4219</v>
      </c>
    </row>
    <row r="879" spans="1:21" x14ac:dyDescent="0.25">
      <c r="A879" s="780">
        <v>99721</v>
      </c>
      <c r="B879" s="781" t="s">
        <v>2042</v>
      </c>
      <c r="C879" s="782">
        <v>5.8460000000000001E-4</v>
      </c>
      <c r="D879" s="782">
        <v>5.6860000000000005E-4</v>
      </c>
      <c r="E879" s="783">
        <v>223354</v>
      </c>
      <c r="F879" s="783">
        <v>-313821</v>
      </c>
      <c r="G879" s="783">
        <v>262365</v>
      </c>
      <c r="H879" s="783"/>
      <c r="I879" s="784">
        <v>0</v>
      </c>
      <c r="J879" s="784">
        <v>527260</v>
      </c>
      <c r="K879" s="784">
        <v>0</v>
      </c>
      <c r="L879" s="783">
        <v>0</v>
      </c>
      <c r="M879" s="783"/>
      <c r="N879" s="784">
        <v>61671</v>
      </c>
      <c r="O879" s="784">
        <v>601955</v>
      </c>
      <c r="P879" s="784">
        <v>0</v>
      </c>
      <c r="Q879" s="783">
        <v>6389</v>
      </c>
      <c r="R879" s="783"/>
      <c r="S879" s="784">
        <v>119786</v>
      </c>
      <c r="T879" s="785">
        <v>-2070</v>
      </c>
      <c r="U879" s="785">
        <v>117716</v>
      </c>
    </row>
    <row r="880" spans="1:21" x14ac:dyDescent="0.25">
      <c r="A880" s="780">
        <v>99727</v>
      </c>
      <c r="B880" s="781" t="s">
        <v>2043</v>
      </c>
      <c r="C880" s="782">
        <v>2.8099999999999999E-5</v>
      </c>
      <c r="D880" s="782">
        <v>2.6400000000000001E-5</v>
      </c>
      <c r="E880" s="783">
        <v>42215</v>
      </c>
      <c r="F880" s="783">
        <v>-14571</v>
      </c>
      <c r="G880" s="783">
        <v>12611</v>
      </c>
      <c r="H880" s="783"/>
      <c r="I880" s="784">
        <v>0</v>
      </c>
      <c r="J880" s="784">
        <v>25344</v>
      </c>
      <c r="K880" s="784">
        <v>0</v>
      </c>
      <c r="L880" s="783">
        <v>27734</v>
      </c>
      <c r="M880" s="783"/>
      <c r="N880" s="784">
        <v>2964</v>
      </c>
      <c r="O880" s="784">
        <v>28934</v>
      </c>
      <c r="P880" s="784">
        <v>0</v>
      </c>
      <c r="Q880" s="783">
        <v>0</v>
      </c>
      <c r="R880" s="783"/>
      <c r="S880" s="784">
        <v>5758</v>
      </c>
      <c r="T880" s="785">
        <v>7418</v>
      </c>
      <c r="U880" s="785">
        <v>13176</v>
      </c>
    </row>
    <row r="881" spans="1:21" x14ac:dyDescent="0.25">
      <c r="A881" s="780">
        <v>99801</v>
      </c>
      <c r="B881" s="781" t="s">
        <v>2044</v>
      </c>
      <c r="C881" s="782">
        <v>5.0806999999999996E-3</v>
      </c>
      <c r="D881" s="782">
        <v>5.1273999999999998E-3</v>
      </c>
      <c r="E881" s="783">
        <v>2054744</v>
      </c>
      <c r="F881" s="783">
        <v>-2829904</v>
      </c>
      <c r="G881" s="783">
        <v>2280188</v>
      </c>
      <c r="H881" s="783"/>
      <c r="I881" s="784">
        <v>0</v>
      </c>
      <c r="J881" s="784">
        <v>4582365</v>
      </c>
      <c r="K881" s="784">
        <v>0</v>
      </c>
      <c r="L881" s="783">
        <v>51469.86</v>
      </c>
      <c r="M881" s="783"/>
      <c r="N881" s="784">
        <v>535978</v>
      </c>
      <c r="O881" s="784">
        <v>5231531</v>
      </c>
      <c r="P881" s="784">
        <v>0</v>
      </c>
      <c r="Q881" s="783">
        <v>48316</v>
      </c>
      <c r="R881" s="783"/>
      <c r="S881" s="784">
        <v>1041046</v>
      </c>
      <c r="T881" s="785">
        <v>4566</v>
      </c>
      <c r="U881" s="785">
        <v>1045611</v>
      </c>
    </row>
    <row r="882" spans="1:21" x14ac:dyDescent="0.25">
      <c r="A882" s="780">
        <v>99802</v>
      </c>
      <c r="B882" s="781" t="s">
        <v>2045</v>
      </c>
      <c r="C882" s="782">
        <v>7.7000000000000008E-6</v>
      </c>
      <c r="D882" s="782">
        <v>8.3000000000000002E-6</v>
      </c>
      <c r="E882" s="783">
        <v>3918</v>
      </c>
      <c r="F882" s="783">
        <v>-4581</v>
      </c>
      <c r="G882" s="783">
        <v>3456</v>
      </c>
      <c r="H882" s="783"/>
      <c r="I882" s="784">
        <v>0</v>
      </c>
      <c r="J882" s="784">
        <v>6945</v>
      </c>
      <c r="K882" s="784">
        <v>0</v>
      </c>
      <c r="L882" s="783">
        <v>192</v>
      </c>
      <c r="M882" s="783"/>
      <c r="N882" s="784">
        <v>812</v>
      </c>
      <c r="O882" s="784">
        <v>7929</v>
      </c>
      <c r="P882" s="784">
        <v>0</v>
      </c>
      <c r="Q882" s="783">
        <v>161.46</v>
      </c>
      <c r="R882" s="783"/>
      <c r="S882" s="784">
        <v>1578</v>
      </c>
      <c r="T882" s="785">
        <v>-4</v>
      </c>
      <c r="U882" s="785">
        <v>1574</v>
      </c>
    </row>
    <row r="883" spans="1:21" x14ac:dyDescent="0.25">
      <c r="A883" s="780">
        <v>99804</v>
      </c>
      <c r="B883" s="781" t="s">
        <v>2046</v>
      </c>
      <c r="C883" s="782">
        <v>8.7999999999999998E-5</v>
      </c>
      <c r="D883" s="782">
        <v>8.2399999999999997E-5</v>
      </c>
      <c r="E883" s="783">
        <v>41302</v>
      </c>
      <c r="F883" s="783">
        <v>-45478</v>
      </c>
      <c r="G883" s="783">
        <v>39494</v>
      </c>
      <c r="H883" s="783"/>
      <c r="I883" s="784">
        <v>0</v>
      </c>
      <c r="J883" s="784">
        <v>79369</v>
      </c>
      <c r="K883" s="784">
        <v>0</v>
      </c>
      <c r="L883" s="783">
        <v>8311</v>
      </c>
      <c r="M883" s="783"/>
      <c r="N883" s="784">
        <v>9283</v>
      </c>
      <c r="O883" s="784">
        <v>90612</v>
      </c>
      <c r="P883" s="784">
        <v>0</v>
      </c>
      <c r="Q883" s="783">
        <v>0</v>
      </c>
      <c r="R883" s="783"/>
      <c r="S883" s="784">
        <v>18031</v>
      </c>
      <c r="T883" s="785">
        <v>2185</v>
      </c>
      <c r="U883" s="785">
        <v>20216</v>
      </c>
    </row>
    <row r="884" spans="1:21" x14ac:dyDescent="0.25">
      <c r="A884" s="780">
        <v>99811</v>
      </c>
      <c r="B884" s="781" t="s">
        <v>2047</v>
      </c>
      <c r="C884" s="782">
        <v>6.9579999999999998E-3</v>
      </c>
      <c r="D884" s="782">
        <v>7.0546999999999997E-3</v>
      </c>
      <c r="E884" s="783">
        <v>2632634</v>
      </c>
      <c r="F884" s="783">
        <v>-3893616</v>
      </c>
      <c r="G884" s="783">
        <v>3122709</v>
      </c>
      <c r="H884" s="783"/>
      <c r="I884" s="784">
        <v>0</v>
      </c>
      <c r="J884" s="784">
        <v>6275532</v>
      </c>
      <c r="K884" s="784">
        <v>0</v>
      </c>
      <c r="L884" s="783">
        <v>0</v>
      </c>
      <c r="M884" s="783"/>
      <c r="N884" s="784">
        <v>734020</v>
      </c>
      <c r="O884" s="784">
        <v>7164562</v>
      </c>
      <c r="P884" s="784">
        <v>0</v>
      </c>
      <c r="Q884" s="783">
        <v>370492</v>
      </c>
      <c r="R884" s="783"/>
      <c r="S884" s="784">
        <v>1425708</v>
      </c>
      <c r="T884" s="785">
        <v>-106989</v>
      </c>
      <c r="U884" s="785">
        <v>1318719</v>
      </c>
    </row>
    <row r="885" spans="1:21" x14ac:dyDescent="0.25">
      <c r="A885" s="780">
        <v>99812</v>
      </c>
      <c r="B885" s="781" t="s">
        <v>2048</v>
      </c>
      <c r="C885" s="782">
        <v>2.7399999999999999E-5</v>
      </c>
      <c r="D885" s="782">
        <v>2.9799999999999999E-5</v>
      </c>
      <c r="E885" s="783">
        <v>18217</v>
      </c>
      <c r="F885" s="783">
        <v>-16447</v>
      </c>
      <c r="G885" s="783">
        <v>12297</v>
      </c>
      <c r="H885" s="783"/>
      <c r="I885" s="784">
        <v>0</v>
      </c>
      <c r="J885" s="784">
        <v>24712</v>
      </c>
      <c r="K885" s="784">
        <v>0</v>
      </c>
      <c r="L885" s="783">
        <v>5490</v>
      </c>
      <c r="M885" s="783"/>
      <c r="N885" s="784">
        <v>2891</v>
      </c>
      <c r="O885" s="784">
        <v>28213</v>
      </c>
      <c r="P885" s="784">
        <v>0</v>
      </c>
      <c r="Q885" s="783">
        <v>0</v>
      </c>
      <c r="R885" s="783"/>
      <c r="S885" s="784">
        <v>5614</v>
      </c>
      <c r="T885" s="785">
        <v>1554</v>
      </c>
      <c r="U885" s="785">
        <v>7168</v>
      </c>
    </row>
    <row r="886" spans="1:21" x14ac:dyDescent="0.25">
      <c r="A886" s="780">
        <v>99818</v>
      </c>
      <c r="B886" s="781" t="s">
        <v>2049</v>
      </c>
      <c r="C886" s="782">
        <v>4.4199999999999997E-5</v>
      </c>
      <c r="D886" s="782">
        <v>4.1199999999999999E-5</v>
      </c>
      <c r="E886" s="783">
        <v>18644</v>
      </c>
      <c r="F886" s="783">
        <v>-22739</v>
      </c>
      <c r="G886" s="783">
        <v>19837</v>
      </c>
      <c r="H886" s="783"/>
      <c r="I886" s="784">
        <v>0</v>
      </c>
      <c r="J886" s="784">
        <v>39865</v>
      </c>
      <c r="K886" s="784">
        <v>0</v>
      </c>
      <c r="L886" s="783">
        <v>8093</v>
      </c>
      <c r="M886" s="783"/>
      <c r="N886" s="784">
        <v>4663</v>
      </c>
      <c r="O886" s="784">
        <v>45512</v>
      </c>
      <c r="P886" s="784">
        <v>0</v>
      </c>
      <c r="Q886" s="783">
        <v>0</v>
      </c>
      <c r="R886" s="783"/>
      <c r="S886" s="784">
        <v>9057</v>
      </c>
      <c r="T886" s="785">
        <v>2519</v>
      </c>
      <c r="U886" s="785">
        <v>11576</v>
      </c>
    </row>
    <row r="887" spans="1:21" x14ac:dyDescent="0.25">
      <c r="A887" s="780">
        <v>99821</v>
      </c>
      <c r="B887" s="781" t="s">
        <v>2050</v>
      </c>
      <c r="C887" s="782">
        <v>8.42E-5</v>
      </c>
      <c r="D887" s="782">
        <v>9.5600000000000006E-5</v>
      </c>
      <c r="E887" s="783">
        <v>43001</v>
      </c>
      <c r="F887" s="783">
        <v>-52763</v>
      </c>
      <c r="G887" s="783">
        <v>37788</v>
      </c>
      <c r="H887" s="783"/>
      <c r="I887" s="784">
        <v>0</v>
      </c>
      <c r="J887" s="784">
        <v>75941</v>
      </c>
      <c r="K887" s="784">
        <v>0</v>
      </c>
      <c r="L887" s="783">
        <v>17655.95</v>
      </c>
      <c r="M887" s="783"/>
      <c r="N887" s="784">
        <v>8883</v>
      </c>
      <c r="O887" s="784">
        <v>86700</v>
      </c>
      <c r="P887" s="784">
        <v>0</v>
      </c>
      <c r="Q887" s="783">
        <v>1166</v>
      </c>
      <c r="R887" s="783"/>
      <c r="S887" s="784">
        <v>17253</v>
      </c>
      <c r="T887" s="785">
        <v>5600</v>
      </c>
      <c r="U887" s="785">
        <v>22853</v>
      </c>
    </row>
    <row r="888" spans="1:21" x14ac:dyDescent="0.25">
      <c r="A888" s="780">
        <v>99831</v>
      </c>
      <c r="B888" s="781" t="s">
        <v>2051</v>
      </c>
      <c r="C888" s="782">
        <v>5.0699999999999999E-5</v>
      </c>
      <c r="D888" s="782">
        <v>5.66E-5</v>
      </c>
      <c r="E888" s="783">
        <v>24432</v>
      </c>
      <c r="F888" s="783">
        <v>-31239</v>
      </c>
      <c r="G888" s="783">
        <v>22754</v>
      </c>
      <c r="H888" s="783"/>
      <c r="I888" s="784">
        <v>0</v>
      </c>
      <c r="J888" s="784">
        <v>45727</v>
      </c>
      <c r="K888" s="784">
        <v>0</v>
      </c>
      <c r="L888" s="783">
        <v>864.11</v>
      </c>
      <c r="M888" s="783"/>
      <c r="N888" s="784">
        <v>5348</v>
      </c>
      <c r="O888" s="784">
        <v>52205</v>
      </c>
      <c r="P888" s="784">
        <v>0</v>
      </c>
      <c r="Q888" s="783">
        <v>1183</v>
      </c>
      <c r="R888" s="783"/>
      <c r="S888" s="784">
        <v>10389</v>
      </c>
      <c r="T888" s="785">
        <v>-21</v>
      </c>
      <c r="U888" s="785">
        <v>10368</v>
      </c>
    </row>
    <row r="889" spans="1:21" x14ac:dyDescent="0.25">
      <c r="A889" s="780">
        <v>99841</v>
      </c>
      <c r="B889" s="781" t="s">
        <v>2052</v>
      </c>
      <c r="C889" s="782">
        <v>4.6699999999999997E-5</v>
      </c>
      <c r="D889" s="782">
        <v>4.4100000000000001E-5</v>
      </c>
      <c r="E889" s="783">
        <v>20132</v>
      </c>
      <c r="F889" s="783">
        <v>-24340</v>
      </c>
      <c r="G889" s="783">
        <v>20959</v>
      </c>
      <c r="H889" s="783"/>
      <c r="I889" s="784">
        <v>0</v>
      </c>
      <c r="J889" s="784">
        <v>42119</v>
      </c>
      <c r="K889" s="784">
        <v>0</v>
      </c>
      <c r="L889" s="783">
        <v>2669</v>
      </c>
      <c r="M889" s="783"/>
      <c r="N889" s="784">
        <v>4927</v>
      </c>
      <c r="O889" s="784">
        <v>48086</v>
      </c>
      <c r="P889" s="784">
        <v>0</v>
      </c>
      <c r="Q889" s="783">
        <v>3262.09</v>
      </c>
      <c r="R889" s="783"/>
      <c r="S889" s="784">
        <v>9569</v>
      </c>
      <c r="T889" s="785">
        <v>-392</v>
      </c>
      <c r="U889" s="785">
        <v>9177</v>
      </c>
    </row>
    <row r="890" spans="1:21" x14ac:dyDescent="0.25">
      <c r="A890" s="780">
        <v>99851</v>
      </c>
      <c r="B890" s="781" t="s">
        <v>2053</v>
      </c>
      <c r="C890" s="782">
        <v>2.0299999999999999E-5</v>
      </c>
      <c r="D890" s="782">
        <v>1.7099999999999999E-5</v>
      </c>
      <c r="E890" s="783">
        <v>5832</v>
      </c>
      <c r="F890" s="783">
        <v>-9438</v>
      </c>
      <c r="G890" s="783">
        <v>9111</v>
      </c>
      <c r="H890" s="783"/>
      <c r="I890" s="784">
        <v>0</v>
      </c>
      <c r="J890" s="784">
        <v>18309</v>
      </c>
      <c r="K890" s="784">
        <v>0</v>
      </c>
      <c r="L890" s="783">
        <v>299</v>
      </c>
      <c r="M890" s="783"/>
      <c r="N890" s="784">
        <v>2142</v>
      </c>
      <c r="O890" s="784">
        <v>20903</v>
      </c>
      <c r="P890" s="784">
        <v>0</v>
      </c>
      <c r="Q890" s="783">
        <v>104.65</v>
      </c>
      <c r="R890" s="783"/>
      <c r="S890" s="784">
        <v>4160</v>
      </c>
      <c r="T890" s="785">
        <v>43</v>
      </c>
      <c r="U890" s="785">
        <v>4203</v>
      </c>
    </row>
    <row r="891" spans="1:21" x14ac:dyDescent="0.25">
      <c r="A891" s="780">
        <v>99901</v>
      </c>
      <c r="B891" s="781" t="s">
        <v>2054</v>
      </c>
      <c r="C891" s="782">
        <v>1.5259E-3</v>
      </c>
      <c r="D891" s="782">
        <v>1.4857E-3</v>
      </c>
      <c r="E891" s="783">
        <v>651006</v>
      </c>
      <c r="F891" s="783">
        <v>-819985</v>
      </c>
      <c r="G891" s="783">
        <v>684815</v>
      </c>
      <c r="H891" s="783"/>
      <c r="I891" s="784">
        <v>0</v>
      </c>
      <c r="J891" s="784">
        <v>1376234</v>
      </c>
      <c r="K891" s="784">
        <v>0</v>
      </c>
      <c r="L891" s="783">
        <v>50407</v>
      </c>
      <c r="M891" s="783"/>
      <c r="N891" s="784">
        <v>160972</v>
      </c>
      <c r="O891" s="784">
        <v>1571199</v>
      </c>
      <c r="P891" s="784">
        <v>0</v>
      </c>
      <c r="Q891" s="783">
        <v>36304.58</v>
      </c>
      <c r="R891" s="783"/>
      <c r="S891" s="784">
        <v>312660</v>
      </c>
      <c r="T891" s="785">
        <v>1054</v>
      </c>
      <c r="U891" s="785">
        <v>313714</v>
      </c>
    </row>
    <row r="892" spans="1:21" x14ac:dyDescent="0.25">
      <c r="A892" s="780">
        <v>99911</v>
      </c>
      <c r="B892" s="781" t="s">
        <v>2055</v>
      </c>
      <c r="C892" s="782">
        <v>2.766E-4</v>
      </c>
      <c r="D892" s="782">
        <v>2.7329999999999998E-4</v>
      </c>
      <c r="E892" s="783">
        <v>114903</v>
      </c>
      <c r="F892" s="783">
        <v>-150839</v>
      </c>
      <c r="G892" s="783">
        <v>124136</v>
      </c>
      <c r="H892" s="783"/>
      <c r="I892" s="784">
        <v>0</v>
      </c>
      <c r="J892" s="784">
        <v>249470</v>
      </c>
      <c r="K892" s="784">
        <v>0</v>
      </c>
      <c r="L892" s="783">
        <v>3879</v>
      </c>
      <c r="M892" s="783"/>
      <c r="N892" s="784">
        <v>29179</v>
      </c>
      <c r="O892" s="784">
        <v>284811</v>
      </c>
      <c r="P892" s="784">
        <v>0</v>
      </c>
      <c r="Q892" s="783">
        <v>15730</v>
      </c>
      <c r="R892" s="783"/>
      <c r="S892" s="784">
        <v>56676</v>
      </c>
      <c r="T892" s="785">
        <v>-4246</v>
      </c>
      <c r="U892" s="785">
        <v>52430</v>
      </c>
    </row>
    <row r="893" spans="1:21" x14ac:dyDescent="0.25">
      <c r="A893" s="780">
        <v>99921</v>
      </c>
      <c r="B893" s="781" t="s">
        <v>2056</v>
      </c>
      <c r="C893" s="782">
        <v>1.3889999999999999E-4</v>
      </c>
      <c r="D893" s="782">
        <v>1.3320000000000001E-4</v>
      </c>
      <c r="E893" s="783">
        <v>57114</v>
      </c>
      <c r="F893" s="783">
        <v>-73515</v>
      </c>
      <c r="G893" s="783">
        <v>62337</v>
      </c>
      <c r="H893" s="783"/>
      <c r="I893" s="784">
        <v>0</v>
      </c>
      <c r="J893" s="784">
        <v>125276</v>
      </c>
      <c r="K893" s="784">
        <v>0</v>
      </c>
      <c r="L893" s="783">
        <v>4320</v>
      </c>
      <c r="M893" s="783"/>
      <c r="N893" s="784">
        <v>14653</v>
      </c>
      <c r="O893" s="784">
        <v>143024</v>
      </c>
      <c r="P893" s="784">
        <v>0</v>
      </c>
      <c r="Q893" s="783">
        <v>11048</v>
      </c>
      <c r="R893" s="783"/>
      <c r="S893" s="784">
        <v>28461</v>
      </c>
      <c r="T893" s="785">
        <v>-2564</v>
      </c>
      <c r="U893" s="785">
        <v>25897</v>
      </c>
    </row>
    <row r="894" spans="1:21" x14ac:dyDescent="0.25">
      <c r="A894" s="780">
        <v>99931</v>
      </c>
      <c r="B894" s="781" t="s">
        <v>2057</v>
      </c>
      <c r="C894" s="782">
        <v>2.5700000000000001E-5</v>
      </c>
      <c r="D894" s="782">
        <v>3.01E-5</v>
      </c>
      <c r="E894" s="783">
        <v>8959</v>
      </c>
      <c r="F894" s="783">
        <v>-16613</v>
      </c>
      <c r="G894" s="783">
        <v>11534</v>
      </c>
      <c r="H894" s="783"/>
      <c r="I894" s="784">
        <v>0</v>
      </c>
      <c r="J894" s="784">
        <v>23179</v>
      </c>
      <c r="K894" s="784">
        <v>0</v>
      </c>
      <c r="L894" s="783">
        <v>0</v>
      </c>
      <c r="M894" s="783"/>
      <c r="N894" s="784">
        <v>2711</v>
      </c>
      <c r="O894" s="784">
        <v>26463</v>
      </c>
      <c r="P894" s="784">
        <v>0</v>
      </c>
      <c r="Q894" s="783">
        <v>6082</v>
      </c>
      <c r="R894" s="783"/>
      <c r="S894" s="784">
        <v>5266</v>
      </c>
      <c r="T894" s="785">
        <v>-1721</v>
      </c>
      <c r="U894" s="785">
        <v>3545</v>
      </c>
    </row>
    <row r="895" spans="1:21" x14ac:dyDescent="0.25">
      <c r="A895" s="780">
        <v>99941</v>
      </c>
      <c r="B895" s="781" t="s">
        <v>2058</v>
      </c>
      <c r="C895" s="782">
        <v>8.7899999999999995E-5</v>
      </c>
      <c r="D895" s="782">
        <v>8.4599999999999996E-5</v>
      </c>
      <c r="E895" s="783">
        <v>30573</v>
      </c>
      <c r="F895" s="783">
        <v>-46692</v>
      </c>
      <c r="G895" s="783">
        <v>39449</v>
      </c>
      <c r="H895" s="783"/>
      <c r="I895" s="784">
        <v>0</v>
      </c>
      <c r="J895" s="784">
        <v>79278</v>
      </c>
      <c r="K895" s="784">
        <v>0</v>
      </c>
      <c r="L895" s="783">
        <v>0</v>
      </c>
      <c r="M895" s="783"/>
      <c r="N895" s="784">
        <v>9273</v>
      </c>
      <c r="O895" s="784">
        <v>90509</v>
      </c>
      <c r="P895" s="784">
        <v>0</v>
      </c>
      <c r="Q895" s="783">
        <v>4752</v>
      </c>
      <c r="R895" s="783"/>
      <c r="S895" s="784">
        <v>18011</v>
      </c>
      <c r="T895" s="785">
        <v>-1451</v>
      </c>
      <c r="U895" s="785">
        <v>16559</v>
      </c>
    </row>
    <row r="896" spans="1:21" x14ac:dyDescent="0.25">
      <c r="A896" s="780">
        <v>99991</v>
      </c>
      <c r="B896" s="781" t="s">
        <v>2059</v>
      </c>
      <c r="C896" s="782">
        <v>5.1539999999999995E-4</v>
      </c>
      <c r="D896" s="782">
        <v>5.285E-4</v>
      </c>
      <c r="E896" s="783">
        <v>238939</v>
      </c>
      <c r="F896" s="783">
        <v>-291689</v>
      </c>
      <c r="G896" s="783">
        <v>231308</v>
      </c>
      <c r="H896" s="783"/>
      <c r="I896" s="784">
        <v>0</v>
      </c>
      <c r="J896" s="784">
        <v>464848</v>
      </c>
      <c r="K896" s="784">
        <v>0</v>
      </c>
      <c r="L896" s="783">
        <v>50153</v>
      </c>
      <c r="M896" s="783"/>
      <c r="N896" s="784">
        <v>54371</v>
      </c>
      <c r="O896" s="784">
        <v>530701</v>
      </c>
      <c r="P896" s="784">
        <v>0</v>
      </c>
      <c r="Q896" s="783">
        <v>0</v>
      </c>
      <c r="R896" s="783"/>
      <c r="S896" s="784">
        <v>105606</v>
      </c>
      <c r="T896" s="785">
        <v>15800</v>
      </c>
      <c r="U896" s="785">
        <v>121406</v>
      </c>
    </row>
    <row r="897" spans="1:21" x14ac:dyDescent="0.25">
      <c r="A897" s="780">
        <v>99999</v>
      </c>
      <c r="B897" s="781" t="s">
        <v>2060</v>
      </c>
      <c r="C897" s="782">
        <v>9.3599999999999998E-4</v>
      </c>
      <c r="D897" s="782">
        <v>9.0430000000000003E-4</v>
      </c>
      <c r="E897" s="783">
        <v>440655</v>
      </c>
      <c r="F897" s="783">
        <v>-499099</v>
      </c>
      <c r="G897" s="783">
        <v>420071</v>
      </c>
      <c r="H897" s="783"/>
      <c r="I897" s="784">
        <v>0</v>
      </c>
      <c r="J897" s="784">
        <v>844193</v>
      </c>
      <c r="K897" s="784">
        <v>0</v>
      </c>
      <c r="L897" s="783">
        <v>68610</v>
      </c>
      <c r="M897" s="783"/>
      <c r="N897" s="784">
        <v>98741</v>
      </c>
      <c r="O897" s="784">
        <v>963787</v>
      </c>
      <c r="P897" s="784">
        <v>0</v>
      </c>
      <c r="Q897" s="783">
        <v>65510.9</v>
      </c>
      <c r="R897" s="783"/>
      <c r="S897" s="784">
        <v>191788</v>
      </c>
      <c r="T897" s="785">
        <v>-3949</v>
      </c>
      <c r="U897" s="785">
        <v>187839</v>
      </c>
    </row>
    <row r="898" spans="1:21" x14ac:dyDescent="0.25">
      <c r="A898" s="854">
        <v>91013</v>
      </c>
      <c r="B898" s="781"/>
      <c r="C898" s="782"/>
      <c r="D898" s="782"/>
      <c r="E898" s="783"/>
      <c r="F898" s="783"/>
      <c r="G898" s="783"/>
      <c r="H898" s="783"/>
      <c r="I898" s="784"/>
      <c r="J898" s="784"/>
      <c r="K898" s="784"/>
      <c r="L898" s="783"/>
      <c r="M898" s="783"/>
      <c r="N898" s="784"/>
      <c r="O898" s="784"/>
      <c r="P898" s="784"/>
      <c r="Q898" s="783"/>
      <c r="R898" s="783"/>
      <c r="S898" s="784"/>
      <c r="T898" s="785"/>
      <c r="U898" s="785"/>
    </row>
    <row r="899" spans="1:21" x14ac:dyDescent="0.25">
      <c r="A899" s="854">
        <v>92513</v>
      </c>
      <c r="B899" s="781"/>
      <c r="C899" s="782"/>
      <c r="D899" s="782"/>
      <c r="E899" s="783"/>
      <c r="F899" s="783"/>
      <c r="G899" s="783"/>
      <c r="H899" s="783"/>
      <c r="I899" s="784"/>
      <c r="J899" s="784"/>
      <c r="K899" s="784"/>
      <c r="L899" s="783"/>
      <c r="M899" s="783"/>
      <c r="N899" s="784"/>
      <c r="O899" s="784"/>
      <c r="P899" s="784"/>
      <c r="Q899" s="783"/>
      <c r="R899" s="783"/>
      <c r="S899" s="784"/>
      <c r="T899" s="785"/>
      <c r="U899" s="785"/>
    </row>
    <row r="900" spans="1:21" x14ac:dyDescent="0.25">
      <c r="A900" s="854">
        <v>96318</v>
      </c>
      <c r="B900" s="781"/>
      <c r="C900" s="782"/>
      <c r="D900" s="782"/>
      <c r="E900" s="783"/>
      <c r="F900" s="783"/>
      <c r="G900" s="783"/>
      <c r="H900" s="783"/>
      <c r="I900" s="784"/>
      <c r="J900" s="784"/>
      <c r="K900" s="784"/>
      <c r="L900" s="783"/>
      <c r="M900" s="783"/>
      <c r="N900" s="784"/>
      <c r="O900" s="784"/>
      <c r="P900" s="784"/>
      <c r="Q900" s="783"/>
      <c r="R900" s="783"/>
      <c r="S900" s="784"/>
      <c r="T900" s="785"/>
      <c r="U900" s="785"/>
    </row>
    <row r="901" spans="1:21" x14ac:dyDescent="0.25">
      <c r="A901" s="854">
        <v>98604</v>
      </c>
      <c r="B901" s="781"/>
      <c r="C901" s="782"/>
      <c r="D901" s="782"/>
      <c r="E901" s="783"/>
      <c r="F901" s="783"/>
      <c r="G901" s="783"/>
      <c r="H901" s="783"/>
      <c r="I901" s="784"/>
      <c r="J901" s="784"/>
      <c r="K901" s="784"/>
      <c r="L901" s="783"/>
      <c r="M901" s="783"/>
      <c r="N901" s="784"/>
      <c r="O901" s="784"/>
      <c r="P901" s="784"/>
      <c r="Q901" s="783"/>
      <c r="R901" s="783"/>
      <c r="S901" s="784"/>
      <c r="T901" s="785"/>
      <c r="U901" s="785"/>
    </row>
    <row r="902" spans="1:21" x14ac:dyDescent="0.25">
      <c r="A902" s="854">
        <v>99014</v>
      </c>
      <c r="B902" s="781"/>
      <c r="C902" s="782"/>
      <c r="D902" s="782"/>
      <c r="E902" s="783"/>
      <c r="F902" s="783"/>
      <c r="G902" s="783"/>
      <c r="H902" s="783"/>
      <c r="I902" s="784"/>
      <c r="J902" s="784"/>
      <c r="K902" s="784"/>
      <c r="L902" s="783"/>
      <c r="M902" s="783"/>
      <c r="N902" s="784"/>
      <c r="O902" s="784"/>
      <c r="P902" s="784"/>
      <c r="Q902" s="783"/>
      <c r="R902" s="783"/>
      <c r="S902" s="784"/>
      <c r="T902" s="785"/>
      <c r="U902" s="785"/>
    </row>
    <row r="903" spans="1:21" x14ac:dyDescent="0.25">
      <c r="A903" s="780" t="s">
        <v>2553</v>
      </c>
      <c r="B903" s="781" t="s">
        <v>2552</v>
      </c>
      <c r="C903" s="782">
        <v>2.9179999999999999E-4</v>
      </c>
      <c r="D903" s="782">
        <v>2.898E-4</v>
      </c>
      <c r="E903" s="783">
        <v>121450</v>
      </c>
      <c r="F903" s="783">
        <v>-159946</v>
      </c>
      <c r="G903" s="783">
        <v>130958</v>
      </c>
      <c r="H903" s="783"/>
      <c r="I903" s="784">
        <v>0</v>
      </c>
      <c r="J903" s="784">
        <v>263179</v>
      </c>
      <c r="K903" s="784">
        <v>0</v>
      </c>
      <c r="L903" s="783">
        <v>3237</v>
      </c>
      <c r="M903" s="783"/>
      <c r="N903" s="784">
        <v>30783</v>
      </c>
      <c r="O903" s="784">
        <v>300463</v>
      </c>
      <c r="P903" s="784">
        <v>0</v>
      </c>
      <c r="Q903" s="783">
        <v>2879</v>
      </c>
      <c r="R903" s="783"/>
      <c r="S903" s="784">
        <v>59790</v>
      </c>
      <c r="T903" s="785">
        <v>-116</v>
      </c>
      <c r="U903" s="785">
        <v>59675</v>
      </c>
    </row>
    <row r="904" spans="1:21" s="775" customFormat="1" x14ac:dyDescent="0.25">
      <c r="A904" s="787"/>
      <c r="B904" s="788" t="s">
        <v>2061</v>
      </c>
      <c r="C904" s="788"/>
      <c r="D904" s="789"/>
      <c r="E904" s="790">
        <f>SUM(E4:E897)</f>
        <v>408282084</v>
      </c>
      <c r="F904" s="790">
        <f>SUM(F4:F897)</f>
        <v>-551918051</v>
      </c>
      <c r="G904" s="791">
        <f>SUM(G4:G897)</f>
        <v>448793979</v>
      </c>
      <c r="H904" s="791"/>
      <c r="I904" s="791">
        <f>SUM(I4:I897)</f>
        <v>0</v>
      </c>
      <c r="J904" s="791">
        <f>SUM(J4:J897)</f>
        <v>901915995</v>
      </c>
      <c r="K904" s="791">
        <f>SUM(K4:K897)</f>
        <v>0</v>
      </c>
      <c r="L904" s="791">
        <f>SUM(L4:L897)</f>
        <v>35048819</v>
      </c>
      <c r="M904" s="791"/>
      <c r="N904" s="791">
        <f>SUM(N4:N897)</f>
        <v>105492995</v>
      </c>
      <c r="O904" s="791">
        <f>SUM(O4:O897)</f>
        <v>1029687002</v>
      </c>
      <c r="P904" s="791">
        <f>SUM(P4:P897)</f>
        <v>0</v>
      </c>
      <c r="Q904" s="791">
        <f>SUM(Q4:Q897)</f>
        <v>35048730</v>
      </c>
      <c r="R904" s="791"/>
      <c r="S904" s="791">
        <f>SUM(S4:S897)</f>
        <v>204901983</v>
      </c>
      <c r="T904" s="791">
        <f>SUM(T4:T897)</f>
        <v>30</v>
      </c>
      <c r="U904" s="791">
        <f>SUM(U4:U897)</f>
        <v>204902031</v>
      </c>
    </row>
    <row r="909" spans="1:21" x14ac:dyDescent="0.25">
      <c r="B909" s="776" t="s">
        <v>2121</v>
      </c>
      <c r="C909" s="776" t="s">
        <v>487</v>
      </c>
    </row>
    <row r="910" spans="1:21" x14ac:dyDescent="0.25">
      <c r="B910" s="781" t="s">
        <v>2124</v>
      </c>
      <c r="C910" s="780">
        <v>96331</v>
      </c>
      <c r="D910" s="781"/>
    </row>
    <row r="911" spans="1:21" x14ac:dyDescent="0.25">
      <c r="B911" s="781" t="s">
        <v>2125</v>
      </c>
      <c r="C911" s="780">
        <v>94611</v>
      </c>
      <c r="D911" s="781"/>
    </row>
    <row r="912" spans="1:21" x14ac:dyDescent="0.25">
      <c r="B912" s="781" t="s">
        <v>1486</v>
      </c>
      <c r="C912" s="780">
        <v>93402</v>
      </c>
      <c r="D912" s="781"/>
    </row>
    <row r="913" spans="2:4" x14ac:dyDescent="0.25">
      <c r="B913" s="781" t="s">
        <v>2126</v>
      </c>
      <c r="C913" s="780">
        <v>90151</v>
      </c>
      <c r="D913" s="781"/>
    </row>
    <row r="914" spans="2:4" x14ac:dyDescent="0.25">
      <c r="B914" s="781" t="s">
        <v>1551</v>
      </c>
      <c r="C914" s="780">
        <v>94109</v>
      </c>
      <c r="D914" s="781"/>
    </row>
    <row r="915" spans="2:4" x14ac:dyDescent="0.25">
      <c r="B915" s="781" t="s">
        <v>1180</v>
      </c>
      <c r="C915" s="780">
        <v>90101</v>
      </c>
      <c r="D915" s="781"/>
    </row>
    <row r="916" spans="2:4" x14ac:dyDescent="0.25">
      <c r="B916" s="781" t="s">
        <v>2127</v>
      </c>
      <c r="C916" s="780">
        <v>98411</v>
      </c>
      <c r="D916" s="781"/>
    </row>
    <row r="917" spans="2:4" x14ac:dyDescent="0.25">
      <c r="B917" s="781" t="s">
        <v>1935</v>
      </c>
      <c r="C917" s="780">
        <v>98417</v>
      </c>
      <c r="D917" s="781"/>
    </row>
    <row r="918" spans="2:4" x14ac:dyDescent="0.25">
      <c r="B918" s="781" t="s">
        <v>1795</v>
      </c>
      <c r="C918" s="780">
        <v>97008</v>
      </c>
      <c r="D918" s="781"/>
    </row>
    <row r="919" spans="2:4" x14ac:dyDescent="0.25">
      <c r="B919" s="781" t="s">
        <v>1796</v>
      </c>
      <c r="C919" s="780">
        <v>97010</v>
      </c>
      <c r="D919" s="781"/>
    </row>
    <row r="920" spans="2:4" x14ac:dyDescent="0.25">
      <c r="B920" s="781" t="s">
        <v>1229</v>
      </c>
      <c r="C920" s="780">
        <v>90805</v>
      </c>
      <c r="D920" s="781"/>
    </row>
    <row r="921" spans="2:4" x14ac:dyDescent="0.25">
      <c r="B921" s="781" t="s">
        <v>1373</v>
      </c>
      <c r="C921" s="780">
        <v>92109</v>
      </c>
      <c r="D921" s="781"/>
    </row>
    <row r="922" spans="2:4" x14ac:dyDescent="0.25">
      <c r="B922" s="781" t="s">
        <v>1189</v>
      </c>
      <c r="C922" s="780">
        <v>90201</v>
      </c>
      <c r="D922" s="781"/>
    </row>
    <row r="923" spans="2:4" x14ac:dyDescent="0.25">
      <c r="B923" s="781" t="s">
        <v>1190</v>
      </c>
      <c r="C923" s="780">
        <v>90203</v>
      </c>
      <c r="D923" s="781"/>
    </row>
    <row r="924" spans="2:4" x14ac:dyDescent="0.25">
      <c r="B924" s="781" t="s">
        <v>1191</v>
      </c>
      <c r="C924" s="780">
        <v>90205</v>
      </c>
      <c r="D924" s="781"/>
    </row>
    <row r="925" spans="2:4" x14ac:dyDescent="0.25">
      <c r="B925" s="781" t="s">
        <v>1192</v>
      </c>
      <c r="C925" s="780">
        <v>90206</v>
      </c>
      <c r="D925" s="781"/>
    </row>
    <row r="926" spans="2:4" x14ac:dyDescent="0.25">
      <c r="B926" s="781" t="s">
        <v>1194</v>
      </c>
      <c r="C926" s="780">
        <v>90301</v>
      </c>
      <c r="D926" s="781"/>
    </row>
    <row r="927" spans="2:4" x14ac:dyDescent="0.25">
      <c r="B927" s="781" t="s">
        <v>1469</v>
      </c>
      <c r="C927" s="780">
        <v>93209</v>
      </c>
      <c r="D927" s="781"/>
    </row>
    <row r="928" spans="2:4" x14ac:dyDescent="0.25">
      <c r="B928" s="781" t="s">
        <v>2128</v>
      </c>
      <c r="C928" s="780">
        <v>92021</v>
      </c>
      <c r="D928" s="781"/>
    </row>
    <row r="929" spans="2:4" x14ac:dyDescent="0.25">
      <c r="B929" s="781" t="s">
        <v>2129</v>
      </c>
      <c r="C929" s="780">
        <v>94351</v>
      </c>
      <c r="D929" s="781"/>
    </row>
    <row r="930" spans="2:4" x14ac:dyDescent="0.25">
      <c r="B930" s="781" t="s">
        <v>1582</v>
      </c>
      <c r="C930" s="780">
        <v>94347</v>
      </c>
      <c r="D930" s="781"/>
    </row>
    <row r="931" spans="2:4" x14ac:dyDescent="0.25">
      <c r="B931" s="781" t="s">
        <v>1197</v>
      </c>
      <c r="C931" s="780">
        <v>90401</v>
      </c>
      <c r="D931" s="781"/>
    </row>
    <row r="932" spans="2:4" x14ac:dyDescent="0.25">
      <c r="B932" s="781" t="s">
        <v>2130</v>
      </c>
      <c r="C932" s="780">
        <v>90451</v>
      </c>
      <c r="D932" s="781"/>
    </row>
    <row r="933" spans="2:4" x14ac:dyDescent="0.25">
      <c r="B933" s="781" t="s">
        <v>2131</v>
      </c>
      <c r="C933" s="780">
        <v>99271</v>
      </c>
      <c r="D933" s="781"/>
    </row>
    <row r="934" spans="2:4" x14ac:dyDescent="0.25">
      <c r="B934" s="781" t="s">
        <v>1179</v>
      </c>
      <c r="C934" s="780">
        <v>90099</v>
      </c>
      <c r="D934" s="781"/>
    </row>
    <row r="935" spans="2:4" x14ac:dyDescent="0.25">
      <c r="B935" s="781" t="s">
        <v>2039</v>
      </c>
      <c r="C935" s="780">
        <v>99705</v>
      </c>
      <c r="D935" s="781"/>
    </row>
    <row r="936" spans="2:4" x14ac:dyDescent="0.25">
      <c r="B936" s="781" t="s">
        <v>2132</v>
      </c>
      <c r="C936" s="780">
        <v>97651</v>
      </c>
      <c r="D936" s="781"/>
    </row>
    <row r="937" spans="2:4" x14ac:dyDescent="0.25">
      <c r="B937" s="781" t="s">
        <v>2133</v>
      </c>
      <c r="C937" s="780">
        <v>95106</v>
      </c>
      <c r="D937" s="781"/>
    </row>
    <row r="938" spans="2:4" x14ac:dyDescent="0.25">
      <c r="B938" s="781" t="s">
        <v>1206</v>
      </c>
      <c r="C938" s="780">
        <v>90501</v>
      </c>
      <c r="D938" s="781"/>
    </row>
    <row r="939" spans="2:4" x14ac:dyDescent="0.25">
      <c r="B939" s="781" t="s">
        <v>2134</v>
      </c>
      <c r="C939" s="780">
        <v>97611</v>
      </c>
      <c r="D939" s="781"/>
    </row>
    <row r="940" spans="2:4" x14ac:dyDescent="0.25">
      <c r="B940" s="781" t="s">
        <v>1838</v>
      </c>
      <c r="C940" s="780">
        <v>97607</v>
      </c>
      <c r="D940" s="781"/>
    </row>
    <row r="941" spans="2:4" x14ac:dyDescent="0.25">
      <c r="B941" s="781" t="s">
        <v>1840</v>
      </c>
      <c r="C941" s="780">
        <v>97613</v>
      </c>
      <c r="D941" s="781"/>
    </row>
    <row r="942" spans="2:4" x14ac:dyDescent="0.25">
      <c r="B942" s="781" t="s">
        <v>2135</v>
      </c>
      <c r="C942" s="780">
        <v>91121</v>
      </c>
      <c r="D942" s="781"/>
    </row>
    <row r="943" spans="2:4" x14ac:dyDescent="0.25">
      <c r="B943" s="781" t="s">
        <v>1282</v>
      </c>
      <c r="C943" s="780">
        <v>91127</v>
      </c>
      <c r="D943" s="781"/>
    </row>
    <row r="944" spans="2:4" x14ac:dyDescent="0.25">
      <c r="B944" s="781" t="s">
        <v>1283</v>
      </c>
      <c r="C944" s="780">
        <v>91128</v>
      </c>
      <c r="D944" s="781"/>
    </row>
    <row r="945" spans="2:4" x14ac:dyDescent="0.25">
      <c r="B945" s="781" t="s">
        <v>2136</v>
      </c>
      <c r="C945" s="780">
        <v>91681</v>
      </c>
      <c r="D945" s="781"/>
    </row>
    <row r="946" spans="2:4" x14ac:dyDescent="0.25">
      <c r="B946" s="781" t="s">
        <v>2137</v>
      </c>
      <c r="C946" s="780">
        <v>90811</v>
      </c>
      <c r="D946" s="781"/>
    </row>
    <row r="947" spans="2:4" x14ac:dyDescent="0.25">
      <c r="B947" s="781" t="s">
        <v>2138</v>
      </c>
      <c r="C947" s="780">
        <v>90721</v>
      </c>
      <c r="D947" s="781"/>
    </row>
    <row r="948" spans="2:4" x14ac:dyDescent="0.25">
      <c r="B948" s="781" t="s">
        <v>2139</v>
      </c>
      <c r="C948" s="780">
        <v>98271</v>
      </c>
      <c r="D948" s="781"/>
    </row>
    <row r="949" spans="2:4" x14ac:dyDescent="0.25">
      <c r="B949" s="781" t="s">
        <v>1210</v>
      </c>
      <c r="C949" s="780">
        <v>90601</v>
      </c>
      <c r="D949" s="781"/>
    </row>
    <row r="950" spans="2:4" x14ac:dyDescent="0.25">
      <c r="B950" s="781" t="s">
        <v>2122</v>
      </c>
      <c r="C950" s="780">
        <v>90602</v>
      </c>
      <c r="D950" s="781"/>
    </row>
    <row r="951" spans="2:4" x14ac:dyDescent="0.25">
      <c r="B951" s="781" t="s">
        <v>1211</v>
      </c>
      <c r="C951" s="780">
        <v>90605</v>
      </c>
      <c r="D951" s="781"/>
    </row>
    <row r="952" spans="2:4" x14ac:dyDescent="0.25">
      <c r="B952" s="781" t="s">
        <v>2140</v>
      </c>
      <c r="C952" s="780">
        <v>97461</v>
      </c>
      <c r="D952" s="781"/>
    </row>
    <row r="953" spans="2:4" x14ac:dyDescent="0.25">
      <c r="B953" s="781" t="s">
        <v>1829</v>
      </c>
      <c r="C953" s="780">
        <v>97463</v>
      </c>
      <c r="D953" s="781"/>
    </row>
    <row r="954" spans="2:4" x14ac:dyDescent="0.25">
      <c r="B954" s="781" t="s">
        <v>1220</v>
      </c>
      <c r="C954" s="780">
        <v>90705</v>
      </c>
      <c r="D954" s="781"/>
    </row>
    <row r="955" spans="2:4" x14ac:dyDescent="0.25">
      <c r="B955" s="781" t="s">
        <v>2141</v>
      </c>
      <c r="C955" s="780">
        <v>98451</v>
      </c>
      <c r="D955" s="781"/>
    </row>
    <row r="956" spans="2:4" x14ac:dyDescent="0.25">
      <c r="B956" s="781" t="s">
        <v>2142</v>
      </c>
      <c r="C956" s="780">
        <v>96451</v>
      </c>
      <c r="D956" s="781"/>
    </row>
    <row r="957" spans="2:4" x14ac:dyDescent="0.25">
      <c r="B957" s="781" t="s">
        <v>2143</v>
      </c>
      <c r="C957" s="780">
        <v>96121</v>
      </c>
      <c r="D957" s="781"/>
    </row>
    <row r="958" spans="2:4" x14ac:dyDescent="0.25">
      <c r="B958" s="781" t="s">
        <v>2144</v>
      </c>
      <c r="C958" s="780">
        <v>91091</v>
      </c>
      <c r="D958" s="781"/>
    </row>
    <row r="959" spans="2:4" x14ac:dyDescent="0.25">
      <c r="B959" s="781" t="s">
        <v>2145</v>
      </c>
      <c r="C959" s="780">
        <v>90611</v>
      </c>
      <c r="D959" s="781"/>
    </row>
    <row r="960" spans="2:4" x14ac:dyDescent="0.25">
      <c r="B960" s="781" t="s">
        <v>1790</v>
      </c>
      <c r="C960" s="780">
        <v>96918</v>
      </c>
      <c r="D960" s="781"/>
    </row>
    <row r="961" spans="2:4" x14ac:dyDescent="0.25">
      <c r="B961" s="781" t="s">
        <v>2146</v>
      </c>
      <c r="C961" s="780">
        <v>96911</v>
      </c>
      <c r="D961" s="781"/>
    </row>
    <row r="962" spans="2:4" x14ac:dyDescent="0.25">
      <c r="B962" s="781" t="s">
        <v>1990</v>
      </c>
      <c r="C962" s="780">
        <v>99208</v>
      </c>
      <c r="D962" s="781"/>
    </row>
    <row r="963" spans="2:4" x14ac:dyDescent="0.25">
      <c r="B963" s="781" t="s">
        <v>2147</v>
      </c>
      <c r="C963" s="780">
        <v>91631</v>
      </c>
      <c r="D963" s="781"/>
    </row>
    <row r="964" spans="2:4" x14ac:dyDescent="0.25">
      <c r="B964" s="781" t="s">
        <v>1218</v>
      </c>
      <c r="C964" s="780">
        <v>90701</v>
      </c>
      <c r="D964" s="781"/>
    </row>
    <row r="965" spans="2:4" x14ac:dyDescent="0.25">
      <c r="B965" s="781" t="s">
        <v>1219</v>
      </c>
      <c r="C965" s="780">
        <v>90704</v>
      </c>
      <c r="D965" s="781"/>
    </row>
    <row r="966" spans="2:4" x14ac:dyDescent="0.25">
      <c r="B966" s="781" t="s">
        <v>1334</v>
      </c>
      <c r="C966" s="780">
        <v>91633</v>
      </c>
      <c r="D966" s="781"/>
    </row>
    <row r="967" spans="2:4" x14ac:dyDescent="0.25">
      <c r="B967" s="781" t="s">
        <v>2148</v>
      </c>
      <c r="C967" s="780">
        <v>90631</v>
      </c>
      <c r="D967" s="781"/>
    </row>
    <row r="968" spans="2:4" x14ac:dyDescent="0.25">
      <c r="B968" s="781" t="s">
        <v>2149</v>
      </c>
      <c r="C968" s="780">
        <v>90731</v>
      </c>
      <c r="D968" s="781"/>
    </row>
    <row r="969" spans="2:4" x14ac:dyDescent="0.25">
      <c r="B969" s="781" t="s">
        <v>2150</v>
      </c>
      <c r="C969" s="780">
        <v>93621</v>
      </c>
      <c r="D969" s="781"/>
    </row>
    <row r="970" spans="2:4" x14ac:dyDescent="0.25">
      <c r="B970" s="781" t="s">
        <v>1515</v>
      </c>
      <c r="C970" s="780">
        <v>93623</v>
      </c>
      <c r="D970" s="781"/>
    </row>
    <row r="971" spans="2:4" x14ac:dyDescent="0.25">
      <c r="B971" s="781" t="s">
        <v>2151</v>
      </c>
      <c r="C971" s="780">
        <v>91020</v>
      </c>
      <c r="D971" s="781"/>
    </row>
    <row r="972" spans="2:4" x14ac:dyDescent="0.25">
      <c r="B972" s="781" t="s">
        <v>2152</v>
      </c>
      <c r="C972" s="780">
        <v>95141</v>
      </c>
      <c r="D972" s="781"/>
    </row>
    <row r="973" spans="2:4" x14ac:dyDescent="0.25">
      <c r="B973" s="781" t="s">
        <v>1635</v>
      </c>
      <c r="C973" s="780">
        <v>95103</v>
      </c>
      <c r="D973" s="781"/>
    </row>
    <row r="974" spans="2:4" x14ac:dyDescent="0.25">
      <c r="B974" s="781" t="s">
        <v>2153</v>
      </c>
      <c r="C974" s="780">
        <v>93021</v>
      </c>
      <c r="D974" s="781"/>
    </row>
    <row r="975" spans="2:4" x14ac:dyDescent="0.25">
      <c r="B975" s="781" t="s">
        <v>1227</v>
      </c>
      <c r="C975" s="780">
        <v>90801</v>
      </c>
      <c r="D975" s="781"/>
    </row>
    <row r="976" spans="2:4" x14ac:dyDescent="0.25">
      <c r="B976" s="781" t="s">
        <v>1228</v>
      </c>
      <c r="C976" s="780">
        <v>90804</v>
      </c>
      <c r="D976" s="781"/>
    </row>
    <row r="977" spans="2:4" x14ac:dyDescent="0.25">
      <c r="B977" s="781" t="s">
        <v>1230</v>
      </c>
      <c r="C977" s="780">
        <v>90808</v>
      </c>
      <c r="D977" s="781"/>
    </row>
    <row r="978" spans="2:4" x14ac:dyDescent="0.25">
      <c r="B978" s="781" t="s">
        <v>2154</v>
      </c>
      <c r="C978" s="780">
        <v>93671</v>
      </c>
      <c r="D978" s="781"/>
    </row>
    <row r="979" spans="2:4" x14ac:dyDescent="0.25">
      <c r="B979" s="781" t="s">
        <v>2155</v>
      </c>
      <c r="C979" s="780">
        <v>93677</v>
      </c>
      <c r="D979" s="781"/>
    </row>
    <row r="980" spans="2:4" x14ac:dyDescent="0.25">
      <c r="B980" s="781" t="s">
        <v>2156</v>
      </c>
      <c r="C980" s="780">
        <v>97441</v>
      </c>
      <c r="D980" s="781"/>
    </row>
    <row r="981" spans="2:4" x14ac:dyDescent="0.25">
      <c r="B981" s="781" t="s">
        <v>2157</v>
      </c>
      <c r="C981" s="780">
        <v>93111</v>
      </c>
      <c r="D981" s="781"/>
    </row>
    <row r="982" spans="2:4" x14ac:dyDescent="0.25">
      <c r="B982" s="781" t="s">
        <v>2158</v>
      </c>
      <c r="C982" s="780">
        <v>91111</v>
      </c>
      <c r="D982" s="781"/>
    </row>
    <row r="983" spans="2:4" x14ac:dyDescent="0.25">
      <c r="B983" s="781" t="s">
        <v>2159</v>
      </c>
      <c r="C983" s="780">
        <v>96231</v>
      </c>
      <c r="D983" s="781"/>
    </row>
    <row r="984" spans="2:4" x14ac:dyDescent="0.25">
      <c r="B984" s="781" t="s">
        <v>2160</v>
      </c>
      <c r="C984" s="780">
        <v>99831</v>
      </c>
      <c r="D984" s="781"/>
    </row>
    <row r="985" spans="2:4" x14ac:dyDescent="0.25">
      <c r="B985" s="781" t="s">
        <v>2161</v>
      </c>
      <c r="C985" s="780">
        <v>91151</v>
      </c>
      <c r="D985" s="781"/>
    </row>
    <row r="986" spans="2:4" x14ac:dyDescent="0.25">
      <c r="B986" s="781" t="s">
        <v>1288</v>
      </c>
      <c r="C986" s="780">
        <v>91154</v>
      </c>
      <c r="D986" s="781"/>
    </row>
    <row r="987" spans="2:4" x14ac:dyDescent="0.25">
      <c r="B987" s="781" t="s">
        <v>1235</v>
      </c>
      <c r="C987" s="780">
        <v>90901</v>
      </c>
      <c r="D987" s="781"/>
    </row>
    <row r="988" spans="2:4" x14ac:dyDescent="0.25">
      <c r="B988" s="781" t="s">
        <v>2162</v>
      </c>
      <c r="C988" s="780">
        <v>90941</v>
      </c>
      <c r="D988" s="781"/>
    </row>
    <row r="989" spans="2:4" x14ac:dyDescent="0.25">
      <c r="B989" s="781" t="s">
        <v>2163</v>
      </c>
      <c r="C989" s="780">
        <v>99521</v>
      </c>
      <c r="D989" s="781"/>
    </row>
    <row r="990" spans="2:4" x14ac:dyDescent="0.25">
      <c r="B990" s="781" t="s">
        <v>2023</v>
      </c>
      <c r="C990" s="780">
        <v>99527</v>
      </c>
      <c r="D990" s="781"/>
    </row>
    <row r="991" spans="2:4" x14ac:dyDescent="0.25">
      <c r="B991" s="781" t="s">
        <v>2019</v>
      </c>
      <c r="C991" s="780">
        <v>99508</v>
      </c>
      <c r="D991" s="781"/>
    </row>
    <row r="992" spans="2:4" x14ac:dyDescent="0.25">
      <c r="B992" s="781" t="s">
        <v>1601</v>
      </c>
      <c r="C992" s="780">
        <v>94532</v>
      </c>
      <c r="D992" s="781"/>
    </row>
    <row r="993" spans="2:4" x14ac:dyDescent="0.25">
      <c r="B993" s="781" t="s">
        <v>2164</v>
      </c>
      <c r="C993" s="780">
        <v>91071</v>
      </c>
      <c r="D993" s="781"/>
    </row>
    <row r="994" spans="2:4" x14ac:dyDescent="0.25">
      <c r="B994" s="781" t="s">
        <v>1269</v>
      </c>
      <c r="C994" s="780">
        <v>91077</v>
      </c>
      <c r="D994" s="781"/>
    </row>
    <row r="995" spans="2:4" x14ac:dyDescent="0.25">
      <c r="B995" s="781" t="s">
        <v>2165</v>
      </c>
      <c r="C995" s="780">
        <v>92331</v>
      </c>
      <c r="D995" s="781"/>
    </row>
    <row r="996" spans="2:4" x14ac:dyDescent="0.25">
      <c r="B996" s="781" t="s">
        <v>2166</v>
      </c>
      <c r="C996" s="780">
        <v>92414</v>
      </c>
      <c r="D996" s="781"/>
    </row>
    <row r="997" spans="2:4" x14ac:dyDescent="0.25">
      <c r="B997" s="781" t="s">
        <v>2167</v>
      </c>
      <c r="C997" s="780">
        <v>99511</v>
      </c>
      <c r="D997" s="781"/>
    </row>
    <row r="998" spans="2:4" x14ac:dyDescent="0.25">
      <c r="B998" s="781" t="s">
        <v>2168</v>
      </c>
      <c r="C998" s="780">
        <v>99941</v>
      </c>
      <c r="D998" s="781"/>
    </row>
    <row r="999" spans="2:4" x14ac:dyDescent="0.25">
      <c r="B999" s="781" t="s">
        <v>1742</v>
      </c>
      <c r="C999" s="780">
        <v>96405</v>
      </c>
      <c r="D999" s="781"/>
    </row>
    <row r="1000" spans="2:4" x14ac:dyDescent="0.25">
      <c r="B1000" s="781" t="s">
        <v>2169</v>
      </c>
      <c r="C1000" s="780">
        <v>98811</v>
      </c>
      <c r="D1000" s="781"/>
    </row>
    <row r="1001" spans="2:4" x14ac:dyDescent="0.25">
      <c r="B1001" s="781" t="s">
        <v>1961</v>
      </c>
      <c r="C1001" s="780">
        <v>98817</v>
      </c>
      <c r="D1001" s="781"/>
    </row>
    <row r="1002" spans="2:4" x14ac:dyDescent="0.25">
      <c r="B1002" s="781" t="s">
        <v>2170</v>
      </c>
      <c r="C1002" s="780">
        <v>92561</v>
      </c>
      <c r="D1002" s="781"/>
    </row>
    <row r="1003" spans="2:4" x14ac:dyDescent="0.25">
      <c r="B1003" s="781" t="s">
        <v>1904</v>
      </c>
      <c r="C1003" s="780">
        <v>98102</v>
      </c>
      <c r="D1003" s="781"/>
    </row>
    <row r="1004" spans="2:4" x14ac:dyDescent="0.25">
      <c r="B1004" s="781" t="s">
        <v>2171</v>
      </c>
      <c r="C1004" s="780">
        <v>95321</v>
      </c>
      <c r="D1004" s="781"/>
    </row>
    <row r="1005" spans="2:4" x14ac:dyDescent="0.25">
      <c r="B1005" s="781" t="s">
        <v>2172</v>
      </c>
      <c r="C1005" s="780">
        <v>91861</v>
      </c>
      <c r="D1005" s="781"/>
    </row>
    <row r="1006" spans="2:4" x14ac:dyDescent="0.25">
      <c r="B1006" s="781" t="s">
        <v>2173</v>
      </c>
      <c r="C1006" s="780">
        <v>92421</v>
      </c>
      <c r="D1006" s="781"/>
    </row>
    <row r="1007" spans="2:4" x14ac:dyDescent="0.25">
      <c r="B1007" s="781" t="s">
        <v>1242</v>
      </c>
      <c r="C1007" s="780">
        <v>91001</v>
      </c>
      <c r="D1007" s="781"/>
    </row>
    <row r="1008" spans="2:4" x14ac:dyDescent="0.25">
      <c r="B1008" s="781" t="s">
        <v>1245</v>
      </c>
      <c r="C1008" s="780">
        <v>91004</v>
      </c>
      <c r="D1008" s="781"/>
    </row>
    <row r="1009" spans="2:4" x14ac:dyDescent="0.25">
      <c r="B1009" s="781" t="s">
        <v>1244</v>
      </c>
      <c r="C1009" s="780">
        <v>91003</v>
      </c>
      <c r="D1009" s="781"/>
    </row>
    <row r="1010" spans="2:4" x14ac:dyDescent="0.25">
      <c r="B1010" s="781" t="s">
        <v>1249</v>
      </c>
      <c r="C1010" s="780">
        <v>91009</v>
      </c>
      <c r="D1010" s="781"/>
    </row>
    <row r="1011" spans="2:4" x14ac:dyDescent="0.25">
      <c r="B1011" s="781" t="s">
        <v>1246</v>
      </c>
      <c r="C1011" s="780">
        <v>91006</v>
      </c>
      <c r="D1011" s="781"/>
    </row>
    <row r="1012" spans="2:4" x14ac:dyDescent="0.25">
      <c r="B1012" s="781" t="s">
        <v>2174</v>
      </c>
      <c r="C1012" s="780">
        <v>98711</v>
      </c>
      <c r="D1012" s="781"/>
    </row>
    <row r="1013" spans="2:4" x14ac:dyDescent="0.25">
      <c r="B1013" s="781" t="s">
        <v>1958</v>
      </c>
      <c r="C1013" s="780">
        <v>98717</v>
      </c>
      <c r="D1013" s="781"/>
    </row>
    <row r="1014" spans="2:4" x14ac:dyDescent="0.25">
      <c r="B1014" s="781" t="s">
        <v>1272</v>
      </c>
      <c r="C1014" s="780">
        <v>91101</v>
      </c>
      <c r="D1014" s="781"/>
    </row>
    <row r="1015" spans="2:4" x14ac:dyDescent="0.25">
      <c r="B1015" s="781" t="s">
        <v>2175</v>
      </c>
      <c r="C1015" s="780">
        <v>93531</v>
      </c>
      <c r="D1015" s="781"/>
    </row>
    <row r="1016" spans="2:4" x14ac:dyDescent="0.25">
      <c r="B1016" s="781" t="s">
        <v>1505</v>
      </c>
      <c r="C1016" s="780">
        <v>93537</v>
      </c>
      <c r="D1016" s="781"/>
    </row>
    <row r="1017" spans="2:4" x14ac:dyDescent="0.25">
      <c r="B1017" s="781" t="s">
        <v>2176</v>
      </c>
      <c r="C1017" s="780">
        <v>97111</v>
      </c>
      <c r="D1017" s="781"/>
    </row>
    <row r="1018" spans="2:4" x14ac:dyDescent="0.25">
      <c r="B1018" s="781" t="s">
        <v>1291</v>
      </c>
      <c r="C1018" s="780">
        <v>91201</v>
      </c>
      <c r="D1018" s="781"/>
    </row>
    <row r="1019" spans="2:4" x14ac:dyDescent="0.25">
      <c r="B1019" s="781" t="s">
        <v>1293</v>
      </c>
      <c r="C1019" s="780">
        <v>91203</v>
      </c>
      <c r="D1019" s="781"/>
    </row>
    <row r="1020" spans="2:4" x14ac:dyDescent="0.25">
      <c r="B1020" s="781" t="s">
        <v>1295</v>
      </c>
      <c r="C1020" s="780">
        <v>91208</v>
      </c>
      <c r="D1020" s="781"/>
    </row>
    <row r="1021" spans="2:4" x14ac:dyDescent="0.25">
      <c r="B1021" s="781" t="s">
        <v>1294</v>
      </c>
      <c r="C1021" s="780">
        <v>91206</v>
      </c>
      <c r="D1021" s="781"/>
    </row>
    <row r="1022" spans="2:4" x14ac:dyDescent="0.25">
      <c r="B1022" s="781" t="s">
        <v>1292</v>
      </c>
      <c r="C1022" s="780">
        <v>91202</v>
      </c>
      <c r="D1022" s="781"/>
    </row>
    <row r="1023" spans="2:4" x14ac:dyDescent="0.25">
      <c r="B1023" s="781" t="s">
        <v>2177</v>
      </c>
      <c r="C1023" s="780">
        <v>90111</v>
      </c>
      <c r="D1023" s="781"/>
    </row>
    <row r="1024" spans="2:4" x14ac:dyDescent="0.25">
      <c r="B1024" s="781" t="s">
        <v>1183</v>
      </c>
      <c r="C1024" s="780">
        <v>90117</v>
      </c>
      <c r="D1024" s="781"/>
    </row>
    <row r="1025" spans="2:4" x14ac:dyDescent="0.25">
      <c r="B1025" s="781" t="s">
        <v>2178</v>
      </c>
      <c r="C1025" s="780">
        <v>90011</v>
      </c>
      <c r="D1025" s="781"/>
    </row>
    <row r="1026" spans="2:4" x14ac:dyDescent="0.25">
      <c r="B1026" s="781" t="s">
        <v>2179</v>
      </c>
      <c r="C1026" s="780">
        <v>93931</v>
      </c>
      <c r="D1026" s="781"/>
    </row>
    <row r="1027" spans="2:4" x14ac:dyDescent="0.25">
      <c r="B1027" s="781" t="s">
        <v>1308</v>
      </c>
      <c r="C1027" s="786">
        <v>91306</v>
      </c>
      <c r="D1027" s="781"/>
    </row>
    <row r="1028" spans="2:4" x14ac:dyDescent="0.25">
      <c r="B1028" s="781" t="s">
        <v>1309</v>
      </c>
      <c r="C1028" s="786">
        <v>91308</v>
      </c>
      <c r="D1028" s="781"/>
    </row>
    <row r="1029" spans="2:4" x14ac:dyDescent="0.25">
      <c r="B1029" s="781" t="s">
        <v>1306</v>
      </c>
      <c r="C1029" s="780">
        <v>91301</v>
      </c>
      <c r="D1029" s="781"/>
    </row>
    <row r="1030" spans="2:4" x14ac:dyDescent="0.25">
      <c r="B1030" s="781" t="s">
        <v>2180</v>
      </c>
      <c r="C1030" s="780">
        <v>91461</v>
      </c>
      <c r="D1030" s="781"/>
    </row>
    <row r="1031" spans="2:4" x14ac:dyDescent="0.25">
      <c r="B1031" s="781" t="s">
        <v>2181</v>
      </c>
      <c r="C1031" s="780">
        <v>91010</v>
      </c>
      <c r="D1031" s="781"/>
    </row>
    <row r="1032" spans="2:4" x14ac:dyDescent="0.25">
      <c r="B1032" s="781" t="s">
        <v>1247</v>
      </c>
      <c r="C1032" s="780">
        <v>91007</v>
      </c>
      <c r="D1032" s="781"/>
    </row>
    <row r="1033" spans="2:4" x14ac:dyDescent="0.25">
      <c r="B1033" s="781" t="s">
        <v>1316</v>
      </c>
      <c r="C1033" s="780">
        <v>91401</v>
      </c>
      <c r="D1033" s="781"/>
    </row>
    <row r="1034" spans="2:4" x14ac:dyDescent="0.25">
      <c r="B1034" s="781" t="s">
        <v>2182</v>
      </c>
      <c r="C1034" s="780">
        <v>93171</v>
      </c>
      <c r="D1034" s="781"/>
    </row>
    <row r="1035" spans="2:4" x14ac:dyDescent="0.25">
      <c r="B1035" s="781" t="s">
        <v>1326</v>
      </c>
      <c r="C1035" s="780">
        <v>91501</v>
      </c>
      <c r="D1035" s="781"/>
    </row>
    <row r="1036" spans="2:4" x14ac:dyDescent="0.25">
      <c r="B1036" s="781" t="s">
        <v>1327</v>
      </c>
      <c r="C1036" s="780">
        <v>91504</v>
      </c>
      <c r="D1036" s="781"/>
    </row>
    <row r="1037" spans="2:4" x14ac:dyDescent="0.25">
      <c r="B1037" s="781" t="s">
        <v>2183</v>
      </c>
      <c r="C1037" s="780">
        <v>96312</v>
      </c>
      <c r="D1037" s="781"/>
    </row>
    <row r="1038" spans="2:4" x14ac:dyDescent="0.25">
      <c r="B1038" s="781" t="s">
        <v>2184</v>
      </c>
      <c r="C1038" s="780">
        <v>96241</v>
      </c>
      <c r="D1038" s="781"/>
    </row>
    <row r="1039" spans="2:4" x14ac:dyDescent="0.25">
      <c r="B1039" s="781" t="s">
        <v>2185</v>
      </c>
      <c r="C1039" s="780">
        <v>94431</v>
      </c>
      <c r="D1039" s="781"/>
    </row>
    <row r="1040" spans="2:4" x14ac:dyDescent="0.25">
      <c r="B1040" s="781" t="s">
        <v>1593</v>
      </c>
      <c r="C1040" s="780">
        <v>94437</v>
      </c>
      <c r="D1040" s="781"/>
    </row>
    <row r="1041" spans="2:4" x14ac:dyDescent="0.25">
      <c r="B1041" s="781" t="s">
        <v>2186</v>
      </c>
      <c r="C1041" s="780">
        <v>91671</v>
      </c>
      <c r="D1041" s="781"/>
    </row>
    <row r="1042" spans="2:4" x14ac:dyDescent="0.25">
      <c r="B1042" s="781" t="s">
        <v>1248</v>
      </c>
      <c r="C1042" s="780">
        <v>91008</v>
      </c>
      <c r="D1042" s="781"/>
    </row>
    <row r="1043" spans="2:4" x14ac:dyDescent="0.25">
      <c r="B1043" s="781" t="s">
        <v>1756</v>
      </c>
      <c r="C1043" s="780">
        <v>96512</v>
      </c>
      <c r="D1043" s="781"/>
    </row>
    <row r="1044" spans="2:4" x14ac:dyDescent="0.25">
      <c r="B1044" s="781" t="s">
        <v>1753</v>
      </c>
      <c r="C1044" s="780">
        <v>96507</v>
      </c>
      <c r="D1044" s="781"/>
    </row>
    <row r="1045" spans="2:4" x14ac:dyDescent="0.25">
      <c r="B1045" s="781" t="s">
        <v>2187</v>
      </c>
      <c r="C1045" s="780">
        <v>96521</v>
      </c>
      <c r="D1045" s="781"/>
    </row>
    <row r="1046" spans="2:4" x14ac:dyDescent="0.25">
      <c r="B1046" s="781" t="s">
        <v>2188</v>
      </c>
      <c r="C1046" s="780">
        <v>91024</v>
      </c>
      <c r="D1046" s="781"/>
    </row>
    <row r="1047" spans="2:4" x14ac:dyDescent="0.25">
      <c r="B1047" s="781" t="s">
        <v>2189</v>
      </c>
      <c r="C1047" s="780">
        <v>96821</v>
      </c>
      <c r="D1047" s="781"/>
    </row>
    <row r="1048" spans="2:4" x14ac:dyDescent="0.25">
      <c r="B1048" s="781" t="s">
        <v>1328</v>
      </c>
      <c r="C1048" s="780">
        <v>91601</v>
      </c>
      <c r="D1048" s="781"/>
    </row>
    <row r="1049" spans="2:4" x14ac:dyDescent="0.25">
      <c r="B1049" s="781" t="s">
        <v>1329</v>
      </c>
      <c r="C1049" s="780">
        <v>91604</v>
      </c>
      <c r="D1049" s="781"/>
    </row>
    <row r="1050" spans="2:4" x14ac:dyDescent="0.25">
      <c r="B1050" s="781" t="s">
        <v>2190</v>
      </c>
      <c r="C1050" s="780">
        <v>96391</v>
      </c>
      <c r="D1050" s="781"/>
    </row>
    <row r="1051" spans="2:4" x14ac:dyDescent="0.25">
      <c r="B1051" s="781" t="s">
        <v>2191</v>
      </c>
      <c r="C1051" s="780">
        <v>99221</v>
      </c>
      <c r="D1051" s="781"/>
    </row>
    <row r="1052" spans="2:4" x14ac:dyDescent="0.25">
      <c r="B1052" s="781" t="s">
        <v>2192</v>
      </c>
      <c r="C1052" s="780">
        <v>91051</v>
      </c>
      <c r="D1052" s="781"/>
    </row>
    <row r="1053" spans="2:4" x14ac:dyDescent="0.25">
      <c r="B1053" s="781" t="s">
        <v>1341</v>
      </c>
      <c r="C1053" s="780">
        <v>91701</v>
      </c>
      <c r="D1053" s="781"/>
    </row>
    <row r="1054" spans="2:4" x14ac:dyDescent="0.25">
      <c r="B1054" s="781" t="s">
        <v>1342</v>
      </c>
      <c r="C1054" s="780">
        <v>91704</v>
      </c>
      <c r="D1054" s="781"/>
    </row>
    <row r="1055" spans="2:4" x14ac:dyDescent="0.25">
      <c r="B1055" s="781" t="s">
        <v>1343</v>
      </c>
      <c r="C1055" s="780">
        <v>91706</v>
      </c>
      <c r="D1055" s="781"/>
    </row>
    <row r="1056" spans="2:4" x14ac:dyDescent="0.25">
      <c r="B1056" s="781" t="s">
        <v>2193</v>
      </c>
      <c r="C1056" s="780">
        <v>91881</v>
      </c>
      <c r="D1056" s="781"/>
    </row>
    <row r="1057" spans="2:4" x14ac:dyDescent="0.25">
      <c r="B1057" s="781" t="s">
        <v>1345</v>
      </c>
      <c r="C1057" s="780">
        <v>91801</v>
      </c>
      <c r="D1057" s="781"/>
    </row>
    <row r="1058" spans="2:4" x14ac:dyDescent="0.25">
      <c r="B1058" s="781" t="s">
        <v>1346</v>
      </c>
      <c r="C1058" s="780">
        <v>91804</v>
      </c>
      <c r="D1058" s="781"/>
    </row>
    <row r="1059" spans="2:4" x14ac:dyDescent="0.25">
      <c r="B1059" s="781" t="s">
        <v>2194</v>
      </c>
      <c r="C1059" s="780">
        <v>91691</v>
      </c>
      <c r="D1059" s="781"/>
    </row>
    <row r="1060" spans="2:4" x14ac:dyDescent="0.25">
      <c r="B1060" s="781" t="s">
        <v>1997</v>
      </c>
      <c r="C1060" s="780">
        <v>99222</v>
      </c>
      <c r="D1060" s="781"/>
    </row>
    <row r="1061" spans="2:4" x14ac:dyDescent="0.25">
      <c r="B1061" s="781" t="s">
        <v>1703</v>
      </c>
      <c r="C1061" s="780">
        <v>96009</v>
      </c>
      <c r="D1061" s="781"/>
    </row>
    <row r="1062" spans="2:4" x14ac:dyDescent="0.25">
      <c r="B1062" s="781" t="s">
        <v>2195</v>
      </c>
      <c r="C1062" s="780">
        <v>92441</v>
      </c>
      <c r="D1062" s="781"/>
    </row>
    <row r="1063" spans="2:4" x14ac:dyDescent="0.25">
      <c r="B1063" s="781" t="s">
        <v>1395</v>
      </c>
      <c r="C1063" s="780">
        <v>92444</v>
      </c>
      <c r="D1063" s="781"/>
    </row>
    <row r="1064" spans="2:4" x14ac:dyDescent="0.25">
      <c r="B1064" s="781" t="s">
        <v>2196</v>
      </c>
      <c r="C1064" s="780">
        <v>96811</v>
      </c>
      <c r="D1064" s="781"/>
    </row>
    <row r="1065" spans="2:4" x14ac:dyDescent="0.25">
      <c r="B1065" s="781" t="s">
        <v>1699</v>
      </c>
      <c r="C1065" s="780">
        <v>96003</v>
      </c>
      <c r="D1065" s="781"/>
    </row>
    <row r="1066" spans="2:4" x14ac:dyDescent="0.25">
      <c r="B1066" s="781" t="s">
        <v>2197</v>
      </c>
      <c r="C1066" s="780">
        <v>96011</v>
      </c>
      <c r="D1066" s="781"/>
    </row>
    <row r="1067" spans="2:4" x14ac:dyDescent="0.25">
      <c r="B1067" s="781" t="s">
        <v>1705</v>
      </c>
      <c r="C1067" s="780">
        <v>96012</v>
      </c>
      <c r="D1067" s="781"/>
    </row>
    <row r="1068" spans="2:4" x14ac:dyDescent="0.25">
      <c r="B1068" s="781" t="s">
        <v>1706</v>
      </c>
      <c r="C1068" s="780">
        <v>96018</v>
      </c>
      <c r="D1068" s="781"/>
    </row>
    <row r="1069" spans="2:4" x14ac:dyDescent="0.25">
      <c r="B1069" s="781" t="s">
        <v>1701</v>
      </c>
      <c r="C1069" s="780">
        <v>96005</v>
      </c>
      <c r="D1069" s="781"/>
    </row>
    <row r="1070" spans="2:4" x14ac:dyDescent="0.25">
      <c r="B1070" s="781" t="s">
        <v>1359</v>
      </c>
      <c r="C1070" s="780">
        <v>91901</v>
      </c>
      <c r="D1070" s="781"/>
    </row>
    <row r="1071" spans="2:4" x14ac:dyDescent="0.25">
      <c r="B1071" s="781" t="s">
        <v>1361</v>
      </c>
      <c r="C1071" s="780">
        <v>91904</v>
      </c>
      <c r="D1071" s="781"/>
    </row>
    <row r="1072" spans="2:4" x14ac:dyDescent="0.25">
      <c r="B1072" s="781" t="s">
        <v>1360</v>
      </c>
      <c r="C1072" s="780">
        <v>91903</v>
      </c>
      <c r="D1072" s="781"/>
    </row>
    <row r="1073" spans="2:4" x14ac:dyDescent="0.25">
      <c r="B1073" s="781" t="s">
        <v>1366</v>
      </c>
      <c r="C1073" s="780">
        <v>92001</v>
      </c>
      <c r="D1073" s="781"/>
    </row>
    <row r="1074" spans="2:4" x14ac:dyDescent="0.25">
      <c r="B1074" s="781" t="s">
        <v>2198</v>
      </c>
      <c r="C1074" s="780">
        <v>93641</v>
      </c>
      <c r="D1074" s="781"/>
    </row>
    <row r="1075" spans="2:4" x14ac:dyDescent="0.25">
      <c r="B1075" s="781" t="s">
        <v>1518</v>
      </c>
      <c r="C1075" s="780">
        <v>93647</v>
      </c>
      <c r="D1075" s="781"/>
    </row>
    <row r="1076" spans="2:4" x14ac:dyDescent="0.25">
      <c r="B1076" s="781" t="s">
        <v>2199</v>
      </c>
      <c r="C1076" s="780">
        <v>98041</v>
      </c>
      <c r="D1076" s="781"/>
    </row>
    <row r="1077" spans="2:4" x14ac:dyDescent="0.25">
      <c r="B1077" s="781" t="s">
        <v>1764</v>
      </c>
      <c r="C1077" s="780">
        <v>96612</v>
      </c>
      <c r="D1077" s="781"/>
    </row>
    <row r="1078" spans="2:4" x14ac:dyDescent="0.25">
      <c r="B1078" s="781" t="s">
        <v>2200</v>
      </c>
      <c r="C1078" s="780">
        <v>90751</v>
      </c>
      <c r="D1078" s="781"/>
    </row>
    <row r="1079" spans="2:4" x14ac:dyDescent="0.25">
      <c r="B1079" s="781" t="s">
        <v>1371</v>
      </c>
      <c r="C1079" s="780">
        <v>92101</v>
      </c>
      <c r="D1079" s="781"/>
    </row>
    <row r="1080" spans="2:4" x14ac:dyDescent="0.25">
      <c r="B1080" s="781" t="s">
        <v>1372</v>
      </c>
      <c r="C1080" s="780">
        <v>92104</v>
      </c>
      <c r="D1080" s="781"/>
    </row>
    <row r="1081" spans="2:4" x14ac:dyDescent="0.25">
      <c r="B1081" s="781" t="s">
        <v>2049</v>
      </c>
      <c r="C1081" s="780">
        <v>99818</v>
      </c>
      <c r="D1081" s="781"/>
    </row>
    <row r="1082" spans="2:4" x14ac:dyDescent="0.25">
      <c r="B1082" s="781" t="s">
        <v>2201</v>
      </c>
      <c r="C1082" s="780">
        <v>91821</v>
      </c>
      <c r="D1082" s="781"/>
    </row>
    <row r="1083" spans="2:4" x14ac:dyDescent="0.25">
      <c r="B1083" s="781" t="s">
        <v>2202</v>
      </c>
      <c r="C1083" s="780">
        <v>90931</v>
      </c>
      <c r="D1083" s="781"/>
    </row>
    <row r="1084" spans="2:4" x14ac:dyDescent="0.25">
      <c r="B1084" s="781" t="s">
        <v>1376</v>
      </c>
      <c r="C1084" s="780">
        <v>92201</v>
      </c>
      <c r="D1084" s="781"/>
    </row>
    <row r="1085" spans="2:4" x14ac:dyDescent="0.25">
      <c r="B1085" s="781" t="s">
        <v>2203</v>
      </c>
      <c r="C1085" s="780">
        <v>95131</v>
      </c>
      <c r="D1085" s="781"/>
    </row>
    <row r="1086" spans="2:4" x14ac:dyDescent="0.25">
      <c r="B1086" s="781" t="s">
        <v>2204</v>
      </c>
      <c r="C1086" s="780">
        <v>93441</v>
      </c>
      <c r="D1086" s="781"/>
    </row>
    <row r="1087" spans="2:4" x14ac:dyDescent="0.25">
      <c r="B1087" s="781" t="s">
        <v>1495</v>
      </c>
      <c r="C1087" s="780">
        <v>93442</v>
      </c>
      <c r="D1087" s="781"/>
    </row>
    <row r="1088" spans="2:4" x14ac:dyDescent="0.25">
      <c r="B1088" s="781" t="s">
        <v>2205</v>
      </c>
      <c r="C1088" s="780">
        <v>98091</v>
      </c>
      <c r="D1088" s="781"/>
    </row>
    <row r="1089" spans="2:4" x14ac:dyDescent="0.25">
      <c r="B1089" s="781" t="s">
        <v>1377</v>
      </c>
      <c r="C1089" s="780">
        <v>92301</v>
      </c>
      <c r="D1089" s="781"/>
    </row>
    <row r="1090" spans="2:4" x14ac:dyDescent="0.25">
      <c r="B1090" s="781" t="s">
        <v>1378</v>
      </c>
      <c r="C1090" s="780">
        <v>92302</v>
      </c>
      <c r="D1090" s="781"/>
    </row>
    <row r="1091" spans="2:4" x14ac:dyDescent="0.25">
      <c r="B1091" s="781" t="s">
        <v>2206</v>
      </c>
      <c r="C1091" s="780">
        <v>98211</v>
      </c>
      <c r="D1091" s="781"/>
    </row>
    <row r="1092" spans="2:4" x14ac:dyDescent="0.25">
      <c r="B1092" s="781" t="s">
        <v>1918</v>
      </c>
      <c r="C1092" s="780">
        <v>98218</v>
      </c>
      <c r="D1092" s="781"/>
    </row>
    <row r="1093" spans="2:4" x14ac:dyDescent="0.25">
      <c r="B1093" s="781" t="s">
        <v>1757</v>
      </c>
      <c r="C1093" s="780">
        <v>96519</v>
      </c>
      <c r="D1093" s="781"/>
    </row>
    <row r="1094" spans="2:4" x14ac:dyDescent="0.25">
      <c r="B1094" s="781" t="s">
        <v>1404</v>
      </c>
      <c r="C1094" s="780">
        <v>92508</v>
      </c>
      <c r="D1094" s="781"/>
    </row>
    <row r="1095" spans="2:4" x14ac:dyDescent="0.25">
      <c r="B1095" s="781" t="s">
        <v>2207</v>
      </c>
      <c r="C1095" s="780">
        <v>94341</v>
      </c>
      <c r="D1095" s="781"/>
    </row>
    <row r="1096" spans="2:4" x14ac:dyDescent="0.25">
      <c r="B1096" s="781" t="s">
        <v>2208</v>
      </c>
      <c r="C1096" s="780">
        <v>94641</v>
      </c>
      <c r="D1096" s="781"/>
    </row>
    <row r="1097" spans="2:4" x14ac:dyDescent="0.25">
      <c r="B1097" s="781" t="s">
        <v>2209</v>
      </c>
      <c r="C1097" s="780">
        <v>90813</v>
      </c>
      <c r="D1097" s="781"/>
    </row>
    <row r="1098" spans="2:4" x14ac:dyDescent="0.25">
      <c r="B1098" s="781" t="s">
        <v>1562</v>
      </c>
      <c r="C1098" s="780">
        <v>94168</v>
      </c>
      <c r="D1098" s="781"/>
    </row>
    <row r="1099" spans="2:4" x14ac:dyDescent="0.25">
      <c r="B1099" s="781" t="s">
        <v>2210</v>
      </c>
      <c r="C1099" s="780">
        <v>98911</v>
      </c>
      <c r="D1099" s="781"/>
    </row>
    <row r="1100" spans="2:4" x14ac:dyDescent="0.25">
      <c r="B1100" s="781" t="s">
        <v>2211</v>
      </c>
      <c r="C1100" s="780">
        <v>97521</v>
      </c>
      <c r="D1100" s="781"/>
    </row>
    <row r="1101" spans="2:4" x14ac:dyDescent="0.25">
      <c r="B1101" s="781" t="s">
        <v>1386</v>
      </c>
      <c r="C1101" s="780">
        <v>92401</v>
      </c>
      <c r="D1101" s="781"/>
    </row>
    <row r="1102" spans="2:4" x14ac:dyDescent="0.25">
      <c r="B1102" s="781" t="s">
        <v>2212</v>
      </c>
      <c r="C1102" s="780">
        <v>91311</v>
      </c>
      <c r="D1102" s="781"/>
    </row>
    <row r="1103" spans="2:4" x14ac:dyDescent="0.25">
      <c r="B1103" s="781" t="s">
        <v>1311</v>
      </c>
      <c r="C1103" s="780">
        <v>91317</v>
      </c>
      <c r="D1103" s="781"/>
    </row>
    <row r="1104" spans="2:4" x14ac:dyDescent="0.25">
      <c r="B1104" s="781" t="s">
        <v>2213</v>
      </c>
      <c r="C1104" s="780">
        <v>91261</v>
      </c>
      <c r="D1104" s="781"/>
    </row>
    <row r="1105" spans="2:4" x14ac:dyDescent="0.25">
      <c r="B1105" s="781" t="s">
        <v>2214</v>
      </c>
      <c r="C1105" s="780">
        <v>91851</v>
      </c>
      <c r="D1105" s="781"/>
    </row>
    <row r="1106" spans="2:4" x14ac:dyDescent="0.25">
      <c r="B1106" s="781" t="s">
        <v>1819</v>
      </c>
      <c r="C1106" s="780">
        <v>97408</v>
      </c>
      <c r="D1106" s="781"/>
    </row>
    <row r="1107" spans="2:4" x14ac:dyDescent="0.25">
      <c r="B1107" s="781" t="s">
        <v>2215</v>
      </c>
      <c r="C1107" s="780">
        <v>96641</v>
      </c>
      <c r="D1107" s="781"/>
    </row>
    <row r="1108" spans="2:4" x14ac:dyDescent="0.25">
      <c r="B1108" s="781" t="s">
        <v>2216</v>
      </c>
      <c r="C1108" s="780">
        <v>93031</v>
      </c>
      <c r="D1108" s="781"/>
    </row>
    <row r="1109" spans="2:4" x14ac:dyDescent="0.25">
      <c r="B1109" s="781" t="s">
        <v>1450</v>
      </c>
      <c r="C1109" s="780">
        <v>93027</v>
      </c>
      <c r="D1109" s="781"/>
    </row>
    <row r="1110" spans="2:4" x14ac:dyDescent="0.25">
      <c r="B1110" s="781" t="s">
        <v>2217</v>
      </c>
      <c r="C1110" s="780">
        <v>96051</v>
      </c>
      <c r="D1110" s="781"/>
    </row>
    <row r="1111" spans="2:4" x14ac:dyDescent="0.25">
      <c r="B1111" s="781" t="s">
        <v>2218</v>
      </c>
      <c r="C1111" s="780">
        <v>92571</v>
      </c>
      <c r="D1111" s="781"/>
    </row>
    <row r="1112" spans="2:4" x14ac:dyDescent="0.25">
      <c r="B1112" s="781" t="s">
        <v>2219</v>
      </c>
      <c r="C1112" s="780">
        <v>93631</v>
      </c>
      <c r="D1112" s="781"/>
    </row>
    <row r="1113" spans="2:4" x14ac:dyDescent="0.25">
      <c r="B1113" s="781" t="s">
        <v>1398</v>
      </c>
      <c r="C1113" s="780">
        <v>92501</v>
      </c>
      <c r="D1113" s="781"/>
    </row>
    <row r="1114" spans="2:4" x14ac:dyDescent="0.25">
      <c r="B1114" s="781" t="s">
        <v>1400</v>
      </c>
      <c r="C1114" s="780">
        <v>92504</v>
      </c>
      <c r="D1114" s="781"/>
    </row>
    <row r="1115" spans="2:4" x14ac:dyDescent="0.25">
      <c r="B1115" s="781" t="s">
        <v>1402</v>
      </c>
      <c r="C1115" s="780">
        <v>92506</v>
      </c>
      <c r="D1115" s="781"/>
    </row>
    <row r="1116" spans="2:4" x14ac:dyDescent="0.25">
      <c r="B1116" s="781" t="s">
        <v>1401</v>
      </c>
      <c r="C1116" s="780">
        <v>92505</v>
      </c>
      <c r="D1116" s="781"/>
    </row>
    <row r="1117" spans="2:4" x14ac:dyDescent="0.25">
      <c r="B1117" s="781" t="s">
        <v>2220</v>
      </c>
      <c r="C1117" s="780">
        <v>93921</v>
      </c>
      <c r="D1117" s="781"/>
    </row>
    <row r="1118" spans="2:4" x14ac:dyDescent="0.25">
      <c r="B1118" s="781" t="s">
        <v>2221</v>
      </c>
      <c r="C1118" s="780">
        <v>99431</v>
      </c>
      <c r="D1118" s="781"/>
    </row>
    <row r="1119" spans="2:4" x14ac:dyDescent="0.25">
      <c r="B1119" s="781" t="s">
        <v>1413</v>
      </c>
      <c r="C1119" s="780">
        <v>92601</v>
      </c>
      <c r="D1119" s="781"/>
    </row>
    <row r="1120" spans="2:4" x14ac:dyDescent="0.25">
      <c r="B1120" s="781" t="s">
        <v>1415</v>
      </c>
      <c r="C1120" s="780">
        <v>92604</v>
      </c>
      <c r="D1120" s="781"/>
    </row>
    <row r="1121" spans="2:4" x14ac:dyDescent="0.25">
      <c r="B1121" s="781" t="s">
        <v>1417</v>
      </c>
      <c r="C1121" s="780">
        <v>92608</v>
      </c>
      <c r="D1121" s="781"/>
    </row>
    <row r="1122" spans="2:4" x14ac:dyDescent="0.25">
      <c r="B1122" s="781" t="s">
        <v>1428</v>
      </c>
      <c r="C1122" s="780">
        <v>92701</v>
      </c>
      <c r="D1122" s="781"/>
    </row>
    <row r="1123" spans="2:4" x14ac:dyDescent="0.25">
      <c r="B1123" s="781" t="s">
        <v>1429</v>
      </c>
      <c r="C1123" s="780">
        <v>92704</v>
      </c>
      <c r="D1123" s="781"/>
    </row>
    <row r="1124" spans="2:4" x14ac:dyDescent="0.25">
      <c r="B1124" s="781" t="s">
        <v>2222</v>
      </c>
      <c r="C1124" s="780">
        <v>93651</v>
      </c>
      <c r="D1124" s="781"/>
    </row>
    <row r="1125" spans="2:4" x14ac:dyDescent="0.25">
      <c r="B1125" s="781" t="s">
        <v>1430</v>
      </c>
      <c r="C1125" s="780">
        <v>92801</v>
      </c>
      <c r="D1125" s="781"/>
    </row>
    <row r="1126" spans="2:4" x14ac:dyDescent="0.25">
      <c r="B1126" s="781" t="s">
        <v>1432</v>
      </c>
      <c r="C1126" s="780">
        <v>92804</v>
      </c>
      <c r="D1126" s="781"/>
    </row>
    <row r="1127" spans="2:4" x14ac:dyDescent="0.25">
      <c r="B1127" s="781" t="s">
        <v>1431</v>
      </c>
      <c r="C1127" s="780">
        <v>92802</v>
      </c>
      <c r="D1127" s="781"/>
    </row>
    <row r="1128" spans="2:4" x14ac:dyDescent="0.25">
      <c r="B1128" s="781" t="s">
        <v>2223</v>
      </c>
      <c r="C1128" s="780">
        <v>96081</v>
      </c>
      <c r="D1128" s="781"/>
    </row>
    <row r="1129" spans="2:4" x14ac:dyDescent="0.25">
      <c r="B1129" s="781" t="s">
        <v>1439</v>
      </c>
      <c r="C1129" s="780">
        <v>92901</v>
      </c>
      <c r="D1129" s="781"/>
    </row>
    <row r="1130" spans="2:4" x14ac:dyDescent="0.25">
      <c r="B1130" s="781" t="s">
        <v>1446</v>
      </c>
      <c r="C1130" s="780">
        <v>93001</v>
      </c>
      <c r="D1130" s="781"/>
    </row>
    <row r="1131" spans="2:4" x14ac:dyDescent="0.25">
      <c r="B1131" s="781" t="s">
        <v>1447</v>
      </c>
      <c r="C1131" s="780">
        <v>93009</v>
      </c>
      <c r="D1131" s="781"/>
    </row>
    <row r="1132" spans="2:4" x14ac:dyDescent="0.25">
      <c r="B1132" s="781" t="s">
        <v>2224</v>
      </c>
      <c r="C1132" s="780">
        <v>92921</v>
      </c>
      <c r="D1132" s="781"/>
    </row>
    <row r="1133" spans="2:4" x14ac:dyDescent="0.25">
      <c r="B1133" s="781" t="s">
        <v>2225</v>
      </c>
      <c r="C1133" s="780">
        <v>98621</v>
      </c>
      <c r="D1133" s="781"/>
    </row>
    <row r="1134" spans="2:4" x14ac:dyDescent="0.25">
      <c r="B1134" s="781" t="s">
        <v>1951</v>
      </c>
      <c r="C1134" s="780">
        <v>98627</v>
      </c>
      <c r="D1134" s="781"/>
    </row>
    <row r="1135" spans="2:4" x14ac:dyDescent="0.25">
      <c r="B1135" s="781" t="s">
        <v>2226</v>
      </c>
      <c r="C1135" s="780">
        <v>91221</v>
      </c>
      <c r="D1135" s="781"/>
    </row>
    <row r="1136" spans="2:4" x14ac:dyDescent="0.25">
      <c r="B1136" s="781" t="s">
        <v>2227</v>
      </c>
      <c r="C1136" s="780">
        <v>92861</v>
      </c>
      <c r="D1136" s="781"/>
    </row>
    <row r="1137" spans="2:4" x14ac:dyDescent="0.25">
      <c r="B1137" s="781" t="s">
        <v>2228</v>
      </c>
      <c r="C1137" s="780">
        <v>94311</v>
      </c>
      <c r="D1137" s="781"/>
    </row>
    <row r="1138" spans="2:4" x14ac:dyDescent="0.25">
      <c r="B1138" s="781" t="s">
        <v>1578</v>
      </c>
      <c r="C1138" s="780">
        <v>94317</v>
      </c>
      <c r="D1138" s="781"/>
    </row>
    <row r="1139" spans="2:4" x14ac:dyDescent="0.25">
      <c r="B1139" s="781" t="s">
        <v>1577</v>
      </c>
      <c r="C1139" s="780">
        <v>94313</v>
      </c>
      <c r="D1139" s="781"/>
    </row>
    <row r="1140" spans="2:4" x14ac:dyDescent="0.25">
      <c r="B1140" s="781" t="s">
        <v>1452</v>
      </c>
      <c r="C1140" s="780">
        <v>93101</v>
      </c>
      <c r="D1140" s="781"/>
    </row>
    <row r="1141" spans="2:4" x14ac:dyDescent="0.25">
      <c r="B1141" s="781" t="s">
        <v>2229</v>
      </c>
      <c r="C1141" s="780">
        <v>93103</v>
      </c>
      <c r="D1141" s="781"/>
    </row>
    <row r="1142" spans="2:4" x14ac:dyDescent="0.25">
      <c r="B1142" s="781" t="s">
        <v>1453</v>
      </c>
      <c r="C1142" s="780">
        <v>93108</v>
      </c>
      <c r="D1142" s="781"/>
    </row>
    <row r="1143" spans="2:4" x14ac:dyDescent="0.25">
      <c r="B1143" s="781" t="s">
        <v>2230</v>
      </c>
      <c r="C1143" s="780">
        <v>93211</v>
      </c>
      <c r="D1143" s="781"/>
    </row>
    <row r="1144" spans="2:4" x14ac:dyDescent="0.25">
      <c r="B1144" s="781" t="s">
        <v>1471</v>
      </c>
      <c r="C1144" s="780">
        <v>93212</v>
      </c>
      <c r="D1144" s="781"/>
    </row>
    <row r="1145" spans="2:4" x14ac:dyDescent="0.25">
      <c r="B1145" s="781" t="s">
        <v>1466</v>
      </c>
      <c r="C1145" s="780">
        <v>93201</v>
      </c>
      <c r="D1145" s="781"/>
    </row>
    <row r="1146" spans="2:4" x14ac:dyDescent="0.25">
      <c r="B1146" s="781" t="s">
        <v>1468</v>
      </c>
      <c r="C1146" s="780">
        <v>93204</v>
      </c>
      <c r="D1146" s="781"/>
    </row>
    <row r="1147" spans="2:4" x14ac:dyDescent="0.25">
      <c r="B1147" s="781" t="s">
        <v>1993</v>
      </c>
      <c r="C1147" s="780">
        <v>99212</v>
      </c>
      <c r="D1147" s="781"/>
    </row>
    <row r="1148" spans="2:4" x14ac:dyDescent="0.25">
      <c r="B1148" s="781" t="s">
        <v>1794</v>
      </c>
      <c r="C1148" s="780">
        <v>97005</v>
      </c>
      <c r="D1148" s="781"/>
    </row>
    <row r="1149" spans="2:4" x14ac:dyDescent="0.25">
      <c r="B1149" s="781" t="s">
        <v>2231</v>
      </c>
      <c r="C1149" s="780">
        <v>99931</v>
      </c>
      <c r="D1149" s="781"/>
    </row>
    <row r="1150" spans="2:4" x14ac:dyDescent="0.25">
      <c r="B1150" s="781" t="s">
        <v>2232</v>
      </c>
      <c r="C1150" s="780">
        <v>98021</v>
      </c>
      <c r="D1150" s="781"/>
    </row>
    <row r="1151" spans="2:4" x14ac:dyDescent="0.25">
      <c r="B1151" s="781" t="s">
        <v>1895</v>
      </c>
      <c r="C1151" s="780">
        <v>98023</v>
      </c>
      <c r="D1151" s="781"/>
    </row>
    <row r="1152" spans="2:4" x14ac:dyDescent="0.25">
      <c r="B1152" s="781" t="s">
        <v>1169</v>
      </c>
      <c r="C1152" s="780">
        <v>70505</v>
      </c>
      <c r="D1152" s="781"/>
    </row>
    <row r="1153" spans="2:4" x14ac:dyDescent="0.25">
      <c r="B1153" s="781" t="s">
        <v>2027</v>
      </c>
      <c r="C1153" s="780">
        <v>99603</v>
      </c>
      <c r="D1153" s="781"/>
    </row>
    <row r="1154" spans="2:4" x14ac:dyDescent="0.25">
      <c r="B1154" s="781" t="s">
        <v>2030</v>
      </c>
      <c r="C1154" s="780">
        <v>99610</v>
      </c>
      <c r="D1154" s="781"/>
    </row>
    <row r="1155" spans="2:4" x14ac:dyDescent="0.25">
      <c r="B1155" s="781" t="s">
        <v>2233</v>
      </c>
      <c r="C1155" s="780">
        <v>92681</v>
      </c>
      <c r="D1155" s="781"/>
    </row>
    <row r="1156" spans="2:4" x14ac:dyDescent="0.25">
      <c r="B1156" s="781" t="s">
        <v>2234</v>
      </c>
      <c r="C1156" s="780">
        <v>97951</v>
      </c>
      <c r="D1156" s="781"/>
    </row>
    <row r="1157" spans="2:4" x14ac:dyDescent="0.25">
      <c r="B1157" s="781" t="s">
        <v>1886</v>
      </c>
      <c r="C1157" s="780">
        <v>97957</v>
      </c>
      <c r="D1157" s="781"/>
    </row>
    <row r="1158" spans="2:4" x14ac:dyDescent="0.25">
      <c r="B1158" s="781" t="s">
        <v>2235</v>
      </c>
      <c r="C1158" s="780">
        <v>92111</v>
      </c>
      <c r="D1158" s="781"/>
    </row>
    <row r="1159" spans="2:4" x14ac:dyDescent="0.25">
      <c r="B1159" s="781" t="s">
        <v>1473</v>
      </c>
      <c r="C1159" s="780">
        <v>93301</v>
      </c>
      <c r="D1159" s="781"/>
    </row>
    <row r="1160" spans="2:4" x14ac:dyDescent="0.25">
      <c r="B1160" s="781" t="s">
        <v>1474</v>
      </c>
      <c r="C1160" s="780">
        <v>93304</v>
      </c>
      <c r="D1160" s="781"/>
    </row>
    <row r="1161" spans="2:4" x14ac:dyDescent="0.25">
      <c r="B1161" s="781" t="s">
        <v>1475</v>
      </c>
      <c r="C1161" s="780">
        <v>93305</v>
      </c>
      <c r="D1161" s="781"/>
    </row>
    <row r="1162" spans="2:4" x14ac:dyDescent="0.25">
      <c r="B1162" s="781" t="s">
        <v>1991</v>
      </c>
      <c r="C1162" s="780">
        <v>99210</v>
      </c>
      <c r="D1162" s="781"/>
    </row>
    <row r="1163" spans="2:4" x14ac:dyDescent="0.25">
      <c r="B1163" s="781" t="s">
        <v>1797</v>
      </c>
      <c r="C1163" s="780">
        <v>97011</v>
      </c>
      <c r="D1163" s="781"/>
    </row>
    <row r="1164" spans="2:4" x14ac:dyDescent="0.25">
      <c r="B1164" s="781" t="s">
        <v>1799</v>
      </c>
      <c r="C1164" s="780">
        <v>97013</v>
      </c>
      <c r="D1164" s="781"/>
    </row>
    <row r="1165" spans="2:4" x14ac:dyDescent="0.25">
      <c r="B1165" s="781" t="s">
        <v>1798</v>
      </c>
      <c r="C1165" s="780">
        <v>97012</v>
      </c>
      <c r="D1165" s="781"/>
    </row>
    <row r="1166" spans="2:4" x14ac:dyDescent="0.25">
      <c r="B1166" s="781" t="s">
        <v>1801</v>
      </c>
      <c r="C1166" s="780">
        <v>97018</v>
      </c>
      <c r="D1166" s="781"/>
    </row>
    <row r="1167" spans="2:4" x14ac:dyDescent="0.25">
      <c r="B1167" s="781" t="s">
        <v>2236</v>
      </c>
      <c r="C1167" s="780">
        <v>90911</v>
      </c>
      <c r="D1167" s="781"/>
    </row>
    <row r="1168" spans="2:4" x14ac:dyDescent="0.25">
      <c r="B1168" s="781" t="s">
        <v>1237</v>
      </c>
      <c r="C1168" s="780">
        <v>90917</v>
      </c>
      <c r="D1168" s="781"/>
    </row>
    <row r="1169" spans="2:4" x14ac:dyDescent="0.25">
      <c r="B1169" s="781" t="s">
        <v>2237</v>
      </c>
      <c r="C1169" s="780">
        <v>90641</v>
      </c>
      <c r="D1169" s="781"/>
    </row>
    <row r="1170" spans="2:4" x14ac:dyDescent="0.25">
      <c r="B1170" s="781" t="s">
        <v>2238</v>
      </c>
      <c r="C1170" s="780">
        <v>98641</v>
      </c>
      <c r="D1170" s="781"/>
    </row>
    <row r="1171" spans="2:4" x14ac:dyDescent="0.25">
      <c r="B1171" s="781" t="s">
        <v>1955</v>
      </c>
      <c r="C1171" s="780">
        <v>98647</v>
      </c>
      <c r="D1171" s="781"/>
    </row>
    <row r="1172" spans="2:4" x14ac:dyDescent="0.25">
      <c r="B1172" s="781" t="s">
        <v>2239</v>
      </c>
      <c r="C1172" s="780">
        <v>98161</v>
      </c>
      <c r="D1172" s="781"/>
    </row>
    <row r="1173" spans="2:4" x14ac:dyDescent="0.25">
      <c r="B1173" s="781" t="s">
        <v>2240</v>
      </c>
      <c r="C1173" s="780">
        <v>97731</v>
      </c>
      <c r="D1173" s="781"/>
    </row>
    <row r="1174" spans="2:4" x14ac:dyDescent="0.25">
      <c r="B1174" s="781" t="s">
        <v>2241</v>
      </c>
      <c r="C1174" s="780">
        <v>99851</v>
      </c>
      <c r="D1174" s="781"/>
    </row>
    <row r="1175" spans="2:4" x14ac:dyDescent="0.25">
      <c r="B1175" s="781" t="s">
        <v>2242</v>
      </c>
      <c r="C1175" s="780">
        <v>90131</v>
      </c>
      <c r="D1175" s="781"/>
    </row>
    <row r="1176" spans="2:4" x14ac:dyDescent="0.25">
      <c r="B1176" s="781" t="s">
        <v>2243</v>
      </c>
      <c r="C1176" s="780">
        <v>91651</v>
      </c>
      <c r="D1176" s="781"/>
    </row>
    <row r="1177" spans="2:4" x14ac:dyDescent="0.25">
      <c r="B1177" s="781" t="s">
        <v>2244</v>
      </c>
      <c r="C1177" s="780">
        <v>94211</v>
      </c>
      <c r="D1177" s="781"/>
    </row>
    <row r="1178" spans="2:4" x14ac:dyDescent="0.25">
      <c r="B1178" s="781" t="s">
        <v>2245</v>
      </c>
      <c r="C1178" s="780">
        <v>94331</v>
      </c>
      <c r="D1178" s="781"/>
    </row>
    <row r="1179" spans="2:4" x14ac:dyDescent="0.25">
      <c r="B1179" s="781" t="s">
        <v>2246</v>
      </c>
      <c r="C1179" s="780">
        <v>92431</v>
      </c>
      <c r="D1179" s="781"/>
    </row>
    <row r="1180" spans="2:4" x14ac:dyDescent="0.25">
      <c r="B1180" s="781" t="s">
        <v>2247</v>
      </c>
      <c r="C1180" s="780">
        <v>97821</v>
      </c>
      <c r="D1180" s="781"/>
    </row>
    <row r="1181" spans="2:4" x14ac:dyDescent="0.25">
      <c r="B1181" s="781" t="s">
        <v>1865</v>
      </c>
      <c r="C1181" s="780">
        <v>97823</v>
      </c>
      <c r="D1181" s="781"/>
    </row>
    <row r="1182" spans="2:4" x14ac:dyDescent="0.25">
      <c r="B1182" s="781" t="s">
        <v>2248</v>
      </c>
      <c r="C1182" s="780">
        <v>93141</v>
      </c>
      <c r="D1182" s="781"/>
    </row>
    <row r="1183" spans="2:4" x14ac:dyDescent="0.25">
      <c r="B1183" s="781" t="s">
        <v>2249</v>
      </c>
      <c r="C1183" s="780">
        <v>98081</v>
      </c>
      <c r="D1183" s="781"/>
    </row>
    <row r="1184" spans="2:4" x14ac:dyDescent="0.25">
      <c r="B1184" s="781" t="s">
        <v>2250</v>
      </c>
      <c r="C1184" s="780">
        <v>92671</v>
      </c>
      <c r="D1184" s="781"/>
    </row>
    <row r="1185" spans="2:4" x14ac:dyDescent="0.25">
      <c r="B1185" s="781" t="s">
        <v>2251</v>
      </c>
      <c r="C1185" s="780">
        <v>97421</v>
      </c>
      <c r="D1185" s="781"/>
    </row>
    <row r="1186" spans="2:4" x14ac:dyDescent="0.25">
      <c r="B1186" s="781" t="s">
        <v>1824</v>
      </c>
      <c r="C1186" s="780">
        <v>97423</v>
      </c>
      <c r="D1186" s="781"/>
    </row>
    <row r="1187" spans="2:4" x14ac:dyDescent="0.25">
      <c r="B1187" s="781" t="s">
        <v>2252</v>
      </c>
      <c r="C1187" s="780">
        <v>92611</v>
      </c>
      <c r="D1187" s="781"/>
    </row>
    <row r="1188" spans="2:4" x14ac:dyDescent="0.25">
      <c r="B1188" s="781" t="s">
        <v>1419</v>
      </c>
      <c r="C1188" s="780">
        <v>92613</v>
      </c>
      <c r="D1188" s="781"/>
    </row>
    <row r="1189" spans="2:4" x14ac:dyDescent="0.25">
      <c r="B1189" s="781" t="s">
        <v>1420</v>
      </c>
      <c r="C1189" s="780">
        <v>92614</v>
      </c>
      <c r="D1189" s="781"/>
    </row>
    <row r="1190" spans="2:4" x14ac:dyDescent="0.25">
      <c r="B1190" s="781" t="s">
        <v>1399</v>
      </c>
      <c r="C1190" s="780">
        <v>92502</v>
      </c>
      <c r="D1190" s="781"/>
    </row>
    <row r="1191" spans="2:4" x14ac:dyDescent="0.25">
      <c r="B1191" s="781" t="s">
        <v>2253</v>
      </c>
      <c r="C1191" s="780">
        <v>94531</v>
      </c>
      <c r="D1191" s="781"/>
    </row>
    <row r="1192" spans="2:4" x14ac:dyDescent="0.25">
      <c r="B1192" s="781" t="s">
        <v>2254</v>
      </c>
      <c r="C1192" s="780">
        <v>94541</v>
      </c>
      <c r="D1192" s="781"/>
    </row>
    <row r="1193" spans="2:4" x14ac:dyDescent="0.25">
      <c r="B1193" s="781" t="s">
        <v>1603</v>
      </c>
      <c r="C1193" s="780">
        <v>94547</v>
      </c>
      <c r="D1193" s="781"/>
    </row>
    <row r="1194" spans="2:4" x14ac:dyDescent="0.25">
      <c r="B1194" s="781" t="s">
        <v>1629</v>
      </c>
      <c r="C1194" s="780">
        <v>95005</v>
      </c>
      <c r="D1194" s="781"/>
    </row>
    <row r="1195" spans="2:4" x14ac:dyDescent="0.25">
      <c r="B1195" s="781" t="s">
        <v>1908</v>
      </c>
      <c r="C1195" s="780">
        <v>98111</v>
      </c>
      <c r="D1195" s="781"/>
    </row>
    <row r="1196" spans="2:4" x14ac:dyDescent="0.25">
      <c r="B1196" s="781" t="s">
        <v>1906</v>
      </c>
      <c r="C1196" s="780">
        <v>98107</v>
      </c>
      <c r="D1196" s="781"/>
    </row>
    <row r="1197" spans="2:4" x14ac:dyDescent="0.25">
      <c r="B1197" s="781" t="s">
        <v>1909</v>
      </c>
      <c r="C1197" s="780">
        <v>98113</v>
      </c>
      <c r="D1197" s="781"/>
    </row>
    <row r="1198" spans="2:4" x14ac:dyDescent="0.25">
      <c r="B1198" s="781" t="s">
        <v>2026</v>
      </c>
      <c r="C1198" s="780">
        <v>99602</v>
      </c>
      <c r="D1198" s="781"/>
    </row>
    <row r="1199" spans="2:4" x14ac:dyDescent="0.25">
      <c r="B1199" s="781" t="s">
        <v>1485</v>
      </c>
      <c r="C1199" s="780">
        <v>93401</v>
      </c>
      <c r="D1199" s="781"/>
    </row>
    <row r="1200" spans="2:4" x14ac:dyDescent="0.25">
      <c r="B1200" s="781" t="s">
        <v>1488</v>
      </c>
      <c r="C1200" s="780">
        <v>93408</v>
      </c>
      <c r="D1200" s="781"/>
    </row>
    <row r="1201" spans="2:4" x14ac:dyDescent="0.25">
      <c r="B1201" s="781" t="s">
        <v>2255</v>
      </c>
      <c r="C1201" s="780">
        <v>97491</v>
      </c>
      <c r="D1201" s="781"/>
    </row>
    <row r="1202" spans="2:4" x14ac:dyDescent="0.25">
      <c r="B1202" s="781" t="s">
        <v>2256</v>
      </c>
      <c r="C1202" s="780">
        <v>95151</v>
      </c>
      <c r="D1202" s="781"/>
    </row>
    <row r="1203" spans="2:4" x14ac:dyDescent="0.25">
      <c r="B1203" s="781" t="s">
        <v>1738</v>
      </c>
      <c r="C1203" s="780">
        <v>96381</v>
      </c>
      <c r="D1203" s="781"/>
    </row>
    <row r="1204" spans="2:4" x14ac:dyDescent="0.25">
      <c r="B1204" s="781" t="s">
        <v>2257</v>
      </c>
      <c r="C1204" s="780">
        <v>95611</v>
      </c>
      <c r="D1204" s="781"/>
    </row>
    <row r="1205" spans="2:4" x14ac:dyDescent="0.25">
      <c r="B1205" s="781" t="s">
        <v>1499</v>
      </c>
      <c r="C1205" s="780">
        <v>93501</v>
      </c>
      <c r="D1205" s="781"/>
    </row>
    <row r="1206" spans="2:4" x14ac:dyDescent="0.25">
      <c r="B1206" s="781" t="s">
        <v>2258</v>
      </c>
      <c r="C1206" s="780">
        <v>93511</v>
      </c>
      <c r="D1206" s="781"/>
    </row>
    <row r="1207" spans="2:4" x14ac:dyDescent="0.25">
      <c r="B1207" s="781" t="s">
        <v>1501</v>
      </c>
      <c r="C1207" s="780">
        <v>93517</v>
      </c>
      <c r="D1207" s="781"/>
    </row>
    <row r="1208" spans="2:4" x14ac:dyDescent="0.25">
      <c r="B1208" s="781" t="s">
        <v>2259</v>
      </c>
      <c r="C1208" s="780">
        <v>99631</v>
      </c>
      <c r="D1208" s="781"/>
    </row>
    <row r="1209" spans="2:4" x14ac:dyDescent="0.25">
      <c r="B1209" s="781" t="s">
        <v>2260</v>
      </c>
      <c r="C1209" s="780">
        <v>99261</v>
      </c>
      <c r="D1209" s="781"/>
    </row>
    <row r="1210" spans="2:4" x14ac:dyDescent="0.25">
      <c r="B1210" s="781" t="s">
        <v>2261</v>
      </c>
      <c r="C1210" s="780">
        <v>98241</v>
      </c>
      <c r="D1210" s="781"/>
    </row>
    <row r="1211" spans="2:4" x14ac:dyDescent="0.25">
      <c r="B1211" s="781" t="s">
        <v>2262</v>
      </c>
      <c r="C1211" s="780">
        <v>99251</v>
      </c>
      <c r="D1211" s="781"/>
    </row>
    <row r="1212" spans="2:4" x14ac:dyDescent="0.25">
      <c r="B1212" s="781" t="s">
        <v>2001</v>
      </c>
      <c r="C1212" s="780">
        <v>99252</v>
      </c>
      <c r="D1212" s="781"/>
    </row>
    <row r="1213" spans="2:4" x14ac:dyDescent="0.25">
      <c r="B1213" s="781" t="s">
        <v>2263</v>
      </c>
      <c r="C1213" s="780">
        <v>96631</v>
      </c>
      <c r="D1213" s="781"/>
    </row>
    <row r="1214" spans="2:4" x14ac:dyDescent="0.25">
      <c r="B1214" s="781" t="s">
        <v>2264</v>
      </c>
      <c r="C1214" s="780">
        <v>96651</v>
      </c>
      <c r="D1214" s="781"/>
    </row>
    <row r="1215" spans="2:4" x14ac:dyDescent="0.25">
      <c r="B1215" s="781" t="s">
        <v>1513</v>
      </c>
      <c r="C1215" s="780">
        <v>93618</v>
      </c>
      <c r="D1215" s="781"/>
    </row>
    <row r="1216" spans="2:4" x14ac:dyDescent="0.25">
      <c r="B1216" s="781" t="s">
        <v>1507</v>
      </c>
      <c r="C1216" s="780">
        <v>93601</v>
      </c>
      <c r="D1216" s="781"/>
    </row>
    <row r="1217" spans="2:4" x14ac:dyDescent="0.25">
      <c r="B1217" s="781" t="s">
        <v>2265</v>
      </c>
      <c r="C1217" s="780">
        <v>93611</v>
      </c>
      <c r="D1217" s="781"/>
    </row>
    <row r="1218" spans="2:4" x14ac:dyDescent="0.25">
      <c r="B1218" s="781" t="s">
        <v>1512</v>
      </c>
      <c r="C1218" s="780">
        <v>93617</v>
      </c>
      <c r="D1218" s="781"/>
    </row>
    <row r="1219" spans="2:4" x14ac:dyDescent="0.25">
      <c r="B1219" s="781" t="s">
        <v>1509</v>
      </c>
      <c r="C1219" s="780">
        <v>93609</v>
      </c>
      <c r="D1219" s="781"/>
    </row>
    <row r="1220" spans="2:4" x14ac:dyDescent="0.25">
      <c r="B1220" s="781" t="s">
        <v>1525</v>
      </c>
      <c r="C1220" s="780">
        <v>93701</v>
      </c>
      <c r="D1220" s="781"/>
    </row>
    <row r="1221" spans="2:4" x14ac:dyDescent="0.25">
      <c r="B1221" s="781" t="s">
        <v>1526</v>
      </c>
      <c r="C1221" s="780">
        <v>93704</v>
      </c>
      <c r="D1221" s="781"/>
    </row>
    <row r="1222" spans="2:4" x14ac:dyDescent="0.25">
      <c r="B1222" s="781" t="s">
        <v>2266</v>
      </c>
      <c r="C1222" s="780">
        <v>98331</v>
      </c>
      <c r="D1222" s="781"/>
    </row>
    <row r="1223" spans="2:4" x14ac:dyDescent="0.25">
      <c r="B1223" s="781" t="s">
        <v>2267</v>
      </c>
      <c r="C1223" s="780">
        <v>94151</v>
      </c>
      <c r="D1223" s="781"/>
    </row>
    <row r="1224" spans="2:4" x14ac:dyDescent="0.25">
      <c r="B1224" s="781" t="s">
        <v>1560</v>
      </c>
      <c r="C1224" s="780">
        <v>94157</v>
      </c>
      <c r="D1224" s="781"/>
    </row>
    <row r="1225" spans="2:4" x14ac:dyDescent="0.25">
      <c r="B1225" s="781" t="s">
        <v>2268</v>
      </c>
      <c r="C1225" s="780">
        <v>91241</v>
      </c>
      <c r="D1225" s="781"/>
    </row>
    <row r="1226" spans="2:4" x14ac:dyDescent="0.25">
      <c r="B1226" s="781" t="s">
        <v>1665</v>
      </c>
      <c r="C1226" s="780">
        <v>95412</v>
      </c>
      <c r="D1226" s="781"/>
    </row>
    <row r="1227" spans="2:4" x14ac:dyDescent="0.25">
      <c r="B1227" s="781" t="s">
        <v>2269</v>
      </c>
      <c r="C1227" s="780">
        <v>99611</v>
      </c>
      <c r="D1227" s="781"/>
    </row>
    <row r="1228" spans="2:4" x14ac:dyDescent="0.25">
      <c r="B1228" s="781" t="s">
        <v>1362</v>
      </c>
      <c r="C1228" s="780">
        <v>91908</v>
      </c>
      <c r="D1228" s="781"/>
    </row>
    <row r="1229" spans="2:4" x14ac:dyDescent="0.25">
      <c r="B1229" s="781" t="s">
        <v>2270</v>
      </c>
      <c r="C1229" s="780">
        <v>90121</v>
      </c>
      <c r="D1229" s="781"/>
    </row>
    <row r="1230" spans="2:4" x14ac:dyDescent="0.25">
      <c r="B1230" s="781" t="s">
        <v>1527</v>
      </c>
      <c r="C1230" s="780">
        <v>93801</v>
      </c>
      <c r="D1230" s="781"/>
    </row>
    <row r="1231" spans="2:4" x14ac:dyDescent="0.25">
      <c r="B1231" s="781" t="s">
        <v>1528</v>
      </c>
      <c r="C1231" s="780">
        <v>93803</v>
      </c>
      <c r="D1231" s="781"/>
    </row>
    <row r="1232" spans="2:4" x14ac:dyDescent="0.25">
      <c r="B1232" s="781" t="s">
        <v>1529</v>
      </c>
      <c r="C1232" s="780">
        <v>93806</v>
      </c>
      <c r="D1232" s="781"/>
    </row>
    <row r="1233" spans="2:4" x14ac:dyDescent="0.25">
      <c r="B1233" s="781" t="s">
        <v>2271</v>
      </c>
      <c r="C1233" s="780">
        <v>91411</v>
      </c>
      <c r="D1233" s="781"/>
    </row>
    <row r="1234" spans="2:4" x14ac:dyDescent="0.25">
      <c r="B1234" s="781" t="s">
        <v>1318</v>
      </c>
      <c r="C1234" s="780">
        <v>91417</v>
      </c>
      <c r="D1234" s="781"/>
    </row>
    <row r="1235" spans="2:4" x14ac:dyDescent="0.25">
      <c r="B1235" s="781" t="s">
        <v>2272</v>
      </c>
      <c r="C1235" s="780">
        <v>98061</v>
      </c>
      <c r="D1235" s="781"/>
    </row>
    <row r="1236" spans="2:4" x14ac:dyDescent="0.25">
      <c r="B1236" s="781" t="s">
        <v>1531</v>
      </c>
      <c r="C1236" s="780">
        <v>93901</v>
      </c>
      <c r="D1236" s="781"/>
    </row>
    <row r="1237" spans="2:4" x14ac:dyDescent="0.25">
      <c r="B1237" s="781" t="s">
        <v>1532</v>
      </c>
      <c r="C1237" s="780">
        <v>93904</v>
      </c>
      <c r="D1237" s="781"/>
    </row>
    <row r="1238" spans="2:4" x14ac:dyDescent="0.25">
      <c r="B1238" s="781" t="s">
        <v>1533</v>
      </c>
      <c r="C1238" s="780">
        <v>93906</v>
      </c>
      <c r="D1238" s="781"/>
    </row>
    <row r="1239" spans="2:4" x14ac:dyDescent="0.25">
      <c r="B1239" s="781" t="s">
        <v>1534</v>
      </c>
      <c r="C1239" s="780">
        <v>93908</v>
      </c>
      <c r="D1239" s="781"/>
    </row>
    <row r="1240" spans="2:4" x14ac:dyDescent="0.25">
      <c r="B1240" s="781" t="s">
        <v>1619</v>
      </c>
      <c r="C1240" s="780">
        <v>94908</v>
      </c>
      <c r="D1240" s="781"/>
    </row>
    <row r="1241" spans="2:4" x14ac:dyDescent="0.25">
      <c r="B1241" s="781" t="s">
        <v>2273</v>
      </c>
      <c r="C1241" s="780">
        <v>90161</v>
      </c>
      <c r="D1241" s="781"/>
    </row>
    <row r="1242" spans="2:4" x14ac:dyDescent="0.25">
      <c r="B1242" s="781" t="s">
        <v>1541</v>
      </c>
      <c r="C1242" s="780">
        <v>94001</v>
      </c>
      <c r="D1242" s="781"/>
    </row>
    <row r="1243" spans="2:4" x14ac:dyDescent="0.25">
      <c r="B1243" s="781" t="s">
        <v>1543</v>
      </c>
      <c r="C1243" s="780">
        <v>94004</v>
      </c>
      <c r="D1243" s="781"/>
    </row>
    <row r="1244" spans="2:4" x14ac:dyDescent="0.25">
      <c r="B1244" s="781" t="s">
        <v>2274</v>
      </c>
      <c r="C1244" s="780">
        <v>94111</v>
      </c>
      <c r="D1244" s="781"/>
    </row>
    <row r="1245" spans="2:4" x14ac:dyDescent="0.25">
      <c r="B1245" s="781" t="s">
        <v>1554</v>
      </c>
      <c r="C1245" s="780">
        <v>94117</v>
      </c>
      <c r="D1245" s="781"/>
    </row>
    <row r="1246" spans="2:4" x14ac:dyDescent="0.25">
      <c r="B1246" s="781" t="s">
        <v>2275</v>
      </c>
      <c r="C1246" s="780">
        <v>97411</v>
      </c>
      <c r="D1246" s="781"/>
    </row>
    <row r="1247" spans="2:4" x14ac:dyDescent="0.25">
      <c r="B1247" s="781" t="s">
        <v>1822</v>
      </c>
      <c r="C1247" s="780">
        <v>97413</v>
      </c>
      <c r="D1247" s="781"/>
    </row>
    <row r="1248" spans="2:4" x14ac:dyDescent="0.25">
      <c r="B1248" s="781" t="s">
        <v>1821</v>
      </c>
      <c r="C1248" s="780">
        <v>97412</v>
      </c>
      <c r="D1248" s="781"/>
    </row>
    <row r="1249" spans="2:4" x14ac:dyDescent="0.25">
      <c r="B1249" s="781" t="s">
        <v>2276</v>
      </c>
      <c r="C1249" s="780">
        <v>97431</v>
      </c>
      <c r="D1249" s="781"/>
    </row>
    <row r="1250" spans="2:4" x14ac:dyDescent="0.25">
      <c r="B1250" s="781" t="s">
        <v>2277</v>
      </c>
      <c r="C1250" s="780">
        <v>97471</v>
      </c>
      <c r="D1250" s="781"/>
    </row>
    <row r="1251" spans="2:4" x14ac:dyDescent="0.25">
      <c r="B1251" s="781" t="s">
        <v>2278</v>
      </c>
      <c r="C1251" s="780">
        <v>92351</v>
      </c>
      <c r="D1251" s="781"/>
    </row>
    <row r="1252" spans="2:4" x14ac:dyDescent="0.25">
      <c r="B1252" s="781" t="s">
        <v>2279</v>
      </c>
      <c r="C1252" s="780">
        <v>94101</v>
      </c>
      <c r="D1252" s="781"/>
    </row>
    <row r="1253" spans="2:4" x14ac:dyDescent="0.25">
      <c r="B1253" s="781" t="s">
        <v>1555</v>
      </c>
      <c r="C1253" s="780">
        <v>94118</v>
      </c>
      <c r="D1253" s="781"/>
    </row>
    <row r="1254" spans="2:4" x14ac:dyDescent="0.25">
      <c r="B1254" s="781" t="s">
        <v>1549</v>
      </c>
      <c r="C1254" s="780">
        <v>94102</v>
      </c>
      <c r="D1254" s="781"/>
    </row>
    <row r="1255" spans="2:4" x14ac:dyDescent="0.25">
      <c r="B1255" s="781" t="s">
        <v>1565</v>
      </c>
      <c r="C1255" s="780">
        <v>94201</v>
      </c>
      <c r="D1255" s="781"/>
    </row>
    <row r="1256" spans="2:4" x14ac:dyDescent="0.25">
      <c r="B1256" s="781" t="s">
        <v>1566</v>
      </c>
      <c r="C1256" s="780">
        <v>94204</v>
      </c>
      <c r="D1256" s="781"/>
    </row>
    <row r="1257" spans="2:4" x14ac:dyDescent="0.25">
      <c r="B1257" s="781" t="s">
        <v>1567</v>
      </c>
      <c r="C1257" s="780">
        <v>94205</v>
      </c>
      <c r="D1257" s="781"/>
    </row>
    <row r="1258" spans="2:4" x14ac:dyDescent="0.25">
      <c r="B1258" s="781" t="s">
        <v>2280</v>
      </c>
      <c r="C1258" s="780">
        <v>95831</v>
      </c>
      <c r="D1258" s="781"/>
    </row>
    <row r="1259" spans="2:4" x14ac:dyDescent="0.25">
      <c r="B1259" s="781" t="s">
        <v>2281</v>
      </c>
      <c r="C1259" s="780">
        <v>97721</v>
      </c>
      <c r="D1259" s="781"/>
    </row>
    <row r="1260" spans="2:4" x14ac:dyDescent="0.25">
      <c r="B1260" s="781" t="s">
        <v>1853</v>
      </c>
      <c r="C1260" s="780">
        <v>97717</v>
      </c>
      <c r="D1260" s="781"/>
    </row>
    <row r="1261" spans="2:4" x14ac:dyDescent="0.25">
      <c r="B1261" s="781" t="s">
        <v>1575</v>
      </c>
      <c r="C1261" s="780">
        <v>94301</v>
      </c>
      <c r="D1261" s="781"/>
    </row>
    <row r="1262" spans="2:4" x14ac:dyDescent="0.25">
      <c r="B1262" s="781" t="s">
        <v>2282</v>
      </c>
      <c r="C1262" s="780">
        <v>91441</v>
      </c>
      <c r="D1262" s="781"/>
    </row>
    <row r="1263" spans="2:4" x14ac:dyDescent="0.25">
      <c r="B1263" s="781" t="s">
        <v>2283</v>
      </c>
      <c r="C1263" s="780">
        <v>92531</v>
      </c>
      <c r="D1263" s="781"/>
    </row>
    <row r="1264" spans="2:4" x14ac:dyDescent="0.25">
      <c r="B1264" s="781" t="s">
        <v>2284</v>
      </c>
      <c r="C1264" s="780">
        <v>90141</v>
      </c>
      <c r="D1264" s="781"/>
    </row>
    <row r="1265" spans="2:4" x14ac:dyDescent="0.25">
      <c r="B1265" s="781" t="s">
        <v>1584</v>
      </c>
      <c r="C1265" s="780">
        <v>94401</v>
      </c>
      <c r="D1265" s="781"/>
    </row>
    <row r="1266" spans="2:4" x14ac:dyDescent="0.25">
      <c r="B1266" s="781" t="s">
        <v>1585</v>
      </c>
      <c r="C1266" s="780">
        <v>94402</v>
      </c>
      <c r="D1266" s="781"/>
    </row>
    <row r="1267" spans="2:4" x14ac:dyDescent="0.25">
      <c r="B1267" s="781" t="s">
        <v>2285</v>
      </c>
      <c r="C1267" s="780">
        <v>99111</v>
      </c>
      <c r="D1267" s="781"/>
    </row>
    <row r="1268" spans="2:4" x14ac:dyDescent="0.25">
      <c r="B1268" s="781" t="s">
        <v>1594</v>
      </c>
      <c r="C1268" s="780">
        <v>94501</v>
      </c>
      <c r="D1268" s="781"/>
    </row>
    <row r="1269" spans="2:4" x14ac:dyDescent="0.25">
      <c r="B1269" s="781" t="s">
        <v>2286</v>
      </c>
      <c r="C1269" s="780">
        <v>94511</v>
      </c>
      <c r="D1269" s="781"/>
    </row>
    <row r="1270" spans="2:4" x14ac:dyDescent="0.25">
      <c r="B1270" s="781" t="s">
        <v>1597</v>
      </c>
      <c r="C1270" s="780">
        <v>94517</v>
      </c>
      <c r="D1270" s="781"/>
    </row>
    <row r="1271" spans="2:4" x14ac:dyDescent="0.25">
      <c r="B1271" s="781" t="s">
        <v>1596</v>
      </c>
      <c r="C1271" s="780">
        <v>94512</v>
      </c>
      <c r="D1271" s="781"/>
    </row>
    <row r="1272" spans="2:4" x14ac:dyDescent="0.25">
      <c r="B1272" s="781" t="s">
        <v>2287</v>
      </c>
      <c r="C1272" s="780">
        <v>97211</v>
      </c>
      <c r="D1272" s="781"/>
    </row>
    <row r="1273" spans="2:4" x14ac:dyDescent="0.25">
      <c r="B1273" s="781" t="s">
        <v>1810</v>
      </c>
      <c r="C1273" s="780">
        <v>97217</v>
      </c>
      <c r="D1273" s="781"/>
    </row>
    <row r="1274" spans="2:4" x14ac:dyDescent="0.25">
      <c r="B1274" s="781" t="s">
        <v>1605</v>
      </c>
      <c r="C1274" s="780">
        <v>94601</v>
      </c>
      <c r="D1274" s="781"/>
    </row>
    <row r="1275" spans="2:4" x14ac:dyDescent="0.25">
      <c r="B1275" s="781" t="s">
        <v>1606</v>
      </c>
      <c r="C1275" s="780">
        <v>94604</v>
      </c>
      <c r="D1275" s="781"/>
    </row>
    <row r="1276" spans="2:4" x14ac:dyDescent="0.25">
      <c r="B1276" s="781" t="s">
        <v>1607</v>
      </c>
      <c r="C1276" s="780">
        <v>94606</v>
      </c>
      <c r="D1276" s="781"/>
    </row>
    <row r="1277" spans="2:4" x14ac:dyDescent="0.25">
      <c r="B1277" s="781" t="s">
        <v>1809</v>
      </c>
      <c r="C1277" s="780">
        <v>97213</v>
      </c>
      <c r="D1277" s="781"/>
    </row>
    <row r="1278" spans="2:4" x14ac:dyDescent="0.25">
      <c r="B1278" s="781" t="s">
        <v>2288</v>
      </c>
      <c r="C1278" s="780">
        <v>91811</v>
      </c>
      <c r="D1278" s="781"/>
    </row>
    <row r="1279" spans="2:4" x14ac:dyDescent="0.25">
      <c r="B1279" s="781" t="s">
        <v>1349</v>
      </c>
      <c r="C1279" s="780">
        <v>91813</v>
      </c>
      <c r="D1279" s="781"/>
    </row>
    <row r="1280" spans="2:4" x14ac:dyDescent="0.25">
      <c r="B1280" s="781" t="s">
        <v>1348</v>
      </c>
      <c r="C1280" s="780">
        <v>91812</v>
      </c>
      <c r="D1280" s="781"/>
    </row>
    <row r="1281" spans="2:4" x14ac:dyDescent="0.25">
      <c r="B1281" s="781" t="s">
        <v>1213</v>
      </c>
      <c r="C1281" s="780">
        <v>90617</v>
      </c>
      <c r="D1281" s="781"/>
    </row>
    <row r="1282" spans="2:4" x14ac:dyDescent="0.25">
      <c r="B1282" s="781" t="s">
        <v>2289</v>
      </c>
      <c r="C1282" s="780">
        <v>94121</v>
      </c>
      <c r="D1282" s="781"/>
    </row>
    <row r="1283" spans="2:4" x14ac:dyDescent="0.25">
      <c r="B1283" s="781" t="s">
        <v>1557</v>
      </c>
      <c r="C1283" s="780">
        <v>94127</v>
      </c>
      <c r="D1283" s="781"/>
    </row>
    <row r="1284" spans="2:4" x14ac:dyDescent="0.25">
      <c r="B1284" s="781" t="s">
        <v>2290</v>
      </c>
      <c r="C1284" s="780">
        <v>95621</v>
      </c>
      <c r="D1284" s="781"/>
    </row>
    <row r="1285" spans="2:4" x14ac:dyDescent="0.25">
      <c r="B1285" s="781" t="s">
        <v>1677</v>
      </c>
      <c r="C1285" s="780">
        <v>95617</v>
      </c>
      <c r="D1285" s="781"/>
    </row>
    <row r="1286" spans="2:4" x14ac:dyDescent="0.25">
      <c r="B1286" s="781" t="s">
        <v>2291</v>
      </c>
      <c r="C1286" s="780">
        <v>91251</v>
      </c>
      <c r="D1286" s="781"/>
    </row>
    <row r="1287" spans="2:4" x14ac:dyDescent="0.25">
      <c r="B1287" s="781" t="s">
        <v>2292</v>
      </c>
      <c r="C1287" s="780">
        <v>96831</v>
      </c>
      <c r="D1287" s="781"/>
    </row>
    <row r="1288" spans="2:4" x14ac:dyDescent="0.25">
      <c r="B1288" s="781" t="s">
        <v>2293</v>
      </c>
      <c r="C1288" s="780">
        <v>94251</v>
      </c>
      <c r="D1288" s="781"/>
    </row>
    <row r="1289" spans="2:4" x14ac:dyDescent="0.25">
      <c r="B1289" s="781" t="s">
        <v>1612</v>
      </c>
      <c r="C1289" s="780">
        <v>94701</v>
      </c>
      <c r="D1289" s="781"/>
    </row>
    <row r="1290" spans="2:4" x14ac:dyDescent="0.25">
      <c r="B1290" s="781" t="s">
        <v>1613</v>
      </c>
      <c r="C1290" s="780">
        <v>94704</v>
      </c>
      <c r="D1290" s="781"/>
    </row>
    <row r="1291" spans="2:4" x14ac:dyDescent="0.25">
      <c r="B1291" s="781" t="s">
        <v>2294</v>
      </c>
      <c r="C1291" s="780">
        <v>91014</v>
      </c>
      <c r="D1291" s="781"/>
    </row>
    <row r="1292" spans="2:4" x14ac:dyDescent="0.25">
      <c r="B1292" s="781" t="s">
        <v>2295</v>
      </c>
      <c r="C1292" s="780">
        <v>96731</v>
      </c>
      <c r="D1292" s="781"/>
    </row>
    <row r="1293" spans="2:4" x14ac:dyDescent="0.25">
      <c r="B1293" s="781" t="s">
        <v>1778</v>
      </c>
      <c r="C1293" s="780">
        <v>96733</v>
      </c>
      <c r="D1293" s="781"/>
    </row>
    <row r="1294" spans="2:4" x14ac:dyDescent="0.25">
      <c r="B1294" s="781" t="s">
        <v>2296</v>
      </c>
      <c r="C1294" s="780">
        <v>99202</v>
      </c>
      <c r="D1294" s="781"/>
    </row>
    <row r="1295" spans="2:4" x14ac:dyDescent="0.25">
      <c r="B1295" s="781" t="s">
        <v>2297</v>
      </c>
      <c r="C1295" s="780">
        <v>94011</v>
      </c>
      <c r="D1295" s="781"/>
    </row>
    <row r="1296" spans="2:4" x14ac:dyDescent="0.25">
      <c r="B1296" s="781" t="s">
        <v>2298</v>
      </c>
      <c r="C1296" s="780">
        <v>92631</v>
      </c>
      <c r="D1296" s="781"/>
    </row>
    <row r="1297" spans="2:4" x14ac:dyDescent="0.25">
      <c r="B1297" s="781" t="s">
        <v>1682</v>
      </c>
      <c r="C1297" s="780">
        <v>95733</v>
      </c>
      <c r="D1297" s="781"/>
    </row>
    <row r="1298" spans="2:4" x14ac:dyDescent="0.25">
      <c r="B1298" s="781" t="s">
        <v>2032</v>
      </c>
      <c r="C1298" s="780">
        <v>99613</v>
      </c>
      <c r="D1298" s="781"/>
    </row>
    <row r="1299" spans="2:4" x14ac:dyDescent="0.25">
      <c r="B1299" s="781" t="s">
        <v>2299</v>
      </c>
      <c r="C1299" s="780">
        <v>91431</v>
      </c>
      <c r="D1299" s="781"/>
    </row>
    <row r="1300" spans="2:4" x14ac:dyDescent="0.25">
      <c r="B1300" s="781" t="s">
        <v>2300</v>
      </c>
      <c r="C1300" s="780">
        <v>96041</v>
      </c>
      <c r="D1300" s="781"/>
    </row>
    <row r="1301" spans="2:4" x14ac:dyDescent="0.25">
      <c r="B1301" s="781" t="s">
        <v>1615</v>
      </c>
      <c r="C1301" s="780">
        <v>94801</v>
      </c>
      <c r="D1301" s="781"/>
    </row>
    <row r="1302" spans="2:4" x14ac:dyDescent="0.25">
      <c r="B1302" s="781" t="s">
        <v>1616</v>
      </c>
      <c r="C1302" s="780">
        <v>94804</v>
      </c>
      <c r="D1302" s="781"/>
    </row>
    <row r="1303" spans="2:4" x14ac:dyDescent="0.25">
      <c r="B1303" s="781" t="s">
        <v>2301</v>
      </c>
      <c r="C1303" s="780">
        <v>91661</v>
      </c>
      <c r="D1303" s="781"/>
    </row>
    <row r="1304" spans="2:4" x14ac:dyDescent="0.25">
      <c r="B1304" s="781" t="s">
        <v>2302</v>
      </c>
      <c r="C1304" s="780">
        <v>99051</v>
      </c>
      <c r="D1304" s="781"/>
    </row>
    <row r="1305" spans="2:4" x14ac:dyDescent="0.25">
      <c r="B1305" s="781" t="s">
        <v>1618</v>
      </c>
      <c r="C1305" s="780">
        <v>94901</v>
      </c>
      <c r="D1305" s="781"/>
    </row>
    <row r="1306" spans="2:4" x14ac:dyDescent="0.25">
      <c r="B1306" s="781" t="s">
        <v>1907</v>
      </c>
      <c r="C1306" s="780">
        <v>98109</v>
      </c>
      <c r="D1306" s="781"/>
    </row>
    <row r="1307" spans="2:4" x14ac:dyDescent="0.25">
      <c r="B1307" s="781" t="s">
        <v>1916</v>
      </c>
      <c r="C1307" s="780">
        <v>98205</v>
      </c>
      <c r="D1307" s="781"/>
    </row>
    <row r="1308" spans="2:4" x14ac:dyDescent="0.25">
      <c r="B1308" s="781" t="s">
        <v>2303</v>
      </c>
      <c r="C1308" s="780">
        <v>96661</v>
      </c>
      <c r="D1308" s="781"/>
    </row>
    <row r="1309" spans="2:4" x14ac:dyDescent="0.25">
      <c r="B1309" s="781" t="s">
        <v>1627</v>
      </c>
      <c r="C1309" s="780">
        <v>95001</v>
      </c>
      <c r="D1309" s="781"/>
    </row>
    <row r="1310" spans="2:4" x14ac:dyDescent="0.25">
      <c r="B1310" s="781" t="s">
        <v>2304</v>
      </c>
      <c r="C1310" s="780">
        <v>96711</v>
      </c>
      <c r="D1310" s="781"/>
    </row>
    <row r="1311" spans="2:4" x14ac:dyDescent="0.25">
      <c r="B1311" s="781" t="s">
        <v>2305</v>
      </c>
      <c r="C1311" s="780">
        <v>94131</v>
      </c>
      <c r="D1311" s="781"/>
    </row>
    <row r="1312" spans="2:4" x14ac:dyDescent="0.25">
      <c r="B1312" s="781" t="s">
        <v>2306</v>
      </c>
      <c r="C1312" s="780">
        <v>95841</v>
      </c>
      <c r="D1312" s="781"/>
    </row>
    <row r="1313" spans="2:4" x14ac:dyDescent="0.25">
      <c r="B1313" s="781" t="s">
        <v>2307</v>
      </c>
      <c r="C1313" s="780">
        <v>90511</v>
      </c>
      <c r="D1313" s="781"/>
    </row>
    <row r="1314" spans="2:4" x14ac:dyDescent="0.25">
      <c r="B1314" s="781" t="s">
        <v>1634</v>
      </c>
      <c r="C1314" s="780">
        <v>95101</v>
      </c>
      <c r="D1314" s="781"/>
    </row>
    <row r="1315" spans="2:4" x14ac:dyDescent="0.25">
      <c r="B1315" s="781" t="s">
        <v>1636</v>
      </c>
      <c r="C1315" s="780">
        <v>95104</v>
      </c>
      <c r="D1315" s="781"/>
    </row>
    <row r="1316" spans="2:4" x14ac:dyDescent="0.25">
      <c r="B1316" s="781" t="s">
        <v>1639</v>
      </c>
      <c r="C1316" s="780">
        <v>95110</v>
      </c>
      <c r="D1316" s="781"/>
    </row>
    <row r="1317" spans="2:4" x14ac:dyDescent="0.25">
      <c r="B1317" s="781" t="s">
        <v>1637</v>
      </c>
      <c r="C1317" s="780">
        <v>95105</v>
      </c>
      <c r="D1317" s="781"/>
    </row>
    <row r="1318" spans="2:4" x14ac:dyDescent="0.25">
      <c r="B1318" s="781" t="s">
        <v>1652</v>
      </c>
      <c r="C1318" s="780">
        <v>95201</v>
      </c>
      <c r="D1318" s="781"/>
    </row>
    <row r="1319" spans="2:4" x14ac:dyDescent="0.25">
      <c r="B1319" s="781" t="s">
        <v>1653</v>
      </c>
      <c r="C1319" s="780">
        <v>95204</v>
      </c>
      <c r="D1319" s="781"/>
    </row>
    <row r="1320" spans="2:4" x14ac:dyDescent="0.25">
      <c r="B1320" s="781" t="s">
        <v>2308</v>
      </c>
      <c r="C1320" s="780">
        <v>99921</v>
      </c>
      <c r="D1320" s="781"/>
    </row>
    <row r="1321" spans="2:4" x14ac:dyDescent="0.25">
      <c r="B1321" s="781" t="s">
        <v>1586</v>
      </c>
      <c r="C1321" s="780">
        <v>94408</v>
      </c>
      <c r="D1321" s="781"/>
    </row>
    <row r="1322" spans="2:4" x14ac:dyDescent="0.25">
      <c r="B1322" s="781" t="s">
        <v>2309</v>
      </c>
      <c r="C1322" s="780">
        <v>91331</v>
      </c>
      <c r="D1322" s="781"/>
    </row>
    <row r="1323" spans="2:4" x14ac:dyDescent="0.25">
      <c r="B1323" s="781" t="s">
        <v>2310</v>
      </c>
      <c r="C1323" s="780">
        <v>93121</v>
      </c>
      <c r="D1323" s="781"/>
    </row>
    <row r="1324" spans="2:4" x14ac:dyDescent="0.25">
      <c r="B1324" s="781" t="s">
        <v>1456</v>
      </c>
      <c r="C1324" s="780">
        <v>93127</v>
      </c>
      <c r="D1324" s="781"/>
    </row>
    <row r="1325" spans="2:4" x14ac:dyDescent="0.25">
      <c r="B1325" s="781" t="s">
        <v>2311</v>
      </c>
      <c r="C1325" s="780">
        <v>95171</v>
      </c>
      <c r="D1325" s="781"/>
    </row>
    <row r="1326" spans="2:4" x14ac:dyDescent="0.25">
      <c r="B1326" s="781" t="s">
        <v>2312</v>
      </c>
      <c r="C1326" s="780">
        <v>93421</v>
      </c>
      <c r="D1326" s="781"/>
    </row>
    <row r="1327" spans="2:4" x14ac:dyDescent="0.25">
      <c r="B1327" s="781" t="s">
        <v>1982</v>
      </c>
      <c r="C1327" s="780">
        <v>99110</v>
      </c>
      <c r="D1327" s="781"/>
    </row>
    <row r="1328" spans="2:4" x14ac:dyDescent="0.25">
      <c r="B1328" s="781" t="s">
        <v>1981</v>
      </c>
      <c r="C1328" s="780">
        <v>99109</v>
      </c>
      <c r="D1328" s="781"/>
    </row>
    <row r="1329" spans="2:4" x14ac:dyDescent="0.25">
      <c r="B1329" s="781" t="s">
        <v>2313</v>
      </c>
      <c r="C1329" s="780">
        <v>92821</v>
      </c>
      <c r="D1329" s="781"/>
    </row>
    <row r="1330" spans="2:4" x14ac:dyDescent="0.25">
      <c r="B1330" s="781" t="s">
        <v>2314</v>
      </c>
      <c r="C1330" s="780">
        <v>98521</v>
      </c>
      <c r="D1330" s="781"/>
    </row>
    <row r="1331" spans="2:4" x14ac:dyDescent="0.25">
      <c r="B1331" s="781" t="s">
        <v>2315</v>
      </c>
      <c r="C1331" s="780">
        <v>92321</v>
      </c>
      <c r="D1331" s="781"/>
    </row>
    <row r="1332" spans="2:4" x14ac:dyDescent="0.25">
      <c r="B1332" s="781" t="s">
        <v>1382</v>
      </c>
      <c r="C1332" s="780">
        <v>92327</v>
      </c>
      <c r="D1332" s="781"/>
    </row>
    <row r="1333" spans="2:4" x14ac:dyDescent="0.25">
      <c r="B1333" s="781" t="s">
        <v>2316</v>
      </c>
      <c r="C1333" s="780">
        <v>95411</v>
      </c>
      <c r="D1333" s="781"/>
    </row>
    <row r="1334" spans="2:4" x14ac:dyDescent="0.25">
      <c r="B1334" s="781" t="s">
        <v>1666</v>
      </c>
      <c r="C1334" s="780">
        <v>95413</v>
      </c>
      <c r="D1334" s="781"/>
    </row>
    <row r="1335" spans="2:4" x14ac:dyDescent="0.25">
      <c r="B1335" s="781" t="s">
        <v>1667</v>
      </c>
      <c r="C1335" s="780">
        <v>95415</v>
      </c>
      <c r="D1335" s="781"/>
    </row>
    <row r="1336" spans="2:4" x14ac:dyDescent="0.25">
      <c r="B1336" s="781" t="s">
        <v>2317</v>
      </c>
      <c r="C1336" s="780">
        <v>92851</v>
      </c>
      <c r="D1336" s="781"/>
    </row>
    <row r="1337" spans="2:4" x14ac:dyDescent="0.25">
      <c r="B1337" s="781" t="s">
        <v>2318</v>
      </c>
      <c r="C1337" s="780">
        <v>99291</v>
      </c>
      <c r="D1337" s="781"/>
    </row>
    <row r="1338" spans="2:4" x14ac:dyDescent="0.25">
      <c r="B1338" s="781" t="s">
        <v>2319</v>
      </c>
      <c r="C1338" s="780">
        <v>96541</v>
      </c>
      <c r="D1338" s="781"/>
    </row>
    <row r="1339" spans="2:4" x14ac:dyDescent="0.25">
      <c r="B1339" s="781" t="s">
        <v>2320</v>
      </c>
      <c r="C1339" s="780">
        <v>95431</v>
      </c>
      <c r="D1339" s="781"/>
    </row>
    <row r="1340" spans="2:4" x14ac:dyDescent="0.25">
      <c r="B1340" s="781" t="s">
        <v>2321</v>
      </c>
      <c r="C1340" s="780">
        <v>98131</v>
      </c>
      <c r="D1340" s="781"/>
    </row>
    <row r="1341" spans="2:4" x14ac:dyDescent="0.25">
      <c r="B1341" s="781" t="s">
        <v>1392</v>
      </c>
      <c r="C1341" s="780">
        <v>92427</v>
      </c>
      <c r="D1341" s="781"/>
    </row>
    <row r="1342" spans="2:4" x14ac:dyDescent="0.25">
      <c r="B1342" s="781" t="s">
        <v>2322</v>
      </c>
      <c r="C1342" s="780">
        <v>92461</v>
      </c>
      <c r="D1342" s="781"/>
    </row>
    <row r="1343" spans="2:4" x14ac:dyDescent="0.25">
      <c r="B1343" s="781" t="s">
        <v>2323</v>
      </c>
      <c r="C1343" s="780">
        <v>98051</v>
      </c>
      <c r="D1343" s="781"/>
    </row>
    <row r="1344" spans="2:4" x14ac:dyDescent="0.25">
      <c r="B1344" s="781" t="s">
        <v>1273</v>
      </c>
      <c r="C1344" s="780">
        <v>91102</v>
      </c>
      <c r="D1344" s="781"/>
    </row>
    <row r="1345" spans="2:4" x14ac:dyDescent="0.25">
      <c r="B1345" s="781" t="s">
        <v>2324</v>
      </c>
      <c r="C1345" s="780">
        <v>94521</v>
      </c>
      <c r="D1345" s="781"/>
    </row>
    <row r="1346" spans="2:4" x14ac:dyDescent="0.25">
      <c r="B1346" s="781" t="s">
        <v>1599</v>
      </c>
      <c r="C1346" s="780">
        <v>94527</v>
      </c>
      <c r="D1346" s="781"/>
    </row>
    <row r="1347" spans="2:4" x14ac:dyDescent="0.25">
      <c r="B1347" s="781" t="s">
        <v>1930</v>
      </c>
      <c r="C1347" s="780">
        <v>98313</v>
      </c>
      <c r="D1347" s="781"/>
    </row>
    <row r="1348" spans="2:4" x14ac:dyDescent="0.25">
      <c r="B1348" s="781" t="s">
        <v>2325</v>
      </c>
      <c r="C1348" s="780">
        <v>98311</v>
      </c>
      <c r="D1348" s="781"/>
    </row>
    <row r="1349" spans="2:4" x14ac:dyDescent="0.25">
      <c r="B1349" s="781" t="s">
        <v>1928</v>
      </c>
      <c r="C1349" s="780">
        <v>98308</v>
      </c>
      <c r="D1349" s="781"/>
    </row>
    <row r="1350" spans="2:4" x14ac:dyDescent="0.25">
      <c r="B1350" s="781" t="s">
        <v>2326</v>
      </c>
      <c r="C1350" s="780">
        <v>92341</v>
      </c>
      <c r="D1350" s="781"/>
    </row>
    <row r="1351" spans="2:4" x14ac:dyDescent="0.25">
      <c r="B1351" s="781" t="s">
        <v>1657</v>
      </c>
      <c r="C1351" s="780">
        <v>95301</v>
      </c>
      <c r="D1351" s="781"/>
    </row>
    <row r="1352" spans="2:4" x14ac:dyDescent="0.25">
      <c r="B1352" s="781" t="s">
        <v>2327</v>
      </c>
      <c r="C1352" s="780">
        <v>91002</v>
      </c>
      <c r="D1352" s="781"/>
    </row>
    <row r="1353" spans="2:4" x14ac:dyDescent="0.25">
      <c r="B1353" s="781" t="s">
        <v>2328</v>
      </c>
      <c r="C1353" s="780">
        <v>91451</v>
      </c>
      <c r="D1353" s="781"/>
    </row>
    <row r="1354" spans="2:4" x14ac:dyDescent="0.25">
      <c r="B1354" s="781" t="s">
        <v>1324</v>
      </c>
      <c r="C1354" s="780">
        <v>91457</v>
      </c>
      <c r="D1354" s="781"/>
    </row>
    <row r="1355" spans="2:4" x14ac:dyDescent="0.25">
      <c r="B1355" s="781" t="s">
        <v>1661</v>
      </c>
      <c r="C1355" s="780">
        <v>95401</v>
      </c>
      <c r="D1355" s="781"/>
    </row>
    <row r="1356" spans="2:4" x14ac:dyDescent="0.25">
      <c r="B1356" s="781" t="s">
        <v>1662</v>
      </c>
      <c r="C1356" s="780">
        <v>95404</v>
      </c>
      <c r="D1356" s="781"/>
    </row>
    <row r="1357" spans="2:4" x14ac:dyDescent="0.25">
      <c r="B1357" s="781" t="s">
        <v>1320</v>
      </c>
      <c r="C1357" s="780">
        <v>91423</v>
      </c>
      <c r="D1357" s="781"/>
    </row>
    <row r="1358" spans="2:4" x14ac:dyDescent="0.25">
      <c r="B1358" s="781" t="s">
        <v>2329</v>
      </c>
      <c r="C1358" s="780">
        <v>90861</v>
      </c>
      <c r="D1358" s="781"/>
    </row>
    <row r="1359" spans="2:4" x14ac:dyDescent="0.25">
      <c r="B1359" s="781" t="s">
        <v>2330</v>
      </c>
      <c r="C1359" s="780">
        <v>93451</v>
      </c>
      <c r="D1359" s="781"/>
    </row>
    <row r="1360" spans="2:4" x14ac:dyDescent="0.25">
      <c r="B1360" s="781" t="s">
        <v>2331</v>
      </c>
      <c r="C1360" s="780">
        <v>92931</v>
      </c>
      <c r="D1360" s="781"/>
    </row>
    <row r="1361" spans="2:4" x14ac:dyDescent="0.25">
      <c r="B1361" s="781" t="s">
        <v>1442</v>
      </c>
      <c r="C1361" s="780">
        <v>92917</v>
      </c>
      <c r="D1361" s="781"/>
    </row>
    <row r="1362" spans="2:4" x14ac:dyDescent="0.25">
      <c r="B1362" s="781" t="s">
        <v>2332</v>
      </c>
      <c r="C1362" s="780">
        <v>97631</v>
      </c>
      <c r="D1362" s="781"/>
    </row>
    <row r="1363" spans="2:4" x14ac:dyDescent="0.25">
      <c r="B1363" s="781" t="s">
        <v>1845</v>
      </c>
      <c r="C1363" s="780">
        <v>97637</v>
      </c>
      <c r="D1363" s="781"/>
    </row>
    <row r="1364" spans="2:4" x14ac:dyDescent="0.25">
      <c r="B1364" s="781" t="s">
        <v>2333</v>
      </c>
      <c r="C1364" s="780">
        <v>90421</v>
      </c>
      <c r="D1364" s="781"/>
    </row>
    <row r="1365" spans="2:4" x14ac:dyDescent="0.25">
      <c r="B1365" s="781" t="s">
        <v>2334</v>
      </c>
      <c r="C1365" s="780">
        <v>94321</v>
      </c>
      <c r="D1365" s="781"/>
    </row>
    <row r="1366" spans="2:4" x14ac:dyDescent="0.25">
      <c r="B1366" s="781" t="s">
        <v>1670</v>
      </c>
      <c r="C1366" s="780">
        <v>95501</v>
      </c>
      <c r="D1366" s="781"/>
    </row>
    <row r="1367" spans="2:4" x14ac:dyDescent="0.25">
      <c r="B1367" s="781" t="s">
        <v>1671</v>
      </c>
      <c r="C1367" s="780">
        <v>95504</v>
      </c>
      <c r="D1367" s="781"/>
    </row>
    <row r="1368" spans="2:4" x14ac:dyDescent="0.25">
      <c r="B1368" s="781" t="s">
        <v>2335</v>
      </c>
      <c r="C1368" s="780">
        <v>95511</v>
      </c>
      <c r="D1368" s="781"/>
    </row>
    <row r="1369" spans="2:4" x14ac:dyDescent="0.25">
      <c r="B1369" s="781" t="s">
        <v>1674</v>
      </c>
      <c r="C1369" s="780">
        <v>95517</v>
      </c>
      <c r="D1369" s="781"/>
    </row>
    <row r="1370" spans="2:4" x14ac:dyDescent="0.25">
      <c r="B1370" s="781" t="s">
        <v>1673</v>
      </c>
      <c r="C1370" s="780">
        <v>95513</v>
      </c>
      <c r="D1370" s="781"/>
    </row>
    <row r="1371" spans="2:4" x14ac:dyDescent="0.25">
      <c r="B1371" s="781" t="s">
        <v>2336</v>
      </c>
      <c r="C1371" s="780">
        <v>92651</v>
      </c>
      <c r="D1371" s="781"/>
    </row>
    <row r="1372" spans="2:4" x14ac:dyDescent="0.25">
      <c r="B1372" s="781" t="s">
        <v>2337</v>
      </c>
      <c r="C1372" s="780">
        <v>94261</v>
      </c>
      <c r="D1372" s="781"/>
    </row>
    <row r="1373" spans="2:4" x14ac:dyDescent="0.25">
      <c r="B1373" s="781" t="s">
        <v>2338</v>
      </c>
      <c r="C1373" s="780">
        <v>98431</v>
      </c>
      <c r="D1373" s="781"/>
    </row>
    <row r="1374" spans="2:4" x14ac:dyDescent="0.25">
      <c r="B1374" s="781" t="s">
        <v>2339</v>
      </c>
      <c r="C1374" s="780">
        <v>91841</v>
      </c>
      <c r="D1374" s="781"/>
    </row>
    <row r="1375" spans="2:4" x14ac:dyDescent="0.25">
      <c r="B1375" s="781" t="s">
        <v>2340</v>
      </c>
      <c r="C1375" s="780">
        <v>93521</v>
      </c>
      <c r="D1375" s="781"/>
    </row>
    <row r="1376" spans="2:4" x14ac:dyDescent="0.25">
      <c r="B1376" s="781" t="s">
        <v>1503</v>
      </c>
      <c r="C1376" s="780">
        <v>93527</v>
      </c>
      <c r="D1376" s="781"/>
    </row>
    <row r="1377" spans="2:4" x14ac:dyDescent="0.25">
      <c r="B1377" s="781" t="s">
        <v>2341</v>
      </c>
      <c r="C1377" s="780">
        <v>93661</v>
      </c>
      <c r="D1377" s="781"/>
    </row>
    <row r="1378" spans="2:4" x14ac:dyDescent="0.25">
      <c r="B1378" s="781" t="s">
        <v>1754</v>
      </c>
      <c r="C1378" s="780">
        <v>96508</v>
      </c>
      <c r="D1378" s="781"/>
    </row>
    <row r="1379" spans="2:4" x14ac:dyDescent="0.25">
      <c r="B1379" s="781" t="s">
        <v>2342</v>
      </c>
      <c r="C1379" s="780">
        <v>99841</v>
      </c>
      <c r="D1379" s="781"/>
    </row>
    <row r="1380" spans="2:4" x14ac:dyDescent="0.25">
      <c r="B1380" s="781" t="s">
        <v>1858</v>
      </c>
      <c r="C1380" s="780">
        <v>97802</v>
      </c>
      <c r="D1380" s="781"/>
    </row>
    <row r="1381" spans="2:4" x14ac:dyDescent="0.25">
      <c r="B1381" s="781" t="s">
        <v>2343</v>
      </c>
      <c r="C1381" s="780">
        <v>97811</v>
      </c>
      <c r="D1381" s="781"/>
    </row>
    <row r="1382" spans="2:4" x14ac:dyDescent="0.25">
      <c r="B1382" s="781" t="s">
        <v>1862</v>
      </c>
      <c r="C1382" s="780">
        <v>97817</v>
      </c>
      <c r="D1382" s="781"/>
    </row>
    <row r="1383" spans="2:4" x14ac:dyDescent="0.25">
      <c r="B1383" s="781" t="s">
        <v>1863</v>
      </c>
      <c r="C1383" s="780">
        <v>97818</v>
      </c>
      <c r="D1383" s="781"/>
    </row>
    <row r="1384" spans="2:4" x14ac:dyDescent="0.25">
      <c r="B1384" s="781" t="s">
        <v>2344</v>
      </c>
      <c r="C1384" s="780">
        <v>93341</v>
      </c>
      <c r="D1384" s="781"/>
    </row>
    <row r="1385" spans="2:4" x14ac:dyDescent="0.25">
      <c r="B1385" s="781" t="s">
        <v>1675</v>
      </c>
      <c r="C1385" s="780">
        <v>95601</v>
      </c>
      <c r="D1385" s="781"/>
    </row>
    <row r="1386" spans="2:4" x14ac:dyDescent="0.25">
      <c r="B1386" s="781" t="s">
        <v>2345</v>
      </c>
      <c r="C1386" s="780">
        <v>97941</v>
      </c>
      <c r="D1386" s="781"/>
    </row>
    <row r="1387" spans="2:4" x14ac:dyDescent="0.25">
      <c r="B1387" s="781" t="s">
        <v>1883</v>
      </c>
      <c r="C1387" s="780">
        <v>97947</v>
      </c>
      <c r="D1387" s="781"/>
    </row>
    <row r="1388" spans="2:4" x14ac:dyDescent="0.25">
      <c r="B1388" s="781" t="s">
        <v>1679</v>
      </c>
      <c r="C1388" s="780">
        <v>95701</v>
      </c>
      <c r="D1388" s="781"/>
    </row>
    <row r="1389" spans="2:4" x14ac:dyDescent="0.25">
      <c r="B1389" s="781" t="s">
        <v>1884</v>
      </c>
      <c r="C1389" s="780">
        <v>97948</v>
      </c>
      <c r="D1389" s="781"/>
    </row>
    <row r="1390" spans="2:4" x14ac:dyDescent="0.25">
      <c r="B1390" s="781" t="s">
        <v>2346</v>
      </c>
      <c r="C1390" s="780">
        <v>94421</v>
      </c>
      <c r="D1390" s="781"/>
    </row>
    <row r="1391" spans="2:4" x14ac:dyDescent="0.25">
      <c r="B1391" s="781" t="s">
        <v>1590</v>
      </c>
      <c r="C1391" s="780">
        <v>94427</v>
      </c>
      <c r="D1391" s="781"/>
    </row>
    <row r="1392" spans="2:4" x14ac:dyDescent="0.25">
      <c r="B1392" s="781" t="s">
        <v>1591</v>
      </c>
      <c r="C1392" s="780">
        <v>94428</v>
      </c>
      <c r="D1392" s="781"/>
    </row>
    <row r="1393" spans="2:4" x14ac:dyDescent="0.25">
      <c r="B1393" s="781" t="s">
        <v>2347</v>
      </c>
      <c r="C1393" s="780">
        <v>93191</v>
      </c>
      <c r="D1393" s="781"/>
    </row>
    <row r="1394" spans="2:4" x14ac:dyDescent="0.25">
      <c r="B1394" s="781" t="s">
        <v>2348</v>
      </c>
      <c r="C1394" s="780">
        <v>91831</v>
      </c>
      <c r="D1394" s="781"/>
    </row>
    <row r="1395" spans="2:4" x14ac:dyDescent="0.25">
      <c r="B1395" s="781" t="s">
        <v>2349</v>
      </c>
      <c r="C1395" s="780">
        <v>92831</v>
      </c>
      <c r="D1395" s="781"/>
    </row>
    <row r="1396" spans="2:4" x14ac:dyDescent="0.25">
      <c r="B1396" s="781" t="s">
        <v>2350</v>
      </c>
      <c r="C1396" s="780">
        <v>95911</v>
      </c>
      <c r="D1396" s="781"/>
    </row>
    <row r="1397" spans="2:4" x14ac:dyDescent="0.25">
      <c r="B1397" s="781" t="s">
        <v>1696</v>
      </c>
      <c r="C1397" s="780">
        <v>95917</v>
      </c>
      <c r="D1397" s="781"/>
    </row>
    <row r="1398" spans="2:4" x14ac:dyDescent="0.25">
      <c r="B1398" s="781" t="s">
        <v>2351</v>
      </c>
      <c r="C1398" s="780">
        <v>95711</v>
      </c>
      <c r="D1398" s="781"/>
    </row>
    <row r="1399" spans="2:4" x14ac:dyDescent="0.25">
      <c r="B1399" s="781" t="s">
        <v>2352</v>
      </c>
      <c r="C1399" s="780">
        <v>95721</v>
      </c>
      <c r="D1399" s="781"/>
    </row>
    <row r="1400" spans="2:4" x14ac:dyDescent="0.25">
      <c r="B1400" s="781" t="s">
        <v>2353</v>
      </c>
      <c r="C1400" s="780">
        <v>99021</v>
      </c>
      <c r="D1400" s="781"/>
    </row>
    <row r="1401" spans="2:4" x14ac:dyDescent="0.25">
      <c r="B1401" s="781" t="s">
        <v>1683</v>
      </c>
      <c r="C1401" s="780">
        <v>95801</v>
      </c>
      <c r="D1401" s="781"/>
    </row>
    <row r="1402" spans="2:4" x14ac:dyDescent="0.25">
      <c r="B1402" s="781" t="s">
        <v>1685</v>
      </c>
      <c r="C1402" s="780">
        <v>95804</v>
      </c>
      <c r="D1402" s="781"/>
    </row>
    <row r="1403" spans="2:4" x14ac:dyDescent="0.25">
      <c r="B1403" s="781" t="s">
        <v>1684</v>
      </c>
      <c r="C1403" s="780">
        <v>95802</v>
      </c>
      <c r="D1403" s="781"/>
    </row>
    <row r="1404" spans="2:4" x14ac:dyDescent="0.25">
      <c r="B1404" s="781" t="s">
        <v>1176</v>
      </c>
      <c r="C1404" s="780">
        <v>90092</v>
      </c>
      <c r="D1404" s="781"/>
    </row>
    <row r="1405" spans="2:4" x14ac:dyDescent="0.25">
      <c r="B1405" s="781" t="s">
        <v>2354</v>
      </c>
      <c r="C1405" s="780">
        <v>99081</v>
      </c>
      <c r="D1405" s="781"/>
    </row>
    <row r="1406" spans="2:4" x14ac:dyDescent="0.25">
      <c r="B1406" s="781" t="s">
        <v>2355</v>
      </c>
      <c r="C1406" s="780">
        <v>96071</v>
      </c>
      <c r="D1406" s="781"/>
    </row>
    <row r="1407" spans="2:4" x14ac:dyDescent="0.25">
      <c r="B1407" s="781" t="s">
        <v>1542</v>
      </c>
      <c r="C1407" s="780">
        <v>94002</v>
      </c>
      <c r="D1407" s="781"/>
    </row>
    <row r="1408" spans="2:4" x14ac:dyDescent="0.25">
      <c r="B1408" s="781" t="s">
        <v>2356</v>
      </c>
      <c r="C1408" s="780">
        <v>97840</v>
      </c>
      <c r="D1408" s="781"/>
    </row>
    <row r="1409" spans="2:4" x14ac:dyDescent="0.25">
      <c r="B1409" s="781" t="s">
        <v>1870</v>
      </c>
      <c r="C1409" s="780">
        <v>97847</v>
      </c>
      <c r="D1409" s="781"/>
    </row>
    <row r="1410" spans="2:4" x14ac:dyDescent="0.25">
      <c r="B1410" s="781" t="s">
        <v>2357</v>
      </c>
      <c r="C1410" s="780">
        <v>97921</v>
      </c>
      <c r="D1410" s="781"/>
    </row>
    <row r="1411" spans="2:4" x14ac:dyDescent="0.25">
      <c r="B1411" s="781" t="s">
        <v>2358</v>
      </c>
      <c r="C1411" s="780">
        <v>95221</v>
      </c>
      <c r="D1411" s="781"/>
    </row>
    <row r="1412" spans="2:4" x14ac:dyDescent="0.25">
      <c r="B1412" s="781" t="s">
        <v>1693</v>
      </c>
      <c r="C1412" s="780">
        <v>95901</v>
      </c>
      <c r="D1412" s="781"/>
    </row>
    <row r="1413" spans="2:4" x14ac:dyDescent="0.25">
      <c r="B1413" s="781" t="s">
        <v>2359</v>
      </c>
      <c r="C1413" s="780">
        <v>93610</v>
      </c>
      <c r="D1413" s="781"/>
    </row>
    <row r="1414" spans="2:4" x14ac:dyDescent="0.25">
      <c r="B1414" s="781" t="s">
        <v>2360</v>
      </c>
      <c r="C1414" s="780">
        <v>90114</v>
      </c>
      <c r="D1414" s="781"/>
    </row>
    <row r="1415" spans="2:4" x14ac:dyDescent="0.25">
      <c r="B1415" s="781" t="s">
        <v>1698</v>
      </c>
      <c r="C1415" s="780">
        <v>96001</v>
      </c>
      <c r="D1415" s="781"/>
    </row>
    <row r="1416" spans="2:4" x14ac:dyDescent="0.25">
      <c r="B1416" s="781" t="s">
        <v>1700</v>
      </c>
      <c r="C1416" s="780">
        <v>96004</v>
      </c>
      <c r="D1416" s="781"/>
    </row>
    <row r="1417" spans="2:4" x14ac:dyDescent="0.25">
      <c r="B1417" s="781" t="s">
        <v>1702</v>
      </c>
      <c r="C1417" s="780">
        <v>96008</v>
      </c>
      <c r="D1417" s="781"/>
    </row>
    <row r="1418" spans="2:4" x14ac:dyDescent="0.25">
      <c r="B1418" s="781" t="s">
        <v>1276</v>
      </c>
      <c r="C1418" s="780">
        <v>91108</v>
      </c>
      <c r="D1418" s="781"/>
    </row>
    <row r="1419" spans="2:4" x14ac:dyDescent="0.25">
      <c r="B1419" s="781" t="s">
        <v>1626</v>
      </c>
      <c r="C1419" s="780">
        <v>94941</v>
      </c>
      <c r="D1419" s="781"/>
    </row>
    <row r="1420" spans="2:4" x14ac:dyDescent="0.25">
      <c r="B1420" s="781" t="s">
        <v>2361</v>
      </c>
      <c r="C1420" s="780">
        <v>95122</v>
      </c>
      <c r="D1420" s="781"/>
    </row>
    <row r="1421" spans="2:4" x14ac:dyDescent="0.25">
      <c r="B1421" s="781" t="s">
        <v>2362</v>
      </c>
      <c r="C1421" s="780">
        <v>96431</v>
      </c>
      <c r="D1421" s="781"/>
    </row>
    <row r="1422" spans="2:4" x14ac:dyDescent="0.25">
      <c r="B1422" s="781" t="s">
        <v>1221</v>
      </c>
      <c r="C1422" s="780">
        <v>90709</v>
      </c>
      <c r="D1422" s="781"/>
    </row>
    <row r="1423" spans="2:4" x14ac:dyDescent="0.25">
      <c r="B1423" s="781" t="s">
        <v>2363</v>
      </c>
      <c r="C1423" s="780">
        <v>91341</v>
      </c>
      <c r="D1423" s="781"/>
    </row>
    <row r="1424" spans="2:4" x14ac:dyDescent="0.25">
      <c r="B1424" s="781" t="s">
        <v>2364</v>
      </c>
      <c r="C1424" s="780">
        <v>92941</v>
      </c>
      <c r="D1424" s="781"/>
    </row>
    <row r="1425" spans="2:4" x14ac:dyDescent="0.25">
      <c r="B1425" s="781" t="s">
        <v>2365</v>
      </c>
      <c r="C1425" s="780">
        <v>94551</v>
      </c>
      <c r="D1425" s="781"/>
    </row>
    <row r="1426" spans="2:4" x14ac:dyDescent="0.25">
      <c r="B1426" s="781" t="s">
        <v>2366</v>
      </c>
      <c r="C1426" s="780">
        <v>99022</v>
      </c>
      <c r="D1426" s="781"/>
    </row>
    <row r="1427" spans="2:4" x14ac:dyDescent="0.25">
      <c r="B1427" s="781" t="s">
        <v>2367</v>
      </c>
      <c r="C1427" s="780">
        <v>96031</v>
      </c>
      <c r="D1427" s="781"/>
    </row>
    <row r="1428" spans="2:4" x14ac:dyDescent="0.25">
      <c r="B1428" s="781" t="s">
        <v>2368</v>
      </c>
      <c r="C1428" s="780">
        <v>71786</v>
      </c>
      <c r="D1428" s="781"/>
    </row>
    <row r="1429" spans="2:4" x14ac:dyDescent="0.25">
      <c r="B1429" s="781" t="s">
        <v>1714</v>
      </c>
      <c r="C1429" s="780">
        <v>96101</v>
      </c>
      <c r="D1429" s="781"/>
    </row>
    <row r="1430" spans="2:4" x14ac:dyDescent="0.25">
      <c r="B1430" s="781" t="s">
        <v>1715</v>
      </c>
      <c r="C1430" s="780">
        <v>96102</v>
      </c>
      <c r="D1430" s="781"/>
    </row>
    <row r="1431" spans="2:4" x14ac:dyDescent="0.25">
      <c r="B1431" s="781" t="s">
        <v>2369</v>
      </c>
      <c r="C1431" s="780">
        <v>93011</v>
      </c>
      <c r="D1431" s="781"/>
    </row>
    <row r="1432" spans="2:4" x14ac:dyDescent="0.25">
      <c r="B1432" s="781" t="s">
        <v>2370</v>
      </c>
      <c r="C1432" s="780">
        <v>99011</v>
      </c>
      <c r="D1432" s="781"/>
    </row>
    <row r="1433" spans="2:4" x14ac:dyDescent="0.25">
      <c r="B1433" s="781" t="s">
        <v>1968</v>
      </c>
      <c r="C1433" s="780">
        <v>99017</v>
      </c>
      <c r="D1433" s="781"/>
    </row>
    <row r="1434" spans="2:4" x14ac:dyDescent="0.25">
      <c r="B1434" s="781" t="s">
        <v>1967</v>
      </c>
      <c r="C1434" s="780">
        <v>99013</v>
      </c>
      <c r="D1434" s="781"/>
    </row>
    <row r="1435" spans="2:4" x14ac:dyDescent="0.25">
      <c r="B1435" s="781" t="s">
        <v>1718</v>
      </c>
      <c r="C1435" s="780">
        <v>96201</v>
      </c>
      <c r="D1435" s="781"/>
    </row>
    <row r="1436" spans="2:4" x14ac:dyDescent="0.25">
      <c r="B1436" s="781" t="s">
        <v>1719</v>
      </c>
      <c r="C1436" s="780">
        <v>96204</v>
      </c>
      <c r="D1436" s="781"/>
    </row>
    <row r="1437" spans="2:4" x14ac:dyDescent="0.25">
      <c r="B1437" s="781" t="s">
        <v>2371</v>
      </c>
      <c r="C1437" s="780">
        <v>91161</v>
      </c>
      <c r="D1437" s="781"/>
    </row>
    <row r="1438" spans="2:4" x14ac:dyDescent="0.25">
      <c r="B1438" s="781" t="s">
        <v>1725</v>
      </c>
      <c r="C1438" s="780">
        <v>96301</v>
      </c>
      <c r="D1438" s="781"/>
    </row>
    <row r="1439" spans="2:4" x14ac:dyDescent="0.25">
      <c r="B1439" s="781" t="s">
        <v>1727</v>
      </c>
      <c r="C1439" s="780">
        <v>96304</v>
      </c>
      <c r="D1439" s="781"/>
    </row>
    <row r="1440" spans="2:4" x14ac:dyDescent="0.25">
      <c r="B1440" s="781" t="s">
        <v>1729</v>
      </c>
      <c r="C1440" s="780">
        <v>96310</v>
      </c>
      <c r="D1440" s="781"/>
    </row>
    <row r="1441" spans="2:4" x14ac:dyDescent="0.25">
      <c r="B1441" s="781" t="s">
        <v>1728</v>
      </c>
      <c r="C1441" s="780">
        <v>96305</v>
      </c>
      <c r="D1441" s="781"/>
    </row>
    <row r="1442" spans="2:4" x14ac:dyDescent="0.25">
      <c r="B1442" s="781" t="s">
        <v>2372</v>
      </c>
      <c r="C1442" s="780">
        <v>94921</v>
      </c>
      <c r="D1442" s="781"/>
    </row>
    <row r="1443" spans="2:4" x14ac:dyDescent="0.25">
      <c r="B1443" s="781" t="s">
        <v>1624</v>
      </c>
      <c r="C1443" s="780">
        <v>94927</v>
      </c>
      <c r="D1443" s="781"/>
    </row>
    <row r="1444" spans="2:4" x14ac:dyDescent="0.25">
      <c r="B1444" s="781" t="s">
        <v>1623</v>
      </c>
      <c r="C1444" s="780">
        <v>94923</v>
      </c>
      <c r="D1444" s="781"/>
    </row>
    <row r="1445" spans="2:4" x14ac:dyDescent="0.25">
      <c r="B1445" s="781" t="s">
        <v>2373</v>
      </c>
      <c r="C1445" s="780">
        <v>91611</v>
      </c>
      <c r="D1445" s="781"/>
    </row>
    <row r="1446" spans="2:4" x14ac:dyDescent="0.25">
      <c r="B1446" s="781" t="s">
        <v>2374</v>
      </c>
      <c r="C1446" s="780">
        <v>91231</v>
      </c>
      <c r="D1446" s="781"/>
    </row>
    <row r="1447" spans="2:4" x14ac:dyDescent="0.25">
      <c r="B1447" s="781" t="s">
        <v>1299</v>
      </c>
      <c r="C1447" s="780">
        <v>91217</v>
      </c>
      <c r="D1447" s="781"/>
    </row>
    <row r="1448" spans="2:4" x14ac:dyDescent="0.25">
      <c r="B1448" s="781" t="s">
        <v>1302</v>
      </c>
      <c r="C1448" s="780">
        <v>91233</v>
      </c>
      <c r="D1448" s="781"/>
    </row>
    <row r="1449" spans="2:4" x14ac:dyDescent="0.25">
      <c r="B1449" s="781" t="s">
        <v>2375</v>
      </c>
      <c r="C1449" s="780">
        <v>99206</v>
      </c>
      <c r="D1449" s="781"/>
    </row>
    <row r="1450" spans="2:4" x14ac:dyDescent="0.25">
      <c r="B1450" s="781" t="s">
        <v>2376</v>
      </c>
      <c r="C1450" s="780">
        <v>90461</v>
      </c>
      <c r="D1450" s="781"/>
    </row>
    <row r="1451" spans="2:4" x14ac:dyDescent="0.25">
      <c r="B1451" s="781" t="s">
        <v>2377</v>
      </c>
      <c r="C1451" s="780">
        <v>98631</v>
      </c>
      <c r="D1451" s="781"/>
    </row>
    <row r="1452" spans="2:4" x14ac:dyDescent="0.25">
      <c r="B1452" s="781" t="s">
        <v>2378</v>
      </c>
      <c r="C1452" s="780">
        <v>96251</v>
      </c>
      <c r="D1452" s="781"/>
    </row>
    <row r="1453" spans="2:4" x14ac:dyDescent="0.25">
      <c r="B1453" s="781" t="s">
        <v>2379</v>
      </c>
      <c r="C1453" s="780">
        <v>99621</v>
      </c>
      <c r="D1453" s="781"/>
    </row>
    <row r="1454" spans="2:4" x14ac:dyDescent="0.25">
      <c r="B1454" s="781" t="s">
        <v>2034</v>
      </c>
      <c r="C1454" s="780">
        <v>99623</v>
      </c>
      <c r="D1454" s="781"/>
    </row>
    <row r="1455" spans="2:4" x14ac:dyDescent="0.25">
      <c r="B1455" s="781" t="s">
        <v>2380</v>
      </c>
      <c r="C1455" s="780">
        <v>91321</v>
      </c>
      <c r="D1455" s="781"/>
    </row>
    <row r="1456" spans="2:4" x14ac:dyDescent="0.25">
      <c r="B1456" s="781" t="s">
        <v>1953</v>
      </c>
      <c r="C1456" s="780">
        <v>98637</v>
      </c>
      <c r="D1456" s="781"/>
    </row>
    <row r="1457" spans="2:4" x14ac:dyDescent="0.25">
      <c r="B1457" s="781" t="s">
        <v>2381</v>
      </c>
      <c r="C1457" s="780">
        <v>93691</v>
      </c>
      <c r="D1457" s="781"/>
    </row>
    <row r="1458" spans="2:4" x14ac:dyDescent="0.25">
      <c r="B1458" s="781" t="s">
        <v>1313</v>
      </c>
      <c r="C1458" s="780">
        <v>91327</v>
      </c>
      <c r="D1458" s="781"/>
    </row>
    <row r="1459" spans="2:4" x14ac:dyDescent="0.25">
      <c r="B1459" s="781" t="s">
        <v>2382</v>
      </c>
      <c r="C1459" s="780">
        <v>94621</v>
      </c>
      <c r="D1459" s="781"/>
    </row>
    <row r="1460" spans="2:4" x14ac:dyDescent="0.25">
      <c r="B1460" s="781" t="s">
        <v>2383</v>
      </c>
      <c r="C1460" s="780">
        <v>92011</v>
      </c>
      <c r="D1460" s="781"/>
    </row>
    <row r="1461" spans="2:4" x14ac:dyDescent="0.25">
      <c r="B1461" s="781" t="s">
        <v>1369</v>
      </c>
      <c r="C1461" s="780">
        <v>92017</v>
      </c>
      <c r="D1461" s="781"/>
    </row>
    <row r="1462" spans="2:4" x14ac:dyDescent="0.25">
      <c r="B1462" s="781" t="s">
        <v>2059</v>
      </c>
      <c r="C1462" s="780">
        <v>99991</v>
      </c>
      <c r="D1462" s="781"/>
    </row>
    <row r="1463" spans="2:4" x14ac:dyDescent="0.25">
      <c r="B1463" s="781" t="s">
        <v>2060</v>
      </c>
      <c r="C1463" s="780">
        <v>99999</v>
      </c>
      <c r="D1463" s="781"/>
    </row>
    <row r="1464" spans="2:4" x14ac:dyDescent="0.25">
      <c r="B1464" s="781" t="s">
        <v>2384</v>
      </c>
      <c r="C1464" s="780">
        <v>92811</v>
      </c>
      <c r="D1464" s="781"/>
    </row>
    <row r="1465" spans="2:4" x14ac:dyDescent="0.25">
      <c r="B1465" s="781" t="s">
        <v>1367</v>
      </c>
      <c r="C1465" s="780">
        <v>92005</v>
      </c>
      <c r="D1465" s="781"/>
    </row>
    <row r="1466" spans="2:4" x14ac:dyDescent="0.25">
      <c r="B1466" s="781" t="s">
        <v>1740</v>
      </c>
      <c r="C1466" s="780">
        <v>96401</v>
      </c>
      <c r="D1466" s="781"/>
    </row>
    <row r="1467" spans="2:4" x14ac:dyDescent="0.25">
      <c r="B1467" s="781" t="s">
        <v>1741</v>
      </c>
      <c r="C1467" s="780">
        <v>96404</v>
      </c>
      <c r="D1467" s="781"/>
    </row>
    <row r="1468" spans="2:4" x14ac:dyDescent="0.25">
      <c r="B1468" s="781" t="s">
        <v>2385</v>
      </c>
      <c r="C1468" s="780">
        <v>96421</v>
      </c>
      <c r="D1468" s="781"/>
    </row>
    <row r="1469" spans="2:4" x14ac:dyDescent="0.25">
      <c r="B1469" s="781" t="s">
        <v>2386</v>
      </c>
      <c r="C1469" s="780">
        <v>91026</v>
      </c>
      <c r="D1469" s="781"/>
    </row>
    <row r="1470" spans="2:4" x14ac:dyDescent="0.25">
      <c r="B1470" s="781" t="s">
        <v>1405</v>
      </c>
      <c r="C1470" s="780">
        <v>92509</v>
      </c>
      <c r="D1470" s="781"/>
    </row>
    <row r="1471" spans="2:4" x14ac:dyDescent="0.25">
      <c r="B1471" s="781" t="s">
        <v>1663</v>
      </c>
      <c r="C1471" s="780">
        <v>95405</v>
      </c>
      <c r="D1471" s="781"/>
    </row>
    <row r="1472" spans="2:4" x14ac:dyDescent="0.25">
      <c r="B1472" s="781" t="s">
        <v>1544</v>
      </c>
      <c r="C1472" s="780">
        <v>94005</v>
      </c>
      <c r="D1472" s="781"/>
    </row>
    <row r="1473" spans="2:4" x14ac:dyDescent="0.25">
      <c r="B1473" s="781" t="s">
        <v>1654</v>
      </c>
      <c r="C1473" s="780">
        <v>95205</v>
      </c>
      <c r="D1473" s="781"/>
    </row>
    <row r="1474" spans="2:4" x14ac:dyDescent="0.25">
      <c r="B1474" s="781" t="s">
        <v>1403</v>
      </c>
      <c r="C1474" s="780">
        <v>92507</v>
      </c>
      <c r="D1474" s="781"/>
    </row>
    <row r="1475" spans="2:4" x14ac:dyDescent="0.25">
      <c r="B1475" s="781" t="s">
        <v>2387</v>
      </c>
      <c r="C1475" s="780">
        <v>92511</v>
      </c>
      <c r="D1475" s="781"/>
    </row>
    <row r="1476" spans="2:4" x14ac:dyDescent="0.25">
      <c r="B1476" s="781" t="s">
        <v>1750</v>
      </c>
      <c r="C1476" s="780">
        <v>96502</v>
      </c>
      <c r="D1476" s="781"/>
    </row>
    <row r="1477" spans="2:4" x14ac:dyDescent="0.25">
      <c r="B1477" s="781" t="s">
        <v>1749</v>
      </c>
      <c r="C1477" s="780">
        <v>96501</v>
      </c>
      <c r="D1477" s="781"/>
    </row>
    <row r="1478" spans="2:4" x14ac:dyDescent="0.25">
      <c r="B1478" s="781" t="s">
        <v>1752</v>
      </c>
      <c r="C1478" s="780">
        <v>96504</v>
      </c>
      <c r="D1478" s="781"/>
    </row>
    <row r="1479" spans="2:4" x14ac:dyDescent="0.25">
      <c r="B1479" s="781" t="s">
        <v>1878</v>
      </c>
      <c r="C1479" s="780">
        <v>97913</v>
      </c>
      <c r="D1479" s="781"/>
    </row>
    <row r="1480" spans="2:4" x14ac:dyDescent="0.25">
      <c r="B1480" s="781" t="s">
        <v>2388</v>
      </c>
      <c r="C1480" s="780">
        <v>90621</v>
      </c>
      <c r="D1480" s="781"/>
    </row>
    <row r="1481" spans="2:4" x14ac:dyDescent="0.25">
      <c r="B1481" s="781" t="s">
        <v>2389</v>
      </c>
      <c r="C1481" s="780">
        <v>91621</v>
      </c>
      <c r="D1481" s="781"/>
    </row>
    <row r="1482" spans="2:4" x14ac:dyDescent="0.25">
      <c r="B1482" s="781" t="s">
        <v>2390</v>
      </c>
      <c r="C1482" s="780">
        <v>91871</v>
      </c>
      <c r="D1482" s="781"/>
    </row>
    <row r="1483" spans="2:4" x14ac:dyDescent="0.25">
      <c r="B1483" s="781" t="s">
        <v>2391</v>
      </c>
      <c r="C1483" s="780">
        <v>98231</v>
      </c>
      <c r="D1483" s="781"/>
    </row>
    <row r="1484" spans="2:4" x14ac:dyDescent="0.25">
      <c r="B1484" s="781" t="s">
        <v>2392</v>
      </c>
      <c r="C1484" s="780">
        <v>99311</v>
      </c>
      <c r="D1484" s="781"/>
    </row>
    <row r="1485" spans="2:4" x14ac:dyDescent="0.25">
      <c r="B1485" s="781" t="s">
        <v>1262</v>
      </c>
      <c r="C1485" s="780">
        <v>91042</v>
      </c>
      <c r="D1485" s="781"/>
    </row>
    <row r="1486" spans="2:4" x14ac:dyDescent="0.25">
      <c r="B1486" s="781" t="s">
        <v>2393</v>
      </c>
      <c r="C1486" s="780">
        <v>96751</v>
      </c>
      <c r="D1486" s="781"/>
    </row>
    <row r="1487" spans="2:4" x14ac:dyDescent="0.25">
      <c r="B1487" s="781" t="s">
        <v>2394</v>
      </c>
      <c r="C1487" s="780">
        <v>99711</v>
      </c>
      <c r="D1487" s="781"/>
    </row>
    <row r="1488" spans="2:4" x14ac:dyDescent="0.25">
      <c r="B1488" s="781" t="s">
        <v>2041</v>
      </c>
      <c r="C1488" s="780">
        <v>99717</v>
      </c>
      <c r="D1488" s="781"/>
    </row>
    <row r="1489" spans="2:4" x14ac:dyDescent="0.25">
      <c r="B1489" s="781" t="s">
        <v>1761</v>
      </c>
      <c r="C1489" s="780">
        <v>96601</v>
      </c>
      <c r="D1489" s="781"/>
    </row>
    <row r="1490" spans="2:4" x14ac:dyDescent="0.25">
      <c r="B1490" s="781" t="s">
        <v>1762</v>
      </c>
      <c r="C1490" s="780">
        <v>96604</v>
      </c>
      <c r="D1490" s="781"/>
    </row>
    <row r="1491" spans="2:4" x14ac:dyDescent="0.25">
      <c r="B1491" s="781" t="s">
        <v>2395</v>
      </c>
      <c r="C1491" s="780">
        <v>91012</v>
      </c>
      <c r="D1491" s="781"/>
    </row>
    <row r="1492" spans="2:4" x14ac:dyDescent="0.25">
      <c r="B1492" s="781" t="s">
        <v>1195</v>
      </c>
      <c r="C1492" s="780">
        <v>90305</v>
      </c>
      <c r="D1492" s="781"/>
    </row>
    <row r="1493" spans="2:4" x14ac:dyDescent="0.25">
      <c r="B1493" s="781" t="s">
        <v>2396</v>
      </c>
      <c r="C1493" s="780">
        <v>98421</v>
      </c>
      <c r="D1493" s="781"/>
    </row>
    <row r="1494" spans="2:4" x14ac:dyDescent="0.25">
      <c r="B1494" s="781" t="s">
        <v>1937</v>
      </c>
      <c r="C1494" s="780">
        <v>98427</v>
      </c>
      <c r="D1494" s="781"/>
    </row>
    <row r="1495" spans="2:4" x14ac:dyDescent="0.25">
      <c r="B1495" s="781" t="s">
        <v>2397</v>
      </c>
      <c r="C1495" s="780">
        <v>95821</v>
      </c>
      <c r="D1495" s="781"/>
    </row>
    <row r="1496" spans="2:4" x14ac:dyDescent="0.25">
      <c r="B1496" s="781" t="s">
        <v>2398</v>
      </c>
      <c r="C1496" s="780">
        <v>91021</v>
      </c>
      <c r="D1496" s="781"/>
    </row>
    <row r="1497" spans="2:4" x14ac:dyDescent="0.25">
      <c r="B1497" s="781" t="s">
        <v>1259</v>
      </c>
      <c r="C1497" s="780">
        <v>91027</v>
      </c>
      <c r="D1497" s="781"/>
    </row>
    <row r="1498" spans="2:4" x14ac:dyDescent="0.25">
      <c r="B1498" s="781" t="s">
        <v>2399</v>
      </c>
      <c r="C1498" s="780">
        <v>94161</v>
      </c>
      <c r="D1498" s="781"/>
    </row>
    <row r="1499" spans="2:4" x14ac:dyDescent="0.25">
      <c r="B1499" s="781" t="s">
        <v>2400</v>
      </c>
      <c r="C1499" s="780">
        <v>98441</v>
      </c>
      <c r="D1499" s="781"/>
    </row>
    <row r="1500" spans="2:4" x14ac:dyDescent="0.25">
      <c r="B1500" s="781" t="s">
        <v>1267</v>
      </c>
      <c r="C1500" s="780">
        <v>91067</v>
      </c>
      <c r="D1500" s="781"/>
    </row>
    <row r="1501" spans="2:4" x14ac:dyDescent="0.25">
      <c r="B1501" s="781" t="s">
        <v>2401</v>
      </c>
      <c r="C1501" s="780">
        <v>91061</v>
      </c>
      <c r="D1501" s="781"/>
    </row>
    <row r="1502" spans="2:4" x14ac:dyDescent="0.25">
      <c r="B1502" s="781" t="s">
        <v>1617</v>
      </c>
      <c r="C1502" s="780">
        <v>94812</v>
      </c>
      <c r="D1502" s="781"/>
    </row>
    <row r="1503" spans="2:4" x14ac:dyDescent="0.25">
      <c r="B1503" s="781" t="s">
        <v>2402</v>
      </c>
      <c r="C1503" s="780">
        <v>95921</v>
      </c>
      <c r="D1503" s="781"/>
    </row>
    <row r="1504" spans="2:4" x14ac:dyDescent="0.25">
      <c r="B1504" s="781" t="s">
        <v>1772</v>
      </c>
      <c r="C1504" s="780">
        <v>96701</v>
      </c>
      <c r="D1504" s="781"/>
    </row>
    <row r="1505" spans="2:4" x14ac:dyDescent="0.25">
      <c r="B1505" s="781" t="s">
        <v>1773</v>
      </c>
      <c r="C1505" s="780">
        <v>96704</v>
      </c>
      <c r="D1505" s="781"/>
    </row>
    <row r="1506" spans="2:4" x14ac:dyDescent="0.25">
      <c r="B1506" s="781" t="s">
        <v>1774</v>
      </c>
      <c r="C1506" s="780">
        <v>96708</v>
      </c>
      <c r="D1506" s="781"/>
    </row>
    <row r="1507" spans="2:4" x14ac:dyDescent="0.25">
      <c r="B1507" s="781" t="s">
        <v>1781</v>
      </c>
      <c r="C1507" s="780">
        <v>96801</v>
      </c>
      <c r="D1507" s="781"/>
    </row>
    <row r="1508" spans="2:4" x14ac:dyDescent="0.25">
      <c r="B1508" s="781" t="s">
        <v>1782</v>
      </c>
      <c r="C1508" s="780">
        <v>96804</v>
      </c>
      <c r="D1508" s="781"/>
    </row>
    <row r="1509" spans="2:4" x14ac:dyDescent="0.25">
      <c r="B1509" s="781" t="s">
        <v>1783</v>
      </c>
      <c r="C1509" s="780">
        <v>96808</v>
      </c>
      <c r="D1509" s="781"/>
    </row>
    <row r="1510" spans="2:4" x14ac:dyDescent="0.25">
      <c r="B1510" s="781" t="s">
        <v>2403</v>
      </c>
      <c r="C1510" s="780">
        <v>96912</v>
      </c>
      <c r="D1510" s="781"/>
    </row>
    <row r="1511" spans="2:4" x14ac:dyDescent="0.25">
      <c r="B1511" s="781" t="s">
        <v>2404</v>
      </c>
      <c r="C1511" s="780">
        <v>93911</v>
      </c>
      <c r="D1511" s="781"/>
    </row>
    <row r="1512" spans="2:4" x14ac:dyDescent="0.25">
      <c r="B1512" s="781" t="s">
        <v>1537</v>
      </c>
      <c r="C1512" s="780">
        <v>93913</v>
      </c>
      <c r="D1512" s="781"/>
    </row>
    <row r="1513" spans="2:4" x14ac:dyDescent="0.25">
      <c r="B1513" s="781" t="s">
        <v>1787</v>
      </c>
      <c r="C1513" s="780">
        <v>96901</v>
      </c>
      <c r="D1513" s="781"/>
    </row>
    <row r="1514" spans="2:4" x14ac:dyDescent="0.25">
      <c r="B1514" s="781" t="s">
        <v>1467</v>
      </c>
      <c r="C1514" s="780">
        <v>93202</v>
      </c>
      <c r="D1514" s="781"/>
    </row>
    <row r="1515" spans="2:4" x14ac:dyDescent="0.25">
      <c r="B1515" s="781" t="s">
        <v>1177</v>
      </c>
      <c r="C1515" s="780">
        <v>90096</v>
      </c>
      <c r="D1515" s="781"/>
    </row>
    <row r="1516" spans="2:4" x14ac:dyDescent="0.25">
      <c r="B1516" s="781" t="s">
        <v>1791</v>
      </c>
      <c r="C1516" s="780">
        <v>97001</v>
      </c>
      <c r="D1516" s="781"/>
    </row>
    <row r="1517" spans="2:4" x14ac:dyDescent="0.25">
      <c r="B1517" s="781" t="s">
        <v>1793</v>
      </c>
      <c r="C1517" s="780">
        <v>97004</v>
      </c>
      <c r="D1517" s="781"/>
    </row>
    <row r="1518" spans="2:4" x14ac:dyDescent="0.25">
      <c r="B1518" s="781" t="s">
        <v>1792</v>
      </c>
      <c r="C1518" s="780">
        <v>97002</v>
      </c>
      <c r="D1518" s="781"/>
    </row>
    <row r="1519" spans="2:4" x14ac:dyDescent="0.25">
      <c r="B1519" s="781" t="s">
        <v>1800</v>
      </c>
      <c r="C1519" s="780">
        <v>97015</v>
      </c>
      <c r="D1519" s="781"/>
    </row>
    <row r="1520" spans="2:4" x14ac:dyDescent="0.25">
      <c r="B1520" s="781" t="s">
        <v>2405</v>
      </c>
      <c r="C1520" s="780">
        <v>90441</v>
      </c>
      <c r="D1520" s="781"/>
    </row>
    <row r="1521" spans="2:4" x14ac:dyDescent="0.25">
      <c r="B1521" s="781" t="s">
        <v>2406</v>
      </c>
      <c r="C1521" s="780">
        <v>97851</v>
      </c>
      <c r="D1521" s="781"/>
    </row>
    <row r="1522" spans="2:4" x14ac:dyDescent="0.25">
      <c r="B1522" s="781" t="s">
        <v>1872</v>
      </c>
      <c r="C1522" s="780">
        <v>97853</v>
      </c>
      <c r="D1522" s="781"/>
    </row>
    <row r="1523" spans="2:4" x14ac:dyDescent="0.25">
      <c r="B1523" s="781" t="s">
        <v>1802</v>
      </c>
      <c r="C1523" s="780">
        <v>97101</v>
      </c>
      <c r="D1523" s="781"/>
    </row>
    <row r="1524" spans="2:4" x14ac:dyDescent="0.25">
      <c r="B1524" s="781" t="s">
        <v>1803</v>
      </c>
      <c r="C1524" s="780">
        <v>97104</v>
      </c>
      <c r="D1524" s="781"/>
    </row>
    <row r="1525" spans="2:4" x14ac:dyDescent="0.25">
      <c r="B1525" s="781" t="s">
        <v>1807</v>
      </c>
      <c r="C1525" s="780">
        <v>97201</v>
      </c>
      <c r="D1525" s="781"/>
    </row>
    <row r="1526" spans="2:4" x14ac:dyDescent="0.25">
      <c r="B1526" s="781" t="s">
        <v>1812</v>
      </c>
      <c r="C1526" s="780">
        <v>97301</v>
      </c>
      <c r="D1526" s="781"/>
    </row>
    <row r="1527" spans="2:4" x14ac:dyDescent="0.25">
      <c r="B1527" s="781" t="s">
        <v>1813</v>
      </c>
      <c r="C1527" s="780">
        <v>97304</v>
      </c>
      <c r="D1527" s="781"/>
    </row>
    <row r="1528" spans="2:4" x14ac:dyDescent="0.25">
      <c r="B1528" s="781" t="s">
        <v>2012</v>
      </c>
      <c r="C1528" s="780">
        <v>99405</v>
      </c>
      <c r="D1528" s="781"/>
    </row>
    <row r="1529" spans="2:4" x14ac:dyDescent="0.25">
      <c r="B1529" s="781" t="s">
        <v>1171</v>
      </c>
      <c r="C1529" s="780">
        <v>72265</v>
      </c>
      <c r="D1529" s="781"/>
    </row>
    <row r="1530" spans="2:4" x14ac:dyDescent="0.25">
      <c r="B1530" s="781" t="s">
        <v>1487</v>
      </c>
      <c r="C1530" s="780">
        <v>93406</v>
      </c>
      <c r="D1530" s="781"/>
    </row>
    <row r="1531" spans="2:4" x14ac:dyDescent="0.25">
      <c r="B1531" s="781" t="s">
        <v>1553</v>
      </c>
      <c r="C1531" s="780">
        <v>94112</v>
      </c>
      <c r="D1531" s="781"/>
    </row>
    <row r="1532" spans="2:4" x14ac:dyDescent="0.25">
      <c r="B1532" s="781" t="s">
        <v>2407</v>
      </c>
      <c r="C1532" s="780">
        <v>99651</v>
      </c>
      <c r="D1532" s="781"/>
    </row>
    <row r="1533" spans="2:4" x14ac:dyDescent="0.25">
      <c r="B1533" s="781" t="s">
        <v>2408</v>
      </c>
      <c r="C1533" s="780">
        <v>98611</v>
      </c>
      <c r="D1533" s="781"/>
    </row>
    <row r="1534" spans="2:4" x14ac:dyDescent="0.25">
      <c r="B1534" s="781" t="s">
        <v>1947</v>
      </c>
      <c r="C1534" s="780">
        <v>98607</v>
      </c>
      <c r="D1534" s="781"/>
    </row>
    <row r="1535" spans="2:4" x14ac:dyDescent="0.25">
      <c r="B1535" s="781" t="s">
        <v>2409</v>
      </c>
      <c r="C1535" s="780">
        <v>91641</v>
      </c>
      <c r="D1535" s="781"/>
    </row>
    <row r="1536" spans="2:4" x14ac:dyDescent="0.25">
      <c r="B1536" s="781" t="s">
        <v>2410</v>
      </c>
      <c r="C1536" s="780">
        <v>95161</v>
      </c>
      <c r="D1536" s="781"/>
    </row>
    <row r="1537" spans="2:4" x14ac:dyDescent="0.25">
      <c r="B1537" s="781" t="s">
        <v>2411</v>
      </c>
      <c r="C1537" s="780">
        <v>96361</v>
      </c>
      <c r="D1537" s="781"/>
    </row>
    <row r="1538" spans="2:4" x14ac:dyDescent="0.25">
      <c r="B1538" s="781" t="s">
        <v>1550</v>
      </c>
      <c r="C1538" s="780">
        <v>94108</v>
      </c>
      <c r="D1538" s="781"/>
    </row>
    <row r="1539" spans="2:4" x14ac:dyDescent="0.25">
      <c r="B1539" s="781" t="s">
        <v>2412</v>
      </c>
      <c r="C1539" s="780">
        <v>96351</v>
      </c>
      <c r="D1539" s="781"/>
    </row>
    <row r="1540" spans="2:4" x14ac:dyDescent="0.25">
      <c r="B1540" s="781" t="s">
        <v>2413</v>
      </c>
      <c r="C1540" s="780">
        <v>93331</v>
      </c>
      <c r="D1540" s="781"/>
    </row>
    <row r="1541" spans="2:4" x14ac:dyDescent="0.25">
      <c r="B1541" s="781" t="s">
        <v>2414</v>
      </c>
      <c r="C1541" s="780">
        <v>96021</v>
      </c>
      <c r="D1541" s="781"/>
    </row>
    <row r="1542" spans="2:4" x14ac:dyDescent="0.25">
      <c r="B1542" s="781" t="s">
        <v>2415</v>
      </c>
      <c r="C1542" s="780">
        <v>95421</v>
      </c>
      <c r="D1542" s="781"/>
    </row>
    <row r="1543" spans="2:4" x14ac:dyDescent="0.25">
      <c r="B1543" s="781" t="s">
        <v>1815</v>
      </c>
      <c r="C1543" s="780">
        <v>97401</v>
      </c>
      <c r="D1543" s="781"/>
    </row>
    <row r="1544" spans="2:4" x14ac:dyDescent="0.25">
      <c r="B1544" s="781" t="s">
        <v>1817</v>
      </c>
      <c r="C1544" s="780">
        <v>97404</v>
      </c>
      <c r="D1544" s="781"/>
    </row>
    <row r="1545" spans="2:4" x14ac:dyDescent="0.25">
      <c r="B1545" s="781" t="s">
        <v>1816</v>
      </c>
      <c r="C1545" s="780">
        <v>97402</v>
      </c>
      <c r="D1545" s="781"/>
    </row>
    <row r="1546" spans="2:4" x14ac:dyDescent="0.25">
      <c r="B1546" s="781" t="s">
        <v>2416</v>
      </c>
      <c r="C1546" s="780">
        <v>91921</v>
      </c>
      <c r="D1546" s="781"/>
    </row>
    <row r="1547" spans="2:4" x14ac:dyDescent="0.25">
      <c r="B1547" s="781" t="s">
        <v>1694</v>
      </c>
      <c r="C1547" s="780">
        <v>95908</v>
      </c>
      <c r="D1547" s="781"/>
    </row>
    <row r="1548" spans="2:4" x14ac:dyDescent="0.25">
      <c r="B1548" s="781" t="s">
        <v>2417</v>
      </c>
      <c r="C1548" s="780">
        <v>99411</v>
      </c>
      <c r="D1548" s="781"/>
    </row>
    <row r="1549" spans="2:4" x14ac:dyDescent="0.25">
      <c r="B1549" s="781" t="s">
        <v>2014</v>
      </c>
      <c r="C1549" s="780">
        <v>99413</v>
      </c>
      <c r="D1549" s="781"/>
    </row>
    <row r="1550" spans="2:4" x14ac:dyDescent="0.25">
      <c r="B1550" s="781" t="s">
        <v>1833</v>
      </c>
      <c r="C1550" s="780">
        <v>97501</v>
      </c>
      <c r="D1550" s="781"/>
    </row>
    <row r="1551" spans="2:4" x14ac:dyDescent="0.25">
      <c r="B1551" s="781" t="s">
        <v>2418</v>
      </c>
      <c r="C1551" s="780">
        <v>90431</v>
      </c>
      <c r="D1551" s="781"/>
    </row>
    <row r="1552" spans="2:4" x14ac:dyDescent="0.25">
      <c r="B1552" s="781" t="s">
        <v>2419</v>
      </c>
      <c r="C1552" s="780">
        <v>95211</v>
      </c>
      <c r="D1552" s="781"/>
    </row>
    <row r="1553" spans="2:4" x14ac:dyDescent="0.25">
      <c r="B1553" s="781" t="s">
        <v>2420</v>
      </c>
      <c r="C1553" s="780">
        <v>95181</v>
      </c>
      <c r="D1553" s="781"/>
    </row>
    <row r="1554" spans="2:4" x14ac:dyDescent="0.25">
      <c r="B1554" s="781" t="s">
        <v>2421</v>
      </c>
      <c r="C1554" s="780">
        <v>93351</v>
      </c>
      <c r="D1554" s="781"/>
    </row>
    <row r="1555" spans="2:4" x14ac:dyDescent="0.25">
      <c r="B1555" s="781" t="s">
        <v>2422</v>
      </c>
      <c r="C1555" s="780">
        <v>94711</v>
      </c>
      <c r="D1555" s="781"/>
    </row>
    <row r="1556" spans="2:4" x14ac:dyDescent="0.25">
      <c r="B1556" s="781" t="s">
        <v>2423</v>
      </c>
      <c r="C1556" s="780">
        <v>99211</v>
      </c>
      <c r="D1556" s="781"/>
    </row>
    <row r="1557" spans="2:4" x14ac:dyDescent="0.25">
      <c r="B1557" s="781" t="s">
        <v>1994</v>
      </c>
      <c r="C1557" s="780">
        <v>99213</v>
      </c>
      <c r="D1557" s="781"/>
    </row>
    <row r="1558" spans="2:4" x14ac:dyDescent="0.25">
      <c r="B1558" s="781" t="s">
        <v>1995</v>
      </c>
      <c r="C1558" s="780">
        <v>99218</v>
      </c>
      <c r="D1558" s="781"/>
    </row>
    <row r="1559" spans="2:4" x14ac:dyDescent="0.25">
      <c r="B1559" s="781" t="s">
        <v>2424</v>
      </c>
      <c r="C1559" s="780">
        <v>97641</v>
      </c>
      <c r="D1559" s="781"/>
    </row>
    <row r="1560" spans="2:4" x14ac:dyDescent="0.25">
      <c r="B1560" s="781" t="s">
        <v>2425</v>
      </c>
      <c r="C1560" s="780">
        <v>97621</v>
      </c>
      <c r="D1560" s="781"/>
    </row>
    <row r="1561" spans="2:4" x14ac:dyDescent="0.25">
      <c r="B1561" s="781" t="s">
        <v>1843</v>
      </c>
      <c r="C1561" s="780">
        <v>97627</v>
      </c>
      <c r="D1561" s="781"/>
    </row>
    <row r="1562" spans="2:4" x14ac:dyDescent="0.25">
      <c r="B1562" s="781" t="s">
        <v>1842</v>
      </c>
      <c r="C1562" s="780">
        <v>97623</v>
      </c>
      <c r="D1562" s="781"/>
    </row>
    <row r="1563" spans="2:4" x14ac:dyDescent="0.25">
      <c r="B1563" s="781" t="s">
        <v>1837</v>
      </c>
      <c r="C1563" s="780">
        <v>97601</v>
      </c>
      <c r="D1563" s="781"/>
    </row>
    <row r="1564" spans="2:4" x14ac:dyDescent="0.25">
      <c r="B1564" s="781" t="s">
        <v>2426</v>
      </c>
      <c r="C1564" s="780">
        <v>93681</v>
      </c>
      <c r="D1564" s="781"/>
    </row>
    <row r="1565" spans="2:4" x14ac:dyDescent="0.25">
      <c r="B1565" s="781" t="s">
        <v>2427</v>
      </c>
      <c r="C1565" s="780">
        <v>97871</v>
      </c>
      <c r="D1565" s="781"/>
    </row>
    <row r="1566" spans="2:4" x14ac:dyDescent="0.25">
      <c r="B1566" s="781" t="s">
        <v>1875</v>
      </c>
      <c r="C1566" s="780">
        <v>97877</v>
      </c>
      <c r="D1566" s="781"/>
    </row>
    <row r="1567" spans="2:4" x14ac:dyDescent="0.25">
      <c r="B1567" s="781" t="s">
        <v>2018</v>
      </c>
      <c r="C1567" s="780">
        <v>99502</v>
      </c>
      <c r="D1567" s="781"/>
    </row>
    <row r="1568" spans="2:4" x14ac:dyDescent="0.25">
      <c r="B1568" s="781" t="s">
        <v>1476</v>
      </c>
      <c r="C1568" s="780">
        <v>93309</v>
      </c>
      <c r="D1568" s="781"/>
    </row>
    <row r="1569" spans="2:4" x14ac:dyDescent="0.25">
      <c r="B1569" s="781" t="s">
        <v>1416</v>
      </c>
      <c r="C1569" s="780">
        <v>92607</v>
      </c>
      <c r="D1569" s="781"/>
    </row>
    <row r="1570" spans="2:4" x14ac:dyDescent="0.25">
      <c r="B1570" s="781" t="s">
        <v>2428</v>
      </c>
      <c r="C1570" s="780">
        <v>97911</v>
      </c>
      <c r="D1570" s="781"/>
    </row>
    <row r="1571" spans="2:4" x14ac:dyDescent="0.25">
      <c r="B1571" s="781" t="s">
        <v>1879</v>
      </c>
      <c r="C1571" s="780">
        <v>97917</v>
      </c>
      <c r="D1571" s="781"/>
    </row>
    <row r="1572" spans="2:4" x14ac:dyDescent="0.25">
      <c r="B1572" s="781" t="s">
        <v>2429</v>
      </c>
      <c r="C1572" s="780">
        <v>96611</v>
      </c>
      <c r="D1572" s="781"/>
    </row>
    <row r="1573" spans="2:4" x14ac:dyDescent="0.25">
      <c r="B1573" s="781" t="s">
        <v>2430</v>
      </c>
      <c r="C1573" s="780">
        <v>96741</v>
      </c>
      <c r="D1573" s="781"/>
    </row>
    <row r="1574" spans="2:4" x14ac:dyDescent="0.25">
      <c r="B1574" s="781" t="s">
        <v>1849</v>
      </c>
      <c r="C1574" s="780">
        <v>97701</v>
      </c>
      <c r="D1574" s="781"/>
    </row>
    <row r="1575" spans="2:4" x14ac:dyDescent="0.25">
      <c r="B1575" s="781" t="s">
        <v>2431</v>
      </c>
      <c r="C1575" s="780">
        <v>92541</v>
      </c>
      <c r="D1575" s="781"/>
    </row>
    <row r="1576" spans="2:4" x14ac:dyDescent="0.25">
      <c r="B1576" s="781" t="s">
        <v>2432</v>
      </c>
      <c r="C1576" s="780">
        <v>94221</v>
      </c>
      <c r="D1576" s="781"/>
    </row>
    <row r="1577" spans="2:4" x14ac:dyDescent="0.25">
      <c r="B1577" s="781" t="s">
        <v>1568</v>
      </c>
      <c r="C1577" s="780">
        <v>94209</v>
      </c>
      <c r="D1577" s="781"/>
    </row>
    <row r="1578" spans="2:4" x14ac:dyDescent="0.25">
      <c r="B1578" s="781" t="s">
        <v>2433</v>
      </c>
      <c r="C1578" s="780">
        <v>96341</v>
      </c>
      <c r="D1578" s="781"/>
    </row>
    <row r="1579" spans="2:4" x14ac:dyDescent="0.25">
      <c r="B1579" s="781" t="s">
        <v>2434</v>
      </c>
      <c r="C1579" s="780">
        <v>93821</v>
      </c>
      <c r="D1579" s="781"/>
    </row>
    <row r="1580" spans="2:4" x14ac:dyDescent="0.25">
      <c r="B1580" s="781" t="s">
        <v>2435</v>
      </c>
      <c r="C1580" s="780">
        <v>95851</v>
      </c>
      <c r="D1580" s="781"/>
    </row>
    <row r="1581" spans="2:4" x14ac:dyDescent="0.25">
      <c r="B1581" s="781" t="s">
        <v>1692</v>
      </c>
      <c r="C1581" s="780">
        <v>95853</v>
      </c>
      <c r="D1581" s="781"/>
    </row>
    <row r="1582" spans="2:4" x14ac:dyDescent="0.25">
      <c r="B1582" s="781" t="s">
        <v>1857</v>
      </c>
      <c r="C1582" s="780">
        <v>97801</v>
      </c>
      <c r="D1582" s="781"/>
    </row>
    <row r="1583" spans="2:4" x14ac:dyDescent="0.25">
      <c r="B1583" s="781" t="s">
        <v>1859</v>
      </c>
      <c r="C1583" s="780">
        <v>97803</v>
      </c>
      <c r="D1583" s="781"/>
    </row>
    <row r="1584" spans="2:4" x14ac:dyDescent="0.25">
      <c r="B1584" s="781" t="s">
        <v>1860</v>
      </c>
      <c r="C1584" s="780">
        <v>97805</v>
      </c>
      <c r="D1584" s="781"/>
    </row>
    <row r="1585" spans="2:4" x14ac:dyDescent="0.25">
      <c r="B1585" s="781" t="s">
        <v>2436</v>
      </c>
      <c r="C1585" s="780">
        <v>97711</v>
      </c>
      <c r="D1585" s="781"/>
    </row>
    <row r="1586" spans="2:4" x14ac:dyDescent="0.25">
      <c r="B1586" s="781" t="s">
        <v>1855</v>
      </c>
      <c r="C1586" s="780">
        <v>97727</v>
      </c>
      <c r="D1586" s="781"/>
    </row>
    <row r="1587" spans="2:4" x14ac:dyDescent="0.25">
      <c r="B1587" s="781" t="s">
        <v>1876</v>
      </c>
      <c r="C1587" s="780">
        <v>97901</v>
      </c>
      <c r="D1587" s="781"/>
    </row>
    <row r="1588" spans="2:4" x14ac:dyDescent="0.25">
      <c r="B1588" s="781" t="s">
        <v>1852</v>
      </c>
      <c r="C1588" s="780">
        <v>97713</v>
      </c>
      <c r="D1588" s="781"/>
    </row>
    <row r="1589" spans="2:4" x14ac:dyDescent="0.25">
      <c r="B1589" s="781" t="s">
        <v>2437</v>
      </c>
      <c r="C1589" s="780">
        <v>98071</v>
      </c>
      <c r="D1589" s="781"/>
    </row>
    <row r="1590" spans="2:4" x14ac:dyDescent="0.25">
      <c r="B1590" s="781" t="s">
        <v>2438</v>
      </c>
      <c r="C1590" s="780">
        <v>93321</v>
      </c>
      <c r="D1590" s="781"/>
    </row>
    <row r="1591" spans="2:4" x14ac:dyDescent="0.25">
      <c r="B1591" s="781" t="s">
        <v>1482</v>
      </c>
      <c r="C1591" s="780">
        <v>93333</v>
      </c>
      <c r="D1591" s="781"/>
    </row>
    <row r="1592" spans="2:4" x14ac:dyDescent="0.25">
      <c r="B1592" s="781" t="s">
        <v>1480</v>
      </c>
      <c r="C1592" s="780">
        <v>93323</v>
      </c>
      <c r="D1592" s="781"/>
    </row>
    <row r="1593" spans="2:4" x14ac:dyDescent="0.25">
      <c r="B1593" s="781" t="s">
        <v>2439</v>
      </c>
      <c r="C1593" s="780">
        <v>99203</v>
      </c>
      <c r="D1593" s="781"/>
    </row>
    <row r="1594" spans="2:4" x14ac:dyDescent="0.25">
      <c r="B1594" s="781" t="s">
        <v>2440</v>
      </c>
      <c r="C1594" s="780">
        <v>99421</v>
      </c>
      <c r="D1594" s="781"/>
    </row>
    <row r="1595" spans="2:4" x14ac:dyDescent="0.25">
      <c r="B1595" s="781" t="s">
        <v>2441</v>
      </c>
      <c r="C1595" s="780">
        <v>93161</v>
      </c>
      <c r="D1595" s="781"/>
    </row>
    <row r="1596" spans="2:4" x14ac:dyDescent="0.25">
      <c r="B1596" s="781" t="s">
        <v>2442</v>
      </c>
      <c r="C1596" s="780">
        <v>98261</v>
      </c>
      <c r="D1596" s="781"/>
    </row>
    <row r="1597" spans="2:4" x14ac:dyDescent="0.25">
      <c r="B1597" s="781" t="s">
        <v>1921</v>
      </c>
      <c r="C1597" s="780">
        <v>98237</v>
      </c>
      <c r="D1597" s="781"/>
    </row>
    <row r="1598" spans="2:4" x14ac:dyDescent="0.25">
      <c r="B1598" s="781" t="s">
        <v>1887</v>
      </c>
      <c r="C1598" s="780">
        <v>98001</v>
      </c>
      <c r="D1598" s="781"/>
    </row>
    <row r="1599" spans="2:4" x14ac:dyDescent="0.25">
      <c r="B1599" s="781" t="s">
        <v>1890</v>
      </c>
      <c r="C1599" s="780">
        <v>98004</v>
      </c>
      <c r="D1599" s="781"/>
    </row>
    <row r="1600" spans="2:4" x14ac:dyDescent="0.25">
      <c r="B1600" s="781" t="s">
        <v>1889</v>
      </c>
      <c r="C1600" s="780">
        <v>98003</v>
      </c>
      <c r="D1600" s="781"/>
    </row>
    <row r="1601" spans="2:4" x14ac:dyDescent="0.25">
      <c r="B1601" s="781" t="s">
        <v>1888</v>
      </c>
      <c r="C1601" s="780">
        <v>98002</v>
      </c>
      <c r="D1601" s="781"/>
    </row>
    <row r="1602" spans="2:4" x14ac:dyDescent="0.25">
      <c r="B1602" s="781" t="s">
        <v>1891</v>
      </c>
      <c r="C1602" s="780">
        <v>98008</v>
      </c>
      <c r="D1602" s="781"/>
    </row>
    <row r="1603" spans="2:4" x14ac:dyDescent="0.25">
      <c r="B1603" s="781" t="s">
        <v>2443</v>
      </c>
      <c r="C1603" s="780">
        <v>97861</v>
      </c>
      <c r="D1603" s="781"/>
    </row>
    <row r="1604" spans="2:4" x14ac:dyDescent="0.25">
      <c r="B1604" s="781" t="s">
        <v>2444</v>
      </c>
      <c r="C1604" s="780">
        <v>97311</v>
      </c>
      <c r="D1604" s="781"/>
    </row>
    <row r="1605" spans="2:4" x14ac:dyDescent="0.25">
      <c r="B1605" s="781" t="s">
        <v>2445</v>
      </c>
      <c r="C1605" s="780">
        <v>93431</v>
      </c>
      <c r="D1605" s="781"/>
    </row>
    <row r="1606" spans="2:4" x14ac:dyDescent="0.25">
      <c r="B1606" s="781" t="s">
        <v>2446</v>
      </c>
      <c r="C1606" s="780">
        <v>91214</v>
      </c>
      <c r="D1606" s="781"/>
    </row>
    <row r="1607" spans="2:4" x14ac:dyDescent="0.25">
      <c r="B1607" s="781" t="s">
        <v>1903</v>
      </c>
      <c r="C1607" s="780">
        <v>98101</v>
      </c>
      <c r="D1607" s="781"/>
    </row>
    <row r="1608" spans="2:4" x14ac:dyDescent="0.25">
      <c r="B1608" s="781" t="s">
        <v>1905</v>
      </c>
      <c r="C1608" s="780">
        <v>98103</v>
      </c>
      <c r="D1608" s="781"/>
    </row>
    <row r="1609" spans="2:4" x14ac:dyDescent="0.25">
      <c r="B1609" s="781" t="s">
        <v>2447</v>
      </c>
      <c r="C1609" s="780">
        <v>98141</v>
      </c>
      <c r="D1609" s="781"/>
    </row>
    <row r="1610" spans="2:4" x14ac:dyDescent="0.25">
      <c r="B1610" s="781" t="s">
        <v>1913</v>
      </c>
      <c r="C1610" s="780">
        <v>98147</v>
      </c>
      <c r="D1610" s="781"/>
    </row>
    <row r="1611" spans="2:4" x14ac:dyDescent="0.25">
      <c r="B1611" s="781" t="s">
        <v>1867</v>
      </c>
      <c r="C1611" s="780">
        <v>97837</v>
      </c>
      <c r="D1611" s="781"/>
    </row>
    <row r="1612" spans="2:4" x14ac:dyDescent="0.25">
      <c r="B1612" s="781" t="s">
        <v>2448</v>
      </c>
      <c r="C1612" s="780">
        <v>98221</v>
      </c>
      <c r="D1612" s="781"/>
    </row>
    <row r="1613" spans="2:4" x14ac:dyDescent="0.25">
      <c r="B1613" s="781" t="s">
        <v>2449</v>
      </c>
      <c r="C1613" s="780">
        <v>98011</v>
      </c>
      <c r="D1613" s="781"/>
    </row>
    <row r="1614" spans="2:4" x14ac:dyDescent="0.25">
      <c r="B1614" s="781" t="s">
        <v>1893</v>
      </c>
      <c r="C1614" s="780">
        <v>98013</v>
      </c>
      <c r="D1614" s="781"/>
    </row>
    <row r="1615" spans="2:4" x14ac:dyDescent="0.25">
      <c r="B1615" s="781" t="s">
        <v>2450</v>
      </c>
      <c r="C1615" s="780">
        <v>97531</v>
      </c>
      <c r="D1615" s="781"/>
    </row>
    <row r="1616" spans="2:4" x14ac:dyDescent="0.25">
      <c r="B1616" s="781" t="s">
        <v>1915</v>
      </c>
      <c r="C1616" s="780">
        <v>98201</v>
      </c>
      <c r="D1616" s="781"/>
    </row>
    <row r="1617" spans="2:4" x14ac:dyDescent="0.25">
      <c r="B1617" s="781" t="s">
        <v>1850</v>
      </c>
      <c r="C1617" s="780">
        <v>97705</v>
      </c>
      <c r="D1617" s="781"/>
    </row>
    <row r="1618" spans="2:4" x14ac:dyDescent="0.25">
      <c r="B1618" s="781" t="s">
        <v>2451</v>
      </c>
      <c r="C1618" s="780">
        <v>95311</v>
      </c>
      <c r="D1618" s="781"/>
    </row>
    <row r="1619" spans="2:4" x14ac:dyDescent="0.25">
      <c r="B1619" s="781" t="s">
        <v>1659</v>
      </c>
      <c r="C1619" s="780">
        <v>95317</v>
      </c>
      <c r="D1619" s="781"/>
    </row>
    <row r="1620" spans="2:4" x14ac:dyDescent="0.25">
      <c r="B1620" s="781" t="s">
        <v>2452</v>
      </c>
      <c r="C1620" s="780">
        <v>91421</v>
      </c>
      <c r="D1620" s="781"/>
    </row>
    <row r="1621" spans="2:4" x14ac:dyDescent="0.25">
      <c r="B1621" s="781" t="s">
        <v>1926</v>
      </c>
      <c r="C1621" s="780">
        <v>98301</v>
      </c>
      <c r="D1621" s="781"/>
    </row>
    <row r="1622" spans="2:4" x14ac:dyDescent="0.25">
      <c r="B1622" s="781" t="s">
        <v>1927</v>
      </c>
      <c r="C1622" s="780">
        <v>98304</v>
      </c>
      <c r="D1622" s="781"/>
    </row>
    <row r="1623" spans="2:4" x14ac:dyDescent="0.25">
      <c r="B1623" s="781" t="s">
        <v>2453</v>
      </c>
      <c r="C1623" s="780">
        <v>94241</v>
      </c>
      <c r="D1623" s="781"/>
    </row>
    <row r="1624" spans="2:4" x14ac:dyDescent="0.25">
      <c r="B1624" s="781" t="s">
        <v>2454</v>
      </c>
      <c r="C1624" s="780">
        <v>96681</v>
      </c>
      <c r="D1624" s="781"/>
    </row>
    <row r="1625" spans="2:4" x14ac:dyDescent="0.25">
      <c r="B1625" s="781" t="s">
        <v>2455</v>
      </c>
      <c r="C1625" s="780">
        <v>95121</v>
      </c>
      <c r="D1625" s="781"/>
    </row>
    <row r="1626" spans="2:4" x14ac:dyDescent="0.25">
      <c r="B1626" s="781" t="s">
        <v>1644</v>
      </c>
      <c r="C1626" s="780">
        <v>95123</v>
      </c>
      <c r="D1626" s="781"/>
    </row>
    <row r="1627" spans="2:4" x14ac:dyDescent="0.25">
      <c r="B1627" s="781" t="s">
        <v>2456</v>
      </c>
      <c r="C1627" s="780">
        <v>99531</v>
      </c>
      <c r="D1627" s="781"/>
    </row>
    <row r="1628" spans="2:4" x14ac:dyDescent="0.25">
      <c r="B1628" s="781" t="s">
        <v>2457</v>
      </c>
      <c r="C1628" s="780">
        <v>96671</v>
      </c>
      <c r="D1628" s="781"/>
    </row>
    <row r="1629" spans="2:4" x14ac:dyDescent="0.25">
      <c r="B1629" s="781" t="s">
        <v>2458</v>
      </c>
      <c r="C1629" s="780">
        <v>91081</v>
      </c>
      <c r="D1629" s="781"/>
    </row>
    <row r="1630" spans="2:4" x14ac:dyDescent="0.25">
      <c r="B1630" s="781" t="s">
        <v>1265</v>
      </c>
      <c r="C1630" s="780">
        <v>91057</v>
      </c>
      <c r="D1630" s="781"/>
    </row>
    <row r="1631" spans="2:4" x14ac:dyDescent="0.25">
      <c r="B1631" s="781" t="s">
        <v>2459</v>
      </c>
      <c r="C1631" s="780">
        <v>96461</v>
      </c>
      <c r="D1631" s="781"/>
    </row>
    <row r="1632" spans="2:4" x14ac:dyDescent="0.25">
      <c r="B1632" s="781" t="s">
        <v>2460</v>
      </c>
      <c r="C1632" s="780">
        <v>92311</v>
      </c>
      <c r="D1632" s="781"/>
    </row>
    <row r="1633" spans="2:4" x14ac:dyDescent="0.25">
      <c r="B1633" s="781" t="s">
        <v>1380</v>
      </c>
      <c r="C1633" s="780">
        <v>92317</v>
      </c>
      <c r="D1633" s="781"/>
    </row>
    <row r="1634" spans="2:4" x14ac:dyDescent="0.25">
      <c r="B1634" s="781" t="s">
        <v>1818</v>
      </c>
      <c r="C1634" s="780">
        <v>97405</v>
      </c>
      <c r="D1634" s="781"/>
    </row>
    <row r="1635" spans="2:4" x14ac:dyDescent="0.25">
      <c r="B1635" s="781" t="s">
        <v>2461</v>
      </c>
      <c r="C1635" s="780">
        <v>91911</v>
      </c>
      <c r="D1635" s="781"/>
    </row>
    <row r="1636" spans="2:4" x14ac:dyDescent="0.25">
      <c r="B1636" s="781" t="s">
        <v>1364</v>
      </c>
      <c r="C1636" s="780">
        <v>91917</v>
      </c>
      <c r="D1636" s="781"/>
    </row>
    <row r="1637" spans="2:4" x14ac:dyDescent="0.25">
      <c r="B1637" s="781" t="s">
        <v>2462</v>
      </c>
      <c r="C1637" s="780">
        <v>97481</v>
      </c>
      <c r="D1637" s="781"/>
    </row>
    <row r="1638" spans="2:4" x14ac:dyDescent="0.25">
      <c r="B1638" s="781" t="s">
        <v>1284</v>
      </c>
      <c r="C1638" s="780">
        <v>91138</v>
      </c>
      <c r="D1638" s="781"/>
    </row>
    <row r="1639" spans="2:4" x14ac:dyDescent="0.25">
      <c r="B1639" s="781" t="s">
        <v>2463</v>
      </c>
      <c r="C1639" s="780">
        <v>95111</v>
      </c>
      <c r="D1639" s="781"/>
    </row>
    <row r="1640" spans="2:4" x14ac:dyDescent="0.25">
      <c r="B1640" s="781" t="s">
        <v>1641</v>
      </c>
      <c r="C1640" s="780">
        <v>95113</v>
      </c>
      <c r="D1640" s="781"/>
    </row>
    <row r="1641" spans="2:4" x14ac:dyDescent="0.25">
      <c r="B1641" s="781" t="s">
        <v>1631</v>
      </c>
      <c r="C1641" s="780">
        <v>95009</v>
      </c>
      <c r="D1641" s="781"/>
    </row>
    <row r="1642" spans="2:4" x14ac:dyDescent="0.25">
      <c r="B1642" s="781" t="s">
        <v>2464</v>
      </c>
      <c r="C1642" s="780">
        <v>94021</v>
      </c>
      <c r="D1642" s="781"/>
    </row>
    <row r="1643" spans="2:4" x14ac:dyDescent="0.25">
      <c r="B1643" s="781" t="s">
        <v>1535</v>
      </c>
      <c r="C1643" s="780">
        <v>93910</v>
      </c>
      <c r="D1643" s="781"/>
    </row>
    <row r="1644" spans="2:4" x14ac:dyDescent="0.25">
      <c r="B1644" s="781" t="s">
        <v>1238</v>
      </c>
      <c r="C1644" s="780">
        <v>90918</v>
      </c>
      <c r="D1644" s="781"/>
    </row>
    <row r="1645" spans="2:4" x14ac:dyDescent="0.25">
      <c r="B1645" s="781" t="s">
        <v>2465</v>
      </c>
      <c r="C1645" s="780">
        <v>96311</v>
      </c>
      <c r="D1645" s="781"/>
    </row>
    <row r="1646" spans="2:4" x14ac:dyDescent="0.25">
      <c r="B1646" s="781" t="s">
        <v>2466</v>
      </c>
      <c r="C1646" s="780">
        <v>92841</v>
      </c>
      <c r="D1646" s="781"/>
    </row>
    <row r="1647" spans="2:4" x14ac:dyDescent="0.25">
      <c r="B1647" s="781" t="s">
        <v>2029</v>
      </c>
      <c r="C1647" s="780">
        <v>99609</v>
      </c>
      <c r="D1647" s="781"/>
    </row>
    <row r="1648" spans="2:4" x14ac:dyDescent="0.25">
      <c r="B1648" s="781" t="s">
        <v>2467</v>
      </c>
      <c r="C1648" s="780">
        <v>91011</v>
      </c>
      <c r="D1648" s="781"/>
    </row>
    <row r="1649" spans="2:4" x14ac:dyDescent="0.25">
      <c r="B1649" s="781" t="s">
        <v>1254</v>
      </c>
      <c r="C1649" s="780">
        <v>91017</v>
      </c>
      <c r="D1649" s="781"/>
    </row>
    <row r="1650" spans="2:4" x14ac:dyDescent="0.25">
      <c r="B1650" s="781" t="s">
        <v>1630</v>
      </c>
      <c r="C1650" s="780">
        <v>95008</v>
      </c>
      <c r="D1650" s="781"/>
    </row>
    <row r="1651" spans="2:4" x14ac:dyDescent="0.25">
      <c r="B1651" s="781" t="s">
        <v>2468</v>
      </c>
      <c r="C1651" s="780">
        <v>72657</v>
      </c>
      <c r="D1651" s="781"/>
    </row>
    <row r="1652" spans="2:4" x14ac:dyDescent="0.25">
      <c r="B1652" s="781" t="s">
        <v>1196</v>
      </c>
      <c r="C1652" s="780">
        <v>90307</v>
      </c>
      <c r="D1652" s="781"/>
    </row>
    <row r="1653" spans="2:4" x14ac:dyDescent="0.25">
      <c r="B1653" s="781" t="s">
        <v>2469</v>
      </c>
      <c r="C1653" s="780">
        <v>98031</v>
      </c>
      <c r="D1653" s="781"/>
    </row>
    <row r="1654" spans="2:4" x14ac:dyDescent="0.25">
      <c r="B1654" s="781" t="s">
        <v>2470</v>
      </c>
      <c r="C1654" s="780">
        <v>98121</v>
      </c>
      <c r="D1654" s="781"/>
    </row>
    <row r="1655" spans="2:4" x14ac:dyDescent="0.25">
      <c r="B1655" s="781" t="s">
        <v>2471</v>
      </c>
      <c r="C1655" s="780">
        <v>96411</v>
      </c>
      <c r="D1655" s="781"/>
    </row>
    <row r="1656" spans="2:4" x14ac:dyDescent="0.25">
      <c r="B1656" s="781" t="s">
        <v>2472</v>
      </c>
      <c r="C1656" s="780">
        <v>92661</v>
      </c>
      <c r="D1656" s="781"/>
    </row>
    <row r="1657" spans="2:4" x14ac:dyDescent="0.25">
      <c r="B1657" s="781" t="s">
        <v>2473</v>
      </c>
      <c r="C1657" s="780">
        <v>96111</v>
      </c>
      <c r="D1657" s="781"/>
    </row>
    <row r="1658" spans="2:4" x14ac:dyDescent="0.25">
      <c r="B1658" s="781" t="s">
        <v>2474</v>
      </c>
      <c r="C1658" s="780">
        <v>91032</v>
      </c>
      <c r="D1658" s="781"/>
    </row>
    <row r="1659" spans="2:4" x14ac:dyDescent="0.25">
      <c r="B1659" s="781" t="s">
        <v>2475</v>
      </c>
      <c r="C1659" s="780">
        <v>97831</v>
      </c>
      <c r="D1659" s="781"/>
    </row>
    <row r="1660" spans="2:4" x14ac:dyDescent="0.25">
      <c r="B1660" s="781" t="s">
        <v>2476</v>
      </c>
      <c r="C1660" s="780">
        <v>96061</v>
      </c>
      <c r="D1660" s="781"/>
    </row>
    <row r="1661" spans="2:4" x14ac:dyDescent="0.25">
      <c r="B1661" s="781" t="s">
        <v>2477</v>
      </c>
      <c r="C1661" s="780">
        <v>98481</v>
      </c>
      <c r="D1661" s="781"/>
    </row>
    <row r="1662" spans="2:4" x14ac:dyDescent="0.25">
      <c r="B1662" s="781" t="s">
        <v>2478</v>
      </c>
      <c r="C1662" s="780">
        <v>93602</v>
      </c>
      <c r="D1662" s="781"/>
    </row>
    <row r="1663" spans="2:4" x14ac:dyDescent="0.25">
      <c r="B1663" s="781" t="s">
        <v>1933</v>
      </c>
      <c r="C1663" s="780">
        <v>98401</v>
      </c>
      <c r="D1663" s="781"/>
    </row>
    <row r="1664" spans="2:4" x14ac:dyDescent="0.25">
      <c r="B1664" s="781" t="s">
        <v>2479</v>
      </c>
      <c r="C1664" s="780">
        <v>99821</v>
      </c>
      <c r="D1664" s="781"/>
    </row>
    <row r="1665" spans="2:4" x14ac:dyDescent="0.25">
      <c r="B1665" s="781" t="s">
        <v>2480</v>
      </c>
      <c r="C1665" s="780">
        <v>96211</v>
      </c>
      <c r="D1665" s="781"/>
    </row>
    <row r="1666" spans="2:4" x14ac:dyDescent="0.25">
      <c r="B1666" s="781" t="s">
        <v>2481</v>
      </c>
      <c r="C1666" s="780">
        <v>94911</v>
      </c>
      <c r="D1666" s="781"/>
    </row>
    <row r="1667" spans="2:4" x14ac:dyDescent="0.25">
      <c r="B1667" s="781" t="s">
        <v>1621</v>
      </c>
      <c r="C1667" s="780">
        <v>94917</v>
      </c>
      <c r="D1667" s="781"/>
    </row>
    <row r="1668" spans="2:4" x14ac:dyDescent="0.25">
      <c r="B1668" s="781" t="s">
        <v>2482</v>
      </c>
      <c r="C1668" s="780">
        <v>92621</v>
      </c>
      <c r="D1668" s="781"/>
    </row>
    <row r="1669" spans="2:4" x14ac:dyDescent="0.25">
      <c r="B1669" s="781" t="s">
        <v>1942</v>
      </c>
      <c r="C1669" s="780">
        <v>98501</v>
      </c>
      <c r="D1669" s="781"/>
    </row>
    <row r="1670" spans="2:4" x14ac:dyDescent="0.25">
      <c r="B1670" s="781" t="s">
        <v>2483</v>
      </c>
      <c r="C1670" s="780">
        <v>97931</v>
      </c>
      <c r="D1670" s="781"/>
    </row>
    <row r="1671" spans="2:4" x14ac:dyDescent="0.25">
      <c r="B1671" s="781" t="s">
        <v>2484</v>
      </c>
      <c r="C1671" s="780">
        <v>93914</v>
      </c>
      <c r="D1671" s="781"/>
    </row>
    <row r="1672" spans="2:4" x14ac:dyDescent="0.25">
      <c r="B1672" s="781" t="s">
        <v>2485</v>
      </c>
      <c r="C1672" s="780">
        <v>90651</v>
      </c>
      <c r="D1672" s="781"/>
    </row>
    <row r="1673" spans="2:4" x14ac:dyDescent="0.25">
      <c r="B1673" s="781" t="s">
        <v>2486</v>
      </c>
      <c r="C1673" s="780">
        <v>94171</v>
      </c>
      <c r="D1673" s="781"/>
    </row>
    <row r="1674" spans="2:4" x14ac:dyDescent="0.25">
      <c r="B1674" s="781" t="s">
        <v>1564</v>
      </c>
      <c r="C1674" s="780">
        <v>94172</v>
      </c>
      <c r="D1674" s="781"/>
    </row>
    <row r="1675" spans="2:4" x14ac:dyDescent="0.25">
      <c r="B1675" s="781" t="s">
        <v>2487</v>
      </c>
      <c r="C1675" s="780">
        <v>91041</v>
      </c>
      <c r="D1675" s="781"/>
    </row>
    <row r="1676" spans="2:4" x14ac:dyDescent="0.25">
      <c r="B1676" s="781" t="s">
        <v>1263</v>
      </c>
      <c r="C1676" s="780">
        <v>91047</v>
      </c>
      <c r="D1676" s="781"/>
    </row>
    <row r="1677" spans="2:4" x14ac:dyDescent="0.25">
      <c r="B1677" s="781" t="s">
        <v>1806</v>
      </c>
      <c r="C1677" s="780">
        <v>97131</v>
      </c>
      <c r="D1677" s="781"/>
    </row>
    <row r="1678" spans="2:4" x14ac:dyDescent="0.25">
      <c r="B1678" s="781" t="s">
        <v>1946</v>
      </c>
      <c r="C1678" s="780">
        <v>98601</v>
      </c>
      <c r="D1678" s="781"/>
    </row>
    <row r="1679" spans="2:4" x14ac:dyDescent="0.25">
      <c r="B1679" s="781" t="s">
        <v>1956</v>
      </c>
      <c r="C1679" s="780">
        <v>98701</v>
      </c>
      <c r="D1679" s="781"/>
    </row>
    <row r="1680" spans="2:4" x14ac:dyDescent="0.25">
      <c r="B1680" s="781" t="s">
        <v>2488</v>
      </c>
      <c r="C1680" s="780">
        <v>96721</v>
      </c>
      <c r="D1680" s="781"/>
    </row>
    <row r="1681" spans="2:4" x14ac:dyDescent="0.25">
      <c r="B1681" s="781" t="s">
        <v>2489</v>
      </c>
      <c r="C1681" s="780">
        <v>95011</v>
      </c>
      <c r="D1681" s="781"/>
    </row>
    <row r="1682" spans="2:4" x14ac:dyDescent="0.25">
      <c r="B1682" s="781" t="s">
        <v>1633</v>
      </c>
      <c r="C1682" s="780">
        <v>95017</v>
      </c>
      <c r="D1682" s="781"/>
    </row>
    <row r="1683" spans="2:4" x14ac:dyDescent="0.25">
      <c r="B1683" s="781" t="s">
        <v>2490</v>
      </c>
      <c r="C1683" s="780">
        <v>92451</v>
      </c>
      <c r="D1683" s="781"/>
    </row>
    <row r="1684" spans="2:4" x14ac:dyDescent="0.25">
      <c r="B1684" s="781" t="s">
        <v>2491</v>
      </c>
      <c r="C1684" s="780">
        <v>93311</v>
      </c>
      <c r="D1684" s="781"/>
    </row>
    <row r="1685" spans="2:4" x14ac:dyDescent="0.25">
      <c r="B1685" s="781" t="s">
        <v>1478</v>
      </c>
      <c r="C1685" s="780">
        <v>93317</v>
      </c>
      <c r="D1685" s="781"/>
    </row>
    <row r="1686" spans="2:4" x14ac:dyDescent="0.25">
      <c r="B1686" s="781" t="s">
        <v>2492</v>
      </c>
      <c r="C1686" s="780">
        <v>90211</v>
      </c>
      <c r="D1686" s="781"/>
    </row>
    <row r="1687" spans="2:4" x14ac:dyDescent="0.25">
      <c r="B1687" s="781" t="s">
        <v>2493</v>
      </c>
      <c r="C1687" s="780">
        <v>96302</v>
      </c>
      <c r="D1687" s="781"/>
    </row>
    <row r="1688" spans="2:4" x14ac:dyDescent="0.25">
      <c r="B1688" s="781" t="s">
        <v>2494</v>
      </c>
      <c r="C1688" s="780">
        <v>93181</v>
      </c>
      <c r="D1688" s="781"/>
    </row>
    <row r="1689" spans="2:4" x14ac:dyDescent="0.25">
      <c r="B1689" s="781" t="s">
        <v>1375</v>
      </c>
      <c r="C1689" s="780">
        <v>92113</v>
      </c>
      <c r="D1689" s="781"/>
    </row>
    <row r="1690" spans="2:4" x14ac:dyDescent="0.25">
      <c r="B1690" s="781" t="s">
        <v>2495</v>
      </c>
      <c r="C1690" s="780">
        <v>92911</v>
      </c>
      <c r="D1690" s="781"/>
    </row>
    <row r="1691" spans="2:4" x14ac:dyDescent="0.25">
      <c r="B1691" s="781" t="s">
        <v>1441</v>
      </c>
      <c r="C1691" s="780">
        <v>92913</v>
      </c>
      <c r="D1691" s="781"/>
    </row>
    <row r="1692" spans="2:4" x14ac:dyDescent="0.25">
      <c r="B1692" s="781" t="s">
        <v>2496</v>
      </c>
      <c r="C1692" s="780">
        <v>93471</v>
      </c>
      <c r="D1692" s="781"/>
    </row>
    <row r="1693" spans="2:4" x14ac:dyDescent="0.25">
      <c r="B1693" s="781" t="s">
        <v>1178</v>
      </c>
      <c r="C1693" s="780">
        <v>90098</v>
      </c>
      <c r="D1693" s="781"/>
    </row>
    <row r="1694" spans="2:4" x14ac:dyDescent="0.25">
      <c r="B1694" s="781" t="s">
        <v>2497</v>
      </c>
      <c r="C1694" s="780">
        <v>97121</v>
      </c>
      <c r="D1694" s="781"/>
    </row>
    <row r="1695" spans="2:4" x14ac:dyDescent="0.25">
      <c r="B1695" s="781" t="s">
        <v>1869</v>
      </c>
      <c r="C1695" s="780">
        <v>97841</v>
      </c>
      <c r="D1695" s="781"/>
    </row>
    <row r="1696" spans="2:4" x14ac:dyDescent="0.25">
      <c r="B1696" s="781" t="s">
        <v>1959</v>
      </c>
      <c r="C1696" s="780">
        <v>98801</v>
      </c>
      <c r="D1696" s="781"/>
    </row>
    <row r="1697" spans="2:4" x14ac:dyDescent="0.25">
      <c r="B1697" s="781" t="s">
        <v>2498</v>
      </c>
      <c r="C1697" s="780">
        <v>92521</v>
      </c>
      <c r="D1697" s="781"/>
    </row>
    <row r="1698" spans="2:4" x14ac:dyDescent="0.25">
      <c r="B1698" s="781" t="s">
        <v>1472</v>
      </c>
      <c r="C1698" s="780">
        <v>93219</v>
      </c>
      <c r="D1698" s="781"/>
    </row>
    <row r="1699" spans="2:4" x14ac:dyDescent="0.25">
      <c r="B1699" s="781" t="s">
        <v>2499</v>
      </c>
      <c r="C1699" s="780">
        <v>97661</v>
      </c>
      <c r="D1699" s="781"/>
    </row>
    <row r="1700" spans="2:4" x14ac:dyDescent="0.25">
      <c r="B1700" s="781" t="s">
        <v>2500</v>
      </c>
      <c r="C1700" s="780">
        <v>94931</v>
      </c>
      <c r="D1700" s="781"/>
    </row>
    <row r="1701" spans="2:4" x14ac:dyDescent="0.25">
      <c r="B1701" s="781" t="s">
        <v>2501</v>
      </c>
      <c r="C1701" s="780">
        <v>96221</v>
      </c>
      <c r="D1701" s="781"/>
    </row>
    <row r="1702" spans="2:4" x14ac:dyDescent="0.25">
      <c r="B1702" s="781" t="s">
        <v>2502</v>
      </c>
      <c r="C1702" s="780">
        <v>97511</v>
      </c>
      <c r="D1702" s="781"/>
    </row>
    <row r="1703" spans="2:4" x14ac:dyDescent="0.25">
      <c r="B1703" s="781" t="s">
        <v>1628</v>
      </c>
      <c r="C1703" s="780">
        <v>95002</v>
      </c>
      <c r="D1703" s="781"/>
    </row>
    <row r="1704" spans="2:4" x14ac:dyDescent="0.25">
      <c r="B1704" s="781" t="s">
        <v>2503</v>
      </c>
      <c r="C1704" s="780">
        <v>98251</v>
      </c>
      <c r="D1704" s="781"/>
    </row>
    <row r="1705" spans="2:4" x14ac:dyDescent="0.25">
      <c r="B1705" s="781" t="s">
        <v>1962</v>
      </c>
      <c r="C1705" s="780">
        <v>98901</v>
      </c>
      <c r="D1705" s="781"/>
    </row>
    <row r="1706" spans="2:4" x14ac:dyDescent="0.25">
      <c r="B1706" s="781" t="s">
        <v>1963</v>
      </c>
      <c r="C1706" s="780">
        <v>98904</v>
      </c>
      <c r="D1706" s="781"/>
    </row>
    <row r="1707" spans="2:4" x14ac:dyDescent="0.25">
      <c r="B1707" s="781" t="s">
        <v>1965</v>
      </c>
      <c r="C1707" s="780">
        <v>99001</v>
      </c>
      <c r="D1707" s="781"/>
    </row>
    <row r="1708" spans="2:4" x14ac:dyDescent="0.25">
      <c r="B1708" s="781" t="s">
        <v>2504</v>
      </c>
      <c r="C1708" s="780">
        <v>99061</v>
      </c>
      <c r="D1708" s="781"/>
    </row>
    <row r="1709" spans="2:4" x14ac:dyDescent="0.25">
      <c r="B1709" s="781" t="s">
        <v>2505</v>
      </c>
      <c r="C1709" s="780">
        <v>91211</v>
      </c>
      <c r="D1709" s="781"/>
    </row>
    <row r="1710" spans="2:4" x14ac:dyDescent="0.25">
      <c r="B1710" s="781" t="s">
        <v>1297</v>
      </c>
      <c r="C1710" s="780">
        <v>91213</v>
      </c>
      <c r="D1710" s="781"/>
    </row>
    <row r="1711" spans="2:4" x14ac:dyDescent="0.25">
      <c r="B1711" s="781" t="s">
        <v>1979</v>
      </c>
      <c r="C1711" s="780">
        <v>99101</v>
      </c>
      <c r="D1711" s="781"/>
    </row>
    <row r="1712" spans="2:4" x14ac:dyDescent="0.25">
      <c r="B1712" s="781" t="s">
        <v>1980</v>
      </c>
      <c r="C1712" s="780">
        <v>99104</v>
      </c>
      <c r="D1712" s="781"/>
    </row>
    <row r="1713" spans="2:4" x14ac:dyDescent="0.25">
      <c r="B1713" s="781" t="s">
        <v>2506</v>
      </c>
      <c r="C1713" s="780">
        <v>92551</v>
      </c>
      <c r="D1713" s="781"/>
    </row>
    <row r="1714" spans="2:4" x14ac:dyDescent="0.25">
      <c r="B1714" s="781" t="s">
        <v>2507</v>
      </c>
      <c r="C1714" s="780">
        <v>96321</v>
      </c>
      <c r="D1714" s="781"/>
    </row>
    <row r="1715" spans="2:4" x14ac:dyDescent="0.25">
      <c r="B1715" s="781" t="s">
        <v>2508</v>
      </c>
      <c r="C1715" s="780">
        <v>92641</v>
      </c>
      <c r="D1715" s="781"/>
    </row>
    <row r="1716" spans="2:4" x14ac:dyDescent="0.25">
      <c r="B1716" s="781" t="s">
        <v>2509</v>
      </c>
      <c r="C1716" s="780">
        <v>90411</v>
      </c>
      <c r="D1716" s="781"/>
    </row>
    <row r="1717" spans="2:4" x14ac:dyDescent="0.25">
      <c r="B1717" s="781" t="s">
        <v>1200</v>
      </c>
      <c r="C1717" s="780">
        <v>90417</v>
      </c>
      <c r="D1717" s="781"/>
    </row>
    <row r="1718" spans="2:4" x14ac:dyDescent="0.25">
      <c r="B1718" s="781" t="s">
        <v>1199</v>
      </c>
      <c r="C1718" s="780">
        <v>90413</v>
      </c>
      <c r="D1718" s="781"/>
    </row>
    <row r="1719" spans="2:4" x14ac:dyDescent="0.25">
      <c r="B1719" s="781" t="s">
        <v>2510</v>
      </c>
      <c r="C1719" s="780">
        <v>98321</v>
      </c>
      <c r="D1719" s="781"/>
    </row>
    <row r="1720" spans="2:4" x14ac:dyDescent="0.25">
      <c r="B1720" s="781" t="s">
        <v>1984</v>
      </c>
      <c r="C1720" s="780">
        <v>99201</v>
      </c>
      <c r="D1720" s="781"/>
    </row>
    <row r="1721" spans="2:4" x14ac:dyDescent="0.25">
      <c r="B1721" s="781" t="s">
        <v>1987</v>
      </c>
      <c r="C1721" s="780">
        <v>99204</v>
      </c>
      <c r="D1721" s="781"/>
    </row>
    <row r="1722" spans="2:4" x14ac:dyDescent="0.25">
      <c r="B1722" s="781" t="s">
        <v>1989</v>
      </c>
      <c r="C1722" s="780">
        <v>99207</v>
      </c>
      <c r="D1722" s="781"/>
    </row>
    <row r="1723" spans="2:4" x14ac:dyDescent="0.25">
      <c r="B1723" s="781" t="s">
        <v>2511</v>
      </c>
      <c r="C1723" s="780">
        <v>99281</v>
      </c>
      <c r="D1723" s="781"/>
    </row>
    <row r="1724" spans="2:4" x14ac:dyDescent="0.25">
      <c r="B1724" s="781" t="s">
        <v>2512</v>
      </c>
      <c r="C1724" s="780">
        <v>93461</v>
      </c>
      <c r="D1724" s="781"/>
    </row>
    <row r="1725" spans="2:4" x14ac:dyDescent="0.25">
      <c r="B1725" s="781" t="s">
        <v>2513</v>
      </c>
      <c r="C1725" s="780">
        <v>93151</v>
      </c>
      <c r="D1725" s="781"/>
    </row>
    <row r="1726" spans="2:4" x14ac:dyDescent="0.25">
      <c r="B1726" s="781" t="s">
        <v>1461</v>
      </c>
      <c r="C1726" s="780">
        <v>93157</v>
      </c>
      <c r="D1726" s="781"/>
    </row>
    <row r="1727" spans="2:4" x14ac:dyDescent="0.25">
      <c r="B1727" s="781" t="s">
        <v>2514</v>
      </c>
      <c r="C1727" s="780">
        <v>98511</v>
      </c>
      <c r="D1727" s="781"/>
    </row>
    <row r="1728" spans="2:4" x14ac:dyDescent="0.25">
      <c r="B1728" s="781" t="s">
        <v>1944</v>
      </c>
      <c r="C1728" s="780">
        <v>98517</v>
      </c>
      <c r="D1728" s="781"/>
    </row>
    <row r="1729" spans="2:4" x14ac:dyDescent="0.25">
      <c r="B1729" s="781" t="s">
        <v>2515</v>
      </c>
      <c r="C1729" s="780">
        <v>99661</v>
      </c>
      <c r="D1729" s="781"/>
    </row>
    <row r="1730" spans="2:4" x14ac:dyDescent="0.25">
      <c r="B1730" s="781" t="s">
        <v>2516</v>
      </c>
      <c r="C1730" s="780">
        <v>94031</v>
      </c>
      <c r="D1730" s="781"/>
    </row>
    <row r="1731" spans="2:4" x14ac:dyDescent="0.25">
      <c r="B1731" s="781" t="s">
        <v>2006</v>
      </c>
      <c r="C1731" s="780">
        <v>99301</v>
      </c>
      <c r="D1731" s="781"/>
    </row>
    <row r="1732" spans="2:4" x14ac:dyDescent="0.25">
      <c r="B1732" s="781" t="s">
        <v>2007</v>
      </c>
      <c r="C1732" s="780">
        <v>99304</v>
      </c>
      <c r="D1732" s="781"/>
    </row>
    <row r="1733" spans="2:4" x14ac:dyDescent="0.25">
      <c r="B1733" s="781" t="s">
        <v>2517</v>
      </c>
      <c r="C1733" s="780">
        <v>99321</v>
      </c>
      <c r="D1733" s="781"/>
    </row>
    <row r="1734" spans="2:4" x14ac:dyDescent="0.25">
      <c r="B1734" s="781" t="s">
        <v>2518</v>
      </c>
      <c r="C1734" s="780">
        <v>93131</v>
      </c>
      <c r="D1734" s="781"/>
    </row>
    <row r="1735" spans="2:4" x14ac:dyDescent="0.25">
      <c r="B1735" s="781" t="s">
        <v>1458</v>
      </c>
      <c r="C1735" s="780">
        <v>93137</v>
      </c>
      <c r="D1735" s="781"/>
    </row>
    <row r="1736" spans="2:4" x14ac:dyDescent="0.25">
      <c r="B1736" s="781" t="s">
        <v>2519</v>
      </c>
      <c r="C1736" s="780">
        <v>90711</v>
      </c>
      <c r="D1736" s="781"/>
    </row>
    <row r="1737" spans="2:4" x14ac:dyDescent="0.25">
      <c r="B1737" s="781" t="s">
        <v>2010</v>
      </c>
      <c r="C1737" s="780">
        <v>99401</v>
      </c>
      <c r="D1737" s="781"/>
    </row>
    <row r="1738" spans="2:4" x14ac:dyDescent="0.25">
      <c r="B1738" s="781" t="s">
        <v>2011</v>
      </c>
      <c r="C1738" s="780">
        <v>99404</v>
      </c>
      <c r="D1738" s="781"/>
    </row>
    <row r="1739" spans="2:4" x14ac:dyDescent="0.25">
      <c r="B1739" s="781" t="s">
        <v>2520</v>
      </c>
      <c r="C1739" s="780">
        <v>90741</v>
      </c>
      <c r="D1739" s="781"/>
    </row>
    <row r="1740" spans="2:4" x14ac:dyDescent="0.25">
      <c r="B1740" s="781" t="s">
        <v>2017</v>
      </c>
      <c r="C1740" s="780">
        <v>99501</v>
      </c>
      <c r="D1740" s="781"/>
    </row>
    <row r="1741" spans="2:4" x14ac:dyDescent="0.25">
      <c r="B1741" s="781" t="s">
        <v>2020</v>
      </c>
      <c r="C1741" s="780">
        <v>99509</v>
      </c>
      <c r="D1741" s="781"/>
    </row>
    <row r="1742" spans="2:4" x14ac:dyDescent="0.25">
      <c r="B1742" s="781" t="s">
        <v>1307</v>
      </c>
      <c r="C1742" s="786">
        <v>91302</v>
      </c>
      <c r="D1742" s="781"/>
    </row>
    <row r="1743" spans="2:4" x14ac:dyDescent="0.25">
      <c r="B1743" s="781" t="s">
        <v>2521</v>
      </c>
      <c r="C1743" s="780">
        <v>99041</v>
      </c>
      <c r="D1743" s="781"/>
    </row>
    <row r="1744" spans="2:4" x14ac:dyDescent="0.25">
      <c r="B1744" s="781" t="s">
        <v>1973</v>
      </c>
      <c r="C1744" s="780">
        <v>99047</v>
      </c>
      <c r="D1744" s="781"/>
    </row>
    <row r="1745" spans="2:4" x14ac:dyDescent="0.25">
      <c r="B1745" s="781" t="s">
        <v>2025</v>
      </c>
      <c r="C1745" s="780">
        <v>99601</v>
      </c>
      <c r="D1745" s="781"/>
    </row>
    <row r="1746" spans="2:4" x14ac:dyDescent="0.25">
      <c r="B1746" s="781" t="s">
        <v>2028</v>
      </c>
      <c r="C1746" s="780">
        <v>99604</v>
      </c>
      <c r="D1746" s="781"/>
    </row>
    <row r="1747" spans="2:4" x14ac:dyDescent="0.25">
      <c r="B1747" s="781" t="s">
        <v>2522</v>
      </c>
      <c r="C1747" s="780">
        <v>94411</v>
      </c>
      <c r="D1747" s="781"/>
    </row>
    <row r="1748" spans="2:4" x14ac:dyDescent="0.25">
      <c r="B1748" s="781" t="s">
        <v>1588</v>
      </c>
      <c r="C1748" s="780">
        <v>94412</v>
      </c>
      <c r="D1748" s="781"/>
    </row>
    <row r="1749" spans="2:4" x14ac:dyDescent="0.25">
      <c r="B1749" s="781" t="s">
        <v>2523</v>
      </c>
      <c r="C1749" s="780">
        <v>91141</v>
      </c>
      <c r="D1749" s="781"/>
    </row>
    <row r="1750" spans="2:4" x14ac:dyDescent="0.25">
      <c r="B1750" s="781" t="s">
        <v>1286</v>
      </c>
      <c r="C1750" s="780">
        <v>91147</v>
      </c>
      <c r="D1750" s="781"/>
    </row>
    <row r="1751" spans="2:4" x14ac:dyDescent="0.25">
      <c r="B1751" s="781" t="s">
        <v>2524</v>
      </c>
      <c r="C1751" s="780">
        <v>99071</v>
      </c>
      <c r="D1751" s="781"/>
    </row>
    <row r="1752" spans="2:4" x14ac:dyDescent="0.25">
      <c r="B1752" s="781" t="s">
        <v>2525</v>
      </c>
      <c r="C1752" s="780">
        <v>94231</v>
      </c>
      <c r="D1752" s="781"/>
    </row>
    <row r="1753" spans="2:4" x14ac:dyDescent="0.25">
      <c r="B1753" s="781" t="s">
        <v>2526</v>
      </c>
      <c r="C1753" s="780">
        <v>99231</v>
      </c>
      <c r="D1753" s="781"/>
    </row>
    <row r="1754" spans="2:4" x14ac:dyDescent="0.25">
      <c r="B1754" s="781" t="s">
        <v>2527</v>
      </c>
      <c r="C1754" s="780">
        <v>99091</v>
      </c>
      <c r="D1754" s="781"/>
    </row>
    <row r="1755" spans="2:4" x14ac:dyDescent="0.25">
      <c r="B1755" s="781" t="s">
        <v>1280</v>
      </c>
      <c r="C1755" s="780">
        <v>91120</v>
      </c>
      <c r="D1755" s="781"/>
    </row>
    <row r="1756" spans="2:4" x14ac:dyDescent="0.25">
      <c r="B1756" s="781" t="s">
        <v>2528</v>
      </c>
      <c r="C1756" s="780">
        <v>90521</v>
      </c>
      <c r="D1756" s="781"/>
    </row>
    <row r="1757" spans="2:4" x14ac:dyDescent="0.25">
      <c r="B1757" s="781" t="s">
        <v>1207</v>
      </c>
      <c r="C1757" s="780">
        <v>90507</v>
      </c>
      <c r="D1757" s="781"/>
    </row>
    <row r="1758" spans="2:4" x14ac:dyDescent="0.25">
      <c r="B1758" s="781" t="s">
        <v>1414</v>
      </c>
      <c r="C1758" s="780">
        <v>92602</v>
      </c>
      <c r="D1758" s="781"/>
    </row>
    <row r="1759" spans="2:4" x14ac:dyDescent="0.25">
      <c r="B1759" s="781" t="s">
        <v>1330</v>
      </c>
      <c r="C1759" s="780">
        <v>91608</v>
      </c>
      <c r="D1759" s="781"/>
    </row>
    <row r="1760" spans="2:4" x14ac:dyDescent="0.25">
      <c r="B1760" s="781" t="s">
        <v>2529</v>
      </c>
      <c r="C1760" s="780">
        <v>91119</v>
      </c>
      <c r="D1760" s="781"/>
    </row>
    <row r="1761" spans="2:4" x14ac:dyDescent="0.25">
      <c r="B1761" s="781" t="s">
        <v>1275</v>
      </c>
      <c r="C1761" s="780">
        <v>91107</v>
      </c>
      <c r="D1761" s="781"/>
    </row>
    <row r="1762" spans="2:4" x14ac:dyDescent="0.25">
      <c r="B1762" s="781" t="s">
        <v>1350</v>
      </c>
      <c r="C1762" s="780">
        <v>91818</v>
      </c>
      <c r="D1762" s="781"/>
    </row>
    <row r="1763" spans="2:4" x14ac:dyDescent="0.25">
      <c r="B1763" s="781" t="s">
        <v>1351</v>
      </c>
      <c r="C1763" s="780">
        <v>91819</v>
      </c>
      <c r="D1763" s="781"/>
    </row>
    <row r="1764" spans="2:4" x14ac:dyDescent="0.25">
      <c r="B1764" s="781" t="s">
        <v>2530</v>
      </c>
      <c r="C1764" s="780">
        <v>96371</v>
      </c>
      <c r="D1764" s="781"/>
    </row>
    <row r="1765" spans="2:4" x14ac:dyDescent="0.25">
      <c r="B1765" s="781" t="s">
        <v>2531</v>
      </c>
      <c r="C1765" s="780">
        <v>96441</v>
      </c>
      <c r="D1765" s="781"/>
    </row>
    <row r="1766" spans="2:4" x14ac:dyDescent="0.25">
      <c r="B1766" s="781" t="s">
        <v>2532</v>
      </c>
      <c r="C1766" s="780">
        <v>90921</v>
      </c>
      <c r="D1766" s="781"/>
    </row>
    <row r="1767" spans="2:4" x14ac:dyDescent="0.25">
      <c r="B1767" s="781" t="s">
        <v>2533</v>
      </c>
      <c r="C1767" s="780">
        <v>92411</v>
      </c>
      <c r="D1767" s="781"/>
    </row>
    <row r="1768" spans="2:4" x14ac:dyDescent="0.25">
      <c r="B1768" s="781" t="s">
        <v>1390</v>
      </c>
      <c r="C1768" s="780">
        <v>92417</v>
      </c>
      <c r="D1768" s="781"/>
    </row>
    <row r="1769" spans="2:4" x14ac:dyDescent="0.25">
      <c r="B1769" s="781" t="s">
        <v>1387</v>
      </c>
      <c r="C1769" s="780">
        <v>92403</v>
      </c>
      <c r="D1769" s="781"/>
    </row>
    <row r="1770" spans="2:4" x14ac:dyDescent="0.25">
      <c r="B1770" s="781" t="s">
        <v>2038</v>
      </c>
      <c r="C1770" s="780">
        <v>99701</v>
      </c>
      <c r="D1770" s="781"/>
    </row>
    <row r="1771" spans="2:4" x14ac:dyDescent="0.25">
      <c r="B1771" s="781" t="s">
        <v>2534</v>
      </c>
      <c r="C1771" s="780">
        <v>99721</v>
      </c>
      <c r="D1771" s="781"/>
    </row>
    <row r="1772" spans="2:4" x14ac:dyDescent="0.25">
      <c r="B1772" s="781" t="s">
        <v>2043</v>
      </c>
      <c r="C1772" s="780">
        <v>99727</v>
      </c>
      <c r="D1772" s="781"/>
    </row>
    <row r="1773" spans="2:4" x14ac:dyDescent="0.25">
      <c r="B1773" s="781" t="s">
        <v>2535</v>
      </c>
      <c r="C1773" s="780">
        <v>95811</v>
      </c>
      <c r="D1773" s="781"/>
    </row>
    <row r="1774" spans="2:4" x14ac:dyDescent="0.25">
      <c r="B1774" s="781" t="s">
        <v>1687</v>
      </c>
      <c r="C1774" s="780">
        <v>95813</v>
      </c>
      <c r="D1774" s="781"/>
    </row>
    <row r="1775" spans="2:4" x14ac:dyDescent="0.25">
      <c r="B1775" s="781" t="s">
        <v>2536</v>
      </c>
      <c r="C1775" s="780">
        <v>96531</v>
      </c>
      <c r="D1775" s="781"/>
    </row>
    <row r="1776" spans="2:4" x14ac:dyDescent="0.25">
      <c r="B1776" s="781" t="s">
        <v>1751</v>
      </c>
      <c r="C1776" s="780">
        <v>96503</v>
      </c>
      <c r="D1776" s="781"/>
    </row>
    <row r="1777" spans="2:4" x14ac:dyDescent="0.25">
      <c r="B1777" s="781" t="s">
        <v>2537</v>
      </c>
      <c r="C1777" s="780">
        <v>99811</v>
      </c>
      <c r="D1777" s="781"/>
    </row>
    <row r="1778" spans="2:4" x14ac:dyDescent="0.25">
      <c r="B1778" s="781" t="s">
        <v>2044</v>
      </c>
      <c r="C1778" s="780">
        <v>99801</v>
      </c>
      <c r="D1778" s="781"/>
    </row>
    <row r="1779" spans="2:4" x14ac:dyDescent="0.25">
      <c r="B1779" s="781" t="s">
        <v>2046</v>
      </c>
      <c r="C1779" s="780">
        <v>99804</v>
      </c>
      <c r="D1779" s="781"/>
    </row>
    <row r="1780" spans="2:4" x14ac:dyDescent="0.25">
      <c r="B1780" s="781" t="s">
        <v>2045</v>
      </c>
      <c r="C1780" s="780">
        <v>99802</v>
      </c>
      <c r="D1780" s="781"/>
    </row>
    <row r="1781" spans="2:4" x14ac:dyDescent="0.25">
      <c r="B1781" s="781" t="s">
        <v>2048</v>
      </c>
      <c r="C1781" s="780">
        <v>99812</v>
      </c>
      <c r="D1781" s="781"/>
    </row>
    <row r="1782" spans="2:4" x14ac:dyDescent="0.25">
      <c r="B1782" s="781" t="s">
        <v>2538</v>
      </c>
      <c r="C1782" s="780">
        <v>95191</v>
      </c>
      <c r="D1782" s="781"/>
    </row>
    <row r="1783" spans="2:4" x14ac:dyDescent="0.25">
      <c r="B1783" s="781" t="s">
        <v>2539</v>
      </c>
      <c r="C1783" s="780">
        <v>90812</v>
      </c>
      <c r="D1783" s="781"/>
    </row>
    <row r="1784" spans="2:4" x14ac:dyDescent="0.25">
      <c r="B1784" s="781" t="s">
        <v>2540</v>
      </c>
      <c r="C1784" s="780">
        <v>97221</v>
      </c>
      <c r="D1784" s="781"/>
    </row>
    <row r="1785" spans="2:4" x14ac:dyDescent="0.25">
      <c r="B1785" s="781" t="s">
        <v>2541</v>
      </c>
      <c r="C1785" s="780">
        <v>99031</v>
      </c>
      <c r="D1785" s="781"/>
    </row>
    <row r="1786" spans="2:4" x14ac:dyDescent="0.25">
      <c r="B1786" s="781" t="s">
        <v>2542</v>
      </c>
      <c r="C1786" s="780">
        <v>93411</v>
      </c>
      <c r="D1786" s="781"/>
    </row>
    <row r="1787" spans="2:4" x14ac:dyDescent="0.25">
      <c r="B1787" s="781" t="s">
        <v>1491</v>
      </c>
      <c r="C1787" s="780">
        <v>93417</v>
      </c>
      <c r="D1787" s="781"/>
    </row>
    <row r="1788" spans="2:4" x14ac:dyDescent="0.25">
      <c r="B1788" s="781" t="s">
        <v>1490</v>
      </c>
      <c r="C1788" s="780">
        <v>93413</v>
      </c>
      <c r="D1788" s="781"/>
    </row>
    <row r="1789" spans="2:4" x14ac:dyDescent="0.25">
      <c r="B1789" s="781" t="s">
        <v>2543</v>
      </c>
      <c r="C1789" s="780">
        <v>97451</v>
      </c>
      <c r="D1789" s="781"/>
    </row>
    <row r="1790" spans="2:4" x14ac:dyDescent="0.25">
      <c r="B1790" s="781" t="s">
        <v>2544</v>
      </c>
      <c r="C1790" s="780">
        <v>94631</v>
      </c>
      <c r="D1790" s="781"/>
    </row>
    <row r="1791" spans="2:4" x14ac:dyDescent="0.25">
      <c r="B1791" s="781" t="s">
        <v>2545</v>
      </c>
      <c r="C1791" s="780">
        <v>91171</v>
      </c>
      <c r="D1791" s="781"/>
    </row>
    <row r="1792" spans="2:4" x14ac:dyDescent="0.25">
      <c r="B1792" s="781" t="s">
        <v>1274</v>
      </c>
      <c r="C1792" s="780">
        <v>91104</v>
      </c>
      <c r="D1792" s="781"/>
    </row>
    <row r="1793" spans="2:4" x14ac:dyDescent="0.25">
      <c r="B1793" s="781" t="s">
        <v>1277</v>
      </c>
      <c r="C1793" s="780">
        <v>91109</v>
      </c>
      <c r="D1793" s="781"/>
    </row>
    <row r="1794" spans="2:4" x14ac:dyDescent="0.25">
      <c r="B1794" s="781" t="s">
        <v>2546</v>
      </c>
      <c r="C1794" s="780">
        <v>96621</v>
      </c>
      <c r="D1794" s="781"/>
    </row>
    <row r="1795" spans="2:4" x14ac:dyDescent="0.25">
      <c r="B1795" s="781" t="s">
        <v>2547</v>
      </c>
      <c r="C1795" s="780">
        <v>96511</v>
      </c>
      <c r="D1795" s="781"/>
    </row>
    <row r="1796" spans="2:4" x14ac:dyDescent="0.25">
      <c r="B1796" s="781" t="s">
        <v>2054</v>
      </c>
      <c r="C1796" s="780">
        <v>99901</v>
      </c>
      <c r="D1796" s="781"/>
    </row>
    <row r="1797" spans="2:4" x14ac:dyDescent="0.25">
      <c r="B1797" s="781" t="s">
        <v>1948</v>
      </c>
      <c r="C1797" s="780">
        <v>98608</v>
      </c>
      <c r="D1797" s="781"/>
    </row>
    <row r="1798" spans="2:4" x14ac:dyDescent="0.25">
      <c r="B1798" s="781" t="s">
        <v>2548</v>
      </c>
      <c r="C1798" s="780">
        <v>99911</v>
      </c>
      <c r="D1798" s="781"/>
    </row>
    <row r="1799" spans="2:4" x14ac:dyDescent="0.25">
      <c r="B1799" s="781" t="s">
        <v>1173</v>
      </c>
      <c r="C1799" s="780">
        <v>90001</v>
      </c>
      <c r="D1799" s="781"/>
    </row>
    <row r="1800" spans="2:4" x14ac:dyDescent="0.25">
      <c r="B1800" s="781" t="s">
        <v>1174</v>
      </c>
      <c r="C1800" s="780">
        <v>90002</v>
      </c>
      <c r="D1800" s="781"/>
    </row>
    <row r="1801" spans="2:4" x14ac:dyDescent="0.25">
      <c r="B1801" s="781" t="s">
        <v>2549</v>
      </c>
      <c r="C1801" s="780">
        <v>91719</v>
      </c>
      <c r="D1801" s="781"/>
    </row>
    <row r="1802" spans="2:4" x14ac:dyDescent="0.25">
      <c r="B1802" s="781" t="s">
        <v>2550</v>
      </c>
      <c r="C1802" s="780">
        <v>93541</v>
      </c>
      <c r="D1802" s="781"/>
    </row>
    <row r="1803" spans="2:4" x14ac:dyDescent="0.25">
      <c r="B1803" s="781" t="s">
        <v>2551</v>
      </c>
      <c r="C1803" s="780">
        <v>99241</v>
      </c>
      <c r="D1803" s="781"/>
    </row>
    <row r="1804" spans="2:4" x14ac:dyDescent="0.25">
      <c r="B1804" s="776" t="s">
        <v>2552</v>
      </c>
      <c r="C1804" s="793" t="s">
        <v>2553</v>
      </c>
    </row>
  </sheetData>
  <conditionalFormatting sqref="V2:V3">
    <cfRule type="containsErrors" dxfId="17" priority="1">
      <formula>ISERROR(V2)</formula>
    </cfRule>
  </conditionalFormatting>
  <pageMargins left="0.25" right="0.25" top="0.5" bottom="0.5" header="0.3" footer="0.3"/>
  <pageSetup scale="46" fitToHeight="0"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GW369"/>
  <sheetViews>
    <sheetView zoomScaleNormal="100" workbookViewId="0">
      <pane xSplit="3" ySplit="5" topLeftCell="D6" activePane="bottomRight" state="frozen"/>
      <selection pane="topRight" activeCell="D1" sqref="D1"/>
      <selection pane="bottomLeft" activeCell="A6" sqref="A6"/>
      <selection pane="bottomRight" activeCell="D8" sqref="D8"/>
    </sheetView>
  </sheetViews>
  <sheetFormatPr defaultRowHeight="12.75" x14ac:dyDescent="0.2"/>
  <cols>
    <col min="1" max="1" width="1.7109375" customWidth="1"/>
    <col min="2" max="2" width="2.28515625" customWidth="1"/>
    <col min="3" max="3" width="42.7109375" customWidth="1"/>
    <col min="4" max="5" width="10.5703125" style="1" customWidth="1"/>
    <col min="6" max="6" width="11.28515625" style="1" customWidth="1"/>
    <col min="7" max="7" width="11.7109375" style="1" customWidth="1"/>
    <col min="8" max="8" width="10.5703125" style="5" customWidth="1"/>
    <col min="9" max="9" width="10.140625" style="5" customWidth="1"/>
    <col min="10" max="10" width="5.140625" style="5" customWidth="1"/>
    <col min="11" max="11" width="5.140625" customWidth="1"/>
    <col min="12" max="12" width="9.42578125" style="5" customWidth="1"/>
    <col min="13" max="13" width="9" style="5" customWidth="1"/>
    <col min="14" max="15" width="8" style="5" customWidth="1"/>
    <col min="16" max="23" width="5.140625" style="61" customWidth="1"/>
    <col min="24" max="25" width="5.140625" customWidth="1"/>
    <col min="26" max="27" width="3" customWidth="1"/>
    <col min="28" max="28" width="9" customWidth="1"/>
    <col min="29" max="29" width="12.140625" style="5" customWidth="1"/>
    <col min="30" max="30" width="10.5703125" style="5" customWidth="1"/>
    <col min="31" max="31" width="13" customWidth="1"/>
    <col min="32" max="32" width="16.28515625" customWidth="1"/>
    <col min="33" max="33" width="15.7109375" customWidth="1"/>
    <col min="34" max="34" width="11.28515625" style="5" customWidth="1"/>
    <col min="35" max="35" width="12" style="5" customWidth="1"/>
    <col min="36" max="36" width="4.7109375" style="276" customWidth="1"/>
    <col min="37" max="37" width="13.140625" style="61" customWidth="1"/>
    <col min="38" max="38" width="0.85546875" customWidth="1"/>
    <col min="39" max="39" width="4.7109375" style="276" customWidth="1"/>
    <col min="40" max="40" width="13.140625" style="61" customWidth="1"/>
    <col min="41" max="41" width="5.140625" style="276" customWidth="1"/>
    <col min="42" max="42" width="11.28515625" customWidth="1"/>
    <col min="43" max="43" width="0.85546875" customWidth="1"/>
    <col min="44" max="44" width="5.140625" style="276" customWidth="1"/>
    <col min="45" max="45" width="11.28515625" customWidth="1"/>
    <col min="46" max="46" width="9" customWidth="1"/>
    <col min="47" max="47" width="8.5703125" customWidth="1"/>
    <col min="48" max="48" width="14.28515625" style="121" customWidth="1"/>
    <col min="49" max="49" width="14.140625" style="121" customWidth="1"/>
    <col min="50" max="50" width="11.7109375" customWidth="1"/>
    <col min="51" max="51" width="11.28515625" customWidth="1"/>
    <col min="52" max="53" width="13.7109375" style="61" bestFit="1" customWidth="1"/>
  </cols>
  <sheetData>
    <row r="1" spans="1:53" ht="25.5" customHeight="1" x14ac:dyDescent="0.2">
      <c r="A1" s="50"/>
      <c r="B1" s="33"/>
      <c r="C1" s="48"/>
      <c r="D1" s="1140" t="s">
        <v>729</v>
      </c>
      <c r="E1" s="1141"/>
      <c r="F1" s="1141"/>
      <c r="G1" s="1141"/>
      <c r="H1" s="1142"/>
      <c r="I1" s="1142"/>
      <c r="J1" s="1142"/>
      <c r="K1" s="1143"/>
      <c r="L1" s="1141" t="s">
        <v>729</v>
      </c>
      <c r="M1" s="1141"/>
      <c r="N1" s="1142"/>
      <c r="O1" s="1142"/>
      <c r="P1" s="1144"/>
      <c r="Q1" s="393"/>
      <c r="R1" s="393"/>
      <c r="S1" s="393"/>
      <c r="T1" s="393"/>
      <c r="U1" s="393"/>
      <c r="V1" s="393"/>
      <c r="W1" s="393"/>
      <c r="X1" s="373"/>
      <c r="Y1" s="373"/>
      <c r="Z1" s="373"/>
      <c r="AA1" s="373"/>
      <c r="AB1" s="1182" t="s">
        <v>410</v>
      </c>
      <c r="AC1" s="1183"/>
      <c r="AD1" s="1165" t="s">
        <v>411</v>
      </c>
      <c r="AE1" s="1166"/>
      <c r="AF1" s="1174" t="s">
        <v>3968</v>
      </c>
      <c r="AG1" s="1175"/>
      <c r="AH1" s="374" t="s">
        <v>730</v>
      </c>
      <c r="AI1" s="328"/>
      <c r="AJ1" s="1161" t="s">
        <v>360</v>
      </c>
      <c r="AK1" s="1162"/>
      <c r="AL1" s="1162"/>
      <c r="AM1" s="1162"/>
      <c r="AN1" s="1162"/>
      <c r="AO1" s="1192" t="s">
        <v>361</v>
      </c>
      <c r="AP1" s="1189"/>
      <c r="AQ1" s="1189"/>
      <c r="AR1" s="1189"/>
      <c r="AS1" s="1193"/>
      <c r="AT1" s="375" t="s">
        <v>133</v>
      </c>
      <c r="AU1" s="375"/>
      <c r="AV1" s="1190" t="s">
        <v>944</v>
      </c>
      <c r="AW1" s="1191"/>
      <c r="AX1" s="376"/>
      <c r="AY1" s="1188" t="s">
        <v>943</v>
      </c>
      <c r="AZ1" s="1189"/>
      <c r="BA1" s="377"/>
    </row>
    <row r="2" spans="1:53" ht="13.5" thickBot="1" x14ac:dyDescent="0.25">
      <c r="A2" s="45"/>
      <c r="B2" s="14"/>
      <c r="C2" s="353" t="s">
        <v>132</v>
      </c>
      <c r="D2" s="356"/>
      <c r="E2" s="357"/>
      <c r="F2" s="357"/>
      <c r="G2" s="357"/>
      <c r="H2" s="358"/>
      <c r="I2" s="358"/>
      <c r="J2" s="358"/>
      <c r="K2" s="359"/>
      <c r="L2" s="183"/>
      <c r="M2" s="183"/>
      <c r="N2" s="183"/>
      <c r="O2" s="183"/>
      <c r="P2" s="97"/>
      <c r="Q2" s="97"/>
      <c r="R2" s="97"/>
      <c r="S2" s="97"/>
      <c r="T2" s="97"/>
      <c r="U2" s="97"/>
      <c r="V2" s="97"/>
      <c r="W2" s="97"/>
      <c r="X2" s="184"/>
      <c r="Y2" s="184"/>
      <c r="Z2" s="184"/>
      <c r="AA2" s="184"/>
      <c r="AB2" s="1184" t="s">
        <v>412</v>
      </c>
      <c r="AC2" s="1185"/>
      <c r="AD2" s="1167"/>
      <c r="AE2" s="1168"/>
      <c r="AF2" s="1176"/>
      <c r="AG2" s="1177"/>
      <c r="AH2" s="1172" t="s">
        <v>459</v>
      </c>
      <c r="AI2" s="1173"/>
      <c r="AJ2" s="1163" t="s">
        <v>3967</v>
      </c>
      <c r="AK2" s="1164"/>
      <c r="AL2" s="1164"/>
      <c r="AM2" s="1164"/>
      <c r="AN2" s="1164"/>
      <c r="AO2" s="1194" t="s">
        <v>241</v>
      </c>
      <c r="AP2" s="1163"/>
      <c r="AQ2" s="1163"/>
      <c r="AR2" s="1163"/>
      <c r="AS2" s="1195"/>
      <c r="AT2" s="361" t="s">
        <v>134</v>
      </c>
      <c r="AU2" s="361"/>
      <c r="AV2" s="363"/>
      <c r="AW2" s="360"/>
      <c r="AX2" s="244"/>
      <c r="AY2" s="244"/>
      <c r="AZ2" s="323"/>
      <c r="BA2" s="362"/>
    </row>
    <row r="3" spans="1:53" ht="17.25" customHeight="1" x14ac:dyDescent="0.2">
      <c r="A3" s="45"/>
      <c r="C3" s="353" t="s">
        <v>875</v>
      </c>
      <c r="D3" s="1145" t="s">
        <v>123</v>
      </c>
      <c r="E3" s="1145"/>
      <c r="F3" s="1145"/>
      <c r="G3" s="1145"/>
      <c r="H3" s="1146"/>
      <c r="I3" s="1146"/>
      <c r="J3" s="1146"/>
      <c r="K3" s="1147"/>
      <c r="L3" s="1149" t="s">
        <v>901</v>
      </c>
      <c r="M3" s="1146"/>
      <c r="N3" s="1146"/>
      <c r="O3" s="1146"/>
      <c r="P3" s="1146"/>
      <c r="Q3" s="1146"/>
      <c r="R3" s="1146"/>
      <c r="S3" s="1146"/>
      <c r="T3" s="394"/>
      <c r="U3" s="394"/>
      <c r="V3" s="394"/>
      <c r="W3" s="394"/>
      <c r="X3" s="396"/>
      <c r="Y3" s="396"/>
      <c r="Z3" s="396"/>
      <c r="AA3" s="395"/>
      <c r="AB3" s="326"/>
      <c r="AC3" s="334"/>
      <c r="AD3" s="1153" t="s">
        <v>902</v>
      </c>
      <c r="AE3" s="1154"/>
      <c r="AF3" s="1197" t="s">
        <v>2569</v>
      </c>
      <c r="AG3" s="1198"/>
      <c r="AH3" s="1178" t="s">
        <v>512</v>
      </c>
      <c r="AI3" s="1179"/>
      <c r="AJ3" s="303"/>
      <c r="AK3" s="299"/>
      <c r="AL3" s="188"/>
      <c r="AM3" s="300"/>
      <c r="AN3" s="295"/>
      <c r="AO3" s="1159" t="s">
        <v>514</v>
      </c>
      <c r="AP3" s="1171"/>
      <c r="AQ3" s="1171"/>
      <c r="AR3" s="1171"/>
      <c r="AS3" s="1170"/>
      <c r="AT3" s="385" t="s">
        <v>760</v>
      </c>
      <c r="AU3" s="386"/>
      <c r="AV3" s="482"/>
      <c r="AW3" s="482"/>
      <c r="AX3" s="1153" t="s">
        <v>104</v>
      </c>
      <c r="AY3" s="1169"/>
      <c r="AZ3" s="1153" t="s">
        <v>104</v>
      </c>
      <c r="BA3" s="1169"/>
    </row>
    <row r="4" spans="1:53" x14ac:dyDescent="0.2">
      <c r="A4" s="45"/>
      <c r="C4" s="354"/>
      <c r="D4" s="1156" t="s">
        <v>109</v>
      </c>
      <c r="E4" s="1138"/>
      <c r="F4" s="1148" t="s">
        <v>111</v>
      </c>
      <c r="G4" s="1148"/>
      <c r="H4" s="1148" t="s">
        <v>302</v>
      </c>
      <c r="I4" s="1148"/>
      <c r="J4" s="1138" t="s">
        <v>1028</v>
      </c>
      <c r="K4" s="1157"/>
      <c r="L4" s="1158" t="s">
        <v>257</v>
      </c>
      <c r="M4" s="1138"/>
      <c r="N4" s="1138" t="s">
        <v>53</v>
      </c>
      <c r="O4" s="1138"/>
      <c r="P4" s="1138" t="s">
        <v>258</v>
      </c>
      <c r="Q4" s="1138"/>
      <c r="R4" s="1138" t="s">
        <v>259</v>
      </c>
      <c r="S4" s="1138"/>
      <c r="T4" s="1138" t="s">
        <v>260</v>
      </c>
      <c r="U4" s="1138"/>
      <c r="V4" s="1138" t="s">
        <v>261</v>
      </c>
      <c r="W4" s="1138"/>
      <c r="X4" s="1138" t="s">
        <v>262</v>
      </c>
      <c r="Y4" s="1138"/>
      <c r="Z4" s="1138" t="s">
        <v>122</v>
      </c>
      <c r="AA4" s="1157"/>
      <c r="AB4" s="1159" t="s">
        <v>112</v>
      </c>
      <c r="AC4" s="1160"/>
      <c r="AD4" s="1159" t="s">
        <v>113</v>
      </c>
      <c r="AE4" s="1196"/>
      <c r="AF4" s="1197" t="s">
        <v>2570</v>
      </c>
      <c r="AG4" s="1198"/>
      <c r="AH4" s="1180" t="s">
        <v>513</v>
      </c>
      <c r="AI4" s="1181"/>
      <c r="AJ4" s="1159" t="s">
        <v>102</v>
      </c>
      <c r="AK4" s="1171"/>
      <c r="AL4" s="1171"/>
      <c r="AM4" s="1171"/>
      <c r="AN4" s="1170"/>
      <c r="AO4" s="1159" t="s">
        <v>515</v>
      </c>
      <c r="AP4" s="1171"/>
      <c r="AQ4" s="1171"/>
      <c r="AR4" s="1171"/>
      <c r="AS4" s="1170"/>
      <c r="AT4" s="385" t="s">
        <v>135</v>
      </c>
      <c r="AU4" s="387"/>
      <c r="AV4" s="1171" t="s">
        <v>950</v>
      </c>
      <c r="AW4" s="1171"/>
      <c r="AX4" s="1159" t="s">
        <v>105</v>
      </c>
      <c r="AY4" s="1170"/>
      <c r="AZ4" s="1159" t="s">
        <v>1131</v>
      </c>
      <c r="BA4" s="1170"/>
    </row>
    <row r="5" spans="1:53" ht="13.5" thickBot="1" x14ac:dyDescent="0.25">
      <c r="A5" s="384"/>
      <c r="B5" s="8"/>
      <c r="C5" s="355" t="s">
        <v>185</v>
      </c>
      <c r="D5" s="16" t="s">
        <v>908</v>
      </c>
      <c r="E5" s="16" t="s">
        <v>909</v>
      </c>
      <c r="F5" s="17" t="s">
        <v>908</v>
      </c>
      <c r="G5" s="17" t="s">
        <v>909</v>
      </c>
      <c r="H5" s="17" t="s">
        <v>908</v>
      </c>
      <c r="I5" s="17" t="s">
        <v>909</v>
      </c>
      <c r="J5" s="17" t="s">
        <v>110</v>
      </c>
      <c r="K5" s="18" t="s">
        <v>909</v>
      </c>
      <c r="L5" s="19" t="s">
        <v>908</v>
      </c>
      <c r="M5" s="17" t="s">
        <v>909</v>
      </c>
      <c r="N5" s="402" t="s">
        <v>908</v>
      </c>
      <c r="O5" s="402" t="s">
        <v>909</v>
      </c>
      <c r="P5" s="403" t="s">
        <v>908</v>
      </c>
      <c r="Q5" s="403" t="s">
        <v>909</v>
      </c>
      <c r="R5" s="403" t="s">
        <v>908</v>
      </c>
      <c r="S5" s="403" t="s">
        <v>909</v>
      </c>
      <c r="T5" s="403" t="s">
        <v>908</v>
      </c>
      <c r="U5" s="403" t="s">
        <v>909</v>
      </c>
      <c r="V5" s="403" t="s">
        <v>908</v>
      </c>
      <c r="W5" s="403" t="s">
        <v>909</v>
      </c>
      <c r="X5" s="20" t="s">
        <v>908</v>
      </c>
      <c r="Y5" s="20" t="s">
        <v>909</v>
      </c>
      <c r="Z5" s="20" t="s">
        <v>908</v>
      </c>
      <c r="AA5" s="20" t="s">
        <v>909</v>
      </c>
      <c r="AB5" s="327" t="s">
        <v>908</v>
      </c>
      <c r="AC5" s="343" t="s">
        <v>909</v>
      </c>
      <c r="AD5" s="40" t="s">
        <v>908</v>
      </c>
      <c r="AE5" s="189" t="s">
        <v>909</v>
      </c>
      <c r="AF5" s="344" t="s">
        <v>908</v>
      </c>
      <c r="AG5" s="223" t="s">
        <v>909</v>
      </c>
      <c r="AH5" s="40" t="s">
        <v>908</v>
      </c>
      <c r="AI5" s="42" t="s">
        <v>909</v>
      </c>
      <c r="AJ5" s="252" t="s">
        <v>913</v>
      </c>
      <c r="AK5" s="292" t="s">
        <v>908</v>
      </c>
      <c r="AL5" s="41"/>
      <c r="AM5" s="253" t="s">
        <v>913</v>
      </c>
      <c r="AN5" s="296" t="s">
        <v>909</v>
      </c>
      <c r="AO5" s="252" t="s">
        <v>913</v>
      </c>
      <c r="AP5" s="41" t="s">
        <v>908</v>
      </c>
      <c r="AQ5" s="41"/>
      <c r="AR5" s="253" t="s">
        <v>913</v>
      </c>
      <c r="AS5" s="189" t="s">
        <v>909</v>
      </c>
      <c r="AT5" s="388" t="s">
        <v>908</v>
      </c>
      <c r="AU5" s="389" t="s">
        <v>909</v>
      </c>
      <c r="AV5" s="292" t="s">
        <v>908</v>
      </c>
      <c r="AW5" s="292" t="s">
        <v>909</v>
      </c>
      <c r="AX5" s="364" t="s">
        <v>908</v>
      </c>
      <c r="AY5" s="189" t="s">
        <v>909</v>
      </c>
      <c r="AZ5" s="365" t="s">
        <v>908</v>
      </c>
      <c r="BA5" s="296" t="s">
        <v>909</v>
      </c>
    </row>
    <row r="6" spans="1:53" ht="18" customHeight="1" x14ac:dyDescent="0.2">
      <c r="A6" s="372" t="s">
        <v>186</v>
      </c>
      <c r="B6" s="43"/>
      <c r="C6" s="44"/>
      <c r="D6" s="21"/>
      <c r="E6" s="22"/>
      <c r="F6" s="23"/>
      <c r="G6" s="23"/>
      <c r="H6" s="23"/>
      <c r="I6" s="23"/>
      <c r="J6" s="23"/>
      <c r="K6" s="33"/>
      <c r="L6" s="28"/>
      <c r="M6" s="23"/>
      <c r="N6" s="23"/>
      <c r="O6" s="23"/>
      <c r="P6" s="73"/>
      <c r="Q6" s="73"/>
      <c r="R6" s="297"/>
      <c r="S6" s="297"/>
      <c r="T6" s="73"/>
      <c r="U6" s="73"/>
      <c r="V6" s="73"/>
      <c r="W6" s="73"/>
      <c r="X6" s="14"/>
      <c r="Y6" s="14"/>
      <c r="Z6" s="14"/>
      <c r="AA6" s="14"/>
      <c r="AB6" s="7"/>
      <c r="AC6" s="12"/>
      <c r="AD6" s="30"/>
      <c r="AE6" s="48"/>
      <c r="AF6" s="23"/>
      <c r="AG6" s="23"/>
      <c r="AH6" s="28"/>
      <c r="AI6" s="29"/>
      <c r="AJ6" s="301"/>
      <c r="AK6" s="297"/>
      <c r="AL6" s="23"/>
      <c r="AM6" s="301"/>
      <c r="AN6" s="297"/>
      <c r="AO6" s="462"/>
      <c r="AP6" s="297"/>
      <c r="AQ6" s="33"/>
      <c r="AR6" s="301"/>
      <c r="AS6" s="48"/>
      <c r="AT6" s="184"/>
      <c r="AU6" s="324"/>
      <c r="AV6" s="323"/>
      <c r="AW6" s="323"/>
      <c r="AX6" s="50"/>
      <c r="AY6" s="48"/>
      <c r="AZ6" s="350"/>
      <c r="BA6" s="335"/>
    </row>
    <row r="7" spans="1:53" ht="12.75" customHeight="1" x14ac:dyDescent="0.2">
      <c r="A7" s="381"/>
      <c r="B7" s="69" t="s">
        <v>691</v>
      </c>
      <c r="C7" s="125"/>
      <c r="D7" s="483"/>
      <c r="E7" s="484"/>
      <c r="F7" s="485"/>
      <c r="G7" s="485"/>
      <c r="H7" s="485"/>
      <c r="I7" s="485"/>
      <c r="J7" s="485"/>
      <c r="K7" s="486"/>
      <c r="L7" s="487"/>
      <c r="M7" s="485"/>
      <c r="N7" s="485"/>
      <c r="O7" s="485"/>
      <c r="P7" s="488"/>
      <c r="Q7" s="488"/>
      <c r="R7" s="488"/>
      <c r="S7" s="488"/>
      <c r="T7" s="488"/>
      <c r="U7" s="488"/>
      <c r="V7" s="488"/>
      <c r="W7" s="488"/>
      <c r="X7" s="486"/>
      <c r="Y7" s="486"/>
      <c r="Z7" s="486"/>
      <c r="AA7" s="486"/>
      <c r="AB7" s="7"/>
      <c r="AC7" s="12"/>
      <c r="AD7" s="30"/>
      <c r="AE7" s="38"/>
      <c r="AF7" s="485"/>
      <c r="AG7" s="485"/>
      <c r="AH7" s="30"/>
      <c r="AI7" s="25"/>
      <c r="AJ7" s="272"/>
      <c r="AK7" s="73"/>
      <c r="AL7" s="12"/>
      <c r="AM7" s="272"/>
      <c r="AN7" s="73"/>
      <c r="AO7" s="278"/>
      <c r="AP7" s="73"/>
      <c r="AQ7" s="14"/>
      <c r="AR7" s="272"/>
      <c r="AS7" s="254"/>
      <c r="AT7" s="508"/>
      <c r="AU7" s="509"/>
      <c r="AV7" s="323"/>
      <c r="AW7" s="323"/>
      <c r="AX7" s="45"/>
      <c r="AY7" s="38"/>
      <c r="AZ7" s="345"/>
      <c r="BA7" s="254"/>
    </row>
    <row r="8" spans="1:53" x14ac:dyDescent="0.2">
      <c r="A8" s="45"/>
      <c r="B8" t="s">
        <v>187</v>
      </c>
      <c r="C8" t="s">
        <v>354</v>
      </c>
      <c r="D8" s="489"/>
      <c r="E8" s="490"/>
      <c r="F8" s="485"/>
      <c r="G8" s="485"/>
      <c r="H8" s="485"/>
      <c r="I8" s="485"/>
      <c r="J8" s="485"/>
      <c r="K8" s="486"/>
      <c r="L8" s="487"/>
      <c r="M8" s="485"/>
      <c r="N8" s="485"/>
      <c r="O8" s="485"/>
      <c r="P8" s="491"/>
      <c r="Q8" s="491"/>
      <c r="R8" s="491"/>
      <c r="S8" s="491"/>
      <c r="T8" s="491"/>
      <c r="U8" s="491"/>
      <c r="V8" s="491"/>
      <c r="W8" s="491"/>
      <c r="X8" s="492"/>
      <c r="Y8" s="492"/>
      <c r="Z8" s="492"/>
      <c r="AA8" s="492"/>
      <c r="AB8" s="34">
        <f>L8+N8+P8+R8+T8+V8+X8+Z8</f>
        <v>0</v>
      </c>
      <c r="AC8" s="12">
        <f>M8+O8+Q8+S8+U8+W8+Y8+AA8</f>
        <v>0</v>
      </c>
      <c r="AD8" s="30">
        <f>D8+F8+H8+J8+AB8</f>
        <v>0</v>
      </c>
      <c r="AE8" s="25">
        <f>E8+G8+I8+K8+AC8</f>
        <v>0</v>
      </c>
      <c r="AF8" s="485"/>
      <c r="AG8" s="485"/>
      <c r="AH8" s="30"/>
      <c r="AI8" s="25"/>
      <c r="AJ8" s="272"/>
      <c r="AK8" s="73"/>
      <c r="AL8" s="12"/>
      <c r="AM8" s="272"/>
      <c r="AN8" s="254"/>
      <c r="AO8" s="458" t="s">
        <v>682</v>
      </c>
      <c r="AP8" s="73">
        <f>'K.1  Int. Service Fd Allocation'!E162+'K.2  Int. Service Fd Alloca'!E156+'K.3 Int. Service Fd Alloca'!E156</f>
        <v>0</v>
      </c>
      <c r="AQ8" s="14"/>
      <c r="AR8" s="272"/>
      <c r="AS8" s="254"/>
      <c r="AT8" s="508"/>
      <c r="AU8" s="509"/>
      <c r="AV8" s="323">
        <f t="shared" ref="AV8:AV41" si="0">AD8+AF8+AH8+AK8+AP8+AT8</f>
        <v>0</v>
      </c>
      <c r="AW8" s="323">
        <f t="shared" ref="AW8:AW41" si="1">AE8+AG8+AI8+AN8+AS8+AU8</f>
        <v>0</v>
      </c>
      <c r="AX8" s="45"/>
      <c r="AY8" s="38"/>
      <c r="AZ8" s="345" t="str">
        <f>IF(AV8-AW8&lt;=0," ",AV8-AW8)</f>
        <v xml:space="preserve"> </v>
      </c>
      <c r="BA8" s="254">
        <f>IF(AV8-AW8&gt;0," ",AW8-AV8)</f>
        <v>0</v>
      </c>
    </row>
    <row r="9" spans="1:53" s="13" customFormat="1" x14ac:dyDescent="0.2">
      <c r="A9" s="57"/>
      <c r="C9" s="13" t="s">
        <v>744</v>
      </c>
      <c r="D9" s="493"/>
      <c r="E9" s="494"/>
      <c r="F9" s="492"/>
      <c r="G9" s="492"/>
      <c r="H9" s="492"/>
      <c r="I9" s="492"/>
      <c r="J9" s="492"/>
      <c r="K9" s="495"/>
      <c r="L9" s="496"/>
      <c r="M9" s="492"/>
      <c r="N9" s="492"/>
      <c r="O9" s="492"/>
      <c r="P9" s="491"/>
      <c r="Q9" s="491"/>
      <c r="R9" s="491"/>
      <c r="S9" s="491"/>
      <c r="T9" s="491"/>
      <c r="U9" s="491"/>
      <c r="V9" s="491"/>
      <c r="W9" s="491"/>
      <c r="X9" s="495"/>
      <c r="Y9" s="495"/>
      <c r="Z9" s="495"/>
      <c r="AA9" s="495"/>
      <c r="AB9" s="34">
        <f t="shared" ref="AB9:AB91" si="2">L9+N9+P9+R9+T9+V9+X9+Z9</f>
        <v>0</v>
      </c>
      <c r="AC9" s="12">
        <f t="shared" ref="AC9:AC91" si="3">M9+O9+Q9+S9+U9+W9+Y9+AA9</f>
        <v>0</v>
      </c>
      <c r="AD9" s="30">
        <f>D9+F9+H9+J9+AB9</f>
        <v>0</v>
      </c>
      <c r="AE9" s="25">
        <f t="shared" ref="AE9:AE94" si="4">E9+G9+I9+K9+AC9</f>
        <v>0</v>
      </c>
      <c r="AF9" s="492"/>
      <c r="AG9" s="492"/>
      <c r="AH9" s="53"/>
      <c r="AI9" s="55"/>
      <c r="AJ9" s="273"/>
      <c r="AK9" s="72"/>
      <c r="AL9" s="10"/>
      <c r="AM9" s="273"/>
      <c r="AN9" s="255"/>
      <c r="AO9" s="280"/>
      <c r="AP9" s="72"/>
      <c r="AQ9" s="54"/>
      <c r="AR9" s="273"/>
      <c r="AS9" s="255"/>
      <c r="AT9" s="508"/>
      <c r="AU9" s="509"/>
      <c r="AV9" s="323">
        <f t="shared" si="0"/>
        <v>0</v>
      </c>
      <c r="AW9" s="323">
        <f t="shared" si="1"/>
        <v>0</v>
      </c>
      <c r="AX9" s="57"/>
      <c r="AY9" s="58"/>
      <c r="AZ9" s="345" t="str">
        <f>IF(AV9-AW9&lt;=0," ",AV9-AW9)</f>
        <v xml:space="preserve"> </v>
      </c>
      <c r="BA9" s="254">
        <f>IF(AV9-AW9&gt;0," ",AW9-AV9)</f>
        <v>0</v>
      </c>
    </row>
    <row r="10" spans="1:53" s="13" customFormat="1" x14ac:dyDescent="0.2">
      <c r="A10" s="57"/>
      <c r="C10" s="13" t="s">
        <v>849</v>
      </c>
      <c r="D10" s="493"/>
      <c r="E10" s="494"/>
      <c r="F10" s="492"/>
      <c r="G10" s="492"/>
      <c r="H10" s="492"/>
      <c r="I10" s="492"/>
      <c r="J10" s="492"/>
      <c r="K10" s="495"/>
      <c r="L10" s="496"/>
      <c r="M10" s="492"/>
      <c r="N10" s="492"/>
      <c r="O10" s="492"/>
      <c r="P10" s="491"/>
      <c r="Q10" s="491"/>
      <c r="R10" s="491"/>
      <c r="S10" s="491"/>
      <c r="T10" s="491"/>
      <c r="U10" s="491"/>
      <c r="V10" s="491"/>
      <c r="W10" s="491"/>
      <c r="X10" s="495"/>
      <c r="Y10" s="495"/>
      <c r="Z10" s="495"/>
      <c r="AA10" s="495"/>
      <c r="AB10" s="34">
        <f t="shared" si="2"/>
        <v>0</v>
      </c>
      <c r="AC10" s="12">
        <f t="shared" si="3"/>
        <v>0</v>
      </c>
      <c r="AD10" s="30">
        <f t="shared" ref="AD10:AD94" si="5">D10+F10+H10+J10+AB10</f>
        <v>0</v>
      </c>
      <c r="AE10" s="25">
        <f t="shared" si="4"/>
        <v>0</v>
      </c>
      <c r="AF10" s="492"/>
      <c r="AG10" s="492"/>
      <c r="AH10" s="53"/>
      <c r="AI10" s="55"/>
      <c r="AJ10" s="273"/>
      <c r="AK10" s="72"/>
      <c r="AL10" s="10"/>
      <c r="AM10" s="273"/>
      <c r="AN10" s="255"/>
      <c r="AO10" s="458" t="s">
        <v>682</v>
      </c>
      <c r="AP10" s="73">
        <f>'K.1  Int. Service Fd Allocation'!E163+'K.2  Int. Service Fd Alloca'!E157+'K.3 Int. Service Fd Alloca'!E157</f>
        <v>0</v>
      </c>
      <c r="AQ10" s="54"/>
      <c r="AR10" s="273"/>
      <c r="AS10" s="255"/>
      <c r="AT10" s="508"/>
      <c r="AU10" s="509"/>
      <c r="AV10" s="323">
        <f t="shared" si="0"/>
        <v>0</v>
      </c>
      <c r="AW10" s="323">
        <f t="shared" si="1"/>
        <v>0</v>
      </c>
      <c r="AX10" s="57"/>
      <c r="AY10" s="58"/>
      <c r="AZ10" s="345" t="str">
        <f>IF(AV10-AW10&lt;=0," ",AV10-AW10)</f>
        <v xml:space="preserve"> </v>
      </c>
      <c r="BA10" s="254">
        <f>IF(AV10-AW10&gt;0," ",AW10-AV10)</f>
        <v>0</v>
      </c>
    </row>
    <row r="11" spans="1:53" x14ac:dyDescent="0.2">
      <c r="A11" s="45"/>
      <c r="C11" t="s">
        <v>745</v>
      </c>
      <c r="D11" s="507"/>
      <c r="E11" s="490"/>
      <c r="F11" s="485"/>
      <c r="G11" s="485"/>
      <c r="H11" s="485"/>
      <c r="I11" s="485"/>
      <c r="J11" s="485"/>
      <c r="K11" s="486"/>
      <c r="L11" s="487"/>
      <c r="M11" s="485"/>
      <c r="N11" s="485"/>
      <c r="O11" s="485"/>
      <c r="P11" s="488"/>
      <c r="Q11" s="488"/>
      <c r="R11" s="488"/>
      <c r="S11" s="488"/>
      <c r="T11" s="488"/>
      <c r="U11" s="488"/>
      <c r="V11" s="488"/>
      <c r="W11" s="488"/>
      <c r="X11" s="486"/>
      <c r="Y11" s="486"/>
      <c r="Z11" s="486"/>
      <c r="AA11" s="486"/>
      <c r="AB11" s="34">
        <f t="shared" si="2"/>
        <v>0</v>
      </c>
      <c r="AC11" s="12">
        <f t="shared" si="3"/>
        <v>0</v>
      </c>
      <c r="AD11" s="30">
        <f t="shared" si="5"/>
        <v>0</v>
      </c>
      <c r="AE11" s="25">
        <f t="shared" si="4"/>
        <v>0</v>
      </c>
      <c r="AF11" s="485"/>
      <c r="AG11" s="485"/>
      <c r="AH11" s="30"/>
      <c r="AI11" s="25"/>
      <c r="AJ11" s="272"/>
      <c r="AK11" s="73"/>
      <c r="AL11" s="12"/>
      <c r="AM11" s="272"/>
      <c r="AN11" s="73"/>
      <c r="AO11" s="279"/>
      <c r="AP11" s="73"/>
      <c r="AQ11" s="14"/>
      <c r="AR11" s="272"/>
      <c r="AS11" s="254"/>
      <c r="AT11" s="508"/>
      <c r="AU11" s="509"/>
      <c r="AV11" s="323">
        <f t="shared" si="0"/>
        <v>0</v>
      </c>
      <c r="AW11" s="323">
        <f t="shared" si="1"/>
        <v>0</v>
      </c>
      <c r="AX11" s="45"/>
      <c r="AY11" s="38"/>
      <c r="AZ11" s="345" t="str">
        <f>IF(AV11-AW11&lt;=0," ",AV11-AW11)</f>
        <v xml:space="preserve"> </v>
      </c>
      <c r="BA11" s="254">
        <f>IF(AV11-AW11&gt;0," ",AW11-AV11)</f>
        <v>0</v>
      </c>
    </row>
    <row r="12" spans="1:53" s="13" customFormat="1" x14ac:dyDescent="0.2">
      <c r="A12" s="57"/>
      <c r="C12" s="13" t="s">
        <v>905</v>
      </c>
      <c r="D12" s="493"/>
      <c r="E12" s="494"/>
      <c r="F12" s="492"/>
      <c r="G12" s="492"/>
      <c r="H12" s="492"/>
      <c r="I12" s="492"/>
      <c r="J12" s="492"/>
      <c r="K12" s="495"/>
      <c r="L12" s="496"/>
      <c r="M12" s="492"/>
      <c r="N12" s="492"/>
      <c r="O12" s="492"/>
      <c r="P12" s="491"/>
      <c r="Q12" s="491"/>
      <c r="R12" s="491"/>
      <c r="S12" s="491"/>
      <c r="T12" s="491"/>
      <c r="U12" s="491"/>
      <c r="V12" s="491"/>
      <c r="W12" s="491"/>
      <c r="X12" s="495"/>
      <c r="Y12" s="495"/>
      <c r="Z12" s="495"/>
      <c r="AA12" s="495"/>
      <c r="AB12" s="34">
        <f t="shared" si="2"/>
        <v>0</v>
      </c>
      <c r="AC12" s="12">
        <f t="shared" si="3"/>
        <v>0</v>
      </c>
      <c r="AD12" s="30">
        <f t="shared" si="5"/>
        <v>0</v>
      </c>
      <c r="AE12" s="25">
        <f t="shared" si="4"/>
        <v>0</v>
      </c>
      <c r="AF12" s="492"/>
      <c r="AG12" s="492"/>
      <c r="AH12" s="53"/>
      <c r="AI12" s="55"/>
      <c r="AJ12" s="273"/>
      <c r="AK12" s="72"/>
      <c r="AL12" s="10"/>
      <c r="AM12" s="273"/>
      <c r="AN12" s="72"/>
      <c r="AO12" s="280"/>
      <c r="AP12" s="72"/>
      <c r="AQ12" s="54"/>
      <c r="AR12" s="273"/>
      <c r="AS12" s="255"/>
      <c r="AT12" s="508"/>
      <c r="AU12" s="509"/>
      <c r="AV12" s="323">
        <f t="shared" si="0"/>
        <v>0</v>
      </c>
      <c r="AW12" s="323">
        <f t="shared" si="1"/>
        <v>0</v>
      </c>
      <c r="AX12" s="57"/>
      <c r="AY12" s="58"/>
      <c r="AZ12" s="345" t="str">
        <f>IF(AV12-AW12&lt;=0," ",AV12-AW12)</f>
        <v xml:space="preserve"> </v>
      </c>
      <c r="BA12" s="254">
        <f>IF(AV12-AW12&gt;0," ",AW12-AV12)</f>
        <v>0</v>
      </c>
    </row>
    <row r="13" spans="1:53" x14ac:dyDescent="0.2">
      <c r="A13" s="45"/>
      <c r="C13" s="310" t="s">
        <v>893</v>
      </c>
      <c r="D13" s="497"/>
      <c r="E13" s="498"/>
      <c r="F13" s="499"/>
      <c r="G13" s="499"/>
      <c r="H13" s="499"/>
      <c r="I13" s="499"/>
      <c r="J13" s="499"/>
      <c r="K13" s="500"/>
      <c r="L13" s="501"/>
      <c r="M13" s="499"/>
      <c r="N13" s="499"/>
      <c r="O13" s="499"/>
      <c r="P13" s="502"/>
      <c r="Q13" s="502"/>
      <c r="R13" s="502"/>
      <c r="S13" s="502"/>
      <c r="T13" s="502"/>
      <c r="U13" s="502"/>
      <c r="V13" s="502"/>
      <c r="W13" s="502"/>
      <c r="X13" s="500"/>
      <c r="Y13" s="500"/>
      <c r="Z13" s="500"/>
      <c r="AA13" s="500"/>
      <c r="AB13" s="313">
        <f t="shared" si="2"/>
        <v>0</v>
      </c>
      <c r="AC13" s="311">
        <f t="shared" si="3"/>
        <v>0</v>
      </c>
      <c r="AD13" s="312">
        <f t="shared" si="5"/>
        <v>0</v>
      </c>
      <c r="AE13" s="314">
        <f t="shared" si="4"/>
        <v>0</v>
      </c>
      <c r="AF13" s="499"/>
      <c r="AG13" s="499"/>
      <c r="AH13" s="312"/>
      <c r="AI13" s="314"/>
      <c r="AJ13" s="315" t="str">
        <f>'B.  Property Taxes'!A53</f>
        <v>B.1</v>
      </c>
      <c r="AK13" s="316">
        <f>'B.  Property Taxes'!J54</f>
        <v>0</v>
      </c>
      <c r="AL13" s="311"/>
      <c r="AM13" s="315"/>
      <c r="AN13" s="316"/>
      <c r="AO13" s="317"/>
      <c r="AP13" s="316"/>
      <c r="AQ13" s="309"/>
      <c r="AR13" s="315"/>
      <c r="AS13" s="318"/>
      <c r="AT13" s="508"/>
      <c r="AU13" s="509"/>
      <c r="AV13" s="316">
        <f t="shared" si="0"/>
        <v>0</v>
      </c>
      <c r="AW13" s="316">
        <f t="shared" si="1"/>
        <v>0</v>
      </c>
      <c r="AX13" s="307"/>
      <c r="AY13" s="308"/>
      <c r="AZ13" s="346">
        <f>IF((AV13+AV14+AV15)-(AW13+AW14+AW15)&lt;0," ",(AV13+AV14+AV15)-(AW13+AW14+AW15))</f>
        <v>0</v>
      </c>
      <c r="BA13" s="318">
        <f>IF((AV13+AV14+AV15)-(AW13+AW14+AW15)&gt;0," ",(AW13+AW14+AW15)-(AV13+AV14+AV15))</f>
        <v>0</v>
      </c>
    </row>
    <row r="14" spans="1:53" x14ac:dyDescent="0.2">
      <c r="A14" s="45"/>
      <c r="C14" s="319"/>
      <c r="D14" s="497"/>
      <c r="E14" s="498"/>
      <c r="F14" s="499"/>
      <c r="G14" s="499"/>
      <c r="H14" s="499"/>
      <c r="I14" s="499"/>
      <c r="J14" s="499"/>
      <c r="K14" s="500"/>
      <c r="L14" s="501"/>
      <c r="M14" s="499"/>
      <c r="N14" s="499"/>
      <c r="O14" s="499"/>
      <c r="P14" s="502"/>
      <c r="Q14" s="502"/>
      <c r="R14" s="502"/>
      <c r="S14" s="502"/>
      <c r="T14" s="502"/>
      <c r="U14" s="502"/>
      <c r="V14" s="502"/>
      <c r="W14" s="502"/>
      <c r="X14" s="500"/>
      <c r="Y14" s="500"/>
      <c r="Z14" s="500"/>
      <c r="AA14" s="500"/>
      <c r="AB14" s="313">
        <f t="shared" si="2"/>
        <v>0</v>
      </c>
      <c r="AC14" s="311">
        <f t="shared" si="3"/>
        <v>0</v>
      </c>
      <c r="AD14" s="312">
        <f t="shared" si="5"/>
        <v>0</v>
      </c>
      <c r="AE14" s="314">
        <f t="shared" si="4"/>
        <v>0</v>
      </c>
      <c r="AF14" s="499"/>
      <c r="AG14" s="499"/>
      <c r="AH14" s="312"/>
      <c r="AI14" s="314"/>
      <c r="AJ14" s="315" t="str">
        <f>'B.  Property Taxes'!A57</f>
        <v>B.2</v>
      </c>
      <c r="AK14" s="316">
        <f>'B.  Property Taxes'!J58</f>
        <v>0</v>
      </c>
      <c r="AL14" s="311"/>
      <c r="AM14" s="315" t="s">
        <v>725</v>
      </c>
      <c r="AN14" s="316">
        <f>'B.  Property Taxes'!L58</f>
        <v>0</v>
      </c>
      <c r="AO14" s="317"/>
      <c r="AP14" s="316"/>
      <c r="AQ14" s="309"/>
      <c r="AR14" s="315"/>
      <c r="AS14" s="318"/>
      <c r="AT14" s="508"/>
      <c r="AU14" s="509"/>
      <c r="AV14" s="316">
        <f t="shared" si="0"/>
        <v>0</v>
      </c>
      <c r="AW14" s="316">
        <f t="shared" si="1"/>
        <v>0</v>
      </c>
      <c r="AX14" s="307"/>
      <c r="AY14" s="308"/>
      <c r="AZ14" s="346"/>
      <c r="BA14" s="318"/>
    </row>
    <row r="15" spans="1:53" x14ac:dyDescent="0.2">
      <c r="A15" s="45"/>
      <c r="C15" s="310"/>
      <c r="D15" s="497"/>
      <c r="E15" s="498"/>
      <c r="F15" s="499"/>
      <c r="G15" s="499"/>
      <c r="H15" s="499"/>
      <c r="I15" s="499"/>
      <c r="J15" s="499"/>
      <c r="K15" s="500"/>
      <c r="L15" s="501"/>
      <c r="M15" s="499"/>
      <c r="N15" s="499"/>
      <c r="O15" s="499"/>
      <c r="P15" s="502"/>
      <c r="Q15" s="502"/>
      <c r="R15" s="502"/>
      <c r="S15" s="502"/>
      <c r="T15" s="502"/>
      <c r="U15" s="502"/>
      <c r="V15" s="502"/>
      <c r="W15" s="502"/>
      <c r="X15" s="500"/>
      <c r="Y15" s="500"/>
      <c r="Z15" s="500"/>
      <c r="AA15" s="500"/>
      <c r="AB15" s="313">
        <f t="shared" si="2"/>
        <v>0</v>
      </c>
      <c r="AC15" s="311">
        <f t="shared" si="3"/>
        <v>0</v>
      </c>
      <c r="AD15" s="312">
        <f t="shared" si="5"/>
        <v>0</v>
      </c>
      <c r="AE15" s="314">
        <f t="shared" si="4"/>
        <v>0</v>
      </c>
      <c r="AF15" s="499"/>
      <c r="AG15" s="499"/>
      <c r="AH15" s="312"/>
      <c r="AI15" s="314"/>
      <c r="AJ15" s="315" t="str">
        <f>'C. Other Revenues'!B205</f>
        <v>C.1</v>
      </c>
      <c r="AK15" s="316">
        <f>'C. Other Revenues'!K205</f>
        <v>0</v>
      </c>
      <c r="AL15" s="311"/>
      <c r="AM15" s="315"/>
      <c r="AN15" s="316"/>
      <c r="AO15" s="317"/>
      <c r="AP15" s="316"/>
      <c r="AQ15" s="309"/>
      <c r="AR15" s="315"/>
      <c r="AS15" s="318"/>
      <c r="AT15" s="508"/>
      <c r="AU15" s="509"/>
      <c r="AV15" s="316">
        <f t="shared" si="0"/>
        <v>0</v>
      </c>
      <c r="AW15" s="316">
        <f t="shared" si="1"/>
        <v>0</v>
      </c>
      <c r="AX15" s="307"/>
      <c r="AY15" s="308"/>
      <c r="AZ15" s="346"/>
      <c r="BA15" s="318"/>
    </row>
    <row r="16" spans="1:53" s="13" customFormat="1" x14ac:dyDescent="0.2">
      <c r="A16" s="57"/>
      <c r="C16" s="13" t="s">
        <v>904</v>
      </c>
      <c r="D16" s="493"/>
      <c r="E16" s="494"/>
      <c r="F16" s="492"/>
      <c r="G16" s="492"/>
      <c r="H16" s="492"/>
      <c r="I16" s="492"/>
      <c r="J16" s="492"/>
      <c r="K16" s="495"/>
      <c r="L16" s="496"/>
      <c r="M16" s="492"/>
      <c r="N16" s="492"/>
      <c r="O16" s="492"/>
      <c r="P16" s="491"/>
      <c r="Q16" s="491"/>
      <c r="R16" s="491"/>
      <c r="S16" s="491"/>
      <c r="T16" s="491"/>
      <c r="U16" s="491"/>
      <c r="V16" s="491"/>
      <c r="W16" s="491"/>
      <c r="X16" s="495"/>
      <c r="Y16" s="495"/>
      <c r="Z16" s="495"/>
      <c r="AA16" s="495"/>
      <c r="AB16" s="34">
        <f t="shared" si="2"/>
        <v>0</v>
      </c>
      <c r="AC16" s="12">
        <f t="shared" si="3"/>
        <v>0</v>
      </c>
      <c r="AD16" s="30">
        <f t="shared" si="5"/>
        <v>0</v>
      </c>
      <c r="AE16" s="25">
        <f t="shared" si="4"/>
        <v>0</v>
      </c>
      <c r="AF16" s="492"/>
      <c r="AG16" s="492"/>
      <c r="AH16" s="53"/>
      <c r="AI16" s="55"/>
      <c r="AJ16" s="273"/>
      <c r="AK16" s="72"/>
      <c r="AL16" s="10"/>
      <c r="AM16" s="273"/>
      <c r="AN16" s="72"/>
      <c r="AO16" s="280"/>
      <c r="AP16" s="72"/>
      <c r="AQ16" s="54"/>
      <c r="AR16" s="273"/>
      <c r="AS16" s="255"/>
      <c r="AT16" s="508"/>
      <c r="AU16" s="509"/>
      <c r="AV16" s="323">
        <f t="shared" si="0"/>
        <v>0</v>
      </c>
      <c r="AW16" s="323">
        <f t="shared" si="1"/>
        <v>0</v>
      </c>
      <c r="AX16" s="57"/>
      <c r="AY16" s="58"/>
      <c r="AZ16" s="351" t="str">
        <f>IF(AV16-AW16&lt;=0," ",AV16-AW16)</f>
        <v xml:space="preserve"> </v>
      </c>
      <c r="BA16" s="254">
        <f>IF(AV16-AW16&gt;0," ",AW16-AV16)</f>
        <v>0</v>
      </c>
    </row>
    <row r="17" spans="1:53" x14ac:dyDescent="0.2">
      <c r="A17" s="45"/>
      <c r="C17" t="s">
        <v>746</v>
      </c>
      <c r="D17" s="489"/>
      <c r="E17" s="490"/>
      <c r="F17" s="485"/>
      <c r="G17" s="485"/>
      <c r="H17" s="485"/>
      <c r="I17" s="485"/>
      <c r="J17" s="485"/>
      <c r="K17" s="486"/>
      <c r="L17" s="487"/>
      <c r="M17" s="485"/>
      <c r="N17" s="485"/>
      <c r="O17" s="485"/>
      <c r="P17" s="488"/>
      <c r="Q17" s="488"/>
      <c r="R17" s="488"/>
      <c r="S17" s="488"/>
      <c r="T17" s="488"/>
      <c r="U17" s="488"/>
      <c r="V17" s="488"/>
      <c r="W17" s="488"/>
      <c r="X17" s="486"/>
      <c r="Y17" s="486"/>
      <c r="Z17" s="486"/>
      <c r="AA17" s="486"/>
      <c r="AB17" s="34">
        <f t="shared" si="2"/>
        <v>0</v>
      </c>
      <c r="AC17" s="12">
        <f t="shared" si="3"/>
        <v>0</v>
      </c>
      <c r="AD17" s="30">
        <f t="shared" si="5"/>
        <v>0</v>
      </c>
      <c r="AE17" s="25">
        <f t="shared" si="4"/>
        <v>0</v>
      </c>
      <c r="AF17" s="485"/>
      <c r="AG17" s="485"/>
      <c r="AH17" s="30"/>
      <c r="AI17" s="25"/>
      <c r="AJ17" s="272"/>
      <c r="AK17" s="73"/>
      <c r="AL17" s="12"/>
      <c r="AM17" s="272"/>
      <c r="AN17" s="73"/>
      <c r="AO17" s="279"/>
      <c r="AP17" s="73"/>
      <c r="AQ17" s="14"/>
      <c r="AR17" s="272"/>
      <c r="AS17" s="254"/>
      <c r="AT17" s="508"/>
      <c r="AU17" s="509"/>
      <c r="AV17" s="323">
        <f t="shared" si="0"/>
        <v>0</v>
      </c>
      <c r="AW17" s="323">
        <f t="shared" si="1"/>
        <v>0</v>
      </c>
      <c r="AX17" s="45"/>
      <c r="AY17" s="38"/>
      <c r="AZ17" s="345" t="str">
        <f>IF(AV17-AW17&lt;=0," ",AV17-AW17)</f>
        <v xml:space="preserve"> </v>
      </c>
      <c r="BA17" s="254">
        <f>IF(AV17-AW17&gt;0," ",AW17-AV17)</f>
        <v>0</v>
      </c>
    </row>
    <row r="18" spans="1:53" s="13" customFormat="1" x14ac:dyDescent="0.2">
      <c r="A18" s="57"/>
      <c r="C18" s="13" t="s">
        <v>903</v>
      </c>
      <c r="D18" s="493"/>
      <c r="E18" s="494"/>
      <c r="F18" s="492"/>
      <c r="G18" s="492"/>
      <c r="H18" s="492"/>
      <c r="I18" s="492"/>
      <c r="J18" s="492"/>
      <c r="K18" s="495"/>
      <c r="L18" s="496"/>
      <c r="M18" s="492"/>
      <c r="N18" s="492"/>
      <c r="O18" s="492"/>
      <c r="P18" s="491"/>
      <c r="Q18" s="491"/>
      <c r="R18" s="491"/>
      <c r="S18" s="491"/>
      <c r="T18" s="491"/>
      <c r="U18" s="491"/>
      <c r="V18" s="491"/>
      <c r="W18" s="491"/>
      <c r="X18" s="495"/>
      <c r="Y18" s="495"/>
      <c r="Z18" s="495"/>
      <c r="AA18" s="495"/>
      <c r="AB18" s="34">
        <f t="shared" si="2"/>
        <v>0</v>
      </c>
      <c r="AC18" s="12">
        <f t="shared" si="3"/>
        <v>0</v>
      </c>
      <c r="AD18" s="30">
        <f t="shared" si="5"/>
        <v>0</v>
      </c>
      <c r="AE18" s="25">
        <f t="shared" si="4"/>
        <v>0</v>
      </c>
      <c r="AF18" s="492"/>
      <c r="AG18" s="492"/>
      <c r="AH18" s="53"/>
      <c r="AI18" s="55"/>
      <c r="AJ18" s="273"/>
      <c r="AK18" s="72"/>
      <c r="AL18" s="10"/>
      <c r="AM18" s="273"/>
      <c r="AN18" s="72"/>
      <c r="AO18" s="280"/>
      <c r="AP18" s="72"/>
      <c r="AQ18" s="54"/>
      <c r="AR18" s="273"/>
      <c r="AS18" s="255"/>
      <c r="AT18" s="508"/>
      <c r="AU18" s="509"/>
      <c r="AV18" s="323">
        <f t="shared" si="0"/>
        <v>0</v>
      </c>
      <c r="AW18" s="323">
        <f t="shared" si="1"/>
        <v>0</v>
      </c>
      <c r="AX18" s="57"/>
      <c r="AY18" s="58"/>
      <c r="AZ18" s="345" t="str">
        <f>IF(AV18-AW18&lt;=0," ",AV18-AW18)</f>
        <v xml:space="preserve"> </v>
      </c>
      <c r="BA18" s="254">
        <f>IF(AV18-AW18&gt;0," ",AW18-AV18)</f>
        <v>0</v>
      </c>
    </row>
    <row r="19" spans="1:53" s="13" customFormat="1" x14ac:dyDescent="0.2">
      <c r="A19" s="57"/>
      <c r="C19" s="13" t="s">
        <v>399</v>
      </c>
      <c r="D19" s="493"/>
      <c r="E19" s="494"/>
      <c r="F19" s="492"/>
      <c r="G19" s="492"/>
      <c r="H19" s="492"/>
      <c r="I19" s="492"/>
      <c r="J19" s="492"/>
      <c r="K19" s="495"/>
      <c r="L19" s="496"/>
      <c r="M19" s="492"/>
      <c r="N19" s="492"/>
      <c r="O19" s="492"/>
      <c r="P19" s="491"/>
      <c r="Q19" s="491"/>
      <c r="R19" s="491"/>
      <c r="S19" s="491"/>
      <c r="T19" s="491"/>
      <c r="U19" s="491"/>
      <c r="V19" s="491"/>
      <c r="W19" s="491"/>
      <c r="X19" s="495"/>
      <c r="Y19" s="495"/>
      <c r="Z19" s="495"/>
      <c r="AA19" s="495"/>
      <c r="AB19" s="34">
        <f t="shared" si="2"/>
        <v>0</v>
      </c>
      <c r="AC19" s="12">
        <f t="shared" si="3"/>
        <v>0</v>
      </c>
      <c r="AD19" s="30">
        <f t="shared" si="5"/>
        <v>0</v>
      </c>
      <c r="AE19" s="25">
        <f t="shared" si="4"/>
        <v>0</v>
      </c>
      <c r="AF19" s="492"/>
      <c r="AG19" s="492"/>
      <c r="AH19" s="53"/>
      <c r="AI19" s="55"/>
      <c r="AJ19" s="273"/>
      <c r="AK19" s="72"/>
      <c r="AL19" s="10"/>
      <c r="AM19" s="273"/>
      <c r="AN19" s="72"/>
      <c r="AO19" s="280"/>
      <c r="AP19" s="72"/>
      <c r="AQ19" s="54"/>
      <c r="AR19" s="273"/>
      <c r="AS19" s="255"/>
      <c r="AT19" s="508"/>
      <c r="AU19" s="509"/>
      <c r="AV19" s="323">
        <f t="shared" si="0"/>
        <v>0</v>
      </c>
      <c r="AW19" s="323">
        <f t="shared" si="1"/>
        <v>0</v>
      </c>
      <c r="AX19" s="57"/>
      <c r="AY19" s="58"/>
      <c r="AZ19" s="345" t="str">
        <f>IF(AV19-AW19&lt;=0," ",AV19-AW19)</f>
        <v xml:space="preserve"> </v>
      </c>
      <c r="BA19" s="254">
        <f>IF(AV19-AW19&gt;0," ",AW19-AV19)</f>
        <v>0</v>
      </c>
    </row>
    <row r="20" spans="1:53" x14ac:dyDescent="0.2">
      <c r="A20" s="57"/>
      <c r="B20" s="13"/>
      <c r="C20" s="310" t="s">
        <v>747</v>
      </c>
      <c r="D20" s="497"/>
      <c r="E20" s="498"/>
      <c r="F20" s="499"/>
      <c r="G20" s="499"/>
      <c r="H20" s="499"/>
      <c r="I20" s="499"/>
      <c r="J20" s="499"/>
      <c r="K20" s="500"/>
      <c r="L20" s="501"/>
      <c r="M20" s="499"/>
      <c r="N20" s="499"/>
      <c r="O20" s="499"/>
      <c r="P20" s="502"/>
      <c r="Q20" s="502"/>
      <c r="R20" s="502"/>
      <c r="S20" s="502"/>
      <c r="T20" s="502"/>
      <c r="U20" s="502"/>
      <c r="V20" s="502"/>
      <c r="W20" s="502"/>
      <c r="X20" s="500"/>
      <c r="Y20" s="500"/>
      <c r="Z20" s="500"/>
      <c r="AA20" s="500"/>
      <c r="AB20" s="313">
        <f t="shared" si="2"/>
        <v>0</v>
      </c>
      <c r="AC20" s="311">
        <f t="shared" si="3"/>
        <v>0</v>
      </c>
      <c r="AD20" s="312">
        <f t="shared" si="5"/>
        <v>0</v>
      </c>
      <c r="AE20" s="314">
        <f t="shared" si="4"/>
        <v>0</v>
      </c>
      <c r="AF20" s="499"/>
      <c r="AG20" s="499"/>
      <c r="AH20" s="312"/>
      <c r="AI20" s="314"/>
      <c r="AJ20" s="315"/>
      <c r="AK20" s="316"/>
      <c r="AL20" s="311"/>
      <c r="AM20" s="315"/>
      <c r="AN20" s="316"/>
      <c r="AO20" s="459" t="s">
        <v>682</v>
      </c>
      <c r="AP20" s="316">
        <f>'K.1  Int. Service Fd Allocation'!E164+'K.2  Int. Service Fd Alloca'!E158+'K.3 Int. Service Fd Alloca'!E158</f>
        <v>0</v>
      </c>
      <c r="AQ20" s="309"/>
      <c r="AR20" s="315" t="str">
        <f>'L. Eliminations-Consolidations'!A201</f>
        <v>L.2</v>
      </c>
      <c r="AS20" s="318">
        <f>'L. Eliminations-Consolidations'!L203</f>
        <v>0</v>
      </c>
      <c r="AT20" s="508"/>
      <c r="AU20" s="509"/>
      <c r="AV20" s="316">
        <f t="shared" si="0"/>
        <v>0</v>
      </c>
      <c r="AW20" s="316">
        <f t="shared" si="1"/>
        <v>0</v>
      </c>
      <c r="AX20" s="307"/>
      <c r="AY20" s="308"/>
      <c r="AZ20" s="1106" t="str">
        <f>IF((AV20+AV21+AV22)-(AW20+AW21+AW22)&lt;=0," ",(AV20+AV21+AV22)-(AW20+AW21+AW22))</f>
        <v xml:space="preserve"> </v>
      </c>
      <c r="BA20" s="318">
        <f>IF((AV20+AV21+AV22)-(AW20+AW21+AW22)&gt;0," ",(AW20+AW21+AW22)-(AV20+AV21+AV22))</f>
        <v>0</v>
      </c>
    </row>
    <row r="21" spans="1:53" x14ac:dyDescent="0.2">
      <c r="A21" s="57"/>
      <c r="B21" s="13"/>
      <c r="C21" s="310"/>
      <c r="D21" s="497"/>
      <c r="E21" s="498"/>
      <c r="F21" s="499"/>
      <c r="G21" s="499"/>
      <c r="H21" s="499"/>
      <c r="I21" s="499"/>
      <c r="J21" s="499"/>
      <c r="K21" s="500"/>
      <c r="L21" s="501"/>
      <c r="M21" s="499"/>
      <c r="N21" s="499"/>
      <c r="O21" s="499"/>
      <c r="P21" s="502"/>
      <c r="Q21" s="502"/>
      <c r="R21" s="502"/>
      <c r="S21" s="502"/>
      <c r="T21" s="502"/>
      <c r="U21" s="502"/>
      <c r="V21" s="502"/>
      <c r="W21" s="502"/>
      <c r="X21" s="500"/>
      <c r="Y21" s="500"/>
      <c r="Z21" s="500"/>
      <c r="AA21" s="500"/>
      <c r="AB21" s="313">
        <f t="shared" si="2"/>
        <v>0</v>
      </c>
      <c r="AC21" s="311">
        <f t="shared" si="3"/>
        <v>0</v>
      </c>
      <c r="AD21" s="312">
        <f t="shared" si="5"/>
        <v>0</v>
      </c>
      <c r="AE21" s="314">
        <f t="shared" si="4"/>
        <v>0</v>
      </c>
      <c r="AF21" s="499"/>
      <c r="AG21" s="499"/>
      <c r="AH21" s="312"/>
      <c r="AI21" s="314"/>
      <c r="AJ21" s="315"/>
      <c r="AK21" s="316"/>
      <c r="AL21" s="311"/>
      <c r="AM21" s="315"/>
      <c r="AN21" s="316"/>
      <c r="AO21" s="317"/>
      <c r="AP21" s="316"/>
      <c r="AQ21" s="309"/>
      <c r="AR21" s="315" t="str">
        <f>'L. Eliminations-Consolidations'!A206</f>
        <v>L.3</v>
      </c>
      <c r="AS21" s="318">
        <f>'L. Eliminations-Consolidations'!L210</f>
        <v>0</v>
      </c>
      <c r="AT21" s="508"/>
      <c r="AU21" s="509"/>
      <c r="AV21" s="316">
        <f t="shared" si="0"/>
        <v>0</v>
      </c>
      <c r="AW21" s="316">
        <f t="shared" si="1"/>
        <v>0</v>
      </c>
      <c r="AX21" s="307"/>
      <c r="AY21" s="308"/>
      <c r="AZ21" s="346"/>
      <c r="BA21" s="318"/>
    </row>
    <row r="22" spans="1:53" x14ac:dyDescent="0.2">
      <c r="A22" s="57"/>
      <c r="B22" s="13"/>
      <c r="C22" s="310"/>
      <c r="D22" s="497"/>
      <c r="E22" s="498"/>
      <c r="F22" s="499"/>
      <c r="G22" s="499"/>
      <c r="H22" s="499"/>
      <c r="I22" s="499"/>
      <c r="J22" s="499"/>
      <c r="K22" s="500"/>
      <c r="L22" s="501"/>
      <c r="M22" s="499"/>
      <c r="N22" s="499"/>
      <c r="O22" s="499"/>
      <c r="P22" s="502"/>
      <c r="Q22" s="502"/>
      <c r="R22" s="502"/>
      <c r="S22" s="502"/>
      <c r="T22" s="502"/>
      <c r="U22" s="502"/>
      <c r="V22" s="502"/>
      <c r="W22" s="502"/>
      <c r="X22" s="500"/>
      <c r="Y22" s="500"/>
      <c r="Z22" s="500"/>
      <c r="AA22" s="500"/>
      <c r="AB22" s="313">
        <f t="shared" si="2"/>
        <v>0</v>
      </c>
      <c r="AC22" s="311">
        <f t="shared" si="3"/>
        <v>0</v>
      </c>
      <c r="AD22" s="312">
        <f t="shared" si="5"/>
        <v>0</v>
      </c>
      <c r="AE22" s="314">
        <f t="shared" si="4"/>
        <v>0</v>
      </c>
      <c r="AF22" s="499"/>
      <c r="AG22" s="499"/>
      <c r="AH22" s="312"/>
      <c r="AI22" s="314"/>
      <c r="AJ22" s="315"/>
      <c r="AK22" s="316"/>
      <c r="AL22" s="311"/>
      <c r="AM22" s="315"/>
      <c r="AN22" s="316"/>
      <c r="AO22" s="317"/>
      <c r="AP22" s="316"/>
      <c r="AQ22" s="309"/>
      <c r="AR22" s="315" t="str">
        <f>'L. Eliminations-Consolidations'!A212</f>
        <v>L.4</v>
      </c>
      <c r="AS22" s="318">
        <f>'L. Eliminations-Consolidations'!L213</f>
        <v>0</v>
      </c>
      <c r="AT22" s="508"/>
      <c r="AU22" s="509"/>
      <c r="AV22" s="316">
        <f t="shared" si="0"/>
        <v>0</v>
      </c>
      <c r="AW22" s="316">
        <f t="shared" si="1"/>
        <v>0</v>
      </c>
      <c r="AX22" s="307"/>
      <c r="AY22" s="308"/>
      <c r="AZ22" s="346"/>
      <c r="BA22" s="318"/>
    </row>
    <row r="23" spans="1:53" s="13" customFormat="1" x14ac:dyDescent="0.2">
      <c r="A23" s="57"/>
      <c r="C23" s="13" t="s">
        <v>118</v>
      </c>
      <c r="D23" s="493"/>
      <c r="E23" s="494"/>
      <c r="F23" s="492"/>
      <c r="G23" s="492"/>
      <c r="H23" s="492"/>
      <c r="I23" s="492"/>
      <c r="J23" s="492"/>
      <c r="K23" s="495"/>
      <c r="L23" s="496"/>
      <c r="M23" s="492"/>
      <c r="N23" s="492"/>
      <c r="O23" s="492"/>
      <c r="P23" s="491"/>
      <c r="Q23" s="491"/>
      <c r="R23" s="491"/>
      <c r="S23" s="491"/>
      <c r="T23" s="491"/>
      <c r="U23" s="491"/>
      <c r="V23" s="491"/>
      <c r="W23" s="491"/>
      <c r="X23" s="495"/>
      <c r="Y23" s="495"/>
      <c r="Z23" s="495"/>
      <c r="AA23" s="495"/>
      <c r="AB23" s="34">
        <f t="shared" si="2"/>
        <v>0</v>
      </c>
      <c r="AC23" s="12">
        <f t="shared" si="3"/>
        <v>0</v>
      </c>
      <c r="AD23" s="30">
        <f t="shared" si="5"/>
        <v>0</v>
      </c>
      <c r="AE23" s="25">
        <f t="shared" si="4"/>
        <v>0</v>
      </c>
      <c r="AF23" s="492"/>
      <c r="AG23" s="492"/>
      <c r="AH23" s="53"/>
      <c r="AI23" s="55"/>
      <c r="AJ23" s="273"/>
      <c r="AK23" s="72"/>
      <c r="AL23" s="10"/>
      <c r="AM23" s="273"/>
      <c r="AN23" s="72"/>
      <c r="AO23" s="280" t="str">
        <f>'L. Eliminations-Consolidations'!A212</f>
        <v>L.4</v>
      </c>
      <c r="AP23" s="72">
        <f>'L. Eliminations-Consolidations'!J212</f>
        <v>0</v>
      </c>
      <c r="AQ23" s="54"/>
      <c r="AR23" s="273"/>
      <c r="AS23" s="255"/>
      <c r="AT23" s="508"/>
      <c r="AU23" s="509"/>
      <c r="AV23" s="323">
        <f t="shared" si="0"/>
        <v>0</v>
      </c>
      <c r="AW23" s="323">
        <f t="shared" si="1"/>
        <v>0</v>
      </c>
      <c r="AX23" s="57"/>
      <c r="AY23" s="58"/>
      <c r="AZ23" s="345" t="str">
        <f>IF(AV23-AW23&lt;=0," ",AV23-AW23)</f>
        <v xml:space="preserve"> </v>
      </c>
      <c r="BA23" s="254">
        <f>IF(AV23-AW23&gt;0," ",AW23-AV23)</f>
        <v>0</v>
      </c>
    </row>
    <row r="24" spans="1:53" s="13" customFormat="1" x14ac:dyDescent="0.2">
      <c r="A24" s="57"/>
      <c r="C24" s="13" t="s">
        <v>748</v>
      </c>
      <c r="D24" s="493"/>
      <c r="E24" s="494"/>
      <c r="F24" s="492"/>
      <c r="G24" s="492"/>
      <c r="H24" s="492"/>
      <c r="I24" s="492"/>
      <c r="J24" s="492"/>
      <c r="K24" s="495"/>
      <c r="L24" s="496"/>
      <c r="M24" s="492"/>
      <c r="N24" s="492"/>
      <c r="O24" s="492"/>
      <c r="P24" s="491"/>
      <c r="Q24" s="491"/>
      <c r="R24" s="491"/>
      <c r="S24" s="491"/>
      <c r="T24" s="491"/>
      <c r="U24" s="491"/>
      <c r="V24" s="491"/>
      <c r="W24" s="491"/>
      <c r="X24" s="495"/>
      <c r="Y24" s="495"/>
      <c r="Z24" s="495"/>
      <c r="AA24" s="495"/>
      <c r="AB24" s="34">
        <f t="shared" si="2"/>
        <v>0</v>
      </c>
      <c r="AC24" s="12">
        <f t="shared" si="3"/>
        <v>0</v>
      </c>
      <c r="AD24" s="30">
        <f t="shared" si="5"/>
        <v>0</v>
      </c>
      <c r="AE24" s="25">
        <f t="shared" si="4"/>
        <v>0</v>
      </c>
      <c r="AF24" s="492"/>
      <c r="AG24" s="492"/>
      <c r="AH24" s="53"/>
      <c r="AI24" s="55"/>
      <c r="AJ24" s="273"/>
      <c r="AK24" s="72"/>
      <c r="AL24" s="10"/>
      <c r="AM24" s="273"/>
      <c r="AN24" s="72"/>
      <c r="AO24" s="280"/>
      <c r="AP24" s="72"/>
      <c r="AQ24" s="54"/>
      <c r="AR24" s="273"/>
      <c r="AS24" s="255"/>
      <c r="AT24" s="508"/>
      <c r="AU24" s="509"/>
      <c r="AV24" s="323">
        <f t="shared" si="0"/>
        <v>0</v>
      </c>
      <c r="AW24" s="323">
        <f t="shared" si="1"/>
        <v>0</v>
      </c>
      <c r="AX24" s="57"/>
      <c r="AY24" s="58"/>
      <c r="AZ24" s="345" t="str">
        <f>IF(AV24-AW24&lt;=0," ",AV24-AW24)</f>
        <v xml:space="preserve"> </v>
      </c>
      <c r="BA24" s="254">
        <f>IF(AV24-AW24&gt;0," ",AW24-AV24)</f>
        <v>0</v>
      </c>
    </row>
    <row r="25" spans="1:53" x14ac:dyDescent="0.2">
      <c r="A25" s="45"/>
      <c r="C25" t="s">
        <v>749</v>
      </c>
      <c r="D25" s="489"/>
      <c r="E25" s="490"/>
      <c r="F25" s="485"/>
      <c r="G25" s="485"/>
      <c r="H25" s="485"/>
      <c r="I25" s="485"/>
      <c r="J25" s="485"/>
      <c r="K25" s="486"/>
      <c r="L25" s="487"/>
      <c r="M25" s="485"/>
      <c r="N25" s="485"/>
      <c r="O25" s="485"/>
      <c r="P25" s="488"/>
      <c r="Q25" s="488"/>
      <c r="R25" s="488"/>
      <c r="S25" s="488"/>
      <c r="T25" s="488"/>
      <c r="U25" s="488"/>
      <c r="V25" s="488"/>
      <c r="W25" s="488"/>
      <c r="X25" s="486"/>
      <c r="Y25" s="486"/>
      <c r="Z25" s="486"/>
      <c r="AA25" s="486"/>
      <c r="AB25" s="34">
        <f t="shared" si="2"/>
        <v>0</v>
      </c>
      <c r="AC25" s="12">
        <f t="shared" si="3"/>
        <v>0</v>
      </c>
      <c r="AD25" s="30">
        <f t="shared" si="5"/>
        <v>0</v>
      </c>
      <c r="AE25" s="25">
        <f t="shared" si="4"/>
        <v>0</v>
      </c>
      <c r="AF25" s="485"/>
      <c r="AG25" s="485"/>
      <c r="AH25" s="30"/>
      <c r="AI25" s="25"/>
      <c r="AJ25" s="272"/>
      <c r="AK25" s="73"/>
      <c r="AL25" s="12"/>
      <c r="AM25" s="272"/>
      <c r="AN25" s="73"/>
      <c r="AO25" s="279"/>
      <c r="AP25" s="73"/>
      <c r="AQ25" s="14"/>
      <c r="AR25" s="272"/>
      <c r="AS25" s="254"/>
      <c r="AT25" s="508"/>
      <c r="AU25" s="509"/>
      <c r="AV25" s="323">
        <f t="shared" si="0"/>
        <v>0</v>
      </c>
      <c r="AW25" s="323">
        <f t="shared" si="1"/>
        <v>0</v>
      </c>
      <c r="AX25" s="45"/>
      <c r="AY25" s="38"/>
      <c r="AZ25" s="345" t="str">
        <f>IF(AV25-AW25&lt;=0," ",AV25-AW25)</f>
        <v xml:space="preserve"> </v>
      </c>
      <c r="BA25" s="254">
        <f>IF(AV25-AW25&gt;0," ",AW25-AV25)</f>
        <v>0</v>
      </c>
    </row>
    <row r="26" spans="1:53" x14ac:dyDescent="0.2">
      <c r="A26" s="45"/>
      <c r="C26" s="310" t="s">
        <v>591</v>
      </c>
      <c r="D26" s="497"/>
      <c r="E26" s="498"/>
      <c r="F26" s="499"/>
      <c r="G26" s="499"/>
      <c r="H26" s="499"/>
      <c r="I26" s="499"/>
      <c r="J26" s="499"/>
      <c r="K26" s="500"/>
      <c r="L26" s="501"/>
      <c r="M26" s="499"/>
      <c r="N26" s="499"/>
      <c r="O26" s="499"/>
      <c r="P26" s="502"/>
      <c r="Q26" s="502"/>
      <c r="R26" s="502"/>
      <c r="S26" s="502"/>
      <c r="T26" s="502"/>
      <c r="U26" s="502"/>
      <c r="V26" s="502"/>
      <c r="W26" s="502"/>
      <c r="X26" s="500"/>
      <c r="Y26" s="500"/>
      <c r="Z26" s="500"/>
      <c r="AA26" s="500"/>
      <c r="AB26" s="313">
        <f t="shared" si="2"/>
        <v>0</v>
      </c>
      <c r="AC26" s="311">
        <f t="shared" si="3"/>
        <v>0</v>
      </c>
      <c r="AD26" s="312">
        <f t="shared" si="5"/>
        <v>0</v>
      </c>
      <c r="AE26" s="314">
        <f t="shared" si="4"/>
        <v>0</v>
      </c>
      <c r="AF26" s="499"/>
      <c r="AG26" s="499"/>
      <c r="AH26" s="312"/>
      <c r="AI26" s="314"/>
      <c r="AJ26" s="315"/>
      <c r="AK26" s="316"/>
      <c r="AL26" s="311"/>
      <c r="AM26" s="315"/>
      <c r="AN26" s="316"/>
      <c r="AO26" s="317" t="str">
        <f>'L. Eliminations-Consolidations'!A206</f>
        <v>L.3</v>
      </c>
      <c r="AP26" s="316">
        <f>'L. Eliminations-Consolidations'!J208</f>
        <v>0</v>
      </c>
      <c r="AQ26" s="309"/>
      <c r="AR26" s="463" t="s">
        <v>682</v>
      </c>
      <c r="AS26" s="318">
        <f>'K.1  Int. Service Fd Allocation'!G215+'K.2  Int. Service Fd Alloca'!G208+'K.3 Int. Service Fd Alloca'!G208</f>
        <v>0</v>
      </c>
      <c r="AT26" s="508"/>
      <c r="AU26" s="509"/>
      <c r="AV26" s="316">
        <f t="shared" si="0"/>
        <v>0</v>
      </c>
      <c r="AW26" s="316">
        <f t="shared" si="1"/>
        <v>0</v>
      </c>
      <c r="AX26" s="307"/>
      <c r="AY26" s="308"/>
      <c r="AZ26" s="1106" t="str">
        <f>IF((AV26+AV27)-(AW26+AW27)&lt;=0," ",(AV26+AV27)-(AW26+AW27))</f>
        <v xml:space="preserve"> </v>
      </c>
      <c r="BA26" s="318">
        <f>IF((AV26+AV27)-(AW26+AW27)&gt;0," ",(AW26+AW27)-(AV26+AV27))</f>
        <v>0</v>
      </c>
    </row>
    <row r="27" spans="1:53" x14ac:dyDescent="0.2">
      <c r="A27" s="45"/>
      <c r="C27" s="310"/>
      <c r="D27" s="497"/>
      <c r="E27" s="498"/>
      <c r="F27" s="499"/>
      <c r="G27" s="499"/>
      <c r="H27" s="499"/>
      <c r="I27" s="499"/>
      <c r="J27" s="499"/>
      <c r="K27" s="500"/>
      <c r="L27" s="501"/>
      <c r="M27" s="499"/>
      <c r="N27" s="499"/>
      <c r="O27" s="499"/>
      <c r="P27" s="502"/>
      <c r="Q27" s="502"/>
      <c r="R27" s="502"/>
      <c r="S27" s="502"/>
      <c r="T27" s="502"/>
      <c r="U27" s="502"/>
      <c r="V27" s="502"/>
      <c r="W27" s="502"/>
      <c r="X27" s="500"/>
      <c r="Y27" s="500"/>
      <c r="Z27" s="500"/>
      <c r="AA27" s="500"/>
      <c r="AB27" s="313">
        <f t="shared" si="2"/>
        <v>0</v>
      </c>
      <c r="AC27" s="311">
        <f t="shared" si="3"/>
        <v>0</v>
      </c>
      <c r="AD27" s="312">
        <f t="shared" si="5"/>
        <v>0</v>
      </c>
      <c r="AE27" s="314">
        <f t="shared" si="4"/>
        <v>0</v>
      </c>
      <c r="AF27" s="499"/>
      <c r="AG27" s="499"/>
      <c r="AH27" s="312"/>
      <c r="AI27" s="314"/>
      <c r="AJ27" s="315"/>
      <c r="AK27" s="316"/>
      <c r="AL27" s="311"/>
      <c r="AM27" s="315"/>
      <c r="AN27" s="316"/>
      <c r="AO27" s="317" t="str">
        <f>'L. Eliminations-Consolidations'!B266</f>
        <v>L.8</v>
      </c>
      <c r="AP27" s="316">
        <f>'L. Eliminations-Consolidations'!J266</f>
        <v>0</v>
      </c>
      <c r="AQ27" s="309"/>
      <c r="AR27" s="315" t="str">
        <f>'L. Eliminations-Consolidations'!B266</f>
        <v>L.8</v>
      </c>
      <c r="AS27" s="318">
        <f>'L. Eliminations-Consolidations'!L266</f>
        <v>0</v>
      </c>
      <c r="AT27" s="508"/>
      <c r="AU27" s="509"/>
      <c r="AV27" s="316">
        <f t="shared" si="0"/>
        <v>0</v>
      </c>
      <c r="AW27" s="316">
        <f t="shared" si="1"/>
        <v>0</v>
      </c>
      <c r="AX27" s="307"/>
      <c r="AY27" s="308"/>
      <c r="AZ27" s="346"/>
      <c r="BA27" s="318"/>
    </row>
    <row r="28" spans="1:53" s="13" customFormat="1" x14ac:dyDescent="0.2">
      <c r="A28" s="57"/>
      <c r="C28" s="13" t="s">
        <v>750</v>
      </c>
      <c r="D28" s="493"/>
      <c r="E28" s="494"/>
      <c r="F28" s="492"/>
      <c r="G28" s="492"/>
      <c r="H28" s="492"/>
      <c r="I28" s="492"/>
      <c r="J28" s="492"/>
      <c r="K28" s="495"/>
      <c r="L28" s="496"/>
      <c r="M28" s="492"/>
      <c r="N28" s="492"/>
      <c r="O28" s="492"/>
      <c r="P28" s="491"/>
      <c r="Q28" s="491"/>
      <c r="R28" s="491"/>
      <c r="S28" s="491"/>
      <c r="T28" s="491"/>
      <c r="U28" s="491"/>
      <c r="V28" s="491"/>
      <c r="W28" s="491"/>
      <c r="X28" s="495"/>
      <c r="Y28" s="495"/>
      <c r="Z28" s="495"/>
      <c r="AA28" s="495"/>
      <c r="AB28" s="34">
        <f t="shared" si="2"/>
        <v>0</v>
      </c>
      <c r="AC28" s="12">
        <f t="shared" si="3"/>
        <v>0</v>
      </c>
      <c r="AD28" s="30">
        <f t="shared" si="5"/>
        <v>0</v>
      </c>
      <c r="AE28" s="25">
        <f t="shared" si="4"/>
        <v>0</v>
      </c>
      <c r="AF28" s="492"/>
      <c r="AG28" s="492"/>
      <c r="AH28" s="53"/>
      <c r="AI28" s="55"/>
      <c r="AJ28" s="304"/>
      <c r="AK28" s="72"/>
      <c r="AL28" s="10"/>
      <c r="AM28" s="273"/>
      <c r="AN28" s="55"/>
      <c r="AO28" s="304" t="s">
        <v>682</v>
      </c>
      <c r="AP28" s="73">
        <f>'K.1  Int. Service Fd Allocation'!E166+'K.2  Int. Service Fd Alloca'!E160+'K.3 Int. Service Fd Alloca'!E160</f>
        <v>0</v>
      </c>
      <c r="AQ28" s="54"/>
      <c r="AR28" s="273"/>
      <c r="AS28" s="255"/>
      <c r="AT28" s="508"/>
      <c r="AU28" s="509"/>
      <c r="AV28" s="323">
        <f t="shared" si="0"/>
        <v>0</v>
      </c>
      <c r="AW28" s="323">
        <f t="shared" si="1"/>
        <v>0</v>
      </c>
      <c r="AX28" s="57"/>
      <c r="AY28" s="58"/>
      <c r="AZ28" s="345" t="str">
        <f>IF(AV28-AW28&lt;=0," ",AV28-AW28)</f>
        <v xml:space="preserve"> </v>
      </c>
      <c r="BA28" s="254">
        <f>IF(AV28-AW28&gt;0," ",AW28-AV28)</f>
        <v>0</v>
      </c>
    </row>
    <row r="29" spans="1:53" x14ac:dyDescent="0.2">
      <c r="A29" s="45"/>
      <c r="C29" t="s">
        <v>751</v>
      </c>
      <c r="D29" s="489"/>
      <c r="E29" s="490"/>
      <c r="F29" s="485"/>
      <c r="G29" s="485"/>
      <c r="H29" s="485"/>
      <c r="I29" s="485"/>
      <c r="J29" s="485"/>
      <c r="K29" s="486"/>
      <c r="L29" s="487"/>
      <c r="M29" s="485"/>
      <c r="N29" s="485"/>
      <c r="O29" s="485"/>
      <c r="P29" s="488"/>
      <c r="Q29" s="488"/>
      <c r="R29" s="488"/>
      <c r="S29" s="488"/>
      <c r="T29" s="488"/>
      <c r="U29" s="488"/>
      <c r="V29" s="488"/>
      <c r="W29" s="488"/>
      <c r="X29" s="486"/>
      <c r="Y29" s="486"/>
      <c r="Z29" s="486"/>
      <c r="AA29" s="486"/>
      <c r="AB29" s="34">
        <f t="shared" si="2"/>
        <v>0</v>
      </c>
      <c r="AC29" s="12">
        <f t="shared" si="3"/>
        <v>0</v>
      </c>
      <c r="AD29" s="30">
        <f t="shared" si="5"/>
        <v>0</v>
      </c>
      <c r="AE29" s="25">
        <f t="shared" si="4"/>
        <v>0</v>
      </c>
      <c r="AF29" s="485"/>
      <c r="AG29" s="485"/>
      <c r="AH29" s="30"/>
      <c r="AI29" s="25"/>
      <c r="AJ29" s="302"/>
      <c r="AK29" s="73"/>
      <c r="AL29" s="12"/>
      <c r="AM29" s="272"/>
      <c r="AN29" s="55"/>
      <c r="AO29" s="304" t="s">
        <v>682</v>
      </c>
      <c r="AP29" s="73">
        <f>'K.1  Int. Service Fd Allocation'!E167+'K.2  Int. Service Fd Alloca'!E161+'K.3 Int. Service Fd Alloca'!E161</f>
        <v>0</v>
      </c>
      <c r="AQ29" s="14"/>
      <c r="AR29" s="272"/>
      <c r="AS29" s="254"/>
      <c r="AT29" s="508"/>
      <c r="AU29" s="509"/>
      <c r="AV29" s="323">
        <f t="shared" si="0"/>
        <v>0</v>
      </c>
      <c r="AW29" s="323">
        <f t="shared" si="1"/>
        <v>0</v>
      </c>
      <c r="AX29" s="45"/>
      <c r="AY29" s="38"/>
      <c r="AZ29" s="345" t="str">
        <f>IF(AV29-AW29&lt;=0," ",AV29-AW29)</f>
        <v xml:space="preserve"> </v>
      </c>
      <c r="BA29" s="254">
        <f>IF(AV29-AW29&gt;0," ",AW29-AV29)</f>
        <v>0</v>
      </c>
    </row>
    <row r="30" spans="1:53" s="672" customFormat="1" x14ac:dyDescent="0.2">
      <c r="A30" s="45"/>
      <c r="C30" s="672" t="s">
        <v>2073</v>
      </c>
      <c r="D30" s="489"/>
      <c r="E30" s="490"/>
      <c r="F30" s="485"/>
      <c r="G30" s="485"/>
      <c r="H30" s="485"/>
      <c r="I30" s="485"/>
      <c r="J30" s="485"/>
      <c r="K30" s="486"/>
      <c r="L30" s="487"/>
      <c r="M30" s="485"/>
      <c r="N30" s="485"/>
      <c r="O30" s="485"/>
      <c r="P30" s="488"/>
      <c r="Q30" s="488"/>
      <c r="R30" s="488"/>
      <c r="S30" s="488"/>
      <c r="T30" s="488"/>
      <c r="U30" s="488"/>
      <c r="V30" s="488"/>
      <c r="W30" s="488"/>
      <c r="X30" s="486"/>
      <c r="Y30" s="486"/>
      <c r="Z30" s="486"/>
      <c r="AA30" s="486"/>
      <c r="AB30" s="34">
        <f>L30+N30+P30+R30+T30+V30+X30+Z30</f>
        <v>0</v>
      </c>
      <c r="AC30" s="12">
        <f>M30+O30+Q30+S30+U30+W30+Y30+AA30</f>
        <v>0</v>
      </c>
      <c r="AD30" s="30">
        <f>D30+F30+H30+J30+AB30</f>
        <v>0</v>
      </c>
      <c r="AE30" s="25">
        <f>E30+G30+I30+K30+AC30</f>
        <v>0</v>
      </c>
      <c r="AF30" s="485"/>
      <c r="AG30" s="485"/>
      <c r="AH30" s="30"/>
      <c r="AI30" s="25"/>
      <c r="AJ30" s="272" t="s">
        <v>2074</v>
      </c>
      <c r="AK30" s="73">
        <f>'N.1 GASB 68 LGERS'!C95</f>
        <v>0</v>
      </c>
      <c r="AL30" s="12"/>
      <c r="AM30" s="272" t="s">
        <v>2074</v>
      </c>
      <c r="AN30" s="55">
        <f>'N.1 GASB 68 LGERS'!D95</f>
        <v>0</v>
      </c>
      <c r="AO30" s="304" t="s">
        <v>682</v>
      </c>
      <c r="AP30" s="73">
        <f>'K.1  Int. Service Fd Allocation'!E168</f>
        <v>0</v>
      </c>
      <c r="AQ30" s="14"/>
      <c r="AR30" s="272"/>
      <c r="AS30" s="254"/>
      <c r="AT30" s="677"/>
      <c r="AU30" s="509"/>
      <c r="AV30" s="323">
        <f>AD30+AF30+AH30+AK30+AP30+AT30</f>
        <v>0</v>
      </c>
      <c r="AW30" s="323">
        <f>AE30+AG30+AI30+AN30+AS30+AU30</f>
        <v>0</v>
      </c>
      <c r="AX30" s="45"/>
      <c r="AY30" s="38"/>
      <c r="AZ30" s="345" t="str">
        <f>IF(AV30-AW30&lt;=0," ",AV30-AW30)</f>
        <v xml:space="preserve"> </v>
      </c>
      <c r="BA30" s="254">
        <f>IF(AV30-AW30&gt;0," ",AW30-AV30)</f>
        <v>0</v>
      </c>
    </row>
    <row r="31" spans="1:53" x14ac:dyDescent="0.2">
      <c r="A31" s="57"/>
      <c r="B31" s="13"/>
      <c r="C31" s="310" t="s">
        <v>196</v>
      </c>
      <c r="D31" s="497"/>
      <c r="E31" s="498"/>
      <c r="F31" s="499"/>
      <c r="G31" s="499"/>
      <c r="H31" s="499"/>
      <c r="I31" s="499"/>
      <c r="J31" s="499"/>
      <c r="K31" s="500"/>
      <c r="L31" s="501"/>
      <c r="M31" s="499"/>
      <c r="N31" s="499"/>
      <c r="O31" s="499"/>
      <c r="P31" s="502"/>
      <c r="Q31" s="502"/>
      <c r="R31" s="502"/>
      <c r="S31" s="502"/>
      <c r="T31" s="502"/>
      <c r="U31" s="502"/>
      <c r="V31" s="502"/>
      <c r="W31" s="502"/>
      <c r="X31" s="500"/>
      <c r="Y31" s="500"/>
      <c r="Z31" s="500"/>
      <c r="AA31" s="500"/>
      <c r="AB31" s="313">
        <f t="shared" si="2"/>
        <v>0</v>
      </c>
      <c r="AC31" s="311">
        <f t="shared" si="3"/>
        <v>0</v>
      </c>
      <c r="AD31" s="312">
        <f t="shared" si="5"/>
        <v>0</v>
      </c>
      <c r="AE31" s="314">
        <f t="shared" si="4"/>
        <v>0</v>
      </c>
      <c r="AF31" s="499"/>
      <c r="AG31" s="499"/>
      <c r="AH31" s="312"/>
      <c r="AI31" s="314"/>
      <c r="AJ31" s="315"/>
      <c r="AK31" s="316"/>
      <c r="AL31" s="311"/>
      <c r="AM31" s="315"/>
      <c r="AN31" s="316"/>
      <c r="AO31" s="459" t="s">
        <v>682</v>
      </c>
      <c r="AP31" s="316">
        <f>'K.1  Int. Service Fd Allocation'!E165+'K.2  Int. Service Fd Alloca'!E159+'K.3 Int. Service Fd Alloca'!E159</f>
        <v>0</v>
      </c>
      <c r="AQ31" s="309"/>
      <c r="AR31" s="315" t="str">
        <f>'L. Eliminations-Consolidations'!A201</f>
        <v>L.2</v>
      </c>
      <c r="AS31" s="318">
        <f>'L. Eliminations-Consolidations'!L204</f>
        <v>0</v>
      </c>
      <c r="AT31" s="508"/>
      <c r="AU31" s="509"/>
      <c r="AV31" s="316">
        <f t="shared" si="0"/>
        <v>0</v>
      </c>
      <c r="AW31" s="316">
        <f t="shared" si="1"/>
        <v>0</v>
      </c>
      <c r="AX31" s="307"/>
      <c r="AY31" s="308"/>
      <c r="AZ31" s="1106" t="str">
        <f>IF((AV31+AV32)-(AW31+AW32)&lt;=0," ",(AV31+AV32)-(AW31+AW32))</f>
        <v xml:space="preserve"> </v>
      </c>
      <c r="BA31" s="318">
        <f>IF((AV31+AV32)-(AW31+AW32)&gt;0," ",(AW31+AW32)-(AV31+AV32))</f>
        <v>0</v>
      </c>
    </row>
    <row r="32" spans="1:53" x14ac:dyDescent="0.2">
      <c r="A32" s="57"/>
      <c r="B32" s="13"/>
      <c r="C32" s="310"/>
      <c r="D32" s="497"/>
      <c r="E32" s="498"/>
      <c r="F32" s="499"/>
      <c r="G32" s="499"/>
      <c r="H32" s="499"/>
      <c r="I32" s="499"/>
      <c r="J32" s="499"/>
      <c r="K32" s="500"/>
      <c r="L32" s="501"/>
      <c r="M32" s="499"/>
      <c r="N32" s="499"/>
      <c r="O32" s="499"/>
      <c r="P32" s="502"/>
      <c r="Q32" s="502"/>
      <c r="R32" s="502"/>
      <c r="S32" s="502"/>
      <c r="T32" s="502"/>
      <c r="U32" s="502"/>
      <c r="V32" s="502"/>
      <c r="W32" s="502"/>
      <c r="X32" s="500"/>
      <c r="Y32" s="500"/>
      <c r="Z32" s="500"/>
      <c r="AA32" s="500"/>
      <c r="AB32" s="313">
        <f t="shared" si="2"/>
        <v>0</v>
      </c>
      <c r="AC32" s="311">
        <f t="shared" si="3"/>
        <v>0</v>
      </c>
      <c r="AD32" s="312">
        <f t="shared" si="5"/>
        <v>0</v>
      </c>
      <c r="AE32" s="314">
        <f t="shared" si="4"/>
        <v>0</v>
      </c>
      <c r="AF32" s="499"/>
      <c r="AG32" s="499"/>
      <c r="AH32" s="312"/>
      <c r="AI32" s="314"/>
      <c r="AJ32" s="315"/>
      <c r="AK32" s="316"/>
      <c r="AL32" s="311"/>
      <c r="AM32" s="315"/>
      <c r="AN32" s="316"/>
      <c r="AO32" s="317"/>
      <c r="AP32" s="316"/>
      <c r="AQ32" s="309"/>
      <c r="AR32" s="315" t="str">
        <f>'L. Eliminations-Consolidations'!A206</f>
        <v>L.3</v>
      </c>
      <c r="AS32" s="318">
        <f>'L. Eliminations-Consolidations'!L209</f>
        <v>0</v>
      </c>
      <c r="AT32" s="508"/>
      <c r="AU32" s="509"/>
      <c r="AV32" s="316">
        <f t="shared" si="0"/>
        <v>0</v>
      </c>
      <c r="AW32" s="316">
        <f t="shared" si="1"/>
        <v>0</v>
      </c>
      <c r="AX32" s="307"/>
      <c r="AY32" s="308"/>
      <c r="AZ32" s="346"/>
      <c r="BA32" s="318"/>
    </row>
    <row r="33" spans="1:205" ht="25.5" x14ac:dyDescent="0.2">
      <c r="A33" s="45"/>
      <c r="C33" s="59" t="s">
        <v>355</v>
      </c>
      <c r="D33" s="489"/>
      <c r="E33" s="490"/>
      <c r="F33" s="485"/>
      <c r="G33" s="485"/>
      <c r="H33" s="485"/>
      <c r="I33" s="485"/>
      <c r="J33" s="485"/>
      <c r="K33" s="486"/>
      <c r="L33" s="487"/>
      <c r="M33" s="485"/>
      <c r="N33" s="485"/>
      <c r="O33" s="485"/>
      <c r="P33" s="488"/>
      <c r="Q33" s="488"/>
      <c r="R33" s="488"/>
      <c r="S33" s="488"/>
      <c r="T33" s="488"/>
      <c r="U33" s="488"/>
      <c r="V33" s="488"/>
      <c r="W33" s="488"/>
      <c r="X33" s="486"/>
      <c r="Y33" s="486"/>
      <c r="Z33" s="486"/>
      <c r="AA33" s="486"/>
      <c r="AB33" s="34">
        <f t="shared" si="2"/>
        <v>0</v>
      </c>
      <c r="AC33" s="12">
        <f t="shared" si="3"/>
        <v>0</v>
      </c>
      <c r="AD33" s="30">
        <f t="shared" si="5"/>
        <v>0</v>
      </c>
      <c r="AE33" s="25">
        <f t="shared" si="4"/>
        <v>0</v>
      </c>
      <c r="AF33" s="485"/>
      <c r="AG33" s="485"/>
      <c r="AH33" s="30"/>
      <c r="AI33" s="25"/>
      <c r="AJ33" s="272" t="str">
        <f>'I.  Other Asset Entries'!B105</f>
        <v>I.1</v>
      </c>
      <c r="AK33" s="73">
        <f>'I.  Other Asset Entries'!L109</f>
        <v>0</v>
      </c>
      <c r="AL33" s="12"/>
      <c r="AM33" s="272"/>
      <c r="AN33" s="73"/>
      <c r="AO33" s="279"/>
      <c r="AP33" s="73"/>
      <c r="AQ33" s="14"/>
      <c r="AR33" s="272"/>
      <c r="AS33" s="254"/>
      <c r="AT33" s="508"/>
      <c r="AU33" s="509"/>
      <c r="AV33" s="323">
        <f t="shared" si="0"/>
        <v>0</v>
      </c>
      <c r="AW33" s="323">
        <f t="shared" si="1"/>
        <v>0</v>
      </c>
      <c r="AX33" s="45"/>
      <c r="AY33" s="38"/>
      <c r="AZ33" s="345" t="str">
        <f>IF(AV33-AW33&lt;=0," ",AV33-AW33)</f>
        <v xml:space="preserve"> </v>
      </c>
      <c r="BA33" s="254">
        <f>IF(AV33-AW33&gt;0," ",AW33-AV33)</f>
        <v>0</v>
      </c>
    </row>
    <row r="34" spans="1:205" x14ac:dyDescent="0.2">
      <c r="A34" s="45"/>
      <c r="C34" t="s">
        <v>1133</v>
      </c>
      <c r="D34" s="489"/>
      <c r="E34" s="490"/>
      <c r="F34" s="485"/>
      <c r="G34" s="485"/>
      <c r="H34" s="485"/>
      <c r="I34" s="485"/>
      <c r="J34" s="485"/>
      <c r="K34" s="486"/>
      <c r="L34" s="487"/>
      <c r="M34" s="485"/>
      <c r="N34" s="485"/>
      <c r="O34" s="485"/>
      <c r="P34" s="488"/>
      <c r="Q34" s="488"/>
      <c r="R34" s="488"/>
      <c r="S34" s="488"/>
      <c r="T34" s="488"/>
      <c r="U34" s="488"/>
      <c r="V34" s="488"/>
      <c r="W34" s="488"/>
      <c r="X34" s="486"/>
      <c r="Y34" s="486"/>
      <c r="Z34" s="486"/>
      <c r="AA34" s="486"/>
      <c r="AB34" s="34">
        <f t="shared" si="2"/>
        <v>0</v>
      </c>
      <c r="AC34" s="12">
        <f t="shared" si="3"/>
        <v>0</v>
      </c>
      <c r="AD34" s="30">
        <f t="shared" si="5"/>
        <v>0</v>
      </c>
      <c r="AE34" s="25">
        <f t="shared" si="4"/>
        <v>0</v>
      </c>
      <c r="AF34" s="485"/>
      <c r="AG34" s="485"/>
      <c r="AH34" s="30"/>
      <c r="AI34" s="25"/>
      <c r="AJ34" s="272" t="str">
        <f>'H. Debt Issues'!D77</f>
        <v>H.1</v>
      </c>
      <c r="AK34" s="73">
        <f>'H. Debt Issues'!L82</f>
        <v>0</v>
      </c>
      <c r="AL34" s="12"/>
      <c r="AM34" s="272" t="str">
        <f>'H. Debt Issues'!D77</f>
        <v>H.1</v>
      </c>
      <c r="AN34" s="73">
        <f>'H. Debt Issues'!N82</f>
        <v>0</v>
      </c>
      <c r="AO34" s="279"/>
      <c r="AP34" s="73"/>
      <c r="AQ34" s="14"/>
      <c r="AR34" s="272"/>
      <c r="AS34" s="254"/>
      <c r="AT34" s="508"/>
      <c r="AU34" s="509"/>
      <c r="AV34" s="323">
        <f t="shared" si="0"/>
        <v>0</v>
      </c>
      <c r="AW34" s="323">
        <f t="shared" si="1"/>
        <v>0</v>
      </c>
      <c r="AX34" s="45"/>
      <c r="AY34" s="38"/>
      <c r="AZ34" s="345" t="str">
        <f>IF(AV34-AW34&lt;=0," ",AV34-AW34)</f>
        <v xml:space="preserve"> </v>
      </c>
      <c r="BA34" s="254">
        <f>IF(AV34-AW34&gt;0," ",AW34-AV34)</f>
        <v>0</v>
      </c>
    </row>
    <row r="35" spans="1:205" x14ac:dyDescent="0.2">
      <c r="L35" s="487"/>
      <c r="M35" s="485"/>
      <c r="N35" s="485"/>
      <c r="O35" s="485"/>
      <c r="P35" s="488"/>
      <c r="Q35" s="488"/>
      <c r="R35" s="488"/>
      <c r="S35" s="488"/>
      <c r="T35" s="488"/>
      <c r="U35" s="488"/>
      <c r="V35" s="488"/>
      <c r="W35" s="488"/>
      <c r="X35" s="486"/>
      <c r="Y35" s="486"/>
      <c r="Z35" s="486"/>
      <c r="AA35" s="486"/>
      <c r="AB35" s="34"/>
      <c r="AC35" s="12"/>
      <c r="AD35" s="30"/>
      <c r="AE35" s="25"/>
      <c r="AF35" s="485"/>
      <c r="AG35" s="485"/>
      <c r="AH35" s="30"/>
      <c r="AI35" s="25"/>
      <c r="AJ35" s="272"/>
      <c r="AK35" s="73"/>
      <c r="AL35" s="12"/>
      <c r="AM35" s="272"/>
      <c r="AN35" s="73"/>
      <c r="AO35" s="279"/>
      <c r="AP35" s="73"/>
      <c r="AQ35" s="14"/>
      <c r="AR35" s="272"/>
      <c r="AS35" s="254"/>
      <c r="AT35" s="45"/>
      <c r="AU35" s="38"/>
      <c r="AV35" s="72"/>
      <c r="AW35" s="72"/>
      <c r="AX35" s="45"/>
      <c r="AY35" s="38"/>
      <c r="BA35" s="254"/>
    </row>
    <row r="36" spans="1:205" x14ac:dyDescent="0.2">
      <c r="A36" s="57"/>
      <c r="B36" s="51"/>
      <c r="C36" s="310" t="s">
        <v>476</v>
      </c>
      <c r="D36" s="497"/>
      <c r="E36" s="498"/>
      <c r="F36" s="499"/>
      <c r="G36" s="499"/>
      <c r="H36" s="499"/>
      <c r="I36" s="499"/>
      <c r="J36" s="499"/>
      <c r="K36" s="499"/>
      <c r="L36" s="501"/>
      <c r="M36" s="499"/>
      <c r="N36" s="499"/>
      <c r="O36" s="499"/>
      <c r="P36" s="502"/>
      <c r="Q36" s="502"/>
      <c r="R36" s="502"/>
      <c r="S36" s="502"/>
      <c r="T36" s="502"/>
      <c r="U36" s="502"/>
      <c r="V36" s="502"/>
      <c r="W36" s="502"/>
      <c r="X36" s="500"/>
      <c r="Y36" s="500"/>
      <c r="Z36" s="500"/>
      <c r="AA36" s="500"/>
      <c r="AB36" s="313">
        <f t="shared" si="2"/>
        <v>0</v>
      </c>
      <c r="AC36" s="311">
        <f t="shared" si="3"/>
        <v>0</v>
      </c>
      <c r="AD36" s="312">
        <f t="shared" si="5"/>
        <v>0</v>
      </c>
      <c r="AE36" s="314">
        <f t="shared" si="4"/>
        <v>0</v>
      </c>
      <c r="AF36" s="499"/>
      <c r="AG36" s="499"/>
      <c r="AH36" s="312"/>
      <c r="AI36" s="314"/>
      <c r="AJ36" s="315" t="str">
        <f>'E. Capital Outlay'!D51</f>
        <v>E.1</v>
      </c>
      <c r="AK36" s="316">
        <f>'E. Capital Outlay'!L51</f>
        <v>0</v>
      </c>
      <c r="AL36" s="311"/>
      <c r="AM36" s="315" t="str">
        <f>'F.  Other Cap Asset Entries'!D214</f>
        <v>F.1</v>
      </c>
      <c r="AN36" s="316">
        <f>'F.  Other Cap Asset Entries'!O225</f>
        <v>0</v>
      </c>
      <c r="AO36" s="459" t="s">
        <v>682</v>
      </c>
      <c r="AP36" s="316">
        <f>'K.1  Int. Service Fd Allocation'!E169+'K.2  Int. Service Fd Alloca'!E162+'K.3 Int. Service Fd Alloca'!E162</f>
        <v>0</v>
      </c>
      <c r="AQ36" s="309"/>
      <c r="AR36" s="315"/>
      <c r="AS36" s="318"/>
      <c r="AT36" s="508"/>
      <c r="AU36" s="509"/>
      <c r="AV36" s="316">
        <f t="shared" si="0"/>
        <v>0</v>
      </c>
      <c r="AW36" s="316">
        <f t="shared" si="1"/>
        <v>0</v>
      </c>
      <c r="AX36" s="307"/>
      <c r="AY36" s="308"/>
      <c r="AZ36" s="1106" t="str">
        <f>IF((AV36+AV37+AV38+AV39)-(AW36+AW37+AW38+AW39)&lt;=0," ",(AV36+AV37+AV38+AV39)-(AW36+AW37+AW38+AW39))</f>
        <v xml:space="preserve"> </v>
      </c>
      <c r="BA36" s="318">
        <f>IF((AV36+AV37+AV38)-(AW36+AW37+AW38)&gt;0," ",(AW36+AW37+AW38)-(AV36+AV37+AV38))</f>
        <v>0</v>
      </c>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c r="CC36" s="13"/>
      <c r="CD36" s="13"/>
      <c r="CE36" s="13"/>
      <c r="CF36" s="13"/>
      <c r="CG36" s="13"/>
      <c r="CH36" s="13"/>
      <c r="CI36" s="13"/>
      <c r="CJ36" s="13"/>
      <c r="CK36" s="13"/>
      <c r="CL36" s="13"/>
      <c r="CM36" s="13"/>
      <c r="CN36" s="13"/>
      <c r="CO36" s="13"/>
      <c r="CP36" s="13"/>
      <c r="CQ36" s="13"/>
      <c r="CR36" s="13"/>
      <c r="CS36" s="13"/>
      <c r="CT36" s="13"/>
      <c r="CU36" s="13"/>
      <c r="CV36" s="13"/>
      <c r="CW36" s="13"/>
      <c r="CX36" s="13"/>
      <c r="CY36" s="13"/>
      <c r="CZ36" s="13"/>
      <c r="DA36" s="13"/>
      <c r="DB36" s="13"/>
      <c r="DC36" s="13"/>
      <c r="DD36" s="13"/>
      <c r="DE36" s="13"/>
      <c r="DF36" s="13"/>
      <c r="DG36" s="13"/>
      <c r="DH36" s="13"/>
      <c r="DI36" s="13"/>
      <c r="DJ36" s="13"/>
      <c r="DK36" s="13"/>
      <c r="DL36" s="13"/>
      <c r="DM36" s="13"/>
      <c r="DN36" s="13"/>
      <c r="DO36" s="13"/>
      <c r="DP36" s="13"/>
      <c r="DQ36" s="13"/>
      <c r="DR36" s="13"/>
      <c r="DS36" s="13"/>
      <c r="DT36" s="13"/>
      <c r="DU36" s="13"/>
      <c r="DV36" s="13"/>
      <c r="DW36" s="13"/>
      <c r="DX36" s="13"/>
      <c r="DY36" s="13"/>
      <c r="DZ36" s="13"/>
      <c r="EA36" s="13"/>
      <c r="EB36" s="13"/>
      <c r="EC36" s="13"/>
      <c r="ED36" s="13"/>
      <c r="EE36" s="13"/>
      <c r="EF36" s="13"/>
      <c r="EG36" s="13"/>
      <c r="EH36" s="13"/>
      <c r="EI36" s="13"/>
      <c r="EJ36" s="13"/>
      <c r="EK36" s="13"/>
      <c r="EL36" s="13"/>
      <c r="EM36" s="13"/>
      <c r="EN36" s="13"/>
      <c r="EO36" s="13"/>
      <c r="EP36" s="13"/>
      <c r="EQ36" s="13"/>
      <c r="ER36" s="13"/>
      <c r="ES36" s="13"/>
      <c r="ET36" s="13"/>
      <c r="EU36" s="13"/>
      <c r="EV36" s="13"/>
      <c r="EW36" s="13"/>
      <c r="EX36" s="13"/>
      <c r="EY36" s="13"/>
      <c r="EZ36" s="13"/>
      <c r="FA36" s="13"/>
      <c r="FB36" s="13"/>
      <c r="FC36" s="13"/>
      <c r="FD36" s="13"/>
      <c r="FE36" s="13"/>
      <c r="FF36" s="13"/>
      <c r="FG36" s="13"/>
      <c r="FH36" s="13"/>
      <c r="FI36" s="13"/>
      <c r="FJ36" s="13"/>
      <c r="FK36" s="13"/>
      <c r="FL36" s="13"/>
      <c r="FM36" s="13"/>
      <c r="FN36" s="13"/>
      <c r="FO36" s="13"/>
      <c r="FP36" s="13"/>
      <c r="FQ36" s="13"/>
      <c r="FR36" s="13"/>
      <c r="FS36" s="13"/>
      <c r="FT36" s="13"/>
      <c r="FU36" s="13"/>
      <c r="FV36" s="13"/>
      <c r="FW36" s="13"/>
      <c r="FX36" s="13"/>
      <c r="FY36" s="13"/>
      <c r="FZ36" s="13"/>
      <c r="GA36" s="13"/>
      <c r="GB36" s="13"/>
      <c r="GC36" s="13"/>
      <c r="GD36" s="13"/>
      <c r="GE36" s="13"/>
      <c r="GF36" s="13"/>
      <c r="GG36" s="13"/>
      <c r="GH36" s="13"/>
      <c r="GI36" s="13"/>
      <c r="GJ36" s="13"/>
      <c r="GK36" s="13"/>
      <c r="GL36" s="13"/>
      <c r="GM36" s="13"/>
      <c r="GN36" s="13"/>
      <c r="GO36" s="13"/>
      <c r="GP36" s="13"/>
      <c r="GQ36" s="13"/>
      <c r="GR36" s="13"/>
      <c r="GS36" s="13"/>
      <c r="GT36" s="13"/>
      <c r="GU36" s="13"/>
      <c r="GV36" s="13"/>
      <c r="GW36" s="13"/>
    </row>
    <row r="37" spans="1:205" x14ac:dyDescent="0.2">
      <c r="A37" s="57"/>
      <c r="B37" s="51"/>
      <c r="C37" s="310"/>
      <c r="D37" s="497"/>
      <c r="E37" s="498"/>
      <c r="F37" s="499"/>
      <c r="G37" s="499"/>
      <c r="H37" s="499"/>
      <c r="I37" s="499"/>
      <c r="J37" s="499"/>
      <c r="K37" s="499"/>
      <c r="L37" s="501"/>
      <c r="M37" s="499"/>
      <c r="N37" s="499"/>
      <c r="O37" s="499"/>
      <c r="P37" s="502"/>
      <c r="Q37" s="502"/>
      <c r="R37" s="502"/>
      <c r="S37" s="502"/>
      <c r="T37" s="502"/>
      <c r="U37" s="502"/>
      <c r="V37" s="502"/>
      <c r="W37" s="502"/>
      <c r="X37" s="500"/>
      <c r="Y37" s="500"/>
      <c r="Z37" s="500"/>
      <c r="AA37" s="500"/>
      <c r="AB37" s="313">
        <f t="shared" si="2"/>
        <v>0</v>
      </c>
      <c r="AC37" s="311">
        <f t="shared" si="3"/>
        <v>0</v>
      </c>
      <c r="AD37" s="312">
        <f t="shared" si="5"/>
        <v>0</v>
      </c>
      <c r="AE37" s="314">
        <f t="shared" si="4"/>
        <v>0</v>
      </c>
      <c r="AF37" s="499"/>
      <c r="AG37" s="499"/>
      <c r="AH37" s="312"/>
      <c r="AI37" s="314"/>
      <c r="AJ37" s="315" t="str">
        <f>'F.  Other Cap Asset Entries'!D214</f>
        <v>F.1</v>
      </c>
      <c r="AK37" s="316">
        <f>'F.  Other Cap Asset Entries'!M225</f>
        <v>0</v>
      </c>
      <c r="AL37" s="311"/>
      <c r="AM37" s="320" t="s">
        <v>968</v>
      </c>
      <c r="AN37" s="321">
        <f>'F.  Other Cap Asset Entries'!O258</f>
        <v>0</v>
      </c>
      <c r="AO37" s="317"/>
      <c r="AP37" s="316"/>
      <c r="AQ37" s="309"/>
      <c r="AR37" s="315"/>
      <c r="AS37" s="318"/>
      <c r="AT37" s="508"/>
      <c r="AU37" s="509"/>
      <c r="AV37" s="316">
        <f t="shared" si="0"/>
        <v>0</v>
      </c>
      <c r="AW37" s="316">
        <f t="shared" si="1"/>
        <v>0</v>
      </c>
      <c r="AX37" s="307"/>
      <c r="AY37" s="308"/>
      <c r="AZ37" s="346"/>
      <c r="BA37" s="318"/>
      <c r="BB37" s="13"/>
      <c r="BC37" s="13"/>
      <c r="BD37" s="13"/>
      <c r="BE37" s="13"/>
      <c r="BF37" s="13"/>
      <c r="BG37" s="13"/>
      <c r="BH37" s="13"/>
      <c r="BI37" s="13"/>
      <c r="BJ37" s="13"/>
      <c r="BK37" s="13"/>
      <c r="BL37" s="13"/>
      <c r="BM37" s="13"/>
      <c r="BN37" s="13"/>
      <c r="BO37" s="13"/>
      <c r="BP37" s="13"/>
      <c r="BQ37" s="13"/>
      <c r="BR37" s="13"/>
      <c r="BS37" s="13"/>
      <c r="BT37" s="13"/>
      <c r="BU37" s="13"/>
      <c r="BV37" s="13"/>
      <c r="BW37" s="13"/>
      <c r="BX37" s="13"/>
      <c r="BY37" s="13"/>
      <c r="BZ37" s="13"/>
      <c r="CA37" s="13"/>
      <c r="CB37" s="13"/>
      <c r="CC37" s="13"/>
      <c r="CD37" s="13"/>
      <c r="CE37" s="13"/>
      <c r="CF37" s="13"/>
      <c r="CG37" s="13"/>
      <c r="CH37" s="13"/>
      <c r="CI37" s="13"/>
      <c r="CJ37" s="13"/>
      <c r="CK37" s="13"/>
      <c r="CL37" s="13"/>
      <c r="CM37" s="13"/>
      <c r="CN37" s="13"/>
      <c r="CO37" s="13"/>
      <c r="CP37" s="13"/>
      <c r="CQ37" s="13"/>
      <c r="CR37" s="13"/>
      <c r="CS37" s="13"/>
      <c r="CT37" s="13"/>
      <c r="CU37" s="13"/>
      <c r="CV37" s="13"/>
      <c r="CW37" s="13"/>
      <c r="CX37" s="13"/>
      <c r="CY37" s="13"/>
      <c r="CZ37" s="13"/>
      <c r="DA37" s="13"/>
      <c r="DB37" s="13"/>
      <c r="DC37" s="13"/>
      <c r="DD37" s="13"/>
      <c r="DE37" s="13"/>
      <c r="DF37" s="13"/>
      <c r="DG37" s="13"/>
      <c r="DH37" s="13"/>
      <c r="DI37" s="13"/>
      <c r="DJ37" s="13"/>
      <c r="DK37" s="13"/>
      <c r="DL37" s="13"/>
      <c r="DM37" s="13"/>
      <c r="DN37" s="13"/>
      <c r="DO37" s="13"/>
      <c r="DP37" s="13"/>
      <c r="DQ37" s="13"/>
      <c r="DR37" s="13"/>
      <c r="DS37" s="13"/>
      <c r="DT37" s="13"/>
      <c r="DU37" s="13"/>
      <c r="DV37" s="13"/>
      <c r="DW37" s="13"/>
      <c r="DX37" s="13"/>
      <c r="DY37" s="13"/>
      <c r="DZ37" s="13"/>
      <c r="EA37" s="13"/>
      <c r="EB37" s="13"/>
      <c r="EC37" s="13"/>
      <c r="ED37" s="13"/>
      <c r="EE37" s="13"/>
      <c r="EF37" s="13"/>
      <c r="EG37" s="13"/>
      <c r="EH37" s="13"/>
      <c r="EI37" s="13"/>
      <c r="EJ37" s="13"/>
      <c r="EK37" s="13"/>
      <c r="EL37" s="13"/>
      <c r="EM37" s="13"/>
      <c r="EN37" s="13"/>
      <c r="EO37" s="13"/>
      <c r="EP37" s="13"/>
      <c r="EQ37" s="13"/>
      <c r="ER37" s="13"/>
      <c r="ES37" s="13"/>
      <c r="ET37" s="13"/>
      <c r="EU37" s="13"/>
      <c r="EV37" s="13"/>
      <c r="EW37" s="13"/>
      <c r="EX37" s="13"/>
      <c r="EY37" s="13"/>
      <c r="EZ37" s="13"/>
      <c r="FA37" s="13"/>
      <c r="FB37" s="13"/>
      <c r="FC37" s="13"/>
      <c r="FD37" s="13"/>
      <c r="FE37" s="13"/>
      <c r="FF37" s="13"/>
      <c r="FG37" s="13"/>
      <c r="FH37" s="13"/>
      <c r="FI37" s="13"/>
      <c r="FJ37" s="13"/>
      <c r="FK37" s="13"/>
      <c r="FL37" s="13"/>
      <c r="FM37" s="13"/>
      <c r="FN37" s="13"/>
      <c r="FO37" s="13"/>
      <c r="FP37" s="13"/>
      <c r="FQ37" s="13"/>
      <c r="FR37" s="13"/>
      <c r="FS37" s="13"/>
      <c r="FT37" s="13"/>
      <c r="FU37" s="13"/>
      <c r="FV37" s="13"/>
      <c r="FW37" s="13"/>
      <c r="FX37" s="13"/>
      <c r="FY37" s="13"/>
      <c r="FZ37" s="13"/>
      <c r="GA37" s="13"/>
      <c r="GB37" s="13"/>
      <c r="GC37" s="13"/>
      <c r="GD37" s="13"/>
      <c r="GE37" s="13"/>
      <c r="GF37" s="13"/>
      <c r="GG37" s="13"/>
      <c r="GH37" s="13"/>
      <c r="GI37" s="13"/>
      <c r="GJ37" s="13"/>
      <c r="GK37" s="13"/>
      <c r="GL37" s="13"/>
      <c r="GM37" s="13"/>
      <c r="GN37" s="13"/>
      <c r="GO37" s="13"/>
      <c r="GP37" s="13"/>
      <c r="GQ37" s="13"/>
      <c r="GR37" s="13"/>
      <c r="GS37" s="13"/>
      <c r="GT37" s="13"/>
      <c r="GU37" s="13"/>
      <c r="GV37" s="13"/>
      <c r="GW37" s="13"/>
    </row>
    <row r="38" spans="1:205" x14ac:dyDescent="0.2">
      <c r="A38" s="57"/>
      <c r="B38" s="51"/>
      <c r="C38" s="310"/>
      <c r="D38" s="497"/>
      <c r="E38" s="498"/>
      <c r="F38" s="499"/>
      <c r="G38" s="499"/>
      <c r="H38" s="499"/>
      <c r="I38" s="499"/>
      <c r="J38" s="499"/>
      <c r="K38" s="499"/>
      <c r="L38" s="501"/>
      <c r="M38" s="499"/>
      <c r="N38" s="499"/>
      <c r="O38" s="499"/>
      <c r="P38" s="502"/>
      <c r="Q38" s="502"/>
      <c r="R38" s="502"/>
      <c r="S38" s="502"/>
      <c r="T38" s="502"/>
      <c r="U38" s="502"/>
      <c r="V38" s="502"/>
      <c r="W38" s="502"/>
      <c r="X38" s="500"/>
      <c r="Y38" s="500"/>
      <c r="Z38" s="500"/>
      <c r="AA38" s="500"/>
      <c r="AB38" s="313">
        <f t="shared" si="2"/>
        <v>0</v>
      </c>
      <c r="AC38" s="311">
        <f t="shared" si="3"/>
        <v>0</v>
      </c>
      <c r="AD38" s="312">
        <f t="shared" si="5"/>
        <v>0</v>
      </c>
      <c r="AE38" s="314">
        <f t="shared" si="4"/>
        <v>0</v>
      </c>
      <c r="AF38" s="499"/>
      <c r="AG38" s="499"/>
      <c r="AH38" s="312"/>
      <c r="AI38" s="314"/>
      <c r="AJ38" s="315" t="str">
        <f>'F.  Other Cap Asset Entries'!D236</f>
        <v>F.2</v>
      </c>
      <c r="AK38" s="316">
        <f>'F.  Other Cap Asset Entries'!M236</f>
        <v>0</v>
      </c>
      <c r="AL38" s="311"/>
      <c r="AM38" s="320"/>
      <c r="AN38" s="321"/>
      <c r="AO38" s="317"/>
      <c r="AP38" s="316"/>
      <c r="AQ38" s="309"/>
      <c r="AR38" s="315"/>
      <c r="AS38" s="318"/>
      <c r="AT38" s="508"/>
      <c r="AU38" s="509"/>
      <c r="AV38" s="316">
        <f t="shared" si="0"/>
        <v>0</v>
      </c>
      <c r="AW38" s="316">
        <f t="shared" si="1"/>
        <v>0</v>
      </c>
      <c r="AX38" s="307"/>
      <c r="AY38" s="308"/>
      <c r="AZ38" s="346"/>
      <c r="BA38" s="318"/>
      <c r="BB38" s="13"/>
      <c r="BC38" s="13"/>
      <c r="BD38" s="13"/>
      <c r="BE38" s="13"/>
      <c r="BF38" s="13"/>
      <c r="BG38" s="13"/>
      <c r="BH38" s="13"/>
      <c r="BI38" s="13"/>
      <c r="BJ38" s="13"/>
      <c r="BK38" s="13"/>
      <c r="BL38" s="13"/>
      <c r="BM38" s="13"/>
      <c r="BN38" s="13"/>
      <c r="BO38" s="13"/>
      <c r="BP38" s="13"/>
      <c r="BQ38" s="13"/>
      <c r="BR38" s="13"/>
      <c r="BS38" s="13"/>
      <c r="BT38" s="13"/>
      <c r="BU38" s="13"/>
      <c r="BV38" s="13"/>
      <c r="BW38" s="13"/>
      <c r="BX38" s="13"/>
      <c r="BY38" s="13"/>
      <c r="BZ38" s="13"/>
      <c r="CA38" s="13"/>
      <c r="CB38" s="13"/>
      <c r="CC38" s="13"/>
      <c r="CD38" s="13"/>
      <c r="CE38" s="13"/>
      <c r="CF38" s="13"/>
      <c r="CG38" s="13"/>
      <c r="CH38" s="13"/>
      <c r="CI38" s="13"/>
      <c r="CJ38" s="13"/>
      <c r="CK38" s="13"/>
      <c r="CL38" s="13"/>
      <c r="CM38" s="13"/>
      <c r="CN38" s="13"/>
      <c r="CO38" s="13"/>
      <c r="CP38" s="13"/>
      <c r="CQ38" s="13"/>
      <c r="CR38" s="13"/>
      <c r="CS38" s="13"/>
      <c r="CT38" s="13"/>
      <c r="CU38" s="13"/>
      <c r="CV38" s="13"/>
      <c r="CW38" s="13"/>
      <c r="CX38" s="13"/>
      <c r="CY38" s="13"/>
      <c r="CZ38" s="13"/>
      <c r="DA38" s="13"/>
      <c r="DB38" s="13"/>
      <c r="DC38" s="13"/>
      <c r="DD38" s="13"/>
      <c r="DE38" s="13"/>
      <c r="DF38" s="13"/>
      <c r="DG38" s="13"/>
      <c r="DH38" s="13"/>
      <c r="DI38" s="13"/>
      <c r="DJ38" s="13"/>
      <c r="DK38" s="13"/>
      <c r="DL38" s="13"/>
      <c r="DM38" s="13"/>
      <c r="DN38" s="13"/>
      <c r="DO38" s="13"/>
      <c r="DP38" s="13"/>
      <c r="DQ38" s="13"/>
      <c r="DR38" s="13"/>
      <c r="DS38" s="13"/>
      <c r="DT38" s="13"/>
      <c r="DU38" s="13"/>
      <c r="DV38" s="13"/>
      <c r="DW38" s="13"/>
      <c r="DX38" s="13"/>
      <c r="DY38" s="13"/>
      <c r="DZ38" s="13"/>
      <c r="EA38" s="13"/>
      <c r="EB38" s="13"/>
      <c r="EC38" s="13"/>
      <c r="ED38" s="13"/>
      <c r="EE38" s="13"/>
      <c r="EF38" s="13"/>
      <c r="EG38" s="13"/>
      <c r="EH38" s="13"/>
      <c r="EI38" s="13"/>
      <c r="EJ38" s="13"/>
      <c r="EK38" s="13"/>
      <c r="EL38" s="13"/>
      <c r="EM38" s="13"/>
      <c r="EN38" s="13"/>
      <c r="EO38" s="13"/>
      <c r="EP38" s="13"/>
      <c r="EQ38" s="13"/>
      <c r="ER38" s="13"/>
      <c r="ES38" s="13"/>
      <c r="ET38" s="13"/>
      <c r="EU38" s="13"/>
      <c r="EV38" s="13"/>
      <c r="EW38" s="13"/>
      <c r="EX38" s="13"/>
      <c r="EY38" s="13"/>
      <c r="EZ38" s="13"/>
      <c r="FA38" s="13"/>
      <c r="FB38" s="13"/>
      <c r="FC38" s="13"/>
      <c r="FD38" s="13"/>
      <c r="FE38" s="13"/>
      <c r="FF38" s="13"/>
      <c r="FG38" s="13"/>
      <c r="FH38" s="13"/>
      <c r="FI38" s="13"/>
      <c r="FJ38" s="13"/>
      <c r="FK38" s="13"/>
      <c r="FL38" s="13"/>
      <c r="FM38" s="13"/>
      <c r="FN38" s="13"/>
      <c r="FO38" s="13"/>
      <c r="FP38" s="13"/>
      <c r="FQ38" s="13"/>
      <c r="FR38" s="13"/>
      <c r="FS38" s="13"/>
      <c r="FT38" s="13"/>
      <c r="FU38" s="13"/>
      <c r="FV38" s="13"/>
      <c r="FW38" s="13"/>
      <c r="FX38" s="13"/>
      <c r="FY38" s="13"/>
      <c r="FZ38" s="13"/>
      <c r="GA38" s="13"/>
      <c r="GB38" s="13"/>
      <c r="GC38" s="13"/>
      <c r="GD38" s="13"/>
      <c r="GE38" s="13"/>
      <c r="GF38" s="13"/>
      <c r="GG38" s="13"/>
      <c r="GH38" s="13"/>
      <c r="GI38" s="13"/>
      <c r="GJ38" s="13"/>
      <c r="GK38" s="13"/>
      <c r="GL38" s="13"/>
      <c r="GM38" s="13"/>
      <c r="GN38" s="13"/>
      <c r="GO38" s="13"/>
      <c r="GP38" s="13"/>
      <c r="GQ38" s="13"/>
      <c r="GR38" s="13"/>
      <c r="GS38" s="13"/>
      <c r="GT38" s="13"/>
      <c r="GU38" s="13"/>
      <c r="GV38" s="13"/>
      <c r="GW38" s="13"/>
    </row>
    <row r="39" spans="1:205" x14ac:dyDescent="0.2">
      <c r="A39" s="57"/>
      <c r="B39" s="51"/>
      <c r="C39" s="310"/>
      <c r="D39" s="497"/>
      <c r="E39" s="498"/>
      <c r="F39" s="499"/>
      <c r="G39" s="499"/>
      <c r="H39" s="499"/>
      <c r="I39" s="499"/>
      <c r="J39" s="499"/>
      <c r="K39" s="499"/>
      <c r="L39" s="501"/>
      <c r="M39" s="499"/>
      <c r="N39" s="499"/>
      <c r="O39" s="499"/>
      <c r="P39" s="502"/>
      <c r="Q39" s="502"/>
      <c r="R39" s="502"/>
      <c r="S39" s="502"/>
      <c r="T39" s="502"/>
      <c r="U39" s="502"/>
      <c r="V39" s="502"/>
      <c r="W39" s="502"/>
      <c r="X39" s="500"/>
      <c r="Y39" s="500"/>
      <c r="Z39" s="500"/>
      <c r="AA39" s="500"/>
      <c r="AB39" s="313"/>
      <c r="AC39" s="311"/>
      <c r="AD39" s="312"/>
      <c r="AE39" s="314"/>
      <c r="AF39" s="499"/>
      <c r="AG39" s="499"/>
      <c r="AH39" s="312"/>
      <c r="AI39" s="314"/>
      <c r="AJ39" s="315" t="s">
        <v>968</v>
      </c>
      <c r="AK39" s="316">
        <f>'F.  Other Cap Asset Entries'!M258</f>
        <v>0</v>
      </c>
      <c r="AL39" s="311"/>
      <c r="AM39" s="320"/>
      <c r="AN39" s="321"/>
      <c r="AO39" s="317"/>
      <c r="AP39" s="316"/>
      <c r="AQ39" s="309"/>
      <c r="AR39" s="315"/>
      <c r="AS39" s="318"/>
      <c r="AT39" s="508"/>
      <c r="AU39" s="509"/>
      <c r="AV39" s="316">
        <f t="shared" si="0"/>
        <v>0</v>
      </c>
      <c r="AW39" s="316">
        <f t="shared" si="1"/>
        <v>0</v>
      </c>
      <c r="AX39" s="307"/>
      <c r="AY39" s="308"/>
      <c r="AZ39" s="346"/>
      <c r="BA39" s="318"/>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R39" s="13"/>
      <c r="CS39" s="13"/>
      <c r="CT39" s="13"/>
      <c r="CU39" s="13"/>
      <c r="CV39" s="13"/>
      <c r="CW39" s="13"/>
      <c r="CX39" s="13"/>
      <c r="CY39" s="13"/>
      <c r="CZ39" s="13"/>
      <c r="DA39" s="13"/>
      <c r="DB39" s="13"/>
      <c r="DC39" s="13"/>
      <c r="DD39" s="13"/>
      <c r="DE39" s="13"/>
      <c r="DF39" s="13"/>
      <c r="DG39" s="13"/>
      <c r="DH39" s="13"/>
      <c r="DI39" s="13"/>
      <c r="DJ39" s="13"/>
      <c r="DK39" s="13"/>
      <c r="DL39" s="13"/>
      <c r="DM39" s="13"/>
      <c r="DN39" s="13"/>
      <c r="DO39" s="13"/>
      <c r="DP39" s="13"/>
      <c r="DQ39" s="13"/>
      <c r="DR39" s="13"/>
      <c r="DS39" s="13"/>
      <c r="DT39" s="13"/>
      <c r="DU39" s="13"/>
      <c r="DV39" s="13"/>
      <c r="DW39" s="13"/>
      <c r="DX39" s="13"/>
      <c r="DY39" s="13"/>
      <c r="DZ39" s="13"/>
      <c r="EA39" s="13"/>
      <c r="EB39" s="13"/>
      <c r="EC39" s="13"/>
      <c r="ED39" s="13"/>
      <c r="EE39" s="13"/>
      <c r="EF39" s="13"/>
      <c r="EG39" s="13"/>
      <c r="EH39" s="13"/>
      <c r="EI39" s="13"/>
      <c r="EJ39" s="13"/>
      <c r="EK39" s="13"/>
      <c r="EL39" s="13"/>
      <c r="EM39" s="13"/>
      <c r="EN39" s="13"/>
      <c r="EO39" s="13"/>
      <c r="EP39" s="13"/>
      <c r="EQ39" s="13"/>
      <c r="ER39" s="13"/>
      <c r="ES39" s="13"/>
      <c r="ET39" s="13"/>
      <c r="EU39" s="13"/>
      <c r="EV39" s="13"/>
      <c r="EW39" s="13"/>
      <c r="EX39" s="13"/>
      <c r="EY39" s="13"/>
      <c r="EZ39" s="13"/>
      <c r="FA39" s="13"/>
      <c r="FB39" s="13"/>
      <c r="FC39" s="13"/>
      <c r="FD39" s="13"/>
      <c r="FE39" s="13"/>
      <c r="FF39" s="13"/>
      <c r="FG39" s="13"/>
      <c r="FH39" s="13"/>
      <c r="FI39" s="13"/>
      <c r="FJ39" s="13"/>
      <c r="FK39" s="13"/>
      <c r="FL39" s="13"/>
      <c r="FM39" s="13"/>
      <c r="FN39" s="13"/>
      <c r="FO39" s="13"/>
      <c r="FP39" s="13"/>
      <c r="FQ39" s="13"/>
      <c r="FR39" s="13"/>
      <c r="FS39" s="13"/>
      <c r="FT39" s="13"/>
      <c r="FU39" s="13"/>
      <c r="FV39" s="13"/>
      <c r="FW39" s="13"/>
      <c r="FX39" s="13"/>
      <c r="FY39" s="13"/>
      <c r="FZ39" s="13"/>
      <c r="GA39" s="13"/>
      <c r="GB39" s="13"/>
      <c r="GC39" s="13"/>
      <c r="GD39" s="13"/>
      <c r="GE39" s="13"/>
      <c r="GF39" s="13"/>
      <c r="GG39" s="13"/>
      <c r="GH39" s="13"/>
      <c r="GI39" s="13"/>
      <c r="GJ39" s="13"/>
      <c r="GK39" s="13"/>
      <c r="GL39" s="13"/>
      <c r="GM39" s="13"/>
      <c r="GN39" s="13"/>
      <c r="GO39" s="13"/>
      <c r="GP39" s="13"/>
      <c r="GQ39" s="13"/>
      <c r="GR39" s="13"/>
      <c r="GS39" s="13"/>
      <c r="GT39" s="13"/>
      <c r="GU39" s="13"/>
      <c r="GV39" s="13"/>
      <c r="GW39" s="13"/>
    </row>
    <row r="40" spans="1:205" x14ac:dyDescent="0.2">
      <c r="A40" s="57"/>
      <c r="B40" s="51"/>
      <c r="C40" s="13" t="s">
        <v>0</v>
      </c>
      <c r="D40" s="493"/>
      <c r="E40" s="494"/>
      <c r="F40" s="492"/>
      <c r="G40" s="492"/>
      <c r="H40" s="492"/>
      <c r="I40" s="492"/>
      <c r="J40" s="492"/>
      <c r="K40" s="492"/>
      <c r="L40" s="496"/>
      <c r="M40" s="492"/>
      <c r="N40" s="492"/>
      <c r="O40" s="492"/>
      <c r="P40" s="491"/>
      <c r="Q40" s="491"/>
      <c r="R40" s="491"/>
      <c r="S40" s="491"/>
      <c r="T40" s="491"/>
      <c r="U40" s="491"/>
      <c r="V40" s="491"/>
      <c r="W40" s="491"/>
      <c r="X40" s="495"/>
      <c r="Y40" s="495"/>
      <c r="Z40" s="495"/>
      <c r="AA40" s="495"/>
      <c r="AB40" s="34">
        <f t="shared" si="2"/>
        <v>0</v>
      </c>
      <c r="AC40" s="12">
        <f t="shared" si="3"/>
        <v>0</v>
      </c>
      <c r="AD40" s="30">
        <f t="shared" si="5"/>
        <v>0</v>
      </c>
      <c r="AE40" s="25">
        <f t="shared" si="4"/>
        <v>0</v>
      </c>
      <c r="AF40" s="492"/>
      <c r="AG40" s="492"/>
      <c r="AH40" s="53"/>
      <c r="AI40" s="55"/>
      <c r="AJ40" s="273" t="str">
        <f>'E. Capital Outlay'!D51</f>
        <v>E.1</v>
      </c>
      <c r="AK40" s="72">
        <f>'E. Capital Outlay'!L52</f>
        <v>0</v>
      </c>
      <c r="AL40" s="10"/>
      <c r="AM40" s="273"/>
      <c r="AN40" s="72"/>
      <c r="AO40" s="280"/>
      <c r="AP40" s="72"/>
      <c r="AQ40" s="54"/>
      <c r="AR40" s="273"/>
      <c r="AS40" s="255"/>
      <c r="AT40" s="508"/>
      <c r="AU40" s="509"/>
      <c r="AV40" s="323">
        <f t="shared" si="0"/>
        <v>0</v>
      </c>
      <c r="AW40" s="323">
        <f t="shared" si="1"/>
        <v>0</v>
      </c>
      <c r="AX40" s="45"/>
      <c r="AY40" s="58"/>
      <c r="AZ40" s="351" t="str">
        <f t="shared" ref="AZ40:AZ45" si="6">IF(AV40-AW40&lt;=0," ",AV40-AW40)</f>
        <v xml:space="preserve"> </v>
      </c>
      <c r="BA40" s="254">
        <f>IF(AV40-AW40&gt;0," ",AW40-AV40)</f>
        <v>0</v>
      </c>
      <c r="BB40" s="13"/>
      <c r="BC40" s="13"/>
      <c r="BD40" s="13"/>
      <c r="BE40" s="13"/>
      <c r="BF40" s="13"/>
      <c r="BG40" s="13"/>
      <c r="BH40" s="13"/>
      <c r="BI40" s="13"/>
      <c r="BJ40" s="13"/>
      <c r="BK40" s="13"/>
      <c r="BL40" s="13"/>
      <c r="BM40" s="13"/>
      <c r="BN40" s="13"/>
      <c r="BO40" s="13"/>
      <c r="BP40" s="13"/>
      <c r="BQ40" s="13"/>
      <c r="BR40" s="13"/>
      <c r="BS40" s="13"/>
      <c r="BT40" s="13"/>
      <c r="BU40" s="13"/>
      <c r="BV40" s="13"/>
      <c r="BW40" s="13"/>
      <c r="BX40" s="13"/>
      <c r="BY40" s="13"/>
      <c r="BZ40" s="13"/>
      <c r="CA40" s="13"/>
      <c r="CB40" s="13"/>
      <c r="CC40" s="13"/>
      <c r="CD40" s="13"/>
      <c r="CE40" s="13"/>
      <c r="CF40" s="13"/>
      <c r="CG40" s="13"/>
      <c r="CH40" s="13"/>
      <c r="CI40" s="13"/>
      <c r="CJ40" s="13"/>
      <c r="CK40" s="13"/>
      <c r="CL40" s="13"/>
      <c r="CM40" s="13"/>
      <c r="CN40" s="13"/>
      <c r="CO40" s="13"/>
      <c r="CP40" s="13"/>
      <c r="CQ40" s="13"/>
      <c r="CR40" s="13"/>
      <c r="CS40" s="13"/>
      <c r="CT40" s="13"/>
      <c r="CU40" s="13"/>
      <c r="CV40" s="13"/>
      <c r="CW40" s="13"/>
      <c r="CX40" s="13"/>
      <c r="CY40" s="13"/>
      <c r="CZ40" s="13"/>
      <c r="DA40" s="13"/>
      <c r="DB40" s="13"/>
      <c r="DC40" s="13"/>
      <c r="DD40" s="13"/>
      <c r="DE40" s="13"/>
      <c r="DF40" s="13"/>
      <c r="DG40" s="13"/>
      <c r="DH40" s="13"/>
      <c r="DI40" s="13"/>
      <c r="DJ40" s="13"/>
      <c r="DK40" s="13"/>
      <c r="DL40" s="13"/>
      <c r="DM40" s="13"/>
      <c r="DN40" s="13"/>
      <c r="DO40" s="13"/>
      <c r="DP40" s="13"/>
      <c r="DQ40" s="13"/>
      <c r="DR40" s="13"/>
      <c r="DS40" s="13"/>
      <c r="DT40" s="13"/>
      <c r="DU40" s="13"/>
      <c r="DV40" s="13"/>
      <c r="DW40" s="13"/>
      <c r="DX40" s="13"/>
      <c r="DY40" s="13"/>
      <c r="DZ40" s="13"/>
      <c r="EA40" s="13"/>
      <c r="EB40" s="13"/>
      <c r="EC40" s="13"/>
      <c r="ED40" s="13"/>
      <c r="EE40" s="13"/>
      <c r="EF40" s="13"/>
      <c r="EG40" s="13"/>
      <c r="EH40" s="13"/>
      <c r="EI40" s="13"/>
      <c r="EJ40" s="13"/>
      <c r="EK40" s="13"/>
      <c r="EL40" s="13"/>
      <c r="EM40" s="13"/>
      <c r="EN40" s="13"/>
      <c r="EO40" s="13"/>
      <c r="EP40" s="13"/>
      <c r="EQ40" s="13"/>
      <c r="ER40" s="13"/>
      <c r="ES40" s="13"/>
      <c r="ET40" s="13"/>
      <c r="EU40" s="13"/>
      <c r="EV40" s="13"/>
      <c r="EW40" s="13"/>
      <c r="EX40" s="13"/>
      <c r="EY40" s="13"/>
      <c r="EZ40" s="13"/>
      <c r="FA40" s="13"/>
      <c r="FB40" s="13"/>
      <c r="FC40" s="13"/>
      <c r="FD40" s="13"/>
      <c r="FE40" s="13"/>
      <c r="FF40" s="13"/>
      <c r="FG40" s="13"/>
      <c r="FH40" s="13"/>
      <c r="FI40" s="13"/>
      <c r="FJ40" s="13"/>
      <c r="FK40" s="13"/>
      <c r="FL40" s="13"/>
      <c r="FM40" s="13"/>
      <c r="FN40" s="13"/>
      <c r="FO40" s="13"/>
      <c r="FP40" s="13"/>
      <c r="FQ40" s="13"/>
      <c r="FR40" s="13"/>
      <c r="FS40" s="13"/>
      <c r="FT40" s="13"/>
      <c r="FU40" s="13"/>
      <c r="FV40" s="13"/>
      <c r="FW40" s="13"/>
      <c r="FX40" s="13"/>
      <c r="FY40" s="13"/>
      <c r="FZ40" s="13"/>
      <c r="GA40" s="13"/>
      <c r="GB40" s="13"/>
      <c r="GC40" s="13"/>
      <c r="GD40" s="13"/>
      <c r="GE40" s="13"/>
      <c r="GF40" s="13"/>
      <c r="GG40" s="13"/>
      <c r="GH40" s="13"/>
      <c r="GI40" s="13"/>
      <c r="GJ40" s="13"/>
      <c r="GK40" s="13"/>
      <c r="GL40" s="13"/>
      <c r="GM40" s="13"/>
      <c r="GN40" s="13"/>
      <c r="GO40" s="13"/>
      <c r="GP40" s="13"/>
      <c r="GQ40" s="13"/>
      <c r="GR40" s="13"/>
      <c r="GS40" s="13"/>
      <c r="GT40" s="13"/>
      <c r="GU40" s="13"/>
      <c r="GV40" s="13"/>
      <c r="GW40" s="13"/>
    </row>
    <row r="41" spans="1:205" x14ac:dyDescent="0.2">
      <c r="A41" s="57"/>
      <c r="B41" s="51"/>
      <c r="C41" s="13" t="s">
        <v>252</v>
      </c>
      <c r="D41" s="493"/>
      <c r="E41" s="494"/>
      <c r="F41" s="492"/>
      <c r="G41" s="492"/>
      <c r="H41" s="492"/>
      <c r="I41" s="492"/>
      <c r="J41" s="492"/>
      <c r="K41" s="492"/>
      <c r="L41" s="496"/>
      <c r="M41" s="492"/>
      <c r="N41" s="492"/>
      <c r="O41" s="492"/>
      <c r="P41" s="491"/>
      <c r="Q41" s="491"/>
      <c r="R41" s="491"/>
      <c r="S41" s="491"/>
      <c r="T41" s="491"/>
      <c r="U41" s="491"/>
      <c r="V41" s="491"/>
      <c r="W41" s="491"/>
      <c r="X41" s="495"/>
      <c r="Y41" s="495"/>
      <c r="Z41" s="495"/>
      <c r="AA41" s="495"/>
      <c r="AB41" s="34">
        <f t="shared" si="2"/>
        <v>0</v>
      </c>
      <c r="AC41" s="12">
        <f t="shared" si="3"/>
        <v>0</v>
      </c>
      <c r="AD41" s="30">
        <f t="shared" si="5"/>
        <v>0</v>
      </c>
      <c r="AE41" s="25">
        <f t="shared" si="4"/>
        <v>0</v>
      </c>
      <c r="AF41" s="492"/>
      <c r="AG41" s="492"/>
      <c r="AH41" s="53"/>
      <c r="AI41" s="55"/>
      <c r="AJ41" s="273"/>
      <c r="AK41" s="72"/>
      <c r="AL41" s="10"/>
      <c r="AM41" s="273"/>
      <c r="AN41" s="72"/>
      <c r="AO41" s="280"/>
      <c r="AP41" s="72"/>
      <c r="AQ41" s="54"/>
      <c r="AR41" s="273"/>
      <c r="AS41" s="255"/>
      <c r="AT41" s="508"/>
      <c r="AU41" s="509"/>
      <c r="AV41" s="323">
        <f t="shared" si="0"/>
        <v>0</v>
      </c>
      <c r="AW41" s="323">
        <f t="shared" si="1"/>
        <v>0</v>
      </c>
      <c r="AX41" s="45"/>
      <c r="AY41" s="58"/>
      <c r="AZ41" s="345" t="str">
        <f t="shared" si="6"/>
        <v xml:space="preserve"> </v>
      </c>
      <c r="BA41" s="254">
        <f>IF(AV41-AW41&gt;0," ",AW41-AV41)</f>
        <v>0</v>
      </c>
      <c r="BB41" s="13"/>
      <c r="BC41" s="13"/>
      <c r="BD41" s="13"/>
      <c r="BE41" s="13"/>
      <c r="BF41" s="13"/>
      <c r="BG41" s="13"/>
      <c r="BH41" s="13"/>
      <c r="BI41" s="13"/>
      <c r="BJ41" s="13"/>
      <c r="BK41" s="13"/>
      <c r="BL41" s="13"/>
      <c r="BM41" s="13"/>
      <c r="BN41" s="13"/>
      <c r="BO41" s="13"/>
      <c r="BP41" s="13"/>
      <c r="BQ41" s="13"/>
      <c r="BR41" s="13"/>
      <c r="BS41" s="13"/>
      <c r="BT41" s="13"/>
      <c r="BU41" s="13"/>
      <c r="BV41" s="13"/>
      <c r="BW41" s="13"/>
      <c r="BX41" s="13"/>
      <c r="BY41" s="13"/>
      <c r="BZ41" s="13"/>
      <c r="CA41" s="13"/>
      <c r="CB41" s="13"/>
      <c r="CC41" s="13"/>
      <c r="CD41" s="13"/>
      <c r="CE41" s="13"/>
      <c r="CF41" s="13"/>
      <c r="CG41" s="13"/>
      <c r="CH41" s="13"/>
      <c r="CI41" s="13"/>
      <c r="CJ41" s="13"/>
      <c r="CK41" s="13"/>
      <c r="CL41" s="13"/>
      <c r="CM41" s="13"/>
      <c r="CN41" s="13"/>
      <c r="CO41" s="13"/>
      <c r="CP41" s="13"/>
      <c r="CQ41" s="13"/>
      <c r="CR41" s="13"/>
      <c r="CS41" s="13"/>
      <c r="CT41" s="13"/>
      <c r="CU41" s="13"/>
      <c r="CV41" s="13"/>
      <c r="CW41" s="13"/>
      <c r="CX41" s="13"/>
      <c r="CY41" s="13"/>
      <c r="CZ41" s="13"/>
      <c r="DA41" s="13"/>
      <c r="DB41" s="13"/>
      <c r="DC41" s="13"/>
      <c r="DD41" s="13"/>
      <c r="DE41" s="13"/>
      <c r="DF41" s="13"/>
      <c r="DG41" s="13"/>
      <c r="DH41" s="13"/>
      <c r="DI41" s="13"/>
      <c r="DJ41" s="13"/>
      <c r="DK41" s="13"/>
      <c r="DL41" s="13"/>
      <c r="DM41" s="13"/>
      <c r="DN41" s="13"/>
      <c r="DO41" s="13"/>
      <c r="DP41" s="13"/>
      <c r="DQ41" s="13"/>
      <c r="DR41" s="13"/>
      <c r="DS41" s="13"/>
      <c r="DT41" s="13"/>
      <c r="DU41" s="13"/>
      <c r="DV41" s="13"/>
      <c r="DW41" s="13"/>
      <c r="DX41" s="13"/>
      <c r="DY41" s="13"/>
      <c r="DZ41" s="13"/>
      <c r="EA41" s="13"/>
      <c r="EB41" s="13"/>
      <c r="EC41" s="13"/>
      <c r="ED41" s="13"/>
      <c r="EE41" s="13"/>
      <c r="EF41" s="13"/>
      <c r="EG41" s="13"/>
      <c r="EH41" s="13"/>
      <c r="EI41" s="13"/>
      <c r="EJ41" s="13"/>
      <c r="EK41" s="13"/>
      <c r="EL41" s="13"/>
      <c r="EM41" s="13"/>
      <c r="EN41" s="13"/>
      <c r="EO41" s="13"/>
      <c r="EP41" s="13"/>
      <c r="EQ41" s="13"/>
      <c r="ER41" s="13"/>
      <c r="ES41" s="13"/>
      <c r="ET41" s="13"/>
      <c r="EU41" s="13"/>
      <c r="EV41" s="13"/>
      <c r="EW41" s="13"/>
      <c r="EX41" s="13"/>
      <c r="EY41" s="13"/>
      <c r="EZ41" s="13"/>
      <c r="FA41" s="13"/>
      <c r="FB41" s="13"/>
      <c r="FC41" s="13"/>
      <c r="FD41" s="13"/>
      <c r="FE41" s="13"/>
      <c r="FF41" s="13"/>
      <c r="FG41" s="13"/>
      <c r="FH41" s="13"/>
      <c r="FI41" s="13"/>
      <c r="FJ41" s="13"/>
      <c r="FK41" s="13"/>
      <c r="FL41" s="13"/>
      <c r="FM41" s="13"/>
      <c r="FN41" s="13"/>
      <c r="FO41" s="13"/>
      <c r="FP41" s="13"/>
      <c r="FQ41" s="13"/>
      <c r="FR41" s="13"/>
      <c r="FS41" s="13"/>
      <c r="FT41" s="13"/>
      <c r="FU41" s="13"/>
      <c r="FV41" s="13"/>
      <c r="FW41" s="13"/>
      <c r="FX41" s="13"/>
      <c r="FY41" s="13"/>
      <c r="FZ41" s="13"/>
      <c r="GA41" s="13"/>
      <c r="GB41" s="13"/>
      <c r="GC41" s="13"/>
      <c r="GD41" s="13"/>
      <c r="GE41" s="13"/>
      <c r="GF41" s="13"/>
      <c r="GG41" s="13"/>
      <c r="GH41" s="13"/>
      <c r="GI41" s="13"/>
      <c r="GJ41" s="13"/>
      <c r="GK41" s="13"/>
      <c r="GL41" s="13"/>
      <c r="GM41" s="13"/>
      <c r="GN41" s="13"/>
      <c r="GO41" s="13"/>
      <c r="GP41" s="13"/>
      <c r="GQ41" s="13"/>
      <c r="GR41" s="13"/>
      <c r="GS41" s="13"/>
      <c r="GT41" s="13"/>
      <c r="GU41" s="13"/>
      <c r="GV41" s="13"/>
      <c r="GW41" s="13"/>
    </row>
    <row r="42" spans="1:205" s="13" customFormat="1" x14ac:dyDescent="0.2">
      <c r="A42" s="57"/>
      <c r="B42" s="51"/>
      <c r="C42" s="310" t="s">
        <v>477</v>
      </c>
      <c r="D42" s="497"/>
      <c r="E42" s="498"/>
      <c r="F42" s="499"/>
      <c r="G42" s="499"/>
      <c r="H42" s="499"/>
      <c r="I42" s="499"/>
      <c r="J42" s="499"/>
      <c r="K42" s="499"/>
      <c r="L42" s="501"/>
      <c r="M42" s="499"/>
      <c r="N42" s="499"/>
      <c r="O42" s="499"/>
      <c r="P42" s="502"/>
      <c r="Q42" s="502"/>
      <c r="R42" s="502"/>
      <c r="S42" s="502"/>
      <c r="T42" s="502"/>
      <c r="U42" s="502"/>
      <c r="V42" s="502"/>
      <c r="W42" s="502"/>
      <c r="X42" s="500"/>
      <c r="Y42" s="500"/>
      <c r="Z42" s="500"/>
      <c r="AA42" s="500"/>
      <c r="AB42" s="313">
        <f t="shared" si="2"/>
        <v>0</v>
      </c>
      <c r="AC42" s="311">
        <f t="shared" si="3"/>
        <v>0</v>
      </c>
      <c r="AD42" s="312">
        <f t="shared" si="5"/>
        <v>0</v>
      </c>
      <c r="AE42" s="314">
        <f t="shared" si="4"/>
        <v>0</v>
      </c>
      <c r="AF42" s="499"/>
      <c r="AG42" s="499"/>
      <c r="AH42" s="312"/>
      <c r="AI42" s="314"/>
      <c r="AJ42" s="315" t="str">
        <f>'E. Capital Outlay'!D51</f>
        <v>E.1</v>
      </c>
      <c r="AK42" s="316">
        <f>'E. Capital Outlay'!L53</f>
        <v>0</v>
      </c>
      <c r="AL42" s="311"/>
      <c r="AM42" s="315" t="str">
        <f>'F.  Other Cap Asset Entries'!D214</f>
        <v>F.1</v>
      </c>
      <c r="AN42" s="316">
        <f>'F.  Other Cap Asset Entries'!O226</f>
        <v>0</v>
      </c>
      <c r="AO42" s="459" t="s">
        <v>682</v>
      </c>
      <c r="AP42" s="316">
        <f>'K.1  Int. Service Fd Allocation'!E170+'K.2  Int. Service Fd Alloca'!E163+'K.3 Int. Service Fd Alloca'!E163</f>
        <v>0</v>
      </c>
      <c r="AQ42" s="309"/>
      <c r="AR42" s="315"/>
      <c r="AS42" s="318"/>
      <c r="AT42" s="508"/>
      <c r="AU42" s="509"/>
      <c r="AV42" s="316">
        <f t="shared" ref="AV42:AV90" si="7">AD42+AF42+AH42+AK42+AP42+AT42</f>
        <v>0</v>
      </c>
      <c r="AW42" s="316">
        <f t="shared" ref="AW42:AW90" si="8">AE42+AG42+AI42+AN42+AS42+AU42</f>
        <v>0</v>
      </c>
      <c r="AX42" s="307"/>
      <c r="AY42" s="308"/>
      <c r="AZ42" s="1106" t="str">
        <f>IF((AV42+AV43+AV44)-(AW42+AW43+AW44)&lt;=0," ",(AV42+AV43+AV44)-(AW42+AW43+AW44))</f>
        <v xml:space="preserve"> </v>
      </c>
      <c r="BA42" s="318">
        <f>IF((AV42+AV43+AV44)-(AW42+AW43+AW44)&gt;0," ",(AW42+AW43+AW44)-(AV42+AV43+AV44))</f>
        <v>0</v>
      </c>
    </row>
    <row r="43" spans="1:205" s="13" customFormat="1" x14ac:dyDescent="0.2">
      <c r="A43" s="57"/>
      <c r="B43" s="51"/>
      <c r="C43" s="310"/>
      <c r="D43" s="497"/>
      <c r="E43" s="498"/>
      <c r="F43" s="499"/>
      <c r="G43" s="499"/>
      <c r="H43" s="499"/>
      <c r="I43" s="499"/>
      <c r="J43" s="499"/>
      <c r="K43" s="499"/>
      <c r="L43" s="501"/>
      <c r="M43" s="499"/>
      <c r="N43" s="499"/>
      <c r="O43" s="499"/>
      <c r="P43" s="502"/>
      <c r="Q43" s="502"/>
      <c r="R43" s="502"/>
      <c r="S43" s="502"/>
      <c r="T43" s="502"/>
      <c r="U43" s="502"/>
      <c r="V43" s="502"/>
      <c r="W43" s="502"/>
      <c r="X43" s="500"/>
      <c r="Y43" s="500"/>
      <c r="Z43" s="500"/>
      <c r="AA43" s="500"/>
      <c r="AB43" s="313">
        <f t="shared" si="2"/>
        <v>0</v>
      </c>
      <c r="AC43" s="311">
        <f t="shared" si="3"/>
        <v>0</v>
      </c>
      <c r="AD43" s="312">
        <f t="shared" si="5"/>
        <v>0</v>
      </c>
      <c r="AE43" s="314">
        <f t="shared" si="4"/>
        <v>0</v>
      </c>
      <c r="AF43" s="499"/>
      <c r="AG43" s="499"/>
      <c r="AH43" s="312"/>
      <c r="AI43" s="314"/>
      <c r="AJ43" s="315" t="str">
        <f>'F.  Other Cap Asset Entries'!D214</f>
        <v>F.1</v>
      </c>
      <c r="AK43" s="316">
        <f>'F.  Other Cap Asset Entries'!M226</f>
        <v>0</v>
      </c>
      <c r="AL43" s="311"/>
      <c r="AM43" s="315" t="s">
        <v>968</v>
      </c>
      <c r="AN43" s="316">
        <f>'F.  Other Cap Asset Entries'!O259</f>
        <v>0</v>
      </c>
      <c r="AO43" s="317"/>
      <c r="AP43" s="316"/>
      <c r="AQ43" s="309"/>
      <c r="AR43" s="315"/>
      <c r="AS43" s="318"/>
      <c r="AT43" s="508"/>
      <c r="AU43" s="509"/>
      <c r="AV43" s="316">
        <f t="shared" si="7"/>
        <v>0</v>
      </c>
      <c r="AW43" s="316">
        <f t="shared" si="8"/>
        <v>0</v>
      </c>
      <c r="AX43" s="307"/>
      <c r="AY43" s="308"/>
      <c r="AZ43" s="346"/>
      <c r="BA43" s="318"/>
    </row>
    <row r="44" spans="1:205" s="13" customFormat="1" x14ac:dyDescent="0.2">
      <c r="A44" s="57"/>
      <c r="B44" s="51"/>
      <c r="C44" s="310"/>
      <c r="D44" s="497"/>
      <c r="E44" s="498"/>
      <c r="F44" s="499"/>
      <c r="G44" s="499"/>
      <c r="H44" s="499"/>
      <c r="I44" s="499"/>
      <c r="J44" s="499"/>
      <c r="K44" s="499"/>
      <c r="L44" s="501"/>
      <c r="M44" s="499"/>
      <c r="N44" s="499"/>
      <c r="O44" s="499"/>
      <c r="P44" s="502"/>
      <c r="Q44" s="502"/>
      <c r="R44" s="502"/>
      <c r="S44" s="502"/>
      <c r="T44" s="502"/>
      <c r="U44" s="502"/>
      <c r="V44" s="502"/>
      <c r="W44" s="502"/>
      <c r="X44" s="500"/>
      <c r="Y44" s="500"/>
      <c r="Z44" s="500"/>
      <c r="AA44" s="500"/>
      <c r="AB44" s="313">
        <f t="shared" si="2"/>
        <v>0</v>
      </c>
      <c r="AC44" s="311">
        <f t="shared" si="3"/>
        <v>0</v>
      </c>
      <c r="AD44" s="312">
        <f t="shared" si="5"/>
        <v>0</v>
      </c>
      <c r="AE44" s="314">
        <f t="shared" si="4"/>
        <v>0</v>
      </c>
      <c r="AF44" s="499"/>
      <c r="AG44" s="499"/>
      <c r="AH44" s="312"/>
      <c r="AI44" s="314"/>
      <c r="AJ44" s="315" t="str">
        <f>'F.  Other Cap Asset Entries'!D236</f>
        <v>F.2</v>
      </c>
      <c r="AK44" s="316">
        <f>'F.  Other Cap Asset Entries'!M237</f>
        <v>0</v>
      </c>
      <c r="AL44" s="311"/>
      <c r="AM44" s="315"/>
      <c r="AN44" s="316"/>
      <c r="AO44" s="317"/>
      <c r="AP44" s="316"/>
      <c r="AQ44" s="309"/>
      <c r="AR44" s="315"/>
      <c r="AS44" s="318"/>
      <c r="AT44" s="508"/>
      <c r="AU44" s="509"/>
      <c r="AV44" s="316">
        <f t="shared" si="7"/>
        <v>0</v>
      </c>
      <c r="AW44" s="316">
        <f t="shared" si="8"/>
        <v>0</v>
      </c>
      <c r="AX44" s="307"/>
      <c r="AY44" s="308"/>
      <c r="AZ44" s="346"/>
      <c r="BA44" s="318"/>
    </row>
    <row r="45" spans="1:205" x14ac:dyDescent="0.2">
      <c r="A45" s="57"/>
      <c r="B45" s="51"/>
      <c r="C45" s="39" t="s">
        <v>577</v>
      </c>
      <c r="D45" s="493"/>
      <c r="E45" s="494"/>
      <c r="F45" s="492"/>
      <c r="G45" s="492"/>
      <c r="H45" s="492"/>
      <c r="I45" s="492"/>
      <c r="J45" s="492"/>
      <c r="K45" s="492"/>
      <c r="L45" s="496"/>
      <c r="M45" s="492"/>
      <c r="N45" s="492"/>
      <c r="O45" s="492"/>
      <c r="P45" s="491"/>
      <c r="Q45" s="491"/>
      <c r="R45" s="491"/>
      <c r="S45" s="491"/>
      <c r="T45" s="491"/>
      <c r="U45" s="491"/>
      <c r="V45" s="491"/>
      <c r="W45" s="491"/>
      <c r="X45" s="495"/>
      <c r="Y45" s="495"/>
      <c r="Z45" s="495"/>
      <c r="AA45" s="495"/>
      <c r="AB45" s="34">
        <f t="shared" si="2"/>
        <v>0</v>
      </c>
      <c r="AC45" s="12">
        <f t="shared" si="3"/>
        <v>0</v>
      </c>
      <c r="AD45" s="30">
        <f t="shared" si="5"/>
        <v>0</v>
      </c>
      <c r="AE45" s="25">
        <f t="shared" si="4"/>
        <v>0</v>
      </c>
      <c r="AF45" s="492"/>
      <c r="AG45" s="492"/>
      <c r="AH45" s="53"/>
      <c r="AI45" s="55"/>
      <c r="AJ45" s="273" t="str">
        <f>'F.  Other Cap Asset Entries'!D214</f>
        <v>F.1</v>
      </c>
      <c r="AK45" s="72">
        <f>'F.  Other Cap Asset Entries'!M214</f>
        <v>0</v>
      </c>
      <c r="AL45" s="10"/>
      <c r="AM45" s="273" t="str">
        <f>'D. Depreciation'!A53</f>
        <v>D.1</v>
      </c>
      <c r="AN45" s="72">
        <f>'D. Depreciation'!L62</f>
        <v>0</v>
      </c>
      <c r="AO45" s="280"/>
      <c r="AP45" s="72"/>
      <c r="AQ45" s="54"/>
      <c r="AR45" s="461" t="s">
        <v>682</v>
      </c>
      <c r="AS45" s="255">
        <f>'K.1  Int. Service Fd Allocation'!G181+'K.2  Int. Service Fd Alloca'!G174+'K.3 Int. Service Fd Alloca'!G174</f>
        <v>0</v>
      </c>
      <c r="AT45" s="508"/>
      <c r="AU45" s="509"/>
      <c r="AV45" s="323">
        <f t="shared" si="7"/>
        <v>0</v>
      </c>
      <c r="AW45" s="323">
        <f t="shared" si="8"/>
        <v>0</v>
      </c>
      <c r="AX45" s="57"/>
      <c r="AY45" s="58"/>
      <c r="AZ45" s="345" t="str">
        <f t="shared" si="6"/>
        <v xml:space="preserve"> </v>
      </c>
      <c r="BA45" s="255">
        <f>IF(AV45-AW45&gt;0," ",AW45-AV45)</f>
        <v>0</v>
      </c>
      <c r="BB45" s="13"/>
      <c r="BC45" s="13"/>
      <c r="BD45" s="13"/>
      <c r="BE45" s="13"/>
      <c r="BF45" s="13"/>
      <c r="BG45" s="13"/>
      <c r="BH45" s="13"/>
      <c r="BI45" s="13"/>
      <c r="BJ45" s="13"/>
      <c r="BK45" s="13"/>
      <c r="BL45" s="13"/>
      <c r="BM45" s="13"/>
      <c r="BN45" s="13"/>
      <c r="BO45" s="13"/>
      <c r="BP45" s="13"/>
      <c r="BQ45" s="13"/>
      <c r="BR45" s="13"/>
      <c r="BS45" s="13"/>
      <c r="BT45" s="13"/>
      <c r="BU45" s="13"/>
      <c r="BV45" s="13"/>
      <c r="BW45" s="13"/>
      <c r="BX45" s="13"/>
      <c r="BY45" s="13"/>
      <c r="BZ45" s="13"/>
      <c r="CA45" s="13"/>
      <c r="CB45" s="13"/>
      <c r="CC45" s="13"/>
      <c r="CD45" s="13"/>
      <c r="CE45" s="13"/>
      <c r="CF45" s="13"/>
      <c r="CG45" s="13"/>
      <c r="CH45" s="13"/>
      <c r="CI45" s="13"/>
      <c r="CJ45" s="13"/>
      <c r="CK45" s="13"/>
      <c r="CL45" s="13"/>
      <c r="CM45" s="13"/>
      <c r="CN45" s="13"/>
      <c r="CO45" s="13"/>
      <c r="CP45" s="13"/>
      <c r="CQ45" s="13"/>
      <c r="CR45" s="13"/>
      <c r="CS45" s="13"/>
      <c r="CT45" s="13"/>
      <c r="CU45" s="13"/>
      <c r="CV45" s="13"/>
      <c r="CW45" s="13"/>
      <c r="CX45" s="13"/>
      <c r="CY45" s="13"/>
      <c r="CZ45" s="13"/>
      <c r="DA45" s="13"/>
      <c r="DB45" s="13"/>
      <c r="DC45" s="13"/>
      <c r="DD45" s="13"/>
      <c r="DE45" s="13"/>
      <c r="DF45" s="13"/>
      <c r="DG45" s="13"/>
      <c r="DH45" s="13"/>
      <c r="DI45" s="13"/>
      <c r="DJ45" s="13"/>
      <c r="DK45" s="13"/>
      <c r="DL45" s="13"/>
      <c r="DM45" s="13"/>
      <c r="DN45" s="13"/>
      <c r="DO45" s="13"/>
      <c r="DP45" s="13"/>
      <c r="DQ45" s="13"/>
      <c r="DR45" s="13"/>
      <c r="DS45" s="13"/>
      <c r="DT45" s="13"/>
      <c r="DU45" s="13"/>
      <c r="DV45" s="13"/>
      <c r="DW45" s="13"/>
      <c r="DX45" s="13"/>
      <c r="DY45" s="13"/>
      <c r="DZ45" s="13"/>
      <c r="EA45" s="13"/>
      <c r="EB45" s="13"/>
      <c r="EC45" s="13"/>
      <c r="ED45" s="13"/>
      <c r="EE45" s="13"/>
      <c r="EF45" s="13"/>
      <c r="EG45" s="13"/>
      <c r="EH45" s="13"/>
      <c r="EI45" s="13"/>
      <c r="EJ45" s="13"/>
      <c r="EK45" s="13"/>
      <c r="EL45" s="13"/>
      <c r="EM45" s="13"/>
      <c r="EN45" s="13"/>
      <c r="EO45" s="13"/>
      <c r="EP45" s="13"/>
      <c r="EQ45" s="13"/>
      <c r="ER45" s="13"/>
      <c r="ES45" s="13"/>
      <c r="ET45" s="13"/>
      <c r="EU45" s="13"/>
      <c r="EV45" s="13"/>
      <c r="EW45" s="13"/>
      <c r="EX45" s="13"/>
      <c r="EY45" s="13"/>
      <c r="EZ45" s="13"/>
      <c r="FA45" s="13"/>
      <c r="FB45" s="13"/>
      <c r="FC45" s="13"/>
      <c r="FD45" s="13"/>
      <c r="FE45" s="13"/>
      <c r="FF45" s="13"/>
      <c r="FG45" s="13"/>
      <c r="FH45" s="13"/>
      <c r="FI45" s="13"/>
      <c r="FJ45" s="13"/>
      <c r="FK45" s="13"/>
      <c r="FL45" s="13"/>
      <c r="FM45" s="13"/>
      <c r="FN45" s="13"/>
      <c r="FO45" s="13"/>
      <c r="FP45" s="13"/>
      <c r="FQ45" s="13"/>
      <c r="FR45" s="13"/>
      <c r="FS45" s="13"/>
      <c r="FT45" s="13"/>
      <c r="FU45" s="13"/>
      <c r="FV45" s="13"/>
      <c r="FW45" s="13"/>
      <c r="FX45" s="13"/>
      <c r="FY45" s="13"/>
      <c r="FZ45" s="13"/>
      <c r="GA45" s="13"/>
      <c r="GB45" s="13"/>
      <c r="GC45" s="13"/>
      <c r="GD45" s="13"/>
      <c r="GE45" s="13"/>
      <c r="GF45" s="13"/>
      <c r="GG45" s="13"/>
      <c r="GH45" s="13"/>
      <c r="GI45" s="13"/>
      <c r="GJ45" s="13"/>
      <c r="GK45" s="13"/>
      <c r="GL45" s="13"/>
      <c r="GM45" s="13"/>
      <c r="GN45" s="13"/>
      <c r="GO45" s="13"/>
      <c r="GP45" s="13"/>
      <c r="GQ45" s="13"/>
      <c r="GR45" s="13"/>
      <c r="GS45" s="13"/>
      <c r="GT45" s="13"/>
      <c r="GU45" s="13"/>
      <c r="GV45" s="13"/>
      <c r="GW45" s="13"/>
    </row>
    <row r="46" spans="1:205" x14ac:dyDescent="0.2">
      <c r="A46" s="57"/>
      <c r="B46" s="51"/>
      <c r="C46" s="310" t="s">
        <v>612</v>
      </c>
      <c r="D46" s="497"/>
      <c r="E46" s="498"/>
      <c r="F46" s="499"/>
      <c r="G46" s="499"/>
      <c r="H46" s="499"/>
      <c r="I46" s="499"/>
      <c r="J46" s="499"/>
      <c r="K46" s="499"/>
      <c r="L46" s="501"/>
      <c r="M46" s="499"/>
      <c r="N46" s="499"/>
      <c r="O46" s="499"/>
      <c r="P46" s="502"/>
      <c r="Q46" s="502"/>
      <c r="R46" s="502"/>
      <c r="S46" s="502"/>
      <c r="T46" s="502"/>
      <c r="U46" s="502"/>
      <c r="V46" s="502"/>
      <c r="W46" s="502"/>
      <c r="X46" s="500"/>
      <c r="Y46" s="500"/>
      <c r="Z46" s="500"/>
      <c r="AA46" s="500"/>
      <c r="AB46" s="313">
        <f t="shared" si="2"/>
        <v>0</v>
      </c>
      <c r="AC46" s="311">
        <f t="shared" si="3"/>
        <v>0</v>
      </c>
      <c r="AD46" s="312">
        <f t="shared" si="5"/>
        <v>0</v>
      </c>
      <c r="AE46" s="314">
        <f t="shared" si="4"/>
        <v>0</v>
      </c>
      <c r="AF46" s="499"/>
      <c r="AG46" s="499"/>
      <c r="AH46" s="312"/>
      <c r="AI46" s="314"/>
      <c r="AJ46" s="315" t="str">
        <f>'E. Capital Outlay'!D51</f>
        <v>E.1</v>
      </c>
      <c r="AK46" s="316">
        <f>'E. Capital Outlay'!L54</f>
        <v>0</v>
      </c>
      <c r="AL46" s="311"/>
      <c r="AM46" s="315" t="str">
        <f>'F.  Other Cap Asset Entries'!D214</f>
        <v>F.1</v>
      </c>
      <c r="AN46" s="316">
        <f>'F.  Other Cap Asset Entries'!O227</f>
        <v>0</v>
      </c>
      <c r="AO46" s="317"/>
      <c r="AP46" s="316"/>
      <c r="AQ46" s="309"/>
      <c r="AR46" s="315"/>
      <c r="AS46" s="318"/>
      <c r="AT46" s="508"/>
      <c r="AU46" s="509"/>
      <c r="AV46" s="316">
        <f t="shared" si="7"/>
        <v>0</v>
      </c>
      <c r="AW46" s="316">
        <f t="shared" si="8"/>
        <v>0</v>
      </c>
      <c r="AX46" s="307"/>
      <c r="AY46" s="308"/>
      <c r="AZ46" s="1106" t="str">
        <f>IF((AV46+AV47+AV48)-(AW46+AW47+AW48)&lt;=0," ",(AV46+AV47+AV48)-(AW46+AW47+AW48))</f>
        <v xml:space="preserve"> </v>
      </c>
      <c r="BA46" s="318">
        <f>IF((AV46+AV47+AV48)-(AW46+AW47+AW48)&gt;0," ",(AW46+AW47+AW48)-(AV46+AV47+AV48))</f>
        <v>0</v>
      </c>
      <c r="BB46" s="13"/>
      <c r="BC46" s="13"/>
      <c r="BD46" s="13"/>
      <c r="BE46" s="13"/>
      <c r="BF46" s="13"/>
      <c r="BG46" s="13"/>
      <c r="BH46" s="13"/>
      <c r="BI46" s="13"/>
      <c r="BJ46" s="13"/>
      <c r="BK46" s="13"/>
      <c r="BL46" s="13"/>
      <c r="BM46" s="13"/>
      <c r="BN46" s="13"/>
      <c r="BO46" s="13"/>
      <c r="BP46" s="13"/>
      <c r="BQ46" s="13"/>
      <c r="BR46" s="13"/>
      <c r="BS46" s="13"/>
      <c r="BT46" s="13"/>
      <c r="BU46" s="13"/>
      <c r="BV46" s="13"/>
      <c r="BW46" s="13"/>
      <c r="BX46" s="13"/>
      <c r="BY46" s="13"/>
      <c r="BZ46" s="13"/>
      <c r="CA46" s="13"/>
      <c r="CB46" s="13"/>
      <c r="CC46" s="13"/>
      <c r="CD46" s="13"/>
      <c r="CE46" s="13"/>
      <c r="CF46" s="13"/>
      <c r="CG46" s="13"/>
      <c r="CH46" s="13"/>
      <c r="CI46" s="13"/>
      <c r="CJ46" s="13"/>
      <c r="CK46" s="13"/>
      <c r="CL46" s="13"/>
      <c r="CM46" s="13"/>
      <c r="CN46" s="13"/>
      <c r="CO46" s="13"/>
      <c r="CP46" s="13"/>
      <c r="CQ46" s="13"/>
      <c r="CR46" s="13"/>
      <c r="CS46" s="13"/>
      <c r="CT46" s="13"/>
      <c r="CU46" s="13"/>
      <c r="CV46" s="13"/>
      <c r="CW46" s="13"/>
      <c r="CX46" s="13"/>
      <c r="CY46" s="13"/>
      <c r="CZ46" s="13"/>
      <c r="DA46" s="13"/>
      <c r="DB46" s="13"/>
      <c r="DC46" s="13"/>
      <c r="DD46" s="13"/>
      <c r="DE46" s="13"/>
      <c r="DF46" s="13"/>
      <c r="DG46" s="13"/>
      <c r="DH46" s="13"/>
      <c r="DI46" s="13"/>
      <c r="DJ46" s="13"/>
      <c r="DK46" s="13"/>
      <c r="DL46" s="13"/>
      <c r="DM46" s="13"/>
      <c r="DN46" s="13"/>
      <c r="DO46" s="13"/>
      <c r="DP46" s="13"/>
      <c r="DQ46" s="13"/>
      <c r="DR46" s="13"/>
      <c r="DS46" s="13"/>
      <c r="DT46" s="13"/>
      <c r="DU46" s="13"/>
      <c r="DV46" s="13"/>
      <c r="DW46" s="13"/>
      <c r="DX46" s="13"/>
      <c r="DY46" s="13"/>
      <c r="DZ46" s="13"/>
      <c r="EA46" s="13"/>
      <c r="EB46" s="13"/>
      <c r="EC46" s="13"/>
      <c r="ED46" s="13"/>
      <c r="EE46" s="13"/>
      <c r="EF46" s="13"/>
      <c r="EG46" s="13"/>
      <c r="EH46" s="13"/>
      <c r="EI46" s="13"/>
      <c r="EJ46" s="13"/>
      <c r="EK46" s="13"/>
      <c r="EL46" s="13"/>
      <c r="EM46" s="13"/>
      <c r="EN46" s="13"/>
      <c r="EO46" s="13"/>
      <c r="EP46" s="13"/>
      <c r="EQ46" s="13"/>
      <c r="ER46" s="13"/>
      <c r="ES46" s="13"/>
      <c r="ET46" s="13"/>
      <c r="EU46" s="13"/>
      <c r="EV46" s="13"/>
      <c r="EW46" s="13"/>
      <c r="EX46" s="13"/>
      <c r="EY46" s="13"/>
      <c r="EZ46" s="13"/>
      <c r="FA46" s="13"/>
      <c r="FB46" s="13"/>
      <c r="FC46" s="13"/>
      <c r="FD46" s="13"/>
      <c r="FE46" s="13"/>
      <c r="FF46" s="13"/>
      <c r="FG46" s="13"/>
      <c r="FH46" s="13"/>
      <c r="FI46" s="13"/>
      <c r="FJ46" s="13"/>
      <c r="FK46" s="13"/>
      <c r="FL46" s="13"/>
      <c r="FM46" s="13"/>
      <c r="FN46" s="13"/>
      <c r="FO46" s="13"/>
      <c r="FP46" s="13"/>
      <c r="FQ46" s="13"/>
      <c r="FR46" s="13"/>
      <c r="FS46" s="13"/>
      <c r="FT46" s="13"/>
      <c r="FU46" s="13"/>
      <c r="FV46" s="13"/>
      <c r="FW46" s="13"/>
      <c r="FX46" s="13"/>
      <c r="FY46" s="13"/>
      <c r="FZ46" s="13"/>
      <c r="GA46" s="13"/>
      <c r="GB46" s="13"/>
      <c r="GC46" s="13"/>
      <c r="GD46" s="13"/>
      <c r="GE46" s="13"/>
      <c r="GF46" s="13"/>
      <c r="GG46" s="13"/>
      <c r="GH46" s="13"/>
      <c r="GI46" s="13"/>
      <c r="GJ46" s="13"/>
      <c r="GK46" s="13"/>
      <c r="GL46" s="13"/>
      <c r="GM46" s="13"/>
      <c r="GN46" s="13"/>
      <c r="GO46" s="13"/>
      <c r="GP46" s="13"/>
      <c r="GQ46" s="13"/>
      <c r="GR46" s="13"/>
      <c r="GS46" s="13"/>
      <c r="GT46" s="13"/>
      <c r="GU46" s="13"/>
      <c r="GV46" s="13"/>
      <c r="GW46" s="13"/>
    </row>
    <row r="47" spans="1:205" x14ac:dyDescent="0.2">
      <c r="A47" s="57"/>
      <c r="B47" s="13"/>
      <c r="C47" s="310"/>
      <c r="D47" s="497"/>
      <c r="E47" s="498"/>
      <c r="F47" s="499"/>
      <c r="G47" s="499"/>
      <c r="H47" s="499"/>
      <c r="I47" s="499"/>
      <c r="J47" s="499"/>
      <c r="K47" s="499"/>
      <c r="L47" s="501"/>
      <c r="M47" s="499"/>
      <c r="N47" s="499"/>
      <c r="O47" s="499"/>
      <c r="P47" s="502"/>
      <c r="Q47" s="502"/>
      <c r="R47" s="502"/>
      <c r="S47" s="502"/>
      <c r="T47" s="502"/>
      <c r="U47" s="502"/>
      <c r="V47" s="502"/>
      <c r="W47" s="502"/>
      <c r="X47" s="500"/>
      <c r="Y47" s="500"/>
      <c r="Z47" s="500"/>
      <c r="AA47" s="500"/>
      <c r="AB47" s="313">
        <f t="shared" si="2"/>
        <v>0</v>
      </c>
      <c r="AC47" s="311">
        <f t="shared" si="3"/>
        <v>0</v>
      </c>
      <c r="AD47" s="312">
        <f t="shared" si="5"/>
        <v>0</v>
      </c>
      <c r="AE47" s="314">
        <f t="shared" si="4"/>
        <v>0</v>
      </c>
      <c r="AF47" s="499"/>
      <c r="AG47" s="499"/>
      <c r="AH47" s="312"/>
      <c r="AI47" s="314"/>
      <c r="AJ47" s="315" t="str">
        <f>'F.  Other Cap Asset Entries'!D214</f>
        <v>F.1</v>
      </c>
      <c r="AK47" s="316">
        <f>'F.  Other Cap Asset Entries'!M227</f>
        <v>0</v>
      </c>
      <c r="AL47" s="311"/>
      <c r="AM47" s="315" t="s">
        <v>968</v>
      </c>
      <c r="AN47" s="316">
        <f>'F.  Other Cap Asset Entries'!O260</f>
        <v>0</v>
      </c>
      <c r="AO47" s="317"/>
      <c r="AP47" s="316"/>
      <c r="AQ47" s="309"/>
      <c r="AR47" s="315"/>
      <c r="AS47" s="318"/>
      <c r="AT47" s="508"/>
      <c r="AU47" s="509"/>
      <c r="AV47" s="316">
        <f t="shared" si="7"/>
        <v>0</v>
      </c>
      <c r="AW47" s="316">
        <f t="shared" si="8"/>
        <v>0</v>
      </c>
      <c r="AX47" s="307"/>
      <c r="AY47" s="308"/>
      <c r="AZ47" s="346"/>
      <c r="BA47" s="318"/>
      <c r="BB47" s="13"/>
      <c r="BC47" s="13"/>
      <c r="BD47" s="13"/>
      <c r="BE47" s="13"/>
      <c r="BF47" s="13"/>
      <c r="BG47" s="13"/>
      <c r="BH47" s="13"/>
      <c r="BI47" s="13"/>
      <c r="BJ47" s="13"/>
      <c r="BK47" s="13"/>
      <c r="BL47" s="13"/>
      <c r="BM47" s="13"/>
      <c r="BN47" s="13"/>
      <c r="BO47" s="13"/>
      <c r="BP47" s="13"/>
      <c r="BQ47" s="13"/>
      <c r="BR47" s="13"/>
      <c r="BS47" s="13"/>
      <c r="BT47" s="13"/>
      <c r="BU47" s="13"/>
      <c r="BV47" s="13"/>
      <c r="BW47" s="13"/>
      <c r="BX47" s="13"/>
      <c r="BY47" s="13"/>
      <c r="BZ47" s="13"/>
      <c r="CA47" s="13"/>
      <c r="CB47" s="13"/>
      <c r="CC47" s="13"/>
      <c r="CD47" s="13"/>
      <c r="CE47" s="13"/>
      <c r="CF47" s="13"/>
      <c r="CG47" s="13"/>
      <c r="CH47" s="13"/>
      <c r="CI47" s="13"/>
      <c r="CJ47" s="13"/>
      <c r="CK47" s="13"/>
      <c r="CL47" s="13"/>
      <c r="CM47" s="13"/>
      <c r="CN47" s="13"/>
      <c r="CO47" s="13"/>
      <c r="CP47" s="13"/>
      <c r="CQ47" s="13"/>
      <c r="CR47" s="13"/>
      <c r="CS47" s="13"/>
      <c r="CT47" s="13"/>
      <c r="CU47" s="13"/>
      <c r="CV47" s="13"/>
      <c r="CW47" s="13"/>
      <c r="CX47" s="13"/>
      <c r="CY47" s="13"/>
      <c r="CZ47" s="13"/>
      <c r="DA47" s="13"/>
      <c r="DB47" s="13"/>
      <c r="DC47" s="13"/>
      <c r="DD47" s="13"/>
      <c r="DE47" s="13"/>
      <c r="DF47" s="13"/>
      <c r="DG47" s="13"/>
      <c r="DH47" s="13"/>
      <c r="DI47" s="13"/>
      <c r="DJ47" s="13"/>
      <c r="DK47" s="13"/>
      <c r="DL47" s="13"/>
      <c r="DM47" s="13"/>
      <c r="DN47" s="13"/>
      <c r="DO47" s="13"/>
      <c r="DP47" s="13"/>
      <c r="DQ47" s="13"/>
      <c r="DR47" s="13"/>
      <c r="DS47" s="13"/>
      <c r="DT47" s="13"/>
      <c r="DU47" s="13"/>
      <c r="DV47" s="13"/>
      <c r="DW47" s="13"/>
      <c r="DX47" s="13"/>
      <c r="DY47" s="13"/>
      <c r="DZ47" s="13"/>
      <c r="EA47" s="13"/>
      <c r="EB47" s="13"/>
      <c r="EC47" s="13"/>
      <c r="ED47" s="13"/>
      <c r="EE47" s="13"/>
      <c r="EF47" s="13"/>
      <c r="EG47" s="13"/>
      <c r="EH47" s="13"/>
      <c r="EI47" s="13"/>
      <c r="EJ47" s="13"/>
      <c r="EK47" s="13"/>
      <c r="EL47" s="13"/>
      <c r="EM47" s="13"/>
      <c r="EN47" s="13"/>
      <c r="EO47" s="13"/>
      <c r="EP47" s="13"/>
      <c r="EQ47" s="13"/>
      <c r="ER47" s="13"/>
      <c r="ES47" s="13"/>
      <c r="ET47" s="13"/>
      <c r="EU47" s="13"/>
      <c r="EV47" s="13"/>
      <c r="EW47" s="13"/>
      <c r="EX47" s="13"/>
      <c r="EY47" s="13"/>
      <c r="EZ47" s="13"/>
      <c r="FA47" s="13"/>
      <c r="FB47" s="13"/>
      <c r="FC47" s="13"/>
      <c r="FD47" s="13"/>
      <c r="FE47" s="13"/>
      <c r="FF47" s="13"/>
      <c r="FG47" s="13"/>
      <c r="FH47" s="13"/>
      <c r="FI47" s="13"/>
      <c r="FJ47" s="13"/>
      <c r="FK47" s="13"/>
      <c r="FL47" s="13"/>
      <c r="FM47" s="13"/>
      <c r="FN47" s="13"/>
      <c r="FO47" s="13"/>
      <c r="FP47" s="13"/>
      <c r="FQ47" s="13"/>
      <c r="FR47" s="13"/>
      <c r="FS47" s="13"/>
      <c r="FT47" s="13"/>
      <c r="FU47" s="13"/>
      <c r="FV47" s="13"/>
      <c r="FW47" s="13"/>
      <c r="FX47" s="13"/>
      <c r="FY47" s="13"/>
      <c r="FZ47" s="13"/>
      <c r="GA47" s="13"/>
      <c r="GB47" s="13"/>
      <c r="GC47" s="13"/>
      <c r="GD47" s="13"/>
      <c r="GE47" s="13"/>
      <c r="GF47" s="13"/>
      <c r="GG47" s="13"/>
      <c r="GH47" s="13"/>
      <c r="GI47" s="13"/>
      <c r="GJ47" s="13"/>
      <c r="GK47" s="13"/>
      <c r="GL47" s="13"/>
      <c r="GM47" s="13"/>
      <c r="GN47" s="13"/>
      <c r="GO47" s="13"/>
      <c r="GP47" s="13"/>
      <c r="GQ47" s="13"/>
      <c r="GR47" s="13"/>
      <c r="GS47" s="13"/>
      <c r="GT47" s="13"/>
      <c r="GU47" s="13"/>
      <c r="GV47" s="13"/>
      <c r="GW47" s="13"/>
    </row>
    <row r="48" spans="1:205" x14ac:dyDescent="0.2">
      <c r="A48" s="57"/>
      <c r="B48" s="13"/>
      <c r="C48" s="310"/>
      <c r="D48" s="497"/>
      <c r="E48" s="498"/>
      <c r="F48" s="499"/>
      <c r="G48" s="499"/>
      <c r="H48" s="499"/>
      <c r="I48" s="499"/>
      <c r="J48" s="499"/>
      <c r="K48" s="499"/>
      <c r="L48" s="501"/>
      <c r="M48" s="499"/>
      <c r="N48" s="499"/>
      <c r="O48" s="499"/>
      <c r="P48" s="502"/>
      <c r="Q48" s="502"/>
      <c r="R48" s="502"/>
      <c r="S48" s="502"/>
      <c r="T48" s="502"/>
      <c r="U48" s="502"/>
      <c r="V48" s="502"/>
      <c r="W48" s="502"/>
      <c r="X48" s="500"/>
      <c r="Y48" s="500"/>
      <c r="Z48" s="500"/>
      <c r="AA48" s="500"/>
      <c r="AB48" s="313">
        <f t="shared" si="2"/>
        <v>0</v>
      </c>
      <c r="AC48" s="311">
        <f t="shared" si="3"/>
        <v>0</v>
      </c>
      <c r="AD48" s="312">
        <f t="shared" si="5"/>
        <v>0</v>
      </c>
      <c r="AE48" s="314">
        <f t="shared" si="4"/>
        <v>0</v>
      </c>
      <c r="AF48" s="499"/>
      <c r="AG48" s="499"/>
      <c r="AH48" s="312"/>
      <c r="AI48" s="314"/>
      <c r="AJ48" s="315" t="str">
        <f>'F.  Other Cap Asset Entries'!D236</f>
        <v>F.2</v>
      </c>
      <c r="AK48" s="316">
        <f>'F.  Other Cap Asset Entries'!M238</f>
        <v>0</v>
      </c>
      <c r="AL48" s="311"/>
      <c r="AM48" s="315"/>
      <c r="AN48" s="316"/>
      <c r="AO48" s="317"/>
      <c r="AP48" s="316"/>
      <c r="AQ48" s="309"/>
      <c r="AR48" s="315"/>
      <c r="AS48" s="318"/>
      <c r="AT48" s="508"/>
      <c r="AU48" s="509"/>
      <c r="AV48" s="316">
        <f t="shared" si="7"/>
        <v>0</v>
      </c>
      <c r="AW48" s="316">
        <f t="shared" si="8"/>
        <v>0</v>
      </c>
      <c r="AX48" s="307"/>
      <c r="AY48" s="308"/>
      <c r="AZ48" s="346"/>
      <c r="BA48" s="318"/>
      <c r="BB48" s="13"/>
      <c r="BC48" s="13"/>
      <c r="BD48" s="13"/>
      <c r="BE48" s="13"/>
      <c r="BF48" s="13"/>
      <c r="BG48" s="13"/>
      <c r="BH48" s="13"/>
      <c r="BI48" s="13"/>
      <c r="BJ48" s="13"/>
      <c r="BK48" s="13"/>
      <c r="BL48" s="13"/>
      <c r="BM48" s="13"/>
      <c r="BN48" s="13"/>
      <c r="BO48" s="13"/>
      <c r="BP48" s="13"/>
      <c r="BQ48" s="13"/>
      <c r="BR48" s="13"/>
      <c r="BS48" s="13"/>
      <c r="BT48" s="13"/>
      <c r="BU48" s="13"/>
      <c r="BV48" s="13"/>
      <c r="BW48" s="13"/>
      <c r="BX48" s="13"/>
      <c r="BY48" s="13"/>
      <c r="BZ48" s="13"/>
      <c r="CA48" s="13"/>
      <c r="CB48" s="13"/>
      <c r="CC48" s="13"/>
      <c r="CD48" s="13"/>
      <c r="CE48" s="13"/>
      <c r="CF48" s="13"/>
      <c r="CG48" s="13"/>
      <c r="CH48" s="13"/>
      <c r="CI48" s="13"/>
      <c r="CJ48" s="13"/>
      <c r="CK48" s="13"/>
      <c r="CL48" s="13"/>
      <c r="CM48" s="13"/>
      <c r="CN48" s="13"/>
      <c r="CO48" s="13"/>
      <c r="CP48" s="13"/>
      <c r="CQ48" s="13"/>
      <c r="CR48" s="13"/>
      <c r="CS48" s="13"/>
      <c r="CT48" s="13"/>
      <c r="CU48" s="13"/>
      <c r="CV48" s="13"/>
      <c r="CW48" s="13"/>
      <c r="CX48" s="13"/>
      <c r="CY48" s="13"/>
      <c r="CZ48" s="13"/>
      <c r="DA48" s="13"/>
      <c r="DB48" s="13"/>
      <c r="DC48" s="13"/>
      <c r="DD48" s="13"/>
      <c r="DE48" s="13"/>
      <c r="DF48" s="13"/>
      <c r="DG48" s="13"/>
      <c r="DH48" s="13"/>
      <c r="DI48" s="13"/>
      <c r="DJ48" s="13"/>
      <c r="DK48" s="13"/>
      <c r="DL48" s="13"/>
      <c r="DM48" s="13"/>
      <c r="DN48" s="13"/>
      <c r="DO48" s="13"/>
      <c r="DP48" s="13"/>
      <c r="DQ48" s="13"/>
      <c r="DR48" s="13"/>
      <c r="DS48" s="13"/>
      <c r="DT48" s="13"/>
      <c r="DU48" s="13"/>
      <c r="DV48" s="13"/>
      <c r="DW48" s="13"/>
      <c r="DX48" s="13"/>
      <c r="DY48" s="13"/>
      <c r="DZ48" s="13"/>
      <c r="EA48" s="13"/>
      <c r="EB48" s="13"/>
      <c r="EC48" s="13"/>
      <c r="ED48" s="13"/>
      <c r="EE48" s="13"/>
      <c r="EF48" s="13"/>
      <c r="EG48" s="13"/>
      <c r="EH48" s="13"/>
      <c r="EI48" s="13"/>
      <c r="EJ48" s="13"/>
      <c r="EK48" s="13"/>
      <c r="EL48" s="13"/>
      <c r="EM48" s="13"/>
      <c r="EN48" s="13"/>
      <c r="EO48" s="13"/>
      <c r="EP48" s="13"/>
      <c r="EQ48" s="13"/>
      <c r="ER48" s="13"/>
      <c r="ES48" s="13"/>
      <c r="ET48" s="13"/>
      <c r="EU48" s="13"/>
      <c r="EV48" s="13"/>
      <c r="EW48" s="13"/>
      <c r="EX48" s="13"/>
      <c r="EY48" s="13"/>
      <c r="EZ48" s="13"/>
      <c r="FA48" s="13"/>
      <c r="FB48" s="13"/>
      <c r="FC48" s="13"/>
      <c r="FD48" s="13"/>
      <c r="FE48" s="13"/>
      <c r="FF48" s="13"/>
      <c r="FG48" s="13"/>
      <c r="FH48" s="13"/>
      <c r="FI48" s="13"/>
      <c r="FJ48" s="13"/>
      <c r="FK48" s="13"/>
      <c r="FL48" s="13"/>
      <c r="FM48" s="13"/>
      <c r="FN48" s="13"/>
      <c r="FO48" s="13"/>
      <c r="FP48" s="13"/>
      <c r="FQ48" s="13"/>
      <c r="FR48" s="13"/>
      <c r="FS48" s="13"/>
      <c r="FT48" s="13"/>
      <c r="FU48" s="13"/>
      <c r="FV48" s="13"/>
      <c r="FW48" s="13"/>
      <c r="FX48" s="13"/>
      <c r="FY48" s="13"/>
      <c r="FZ48" s="13"/>
      <c r="GA48" s="13"/>
      <c r="GB48" s="13"/>
      <c r="GC48" s="13"/>
      <c r="GD48" s="13"/>
      <c r="GE48" s="13"/>
      <c r="GF48" s="13"/>
      <c r="GG48" s="13"/>
      <c r="GH48" s="13"/>
      <c r="GI48" s="13"/>
      <c r="GJ48" s="13"/>
      <c r="GK48" s="13"/>
      <c r="GL48" s="13"/>
      <c r="GM48" s="13"/>
      <c r="GN48" s="13"/>
      <c r="GO48" s="13"/>
      <c r="GP48" s="13"/>
      <c r="GQ48" s="13"/>
      <c r="GR48" s="13"/>
      <c r="GS48" s="13"/>
      <c r="GT48" s="13"/>
      <c r="GU48" s="13"/>
      <c r="GV48" s="13"/>
      <c r="GW48" s="13"/>
    </row>
    <row r="49" spans="1:205" x14ac:dyDescent="0.2">
      <c r="A49" s="57"/>
      <c r="B49" s="51"/>
      <c r="C49" s="13" t="s">
        <v>910</v>
      </c>
      <c r="D49" s="493"/>
      <c r="E49" s="494"/>
      <c r="F49" s="492"/>
      <c r="G49" s="492"/>
      <c r="H49" s="492"/>
      <c r="I49" s="492"/>
      <c r="J49" s="492"/>
      <c r="K49" s="492"/>
      <c r="L49" s="496"/>
      <c r="M49" s="492"/>
      <c r="N49" s="492"/>
      <c r="O49" s="492"/>
      <c r="P49" s="491"/>
      <c r="Q49" s="491"/>
      <c r="R49" s="491"/>
      <c r="S49" s="491"/>
      <c r="T49" s="491"/>
      <c r="U49" s="491"/>
      <c r="V49" s="491"/>
      <c r="W49" s="491"/>
      <c r="X49" s="495"/>
      <c r="Y49" s="495"/>
      <c r="Z49" s="495"/>
      <c r="AA49" s="495"/>
      <c r="AB49" s="34">
        <f t="shared" si="2"/>
        <v>0</v>
      </c>
      <c r="AC49" s="12">
        <f t="shared" si="3"/>
        <v>0</v>
      </c>
      <c r="AD49" s="30">
        <f t="shared" si="5"/>
        <v>0</v>
      </c>
      <c r="AE49" s="25">
        <f t="shared" si="4"/>
        <v>0</v>
      </c>
      <c r="AF49" s="492"/>
      <c r="AG49" s="492"/>
      <c r="AH49" s="53"/>
      <c r="AI49" s="55"/>
      <c r="AJ49" s="273" t="str">
        <f>'F.  Other Cap Asset Entries'!D214</f>
        <v>F.1</v>
      </c>
      <c r="AK49" s="72">
        <f>'F.  Other Cap Asset Entries'!M215</f>
        <v>0</v>
      </c>
      <c r="AL49" s="10"/>
      <c r="AM49" s="273" t="str">
        <f>'D. Depreciation'!A53</f>
        <v>D.1</v>
      </c>
      <c r="AN49" s="72">
        <f>'D. Depreciation'!L63</f>
        <v>0</v>
      </c>
      <c r="AO49" s="280"/>
      <c r="AP49" s="72"/>
      <c r="AQ49" s="54"/>
      <c r="AR49" s="273"/>
      <c r="AS49" s="255"/>
      <c r="AT49" s="508"/>
      <c r="AU49" s="509"/>
      <c r="AV49" s="323">
        <f t="shared" si="7"/>
        <v>0</v>
      </c>
      <c r="AW49" s="323">
        <f t="shared" si="8"/>
        <v>0</v>
      </c>
      <c r="AX49" s="57"/>
      <c r="AY49" s="58"/>
      <c r="AZ49" s="345" t="str">
        <f>IF(AV49-AW49&lt;=0," ",AV49-AW49)</f>
        <v xml:space="preserve"> </v>
      </c>
      <c r="BA49" s="255">
        <f>IF(AV49-AW49&gt;0," ",AW49-AV49)</f>
        <v>0</v>
      </c>
      <c r="BB49" s="13"/>
      <c r="BC49" s="13"/>
      <c r="BD49" s="13"/>
      <c r="BE49" s="13"/>
      <c r="BF49" s="13"/>
      <c r="BG49" s="13"/>
      <c r="BH49" s="13"/>
      <c r="BI49" s="13"/>
      <c r="BJ49" s="13"/>
      <c r="BK49" s="13"/>
      <c r="BL49" s="13"/>
      <c r="BM49" s="13"/>
      <c r="BN49" s="13"/>
      <c r="BO49" s="13"/>
      <c r="BP49" s="13"/>
      <c r="BQ49" s="13"/>
      <c r="BR49" s="13"/>
      <c r="BS49" s="13"/>
      <c r="BT49" s="13"/>
      <c r="BU49" s="13"/>
      <c r="BV49" s="13"/>
      <c r="BW49" s="13"/>
      <c r="BX49" s="13"/>
      <c r="BY49" s="13"/>
      <c r="BZ49" s="13"/>
      <c r="CA49" s="13"/>
      <c r="CB49" s="13"/>
      <c r="CC49" s="13"/>
      <c r="CD49" s="13"/>
      <c r="CE49" s="13"/>
      <c r="CF49" s="13"/>
      <c r="CG49" s="13"/>
      <c r="CH49" s="13"/>
      <c r="CI49" s="13"/>
      <c r="CJ49" s="13"/>
      <c r="CK49" s="13"/>
      <c r="CL49" s="13"/>
      <c r="CM49" s="13"/>
      <c r="CN49" s="13"/>
      <c r="CO49" s="13"/>
      <c r="CP49" s="13"/>
      <c r="CQ49" s="13"/>
      <c r="CR49" s="13"/>
      <c r="CS49" s="13"/>
      <c r="CT49" s="13"/>
      <c r="CU49" s="13"/>
      <c r="CV49" s="13"/>
      <c r="CW49" s="13"/>
      <c r="CX49" s="13"/>
      <c r="CY49" s="13"/>
      <c r="CZ49" s="13"/>
      <c r="DA49" s="13"/>
      <c r="DB49" s="13"/>
      <c r="DC49" s="13"/>
      <c r="DD49" s="13"/>
      <c r="DE49" s="13"/>
      <c r="DF49" s="13"/>
      <c r="DG49" s="13"/>
      <c r="DH49" s="13"/>
      <c r="DI49" s="13"/>
      <c r="DJ49" s="13"/>
      <c r="DK49" s="13"/>
      <c r="DL49" s="13"/>
      <c r="DM49" s="13"/>
      <c r="DN49" s="13"/>
      <c r="DO49" s="13"/>
      <c r="DP49" s="13"/>
      <c r="DQ49" s="13"/>
      <c r="DR49" s="13"/>
      <c r="DS49" s="13"/>
      <c r="DT49" s="13"/>
      <c r="DU49" s="13"/>
      <c r="DV49" s="13"/>
      <c r="DW49" s="13"/>
      <c r="DX49" s="13"/>
      <c r="DY49" s="13"/>
      <c r="DZ49" s="13"/>
      <c r="EA49" s="13"/>
      <c r="EB49" s="13"/>
      <c r="EC49" s="13"/>
      <c r="ED49" s="13"/>
      <c r="EE49" s="13"/>
      <c r="EF49" s="13"/>
      <c r="EG49" s="13"/>
      <c r="EH49" s="13"/>
      <c r="EI49" s="13"/>
      <c r="EJ49" s="13"/>
      <c r="EK49" s="13"/>
      <c r="EL49" s="13"/>
      <c r="EM49" s="13"/>
      <c r="EN49" s="13"/>
      <c r="EO49" s="13"/>
      <c r="EP49" s="13"/>
      <c r="EQ49" s="13"/>
      <c r="ER49" s="13"/>
      <c r="ES49" s="13"/>
      <c r="ET49" s="13"/>
      <c r="EU49" s="13"/>
      <c r="EV49" s="13"/>
      <c r="EW49" s="13"/>
      <c r="EX49" s="13"/>
      <c r="EY49" s="13"/>
      <c r="EZ49" s="13"/>
      <c r="FA49" s="13"/>
      <c r="FB49" s="13"/>
      <c r="FC49" s="13"/>
      <c r="FD49" s="13"/>
      <c r="FE49" s="13"/>
      <c r="FF49" s="13"/>
      <c r="FG49" s="13"/>
      <c r="FH49" s="13"/>
      <c r="FI49" s="13"/>
      <c r="FJ49" s="13"/>
      <c r="FK49" s="13"/>
      <c r="FL49" s="13"/>
      <c r="FM49" s="13"/>
      <c r="FN49" s="13"/>
      <c r="FO49" s="13"/>
      <c r="FP49" s="13"/>
      <c r="FQ49" s="13"/>
      <c r="FR49" s="13"/>
      <c r="FS49" s="13"/>
      <c r="FT49" s="13"/>
      <c r="FU49" s="13"/>
      <c r="FV49" s="13"/>
      <c r="FW49" s="13"/>
      <c r="FX49" s="13"/>
      <c r="FY49" s="13"/>
      <c r="FZ49" s="13"/>
      <c r="GA49" s="13"/>
      <c r="GB49" s="13"/>
      <c r="GC49" s="13"/>
      <c r="GD49" s="13"/>
      <c r="GE49" s="13"/>
      <c r="GF49" s="13"/>
      <c r="GG49" s="13"/>
      <c r="GH49" s="13"/>
      <c r="GI49" s="13"/>
      <c r="GJ49" s="13"/>
      <c r="GK49" s="13"/>
      <c r="GL49" s="13"/>
      <c r="GM49" s="13"/>
      <c r="GN49" s="13"/>
      <c r="GO49" s="13"/>
      <c r="GP49" s="13"/>
      <c r="GQ49" s="13"/>
      <c r="GR49" s="13"/>
      <c r="GS49" s="13"/>
      <c r="GT49" s="13"/>
      <c r="GU49" s="13"/>
      <c r="GV49" s="13"/>
      <c r="GW49" s="13"/>
    </row>
    <row r="50" spans="1:205" x14ac:dyDescent="0.2">
      <c r="A50" s="57"/>
      <c r="B50" s="51"/>
      <c r="C50" s="310" t="s">
        <v>474</v>
      </c>
      <c r="D50" s="497"/>
      <c r="E50" s="498"/>
      <c r="F50" s="499"/>
      <c r="G50" s="499"/>
      <c r="H50" s="499"/>
      <c r="I50" s="499"/>
      <c r="J50" s="499"/>
      <c r="K50" s="499"/>
      <c r="L50" s="501"/>
      <c r="M50" s="499"/>
      <c r="N50" s="499"/>
      <c r="O50" s="499"/>
      <c r="P50" s="502"/>
      <c r="Q50" s="502"/>
      <c r="R50" s="502"/>
      <c r="S50" s="502"/>
      <c r="T50" s="502"/>
      <c r="U50" s="502"/>
      <c r="V50" s="502"/>
      <c r="W50" s="502"/>
      <c r="X50" s="500"/>
      <c r="Y50" s="500"/>
      <c r="Z50" s="500"/>
      <c r="AA50" s="500"/>
      <c r="AB50" s="313">
        <f t="shared" si="2"/>
        <v>0</v>
      </c>
      <c r="AC50" s="311">
        <f t="shared" si="3"/>
        <v>0</v>
      </c>
      <c r="AD50" s="312">
        <f t="shared" si="5"/>
        <v>0</v>
      </c>
      <c r="AE50" s="314">
        <f t="shared" si="4"/>
        <v>0</v>
      </c>
      <c r="AF50" s="499"/>
      <c r="AG50" s="499"/>
      <c r="AH50" s="312"/>
      <c r="AI50" s="314"/>
      <c r="AJ50" s="315" t="str">
        <f>'E. Capital Outlay'!D51</f>
        <v>E.1</v>
      </c>
      <c r="AK50" s="316">
        <f>'E. Capital Outlay'!L55</f>
        <v>0</v>
      </c>
      <c r="AL50" s="311"/>
      <c r="AM50" s="315" t="str">
        <f>'F.  Other Cap Asset Entries'!D214</f>
        <v>F.1</v>
      </c>
      <c r="AN50" s="316">
        <f>'F.  Other Cap Asset Entries'!O228</f>
        <v>0</v>
      </c>
      <c r="AO50" s="459" t="s">
        <v>682</v>
      </c>
      <c r="AP50" s="316">
        <f>'K.1  Int. Service Fd Allocation'!E171+'K.2  Int. Service Fd Alloca'!E164+'K.3 Int. Service Fd Alloca'!E164</f>
        <v>0</v>
      </c>
      <c r="AQ50" s="309"/>
      <c r="AR50" s="315"/>
      <c r="AS50" s="318"/>
      <c r="AT50" s="508"/>
      <c r="AU50" s="509"/>
      <c r="AV50" s="316">
        <f t="shared" si="7"/>
        <v>0</v>
      </c>
      <c r="AW50" s="316">
        <f t="shared" si="8"/>
        <v>0</v>
      </c>
      <c r="AX50" s="307"/>
      <c r="AY50" s="308"/>
      <c r="AZ50" s="1106" t="str">
        <f>IF((AV50+AV51+AV52)-(AW50+AW51+AW52)&lt;=0," ",(AV50+AV51+AV52)-(AW50+AW51+AW52))</f>
        <v xml:space="preserve"> </v>
      </c>
      <c r="BA50" s="318">
        <f>IF((AV50+AV51+AV52)-(AW50+AW51+AW52)&gt;0," ",(AW50+AW51+AW52)-(AV50+AV51+AV52))</f>
        <v>0</v>
      </c>
      <c r="BB50" s="13"/>
      <c r="BC50" s="13"/>
      <c r="BD50" s="13"/>
      <c r="BE50" s="13"/>
      <c r="BF50" s="13"/>
      <c r="BG50" s="13"/>
      <c r="BH50" s="13"/>
      <c r="BI50" s="13"/>
      <c r="BJ50" s="13"/>
      <c r="BK50" s="13"/>
      <c r="BL50" s="13"/>
      <c r="BM50" s="13"/>
      <c r="BN50" s="13"/>
      <c r="BO50" s="13"/>
      <c r="BP50" s="13"/>
      <c r="BQ50" s="13"/>
      <c r="BR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c r="EV50" s="13"/>
      <c r="EW50" s="13"/>
      <c r="EX50" s="13"/>
      <c r="EY50" s="13"/>
      <c r="EZ50" s="13"/>
      <c r="FA50" s="13"/>
      <c r="FB50" s="13"/>
      <c r="FC50" s="13"/>
      <c r="FD50" s="13"/>
      <c r="FE50" s="13"/>
      <c r="FF50" s="13"/>
      <c r="FG50" s="13"/>
      <c r="FH50" s="13"/>
      <c r="FI50" s="13"/>
      <c r="FJ50" s="13"/>
      <c r="FK50" s="13"/>
      <c r="FL50" s="13"/>
      <c r="FM50" s="13"/>
      <c r="FN50" s="13"/>
      <c r="FO50" s="13"/>
      <c r="FP50" s="13"/>
      <c r="FQ50" s="13"/>
      <c r="FR50" s="13"/>
      <c r="FS50" s="13"/>
      <c r="FT50" s="13"/>
      <c r="FU50" s="13"/>
      <c r="FV50" s="13"/>
      <c r="FW50" s="13"/>
      <c r="FX50" s="13"/>
      <c r="FY50" s="13"/>
      <c r="FZ50" s="13"/>
      <c r="GA50" s="13"/>
      <c r="GB50" s="13"/>
      <c r="GC50" s="13"/>
      <c r="GD50" s="13"/>
      <c r="GE50" s="13"/>
      <c r="GF50" s="13"/>
      <c r="GG50" s="13"/>
      <c r="GH50" s="13"/>
      <c r="GI50" s="13"/>
      <c r="GJ50" s="13"/>
      <c r="GK50" s="13"/>
      <c r="GL50" s="13"/>
      <c r="GM50" s="13"/>
      <c r="GN50" s="13"/>
      <c r="GO50" s="13"/>
      <c r="GP50" s="13"/>
      <c r="GQ50" s="13"/>
      <c r="GR50" s="13"/>
      <c r="GS50" s="13"/>
      <c r="GT50" s="13"/>
      <c r="GU50" s="13"/>
      <c r="GV50" s="13"/>
      <c r="GW50" s="13"/>
    </row>
    <row r="51" spans="1:205" x14ac:dyDescent="0.2">
      <c r="A51" s="57"/>
      <c r="B51" s="51"/>
      <c r="C51" s="310"/>
      <c r="D51" s="497"/>
      <c r="E51" s="498"/>
      <c r="F51" s="499"/>
      <c r="G51" s="499"/>
      <c r="H51" s="499"/>
      <c r="I51" s="499"/>
      <c r="J51" s="499"/>
      <c r="K51" s="499"/>
      <c r="L51" s="501"/>
      <c r="M51" s="499"/>
      <c r="N51" s="499"/>
      <c r="O51" s="499"/>
      <c r="P51" s="502"/>
      <c r="Q51" s="502"/>
      <c r="R51" s="502"/>
      <c r="S51" s="502"/>
      <c r="T51" s="502"/>
      <c r="U51" s="502"/>
      <c r="V51" s="502"/>
      <c r="W51" s="502"/>
      <c r="X51" s="500"/>
      <c r="Y51" s="500"/>
      <c r="Z51" s="500"/>
      <c r="AA51" s="500"/>
      <c r="AB51" s="313">
        <f t="shared" si="2"/>
        <v>0</v>
      </c>
      <c r="AC51" s="311">
        <f t="shared" si="3"/>
        <v>0</v>
      </c>
      <c r="AD51" s="312">
        <f t="shared" si="5"/>
        <v>0</v>
      </c>
      <c r="AE51" s="314">
        <f t="shared" si="4"/>
        <v>0</v>
      </c>
      <c r="AF51" s="499"/>
      <c r="AG51" s="499"/>
      <c r="AH51" s="312"/>
      <c r="AI51" s="314"/>
      <c r="AJ51" s="315" t="str">
        <f>'F.  Other Cap Asset Entries'!D214</f>
        <v>F.1</v>
      </c>
      <c r="AK51" s="316">
        <f>'F.  Other Cap Asset Entries'!M228</f>
        <v>0</v>
      </c>
      <c r="AL51" s="311"/>
      <c r="AM51" s="315" t="s">
        <v>968</v>
      </c>
      <c r="AN51" s="316">
        <f>'F.  Other Cap Asset Entries'!O261</f>
        <v>0</v>
      </c>
      <c r="AO51" s="317"/>
      <c r="AP51" s="316"/>
      <c r="AQ51" s="309"/>
      <c r="AR51" s="315"/>
      <c r="AS51" s="318"/>
      <c r="AT51" s="508"/>
      <c r="AU51" s="509"/>
      <c r="AV51" s="316">
        <f t="shared" si="7"/>
        <v>0</v>
      </c>
      <c r="AW51" s="316">
        <f t="shared" si="8"/>
        <v>0</v>
      </c>
      <c r="AX51" s="307"/>
      <c r="AY51" s="308"/>
      <c r="AZ51" s="346"/>
      <c r="BA51" s="318"/>
      <c r="BB51" s="13"/>
      <c r="BC51" s="13"/>
      <c r="BD51" s="13"/>
      <c r="BE51" s="13"/>
      <c r="BF51" s="13"/>
      <c r="BG51" s="13"/>
      <c r="BH51" s="13"/>
      <c r="BI51" s="13"/>
      <c r="BJ51" s="13"/>
      <c r="BK51" s="13"/>
      <c r="BL51" s="13"/>
      <c r="BM51" s="13"/>
      <c r="BN51" s="13"/>
      <c r="BO51" s="13"/>
      <c r="BP51" s="13"/>
      <c r="BQ51" s="13"/>
      <c r="BR51" s="13"/>
      <c r="BS51" s="13"/>
      <c r="BT51" s="13"/>
      <c r="BU51" s="13"/>
      <c r="BV51" s="13"/>
      <c r="BW51" s="13"/>
      <c r="BX51" s="13"/>
      <c r="BY51" s="13"/>
      <c r="BZ51" s="13"/>
      <c r="CA51" s="13"/>
      <c r="CB51" s="13"/>
      <c r="CC51" s="13"/>
      <c r="CD51" s="13"/>
      <c r="CE51" s="13"/>
      <c r="CF51" s="13"/>
      <c r="CG51" s="13"/>
      <c r="CH51" s="13"/>
      <c r="CI51" s="13"/>
      <c r="CJ51" s="13"/>
      <c r="CK51" s="13"/>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c r="EV51" s="13"/>
      <c r="EW51" s="13"/>
      <c r="EX51" s="13"/>
      <c r="EY51" s="13"/>
      <c r="EZ51" s="13"/>
      <c r="FA51" s="13"/>
      <c r="FB51" s="13"/>
      <c r="FC51" s="13"/>
      <c r="FD51" s="13"/>
      <c r="FE51" s="13"/>
      <c r="FF51" s="13"/>
      <c r="FG51" s="13"/>
      <c r="FH51" s="13"/>
      <c r="FI51" s="13"/>
      <c r="FJ51" s="13"/>
      <c r="FK51" s="13"/>
      <c r="FL51" s="13"/>
      <c r="FM51" s="13"/>
      <c r="FN51" s="13"/>
      <c r="FO51" s="13"/>
      <c r="FP51" s="13"/>
      <c r="FQ51" s="13"/>
      <c r="FR51" s="13"/>
      <c r="FS51" s="13"/>
      <c r="FT51" s="13"/>
      <c r="FU51" s="13"/>
      <c r="FV51" s="13"/>
      <c r="FW51" s="13"/>
      <c r="FX51" s="13"/>
      <c r="FY51" s="13"/>
      <c r="FZ51" s="13"/>
      <c r="GA51" s="13"/>
      <c r="GB51" s="13"/>
      <c r="GC51" s="13"/>
      <c r="GD51" s="13"/>
      <c r="GE51" s="13"/>
      <c r="GF51" s="13"/>
      <c r="GG51" s="13"/>
      <c r="GH51" s="13"/>
      <c r="GI51" s="13"/>
      <c r="GJ51" s="13"/>
      <c r="GK51" s="13"/>
      <c r="GL51" s="13"/>
      <c r="GM51" s="13"/>
      <c r="GN51" s="13"/>
      <c r="GO51" s="13"/>
      <c r="GP51" s="13"/>
      <c r="GQ51" s="13"/>
      <c r="GR51" s="13"/>
      <c r="GS51" s="13"/>
      <c r="GT51" s="13"/>
      <c r="GU51" s="13"/>
      <c r="GV51" s="13"/>
      <c r="GW51" s="13"/>
    </row>
    <row r="52" spans="1:205" x14ac:dyDescent="0.2">
      <c r="A52" s="57"/>
      <c r="B52" s="51"/>
      <c r="C52" s="310"/>
      <c r="D52" s="497"/>
      <c r="E52" s="498"/>
      <c r="F52" s="499"/>
      <c r="G52" s="499"/>
      <c r="H52" s="499"/>
      <c r="I52" s="499"/>
      <c r="J52" s="499"/>
      <c r="K52" s="499"/>
      <c r="L52" s="501"/>
      <c r="M52" s="499"/>
      <c r="N52" s="499"/>
      <c r="O52" s="499"/>
      <c r="P52" s="502"/>
      <c r="Q52" s="502"/>
      <c r="R52" s="502"/>
      <c r="S52" s="502"/>
      <c r="T52" s="502"/>
      <c r="U52" s="502"/>
      <c r="V52" s="502"/>
      <c r="W52" s="502"/>
      <c r="X52" s="500"/>
      <c r="Y52" s="500"/>
      <c r="Z52" s="500"/>
      <c r="AA52" s="500"/>
      <c r="AB52" s="313">
        <f t="shared" si="2"/>
        <v>0</v>
      </c>
      <c r="AC52" s="311">
        <f t="shared" si="3"/>
        <v>0</v>
      </c>
      <c r="AD52" s="312">
        <f t="shared" si="5"/>
        <v>0</v>
      </c>
      <c r="AE52" s="314">
        <f t="shared" si="4"/>
        <v>0</v>
      </c>
      <c r="AF52" s="499"/>
      <c r="AG52" s="499"/>
      <c r="AH52" s="312"/>
      <c r="AI52" s="314"/>
      <c r="AJ52" s="315" t="str">
        <f>'F.  Other Cap Asset Entries'!D236</f>
        <v>F.2</v>
      </c>
      <c r="AK52" s="316">
        <f>'F.  Other Cap Asset Entries'!M239</f>
        <v>0</v>
      </c>
      <c r="AL52" s="311"/>
      <c r="AM52" s="315"/>
      <c r="AN52" s="316"/>
      <c r="AO52" s="317"/>
      <c r="AP52" s="316"/>
      <c r="AQ52" s="309"/>
      <c r="AR52" s="315"/>
      <c r="AS52" s="318"/>
      <c r="AT52" s="508"/>
      <c r="AU52" s="509"/>
      <c r="AV52" s="316">
        <f t="shared" si="7"/>
        <v>0</v>
      </c>
      <c r="AW52" s="316">
        <f t="shared" si="8"/>
        <v>0</v>
      </c>
      <c r="AX52" s="307"/>
      <c r="AY52" s="308"/>
      <c r="AZ52" s="346"/>
      <c r="BA52" s="318"/>
      <c r="BB52" s="13"/>
      <c r="BC52" s="13"/>
      <c r="BD52" s="13"/>
      <c r="BE52" s="13"/>
      <c r="BF52" s="13"/>
      <c r="BG52" s="13"/>
      <c r="BH52" s="13"/>
      <c r="BI52" s="13"/>
      <c r="BJ52" s="13"/>
      <c r="BK52" s="13"/>
      <c r="BL52" s="13"/>
      <c r="BM52" s="13"/>
      <c r="BN52" s="13"/>
      <c r="BO52" s="13"/>
      <c r="BP52" s="13"/>
      <c r="BQ52" s="13"/>
      <c r="BR52" s="13"/>
      <c r="BS52" s="13"/>
      <c r="BT52" s="13"/>
      <c r="BU52" s="13"/>
      <c r="BV52" s="13"/>
      <c r="BW52" s="13"/>
      <c r="BX52" s="13"/>
      <c r="BY52" s="13"/>
      <c r="BZ52" s="13"/>
      <c r="CA52" s="13"/>
      <c r="CB52" s="13"/>
      <c r="CC52" s="13"/>
      <c r="CD52" s="13"/>
      <c r="CE52" s="13"/>
      <c r="CF52" s="13"/>
      <c r="CG52" s="13"/>
      <c r="CH52" s="13"/>
      <c r="CI52" s="13"/>
      <c r="CJ52" s="13"/>
      <c r="CK52" s="13"/>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c r="EV52" s="13"/>
      <c r="EW52" s="13"/>
      <c r="EX52" s="13"/>
      <c r="EY52" s="13"/>
      <c r="EZ52" s="13"/>
      <c r="FA52" s="13"/>
      <c r="FB52" s="13"/>
      <c r="FC52" s="13"/>
      <c r="FD52" s="13"/>
      <c r="FE52" s="13"/>
      <c r="FF52" s="13"/>
      <c r="FG52" s="13"/>
      <c r="FH52" s="13"/>
      <c r="FI52" s="13"/>
      <c r="FJ52" s="13"/>
      <c r="FK52" s="13"/>
      <c r="FL52" s="13"/>
      <c r="FM52" s="13"/>
      <c r="FN52" s="13"/>
      <c r="FO52" s="13"/>
      <c r="FP52" s="13"/>
      <c r="FQ52" s="13"/>
      <c r="FR52" s="13"/>
      <c r="FS52" s="13"/>
      <c r="FT52" s="13"/>
      <c r="FU52" s="13"/>
      <c r="FV52" s="13"/>
      <c r="FW52" s="13"/>
      <c r="FX52" s="13"/>
      <c r="FY52" s="13"/>
      <c r="FZ52" s="13"/>
      <c r="GA52" s="13"/>
      <c r="GB52" s="13"/>
      <c r="GC52" s="13"/>
      <c r="GD52" s="13"/>
      <c r="GE52" s="13"/>
      <c r="GF52" s="13"/>
      <c r="GG52" s="13"/>
      <c r="GH52" s="13"/>
      <c r="GI52" s="13"/>
      <c r="GJ52" s="13"/>
      <c r="GK52" s="13"/>
      <c r="GL52" s="13"/>
      <c r="GM52" s="13"/>
      <c r="GN52" s="13"/>
      <c r="GO52" s="13"/>
      <c r="GP52" s="13"/>
      <c r="GQ52" s="13"/>
      <c r="GR52" s="13"/>
      <c r="GS52" s="13"/>
      <c r="GT52" s="13"/>
      <c r="GU52" s="13"/>
      <c r="GV52" s="13"/>
      <c r="GW52" s="13"/>
    </row>
    <row r="53" spans="1:205" x14ac:dyDescent="0.2">
      <c r="A53" s="57"/>
      <c r="B53" s="51"/>
      <c r="C53" s="13" t="s">
        <v>911</v>
      </c>
      <c r="D53" s="493"/>
      <c r="E53" s="494"/>
      <c r="F53" s="492"/>
      <c r="G53" s="492"/>
      <c r="H53" s="492"/>
      <c r="I53" s="492"/>
      <c r="J53" s="492"/>
      <c r="K53" s="492"/>
      <c r="L53" s="496"/>
      <c r="M53" s="492"/>
      <c r="N53" s="492"/>
      <c r="O53" s="492"/>
      <c r="P53" s="491"/>
      <c r="Q53" s="491"/>
      <c r="R53" s="491"/>
      <c r="S53" s="491"/>
      <c r="T53" s="491"/>
      <c r="U53" s="491"/>
      <c r="V53" s="491"/>
      <c r="W53" s="491"/>
      <c r="X53" s="495"/>
      <c r="Y53" s="495"/>
      <c r="Z53" s="495"/>
      <c r="AA53" s="495"/>
      <c r="AB53" s="34">
        <f t="shared" si="2"/>
        <v>0</v>
      </c>
      <c r="AC53" s="12">
        <f t="shared" si="3"/>
        <v>0</v>
      </c>
      <c r="AD53" s="30">
        <f t="shared" si="5"/>
        <v>0</v>
      </c>
      <c r="AE53" s="25">
        <f t="shared" si="4"/>
        <v>0</v>
      </c>
      <c r="AF53" s="492"/>
      <c r="AG53" s="492"/>
      <c r="AH53" s="53"/>
      <c r="AI53" s="55"/>
      <c r="AJ53" s="273" t="str">
        <f>'F.  Other Cap Asset Entries'!D214</f>
        <v>F.1</v>
      </c>
      <c r="AK53" s="72">
        <f>'F.  Other Cap Asset Entries'!M216</f>
        <v>0</v>
      </c>
      <c r="AL53" s="10"/>
      <c r="AM53" s="273" t="str">
        <f>'D. Depreciation'!A53</f>
        <v>D.1</v>
      </c>
      <c r="AN53" s="72">
        <f>'D. Depreciation'!L64</f>
        <v>0</v>
      </c>
      <c r="AO53" s="280"/>
      <c r="AP53" s="72"/>
      <c r="AQ53" s="460"/>
      <c r="AR53" s="461" t="s">
        <v>682</v>
      </c>
      <c r="AS53" s="255">
        <f>'K.1  Int. Service Fd Allocation'!G182+'K.2  Int. Service Fd Alloca'!G175+'K.3 Int. Service Fd Alloca'!G175</f>
        <v>0</v>
      </c>
      <c r="AT53" s="508"/>
      <c r="AU53" s="509"/>
      <c r="AV53" s="323">
        <f t="shared" si="7"/>
        <v>0</v>
      </c>
      <c r="AW53" s="323">
        <f t="shared" si="8"/>
        <v>0</v>
      </c>
      <c r="AX53" s="57"/>
      <c r="AY53" s="58"/>
      <c r="AZ53" s="345" t="str">
        <f>IF(AV53-AW53&lt;=0," ",AV53-AW53)</f>
        <v xml:space="preserve"> </v>
      </c>
      <c r="BA53" s="255">
        <f>IF(AV53-AW53&gt;0," ",AW53-AV53)</f>
        <v>0</v>
      </c>
      <c r="BB53" s="13"/>
      <c r="BC53" s="13"/>
      <c r="BD53" s="13"/>
      <c r="BE53" s="13"/>
      <c r="BF53" s="13"/>
      <c r="BG53" s="13"/>
      <c r="BH53" s="13"/>
      <c r="BI53" s="13"/>
      <c r="BJ53" s="13"/>
      <c r="BK53" s="13"/>
      <c r="BL53" s="13"/>
      <c r="BM53" s="13"/>
      <c r="BN53" s="13"/>
      <c r="BO53" s="13"/>
      <c r="BP53" s="13"/>
      <c r="BQ53" s="13"/>
      <c r="BR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c r="EV53" s="13"/>
      <c r="EW53" s="13"/>
      <c r="EX53" s="13"/>
      <c r="EY53" s="13"/>
      <c r="EZ53" s="13"/>
      <c r="FA53" s="13"/>
      <c r="FB53" s="13"/>
      <c r="FC53" s="13"/>
      <c r="FD53" s="13"/>
      <c r="FE53" s="13"/>
      <c r="FF53" s="13"/>
      <c r="FG53" s="13"/>
      <c r="FH53" s="13"/>
      <c r="FI53" s="13"/>
      <c r="FJ53" s="13"/>
      <c r="FK53" s="13"/>
      <c r="FL53" s="13"/>
      <c r="FM53" s="13"/>
      <c r="FN53" s="13"/>
      <c r="FO53" s="13"/>
      <c r="FP53" s="13"/>
      <c r="FQ53" s="13"/>
      <c r="FR53" s="13"/>
      <c r="FS53" s="13"/>
      <c r="FT53" s="13"/>
      <c r="FU53" s="13"/>
      <c r="FV53" s="13"/>
      <c r="FW53" s="13"/>
      <c r="FX53" s="13"/>
      <c r="FY53" s="13"/>
      <c r="FZ53" s="13"/>
      <c r="GA53" s="13"/>
      <c r="GB53" s="13"/>
      <c r="GC53" s="13"/>
      <c r="GD53" s="13"/>
      <c r="GE53" s="13"/>
      <c r="GF53" s="13"/>
      <c r="GG53" s="13"/>
      <c r="GH53" s="13"/>
      <c r="GI53" s="13"/>
      <c r="GJ53" s="13"/>
      <c r="GK53" s="13"/>
      <c r="GL53" s="13"/>
      <c r="GM53" s="13"/>
      <c r="GN53" s="13"/>
      <c r="GO53" s="13"/>
      <c r="GP53" s="13"/>
      <c r="GQ53" s="13"/>
      <c r="GR53" s="13"/>
      <c r="GS53" s="13"/>
      <c r="GT53" s="13"/>
      <c r="GU53" s="13"/>
      <c r="GV53" s="13"/>
      <c r="GW53" s="13"/>
    </row>
    <row r="54" spans="1:205" x14ac:dyDescent="0.2">
      <c r="A54" s="57"/>
      <c r="B54" s="51"/>
      <c r="C54" s="310" t="s">
        <v>486</v>
      </c>
      <c r="D54" s="497"/>
      <c r="E54" s="498"/>
      <c r="F54" s="499"/>
      <c r="G54" s="499"/>
      <c r="H54" s="499"/>
      <c r="I54" s="499"/>
      <c r="J54" s="499"/>
      <c r="K54" s="499"/>
      <c r="L54" s="501"/>
      <c r="M54" s="499"/>
      <c r="N54" s="499"/>
      <c r="O54" s="499"/>
      <c r="P54" s="502"/>
      <c r="Q54" s="502"/>
      <c r="R54" s="502"/>
      <c r="S54" s="502"/>
      <c r="T54" s="502"/>
      <c r="U54" s="502"/>
      <c r="V54" s="502"/>
      <c r="W54" s="502"/>
      <c r="X54" s="500"/>
      <c r="Y54" s="500"/>
      <c r="Z54" s="500"/>
      <c r="AA54" s="500"/>
      <c r="AB54" s="313">
        <f t="shared" si="2"/>
        <v>0</v>
      </c>
      <c r="AC54" s="311">
        <f t="shared" si="3"/>
        <v>0</v>
      </c>
      <c r="AD54" s="312">
        <f t="shared" si="5"/>
        <v>0</v>
      </c>
      <c r="AE54" s="314">
        <f t="shared" si="4"/>
        <v>0</v>
      </c>
      <c r="AF54" s="499"/>
      <c r="AG54" s="499"/>
      <c r="AH54" s="312"/>
      <c r="AI54" s="314"/>
      <c r="AJ54" s="315" t="str">
        <f>'E. Capital Outlay'!D51</f>
        <v>E.1</v>
      </c>
      <c r="AK54" s="316">
        <f>'E. Capital Outlay'!L56</f>
        <v>0</v>
      </c>
      <c r="AL54" s="311"/>
      <c r="AM54" s="315" t="str">
        <f>'F.  Other Cap Asset Entries'!D214</f>
        <v>F.1</v>
      </c>
      <c r="AN54" s="316">
        <f>'F.  Other Cap Asset Entries'!O229</f>
        <v>0</v>
      </c>
      <c r="AO54" s="317" t="s">
        <v>682</v>
      </c>
      <c r="AP54" s="316">
        <f>'K.1  Int. Service Fd Allocation'!E172+'K.2  Int. Service Fd Alloca'!E165+'K.3 Int. Service Fd Alloca'!E165</f>
        <v>0</v>
      </c>
      <c r="AQ54" s="309"/>
      <c r="AR54" s="315"/>
      <c r="AS54" s="318"/>
      <c r="AT54" s="508"/>
      <c r="AU54" s="509"/>
      <c r="AV54" s="316">
        <f t="shared" si="7"/>
        <v>0</v>
      </c>
      <c r="AW54" s="316">
        <f t="shared" si="8"/>
        <v>0</v>
      </c>
      <c r="AX54" s="307"/>
      <c r="AY54" s="308"/>
      <c r="AZ54" s="1106" t="str">
        <f>IF((AV54+AV55+AV56)-(AW54+AW55+AW56)&lt;=0," ",(AV54+AV55+AV56)-(AW54+AW55+AW56))</f>
        <v xml:space="preserve"> </v>
      </c>
      <c r="BA54" s="318">
        <f>IF((AV54+AV55+AV56)-(AW54+AW55+AW56)&gt;0," ",(AW54+AW55+AW56)-(AV54+AV55+AV56))</f>
        <v>0</v>
      </c>
      <c r="BB54" s="13"/>
      <c r="BC54" s="13"/>
      <c r="BD54" s="13"/>
      <c r="BE54" s="13"/>
      <c r="BF54" s="13"/>
      <c r="BG54" s="13"/>
      <c r="BH54" s="13"/>
      <c r="BI54" s="13"/>
      <c r="BJ54" s="13"/>
      <c r="BK54" s="13"/>
      <c r="BL54" s="13"/>
      <c r="BM54" s="13"/>
      <c r="BN54" s="13"/>
      <c r="BO54" s="13"/>
      <c r="BP54" s="13"/>
      <c r="BQ54" s="13"/>
      <c r="BR54" s="13"/>
      <c r="BS54" s="13"/>
      <c r="BT54" s="13"/>
      <c r="BU54" s="13"/>
      <c r="BV54" s="13"/>
      <c r="BW54" s="13"/>
      <c r="BX54" s="13"/>
      <c r="BY54" s="13"/>
      <c r="BZ54" s="13"/>
      <c r="CA54" s="13"/>
      <c r="CB54" s="13"/>
      <c r="CC54" s="13"/>
      <c r="CD54" s="13"/>
      <c r="CE54" s="13"/>
      <c r="CF54" s="13"/>
      <c r="CG54" s="13"/>
      <c r="CH54" s="13"/>
      <c r="CI54" s="13"/>
      <c r="CJ54" s="13"/>
      <c r="CK54" s="13"/>
      <c r="CL54" s="13"/>
      <c r="CM54" s="13"/>
      <c r="CN54" s="13"/>
      <c r="CO54" s="13"/>
      <c r="CP54" s="13"/>
      <c r="CQ54" s="13"/>
      <c r="CR54" s="13"/>
      <c r="CS54" s="13"/>
      <c r="CT54" s="13"/>
      <c r="CU54" s="13"/>
      <c r="CV54" s="13"/>
      <c r="CW54" s="13"/>
      <c r="CX54" s="13"/>
      <c r="CY54" s="13"/>
      <c r="CZ54" s="13"/>
      <c r="DA54" s="13"/>
      <c r="DB54" s="13"/>
      <c r="DC54" s="13"/>
      <c r="DD54" s="13"/>
      <c r="DE54" s="13"/>
      <c r="DF54" s="13"/>
      <c r="DG54" s="13"/>
      <c r="DH54" s="13"/>
      <c r="DI54" s="13"/>
      <c r="DJ54" s="13"/>
      <c r="DK54" s="13"/>
      <c r="DL54" s="13"/>
      <c r="DM54" s="13"/>
      <c r="DN54" s="13"/>
      <c r="DO54" s="13"/>
      <c r="DP54" s="13"/>
      <c r="DQ54" s="13"/>
      <c r="DR54" s="13"/>
      <c r="DS54" s="13"/>
      <c r="DT54" s="13"/>
      <c r="DU54" s="13"/>
      <c r="DV54" s="13"/>
      <c r="DW54" s="13"/>
      <c r="DX54" s="13"/>
      <c r="DY54" s="13"/>
      <c r="DZ54" s="13"/>
      <c r="EA54" s="13"/>
      <c r="EB54" s="13"/>
      <c r="EC54" s="13"/>
      <c r="ED54" s="13"/>
      <c r="EE54" s="13"/>
      <c r="EF54" s="13"/>
      <c r="EG54" s="13"/>
      <c r="EH54" s="13"/>
      <c r="EI54" s="13"/>
      <c r="EJ54" s="13"/>
      <c r="EK54" s="13"/>
      <c r="EL54" s="13"/>
      <c r="EM54" s="13"/>
      <c r="EN54" s="13"/>
      <c r="EO54" s="13"/>
      <c r="EP54" s="13"/>
      <c r="EQ54" s="13"/>
      <c r="ER54" s="13"/>
      <c r="ES54" s="13"/>
      <c r="ET54" s="13"/>
      <c r="EU54" s="13"/>
      <c r="EV54" s="13"/>
      <c r="EW54" s="13"/>
      <c r="EX54" s="13"/>
      <c r="EY54" s="13"/>
      <c r="EZ54" s="13"/>
      <c r="FA54" s="13"/>
      <c r="FB54" s="13"/>
      <c r="FC54" s="13"/>
      <c r="FD54" s="13"/>
      <c r="FE54" s="13"/>
      <c r="FF54" s="13"/>
      <c r="FG54" s="13"/>
      <c r="FH54" s="13"/>
      <c r="FI54" s="13"/>
      <c r="FJ54" s="13"/>
      <c r="FK54" s="13"/>
      <c r="FL54" s="13"/>
      <c r="FM54" s="13"/>
      <c r="FN54" s="13"/>
      <c r="FO54" s="13"/>
      <c r="FP54" s="13"/>
      <c r="FQ54" s="13"/>
      <c r="FR54" s="13"/>
      <c r="FS54" s="13"/>
      <c r="FT54" s="13"/>
      <c r="FU54" s="13"/>
      <c r="FV54" s="13"/>
      <c r="FW54" s="13"/>
      <c r="FX54" s="13"/>
      <c r="FY54" s="13"/>
      <c r="FZ54" s="13"/>
      <c r="GA54" s="13"/>
      <c r="GB54" s="13"/>
      <c r="GC54" s="13"/>
      <c r="GD54" s="13"/>
      <c r="GE54" s="13"/>
      <c r="GF54" s="13"/>
      <c r="GG54" s="13"/>
      <c r="GH54" s="13"/>
      <c r="GI54" s="13"/>
      <c r="GJ54" s="13"/>
      <c r="GK54" s="13"/>
      <c r="GL54" s="13"/>
      <c r="GM54" s="13"/>
      <c r="GN54" s="13"/>
      <c r="GO54" s="13"/>
      <c r="GP54" s="13"/>
      <c r="GQ54" s="13"/>
      <c r="GR54" s="13"/>
      <c r="GS54" s="13"/>
      <c r="GT54" s="13"/>
      <c r="GU54" s="13"/>
      <c r="GV54" s="13"/>
      <c r="GW54" s="13"/>
    </row>
    <row r="55" spans="1:205" x14ac:dyDescent="0.2">
      <c r="A55" s="57"/>
      <c r="B55" s="51"/>
      <c r="C55" s="310"/>
      <c r="D55" s="497"/>
      <c r="E55" s="498"/>
      <c r="F55" s="499"/>
      <c r="G55" s="499"/>
      <c r="H55" s="499"/>
      <c r="I55" s="499"/>
      <c r="J55" s="499"/>
      <c r="K55" s="499"/>
      <c r="L55" s="501"/>
      <c r="M55" s="499"/>
      <c r="N55" s="499"/>
      <c r="O55" s="499"/>
      <c r="P55" s="502"/>
      <c r="Q55" s="502"/>
      <c r="R55" s="502"/>
      <c r="S55" s="502"/>
      <c r="T55" s="502"/>
      <c r="U55" s="502"/>
      <c r="V55" s="502"/>
      <c r="W55" s="502"/>
      <c r="X55" s="500"/>
      <c r="Y55" s="500"/>
      <c r="Z55" s="500"/>
      <c r="AA55" s="500"/>
      <c r="AB55" s="313">
        <f t="shared" si="2"/>
        <v>0</v>
      </c>
      <c r="AC55" s="311">
        <f t="shared" si="3"/>
        <v>0</v>
      </c>
      <c r="AD55" s="312">
        <f t="shared" si="5"/>
        <v>0</v>
      </c>
      <c r="AE55" s="314">
        <f t="shared" si="4"/>
        <v>0</v>
      </c>
      <c r="AF55" s="499"/>
      <c r="AG55" s="499"/>
      <c r="AH55" s="312"/>
      <c r="AI55" s="314"/>
      <c r="AJ55" s="315" t="str">
        <f>'F.  Other Cap Asset Entries'!D214</f>
        <v>F.1</v>
      </c>
      <c r="AK55" s="316">
        <f>'F.  Other Cap Asset Entries'!M229</f>
        <v>0</v>
      </c>
      <c r="AL55" s="311"/>
      <c r="AM55" s="315" t="s">
        <v>968</v>
      </c>
      <c r="AN55" s="316">
        <f>'F.  Other Cap Asset Entries'!O262</f>
        <v>0</v>
      </c>
      <c r="AO55" s="317"/>
      <c r="AP55" s="316"/>
      <c r="AQ55" s="309"/>
      <c r="AR55" s="315"/>
      <c r="AS55" s="318"/>
      <c r="AT55" s="508"/>
      <c r="AU55" s="509"/>
      <c r="AV55" s="316">
        <f t="shared" si="7"/>
        <v>0</v>
      </c>
      <c r="AW55" s="316">
        <f t="shared" si="8"/>
        <v>0</v>
      </c>
      <c r="AX55" s="307"/>
      <c r="AY55" s="308"/>
      <c r="AZ55" s="346"/>
      <c r="BA55" s="318"/>
      <c r="BB55" s="13"/>
      <c r="BC55" s="13"/>
      <c r="BD55" s="13"/>
      <c r="BE55" s="13"/>
      <c r="BF55" s="13"/>
      <c r="BG55" s="13"/>
      <c r="BH55" s="13"/>
      <c r="BI55" s="13"/>
      <c r="BJ55" s="13"/>
      <c r="BK55" s="13"/>
      <c r="BL55" s="13"/>
      <c r="BM55" s="13"/>
      <c r="BN55" s="13"/>
      <c r="BO55" s="13"/>
      <c r="BP55" s="13"/>
      <c r="BQ55" s="13"/>
      <c r="BR55" s="13"/>
      <c r="BS55" s="13"/>
      <c r="BT55" s="13"/>
      <c r="BU55" s="13"/>
      <c r="BV55" s="13"/>
      <c r="BW55" s="13"/>
      <c r="BX55" s="13"/>
      <c r="BY55" s="13"/>
      <c r="BZ55" s="13"/>
      <c r="CA55" s="13"/>
      <c r="CB55" s="13"/>
      <c r="CC55" s="13"/>
      <c r="CD55" s="13"/>
      <c r="CE55" s="13"/>
      <c r="CF55" s="13"/>
      <c r="CG55" s="13"/>
      <c r="CH55" s="13"/>
      <c r="CI55" s="13"/>
      <c r="CJ55" s="13"/>
      <c r="CK55" s="13"/>
      <c r="CL55" s="13"/>
      <c r="CM55" s="13"/>
      <c r="CN55" s="13"/>
      <c r="CO55" s="13"/>
      <c r="CP55" s="13"/>
      <c r="CQ55" s="13"/>
      <c r="CR55" s="13"/>
      <c r="CS55" s="13"/>
      <c r="CT55" s="13"/>
      <c r="CU55" s="13"/>
      <c r="CV55" s="13"/>
      <c r="CW55" s="13"/>
      <c r="CX55" s="13"/>
      <c r="CY55" s="13"/>
      <c r="CZ55" s="13"/>
      <c r="DA55" s="13"/>
      <c r="DB55" s="13"/>
      <c r="DC55" s="13"/>
      <c r="DD55" s="13"/>
      <c r="DE55" s="13"/>
      <c r="DF55" s="13"/>
      <c r="DG55" s="13"/>
      <c r="DH55" s="13"/>
      <c r="DI55" s="13"/>
      <c r="DJ55" s="13"/>
      <c r="DK55" s="13"/>
      <c r="DL55" s="13"/>
      <c r="DM55" s="13"/>
      <c r="DN55" s="13"/>
      <c r="DO55" s="13"/>
      <c r="DP55" s="13"/>
      <c r="DQ55" s="13"/>
      <c r="DR55" s="13"/>
      <c r="DS55" s="13"/>
      <c r="DT55" s="13"/>
      <c r="DU55" s="13"/>
      <c r="DV55" s="13"/>
      <c r="DW55" s="13"/>
      <c r="DX55" s="13"/>
      <c r="DY55" s="13"/>
      <c r="DZ55" s="13"/>
      <c r="EA55" s="13"/>
      <c r="EB55" s="13"/>
      <c r="EC55" s="13"/>
      <c r="ED55" s="13"/>
      <c r="EE55" s="13"/>
      <c r="EF55" s="13"/>
      <c r="EG55" s="13"/>
      <c r="EH55" s="13"/>
      <c r="EI55" s="13"/>
      <c r="EJ55" s="13"/>
      <c r="EK55" s="13"/>
      <c r="EL55" s="13"/>
      <c r="EM55" s="13"/>
      <c r="EN55" s="13"/>
      <c r="EO55" s="13"/>
      <c r="EP55" s="13"/>
      <c r="EQ55" s="13"/>
      <c r="ER55" s="13"/>
      <c r="ES55" s="13"/>
      <c r="ET55" s="13"/>
      <c r="EU55" s="13"/>
      <c r="EV55" s="13"/>
      <c r="EW55" s="13"/>
      <c r="EX55" s="13"/>
      <c r="EY55" s="13"/>
      <c r="EZ55" s="13"/>
      <c r="FA55" s="13"/>
      <c r="FB55" s="13"/>
      <c r="FC55" s="13"/>
      <c r="FD55" s="13"/>
      <c r="FE55" s="13"/>
      <c r="FF55" s="13"/>
      <c r="FG55" s="13"/>
      <c r="FH55" s="13"/>
      <c r="FI55" s="13"/>
      <c r="FJ55" s="13"/>
      <c r="FK55" s="13"/>
      <c r="FL55" s="13"/>
      <c r="FM55" s="13"/>
      <c r="FN55" s="13"/>
      <c r="FO55" s="13"/>
      <c r="FP55" s="13"/>
      <c r="FQ55" s="13"/>
      <c r="FR55" s="13"/>
      <c r="FS55" s="13"/>
      <c r="FT55" s="13"/>
      <c r="FU55" s="13"/>
      <c r="FV55" s="13"/>
      <c r="FW55" s="13"/>
      <c r="FX55" s="13"/>
      <c r="FY55" s="13"/>
      <c r="FZ55" s="13"/>
      <c r="GA55" s="13"/>
      <c r="GB55" s="13"/>
      <c r="GC55" s="13"/>
      <c r="GD55" s="13"/>
      <c r="GE55" s="13"/>
      <c r="GF55" s="13"/>
      <c r="GG55" s="13"/>
      <c r="GH55" s="13"/>
      <c r="GI55" s="13"/>
      <c r="GJ55" s="13"/>
      <c r="GK55" s="13"/>
      <c r="GL55" s="13"/>
      <c r="GM55" s="13"/>
      <c r="GN55" s="13"/>
      <c r="GO55" s="13"/>
      <c r="GP55" s="13"/>
      <c r="GQ55" s="13"/>
      <c r="GR55" s="13"/>
      <c r="GS55" s="13"/>
      <c r="GT55" s="13"/>
      <c r="GU55" s="13"/>
      <c r="GV55" s="13"/>
      <c r="GW55" s="13"/>
    </row>
    <row r="56" spans="1:205" x14ac:dyDescent="0.2">
      <c r="A56" s="57"/>
      <c r="B56" s="51"/>
      <c r="C56" s="310"/>
      <c r="D56" s="497"/>
      <c r="E56" s="498"/>
      <c r="F56" s="499"/>
      <c r="G56" s="499"/>
      <c r="H56" s="499"/>
      <c r="I56" s="499"/>
      <c r="J56" s="499"/>
      <c r="K56" s="499"/>
      <c r="L56" s="501"/>
      <c r="M56" s="499"/>
      <c r="N56" s="499"/>
      <c r="O56" s="499"/>
      <c r="P56" s="502"/>
      <c r="Q56" s="502"/>
      <c r="R56" s="502"/>
      <c r="S56" s="502"/>
      <c r="T56" s="502"/>
      <c r="U56" s="502"/>
      <c r="V56" s="502"/>
      <c r="W56" s="502"/>
      <c r="X56" s="500"/>
      <c r="Y56" s="500"/>
      <c r="Z56" s="500"/>
      <c r="AA56" s="500"/>
      <c r="AB56" s="313">
        <f t="shared" si="2"/>
        <v>0</v>
      </c>
      <c r="AC56" s="311">
        <f t="shared" si="3"/>
        <v>0</v>
      </c>
      <c r="AD56" s="312">
        <f t="shared" si="5"/>
        <v>0</v>
      </c>
      <c r="AE56" s="314">
        <f t="shared" si="4"/>
        <v>0</v>
      </c>
      <c r="AF56" s="499"/>
      <c r="AG56" s="499"/>
      <c r="AH56" s="312"/>
      <c r="AI56" s="314"/>
      <c r="AJ56" s="315" t="str">
        <f>'F.  Other Cap Asset Entries'!D236</f>
        <v>F.2</v>
      </c>
      <c r="AK56" s="316">
        <f>'F.  Other Cap Asset Entries'!M240</f>
        <v>0</v>
      </c>
      <c r="AL56" s="311"/>
      <c r="AM56" s="315"/>
      <c r="AN56" s="316"/>
      <c r="AO56" s="317"/>
      <c r="AP56" s="316"/>
      <c r="AQ56" s="309"/>
      <c r="AR56" s="315"/>
      <c r="AS56" s="318"/>
      <c r="AT56" s="508"/>
      <c r="AU56" s="509"/>
      <c r="AV56" s="316">
        <f t="shared" si="7"/>
        <v>0</v>
      </c>
      <c r="AW56" s="316">
        <f t="shared" si="8"/>
        <v>0</v>
      </c>
      <c r="AX56" s="307"/>
      <c r="AY56" s="308"/>
      <c r="AZ56" s="346"/>
      <c r="BA56" s="318"/>
      <c r="BB56" s="13"/>
      <c r="BC56" s="13"/>
      <c r="BD56" s="13"/>
      <c r="BE56" s="13"/>
      <c r="BF56" s="13"/>
      <c r="BG56" s="13"/>
      <c r="BH56" s="13"/>
      <c r="BI56" s="13"/>
      <c r="BJ56" s="13"/>
      <c r="BK56" s="13"/>
      <c r="BL56" s="13"/>
      <c r="BM56" s="13"/>
      <c r="BN56" s="13"/>
      <c r="BO56" s="13"/>
      <c r="BP56" s="13"/>
      <c r="BQ56" s="13"/>
      <c r="BR56" s="13"/>
      <c r="BS56" s="13"/>
      <c r="BT56" s="13"/>
      <c r="BU56" s="13"/>
      <c r="BV56" s="13"/>
      <c r="BW56" s="13"/>
      <c r="BX56" s="13"/>
      <c r="BY56" s="13"/>
      <c r="BZ56" s="13"/>
      <c r="CA56" s="13"/>
      <c r="CB56" s="13"/>
      <c r="CC56" s="13"/>
      <c r="CD56" s="13"/>
      <c r="CE56" s="13"/>
      <c r="CF56" s="13"/>
      <c r="CG56" s="13"/>
      <c r="CH56" s="13"/>
      <c r="CI56" s="13"/>
      <c r="CJ56" s="13"/>
      <c r="CK56" s="13"/>
      <c r="CL56" s="13"/>
      <c r="CM56" s="13"/>
      <c r="CN56" s="13"/>
      <c r="CO56" s="13"/>
      <c r="CP56" s="13"/>
      <c r="CQ56" s="13"/>
      <c r="CR56" s="13"/>
      <c r="CS56" s="13"/>
      <c r="CT56" s="13"/>
      <c r="CU56" s="13"/>
      <c r="CV56" s="13"/>
      <c r="CW56" s="13"/>
      <c r="CX56" s="13"/>
      <c r="CY56" s="13"/>
      <c r="CZ56" s="13"/>
      <c r="DA56" s="13"/>
      <c r="DB56" s="13"/>
      <c r="DC56" s="13"/>
      <c r="DD56" s="13"/>
      <c r="DE56" s="13"/>
      <c r="DF56" s="13"/>
      <c r="DG56" s="13"/>
      <c r="DH56" s="13"/>
      <c r="DI56" s="13"/>
      <c r="DJ56" s="13"/>
      <c r="DK56" s="13"/>
      <c r="DL56" s="13"/>
      <c r="DM56" s="13"/>
      <c r="DN56" s="13"/>
      <c r="DO56" s="13"/>
      <c r="DP56" s="13"/>
      <c r="DQ56" s="13"/>
      <c r="DR56" s="13"/>
      <c r="DS56" s="13"/>
      <c r="DT56" s="13"/>
      <c r="DU56" s="13"/>
      <c r="DV56" s="13"/>
      <c r="DW56" s="13"/>
      <c r="DX56" s="13"/>
      <c r="DY56" s="13"/>
      <c r="DZ56" s="13"/>
      <c r="EA56" s="13"/>
      <c r="EB56" s="13"/>
      <c r="EC56" s="13"/>
      <c r="ED56" s="13"/>
      <c r="EE56" s="13"/>
      <c r="EF56" s="13"/>
      <c r="EG56" s="13"/>
      <c r="EH56" s="13"/>
      <c r="EI56" s="13"/>
      <c r="EJ56" s="13"/>
      <c r="EK56" s="13"/>
      <c r="EL56" s="13"/>
      <c r="EM56" s="13"/>
      <c r="EN56" s="13"/>
      <c r="EO56" s="13"/>
      <c r="EP56" s="13"/>
      <c r="EQ56" s="13"/>
      <c r="ER56" s="13"/>
      <c r="ES56" s="13"/>
      <c r="ET56" s="13"/>
      <c r="EU56" s="13"/>
      <c r="EV56" s="13"/>
      <c r="EW56" s="13"/>
      <c r="EX56" s="13"/>
      <c r="EY56" s="13"/>
      <c r="EZ56" s="13"/>
      <c r="FA56" s="13"/>
      <c r="FB56" s="13"/>
      <c r="FC56" s="13"/>
      <c r="FD56" s="13"/>
      <c r="FE56" s="13"/>
      <c r="FF56" s="13"/>
      <c r="FG56" s="13"/>
      <c r="FH56" s="13"/>
      <c r="FI56" s="13"/>
      <c r="FJ56" s="13"/>
      <c r="FK56" s="13"/>
      <c r="FL56" s="13"/>
      <c r="FM56" s="13"/>
      <c r="FN56" s="13"/>
      <c r="FO56" s="13"/>
      <c r="FP56" s="13"/>
      <c r="FQ56" s="13"/>
      <c r="FR56" s="13"/>
      <c r="FS56" s="13"/>
      <c r="FT56" s="13"/>
      <c r="FU56" s="13"/>
      <c r="FV56" s="13"/>
      <c r="FW56" s="13"/>
      <c r="FX56" s="13"/>
      <c r="FY56" s="13"/>
      <c r="FZ56" s="13"/>
      <c r="GA56" s="13"/>
      <c r="GB56" s="13"/>
      <c r="GC56" s="13"/>
      <c r="GD56" s="13"/>
      <c r="GE56" s="13"/>
      <c r="GF56" s="13"/>
      <c r="GG56" s="13"/>
      <c r="GH56" s="13"/>
      <c r="GI56" s="13"/>
      <c r="GJ56" s="13"/>
      <c r="GK56" s="13"/>
      <c r="GL56" s="13"/>
      <c r="GM56" s="13"/>
      <c r="GN56" s="13"/>
      <c r="GO56" s="13"/>
      <c r="GP56" s="13"/>
      <c r="GQ56" s="13"/>
      <c r="GR56" s="13"/>
      <c r="GS56" s="13"/>
      <c r="GT56" s="13"/>
      <c r="GU56" s="13"/>
      <c r="GV56" s="13"/>
      <c r="GW56" s="13"/>
    </row>
    <row r="57" spans="1:205" x14ac:dyDescent="0.2">
      <c r="A57" s="57"/>
      <c r="B57" s="51"/>
      <c r="C57" s="13" t="s">
        <v>114</v>
      </c>
      <c r="D57" s="493"/>
      <c r="E57" s="494"/>
      <c r="F57" s="492"/>
      <c r="G57" s="492"/>
      <c r="H57" s="492"/>
      <c r="I57" s="492"/>
      <c r="J57" s="492"/>
      <c r="K57" s="492"/>
      <c r="L57" s="496"/>
      <c r="M57" s="492"/>
      <c r="N57" s="492"/>
      <c r="O57" s="492"/>
      <c r="P57" s="491"/>
      <c r="Q57" s="491"/>
      <c r="R57" s="491"/>
      <c r="S57" s="491"/>
      <c r="T57" s="491"/>
      <c r="U57" s="491"/>
      <c r="V57" s="491"/>
      <c r="W57" s="491"/>
      <c r="X57" s="495"/>
      <c r="Y57" s="495"/>
      <c r="Z57" s="495"/>
      <c r="AA57" s="495"/>
      <c r="AB57" s="34">
        <f t="shared" si="2"/>
        <v>0</v>
      </c>
      <c r="AC57" s="12">
        <f t="shared" si="3"/>
        <v>0</v>
      </c>
      <c r="AD57" s="30">
        <f t="shared" si="5"/>
        <v>0</v>
      </c>
      <c r="AE57" s="25">
        <f t="shared" si="4"/>
        <v>0</v>
      </c>
      <c r="AF57" s="492"/>
      <c r="AG57" s="492"/>
      <c r="AH57" s="53"/>
      <c r="AI57" s="55"/>
      <c r="AJ57" s="273" t="str">
        <f>'F.  Other Cap Asset Entries'!D214</f>
        <v>F.1</v>
      </c>
      <c r="AK57" s="72">
        <f>'F.  Other Cap Asset Entries'!M217</f>
        <v>0</v>
      </c>
      <c r="AL57" s="10"/>
      <c r="AM57" s="273" t="str">
        <f>'D. Depreciation'!A53</f>
        <v>D.1</v>
      </c>
      <c r="AN57" s="72">
        <f>'D. Depreciation'!L65</f>
        <v>0</v>
      </c>
      <c r="AO57" s="280"/>
      <c r="AP57" s="72"/>
      <c r="AQ57" s="54"/>
      <c r="AR57" s="461" t="s">
        <v>682</v>
      </c>
      <c r="AS57" s="255">
        <f>'K.1  Int. Service Fd Allocation'!G183+'K.2  Int. Service Fd Alloca'!G176+'K.3 Int. Service Fd Alloca'!G176</f>
        <v>0</v>
      </c>
      <c r="AT57" s="508"/>
      <c r="AU57" s="509"/>
      <c r="AV57" s="323">
        <f t="shared" si="7"/>
        <v>0</v>
      </c>
      <c r="AW57" s="323">
        <f t="shared" si="8"/>
        <v>0</v>
      </c>
      <c r="AX57" s="57"/>
      <c r="AY57" s="58"/>
      <c r="AZ57" s="345" t="str">
        <f>IF(AV57-AW57&lt;=0," ",AV57-AW57)</f>
        <v xml:space="preserve"> </v>
      </c>
      <c r="BA57" s="255">
        <f>IF(AV57-AW57&gt;0," ",AW57-AV57)</f>
        <v>0</v>
      </c>
      <c r="BB57" s="13"/>
      <c r="BC57" s="13"/>
      <c r="BD57" s="13"/>
      <c r="BE57" s="13"/>
      <c r="BF57" s="13"/>
      <c r="BG57" s="13"/>
      <c r="BH57" s="13"/>
      <c r="BI57" s="13"/>
      <c r="BJ57" s="13"/>
      <c r="BK57" s="13"/>
      <c r="BL57" s="13"/>
      <c r="BM57" s="13"/>
      <c r="BN57" s="13"/>
      <c r="BO57" s="13"/>
      <c r="BP57" s="13"/>
      <c r="BQ57" s="13"/>
      <c r="BR57" s="13"/>
      <c r="BS57" s="13"/>
      <c r="BT57" s="13"/>
      <c r="BU57" s="13"/>
      <c r="BV57" s="13"/>
      <c r="BW57" s="13"/>
      <c r="BX57" s="13"/>
      <c r="BY57" s="13"/>
      <c r="BZ57" s="13"/>
      <c r="CA57" s="13"/>
      <c r="CB57" s="13"/>
      <c r="CC57" s="13"/>
      <c r="CD57" s="13"/>
      <c r="CE57" s="13"/>
      <c r="CF57" s="13"/>
      <c r="CG57" s="13"/>
      <c r="CH57" s="13"/>
      <c r="CI57" s="13"/>
      <c r="CJ57" s="13"/>
      <c r="CK57" s="13"/>
      <c r="CL57" s="13"/>
      <c r="CM57" s="13"/>
      <c r="CN57" s="13"/>
      <c r="CO57" s="13"/>
      <c r="CP57" s="13"/>
      <c r="CQ57" s="13"/>
      <c r="CR57" s="13"/>
      <c r="CS57" s="13"/>
      <c r="CT57" s="13"/>
      <c r="CU57" s="13"/>
      <c r="CV57" s="13"/>
      <c r="CW57" s="13"/>
      <c r="CX57" s="13"/>
      <c r="CY57" s="13"/>
      <c r="CZ57" s="13"/>
      <c r="DA57" s="13"/>
      <c r="DB57" s="13"/>
      <c r="DC57" s="13"/>
      <c r="DD57" s="13"/>
      <c r="DE57" s="13"/>
      <c r="DF57" s="13"/>
      <c r="DG57" s="13"/>
      <c r="DH57" s="13"/>
      <c r="DI57" s="13"/>
      <c r="DJ57" s="13"/>
      <c r="DK57" s="13"/>
      <c r="DL57" s="13"/>
      <c r="DM57" s="13"/>
      <c r="DN57" s="13"/>
      <c r="DO57" s="13"/>
      <c r="DP57" s="13"/>
      <c r="DQ57" s="13"/>
      <c r="DR57" s="13"/>
      <c r="DS57" s="13"/>
      <c r="DT57" s="13"/>
      <c r="DU57" s="13"/>
      <c r="DV57" s="13"/>
      <c r="DW57" s="13"/>
      <c r="DX57" s="13"/>
      <c r="DY57" s="13"/>
      <c r="DZ57" s="13"/>
      <c r="EA57" s="13"/>
      <c r="EB57" s="13"/>
      <c r="EC57" s="13"/>
      <c r="ED57" s="13"/>
      <c r="EE57" s="13"/>
      <c r="EF57" s="13"/>
      <c r="EG57" s="13"/>
      <c r="EH57" s="13"/>
      <c r="EI57" s="13"/>
      <c r="EJ57" s="13"/>
      <c r="EK57" s="13"/>
      <c r="EL57" s="13"/>
      <c r="EM57" s="13"/>
      <c r="EN57" s="13"/>
      <c r="EO57" s="13"/>
      <c r="EP57" s="13"/>
      <c r="EQ57" s="13"/>
      <c r="ER57" s="13"/>
      <c r="ES57" s="13"/>
      <c r="ET57" s="13"/>
      <c r="EU57" s="13"/>
      <c r="EV57" s="13"/>
      <c r="EW57" s="13"/>
      <c r="EX57" s="13"/>
      <c r="EY57" s="13"/>
      <c r="EZ57" s="13"/>
      <c r="FA57" s="13"/>
      <c r="FB57" s="13"/>
      <c r="FC57" s="13"/>
      <c r="FD57" s="13"/>
      <c r="FE57" s="13"/>
      <c r="FF57" s="13"/>
      <c r="FG57" s="13"/>
      <c r="FH57" s="13"/>
      <c r="FI57" s="13"/>
      <c r="FJ57" s="13"/>
      <c r="FK57" s="13"/>
      <c r="FL57" s="13"/>
      <c r="FM57" s="13"/>
      <c r="FN57" s="13"/>
      <c r="FO57" s="13"/>
      <c r="FP57" s="13"/>
      <c r="FQ57" s="13"/>
      <c r="FR57" s="13"/>
      <c r="FS57" s="13"/>
      <c r="FT57" s="13"/>
      <c r="FU57" s="13"/>
      <c r="FV57" s="13"/>
      <c r="FW57" s="13"/>
      <c r="FX57" s="13"/>
      <c r="FY57" s="13"/>
      <c r="FZ57" s="13"/>
      <c r="GA57" s="13"/>
      <c r="GB57" s="13"/>
      <c r="GC57" s="13"/>
      <c r="GD57" s="13"/>
      <c r="GE57" s="13"/>
      <c r="GF57" s="13"/>
      <c r="GG57" s="13"/>
      <c r="GH57" s="13"/>
      <c r="GI57" s="13"/>
      <c r="GJ57" s="13"/>
      <c r="GK57" s="13"/>
      <c r="GL57" s="13"/>
      <c r="GM57" s="13"/>
      <c r="GN57" s="13"/>
      <c r="GO57" s="13"/>
      <c r="GP57" s="13"/>
      <c r="GQ57" s="13"/>
      <c r="GR57" s="13"/>
      <c r="GS57" s="13"/>
      <c r="GT57" s="13"/>
      <c r="GU57" s="13"/>
      <c r="GV57" s="13"/>
      <c r="GW57" s="13"/>
    </row>
    <row r="58" spans="1:205" x14ac:dyDescent="0.2">
      <c r="A58" s="57"/>
      <c r="B58" s="13"/>
      <c r="C58" s="310" t="s">
        <v>475</v>
      </c>
      <c r="D58" s="497"/>
      <c r="E58" s="498"/>
      <c r="F58" s="499"/>
      <c r="G58" s="499"/>
      <c r="H58" s="499"/>
      <c r="I58" s="499"/>
      <c r="J58" s="499"/>
      <c r="K58" s="499"/>
      <c r="L58" s="501"/>
      <c r="M58" s="499"/>
      <c r="N58" s="499"/>
      <c r="O58" s="499"/>
      <c r="P58" s="502"/>
      <c r="Q58" s="502"/>
      <c r="R58" s="502"/>
      <c r="S58" s="502"/>
      <c r="T58" s="502"/>
      <c r="U58" s="502"/>
      <c r="V58" s="502"/>
      <c r="W58" s="502"/>
      <c r="X58" s="500"/>
      <c r="Y58" s="500"/>
      <c r="Z58" s="500"/>
      <c r="AA58" s="500"/>
      <c r="AB58" s="313">
        <f t="shared" si="2"/>
        <v>0</v>
      </c>
      <c r="AC58" s="311">
        <f t="shared" si="3"/>
        <v>0</v>
      </c>
      <c r="AD58" s="312">
        <f t="shared" si="5"/>
        <v>0</v>
      </c>
      <c r="AE58" s="314">
        <f t="shared" si="4"/>
        <v>0</v>
      </c>
      <c r="AF58" s="499"/>
      <c r="AG58" s="499"/>
      <c r="AH58" s="312"/>
      <c r="AI58" s="314"/>
      <c r="AJ58" s="315" t="str">
        <f>'E. Capital Outlay'!D51</f>
        <v>E.1</v>
      </c>
      <c r="AK58" s="316">
        <f>'E. Capital Outlay'!L57</f>
        <v>0</v>
      </c>
      <c r="AL58" s="311"/>
      <c r="AM58" s="315" t="str">
        <f>'F.  Other Cap Asset Entries'!D214</f>
        <v>F.1</v>
      </c>
      <c r="AN58" s="316">
        <f>'F.  Other Cap Asset Entries'!O230</f>
        <v>0</v>
      </c>
      <c r="AO58" s="317"/>
      <c r="AP58" s="316"/>
      <c r="AQ58" s="309"/>
      <c r="AR58" s="315"/>
      <c r="AS58" s="318"/>
      <c r="AT58" s="508"/>
      <c r="AU58" s="509"/>
      <c r="AV58" s="316">
        <f t="shared" si="7"/>
        <v>0</v>
      </c>
      <c r="AW58" s="316">
        <f t="shared" si="8"/>
        <v>0</v>
      </c>
      <c r="AX58" s="307"/>
      <c r="AY58" s="308"/>
      <c r="AZ58" s="1106" t="str">
        <f>IF((AV58+AV59+AV60)-(AW58+AW59+AW60)&lt;=0," ",(AV58+AV59+AV60)-(AW58+AW59+AW60))</f>
        <v xml:space="preserve"> </v>
      </c>
      <c r="BA58" s="318">
        <f>IF((AV58+AV59+AV60)-(AW58+AW59+AW60)&gt;0," ",(AW58+AW59+AW60)-(AV58+AV59+AV60))</f>
        <v>0</v>
      </c>
      <c r="BB58" s="13"/>
      <c r="BC58" s="13"/>
      <c r="BD58" s="13"/>
      <c r="BE58" s="13"/>
      <c r="BF58" s="13"/>
      <c r="BG58" s="13"/>
      <c r="BH58" s="13"/>
      <c r="BI58" s="13"/>
      <c r="BJ58" s="13"/>
      <c r="BK58" s="13"/>
      <c r="BL58" s="13"/>
      <c r="BM58" s="13"/>
      <c r="BN58" s="13"/>
      <c r="BO58" s="13"/>
      <c r="BP58" s="13"/>
      <c r="BQ58" s="13"/>
      <c r="BR58" s="13"/>
      <c r="BS58" s="13"/>
      <c r="BT58" s="13"/>
      <c r="BU58" s="13"/>
      <c r="BV58" s="13"/>
      <c r="BW58" s="13"/>
      <c r="BX58" s="13"/>
      <c r="BY58" s="13"/>
      <c r="BZ58" s="13"/>
      <c r="CA58" s="13"/>
      <c r="CB58" s="13"/>
      <c r="CC58" s="13"/>
      <c r="CD58" s="13"/>
      <c r="CE58" s="13"/>
      <c r="CF58" s="13"/>
      <c r="CG58" s="13"/>
      <c r="CH58" s="13"/>
      <c r="CI58" s="13"/>
      <c r="CJ58" s="13"/>
      <c r="CK58" s="13"/>
      <c r="CL58" s="13"/>
      <c r="CM58" s="13"/>
      <c r="CN58" s="13"/>
      <c r="CO58" s="13"/>
      <c r="CP58" s="13"/>
      <c r="CQ58" s="13"/>
      <c r="CR58" s="13"/>
      <c r="CS58" s="13"/>
      <c r="CT58" s="13"/>
      <c r="CU58" s="13"/>
      <c r="CV58" s="13"/>
      <c r="CW58" s="13"/>
      <c r="CX58" s="13"/>
      <c r="CY58" s="13"/>
      <c r="CZ58" s="13"/>
      <c r="DA58" s="13"/>
      <c r="DB58" s="13"/>
      <c r="DC58" s="13"/>
      <c r="DD58" s="13"/>
      <c r="DE58" s="13"/>
      <c r="DF58" s="13"/>
      <c r="DG58" s="13"/>
      <c r="DH58" s="13"/>
      <c r="DI58" s="13"/>
      <c r="DJ58" s="13"/>
      <c r="DK58" s="13"/>
      <c r="DL58" s="13"/>
      <c r="DM58" s="13"/>
      <c r="DN58" s="13"/>
      <c r="DO58" s="13"/>
      <c r="DP58" s="13"/>
      <c r="DQ58" s="13"/>
      <c r="DR58" s="13"/>
      <c r="DS58" s="13"/>
      <c r="DT58" s="13"/>
      <c r="DU58" s="13"/>
      <c r="DV58" s="13"/>
      <c r="DW58" s="13"/>
      <c r="DX58" s="13"/>
      <c r="DY58" s="13"/>
      <c r="DZ58" s="13"/>
      <c r="EA58" s="13"/>
      <c r="EB58" s="13"/>
      <c r="EC58" s="13"/>
      <c r="ED58" s="13"/>
      <c r="EE58" s="13"/>
      <c r="EF58" s="13"/>
      <c r="EG58" s="13"/>
      <c r="EH58" s="13"/>
      <c r="EI58" s="13"/>
      <c r="EJ58" s="13"/>
      <c r="EK58" s="13"/>
      <c r="EL58" s="13"/>
      <c r="EM58" s="13"/>
      <c r="EN58" s="13"/>
      <c r="EO58" s="13"/>
      <c r="EP58" s="13"/>
      <c r="EQ58" s="13"/>
      <c r="ER58" s="13"/>
      <c r="ES58" s="13"/>
      <c r="ET58" s="13"/>
      <c r="EU58" s="13"/>
      <c r="EV58" s="13"/>
      <c r="EW58" s="13"/>
      <c r="EX58" s="13"/>
      <c r="EY58" s="13"/>
      <c r="EZ58" s="13"/>
      <c r="FA58" s="13"/>
      <c r="FB58" s="13"/>
      <c r="FC58" s="13"/>
      <c r="FD58" s="13"/>
      <c r="FE58" s="13"/>
      <c r="FF58" s="13"/>
      <c r="FG58" s="13"/>
      <c r="FH58" s="13"/>
      <c r="FI58" s="13"/>
      <c r="FJ58" s="13"/>
      <c r="FK58" s="13"/>
      <c r="FL58" s="13"/>
      <c r="FM58" s="13"/>
      <c r="FN58" s="13"/>
      <c r="FO58" s="13"/>
      <c r="FP58" s="13"/>
      <c r="FQ58" s="13"/>
      <c r="FR58" s="13"/>
      <c r="FS58" s="13"/>
      <c r="FT58" s="13"/>
      <c r="FU58" s="13"/>
      <c r="FV58" s="13"/>
      <c r="FW58" s="13"/>
      <c r="FX58" s="13"/>
      <c r="FY58" s="13"/>
      <c r="FZ58" s="13"/>
      <c r="GA58" s="13"/>
      <c r="GB58" s="13"/>
      <c r="GC58" s="13"/>
      <c r="GD58" s="13"/>
      <c r="GE58" s="13"/>
      <c r="GF58" s="13"/>
      <c r="GG58" s="13"/>
      <c r="GH58" s="13"/>
      <c r="GI58" s="13"/>
      <c r="GJ58" s="13"/>
      <c r="GK58" s="13"/>
      <c r="GL58" s="13"/>
      <c r="GM58" s="13"/>
      <c r="GN58" s="13"/>
      <c r="GO58" s="13"/>
      <c r="GP58" s="13"/>
      <c r="GQ58" s="13"/>
      <c r="GR58" s="13"/>
      <c r="GS58" s="13"/>
      <c r="GT58" s="13"/>
      <c r="GU58" s="13"/>
      <c r="GV58" s="13"/>
      <c r="GW58" s="13"/>
    </row>
    <row r="59" spans="1:205" x14ac:dyDescent="0.2">
      <c r="A59" s="57"/>
      <c r="B59" s="13"/>
      <c r="C59" s="310"/>
      <c r="D59" s="497"/>
      <c r="E59" s="498"/>
      <c r="F59" s="499"/>
      <c r="G59" s="499"/>
      <c r="H59" s="499"/>
      <c r="I59" s="499"/>
      <c r="J59" s="499"/>
      <c r="K59" s="499"/>
      <c r="L59" s="501"/>
      <c r="M59" s="499"/>
      <c r="N59" s="499"/>
      <c r="O59" s="499"/>
      <c r="P59" s="502"/>
      <c r="Q59" s="502"/>
      <c r="R59" s="502"/>
      <c r="S59" s="502"/>
      <c r="T59" s="502"/>
      <c r="U59" s="502"/>
      <c r="V59" s="502"/>
      <c r="W59" s="502"/>
      <c r="X59" s="500"/>
      <c r="Y59" s="500"/>
      <c r="Z59" s="500"/>
      <c r="AA59" s="500"/>
      <c r="AB59" s="313">
        <f t="shared" si="2"/>
        <v>0</v>
      </c>
      <c r="AC59" s="311">
        <f t="shared" si="3"/>
        <v>0</v>
      </c>
      <c r="AD59" s="312">
        <f t="shared" si="5"/>
        <v>0</v>
      </c>
      <c r="AE59" s="314">
        <f t="shared" si="4"/>
        <v>0</v>
      </c>
      <c r="AF59" s="499"/>
      <c r="AG59" s="499"/>
      <c r="AH59" s="312"/>
      <c r="AI59" s="314"/>
      <c r="AJ59" s="315" t="str">
        <f>'F.  Other Cap Asset Entries'!D214</f>
        <v>F.1</v>
      </c>
      <c r="AK59" s="316">
        <f>'F.  Other Cap Asset Entries'!M230</f>
        <v>0</v>
      </c>
      <c r="AL59" s="311"/>
      <c r="AM59" s="315" t="s">
        <v>968</v>
      </c>
      <c r="AN59" s="316">
        <f>'F.  Other Cap Asset Entries'!O263</f>
        <v>0</v>
      </c>
      <c r="AO59" s="317"/>
      <c r="AP59" s="316"/>
      <c r="AQ59" s="309"/>
      <c r="AR59" s="315"/>
      <c r="AS59" s="318"/>
      <c r="AT59" s="508"/>
      <c r="AU59" s="509"/>
      <c r="AV59" s="316">
        <f t="shared" si="7"/>
        <v>0</v>
      </c>
      <c r="AW59" s="316">
        <f t="shared" si="8"/>
        <v>0</v>
      </c>
      <c r="AX59" s="307"/>
      <c r="AY59" s="308"/>
      <c r="AZ59" s="346"/>
      <c r="BA59" s="318"/>
      <c r="BB59" s="13"/>
      <c r="BC59" s="13"/>
      <c r="BD59" s="13"/>
      <c r="BE59" s="13"/>
      <c r="BF59" s="13"/>
      <c r="BG59" s="13"/>
      <c r="BH59" s="13"/>
      <c r="BI59" s="13"/>
      <c r="BJ59" s="13"/>
      <c r="BK59" s="13"/>
      <c r="BL59" s="13"/>
      <c r="BM59" s="13"/>
      <c r="BN59" s="13"/>
      <c r="BO59" s="13"/>
      <c r="BP59" s="13"/>
      <c r="BQ59" s="13"/>
      <c r="BR59" s="13"/>
      <c r="BS59" s="13"/>
      <c r="BT59" s="13"/>
      <c r="BU59" s="13"/>
      <c r="BV59" s="13"/>
      <c r="BW59" s="13"/>
      <c r="BX59" s="13"/>
      <c r="BY59" s="13"/>
      <c r="BZ59" s="13"/>
      <c r="CA59" s="13"/>
      <c r="CB59" s="13"/>
      <c r="CC59" s="13"/>
      <c r="CD59" s="13"/>
      <c r="CE59" s="13"/>
      <c r="CF59" s="13"/>
      <c r="CG59" s="13"/>
      <c r="CH59" s="13"/>
      <c r="CI59" s="13"/>
      <c r="CJ59" s="13"/>
      <c r="CK59" s="13"/>
      <c r="CL59" s="13"/>
      <c r="CM59" s="13"/>
      <c r="CN59" s="13"/>
      <c r="CO59" s="13"/>
      <c r="CP59" s="13"/>
      <c r="CQ59" s="13"/>
      <c r="CR59" s="13"/>
      <c r="CS59" s="13"/>
      <c r="CT59" s="13"/>
      <c r="CU59" s="13"/>
      <c r="CV59" s="13"/>
      <c r="CW59" s="13"/>
      <c r="CX59" s="13"/>
      <c r="CY59" s="13"/>
      <c r="CZ59" s="13"/>
      <c r="DA59" s="13"/>
      <c r="DB59" s="13"/>
      <c r="DC59" s="13"/>
      <c r="DD59" s="13"/>
      <c r="DE59" s="13"/>
      <c r="DF59" s="13"/>
      <c r="DG59" s="13"/>
      <c r="DH59" s="13"/>
      <c r="DI59" s="13"/>
      <c r="DJ59" s="13"/>
      <c r="DK59" s="13"/>
      <c r="DL59" s="13"/>
      <c r="DM59" s="13"/>
      <c r="DN59" s="13"/>
      <c r="DO59" s="13"/>
      <c r="DP59" s="13"/>
      <c r="DQ59" s="13"/>
      <c r="DR59" s="13"/>
      <c r="DS59" s="13"/>
      <c r="DT59" s="13"/>
      <c r="DU59" s="13"/>
      <c r="DV59" s="13"/>
      <c r="DW59" s="13"/>
      <c r="DX59" s="13"/>
      <c r="DY59" s="13"/>
      <c r="DZ59" s="13"/>
      <c r="EA59" s="13"/>
      <c r="EB59" s="13"/>
      <c r="EC59" s="13"/>
      <c r="ED59" s="13"/>
      <c r="EE59" s="13"/>
      <c r="EF59" s="13"/>
      <c r="EG59" s="13"/>
      <c r="EH59" s="13"/>
      <c r="EI59" s="13"/>
      <c r="EJ59" s="13"/>
      <c r="EK59" s="13"/>
      <c r="EL59" s="13"/>
      <c r="EM59" s="13"/>
      <c r="EN59" s="13"/>
      <c r="EO59" s="13"/>
      <c r="EP59" s="13"/>
      <c r="EQ59" s="13"/>
      <c r="ER59" s="13"/>
      <c r="ES59" s="13"/>
      <c r="ET59" s="13"/>
      <c r="EU59" s="13"/>
      <c r="EV59" s="13"/>
      <c r="EW59" s="13"/>
      <c r="EX59" s="13"/>
      <c r="EY59" s="13"/>
      <c r="EZ59" s="13"/>
      <c r="FA59" s="13"/>
      <c r="FB59" s="13"/>
      <c r="FC59" s="13"/>
      <c r="FD59" s="13"/>
      <c r="FE59" s="13"/>
      <c r="FF59" s="13"/>
      <c r="FG59" s="13"/>
      <c r="FH59" s="13"/>
      <c r="FI59" s="13"/>
      <c r="FJ59" s="13"/>
      <c r="FK59" s="13"/>
      <c r="FL59" s="13"/>
      <c r="FM59" s="13"/>
      <c r="FN59" s="13"/>
      <c r="FO59" s="13"/>
      <c r="FP59" s="13"/>
      <c r="FQ59" s="13"/>
      <c r="FR59" s="13"/>
      <c r="FS59" s="13"/>
      <c r="FT59" s="13"/>
      <c r="FU59" s="13"/>
      <c r="FV59" s="13"/>
      <c r="FW59" s="13"/>
      <c r="FX59" s="13"/>
      <c r="FY59" s="13"/>
      <c r="FZ59" s="13"/>
      <c r="GA59" s="13"/>
      <c r="GB59" s="13"/>
      <c r="GC59" s="13"/>
      <c r="GD59" s="13"/>
      <c r="GE59" s="13"/>
      <c r="GF59" s="13"/>
      <c r="GG59" s="13"/>
      <c r="GH59" s="13"/>
      <c r="GI59" s="13"/>
      <c r="GJ59" s="13"/>
      <c r="GK59" s="13"/>
      <c r="GL59" s="13"/>
      <c r="GM59" s="13"/>
      <c r="GN59" s="13"/>
      <c r="GO59" s="13"/>
      <c r="GP59" s="13"/>
      <c r="GQ59" s="13"/>
      <c r="GR59" s="13"/>
      <c r="GS59" s="13"/>
      <c r="GT59" s="13"/>
      <c r="GU59" s="13"/>
      <c r="GV59" s="13"/>
      <c r="GW59" s="13"/>
    </row>
    <row r="60" spans="1:205" x14ac:dyDescent="0.2">
      <c r="A60" s="57"/>
      <c r="B60" s="13"/>
      <c r="C60" s="310"/>
      <c r="D60" s="497"/>
      <c r="E60" s="498"/>
      <c r="F60" s="499"/>
      <c r="G60" s="499"/>
      <c r="H60" s="499"/>
      <c r="I60" s="499"/>
      <c r="J60" s="499"/>
      <c r="K60" s="499"/>
      <c r="L60" s="501"/>
      <c r="M60" s="499"/>
      <c r="N60" s="499"/>
      <c r="O60" s="499"/>
      <c r="P60" s="502"/>
      <c r="Q60" s="502"/>
      <c r="R60" s="502"/>
      <c r="S60" s="502"/>
      <c r="T60" s="502"/>
      <c r="U60" s="502"/>
      <c r="V60" s="502"/>
      <c r="W60" s="502"/>
      <c r="X60" s="500"/>
      <c r="Y60" s="500"/>
      <c r="Z60" s="500"/>
      <c r="AA60" s="500"/>
      <c r="AB60" s="313">
        <f t="shared" si="2"/>
        <v>0</v>
      </c>
      <c r="AC60" s="311">
        <f t="shared" si="3"/>
        <v>0</v>
      </c>
      <c r="AD60" s="312">
        <f t="shared" si="5"/>
        <v>0</v>
      </c>
      <c r="AE60" s="314">
        <f t="shared" si="4"/>
        <v>0</v>
      </c>
      <c r="AF60" s="499"/>
      <c r="AG60" s="499"/>
      <c r="AH60" s="312"/>
      <c r="AI60" s="314"/>
      <c r="AJ60" s="315" t="str">
        <f>'F.  Other Cap Asset Entries'!D236</f>
        <v>F.2</v>
      </c>
      <c r="AK60" s="316">
        <f>'F.  Other Cap Asset Entries'!M241</f>
        <v>0</v>
      </c>
      <c r="AL60" s="311"/>
      <c r="AM60" s="315"/>
      <c r="AN60" s="316"/>
      <c r="AO60" s="317"/>
      <c r="AP60" s="316"/>
      <c r="AQ60" s="309"/>
      <c r="AR60" s="315"/>
      <c r="AS60" s="318"/>
      <c r="AT60" s="508"/>
      <c r="AU60" s="509"/>
      <c r="AV60" s="316">
        <f t="shared" si="7"/>
        <v>0</v>
      </c>
      <c r="AW60" s="316">
        <f t="shared" si="8"/>
        <v>0</v>
      </c>
      <c r="AX60" s="307"/>
      <c r="AY60" s="308"/>
      <c r="AZ60" s="346"/>
      <c r="BA60" s="318"/>
      <c r="BB60" s="13"/>
      <c r="BC60" s="13"/>
      <c r="BD60" s="13"/>
      <c r="BE60" s="13"/>
      <c r="BF60" s="13"/>
      <c r="BG60" s="13"/>
      <c r="BH60" s="13"/>
      <c r="BI60" s="13"/>
      <c r="BJ60" s="13"/>
      <c r="BK60" s="13"/>
      <c r="BL60" s="13"/>
      <c r="BM60" s="13"/>
      <c r="BN60" s="13"/>
      <c r="BO60" s="13"/>
      <c r="BP60" s="13"/>
      <c r="BQ60" s="13"/>
      <c r="BR60" s="13"/>
      <c r="BS60" s="13"/>
      <c r="BT60" s="13"/>
      <c r="BU60" s="13"/>
      <c r="BV60" s="13"/>
      <c r="BW60" s="13"/>
      <c r="BX60" s="13"/>
      <c r="BY60" s="13"/>
      <c r="BZ60" s="13"/>
      <c r="CA60" s="13"/>
      <c r="CB60" s="13"/>
      <c r="CC60" s="13"/>
      <c r="CD60" s="13"/>
      <c r="CE60" s="13"/>
      <c r="CF60" s="13"/>
      <c r="CG60" s="13"/>
      <c r="CH60" s="13"/>
      <c r="CI60" s="13"/>
      <c r="CJ60" s="13"/>
      <c r="CK60" s="13"/>
      <c r="CL60" s="13"/>
      <c r="CM60" s="13"/>
      <c r="CN60" s="13"/>
      <c r="CO60" s="13"/>
      <c r="CP60" s="13"/>
      <c r="CQ60" s="13"/>
      <c r="CR60" s="13"/>
      <c r="CS60" s="13"/>
      <c r="CT60" s="13"/>
      <c r="CU60" s="13"/>
      <c r="CV60" s="13"/>
      <c r="CW60" s="13"/>
      <c r="CX60" s="13"/>
      <c r="CY60" s="13"/>
      <c r="CZ60" s="13"/>
      <c r="DA60" s="13"/>
      <c r="DB60" s="13"/>
      <c r="DC60" s="13"/>
      <c r="DD60" s="13"/>
      <c r="DE60" s="13"/>
      <c r="DF60" s="13"/>
      <c r="DG60" s="13"/>
      <c r="DH60" s="13"/>
      <c r="DI60" s="13"/>
      <c r="DJ60" s="13"/>
      <c r="DK60" s="13"/>
      <c r="DL60" s="13"/>
      <c r="DM60" s="13"/>
      <c r="DN60" s="13"/>
      <c r="DO60" s="13"/>
      <c r="DP60" s="13"/>
      <c r="DQ60" s="13"/>
      <c r="DR60" s="13"/>
      <c r="DS60" s="13"/>
      <c r="DT60" s="13"/>
      <c r="DU60" s="13"/>
      <c r="DV60" s="13"/>
      <c r="DW60" s="13"/>
      <c r="DX60" s="13"/>
      <c r="DY60" s="13"/>
      <c r="DZ60" s="13"/>
      <c r="EA60" s="13"/>
      <c r="EB60" s="13"/>
      <c r="EC60" s="13"/>
      <c r="ED60" s="13"/>
      <c r="EE60" s="13"/>
      <c r="EF60" s="13"/>
      <c r="EG60" s="13"/>
      <c r="EH60" s="13"/>
      <c r="EI60" s="13"/>
      <c r="EJ60" s="13"/>
      <c r="EK60" s="13"/>
      <c r="EL60" s="13"/>
      <c r="EM60" s="13"/>
      <c r="EN60" s="13"/>
      <c r="EO60" s="13"/>
      <c r="EP60" s="13"/>
      <c r="EQ60" s="13"/>
      <c r="ER60" s="13"/>
      <c r="ES60" s="13"/>
      <c r="ET60" s="13"/>
      <c r="EU60" s="13"/>
      <c r="EV60" s="13"/>
      <c r="EW60" s="13"/>
      <c r="EX60" s="13"/>
      <c r="EY60" s="13"/>
      <c r="EZ60" s="13"/>
      <c r="FA60" s="13"/>
      <c r="FB60" s="13"/>
      <c r="FC60" s="13"/>
      <c r="FD60" s="13"/>
      <c r="FE60" s="13"/>
      <c r="FF60" s="13"/>
      <c r="FG60" s="13"/>
      <c r="FH60" s="13"/>
      <c r="FI60" s="13"/>
      <c r="FJ60" s="13"/>
      <c r="FK60" s="13"/>
      <c r="FL60" s="13"/>
      <c r="FM60" s="13"/>
      <c r="FN60" s="13"/>
      <c r="FO60" s="13"/>
      <c r="FP60" s="13"/>
      <c r="FQ60" s="13"/>
      <c r="FR60" s="13"/>
      <c r="FS60" s="13"/>
      <c r="FT60" s="13"/>
      <c r="FU60" s="13"/>
      <c r="FV60" s="13"/>
      <c r="FW60" s="13"/>
      <c r="FX60" s="13"/>
      <c r="FY60" s="13"/>
      <c r="FZ60" s="13"/>
      <c r="GA60" s="13"/>
      <c r="GB60" s="13"/>
      <c r="GC60" s="13"/>
      <c r="GD60" s="13"/>
      <c r="GE60" s="13"/>
      <c r="GF60" s="13"/>
      <c r="GG60" s="13"/>
      <c r="GH60" s="13"/>
      <c r="GI60" s="13"/>
      <c r="GJ60" s="13"/>
      <c r="GK60" s="13"/>
      <c r="GL60" s="13"/>
      <c r="GM60" s="13"/>
      <c r="GN60" s="13"/>
      <c r="GO60" s="13"/>
      <c r="GP60" s="13"/>
      <c r="GQ60" s="13"/>
      <c r="GR60" s="13"/>
      <c r="GS60" s="13"/>
      <c r="GT60" s="13"/>
      <c r="GU60" s="13"/>
      <c r="GV60" s="13"/>
      <c r="GW60" s="13"/>
    </row>
    <row r="61" spans="1:205" x14ac:dyDescent="0.2">
      <c r="A61" s="45"/>
      <c r="C61" s="13" t="s">
        <v>912</v>
      </c>
      <c r="D61" s="489"/>
      <c r="E61" s="490"/>
      <c r="F61" s="485"/>
      <c r="G61" s="485"/>
      <c r="H61" s="485"/>
      <c r="I61" s="485"/>
      <c r="J61" s="485"/>
      <c r="K61" s="485"/>
      <c r="L61" s="487"/>
      <c r="M61" s="485"/>
      <c r="N61" s="485"/>
      <c r="O61" s="485"/>
      <c r="P61" s="488"/>
      <c r="Q61" s="488"/>
      <c r="R61" s="488"/>
      <c r="S61" s="488"/>
      <c r="T61" s="488"/>
      <c r="U61" s="488"/>
      <c r="V61" s="488"/>
      <c r="W61" s="488"/>
      <c r="X61" s="486"/>
      <c r="Y61" s="486"/>
      <c r="Z61" s="486"/>
      <c r="AA61" s="486"/>
      <c r="AB61" s="34">
        <f t="shared" si="2"/>
        <v>0</v>
      </c>
      <c r="AC61" s="12">
        <f t="shared" si="3"/>
        <v>0</v>
      </c>
      <c r="AD61" s="30">
        <f t="shared" si="5"/>
        <v>0</v>
      </c>
      <c r="AE61" s="25">
        <f t="shared" si="4"/>
        <v>0</v>
      </c>
      <c r="AF61" s="485"/>
      <c r="AG61" s="485"/>
      <c r="AH61" s="30"/>
      <c r="AI61" s="25"/>
      <c r="AJ61" s="272" t="str">
        <f>'F.  Other Cap Asset Entries'!D214</f>
        <v>F.1</v>
      </c>
      <c r="AK61" s="73">
        <f>'F.  Other Cap Asset Entries'!M220</f>
        <v>0</v>
      </c>
      <c r="AL61" s="12"/>
      <c r="AM61" s="272" t="str">
        <f>'D. Depreciation'!A53</f>
        <v>D.1</v>
      </c>
      <c r="AN61" s="73">
        <f>'D. Depreciation'!L66</f>
        <v>0</v>
      </c>
      <c r="AO61" s="279"/>
      <c r="AP61" s="73"/>
      <c r="AQ61" s="14"/>
      <c r="AR61" s="272"/>
      <c r="AS61" s="254"/>
      <c r="AT61" s="508"/>
      <c r="AU61" s="509"/>
      <c r="AV61" s="323">
        <f t="shared" si="7"/>
        <v>0</v>
      </c>
      <c r="AW61" s="323">
        <f t="shared" si="8"/>
        <v>0</v>
      </c>
      <c r="AX61" s="45"/>
      <c r="AY61" s="38"/>
      <c r="AZ61" s="345" t="str">
        <f>IF(AV61-AW61&lt;=0," ",AV61-AW61)</f>
        <v xml:space="preserve"> </v>
      </c>
      <c r="BA61" s="255">
        <f>IF(AV61-AW61&gt;0," ",AW61-AV61)</f>
        <v>0</v>
      </c>
    </row>
    <row r="62" spans="1:205" x14ac:dyDescent="0.2">
      <c r="A62" s="45"/>
      <c r="C62" s="631" t="s">
        <v>1044</v>
      </c>
      <c r="D62" s="497"/>
      <c r="E62" s="498"/>
      <c r="F62" s="499"/>
      <c r="G62" s="499"/>
      <c r="H62" s="499"/>
      <c r="I62" s="499"/>
      <c r="J62" s="499"/>
      <c r="K62" s="499"/>
      <c r="L62" s="501"/>
      <c r="M62" s="499"/>
      <c r="N62" s="499"/>
      <c r="O62" s="499"/>
      <c r="P62" s="502"/>
      <c r="Q62" s="502"/>
      <c r="R62" s="502"/>
      <c r="S62" s="502"/>
      <c r="T62" s="502"/>
      <c r="U62" s="502"/>
      <c r="V62" s="502"/>
      <c r="W62" s="502"/>
      <c r="X62" s="500"/>
      <c r="Y62" s="500"/>
      <c r="Z62" s="500"/>
      <c r="AA62" s="500"/>
      <c r="AB62" s="313">
        <f t="shared" si="2"/>
        <v>0</v>
      </c>
      <c r="AC62" s="311">
        <f t="shared" si="3"/>
        <v>0</v>
      </c>
      <c r="AD62" s="312">
        <f t="shared" si="5"/>
        <v>0</v>
      </c>
      <c r="AE62" s="314">
        <f t="shared" si="4"/>
        <v>0</v>
      </c>
      <c r="AF62" s="499"/>
      <c r="AG62" s="499"/>
      <c r="AH62" s="312"/>
      <c r="AI62" s="314"/>
      <c r="AJ62" s="315" t="str">
        <f>'E. Capital Outlay'!D51</f>
        <v>E.1</v>
      </c>
      <c r="AK62" s="316">
        <f>'E. Capital Outlay'!L58</f>
        <v>0</v>
      </c>
      <c r="AL62" s="311"/>
      <c r="AM62" s="315" t="str">
        <f>'F.  Other Cap Asset Entries'!D214</f>
        <v>F.1</v>
      </c>
      <c r="AN62" s="316">
        <f>'F.  Other Cap Asset Entries'!O231</f>
        <v>0</v>
      </c>
      <c r="AO62" s="317"/>
      <c r="AP62" s="316"/>
      <c r="AQ62" s="309"/>
      <c r="AR62" s="315"/>
      <c r="AS62" s="318"/>
      <c r="AT62" s="508"/>
      <c r="AU62" s="509"/>
      <c r="AV62" s="316">
        <f t="shared" si="7"/>
        <v>0</v>
      </c>
      <c r="AW62" s="316">
        <f t="shared" si="8"/>
        <v>0</v>
      </c>
      <c r="AX62" s="307"/>
      <c r="AY62" s="308"/>
      <c r="AZ62" s="1106" t="str">
        <f>IF((AV62+AV63+AV64)-(AW62+AW63+AW64)&lt;=0," ",(AV62+AV63+AV64)-(AW62+AW63+AW64))</f>
        <v xml:space="preserve"> </v>
      </c>
      <c r="BA62" s="318">
        <f>IF((AV62+AV63+AV64)-(AW62+AW63+AW64)&gt;0," ",(AW62+AW63+AW64)-(AV62+AV63+AV64))</f>
        <v>0</v>
      </c>
    </row>
    <row r="63" spans="1:205" x14ac:dyDescent="0.2">
      <c r="A63" s="45"/>
      <c r="C63" s="310"/>
      <c r="D63" s="497"/>
      <c r="E63" s="498"/>
      <c r="F63" s="499"/>
      <c r="G63" s="499"/>
      <c r="H63" s="499"/>
      <c r="I63" s="499"/>
      <c r="J63" s="499"/>
      <c r="K63" s="499"/>
      <c r="L63" s="501"/>
      <c r="M63" s="499"/>
      <c r="N63" s="499"/>
      <c r="O63" s="499"/>
      <c r="P63" s="502"/>
      <c r="Q63" s="502"/>
      <c r="R63" s="502"/>
      <c r="S63" s="502"/>
      <c r="T63" s="502"/>
      <c r="U63" s="502"/>
      <c r="V63" s="502"/>
      <c r="W63" s="502"/>
      <c r="X63" s="500"/>
      <c r="Y63" s="500"/>
      <c r="Z63" s="500"/>
      <c r="AA63" s="500"/>
      <c r="AB63" s="313">
        <f t="shared" si="2"/>
        <v>0</v>
      </c>
      <c r="AC63" s="311">
        <f t="shared" si="3"/>
        <v>0</v>
      </c>
      <c r="AD63" s="312">
        <f t="shared" si="5"/>
        <v>0</v>
      </c>
      <c r="AE63" s="314">
        <f t="shared" si="4"/>
        <v>0</v>
      </c>
      <c r="AF63" s="499"/>
      <c r="AG63" s="499"/>
      <c r="AH63" s="312"/>
      <c r="AI63" s="314"/>
      <c r="AJ63" s="315" t="str">
        <f>'F.  Other Cap Asset Entries'!D214</f>
        <v>F.1</v>
      </c>
      <c r="AK63" s="316">
        <f>'F.  Other Cap Asset Entries'!M231</f>
        <v>0</v>
      </c>
      <c r="AL63" s="311"/>
      <c r="AM63" s="315" t="s">
        <v>968</v>
      </c>
      <c r="AN63" s="316">
        <f>'F.  Other Cap Asset Entries'!O264</f>
        <v>0</v>
      </c>
      <c r="AO63" s="317"/>
      <c r="AP63" s="316"/>
      <c r="AQ63" s="309"/>
      <c r="AR63" s="315"/>
      <c r="AS63" s="318"/>
      <c r="AT63" s="508"/>
      <c r="AU63" s="509"/>
      <c r="AV63" s="316">
        <f t="shared" si="7"/>
        <v>0</v>
      </c>
      <c r="AW63" s="316">
        <f t="shared" si="8"/>
        <v>0</v>
      </c>
      <c r="AX63" s="307"/>
      <c r="AY63" s="308"/>
      <c r="AZ63" s="346"/>
      <c r="BA63" s="318"/>
    </row>
    <row r="64" spans="1:205" x14ac:dyDescent="0.2">
      <c r="A64" s="45"/>
      <c r="C64" s="310"/>
      <c r="D64" s="497"/>
      <c r="E64" s="498"/>
      <c r="F64" s="499"/>
      <c r="G64" s="499"/>
      <c r="H64" s="499"/>
      <c r="I64" s="499"/>
      <c r="J64" s="499"/>
      <c r="K64" s="499"/>
      <c r="L64" s="501"/>
      <c r="M64" s="499"/>
      <c r="N64" s="499"/>
      <c r="O64" s="499"/>
      <c r="P64" s="502"/>
      <c r="Q64" s="502"/>
      <c r="R64" s="502"/>
      <c r="S64" s="502"/>
      <c r="T64" s="502"/>
      <c r="U64" s="502"/>
      <c r="V64" s="502"/>
      <c r="W64" s="502"/>
      <c r="X64" s="500"/>
      <c r="Y64" s="500"/>
      <c r="Z64" s="500"/>
      <c r="AA64" s="500"/>
      <c r="AB64" s="313">
        <f t="shared" si="2"/>
        <v>0</v>
      </c>
      <c r="AC64" s="311">
        <f t="shared" si="3"/>
        <v>0</v>
      </c>
      <c r="AD64" s="312">
        <f t="shared" si="5"/>
        <v>0</v>
      </c>
      <c r="AE64" s="314">
        <f t="shared" si="4"/>
        <v>0</v>
      </c>
      <c r="AF64" s="499"/>
      <c r="AG64" s="499"/>
      <c r="AH64" s="312"/>
      <c r="AI64" s="314"/>
      <c r="AJ64" s="315" t="str">
        <f>'F.  Other Cap Asset Entries'!D236</f>
        <v>F.2</v>
      </c>
      <c r="AK64" s="316">
        <f>'F.  Other Cap Asset Entries'!M242</f>
        <v>0</v>
      </c>
      <c r="AL64" s="311"/>
      <c r="AM64" s="315"/>
      <c r="AN64" s="316"/>
      <c r="AO64" s="317"/>
      <c r="AP64" s="316"/>
      <c r="AQ64" s="309"/>
      <c r="AR64" s="315"/>
      <c r="AS64" s="318"/>
      <c r="AT64" s="508"/>
      <c r="AU64" s="509"/>
      <c r="AV64" s="316">
        <f t="shared" si="7"/>
        <v>0</v>
      </c>
      <c r="AW64" s="316">
        <f t="shared" si="8"/>
        <v>0</v>
      </c>
      <c r="AX64" s="307"/>
      <c r="AY64" s="308"/>
      <c r="AZ64" s="346"/>
      <c r="BA64" s="318"/>
    </row>
    <row r="65" spans="1:53" x14ac:dyDescent="0.2">
      <c r="A65" s="45"/>
      <c r="C65" s="632" t="s">
        <v>1045</v>
      </c>
      <c r="D65" s="489"/>
      <c r="E65" s="490"/>
      <c r="F65" s="485"/>
      <c r="G65" s="485"/>
      <c r="H65" s="485"/>
      <c r="I65" s="485"/>
      <c r="J65" s="485"/>
      <c r="K65" s="485"/>
      <c r="L65" s="487"/>
      <c r="M65" s="485"/>
      <c r="N65" s="485"/>
      <c r="O65" s="485"/>
      <c r="P65" s="488"/>
      <c r="Q65" s="488"/>
      <c r="R65" s="488"/>
      <c r="S65" s="488"/>
      <c r="T65" s="488"/>
      <c r="U65" s="488"/>
      <c r="V65" s="488"/>
      <c r="W65" s="488"/>
      <c r="X65" s="486"/>
      <c r="Y65" s="486"/>
      <c r="Z65" s="486"/>
      <c r="AA65" s="486"/>
      <c r="AB65" s="34">
        <f t="shared" si="2"/>
        <v>0</v>
      </c>
      <c r="AC65" s="12">
        <f t="shared" si="3"/>
        <v>0</v>
      </c>
      <c r="AD65" s="30">
        <f t="shared" si="5"/>
        <v>0</v>
      </c>
      <c r="AE65" s="25">
        <f t="shared" si="4"/>
        <v>0</v>
      </c>
      <c r="AF65" s="485"/>
      <c r="AG65" s="485"/>
      <c r="AH65" s="30"/>
      <c r="AI65" s="25"/>
      <c r="AJ65" s="272" t="str">
        <f>'F.  Other Cap Asset Entries'!D214</f>
        <v>F.1</v>
      </c>
      <c r="AK65" s="73">
        <f>'F.  Other Cap Asset Entries'!M218</f>
        <v>0</v>
      </c>
      <c r="AL65" s="12"/>
      <c r="AM65" s="272" t="str">
        <f>'D. Depreciation'!A53</f>
        <v>D.1</v>
      </c>
      <c r="AN65" s="73">
        <f>'D. Depreciation'!L67</f>
        <v>0</v>
      </c>
      <c r="AO65" s="279"/>
      <c r="AP65" s="73"/>
      <c r="AQ65" s="14"/>
      <c r="AR65" s="272"/>
      <c r="AS65" s="254"/>
      <c r="AT65" s="508"/>
      <c r="AU65" s="509"/>
      <c r="AV65" s="323">
        <f t="shared" si="7"/>
        <v>0</v>
      </c>
      <c r="AW65" s="323">
        <f t="shared" si="8"/>
        <v>0</v>
      </c>
      <c r="AX65" s="45"/>
      <c r="AY65" s="38"/>
      <c r="AZ65" s="345" t="str">
        <f>IF(AV65-AW65&lt;=0," ",AV65-AW65)</f>
        <v xml:space="preserve"> </v>
      </c>
      <c r="BA65" s="255">
        <f>IF(AV65-AW65&gt;0," ",AW65-AV65)</f>
        <v>0</v>
      </c>
    </row>
    <row r="66" spans="1:53" x14ac:dyDescent="0.2">
      <c r="A66" s="45"/>
      <c r="C66" s="511" t="s">
        <v>364</v>
      </c>
      <c r="D66" s="497"/>
      <c r="E66" s="498"/>
      <c r="F66" s="499"/>
      <c r="G66" s="499"/>
      <c r="H66" s="499"/>
      <c r="I66" s="499"/>
      <c r="J66" s="499"/>
      <c r="K66" s="499"/>
      <c r="L66" s="501"/>
      <c r="M66" s="499"/>
      <c r="N66" s="499"/>
      <c r="O66" s="499"/>
      <c r="P66" s="502"/>
      <c r="Q66" s="502"/>
      <c r="R66" s="502"/>
      <c r="S66" s="502"/>
      <c r="T66" s="502"/>
      <c r="U66" s="502"/>
      <c r="V66" s="502"/>
      <c r="W66" s="502"/>
      <c r="X66" s="500"/>
      <c r="Y66" s="500"/>
      <c r="Z66" s="500"/>
      <c r="AA66" s="500"/>
      <c r="AB66" s="313">
        <f t="shared" si="2"/>
        <v>0</v>
      </c>
      <c r="AC66" s="311">
        <f t="shared" si="3"/>
        <v>0</v>
      </c>
      <c r="AD66" s="312">
        <f t="shared" si="5"/>
        <v>0</v>
      </c>
      <c r="AE66" s="314">
        <f t="shared" si="4"/>
        <v>0</v>
      </c>
      <c r="AF66" s="499"/>
      <c r="AG66" s="499"/>
      <c r="AH66" s="312"/>
      <c r="AI66" s="314"/>
      <c r="AJ66" s="315" t="str">
        <f>'E. Capital Outlay'!D51</f>
        <v>E.1</v>
      </c>
      <c r="AK66" s="316">
        <f>'E. Capital Outlay'!L59</f>
        <v>0</v>
      </c>
      <c r="AL66" s="311"/>
      <c r="AM66" s="315" t="str">
        <f>'F.  Other Cap Asset Entries'!D214</f>
        <v>F.1</v>
      </c>
      <c r="AN66" s="316">
        <f>'F.  Other Cap Asset Entries'!O232</f>
        <v>0</v>
      </c>
      <c r="AO66" s="317"/>
      <c r="AP66" s="316"/>
      <c r="AQ66" s="309"/>
      <c r="AR66" s="315"/>
      <c r="AS66" s="318"/>
      <c r="AT66" s="508"/>
      <c r="AU66" s="509"/>
      <c r="AV66" s="316">
        <f t="shared" si="7"/>
        <v>0</v>
      </c>
      <c r="AW66" s="316">
        <f t="shared" si="8"/>
        <v>0</v>
      </c>
      <c r="AX66" s="307"/>
      <c r="AY66" s="308"/>
      <c r="AZ66" s="346" t="str">
        <f>IF((AV66+AV67+AV68)-(AW66+AW67+AW68)&lt;=0," ",(AV66+AV67+AV68)-(AW66+AW67+AW68))</f>
        <v xml:space="preserve"> </v>
      </c>
      <c r="BA66" s="318">
        <f>IF((AV66+AV67+AV68)-(AW66+AW67+AW68)&gt;0," ",(AW66+AW67+AW68)-(AV66+AV67+AV68))</f>
        <v>0</v>
      </c>
    </row>
    <row r="67" spans="1:53" x14ac:dyDescent="0.2">
      <c r="A67" s="45"/>
      <c r="C67" s="310"/>
      <c r="D67" s="497"/>
      <c r="E67" s="498"/>
      <c r="F67" s="499"/>
      <c r="G67" s="499"/>
      <c r="H67" s="499"/>
      <c r="I67" s="499"/>
      <c r="J67" s="499"/>
      <c r="K67" s="499"/>
      <c r="L67" s="501"/>
      <c r="M67" s="499"/>
      <c r="N67" s="499"/>
      <c r="O67" s="499"/>
      <c r="P67" s="502"/>
      <c r="Q67" s="502"/>
      <c r="R67" s="502"/>
      <c r="S67" s="502"/>
      <c r="T67" s="502"/>
      <c r="U67" s="502"/>
      <c r="V67" s="502"/>
      <c r="W67" s="502"/>
      <c r="X67" s="500"/>
      <c r="Y67" s="500"/>
      <c r="Z67" s="500"/>
      <c r="AA67" s="500"/>
      <c r="AB67" s="313">
        <f t="shared" si="2"/>
        <v>0</v>
      </c>
      <c r="AC67" s="311">
        <f t="shared" si="3"/>
        <v>0</v>
      </c>
      <c r="AD67" s="312">
        <f t="shared" si="5"/>
        <v>0</v>
      </c>
      <c r="AE67" s="314">
        <f t="shared" si="4"/>
        <v>0</v>
      </c>
      <c r="AF67" s="499"/>
      <c r="AG67" s="499"/>
      <c r="AH67" s="312"/>
      <c r="AI67" s="314"/>
      <c r="AJ67" s="315" t="str">
        <f>'F.  Other Cap Asset Entries'!D214</f>
        <v>F.1</v>
      </c>
      <c r="AK67" s="316">
        <f>'F.  Other Cap Asset Entries'!M232</f>
        <v>0</v>
      </c>
      <c r="AL67" s="311"/>
      <c r="AM67" s="315" t="s">
        <v>968</v>
      </c>
      <c r="AN67" s="316">
        <f>'F.  Other Cap Asset Entries'!O265</f>
        <v>0</v>
      </c>
      <c r="AO67" s="317"/>
      <c r="AP67" s="316"/>
      <c r="AQ67" s="309"/>
      <c r="AR67" s="315"/>
      <c r="AS67" s="318"/>
      <c r="AT67" s="508"/>
      <c r="AU67" s="509"/>
      <c r="AV67" s="316">
        <f t="shared" si="7"/>
        <v>0</v>
      </c>
      <c r="AW67" s="316">
        <f t="shared" si="8"/>
        <v>0</v>
      </c>
      <c r="AX67" s="307"/>
      <c r="AY67" s="308"/>
      <c r="AZ67" s="346"/>
      <c r="BA67" s="318"/>
    </row>
    <row r="68" spans="1:53" x14ac:dyDescent="0.2">
      <c r="A68" s="45"/>
      <c r="C68" s="310"/>
      <c r="D68" s="497"/>
      <c r="E68" s="498"/>
      <c r="F68" s="499"/>
      <c r="G68" s="499"/>
      <c r="H68" s="499"/>
      <c r="I68" s="499"/>
      <c r="J68" s="499"/>
      <c r="K68" s="499"/>
      <c r="L68" s="501"/>
      <c r="M68" s="499"/>
      <c r="N68" s="499"/>
      <c r="O68" s="499"/>
      <c r="P68" s="502"/>
      <c r="Q68" s="502"/>
      <c r="R68" s="502"/>
      <c r="S68" s="502"/>
      <c r="T68" s="502"/>
      <c r="U68" s="502"/>
      <c r="V68" s="502"/>
      <c r="W68" s="502"/>
      <c r="X68" s="500"/>
      <c r="Y68" s="500"/>
      <c r="Z68" s="500"/>
      <c r="AA68" s="500"/>
      <c r="AB68" s="313">
        <f t="shared" si="2"/>
        <v>0</v>
      </c>
      <c r="AC68" s="311">
        <f t="shared" si="3"/>
        <v>0</v>
      </c>
      <c r="AD68" s="312">
        <f t="shared" si="5"/>
        <v>0</v>
      </c>
      <c r="AE68" s="314">
        <f t="shared" si="4"/>
        <v>0</v>
      </c>
      <c r="AF68" s="499"/>
      <c r="AG68" s="499"/>
      <c r="AH68" s="312"/>
      <c r="AI68" s="314"/>
      <c r="AJ68" s="315" t="str">
        <f>'F.  Other Cap Asset Entries'!D236</f>
        <v>F.2</v>
      </c>
      <c r="AK68" s="316">
        <f>'F.  Other Cap Asset Entries'!M243</f>
        <v>0</v>
      </c>
      <c r="AL68" s="311"/>
      <c r="AM68" s="315"/>
      <c r="AN68" s="316"/>
      <c r="AO68" s="317"/>
      <c r="AP68" s="316"/>
      <c r="AQ68" s="309"/>
      <c r="AR68" s="315"/>
      <c r="AS68" s="318"/>
      <c r="AT68" s="508"/>
      <c r="AU68" s="509"/>
      <c r="AV68" s="316">
        <f t="shared" si="7"/>
        <v>0</v>
      </c>
      <c r="AW68" s="316">
        <f t="shared" si="8"/>
        <v>0</v>
      </c>
      <c r="AX68" s="307"/>
      <c r="AY68" s="308"/>
      <c r="AZ68" s="346"/>
      <c r="BA68" s="318"/>
    </row>
    <row r="69" spans="1:53" x14ac:dyDescent="0.2">
      <c r="A69" s="45"/>
      <c r="C69" s="542" t="s">
        <v>413</v>
      </c>
      <c r="D69" s="489"/>
      <c r="E69" s="490"/>
      <c r="F69" s="485"/>
      <c r="G69" s="485"/>
      <c r="H69" s="485"/>
      <c r="I69" s="485"/>
      <c r="J69" s="485"/>
      <c r="K69" s="485"/>
      <c r="L69" s="487"/>
      <c r="M69" s="485"/>
      <c r="N69" s="485"/>
      <c r="O69" s="485"/>
      <c r="P69" s="488"/>
      <c r="Q69" s="488"/>
      <c r="R69" s="488"/>
      <c r="S69" s="488"/>
      <c r="T69" s="488"/>
      <c r="U69" s="488"/>
      <c r="V69" s="488"/>
      <c r="W69" s="488"/>
      <c r="X69" s="486"/>
      <c r="Y69" s="486"/>
      <c r="Z69" s="486"/>
      <c r="AA69" s="486"/>
      <c r="AB69" s="34">
        <f t="shared" si="2"/>
        <v>0</v>
      </c>
      <c r="AC69" s="12">
        <f t="shared" si="3"/>
        <v>0</v>
      </c>
      <c r="AD69" s="30">
        <f t="shared" si="5"/>
        <v>0</v>
      </c>
      <c r="AE69" s="25">
        <f t="shared" si="4"/>
        <v>0</v>
      </c>
      <c r="AF69" s="485"/>
      <c r="AG69" s="485"/>
      <c r="AH69" s="30"/>
      <c r="AI69" s="25"/>
      <c r="AJ69" s="272" t="str">
        <f>'F.  Other Cap Asset Entries'!D214</f>
        <v>F.1</v>
      </c>
      <c r="AK69" s="73">
        <f>'F.  Other Cap Asset Entries'!M219</f>
        <v>0</v>
      </c>
      <c r="AL69" s="12"/>
      <c r="AM69" s="272" t="str">
        <f>'D. Depreciation'!A53</f>
        <v>D.1</v>
      </c>
      <c r="AN69" s="73">
        <f>'D. Depreciation'!L68</f>
        <v>0</v>
      </c>
      <c r="AO69" s="279"/>
      <c r="AP69" s="73"/>
      <c r="AQ69" s="14"/>
      <c r="AR69" s="272"/>
      <c r="AS69" s="254"/>
      <c r="AT69" s="508"/>
      <c r="AU69" s="509"/>
      <c r="AV69" s="323">
        <f t="shared" si="7"/>
        <v>0</v>
      </c>
      <c r="AW69" s="323">
        <f t="shared" si="8"/>
        <v>0</v>
      </c>
      <c r="AX69" s="45"/>
      <c r="AY69" s="38"/>
      <c r="AZ69" s="345" t="str">
        <f>IF(AV69-AW69&lt;=0," ",AV69-AW69)</f>
        <v xml:space="preserve"> </v>
      </c>
      <c r="BA69" s="254">
        <f>IF(AV69-AW69&gt;0," ",AW69-AV69)</f>
        <v>0</v>
      </c>
    </row>
    <row r="70" spans="1:53" x14ac:dyDescent="0.2">
      <c r="A70" s="45"/>
      <c r="C70" s="13" t="s">
        <v>929</v>
      </c>
      <c r="D70" s="489"/>
      <c r="E70" s="490"/>
      <c r="F70" s="485"/>
      <c r="G70" s="485"/>
      <c r="H70" s="485"/>
      <c r="I70" s="485"/>
      <c r="J70" s="485"/>
      <c r="K70" s="485"/>
      <c r="L70" s="487"/>
      <c r="M70" s="485"/>
      <c r="N70" s="485"/>
      <c r="O70" s="485"/>
      <c r="P70" s="488"/>
      <c r="Q70" s="488"/>
      <c r="R70" s="488"/>
      <c r="S70" s="488"/>
      <c r="T70" s="488"/>
      <c r="U70" s="488"/>
      <c r="V70" s="488"/>
      <c r="W70" s="488"/>
      <c r="X70" s="486"/>
      <c r="Y70" s="486"/>
      <c r="Z70" s="486"/>
      <c r="AA70" s="486"/>
      <c r="AB70" s="34">
        <f t="shared" si="2"/>
        <v>0</v>
      </c>
      <c r="AC70" s="12">
        <f t="shared" si="3"/>
        <v>0</v>
      </c>
      <c r="AD70" s="30">
        <f t="shared" si="5"/>
        <v>0</v>
      </c>
      <c r="AE70" s="25">
        <f t="shared" si="4"/>
        <v>0</v>
      </c>
      <c r="AF70" s="485"/>
      <c r="AG70" s="485"/>
      <c r="AH70" s="30"/>
      <c r="AI70" s="25"/>
      <c r="AJ70" s="272" t="str">
        <f>'I.  Other Asset Entries'!B105</f>
        <v>I.1</v>
      </c>
      <c r="AK70" s="73">
        <f>'I.  Other Asset Entries'!L105</f>
        <v>0</v>
      </c>
      <c r="AL70" s="12"/>
      <c r="AM70" s="272"/>
      <c r="AN70" s="73"/>
      <c r="AO70" s="279"/>
      <c r="AP70" s="73"/>
      <c r="AQ70" s="14"/>
      <c r="AR70" s="272"/>
      <c r="AS70" s="254"/>
      <c r="AT70" s="508"/>
      <c r="AU70" s="509"/>
      <c r="AV70" s="323">
        <f t="shared" si="7"/>
        <v>0</v>
      </c>
      <c r="AW70" s="323">
        <f t="shared" si="8"/>
        <v>0</v>
      </c>
      <c r="AX70" s="45"/>
      <c r="AY70" s="38"/>
      <c r="AZ70" s="345" t="str">
        <f>IF(AV70-AW70&lt;=0," ",AV70-AW70)</f>
        <v xml:space="preserve"> </v>
      </c>
      <c r="BA70" s="254">
        <f>IF(AV70-AW70&gt;0," ",AW70-AV70)</f>
        <v>0</v>
      </c>
    </row>
    <row r="71" spans="1:53" ht="5.25" customHeight="1" x14ac:dyDescent="0.2">
      <c r="A71" s="45"/>
      <c r="C71" s="13"/>
      <c r="D71" s="489"/>
      <c r="E71" s="490"/>
      <c r="F71" s="485"/>
      <c r="G71" s="485"/>
      <c r="H71" s="485"/>
      <c r="I71" s="485"/>
      <c r="J71" s="485"/>
      <c r="K71" s="485"/>
      <c r="L71" s="487"/>
      <c r="M71" s="485"/>
      <c r="N71" s="485"/>
      <c r="O71" s="485"/>
      <c r="P71" s="488"/>
      <c r="Q71" s="488"/>
      <c r="R71" s="488"/>
      <c r="S71" s="488"/>
      <c r="T71" s="488"/>
      <c r="U71" s="488"/>
      <c r="V71" s="488"/>
      <c r="W71" s="488"/>
      <c r="X71" s="486"/>
      <c r="Y71" s="486"/>
      <c r="Z71" s="486"/>
      <c r="AA71" s="486"/>
      <c r="AB71" s="34">
        <f t="shared" si="2"/>
        <v>0</v>
      </c>
      <c r="AC71" s="12">
        <f t="shared" si="3"/>
        <v>0</v>
      </c>
      <c r="AD71" s="30">
        <f t="shared" si="5"/>
        <v>0</v>
      </c>
      <c r="AE71" s="25">
        <f t="shared" si="4"/>
        <v>0</v>
      </c>
      <c r="AF71" s="485"/>
      <c r="AG71" s="485"/>
      <c r="AH71" s="30"/>
      <c r="AI71" s="25"/>
      <c r="AJ71" s="272"/>
      <c r="AK71" s="73"/>
      <c r="AL71" s="12"/>
      <c r="AM71" s="272"/>
      <c r="AN71" s="73"/>
      <c r="AO71" s="279"/>
      <c r="AP71" s="73"/>
      <c r="AQ71" s="14"/>
      <c r="AR71" s="272"/>
      <c r="AS71" s="254"/>
      <c r="AT71" s="508"/>
      <c r="AU71" s="509"/>
      <c r="AV71" s="323">
        <f t="shared" si="7"/>
        <v>0</v>
      </c>
      <c r="AW71" s="323">
        <f t="shared" si="8"/>
        <v>0</v>
      </c>
      <c r="AX71" s="45"/>
      <c r="AY71" s="38"/>
      <c r="AZ71" s="345" t="str">
        <f>IF(AV71-AW71&lt;=0," ",AV71-AW71)</f>
        <v xml:space="preserve"> </v>
      </c>
      <c r="BA71" s="254">
        <f>IF(AV71-AW71&gt;0," ",AW71-AV71)</f>
        <v>0</v>
      </c>
    </row>
    <row r="72" spans="1:53" x14ac:dyDescent="0.2">
      <c r="A72" s="45"/>
      <c r="B72" s="4" t="s">
        <v>1134</v>
      </c>
      <c r="D72" s="489"/>
      <c r="E72" s="490"/>
      <c r="F72" s="485"/>
      <c r="G72" s="485"/>
      <c r="H72" s="485"/>
      <c r="I72" s="485"/>
      <c r="J72" s="485"/>
      <c r="K72" s="486"/>
      <c r="L72" s="487"/>
      <c r="M72" s="485"/>
      <c r="N72" s="485"/>
      <c r="O72" s="485"/>
      <c r="P72" s="488"/>
      <c r="Q72" s="488"/>
      <c r="R72" s="488"/>
      <c r="S72" s="488"/>
      <c r="T72" s="488"/>
      <c r="U72" s="488"/>
      <c r="V72" s="488"/>
      <c r="W72" s="488"/>
      <c r="X72" s="486"/>
      <c r="Y72" s="486"/>
      <c r="Z72" s="486"/>
      <c r="AA72" s="486"/>
      <c r="AB72" s="34"/>
      <c r="AC72" s="12"/>
      <c r="AD72" s="30"/>
      <c r="AE72" s="25"/>
      <c r="AF72" s="485"/>
      <c r="AG72" s="485"/>
      <c r="AH72" s="30"/>
      <c r="AI72" s="25"/>
      <c r="AJ72" s="272"/>
      <c r="AK72" s="73"/>
      <c r="AL72" s="12"/>
      <c r="AM72" s="272"/>
      <c r="AN72" s="73"/>
      <c r="AO72" s="279"/>
      <c r="AP72" s="73"/>
      <c r="AQ72" s="14"/>
      <c r="AR72" s="461"/>
      <c r="AS72" s="255"/>
      <c r="AT72" s="508"/>
      <c r="AU72" s="509"/>
      <c r="AV72" s="323"/>
      <c r="AW72" s="323"/>
      <c r="AX72" s="45"/>
      <c r="AY72" s="38"/>
      <c r="AZ72" s="345"/>
      <c r="BA72" s="254"/>
    </row>
    <row r="73" spans="1:53" x14ac:dyDescent="0.2">
      <c r="A73" s="45"/>
      <c r="C73" t="s">
        <v>842</v>
      </c>
      <c r="D73" s="489"/>
      <c r="E73" s="490"/>
      <c r="F73" s="485"/>
      <c r="G73" s="485"/>
      <c r="H73" s="485"/>
      <c r="I73" s="485"/>
      <c r="J73" s="485"/>
      <c r="K73" s="486"/>
      <c r="L73" s="487"/>
      <c r="M73" s="485"/>
      <c r="N73" s="485"/>
      <c r="O73" s="485"/>
      <c r="P73" s="488"/>
      <c r="Q73" s="488"/>
      <c r="R73" s="488"/>
      <c r="S73" s="488"/>
      <c r="T73" s="488"/>
      <c r="U73" s="488"/>
      <c r="V73" s="488"/>
      <c r="W73" s="488"/>
      <c r="X73" s="486"/>
      <c r="Y73" s="486"/>
      <c r="Z73" s="486"/>
      <c r="AA73" s="486"/>
      <c r="AB73" s="34">
        <f>L73+N73+P73+R73+T73+V73+X73+Z73</f>
        <v>0</v>
      </c>
      <c r="AC73" s="12">
        <f>M73+O73+Q73+S73+U73+W73+Y73+AA73</f>
        <v>0</v>
      </c>
      <c r="AD73" s="30">
        <f>D73+F73+H73+J73+AB73</f>
        <v>0</v>
      </c>
      <c r="AE73" s="25">
        <f>E73+G73+I73+K73+AC73</f>
        <v>0</v>
      </c>
      <c r="AF73" s="485"/>
      <c r="AG73" s="485"/>
      <c r="AH73" s="30"/>
      <c r="AI73" s="25"/>
      <c r="AJ73" s="272" t="str">
        <f>'H. Debt Issues'!D77</f>
        <v>H.1</v>
      </c>
      <c r="AK73" s="73">
        <f>'H. Debt Issues'!L83</f>
        <v>0</v>
      </c>
      <c r="AL73" s="12"/>
      <c r="AM73" s="272" t="str">
        <f>'H. Debt Issues'!D77</f>
        <v>H.1</v>
      </c>
      <c r="AN73" s="73">
        <f>'H. Debt Issues'!N83</f>
        <v>0</v>
      </c>
      <c r="AO73" s="279"/>
      <c r="AP73" s="73"/>
      <c r="AQ73" s="14"/>
      <c r="AR73" s="272"/>
      <c r="AS73" s="254"/>
      <c r="AT73" s="508"/>
      <c r="AU73" s="509"/>
      <c r="AV73" s="323">
        <f>AD73+AF73+AH73+AK73+AP73+AT73</f>
        <v>0</v>
      </c>
      <c r="AW73" s="323">
        <f>AE73+AG73+AI73+AN73+AS73+AU73</f>
        <v>0</v>
      </c>
      <c r="AX73" s="45"/>
      <c r="AY73" s="38"/>
      <c r="AZ73" s="351" t="str">
        <f>IF(AV73-AW73&lt;=0," ",AV73-AW73)</f>
        <v xml:space="preserve"> </v>
      </c>
      <c r="BA73" s="254">
        <f>IF(AV73-AW73&gt;0," ",AW73-AV73)</f>
        <v>0</v>
      </c>
    </row>
    <row r="74" spans="1:53" s="672" customFormat="1" ht="25.5" x14ac:dyDescent="0.2">
      <c r="A74" s="45"/>
      <c r="C74" s="849" t="s">
        <v>3554</v>
      </c>
      <c r="D74" s="489"/>
      <c r="E74" s="490"/>
      <c r="F74" s="485"/>
      <c r="G74" s="485"/>
      <c r="H74" s="485"/>
      <c r="I74" s="485"/>
      <c r="J74" s="485"/>
      <c r="K74" s="486"/>
      <c r="L74" s="487"/>
      <c r="M74" s="485"/>
      <c r="N74" s="485"/>
      <c r="O74" s="485"/>
      <c r="P74" s="488"/>
      <c r="Q74" s="488"/>
      <c r="R74" s="488"/>
      <c r="S74" s="488"/>
      <c r="T74" s="488"/>
      <c r="U74" s="488"/>
      <c r="V74" s="488"/>
      <c r="W74" s="488"/>
      <c r="X74" s="486"/>
      <c r="Y74" s="486"/>
      <c r="Z74" s="486"/>
      <c r="AA74" s="486"/>
      <c r="AB74" s="34">
        <f t="shared" ref="AB74:AB81" si="9">L74+N74+P74+R74+T74+V74+X74+Z74</f>
        <v>0</v>
      </c>
      <c r="AC74" s="12">
        <f t="shared" ref="AC74:AC81" si="10">M74+O74+Q74+S74+U74+W74+Y74+AA74</f>
        <v>0</v>
      </c>
      <c r="AD74" s="30">
        <f t="shared" ref="AD74:AD81" si="11">D74+F74+H74+J74+AB74</f>
        <v>0</v>
      </c>
      <c r="AE74" s="25">
        <f t="shared" ref="AE74:AE81" si="12">E74+G74+I74+K74+AC74</f>
        <v>0</v>
      </c>
      <c r="AF74" s="485">
        <f>'N.1 GASB 68 LGERS'!C75*'N.1 GASB 68 LGERS'!C17</f>
        <v>0</v>
      </c>
      <c r="AG74" s="485"/>
      <c r="AH74" s="30"/>
      <c r="AI74" s="25"/>
      <c r="AJ74" s="272" t="s">
        <v>865</v>
      </c>
      <c r="AK74" s="73">
        <f>'J. Other Liability &amp; Expenses'!L196</f>
        <v>0</v>
      </c>
      <c r="AL74" s="12"/>
      <c r="AM74" s="272" t="s">
        <v>2074</v>
      </c>
      <c r="AN74" s="73">
        <f>'N.1 GASB 68 LGERS'!D113</f>
        <v>0</v>
      </c>
      <c r="AO74" s="279" t="s">
        <v>682</v>
      </c>
      <c r="AP74" s="73">
        <f>'K.1  Int. Service Fd Allocation'!E173+'K.2  Int. Service Fd Alloca'!E166+'K.3 Int. Service Fd Alloca'!E166</f>
        <v>0</v>
      </c>
      <c r="AQ74" s="14"/>
      <c r="AR74" s="272"/>
      <c r="AS74" s="254"/>
      <c r="AT74" s="677"/>
      <c r="AU74" s="509"/>
      <c r="AV74" s="323">
        <f>AD74+AF74+AH74+AK74+AP74+AT74+AD75+AF75+AH75+AK75+AP75+AT75</f>
        <v>0</v>
      </c>
      <c r="AW74" s="323">
        <f>AE74+AG74+AI74+AN74+AS74+AU74+AE75+AG75+AI75+AN75+AS75+AU75</f>
        <v>0</v>
      </c>
      <c r="AX74" s="45"/>
      <c r="AY74" s="38"/>
      <c r="AZ74" s="351" t="str">
        <f>IF((AV74)-(AW74)&lt;=0," ",(AV74)-(AW74))</f>
        <v xml:space="preserve"> </v>
      </c>
      <c r="BA74" s="254">
        <f t="shared" ref="BA74:BA81" si="13">IF(AV74-AW74&gt;0," ",AW74-AV74)</f>
        <v>0</v>
      </c>
    </row>
    <row r="75" spans="1:53" s="850" customFormat="1" x14ac:dyDescent="0.2">
      <c r="A75" s="45"/>
      <c r="C75" s="849"/>
      <c r="D75" s="489"/>
      <c r="E75" s="490"/>
      <c r="F75" s="485"/>
      <c r="G75" s="485"/>
      <c r="H75" s="485"/>
      <c r="I75" s="485"/>
      <c r="J75" s="485"/>
      <c r="K75" s="486"/>
      <c r="L75" s="487"/>
      <c r="M75" s="485"/>
      <c r="N75" s="485"/>
      <c r="O75" s="485"/>
      <c r="P75" s="488"/>
      <c r="Q75" s="488"/>
      <c r="R75" s="488"/>
      <c r="S75" s="488"/>
      <c r="T75" s="488"/>
      <c r="U75" s="488"/>
      <c r="V75" s="488"/>
      <c r="W75" s="488"/>
      <c r="X75" s="486"/>
      <c r="Y75" s="486"/>
      <c r="Z75" s="486"/>
      <c r="AA75" s="486"/>
      <c r="AB75" s="34"/>
      <c r="AC75" s="12"/>
      <c r="AD75" s="30"/>
      <c r="AE75" s="25"/>
      <c r="AF75" s="485">
        <f>'O. GASB 73 LEO Entries'!C7+'O. GASB 73 LEO Entries'!C13</f>
        <v>0</v>
      </c>
      <c r="AG75" s="485"/>
      <c r="AH75" s="30"/>
      <c r="AI75" s="25"/>
      <c r="AJ75" s="272" t="s">
        <v>3553</v>
      </c>
      <c r="AK75" s="73">
        <f>'O. GASB 73 LEO Entries'!C74</f>
        <v>0</v>
      </c>
      <c r="AL75" s="12"/>
      <c r="AM75" s="272" t="s">
        <v>3553</v>
      </c>
      <c r="AN75" s="72"/>
      <c r="AO75" s="279"/>
      <c r="AP75" s="73"/>
      <c r="AQ75" s="14"/>
      <c r="AR75" s="272"/>
      <c r="AS75" s="254"/>
      <c r="AT75" s="852"/>
      <c r="AU75" s="509"/>
      <c r="AV75" s="323"/>
      <c r="AW75" s="323"/>
      <c r="AX75" s="45"/>
      <c r="AY75" s="38"/>
      <c r="AZ75" s="351"/>
      <c r="BA75" s="254"/>
    </row>
    <row r="76" spans="1:53" s="672" customFormat="1" ht="38.25" x14ac:dyDescent="0.2">
      <c r="A76" s="45"/>
      <c r="C76" s="684" t="s">
        <v>3524</v>
      </c>
      <c r="D76" s="489"/>
      <c r="E76" s="490"/>
      <c r="F76" s="485"/>
      <c r="G76" s="485"/>
      <c r="H76" s="485"/>
      <c r="I76" s="485"/>
      <c r="J76" s="485"/>
      <c r="K76" s="486"/>
      <c r="L76" s="487"/>
      <c r="M76" s="485"/>
      <c r="N76" s="485"/>
      <c r="O76" s="485"/>
      <c r="P76" s="488"/>
      <c r="Q76" s="488"/>
      <c r="R76" s="488"/>
      <c r="S76" s="488"/>
      <c r="T76" s="488"/>
      <c r="U76" s="488"/>
      <c r="V76" s="488"/>
      <c r="W76" s="488"/>
      <c r="X76" s="486"/>
      <c r="Y76" s="486"/>
      <c r="Z76" s="486"/>
      <c r="AA76" s="486"/>
      <c r="AB76" s="34">
        <f t="shared" si="9"/>
        <v>0</v>
      </c>
      <c r="AC76" s="12">
        <f t="shared" si="10"/>
        <v>0</v>
      </c>
      <c r="AD76" s="30">
        <f t="shared" si="11"/>
        <v>0</v>
      </c>
      <c r="AE76" s="25">
        <f t="shared" si="12"/>
        <v>0</v>
      </c>
      <c r="AF76" s="485">
        <f>'N.1 GASB 68 LGERS'!C75*'N.1 GASB 68 LGERS'!M39</f>
        <v>0</v>
      </c>
      <c r="AG76" s="485"/>
      <c r="AH76" s="30"/>
      <c r="AI76" s="25"/>
      <c r="AJ76" s="272" t="s">
        <v>2074</v>
      </c>
      <c r="AK76" s="73">
        <f>'N.1 GASB 68 LGERS'!C108</f>
        <v>0</v>
      </c>
      <c r="AL76" s="12"/>
      <c r="AM76" s="272" t="s">
        <v>2074</v>
      </c>
      <c r="AN76" s="73">
        <f>'N.1 GASB 68 LGERS'!D108</f>
        <v>0</v>
      </c>
      <c r="AO76" s="279" t="s">
        <v>2109</v>
      </c>
      <c r="AP76" s="73">
        <f>'K.1  Int. Service Fd Allocation'!E177+'K.2  Int. Service Fd Alloca'!E170+'K.3 Int. Service Fd Alloca'!E170</f>
        <v>0</v>
      </c>
      <c r="AQ76" s="14"/>
      <c r="AR76" s="272"/>
      <c r="AS76" s="254"/>
      <c r="AT76" s="677"/>
      <c r="AU76" s="509"/>
      <c r="AV76" s="323">
        <f>AD76+AF76+AH76+AK76+AP76+AT76</f>
        <v>0</v>
      </c>
      <c r="AW76" s="323">
        <f>AE76+AG76+AI76+AN76+AS76+AU76</f>
        <v>0</v>
      </c>
      <c r="AX76" s="45"/>
      <c r="AY76" s="38"/>
      <c r="AZ76" s="351" t="str">
        <f t="shared" ref="AZ76:AZ81" si="14">IF((AV76)-(AW76)&lt;=0," ",(AV76)-(AW76))</f>
        <v xml:space="preserve"> </v>
      </c>
      <c r="BA76" s="254">
        <f t="shared" si="13"/>
        <v>0</v>
      </c>
    </row>
    <row r="77" spans="1:53" s="672" customFormat="1" ht="25.5" x14ac:dyDescent="0.2">
      <c r="A77" s="45"/>
      <c r="C77" s="684" t="s">
        <v>3525</v>
      </c>
      <c r="D77" s="489"/>
      <c r="E77" s="490"/>
      <c r="F77" s="485"/>
      <c r="G77" s="485"/>
      <c r="H77" s="485"/>
      <c r="I77" s="485"/>
      <c r="J77" s="485"/>
      <c r="K77" s="486"/>
      <c r="L77" s="487"/>
      <c r="M77" s="485"/>
      <c r="N77" s="485"/>
      <c r="O77" s="485"/>
      <c r="P77" s="488"/>
      <c r="Q77" s="488"/>
      <c r="R77" s="488"/>
      <c r="S77" s="488"/>
      <c r="T77" s="488"/>
      <c r="U77" s="488"/>
      <c r="V77" s="488"/>
      <c r="W77" s="488"/>
      <c r="X77" s="486"/>
      <c r="Y77" s="486"/>
      <c r="Z77" s="486"/>
      <c r="AA77" s="486"/>
      <c r="AB77" s="34">
        <f t="shared" si="9"/>
        <v>0</v>
      </c>
      <c r="AC77" s="12">
        <f t="shared" si="10"/>
        <v>0</v>
      </c>
      <c r="AD77" s="30">
        <f t="shared" si="11"/>
        <v>0</v>
      </c>
      <c r="AE77" s="25">
        <f t="shared" si="12"/>
        <v>0</v>
      </c>
      <c r="AF77" s="485">
        <f>'N.1 GASB 68 LGERS'!C75*'N.1 GASB 68 LGERS'!J39</f>
        <v>0</v>
      </c>
      <c r="AG77" s="485"/>
      <c r="AH77" s="30"/>
      <c r="AI77" s="25"/>
      <c r="AJ77" s="272" t="s">
        <v>2074</v>
      </c>
      <c r="AK77" s="73">
        <f>'N.1 GASB 68 LGERS'!C105</f>
        <v>0</v>
      </c>
      <c r="AL77" s="12"/>
      <c r="AM77" s="272" t="s">
        <v>2074</v>
      </c>
      <c r="AN77" s="73">
        <f>'N.1 GASB 68 LGERS'!D105</f>
        <v>0</v>
      </c>
      <c r="AO77" s="279" t="s">
        <v>2109</v>
      </c>
      <c r="AP77" s="73">
        <f>'K.1  Int. Service Fd Allocation'!E176+'K.2  Int. Service Fd Alloca'!E169+'K.3 Int. Service Fd Alloca'!E169</f>
        <v>0</v>
      </c>
      <c r="AQ77" s="14"/>
      <c r="AR77" s="272"/>
      <c r="AS77" s="254"/>
      <c r="AT77" s="677"/>
      <c r="AU77" s="509"/>
      <c r="AV77" s="323">
        <f>AD77+AF77+AH77+AK77+AP77+AT77+AD78+AF78+AH78+AK78+AP78+AT78</f>
        <v>0</v>
      </c>
      <c r="AW77" s="323">
        <f>AE77+AG77+AI77+AN77+AS77+AU77+AE78+AG78+AI78+AN78+AS78+AU78</f>
        <v>0</v>
      </c>
      <c r="AX77" s="45"/>
      <c r="AY77" s="38"/>
      <c r="AZ77" s="351" t="str">
        <f>IF((AV77)-(AW77)&lt;=0," ",(AV77)-(AW77))</f>
        <v xml:space="preserve"> </v>
      </c>
      <c r="BA77" s="254">
        <f t="shared" si="13"/>
        <v>0</v>
      </c>
    </row>
    <row r="78" spans="1:53" s="850" customFormat="1" x14ac:dyDescent="0.2">
      <c r="A78" s="45"/>
      <c r="C78" s="684"/>
      <c r="D78" s="489"/>
      <c r="E78" s="490"/>
      <c r="F78" s="485"/>
      <c r="G78" s="485"/>
      <c r="H78" s="485"/>
      <c r="I78" s="485"/>
      <c r="J78" s="485"/>
      <c r="K78" s="486"/>
      <c r="L78" s="487"/>
      <c r="M78" s="485"/>
      <c r="N78" s="485"/>
      <c r="O78" s="485"/>
      <c r="P78" s="488"/>
      <c r="Q78" s="488"/>
      <c r="R78" s="488"/>
      <c r="S78" s="488"/>
      <c r="T78" s="488"/>
      <c r="U78" s="488"/>
      <c r="V78" s="488"/>
      <c r="W78" s="488"/>
      <c r="X78" s="486"/>
      <c r="Y78" s="486"/>
      <c r="Z78" s="486"/>
      <c r="AA78" s="486"/>
      <c r="AB78" s="34"/>
      <c r="AC78" s="12"/>
      <c r="AD78" s="30"/>
      <c r="AE78" s="25"/>
      <c r="AF78" s="485">
        <f>'O. GASB 73 LEO Entries'!D32</f>
        <v>0</v>
      </c>
      <c r="AG78" s="485"/>
      <c r="AH78" s="30"/>
      <c r="AI78" s="25"/>
      <c r="AJ78" s="272" t="s">
        <v>3553</v>
      </c>
      <c r="AK78" s="73">
        <f>'O. GASB 73 LEO Entries'!C69</f>
        <v>0</v>
      </c>
      <c r="AL78" s="12"/>
      <c r="AM78" s="272" t="s">
        <v>3553</v>
      </c>
      <c r="AN78" s="73">
        <f>'O. GASB 73 LEO Entries'!D69</f>
        <v>0</v>
      </c>
      <c r="AO78" s="279"/>
      <c r="AP78" s="73"/>
      <c r="AQ78" s="14"/>
      <c r="AR78" s="272"/>
      <c r="AS78" s="254"/>
      <c r="AT78" s="852"/>
      <c r="AU78" s="509"/>
      <c r="AV78" s="323"/>
      <c r="AW78" s="323"/>
      <c r="AX78" s="45"/>
      <c r="AY78" s="38"/>
      <c r="AZ78" s="351"/>
      <c r="BA78" s="254"/>
    </row>
    <row r="79" spans="1:53" s="672" customFormat="1" x14ac:dyDescent="0.2">
      <c r="A79" s="45"/>
      <c r="C79" s="682" t="s">
        <v>3526</v>
      </c>
      <c r="D79" s="489"/>
      <c r="E79" s="490"/>
      <c r="F79" s="485"/>
      <c r="G79" s="485"/>
      <c r="H79" s="485"/>
      <c r="I79" s="485"/>
      <c r="J79" s="485"/>
      <c r="K79" s="486"/>
      <c r="L79" s="487"/>
      <c r="M79" s="485"/>
      <c r="N79" s="485"/>
      <c r="O79" s="485"/>
      <c r="P79" s="488"/>
      <c r="Q79" s="488"/>
      <c r="R79" s="488"/>
      <c r="S79" s="488"/>
      <c r="T79" s="488"/>
      <c r="U79" s="488"/>
      <c r="V79" s="488"/>
      <c r="W79" s="488"/>
      <c r="X79" s="486"/>
      <c r="Y79" s="486"/>
      <c r="Z79" s="486"/>
      <c r="AA79" s="486"/>
      <c r="AB79" s="34">
        <f t="shared" si="9"/>
        <v>0</v>
      </c>
      <c r="AC79" s="12">
        <f t="shared" si="10"/>
        <v>0</v>
      </c>
      <c r="AD79" s="30">
        <f t="shared" si="11"/>
        <v>0</v>
      </c>
      <c r="AE79" s="25">
        <f t="shared" si="12"/>
        <v>0</v>
      </c>
      <c r="AF79" s="485">
        <f>'N.1 GASB 68 LGERS'!C75*'N.1 GASB 68 LGERS'!L39</f>
        <v>0</v>
      </c>
      <c r="AG79" s="485"/>
      <c r="AH79" s="30"/>
      <c r="AI79" s="25"/>
      <c r="AJ79" s="272" t="s">
        <v>2074</v>
      </c>
      <c r="AK79" s="73">
        <f>'N.1 GASB 68 LGERS'!C107</f>
        <v>0</v>
      </c>
      <c r="AL79" s="12"/>
      <c r="AM79" s="272" t="s">
        <v>2074</v>
      </c>
      <c r="AN79" s="73">
        <f>'N.1 GASB 68 LGERS'!D107</f>
        <v>0</v>
      </c>
      <c r="AO79" s="279" t="s">
        <v>2109</v>
      </c>
      <c r="AP79" s="73">
        <f>'K.1  Int. Service Fd Allocation'!E174+'K.2  Int. Service Fd Alloca'!E167+'K.3 Int. Service Fd Alloca'!E167</f>
        <v>0</v>
      </c>
      <c r="AQ79" s="14"/>
      <c r="AR79" s="272"/>
      <c r="AS79" s="254"/>
      <c r="AT79" s="677"/>
      <c r="AU79" s="509"/>
      <c r="AV79" s="323">
        <f>AD79+AF79+AH79+AK79+AP79+AT79+AD80+AF80+AH80+AK80+AP80+AT80</f>
        <v>0</v>
      </c>
      <c r="AW79" s="323">
        <f>AE79+AG79+AI79+AN79+AS79+AU79+AE80+AG80+AI80+AN80+AS80+AU80</f>
        <v>0</v>
      </c>
      <c r="AX79" s="45"/>
      <c r="AY79" s="38"/>
      <c r="AZ79" s="351" t="str">
        <f t="shared" si="14"/>
        <v xml:space="preserve"> </v>
      </c>
      <c r="BA79" s="254">
        <f t="shared" si="13"/>
        <v>0</v>
      </c>
    </row>
    <row r="80" spans="1:53" s="850" customFormat="1" x14ac:dyDescent="0.2">
      <c r="A80" s="45"/>
      <c r="C80" s="682"/>
      <c r="D80" s="489"/>
      <c r="E80" s="490"/>
      <c r="F80" s="485"/>
      <c r="G80" s="485"/>
      <c r="H80" s="485"/>
      <c r="I80" s="485"/>
      <c r="J80" s="485"/>
      <c r="K80" s="486"/>
      <c r="L80" s="487"/>
      <c r="M80" s="485"/>
      <c r="N80" s="485"/>
      <c r="O80" s="485"/>
      <c r="P80" s="488"/>
      <c r="Q80" s="488"/>
      <c r="R80" s="488"/>
      <c r="S80" s="488"/>
      <c r="T80" s="488"/>
      <c r="U80" s="488"/>
      <c r="V80" s="488"/>
      <c r="W80" s="488"/>
      <c r="X80" s="486"/>
      <c r="Y80" s="486"/>
      <c r="Z80" s="486"/>
      <c r="AA80" s="486"/>
      <c r="AB80" s="34"/>
      <c r="AC80" s="12"/>
      <c r="AD80" s="30"/>
      <c r="AE80" s="25"/>
      <c r="AF80" s="485"/>
      <c r="AG80" s="485"/>
      <c r="AH80" s="30"/>
      <c r="AI80" s="25"/>
      <c r="AJ80" s="272" t="s">
        <v>3553</v>
      </c>
      <c r="AK80" s="73">
        <f>'O. GASB 73 LEO Entries'!C70</f>
        <v>0</v>
      </c>
      <c r="AL80" s="12"/>
      <c r="AM80" s="272" t="s">
        <v>3553</v>
      </c>
      <c r="AN80" s="73">
        <f>'O. GASB 73 LEO Entries'!D70</f>
        <v>0</v>
      </c>
      <c r="AO80" s="279"/>
      <c r="AP80" s="73"/>
      <c r="AQ80" s="14"/>
      <c r="AR80" s="272"/>
      <c r="AS80" s="254"/>
      <c r="AT80" s="852"/>
      <c r="AU80" s="509"/>
      <c r="AV80" s="323"/>
      <c r="AW80" s="323"/>
      <c r="AX80" s="45"/>
      <c r="AY80" s="38"/>
      <c r="AZ80" s="351"/>
      <c r="BA80" s="254"/>
    </row>
    <row r="81" spans="1:53" s="672" customFormat="1" ht="38.25" x14ac:dyDescent="0.2">
      <c r="A81" s="45"/>
      <c r="C81" s="684" t="s">
        <v>2565</v>
      </c>
      <c r="D81" s="489"/>
      <c r="E81" s="490"/>
      <c r="F81" s="485"/>
      <c r="G81" s="485"/>
      <c r="H81" s="485"/>
      <c r="I81" s="485"/>
      <c r="J81" s="485"/>
      <c r="K81" s="486"/>
      <c r="L81" s="487"/>
      <c r="M81" s="485"/>
      <c r="N81" s="485"/>
      <c r="O81" s="485"/>
      <c r="P81" s="488"/>
      <c r="Q81" s="488"/>
      <c r="R81" s="488"/>
      <c r="S81" s="488"/>
      <c r="T81" s="488"/>
      <c r="U81" s="488"/>
      <c r="V81" s="488"/>
      <c r="W81" s="488"/>
      <c r="X81" s="486"/>
      <c r="Y81" s="486"/>
      <c r="Z81" s="486"/>
      <c r="AA81" s="486"/>
      <c r="AB81" s="34">
        <f t="shared" si="9"/>
        <v>0</v>
      </c>
      <c r="AC81" s="12">
        <f t="shared" si="10"/>
        <v>0</v>
      </c>
      <c r="AD81" s="30">
        <f t="shared" si="11"/>
        <v>0</v>
      </c>
      <c r="AE81" s="25">
        <f t="shared" si="12"/>
        <v>0</v>
      </c>
      <c r="AF81" s="485">
        <f>IF(('N.1 GASB 68 LGERS'!K39-'N.1 GASB 68 LGERS'!P39)&gt;0,('N.1 GASB 68 LGERS'!K39-'N.1 GASB 68 LGERS'!P39)*'N.1 GASB 68 LGERS'!C75,0)</f>
        <v>0</v>
      </c>
      <c r="AG81" s="485"/>
      <c r="AH81" s="30"/>
      <c r="AI81" s="25"/>
      <c r="AJ81" s="272" t="s">
        <v>2074</v>
      </c>
      <c r="AK81" s="73">
        <f>'N.1 GASB 68 LGERS'!C106</f>
        <v>0</v>
      </c>
      <c r="AL81" s="12"/>
      <c r="AM81" s="272" t="s">
        <v>2074</v>
      </c>
      <c r="AN81" s="73">
        <f>'N.1 GASB 68 LGERS'!D106</f>
        <v>0</v>
      </c>
      <c r="AO81" s="279" t="s">
        <v>2109</v>
      </c>
      <c r="AP81" s="73">
        <f>'K.1  Int. Service Fd Allocation'!E175+'K.2  Int. Service Fd Alloca'!E168+'K.3 Int. Service Fd Alloca'!E168</f>
        <v>0</v>
      </c>
      <c r="AQ81" s="14"/>
      <c r="AR81" s="272"/>
      <c r="AS81" s="254"/>
      <c r="AT81" s="677"/>
      <c r="AU81" s="509"/>
      <c r="AV81" s="323">
        <f>AD81+AF81+AH81+AK81+AP81+AT81</f>
        <v>0</v>
      </c>
      <c r="AW81" s="323">
        <f>AE81+AG81+AI81+AN81+AS81+AU81</f>
        <v>0</v>
      </c>
      <c r="AX81" s="45"/>
      <c r="AY81" s="38"/>
      <c r="AZ81" s="351" t="str">
        <f t="shared" si="14"/>
        <v xml:space="preserve"> </v>
      </c>
      <c r="BA81" s="254">
        <f t="shared" si="13"/>
        <v>0</v>
      </c>
    </row>
    <row r="82" spans="1:53" s="960" customFormat="1" x14ac:dyDescent="0.2">
      <c r="A82" s="45"/>
      <c r="C82" s="684" t="s">
        <v>3882</v>
      </c>
      <c r="D82" s="489"/>
      <c r="E82" s="490"/>
      <c r="F82" s="485"/>
      <c r="G82" s="485"/>
      <c r="H82" s="485"/>
      <c r="I82" s="485"/>
      <c r="J82" s="485"/>
      <c r="K82" s="486"/>
      <c r="L82" s="487"/>
      <c r="M82" s="485"/>
      <c r="N82" s="485"/>
      <c r="O82" s="485"/>
      <c r="P82" s="488"/>
      <c r="Q82" s="488"/>
      <c r="R82" s="488"/>
      <c r="S82" s="488"/>
      <c r="T82" s="488"/>
      <c r="U82" s="488"/>
      <c r="V82" s="488"/>
      <c r="W82" s="488"/>
      <c r="X82" s="486"/>
      <c r="Y82" s="486"/>
      <c r="Z82" s="486"/>
      <c r="AA82" s="486"/>
      <c r="AB82" s="34"/>
      <c r="AC82" s="12"/>
      <c r="AD82" s="30"/>
      <c r="AE82" s="25"/>
      <c r="AF82" s="485"/>
      <c r="AG82" s="485"/>
      <c r="AH82" s="30"/>
      <c r="AI82" s="25"/>
      <c r="AJ82" s="272" t="s">
        <v>3553</v>
      </c>
      <c r="AK82" s="73"/>
      <c r="AL82" s="12"/>
      <c r="AM82" s="272" t="s">
        <v>3553</v>
      </c>
      <c r="AN82" s="73"/>
      <c r="AO82" s="279"/>
      <c r="AP82" s="73"/>
      <c r="AQ82" s="14"/>
      <c r="AR82" s="272"/>
      <c r="AS82" s="254"/>
      <c r="AT82" s="961"/>
      <c r="AU82" s="509"/>
      <c r="AV82" s="323">
        <f>AD82+AF82+AH82+AK82+AP82+AT82</f>
        <v>0</v>
      </c>
      <c r="AW82" s="323">
        <f>AE82+AG82+AI82+AN82+AS82+AU82</f>
        <v>0</v>
      </c>
      <c r="AX82" s="45"/>
      <c r="AY82" s="38"/>
      <c r="AZ82" s="351" t="str">
        <f>IF((AV82)-(AW82)&lt;=0," ",(AV82)-(AW82))</f>
        <v xml:space="preserve"> </v>
      </c>
      <c r="BA82" s="254">
        <f>IF(AV82-AW82&gt;0," ",AW82-AV82)</f>
        <v>0</v>
      </c>
    </row>
    <row r="83" spans="1:53" s="966" customFormat="1" ht="25.5" x14ac:dyDescent="0.2">
      <c r="A83" s="45"/>
      <c r="C83" s="968" t="s">
        <v>3900</v>
      </c>
      <c r="D83" s="489"/>
      <c r="E83" s="490"/>
      <c r="F83" s="485"/>
      <c r="G83" s="485"/>
      <c r="H83" s="485"/>
      <c r="I83" s="485"/>
      <c r="J83" s="485"/>
      <c r="K83" s="486"/>
      <c r="L83" s="487"/>
      <c r="M83" s="485"/>
      <c r="N83" s="485"/>
      <c r="O83" s="485"/>
      <c r="P83" s="488"/>
      <c r="Q83" s="488"/>
      <c r="R83" s="488"/>
      <c r="S83" s="488"/>
      <c r="T83" s="488"/>
      <c r="U83" s="488"/>
      <c r="V83" s="488"/>
      <c r="W83" s="488"/>
      <c r="X83" s="486"/>
      <c r="Y83" s="486"/>
      <c r="Z83" s="486"/>
      <c r="AA83" s="486"/>
      <c r="AB83" s="34"/>
      <c r="AC83" s="12"/>
      <c r="AD83" s="30"/>
      <c r="AE83" s="25"/>
      <c r="AF83" s="485"/>
      <c r="AG83" s="485"/>
      <c r="AH83" s="30"/>
      <c r="AI83" s="25"/>
      <c r="AJ83" s="1119" t="s">
        <v>4900</v>
      </c>
      <c r="AK83" s="73">
        <f>'P. GASB 75 OPEB 1 Entries'!C75+'P. GASB 75 OPEB 2 Entries'!C75+'P. GASB 75 3 OPEB Entries'!C75</f>
        <v>0</v>
      </c>
      <c r="AL83" s="12"/>
      <c r="AM83" s="272"/>
      <c r="AN83" s="254"/>
      <c r="AO83" s="274" t="s">
        <v>2109</v>
      </c>
      <c r="AP83" s="73">
        <f>'K.1  Int. Service Fd Allocation'!E178+'K.2  Int. Service Fd Alloca'!E171+'K.3 Int. Service Fd Alloca'!E171</f>
        <v>0</v>
      </c>
      <c r="AQ83" s="14"/>
      <c r="AR83" s="272"/>
      <c r="AS83" s="254"/>
      <c r="AT83" s="969"/>
      <c r="AU83" s="509"/>
      <c r="AV83" s="323">
        <f t="shared" ref="AV83:AV88" si="15">AD83+AF83+AH83+AK83+AP83+AT83</f>
        <v>0</v>
      </c>
      <c r="AW83" s="323">
        <f t="shared" ref="AW83:AW88" si="16">AE83+AG83+AI83+AN83+AS83+AU83</f>
        <v>0</v>
      </c>
      <c r="AX83" s="45"/>
      <c r="AY83" s="38"/>
      <c r="AZ83" s="351" t="str">
        <f t="shared" ref="AZ83:AZ88" si="17">IF((AV83)-(AW83)&lt;=0," ",(AV83)-(AW83))</f>
        <v xml:space="preserve"> </v>
      </c>
      <c r="BA83" s="254">
        <f t="shared" ref="BA83:BA88" si="18">IF(AV83-AW83&gt;0," ",AW83-AV83)</f>
        <v>0</v>
      </c>
    </row>
    <row r="84" spans="1:53" s="966" customFormat="1" x14ac:dyDescent="0.2">
      <c r="A84" s="45"/>
      <c r="C84" s="968"/>
      <c r="D84" s="489"/>
      <c r="E84" s="490"/>
      <c r="F84" s="485"/>
      <c r="G84" s="485"/>
      <c r="H84" s="485"/>
      <c r="I84" s="485"/>
      <c r="J84" s="485"/>
      <c r="K84" s="486"/>
      <c r="L84" s="487"/>
      <c r="M84" s="485"/>
      <c r="N84" s="485"/>
      <c r="O84" s="485"/>
      <c r="P84" s="488"/>
      <c r="Q84" s="488"/>
      <c r="R84" s="488"/>
      <c r="S84" s="488"/>
      <c r="T84" s="488"/>
      <c r="U84" s="488"/>
      <c r="V84" s="488"/>
      <c r="W84" s="488"/>
      <c r="X84" s="486"/>
      <c r="Y84" s="486"/>
      <c r="Z84" s="486"/>
      <c r="AA84" s="486"/>
      <c r="AB84" s="34"/>
      <c r="AC84" s="12"/>
      <c r="AD84" s="30"/>
      <c r="AE84" s="25"/>
      <c r="AF84" s="485"/>
      <c r="AG84" s="485"/>
      <c r="AH84" s="30"/>
      <c r="AI84" s="25"/>
      <c r="AJ84" s="272"/>
      <c r="AK84" s="73"/>
      <c r="AL84" s="12"/>
      <c r="AM84" s="272"/>
      <c r="AN84" s="254"/>
      <c r="AO84" s="274"/>
      <c r="AP84" s="73"/>
      <c r="AQ84" s="14"/>
      <c r="AR84" s="272"/>
      <c r="AS84" s="254"/>
      <c r="AT84" s="969"/>
      <c r="AU84" s="509"/>
      <c r="AV84" s="323">
        <f t="shared" si="15"/>
        <v>0</v>
      </c>
      <c r="AW84" s="323">
        <f t="shared" si="16"/>
        <v>0</v>
      </c>
      <c r="AX84" s="45"/>
      <c r="AY84" s="38"/>
      <c r="AZ84" s="351" t="str">
        <f t="shared" si="17"/>
        <v xml:space="preserve"> </v>
      </c>
      <c r="BA84" s="254">
        <f t="shared" si="18"/>
        <v>0</v>
      </c>
    </row>
    <row r="85" spans="1:53" s="966" customFormat="1" ht="25.5" x14ac:dyDescent="0.2">
      <c r="A85" s="45"/>
      <c r="C85" s="974" t="s">
        <v>3896</v>
      </c>
      <c r="D85" s="489"/>
      <c r="E85" s="490"/>
      <c r="F85" s="485"/>
      <c r="G85" s="485"/>
      <c r="H85" s="485"/>
      <c r="I85" s="485"/>
      <c r="J85" s="485"/>
      <c r="K85" s="486"/>
      <c r="L85" s="487"/>
      <c r="M85" s="485"/>
      <c r="N85" s="485"/>
      <c r="O85" s="485"/>
      <c r="P85" s="488"/>
      <c r="Q85" s="488"/>
      <c r="R85" s="488"/>
      <c r="S85" s="488"/>
      <c r="T85" s="488"/>
      <c r="U85" s="488"/>
      <c r="V85" s="488"/>
      <c r="W85" s="488"/>
      <c r="X85" s="486"/>
      <c r="Y85" s="486"/>
      <c r="Z85" s="486"/>
      <c r="AA85" s="486"/>
      <c r="AB85" s="34"/>
      <c r="AC85" s="12"/>
      <c r="AD85" s="30"/>
      <c r="AE85" s="25"/>
      <c r="AF85" s="485"/>
      <c r="AG85" s="485"/>
      <c r="AH85" s="30"/>
      <c r="AI85" s="25"/>
      <c r="AJ85" s="1119" t="s">
        <v>4900</v>
      </c>
      <c r="AK85" s="73">
        <f>'P. GASB 75 OPEB 1 Entries'!C70-'P. GASB 75 OPEB 1 Entries'!D66+'P. GASB 75 OPEB 2 Entries'!C70-'P. GASB 75 OPEB 2 Entries'!D66+'P. GASB 75 3 OPEB Entries'!C70-'P. GASB 75 3 OPEB Entries'!D66</f>
        <v>0</v>
      </c>
      <c r="AL85" s="12"/>
      <c r="AM85" s="272"/>
      <c r="AN85" s="254"/>
      <c r="AO85" s="274" t="s">
        <v>2109</v>
      </c>
      <c r="AP85" s="73">
        <f>'K.1  Int. Service Fd Allocation'!E180+'K.2  Int. Service Fd Alloca'!E173+'K.3 Int. Service Fd Alloca'!E173</f>
        <v>0</v>
      </c>
      <c r="AQ85" s="14"/>
      <c r="AR85" s="272"/>
      <c r="AS85" s="254"/>
      <c r="AT85" s="969"/>
      <c r="AU85" s="509"/>
      <c r="AV85" s="323">
        <f t="shared" si="15"/>
        <v>0</v>
      </c>
      <c r="AW85" s="323">
        <f t="shared" si="16"/>
        <v>0</v>
      </c>
      <c r="AX85" s="45"/>
      <c r="AY85" s="38"/>
      <c r="AZ85" s="351" t="str">
        <f t="shared" si="17"/>
        <v xml:space="preserve"> </v>
      </c>
      <c r="BA85" s="254">
        <f t="shared" si="18"/>
        <v>0</v>
      </c>
    </row>
    <row r="86" spans="1:53" s="966" customFormat="1" x14ac:dyDescent="0.2">
      <c r="A86" s="45"/>
      <c r="C86" s="974"/>
      <c r="D86" s="489"/>
      <c r="E86" s="490"/>
      <c r="F86" s="485"/>
      <c r="G86" s="485"/>
      <c r="H86" s="485"/>
      <c r="I86" s="485"/>
      <c r="J86" s="485"/>
      <c r="K86" s="486"/>
      <c r="L86" s="487"/>
      <c r="M86" s="485"/>
      <c r="N86" s="485"/>
      <c r="O86" s="485"/>
      <c r="P86" s="488"/>
      <c r="Q86" s="488"/>
      <c r="R86" s="488"/>
      <c r="S86" s="488"/>
      <c r="T86" s="488"/>
      <c r="U86" s="488"/>
      <c r="V86" s="488"/>
      <c r="W86" s="488"/>
      <c r="X86" s="486"/>
      <c r="Y86" s="486"/>
      <c r="Z86" s="486"/>
      <c r="AA86" s="486"/>
      <c r="AB86" s="34"/>
      <c r="AC86" s="12"/>
      <c r="AD86" s="30"/>
      <c r="AE86" s="25"/>
      <c r="AF86" s="485"/>
      <c r="AG86" s="485"/>
      <c r="AH86" s="30"/>
      <c r="AI86" s="25"/>
      <c r="AJ86" s="272"/>
      <c r="AK86" s="73"/>
      <c r="AL86" s="12"/>
      <c r="AM86" s="272"/>
      <c r="AN86" s="254"/>
      <c r="AO86" s="274"/>
      <c r="AP86" s="73"/>
      <c r="AQ86" s="14"/>
      <c r="AR86" s="272"/>
      <c r="AS86" s="254"/>
      <c r="AT86" s="969"/>
      <c r="AU86" s="509"/>
      <c r="AV86" s="323">
        <f t="shared" si="15"/>
        <v>0</v>
      </c>
      <c r="AW86" s="323">
        <f t="shared" si="16"/>
        <v>0</v>
      </c>
      <c r="AX86" s="45"/>
      <c r="AY86" s="38"/>
      <c r="AZ86" s="345" t="str">
        <f t="shared" si="17"/>
        <v xml:space="preserve"> </v>
      </c>
      <c r="BA86" s="254">
        <f t="shared" si="18"/>
        <v>0</v>
      </c>
    </row>
    <row r="87" spans="1:53" s="966" customFormat="1" ht="24" x14ac:dyDescent="0.2">
      <c r="A87" s="45"/>
      <c r="C87" s="975" t="s">
        <v>3897</v>
      </c>
      <c r="D87" s="489"/>
      <c r="E87" s="490"/>
      <c r="F87" s="485"/>
      <c r="G87" s="485"/>
      <c r="H87" s="485"/>
      <c r="I87" s="485"/>
      <c r="J87" s="485"/>
      <c r="K87" s="486"/>
      <c r="L87" s="487"/>
      <c r="M87" s="485"/>
      <c r="N87" s="485"/>
      <c r="O87" s="485"/>
      <c r="P87" s="488"/>
      <c r="Q87" s="488"/>
      <c r="R87" s="488"/>
      <c r="S87" s="488"/>
      <c r="T87" s="488"/>
      <c r="U87" s="488"/>
      <c r="V87" s="488"/>
      <c r="W87" s="488"/>
      <c r="X87" s="486"/>
      <c r="Y87" s="486"/>
      <c r="Z87" s="486"/>
      <c r="AA87" s="486"/>
      <c r="AB87" s="34"/>
      <c r="AC87" s="12"/>
      <c r="AD87" s="30"/>
      <c r="AE87" s="25"/>
      <c r="AF87" s="485"/>
      <c r="AG87" s="485"/>
      <c r="AH87" s="30"/>
      <c r="AI87" s="25"/>
      <c r="AJ87" s="1119" t="s">
        <v>4900</v>
      </c>
      <c r="AK87" s="73">
        <f>'P. GASB 75 OPEB 1 Entries'!C71-'P. GASB 75 OPEB 1 Entries'!D67+'P. GASB 75 OPEB 2 Entries'!C71-'P. GASB 75 OPEB 2 Entries'!D67+'P. GASB 75 3 OPEB Entries'!C71-'P. GASB 75 3 OPEB Entries'!D67</f>
        <v>0</v>
      </c>
      <c r="AL87" s="12"/>
      <c r="AM87" s="272"/>
      <c r="AN87" s="254"/>
      <c r="AO87" s="274" t="s">
        <v>2109</v>
      </c>
      <c r="AP87" s="73">
        <f>'K.1  Int. Service Fd Allocation'!E179+'K.2  Int. Service Fd Alloca'!E172+'K.3 Int. Service Fd Alloca'!E172</f>
        <v>0</v>
      </c>
      <c r="AQ87" s="14"/>
      <c r="AR87" s="272"/>
      <c r="AS87" s="254"/>
      <c r="AT87" s="969"/>
      <c r="AU87" s="509"/>
      <c r="AV87" s="323">
        <f t="shared" si="15"/>
        <v>0</v>
      </c>
      <c r="AW87" s="323">
        <f t="shared" si="16"/>
        <v>0</v>
      </c>
      <c r="AX87" s="45"/>
      <c r="AY87" s="38"/>
      <c r="AZ87" s="345" t="str">
        <f t="shared" si="17"/>
        <v xml:space="preserve"> </v>
      </c>
      <c r="BA87" s="254">
        <f t="shared" si="18"/>
        <v>0</v>
      </c>
    </row>
    <row r="88" spans="1:53" s="966" customFormat="1" x14ac:dyDescent="0.2">
      <c r="A88" s="45"/>
      <c r="C88" s="975"/>
      <c r="D88" s="489"/>
      <c r="E88" s="490"/>
      <c r="F88" s="485"/>
      <c r="G88" s="485"/>
      <c r="H88" s="485"/>
      <c r="I88" s="485"/>
      <c r="J88" s="485"/>
      <c r="K88" s="486"/>
      <c r="L88" s="487"/>
      <c r="M88" s="485"/>
      <c r="N88" s="485"/>
      <c r="O88" s="485"/>
      <c r="P88" s="488"/>
      <c r="Q88" s="488"/>
      <c r="R88" s="488"/>
      <c r="S88" s="488"/>
      <c r="T88" s="488"/>
      <c r="U88" s="488"/>
      <c r="V88" s="488"/>
      <c r="W88" s="488"/>
      <c r="X88" s="486"/>
      <c r="Y88" s="486"/>
      <c r="Z88" s="486"/>
      <c r="AA88" s="486"/>
      <c r="AB88" s="34"/>
      <c r="AC88" s="12"/>
      <c r="AD88" s="30"/>
      <c r="AE88" s="25"/>
      <c r="AF88" s="485"/>
      <c r="AG88" s="485"/>
      <c r="AH88" s="30"/>
      <c r="AI88" s="25"/>
      <c r="AJ88" s="272"/>
      <c r="AK88" s="73"/>
      <c r="AL88" s="12"/>
      <c r="AM88" s="272"/>
      <c r="AN88" s="254"/>
      <c r="AO88" s="274"/>
      <c r="AP88" s="73"/>
      <c r="AQ88" s="14"/>
      <c r="AR88" s="272"/>
      <c r="AS88" s="254"/>
      <c r="AT88" s="969"/>
      <c r="AU88" s="509"/>
      <c r="AV88" s="323">
        <f t="shared" si="15"/>
        <v>0</v>
      </c>
      <c r="AW88" s="323">
        <f t="shared" si="16"/>
        <v>0</v>
      </c>
      <c r="AX88" s="45"/>
      <c r="AY88" s="38"/>
      <c r="AZ88" s="345" t="str">
        <f t="shared" si="17"/>
        <v xml:space="preserve"> </v>
      </c>
      <c r="BA88" s="254">
        <f t="shared" si="18"/>
        <v>0</v>
      </c>
    </row>
    <row r="89" spans="1:53" ht="12.75" customHeight="1" x14ac:dyDescent="0.2">
      <c r="A89" s="45"/>
      <c r="B89" s="4" t="s">
        <v>692</v>
      </c>
      <c r="C89" s="13"/>
      <c r="D89" s="489"/>
      <c r="E89" s="490"/>
      <c r="F89" s="485"/>
      <c r="G89" s="485"/>
      <c r="H89" s="485"/>
      <c r="I89" s="485"/>
      <c r="J89" s="485"/>
      <c r="K89" s="485"/>
      <c r="L89" s="487"/>
      <c r="M89" s="485"/>
      <c r="N89" s="485"/>
      <c r="O89" s="485"/>
      <c r="P89" s="488"/>
      <c r="Q89" s="488"/>
      <c r="R89" s="488"/>
      <c r="S89" s="488"/>
      <c r="T89" s="488"/>
      <c r="U89" s="488"/>
      <c r="V89" s="488"/>
      <c r="W89" s="488"/>
      <c r="X89" s="486"/>
      <c r="Y89" s="486"/>
      <c r="Z89" s="486"/>
      <c r="AA89" s="486"/>
      <c r="AB89" s="34">
        <f t="shared" si="2"/>
        <v>0</v>
      </c>
      <c r="AC89" s="12">
        <f t="shared" si="3"/>
        <v>0</v>
      </c>
      <c r="AD89" s="30">
        <f t="shared" si="5"/>
        <v>0</v>
      </c>
      <c r="AE89" s="25">
        <f t="shared" si="4"/>
        <v>0</v>
      </c>
      <c r="AF89" s="485"/>
      <c r="AG89" s="485"/>
      <c r="AH89" s="30"/>
      <c r="AI89" s="25"/>
      <c r="AJ89" s="272"/>
      <c r="AK89" s="73"/>
      <c r="AL89" s="12"/>
      <c r="AM89" s="272"/>
      <c r="AN89" s="73"/>
      <c r="AO89" s="279"/>
      <c r="AP89" s="73"/>
      <c r="AQ89" s="14"/>
      <c r="AR89" s="272"/>
      <c r="AS89" s="254"/>
      <c r="AT89" s="508"/>
      <c r="AU89" s="509"/>
      <c r="AV89" s="323">
        <f t="shared" si="7"/>
        <v>0</v>
      </c>
      <c r="AW89" s="323">
        <f t="shared" si="8"/>
        <v>0</v>
      </c>
      <c r="AX89" s="45"/>
      <c r="AY89" s="38"/>
      <c r="AZ89" s="345" t="str">
        <f>IF(AV89-AW89&lt;=0," ",AV89-AW89)</f>
        <v xml:space="preserve"> </v>
      </c>
      <c r="BA89" s="254">
        <f>IF(AV89-AW89&gt;0," ",AW89-AV89)</f>
        <v>0</v>
      </c>
    </row>
    <row r="90" spans="1:53" x14ac:dyDescent="0.2">
      <c r="A90" s="45"/>
      <c r="C90" t="s">
        <v>632</v>
      </c>
      <c r="D90" s="489"/>
      <c r="E90" s="490"/>
      <c r="F90" s="485"/>
      <c r="G90" s="485"/>
      <c r="H90" s="485"/>
      <c r="I90" s="485"/>
      <c r="J90" s="485"/>
      <c r="K90" s="486"/>
      <c r="L90" s="487"/>
      <c r="M90" s="485"/>
      <c r="N90" s="485"/>
      <c r="O90" s="485"/>
      <c r="P90" s="488"/>
      <c r="Q90" s="488"/>
      <c r="R90" s="488"/>
      <c r="S90" s="488"/>
      <c r="T90" s="488"/>
      <c r="U90" s="488"/>
      <c r="V90" s="488"/>
      <c r="W90" s="488"/>
      <c r="X90" s="486"/>
      <c r="Y90" s="486"/>
      <c r="Z90" s="486"/>
      <c r="AA90" s="486"/>
      <c r="AB90" s="34">
        <f t="shared" si="2"/>
        <v>0</v>
      </c>
      <c r="AC90" s="12">
        <f t="shared" si="3"/>
        <v>0</v>
      </c>
      <c r="AD90" s="30">
        <f t="shared" si="5"/>
        <v>0</v>
      </c>
      <c r="AE90" s="25">
        <f t="shared" si="4"/>
        <v>0</v>
      </c>
      <c r="AF90" s="485"/>
      <c r="AG90" s="485"/>
      <c r="AH90" s="30"/>
      <c r="AI90" s="25"/>
      <c r="AJ90" s="272"/>
      <c r="AK90" s="73"/>
      <c r="AL90" s="12"/>
      <c r="AM90" s="272"/>
      <c r="AN90" s="73"/>
      <c r="AO90" s="279"/>
      <c r="AP90" s="73"/>
      <c r="AQ90" s="14"/>
      <c r="AR90" s="461" t="s">
        <v>682</v>
      </c>
      <c r="AS90" s="255">
        <f>'K.1  Int. Service Fd Allocation'!G184+'K.2  Int. Service Fd Alloca'!G177+'K.3 Int. Service Fd Alloca'!G177</f>
        <v>0</v>
      </c>
      <c r="AT90" s="508"/>
      <c r="AU90" s="509"/>
      <c r="AV90" s="323">
        <f t="shared" si="7"/>
        <v>0</v>
      </c>
      <c r="AW90" s="323">
        <f t="shared" si="8"/>
        <v>0</v>
      </c>
      <c r="AX90" s="45"/>
      <c r="AY90" s="38"/>
      <c r="AZ90" s="345" t="str">
        <f>IF(AV90-AW90&lt;=0," ",AV90-AW90)</f>
        <v xml:space="preserve"> </v>
      </c>
      <c r="BA90" s="254">
        <f>IF(AV90-AW90&gt;0," ",AW90-AV90)</f>
        <v>0</v>
      </c>
    </row>
    <row r="91" spans="1:53" x14ac:dyDescent="0.2">
      <c r="A91" s="45"/>
      <c r="C91" s="38" t="s">
        <v>400</v>
      </c>
      <c r="D91" s="490"/>
      <c r="E91" s="490"/>
      <c r="F91" s="485"/>
      <c r="G91" s="485"/>
      <c r="H91" s="485"/>
      <c r="I91" s="485"/>
      <c r="J91" s="485"/>
      <c r="K91" s="486"/>
      <c r="L91" s="487"/>
      <c r="M91" s="485"/>
      <c r="N91" s="485"/>
      <c r="O91" s="485"/>
      <c r="P91" s="488"/>
      <c r="Q91" s="488"/>
      <c r="R91" s="488"/>
      <c r="S91" s="488"/>
      <c r="T91" s="488"/>
      <c r="U91" s="488"/>
      <c r="V91" s="488"/>
      <c r="W91" s="488"/>
      <c r="X91" s="486"/>
      <c r="Y91" s="486"/>
      <c r="Z91" s="486"/>
      <c r="AA91" s="486"/>
      <c r="AB91" s="34">
        <f t="shared" si="2"/>
        <v>0</v>
      </c>
      <c r="AC91" s="12">
        <f t="shared" si="3"/>
        <v>0</v>
      </c>
      <c r="AD91" s="30">
        <f t="shared" si="5"/>
        <v>0</v>
      </c>
      <c r="AE91" s="25">
        <f t="shared" si="4"/>
        <v>0</v>
      </c>
      <c r="AF91" s="485"/>
      <c r="AG91" s="485"/>
      <c r="AH91" s="30"/>
      <c r="AI91" s="25"/>
      <c r="AJ91" s="272"/>
      <c r="AK91" s="73"/>
      <c r="AL91" s="12"/>
      <c r="AM91" s="272"/>
      <c r="AN91" s="73"/>
      <c r="AO91" s="279"/>
      <c r="AP91" s="73"/>
      <c r="AQ91" s="14"/>
      <c r="AR91" s="272"/>
      <c r="AS91" s="254"/>
      <c r="AT91" s="508"/>
      <c r="AU91" s="509"/>
      <c r="AV91" s="323">
        <f t="shared" ref="AV91:AV106" si="19">AD91+AF91+AH91+AK91+AP91+AT91</f>
        <v>0</v>
      </c>
      <c r="AW91" s="323">
        <f t="shared" ref="AW91:AW106" si="20">AE91+AG91+AI91+AN91+AS91+AU91</f>
        <v>0</v>
      </c>
      <c r="AX91" s="45"/>
      <c r="AY91" s="38"/>
      <c r="AZ91" s="345" t="str">
        <f>IF(AV91-AW91&lt;=0," ",AV91-AW91)</f>
        <v xml:space="preserve"> </v>
      </c>
      <c r="BA91" s="254">
        <f>IF(AV91-AW91&gt;0," ",AW91-AV91)</f>
        <v>0</v>
      </c>
    </row>
    <row r="92" spans="1:53" x14ac:dyDescent="0.2">
      <c r="A92" s="45"/>
      <c r="C92" s="38" t="s">
        <v>631</v>
      </c>
      <c r="D92" s="490"/>
      <c r="E92" s="490"/>
      <c r="F92" s="485"/>
      <c r="G92" s="485"/>
      <c r="H92" s="485"/>
      <c r="I92" s="485"/>
      <c r="J92" s="485"/>
      <c r="K92" s="486"/>
      <c r="L92" s="487"/>
      <c r="M92" s="485"/>
      <c r="N92" s="485"/>
      <c r="O92" s="485"/>
      <c r="P92" s="488"/>
      <c r="Q92" s="488"/>
      <c r="R92" s="488"/>
      <c r="S92" s="488"/>
      <c r="T92" s="488"/>
      <c r="U92" s="488"/>
      <c r="V92" s="488"/>
      <c r="W92" s="488"/>
      <c r="X92" s="486"/>
      <c r="Y92" s="486"/>
      <c r="Z92" s="486"/>
      <c r="AA92" s="486"/>
      <c r="AB92" s="34">
        <f t="shared" ref="AB92:AB182" si="21">L92+N92+P92+R92+T92+V92+X92+Z92</f>
        <v>0</v>
      </c>
      <c r="AC92" s="12">
        <f t="shared" ref="AC92:AC182" si="22">M92+O92+Q92+S92+U92+W92+Y92+AA92</f>
        <v>0</v>
      </c>
      <c r="AD92" s="30">
        <f t="shared" si="5"/>
        <v>0</v>
      </c>
      <c r="AE92" s="25">
        <f t="shared" si="4"/>
        <v>0</v>
      </c>
      <c r="AF92" s="485"/>
      <c r="AG92" s="485"/>
      <c r="AH92" s="30"/>
      <c r="AI92" s="25"/>
      <c r="AJ92" s="272"/>
      <c r="AK92" s="73"/>
      <c r="AL92" s="12"/>
      <c r="AM92" s="272"/>
      <c r="AN92" s="73"/>
      <c r="AO92" s="279"/>
      <c r="AP92" s="73"/>
      <c r="AQ92" s="14"/>
      <c r="AR92" s="272"/>
      <c r="AS92" s="254"/>
      <c r="AT92" s="508"/>
      <c r="AU92" s="509"/>
      <c r="AV92" s="323">
        <f t="shared" si="19"/>
        <v>0</v>
      </c>
      <c r="AW92" s="323">
        <f t="shared" si="20"/>
        <v>0</v>
      </c>
      <c r="AX92" s="45"/>
      <c r="AY92" s="38"/>
      <c r="AZ92" s="345" t="str">
        <f>IF(AV92-AW92&lt;=0," ",AV92-AW92)</f>
        <v xml:space="preserve"> </v>
      </c>
      <c r="BA92" s="254">
        <f>IF(AV92-AW92&gt;0," ",AW92-AV92)</f>
        <v>0</v>
      </c>
    </row>
    <row r="93" spans="1:53" x14ac:dyDescent="0.2">
      <c r="A93" s="45"/>
      <c r="B93" s="14"/>
      <c r="C93" s="308" t="s">
        <v>752</v>
      </c>
      <c r="D93" s="498"/>
      <c r="E93" s="498"/>
      <c r="F93" s="499"/>
      <c r="G93" s="499"/>
      <c r="H93" s="499"/>
      <c r="I93" s="499"/>
      <c r="J93" s="499"/>
      <c r="K93" s="500"/>
      <c r="L93" s="501"/>
      <c r="M93" s="499"/>
      <c r="N93" s="499"/>
      <c r="O93" s="499"/>
      <c r="P93" s="502"/>
      <c r="Q93" s="502"/>
      <c r="R93" s="502"/>
      <c r="S93" s="502"/>
      <c r="T93" s="502"/>
      <c r="U93" s="502"/>
      <c r="V93" s="502"/>
      <c r="W93" s="502"/>
      <c r="X93" s="500"/>
      <c r="Y93" s="500"/>
      <c r="Z93" s="500"/>
      <c r="AA93" s="500"/>
      <c r="AB93" s="313">
        <f t="shared" si="21"/>
        <v>0</v>
      </c>
      <c r="AC93" s="311">
        <f t="shared" si="22"/>
        <v>0</v>
      </c>
      <c r="AD93" s="312">
        <f t="shared" si="5"/>
        <v>0</v>
      </c>
      <c r="AE93" s="314">
        <f t="shared" si="4"/>
        <v>0</v>
      </c>
      <c r="AF93" s="499"/>
      <c r="AG93" s="499"/>
      <c r="AH93" s="312"/>
      <c r="AI93" s="314"/>
      <c r="AJ93" s="315"/>
      <c r="AK93" s="316"/>
      <c r="AL93" s="311"/>
      <c r="AM93" s="315"/>
      <c r="AN93" s="316"/>
      <c r="AO93" s="317" t="str">
        <f>'L. Eliminations-Consolidations'!A201</f>
        <v>L.2</v>
      </c>
      <c r="AP93" s="316">
        <f>'L. Eliminations-Consolidations'!J201</f>
        <v>0</v>
      </c>
      <c r="AQ93" s="309"/>
      <c r="AR93" s="463" t="s">
        <v>682</v>
      </c>
      <c r="AS93" s="318">
        <f>'K.1  Int. Service Fd Allocation'!G185+'K.2  Int. Service Fd Alloca'!G178+'K.3 Int. Service Fd Alloca'!G178</f>
        <v>0</v>
      </c>
      <c r="AT93" s="508"/>
      <c r="AU93" s="509"/>
      <c r="AV93" s="316">
        <f t="shared" si="19"/>
        <v>0</v>
      </c>
      <c r="AW93" s="316">
        <f t="shared" si="20"/>
        <v>0</v>
      </c>
      <c r="AX93" s="307"/>
      <c r="AY93" s="308"/>
      <c r="AZ93" s="346" t="str">
        <f>IF((AV93+AV94+AV95)-(AW93+AW94+AW95)&lt;=0," ",(AV93+AV94+AV95)-(AW93+AW94+AW95))</f>
        <v xml:space="preserve"> </v>
      </c>
      <c r="BA93" s="318">
        <f>IF((AV93+AV94+AV95)-(AW93+AW94+AW95)&gt;0," ",(AW93+AW94+AW95)-(AV93+AV94+AV95))</f>
        <v>0</v>
      </c>
    </row>
    <row r="94" spans="1:53" x14ac:dyDescent="0.2">
      <c r="A94" s="45"/>
      <c r="B94" s="14"/>
      <c r="C94" s="308"/>
      <c r="D94" s="498"/>
      <c r="E94" s="498"/>
      <c r="F94" s="499"/>
      <c r="G94" s="499"/>
      <c r="H94" s="499"/>
      <c r="I94" s="499"/>
      <c r="J94" s="499"/>
      <c r="K94" s="500"/>
      <c r="L94" s="501"/>
      <c r="M94" s="499"/>
      <c r="N94" s="499"/>
      <c r="O94" s="499"/>
      <c r="P94" s="502"/>
      <c r="Q94" s="502"/>
      <c r="R94" s="502"/>
      <c r="S94" s="502"/>
      <c r="T94" s="502"/>
      <c r="U94" s="502"/>
      <c r="V94" s="502"/>
      <c r="W94" s="502"/>
      <c r="X94" s="500"/>
      <c r="Y94" s="500"/>
      <c r="Z94" s="500"/>
      <c r="AA94" s="500"/>
      <c r="AB94" s="313">
        <f t="shared" si="21"/>
        <v>0</v>
      </c>
      <c r="AC94" s="311">
        <f t="shared" si="22"/>
        <v>0</v>
      </c>
      <c r="AD94" s="312">
        <f t="shared" si="5"/>
        <v>0</v>
      </c>
      <c r="AE94" s="314">
        <f t="shared" si="4"/>
        <v>0</v>
      </c>
      <c r="AF94" s="499"/>
      <c r="AG94" s="499"/>
      <c r="AH94" s="312"/>
      <c r="AI94" s="314"/>
      <c r="AJ94" s="315"/>
      <c r="AK94" s="316"/>
      <c r="AL94" s="311"/>
      <c r="AM94" s="315"/>
      <c r="AN94" s="316"/>
      <c r="AO94" s="317" t="str">
        <f>'L. Eliminations-Consolidations'!A206</f>
        <v>L.3</v>
      </c>
      <c r="AP94" s="316">
        <f>'L. Eliminations-Consolidations'!J207</f>
        <v>0</v>
      </c>
      <c r="AQ94" s="309"/>
      <c r="AR94" s="315"/>
      <c r="AS94" s="318"/>
      <c r="AT94" s="508"/>
      <c r="AU94" s="509"/>
      <c r="AV94" s="316">
        <f t="shared" si="19"/>
        <v>0</v>
      </c>
      <c r="AW94" s="316">
        <f t="shared" si="20"/>
        <v>0</v>
      </c>
      <c r="AX94" s="307"/>
      <c r="AY94" s="308"/>
      <c r="AZ94" s="346"/>
      <c r="BA94" s="318"/>
    </row>
    <row r="95" spans="1:53" x14ac:dyDescent="0.2">
      <c r="A95" s="45"/>
      <c r="B95" s="14"/>
      <c r="C95" s="308"/>
      <c r="D95" s="498"/>
      <c r="E95" s="498"/>
      <c r="F95" s="499"/>
      <c r="G95" s="499"/>
      <c r="H95" s="499"/>
      <c r="I95" s="499"/>
      <c r="J95" s="499"/>
      <c r="K95" s="500"/>
      <c r="L95" s="501"/>
      <c r="M95" s="499"/>
      <c r="N95" s="499"/>
      <c r="O95" s="499"/>
      <c r="P95" s="502"/>
      <c r="Q95" s="502"/>
      <c r="R95" s="502"/>
      <c r="S95" s="502"/>
      <c r="T95" s="502"/>
      <c r="U95" s="502"/>
      <c r="V95" s="502"/>
      <c r="W95" s="502"/>
      <c r="X95" s="500"/>
      <c r="Y95" s="500"/>
      <c r="Z95" s="500"/>
      <c r="AA95" s="500"/>
      <c r="AB95" s="313">
        <f t="shared" si="21"/>
        <v>0</v>
      </c>
      <c r="AC95" s="311">
        <f t="shared" si="22"/>
        <v>0</v>
      </c>
      <c r="AD95" s="312">
        <f t="shared" ref="AD95:AD186" si="23">D95+F95+H95+J95+AB95</f>
        <v>0</v>
      </c>
      <c r="AE95" s="314">
        <f t="shared" ref="AE95:AE186" si="24">E95+G95+I95+K95+AC95</f>
        <v>0</v>
      </c>
      <c r="AF95" s="499"/>
      <c r="AG95" s="499"/>
      <c r="AH95" s="312"/>
      <c r="AI95" s="314"/>
      <c r="AJ95" s="315"/>
      <c r="AK95" s="316"/>
      <c r="AL95" s="311"/>
      <c r="AM95" s="315"/>
      <c r="AN95" s="316"/>
      <c r="AO95" s="317" t="str">
        <f>'L. Eliminations-Consolidations'!A212</f>
        <v>L.4</v>
      </c>
      <c r="AP95" s="316">
        <f>'L. Eliminations-Consolidations'!J214</f>
        <v>0</v>
      </c>
      <c r="AQ95" s="309"/>
      <c r="AR95" s="315"/>
      <c r="AS95" s="318"/>
      <c r="AT95" s="508"/>
      <c r="AU95" s="509"/>
      <c r="AV95" s="316">
        <f t="shared" si="19"/>
        <v>0</v>
      </c>
      <c r="AW95" s="316">
        <f t="shared" si="20"/>
        <v>0</v>
      </c>
      <c r="AX95" s="307"/>
      <c r="AY95" s="308"/>
      <c r="AZ95" s="346"/>
      <c r="BA95" s="318"/>
    </row>
    <row r="96" spans="1:53" x14ac:dyDescent="0.2">
      <c r="A96" s="45"/>
      <c r="B96" s="14"/>
      <c r="C96" s="38" t="s">
        <v>86</v>
      </c>
      <c r="D96" s="490"/>
      <c r="E96" s="490"/>
      <c r="F96" s="485"/>
      <c r="G96" s="485"/>
      <c r="H96" s="485"/>
      <c r="I96" s="485"/>
      <c r="J96" s="485"/>
      <c r="K96" s="486"/>
      <c r="L96" s="487"/>
      <c r="M96" s="485"/>
      <c r="N96" s="485"/>
      <c r="O96" s="485"/>
      <c r="P96" s="488"/>
      <c r="Q96" s="488"/>
      <c r="R96" s="488"/>
      <c r="S96" s="488"/>
      <c r="T96" s="488"/>
      <c r="U96" s="488"/>
      <c r="V96" s="488"/>
      <c r="W96" s="488"/>
      <c r="X96" s="486"/>
      <c r="Y96" s="486"/>
      <c r="Z96" s="486"/>
      <c r="AA96" s="486"/>
      <c r="AB96" s="34">
        <f t="shared" si="21"/>
        <v>0</v>
      </c>
      <c r="AC96" s="12">
        <f t="shared" si="22"/>
        <v>0</v>
      </c>
      <c r="AD96" s="30">
        <f t="shared" si="23"/>
        <v>0</v>
      </c>
      <c r="AE96" s="25">
        <f t="shared" si="24"/>
        <v>0</v>
      </c>
      <c r="AF96" s="485"/>
      <c r="AG96" s="485"/>
      <c r="AH96" s="30"/>
      <c r="AI96" s="25"/>
      <c r="AJ96" s="272"/>
      <c r="AK96" s="73"/>
      <c r="AL96" s="12"/>
      <c r="AM96" s="272"/>
      <c r="AN96" s="73"/>
      <c r="AO96" s="279"/>
      <c r="AP96" s="73"/>
      <c r="AQ96" s="14"/>
      <c r="AR96" s="272"/>
      <c r="AS96" s="254"/>
      <c r="AT96" s="508"/>
      <c r="AU96" s="509"/>
      <c r="AV96" s="323">
        <f t="shared" si="19"/>
        <v>0</v>
      </c>
      <c r="AW96" s="323">
        <f>AE96+AG96+AI96+AN96+AS96+AU96</f>
        <v>0</v>
      </c>
      <c r="AX96" s="45"/>
      <c r="AY96" s="38"/>
      <c r="AZ96" s="345" t="str">
        <f>IF(AV96-AW96&lt;=0," ",AV96-AW96)</f>
        <v xml:space="preserve"> </v>
      </c>
      <c r="BA96" s="254">
        <f>IF(AV96-AW96&gt;0," ",AW96-AV96)</f>
        <v>0</v>
      </c>
    </row>
    <row r="97" spans="1:53" ht="38.25" x14ac:dyDescent="0.2">
      <c r="A97" s="45"/>
      <c r="C97" s="643" t="s">
        <v>1135</v>
      </c>
      <c r="D97" s="497"/>
      <c r="E97" s="498"/>
      <c r="F97" s="499"/>
      <c r="G97" s="499"/>
      <c r="H97" s="499"/>
      <c r="I97" s="499"/>
      <c r="J97" s="499"/>
      <c r="K97" s="500"/>
      <c r="L97" s="501"/>
      <c r="M97" s="499"/>
      <c r="N97" s="499"/>
      <c r="O97" s="499"/>
      <c r="P97" s="502"/>
      <c r="Q97" s="502"/>
      <c r="R97" s="502"/>
      <c r="S97" s="502"/>
      <c r="T97" s="502"/>
      <c r="U97" s="502"/>
      <c r="V97" s="502"/>
      <c r="W97" s="502"/>
      <c r="X97" s="500"/>
      <c r="Y97" s="500"/>
      <c r="Z97" s="500"/>
      <c r="AA97" s="500"/>
      <c r="AB97" s="313">
        <f t="shared" si="21"/>
        <v>0</v>
      </c>
      <c r="AC97" s="311">
        <f t="shared" si="22"/>
        <v>0</v>
      </c>
      <c r="AD97" s="312">
        <f t="shared" si="23"/>
        <v>0</v>
      </c>
      <c r="AE97" s="314">
        <f t="shared" si="24"/>
        <v>0</v>
      </c>
      <c r="AF97" s="499"/>
      <c r="AG97" s="499"/>
      <c r="AH97" s="312"/>
      <c r="AI97" s="314"/>
      <c r="AJ97" s="317"/>
      <c r="AK97" s="316"/>
      <c r="AL97" s="316"/>
      <c r="AM97" s="316"/>
      <c r="AN97" s="316"/>
      <c r="AO97" s="317"/>
      <c r="AP97" s="316"/>
      <c r="AQ97" s="309"/>
      <c r="AR97" s="315"/>
      <c r="AS97" s="318"/>
      <c r="AT97" s="508"/>
      <c r="AU97" s="509"/>
      <c r="AV97" s="316">
        <f>AD97+AF97+AH97+AK97+AP97+AT97</f>
        <v>0</v>
      </c>
      <c r="AW97" s="316">
        <f>AE97+AG97+AI97+AN97+AS97+AU97</f>
        <v>0</v>
      </c>
      <c r="AX97" s="307"/>
      <c r="AY97" s="308"/>
      <c r="AZ97" s="346" t="str">
        <f>IF((AV97+AV98+AV99)-(AW97+AW98+AW99)&lt;=0," ",(AV97+AV98+AV99)-(AW97+AW98+AW99))</f>
        <v xml:space="preserve"> </v>
      </c>
      <c r="BA97" s="318">
        <f>IF((AV97+AV98+AV99)-(AW97+AW98+AW99)&gt;0," ",(AW97+AW98+AW99)-(AV97+AV98+AV99))</f>
        <v>0</v>
      </c>
    </row>
    <row r="98" spans="1:53" x14ac:dyDescent="0.2">
      <c r="A98" s="45"/>
      <c r="B98" s="14"/>
      <c r="C98" s="309"/>
      <c r="D98" s="497"/>
      <c r="E98" s="498"/>
      <c r="F98" s="499"/>
      <c r="G98" s="499"/>
      <c r="H98" s="499"/>
      <c r="I98" s="499"/>
      <c r="J98" s="499"/>
      <c r="K98" s="500"/>
      <c r="L98" s="501"/>
      <c r="M98" s="499"/>
      <c r="N98" s="499"/>
      <c r="O98" s="499"/>
      <c r="P98" s="502"/>
      <c r="Q98" s="502"/>
      <c r="R98" s="502"/>
      <c r="S98" s="502"/>
      <c r="T98" s="502"/>
      <c r="U98" s="502"/>
      <c r="V98" s="502"/>
      <c r="W98" s="502"/>
      <c r="X98" s="500"/>
      <c r="Y98" s="500"/>
      <c r="Z98" s="500"/>
      <c r="AA98" s="500"/>
      <c r="AB98" s="313">
        <f t="shared" si="21"/>
        <v>0</v>
      </c>
      <c r="AC98" s="311">
        <f t="shared" si="22"/>
        <v>0</v>
      </c>
      <c r="AD98" s="312">
        <f t="shared" si="23"/>
        <v>0</v>
      </c>
      <c r="AE98" s="314">
        <f t="shared" si="24"/>
        <v>0</v>
      </c>
      <c r="AF98" s="499"/>
      <c r="AG98" s="499"/>
      <c r="AH98" s="312"/>
      <c r="AI98" s="314"/>
      <c r="AJ98" s="315" t="str">
        <f>'C. Other Revenues'!B205</f>
        <v>C.1</v>
      </c>
      <c r="AK98" s="316">
        <f>'C. Other Revenues'!K206</f>
        <v>0</v>
      </c>
      <c r="AL98" s="311"/>
      <c r="AM98" s="315"/>
      <c r="AN98" s="316"/>
      <c r="AO98" s="317"/>
      <c r="AP98" s="316"/>
      <c r="AQ98" s="309"/>
      <c r="AR98" s="315"/>
      <c r="AS98" s="318"/>
      <c r="AT98" s="508"/>
      <c r="AU98" s="509"/>
      <c r="AV98" s="316">
        <f t="shared" si="19"/>
        <v>0</v>
      </c>
      <c r="AW98" s="316">
        <f t="shared" si="20"/>
        <v>0</v>
      </c>
      <c r="AX98" s="307"/>
      <c r="AY98" s="308"/>
      <c r="AZ98" s="346"/>
      <c r="BA98" s="318"/>
    </row>
    <row r="99" spans="1:53" x14ac:dyDescent="0.2">
      <c r="A99" s="45"/>
      <c r="B99" s="14"/>
      <c r="C99" s="309"/>
      <c r="D99" s="497"/>
      <c r="E99" s="498"/>
      <c r="F99" s="499"/>
      <c r="G99" s="499"/>
      <c r="H99" s="499"/>
      <c r="I99" s="499"/>
      <c r="J99" s="499"/>
      <c r="K99" s="500"/>
      <c r="L99" s="501"/>
      <c r="M99" s="499"/>
      <c r="N99" s="499"/>
      <c r="O99" s="499"/>
      <c r="P99" s="502"/>
      <c r="Q99" s="502"/>
      <c r="R99" s="502"/>
      <c r="S99" s="502"/>
      <c r="T99" s="502"/>
      <c r="U99" s="502"/>
      <c r="V99" s="502"/>
      <c r="W99" s="502"/>
      <c r="X99" s="500"/>
      <c r="Y99" s="500"/>
      <c r="Z99" s="500"/>
      <c r="AA99" s="500"/>
      <c r="AB99" s="313">
        <f t="shared" si="21"/>
        <v>0</v>
      </c>
      <c r="AC99" s="311">
        <f t="shared" si="22"/>
        <v>0</v>
      </c>
      <c r="AD99" s="312">
        <f t="shared" si="23"/>
        <v>0</v>
      </c>
      <c r="AE99" s="314">
        <f t="shared" si="24"/>
        <v>0</v>
      </c>
      <c r="AF99" s="499"/>
      <c r="AG99" s="499"/>
      <c r="AH99" s="312"/>
      <c r="AI99" s="314"/>
      <c r="AJ99" s="315"/>
      <c r="AK99" s="316"/>
      <c r="AL99" s="311"/>
      <c r="AM99" s="315"/>
      <c r="AN99" s="316"/>
      <c r="AO99" s="317"/>
      <c r="AP99" s="316"/>
      <c r="AQ99" s="309"/>
      <c r="AR99" s="315"/>
      <c r="AS99" s="318"/>
      <c r="AT99" s="508"/>
      <c r="AU99" s="509"/>
      <c r="AV99" s="316">
        <f t="shared" si="19"/>
        <v>0</v>
      </c>
      <c r="AW99" s="316">
        <f t="shared" si="20"/>
        <v>0</v>
      </c>
      <c r="AX99" s="307"/>
      <c r="AY99" s="308"/>
      <c r="AZ99" s="346"/>
      <c r="BA99" s="318"/>
    </row>
    <row r="100" spans="1:53" x14ac:dyDescent="0.2">
      <c r="C100" s="38"/>
      <c r="K100" s="38"/>
      <c r="AJ100" s="272"/>
      <c r="AN100" s="73"/>
      <c r="AO100" s="272"/>
      <c r="AZ100" s="351"/>
      <c r="BA100" s="255"/>
    </row>
    <row r="101" spans="1:53" x14ac:dyDescent="0.2">
      <c r="A101" s="45"/>
      <c r="B101" s="14"/>
      <c r="C101" s="38" t="s">
        <v>753</v>
      </c>
      <c r="D101" s="489"/>
      <c r="E101" s="490"/>
      <c r="F101" s="485"/>
      <c r="G101" s="485"/>
      <c r="H101" s="485"/>
      <c r="I101" s="485"/>
      <c r="J101" s="485"/>
      <c r="K101" s="486"/>
      <c r="L101" s="487"/>
      <c r="M101" s="485"/>
      <c r="N101" s="485"/>
      <c r="O101" s="485"/>
      <c r="P101" s="488"/>
      <c r="Q101" s="488"/>
      <c r="R101" s="488"/>
      <c r="S101" s="488"/>
      <c r="T101" s="488"/>
      <c r="U101" s="488"/>
      <c r="V101" s="488"/>
      <c r="W101" s="488"/>
      <c r="X101" s="486"/>
      <c r="Y101" s="486"/>
      <c r="Z101" s="486"/>
      <c r="AA101" s="486"/>
      <c r="AB101" s="34">
        <f t="shared" si="21"/>
        <v>0</v>
      </c>
      <c r="AC101" s="12">
        <f t="shared" si="22"/>
        <v>0</v>
      </c>
      <c r="AD101" s="30">
        <f t="shared" si="23"/>
        <v>0</v>
      </c>
      <c r="AE101" s="25">
        <f t="shared" si="24"/>
        <v>0</v>
      </c>
      <c r="AF101" s="485"/>
      <c r="AG101" s="485"/>
      <c r="AH101" s="30"/>
      <c r="AI101" s="25"/>
      <c r="AJ101" s="272"/>
      <c r="AK101" s="73"/>
      <c r="AL101" s="12"/>
      <c r="AM101" s="272"/>
      <c r="AN101" s="73"/>
      <c r="AO101" s="279"/>
      <c r="AP101" s="73"/>
      <c r="AQ101" s="14"/>
      <c r="AR101" s="272"/>
      <c r="AS101" s="254"/>
      <c r="AT101" s="508"/>
      <c r="AU101" s="509"/>
      <c r="AV101" s="323">
        <f t="shared" si="19"/>
        <v>0</v>
      </c>
      <c r="AW101" s="323">
        <f t="shared" si="20"/>
        <v>0</v>
      </c>
      <c r="AX101" s="45"/>
      <c r="AY101" s="38"/>
      <c r="AZ101" s="345" t="str">
        <f>IF(AV101-AW101&lt;=0," ",AV101-AW101)</f>
        <v xml:space="preserve"> </v>
      </c>
      <c r="BA101" s="254">
        <f>IF(AV101-AW101&gt;0," ",AW101-AV101)</f>
        <v>0</v>
      </c>
    </row>
    <row r="102" spans="1:53" x14ac:dyDescent="0.2">
      <c r="A102" s="45"/>
      <c r="B102" s="14"/>
      <c r="C102" s="14" t="s">
        <v>754</v>
      </c>
      <c r="D102" s="489"/>
      <c r="E102" s="490"/>
      <c r="F102" s="485"/>
      <c r="G102" s="485"/>
      <c r="H102" s="485"/>
      <c r="I102" s="485"/>
      <c r="J102" s="485"/>
      <c r="K102" s="486"/>
      <c r="L102" s="487"/>
      <c r="M102" s="485"/>
      <c r="N102" s="485"/>
      <c r="O102" s="485"/>
      <c r="P102" s="488"/>
      <c r="Q102" s="488"/>
      <c r="R102" s="488"/>
      <c r="S102" s="488"/>
      <c r="T102" s="488"/>
      <c r="U102" s="488"/>
      <c r="V102" s="488"/>
      <c r="W102" s="488"/>
      <c r="X102" s="486"/>
      <c r="Y102" s="486"/>
      <c r="Z102" s="486"/>
      <c r="AA102" s="486"/>
      <c r="AB102" s="34">
        <f t="shared" si="21"/>
        <v>0</v>
      </c>
      <c r="AC102" s="12">
        <f t="shared" si="22"/>
        <v>0</v>
      </c>
      <c r="AD102" s="30">
        <f t="shared" si="23"/>
        <v>0</v>
      </c>
      <c r="AE102" s="25">
        <f t="shared" si="24"/>
        <v>0</v>
      </c>
      <c r="AF102" s="485"/>
      <c r="AG102" s="485"/>
      <c r="AH102" s="30"/>
      <c r="AI102" s="25"/>
      <c r="AJ102" s="272"/>
      <c r="AK102" s="73"/>
      <c r="AL102" s="12"/>
      <c r="AM102" s="272"/>
      <c r="AN102" s="73"/>
      <c r="AO102" s="279"/>
      <c r="AP102" s="73"/>
      <c r="AQ102" s="14"/>
      <c r="AR102" s="272"/>
      <c r="AS102" s="254"/>
      <c r="AT102" s="508"/>
      <c r="AU102" s="509"/>
      <c r="AV102" s="323">
        <f t="shared" si="19"/>
        <v>0</v>
      </c>
      <c r="AW102" s="323">
        <f t="shared" si="20"/>
        <v>0</v>
      </c>
      <c r="AX102" s="45"/>
      <c r="AY102" s="38"/>
      <c r="AZ102" s="345" t="str">
        <f>IF(AV102-AW102&lt;=0," ",AV102-AW102)</f>
        <v xml:space="preserve"> </v>
      </c>
      <c r="BA102" s="254">
        <f>IF(AV102-AW102&gt;0," ",AW102-AV102)</f>
        <v>0</v>
      </c>
    </row>
    <row r="103" spans="1:53" x14ac:dyDescent="0.2">
      <c r="A103" s="45"/>
      <c r="B103" s="14"/>
      <c r="C103" s="14" t="s">
        <v>119</v>
      </c>
      <c r="D103" s="489"/>
      <c r="E103" s="490"/>
      <c r="F103" s="485"/>
      <c r="G103" s="485"/>
      <c r="H103" s="485"/>
      <c r="I103" s="485"/>
      <c r="J103" s="485"/>
      <c r="K103" s="486"/>
      <c r="L103" s="487"/>
      <c r="M103" s="485"/>
      <c r="N103" s="485"/>
      <c r="O103" s="485"/>
      <c r="P103" s="488"/>
      <c r="Q103" s="488"/>
      <c r="R103" s="488"/>
      <c r="S103" s="488"/>
      <c r="T103" s="488"/>
      <c r="U103" s="488"/>
      <c r="V103" s="488"/>
      <c r="W103" s="488"/>
      <c r="X103" s="486"/>
      <c r="Y103" s="486"/>
      <c r="Z103" s="486"/>
      <c r="AA103" s="486"/>
      <c r="AB103" s="34">
        <f t="shared" si="21"/>
        <v>0</v>
      </c>
      <c r="AC103" s="12">
        <f t="shared" si="22"/>
        <v>0</v>
      </c>
      <c r="AD103" s="30">
        <f t="shared" si="23"/>
        <v>0</v>
      </c>
      <c r="AE103" s="25">
        <f t="shared" si="24"/>
        <v>0</v>
      </c>
      <c r="AF103" s="485"/>
      <c r="AG103" s="485"/>
      <c r="AH103" s="30"/>
      <c r="AI103" s="25"/>
      <c r="AJ103" s="272"/>
      <c r="AK103" s="73"/>
      <c r="AL103" s="12"/>
      <c r="AM103" s="272"/>
      <c r="AN103" s="73"/>
      <c r="AO103" s="279"/>
      <c r="AP103" s="73"/>
      <c r="AQ103" s="14"/>
      <c r="AR103" s="272" t="str">
        <f>'L. Eliminations-Consolidations'!A212</f>
        <v>L.4</v>
      </c>
      <c r="AS103" s="254">
        <f>'L. Eliminations-Consolidations'!L215</f>
        <v>0</v>
      </c>
      <c r="AT103" s="508"/>
      <c r="AU103" s="509"/>
      <c r="AV103" s="323">
        <f t="shared" si="19"/>
        <v>0</v>
      </c>
      <c r="AW103" s="323">
        <f t="shared" si="20"/>
        <v>0</v>
      </c>
      <c r="AX103" s="45"/>
      <c r="AY103" s="38"/>
      <c r="AZ103" s="345" t="str">
        <f>IF(AV103-AW103&lt;=0," ",AV103-AW103)</f>
        <v xml:space="preserve"> </v>
      </c>
      <c r="BA103" s="254">
        <f>IF(AV103-AW103&gt;0," ",AW103-AV103)</f>
        <v>0</v>
      </c>
    </row>
    <row r="104" spans="1:53" x14ac:dyDescent="0.2">
      <c r="A104" s="45"/>
      <c r="B104" s="14"/>
      <c r="C104" s="14" t="s">
        <v>755</v>
      </c>
      <c r="D104" s="489"/>
      <c r="E104" s="490"/>
      <c r="F104" s="485"/>
      <c r="G104" s="485"/>
      <c r="H104" s="485"/>
      <c r="I104" s="485"/>
      <c r="J104" s="485"/>
      <c r="K104" s="486"/>
      <c r="L104" s="487"/>
      <c r="M104" s="485"/>
      <c r="N104" s="485"/>
      <c r="O104" s="485"/>
      <c r="P104" s="488"/>
      <c r="Q104" s="488"/>
      <c r="R104" s="488"/>
      <c r="S104" s="488"/>
      <c r="T104" s="488"/>
      <c r="U104" s="488"/>
      <c r="V104" s="488"/>
      <c r="W104" s="488"/>
      <c r="X104" s="486"/>
      <c r="Y104" s="486"/>
      <c r="Z104" s="486"/>
      <c r="AA104" s="486"/>
      <c r="AB104" s="34">
        <f t="shared" si="21"/>
        <v>0</v>
      </c>
      <c r="AC104" s="12">
        <f t="shared" si="22"/>
        <v>0</v>
      </c>
      <c r="AD104" s="30">
        <f t="shared" si="23"/>
        <v>0</v>
      </c>
      <c r="AE104" s="25">
        <f t="shared" si="24"/>
        <v>0</v>
      </c>
      <c r="AF104" s="485"/>
      <c r="AG104" s="485"/>
      <c r="AH104" s="30"/>
      <c r="AI104" s="25"/>
      <c r="AJ104" s="272"/>
      <c r="AK104" s="73"/>
      <c r="AL104" s="12"/>
      <c r="AM104" s="272"/>
      <c r="AN104" s="73"/>
      <c r="AO104" s="279"/>
      <c r="AP104" s="73"/>
      <c r="AQ104" s="14"/>
      <c r="AR104" s="272"/>
      <c r="AS104" s="254"/>
      <c r="AT104" s="508"/>
      <c r="AU104" s="509"/>
      <c r="AV104" s="323">
        <f t="shared" si="19"/>
        <v>0</v>
      </c>
      <c r="AW104" s="323">
        <f t="shared" si="20"/>
        <v>0</v>
      </c>
      <c r="AX104" s="45"/>
      <c r="AY104" s="38"/>
      <c r="AZ104" s="345" t="str">
        <f>IF(AV104-AW104&lt;=0," ",AV104-AW104)</f>
        <v xml:space="preserve"> </v>
      </c>
      <c r="BA104" s="254">
        <f>IF(AV104-AW104&gt;0," ",AW104-AV104)</f>
        <v>0</v>
      </c>
    </row>
    <row r="105" spans="1:53" x14ac:dyDescent="0.2">
      <c r="A105" s="45"/>
      <c r="B105" s="14"/>
      <c r="C105" s="309" t="s">
        <v>195</v>
      </c>
      <c r="D105" s="497"/>
      <c r="E105" s="498"/>
      <c r="F105" s="499"/>
      <c r="G105" s="499"/>
      <c r="H105" s="499"/>
      <c r="I105" s="499"/>
      <c r="J105" s="499"/>
      <c r="K105" s="500"/>
      <c r="L105" s="501"/>
      <c r="M105" s="499"/>
      <c r="N105" s="499"/>
      <c r="O105" s="499"/>
      <c r="P105" s="502"/>
      <c r="Q105" s="502"/>
      <c r="R105" s="502"/>
      <c r="S105" s="502"/>
      <c r="T105" s="502"/>
      <c r="U105" s="502"/>
      <c r="V105" s="502"/>
      <c r="W105" s="502"/>
      <c r="X105" s="500"/>
      <c r="Y105" s="500"/>
      <c r="Z105" s="500"/>
      <c r="AA105" s="500"/>
      <c r="AB105" s="313">
        <f t="shared" si="21"/>
        <v>0</v>
      </c>
      <c r="AC105" s="311">
        <f t="shared" si="22"/>
        <v>0</v>
      </c>
      <c r="AD105" s="312">
        <f t="shared" si="23"/>
        <v>0</v>
      </c>
      <c r="AE105" s="314">
        <f t="shared" si="24"/>
        <v>0</v>
      </c>
      <c r="AF105" s="499"/>
      <c r="AG105" s="499"/>
      <c r="AH105" s="312"/>
      <c r="AI105" s="314"/>
      <c r="AJ105" s="315"/>
      <c r="AK105" s="316"/>
      <c r="AL105" s="311"/>
      <c r="AM105" s="315"/>
      <c r="AN105" s="316"/>
      <c r="AO105" s="317" t="str">
        <f>'L. Eliminations-Consolidations'!A201</f>
        <v>L.2</v>
      </c>
      <c r="AP105" s="316">
        <f>'L. Eliminations-Consolidations'!J202</f>
        <v>0</v>
      </c>
      <c r="AQ105" s="309"/>
      <c r="AR105" s="463" t="s">
        <v>682</v>
      </c>
      <c r="AS105" s="318">
        <f>'K.1  Int. Service Fd Allocation'!G186+'K.2  Int. Service Fd Alloca'!G179+'K.3 Int. Service Fd Alloca'!G179</f>
        <v>0</v>
      </c>
      <c r="AT105" s="508"/>
      <c r="AU105" s="509"/>
      <c r="AV105" s="316">
        <f t="shared" si="19"/>
        <v>0</v>
      </c>
      <c r="AW105" s="316">
        <f t="shared" si="20"/>
        <v>0</v>
      </c>
      <c r="AX105" s="307"/>
      <c r="AY105" s="308"/>
      <c r="AZ105" s="346" t="str">
        <f>IF((AV105+AV106)-(AW105+AW106)&lt;=0," ",(AV105+AV106)-(AW105+AW106))</f>
        <v xml:space="preserve"> </v>
      </c>
      <c r="BA105" s="318">
        <f>IF((AV105+AV106)-(AW105+AW106)&gt;0," ",(AW105+AW106)-(AV105+AV106))</f>
        <v>0</v>
      </c>
    </row>
    <row r="106" spans="1:53" x14ac:dyDescent="0.2">
      <c r="A106" s="45"/>
      <c r="B106" s="14"/>
      <c r="C106" s="309"/>
      <c r="D106" s="497"/>
      <c r="E106" s="498"/>
      <c r="F106" s="499"/>
      <c r="G106" s="499"/>
      <c r="H106" s="499"/>
      <c r="I106" s="499"/>
      <c r="J106" s="499"/>
      <c r="K106" s="500"/>
      <c r="L106" s="501"/>
      <c r="M106" s="499"/>
      <c r="N106" s="499"/>
      <c r="O106" s="499"/>
      <c r="P106" s="502"/>
      <c r="Q106" s="502"/>
      <c r="R106" s="502"/>
      <c r="S106" s="502"/>
      <c r="T106" s="502"/>
      <c r="U106" s="502"/>
      <c r="V106" s="502"/>
      <c r="W106" s="502"/>
      <c r="X106" s="500"/>
      <c r="Y106" s="500"/>
      <c r="Z106" s="500"/>
      <c r="AA106" s="500"/>
      <c r="AB106" s="313">
        <f t="shared" si="21"/>
        <v>0</v>
      </c>
      <c r="AC106" s="311">
        <f t="shared" si="22"/>
        <v>0</v>
      </c>
      <c r="AD106" s="312">
        <f t="shared" si="23"/>
        <v>0</v>
      </c>
      <c r="AE106" s="314">
        <f t="shared" si="24"/>
        <v>0</v>
      </c>
      <c r="AF106" s="499"/>
      <c r="AG106" s="499"/>
      <c r="AH106" s="312"/>
      <c r="AI106" s="314"/>
      <c r="AJ106" s="315"/>
      <c r="AK106" s="316"/>
      <c r="AL106" s="311"/>
      <c r="AM106" s="315"/>
      <c r="AN106" s="316"/>
      <c r="AO106" s="317" t="str">
        <f>'L. Eliminations-Consolidations'!A206</f>
        <v>L.3</v>
      </c>
      <c r="AP106" s="316">
        <f>'L. Eliminations-Consolidations'!J206</f>
        <v>0</v>
      </c>
      <c r="AQ106" s="309"/>
      <c r="AR106" s="315"/>
      <c r="AS106" s="318"/>
      <c r="AT106" s="508"/>
      <c r="AU106" s="509"/>
      <c r="AV106" s="316">
        <f t="shared" si="19"/>
        <v>0</v>
      </c>
      <c r="AW106" s="316">
        <f t="shared" si="20"/>
        <v>0</v>
      </c>
      <c r="AX106" s="307"/>
      <c r="AY106" s="308"/>
      <c r="AZ106" s="346"/>
      <c r="BA106" s="318"/>
    </row>
    <row r="107" spans="1:53" s="13" customFormat="1" x14ac:dyDescent="0.2">
      <c r="A107" s="57"/>
      <c r="B107" s="54"/>
      <c r="C107" s="54"/>
      <c r="D107" s="493"/>
      <c r="E107" s="494"/>
      <c r="F107" s="492"/>
      <c r="G107" s="492"/>
      <c r="H107" s="492"/>
      <c r="I107" s="492"/>
      <c r="J107" s="492"/>
      <c r="K107" s="495"/>
      <c r="L107" s="496"/>
      <c r="M107" s="492"/>
      <c r="N107" s="492"/>
      <c r="O107" s="492"/>
      <c r="P107" s="491"/>
      <c r="Q107" s="491"/>
      <c r="R107" s="491"/>
      <c r="S107" s="491"/>
      <c r="T107" s="491"/>
      <c r="U107" s="491"/>
      <c r="V107" s="491"/>
      <c r="W107" s="491"/>
      <c r="X107" s="495"/>
      <c r="Y107" s="495"/>
      <c r="Z107" s="495"/>
      <c r="AA107" s="495"/>
      <c r="AB107" s="34"/>
      <c r="AC107" s="10"/>
      <c r="AD107" s="53"/>
      <c r="AE107" s="55"/>
      <c r="AF107" s="492"/>
      <c r="AG107" s="492"/>
      <c r="AH107" s="53"/>
      <c r="AI107" s="55"/>
      <c r="AJ107" s="273"/>
      <c r="AK107" s="72"/>
      <c r="AL107" s="10"/>
      <c r="AM107" s="273"/>
      <c r="AN107" s="72"/>
      <c r="AO107" s="280"/>
      <c r="AP107" s="72"/>
      <c r="AQ107" s="54"/>
      <c r="AR107" s="273"/>
      <c r="AS107" s="255"/>
      <c r="AT107" s="508"/>
      <c r="AU107" s="509"/>
      <c r="AV107" s="72"/>
      <c r="AW107" s="72"/>
      <c r="AX107" s="57"/>
      <c r="AY107" s="58"/>
      <c r="AZ107" s="351"/>
      <c r="BA107" s="255"/>
    </row>
    <row r="108" spans="1:53" x14ac:dyDescent="0.2">
      <c r="A108" s="45"/>
      <c r="B108" s="14"/>
      <c r="C108" s="309" t="s">
        <v>1024</v>
      </c>
      <c r="D108" s="497"/>
      <c r="E108" s="498"/>
      <c r="F108" s="499"/>
      <c r="G108" s="499"/>
      <c r="H108" s="499"/>
      <c r="I108" s="499"/>
      <c r="J108" s="499"/>
      <c r="K108" s="500"/>
      <c r="L108" s="501"/>
      <c r="M108" s="499"/>
      <c r="N108" s="499"/>
      <c r="O108" s="499"/>
      <c r="P108" s="502"/>
      <c r="Q108" s="502"/>
      <c r="R108" s="502"/>
      <c r="S108" s="502"/>
      <c r="T108" s="502"/>
      <c r="U108" s="502"/>
      <c r="V108" s="502"/>
      <c r="W108" s="502"/>
      <c r="X108" s="500"/>
      <c r="Y108" s="500"/>
      <c r="Z108" s="500"/>
      <c r="AA108" s="500"/>
      <c r="AB108" s="313">
        <f t="shared" si="21"/>
        <v>0</v>
      </c>
      <c r="AC108" s="311">
        <f t="shared" si="22"/>
        <v>0</v>
      </c>
      <c r="AD108" s="312">
        <f t="shared" si="23"/>
        <v>0</v>
      </c>
      <c r="AE108" s="314">
        <f t="shared" si="24"/>
        <v>0</v>
      </c>
      <c r="AF108" s="499"/>
      <c r="AG108" s="499"/>
      <c r="AH108" s="312"/>
      <c r="AI108" s="314"/>
      <c r="AJ108" s="315" t="str">
        <f>'G. Debt Service'!D55</f>
        <v>G.3</v>
      </c>
      <c r="AK108" s="316">
        <f>'G. Debt Service'!L55</f>
        <v>0</v>
      </c>
      <c r="AL108" s="311"/>
      <c r="AM108" s="315" t="str">
        <f>'G. Debt Service'!D52</f>
        <v>G.2</v>
      </c>
      <c r="AN108" s="316">
        <f>'G. Debt Service'!N53</f>
        <v>0</v>
      </c>
      <c r="AO108" s="317"/>
      <c r="AP108" s="316"/>
      <c r="AQ108" s="309"/>
      <c r="AR108" s="315"/>
      <c r="AS108" s="318"/>
      <c r="AT108" s="508"/>
      <c r="AU108" s="509"/>
      <c r="AV108" s="316">
        <f t="shared" ref="AV108:AV130" si="25">AD108+AF108+AH108+AK108+AP108+AT108</f>
        <v>0</v>
      </c>
      <c r="AW108" s="316">
        <f t="shared" ref="AW108:AW159" si="26">AE108+AG108+AI108+AN108+AS108+AU108</f>
        <v>0</v>
      </c>
      <c r="AX108" s="307"/>
      <c r="AY108" s="308"/>
      <c r="AZ108" s="346">
        <f>IF((AV108+AV109)-(AW108-AW109)&lt;=0,0,(AV108+AV109)-(AW108+AW109))</f>
        <v>0</v>
      </c>
      <c r="BA108" s="318">
        <f>IF((AV108+AV109)-(AW108+AW109)&gt;0,0,(AW108+AW109)-(AV108+AV109))</f>
        <v>0</v>
      </c>
    </row>
    <row r="109" spans="1:53" x14ac:dyDescent="0.2">
      <c r="A109" s="45"/>
      <c r="B109" s="14"/>
      <c r="C109" s="309"/>
      <c r="D109" s="497"/>
      <c r="E109" s="498"/>
      <c r="F109" s="499"/>
      <c r="G109" s="499"/>
      <c r="H109" s="499"/>
      <c r="I109" s="499"/>
      <c r="J109" s="499"/>
      <c r="K109" s="500"/>
      <c r="L109" s="501"/>
      <c r="M109" s="499"/>
      <c r="N109" s="499"/>
      <c r="O109" s="499"/>
      <c r="P109" s="502"/>
      <c r="Q109" s="502"/>
      <c r="R109" s="502"/>
      <c r="S109" s="502"/>
      <c r="T109" s="502"/>
      <c r="U109" s="502"/>
      <c r="V109" s="502"/>
      <c r="W109" s="502"/>
      <c r="X109" s="500"/>
      <c r="Y109" s="500"/>
      <c r="Z109" s="500"/>
      <c r="AA109" s="500"/>
      <c r="AB109" s="313"/>
      <c r="AC109" s="311"/>
      <c r="AD109" s="312"/>
      <c r="AE109" s="314"/>
      <c r="AF109" s="499"/>
      <c r="AG109" s="499"/>
      <c r="AH109" s="312"/>
      <c r="AI109" s="314"/>
      <c r="AJ109" s="315"/>
      <c r="AK109" s="316"/>
      <c r="AL109" s="311"/>
      <c r="AM109" s="315" t="s">
        <v>449</v>
      </c>
      <c r="AN109" s="316">
        <f>'G. Debt Service'!N55</f>
        <v>0</v>
      </c>
      <c r="AO109" s="317"/>
      <c r="AP109" s="316"/>
      <c r="AQ109" s="309"/>
      <c r="AR109" s="315"/>
      <c r="AS109" s="318"/>
      <c r="AT109" s="508"/>
      <c r="AU109" s="509"/>
      <c r="AV109" s="316">
        <f t="shared" si="25"/>
        <v>0</v>
      </c>
      <c r="AW109" s="316">
        <f t="shared" si="26"/>
        <v>0</v>
      </c>
      <c r="AX109" s="307"/>
      <c r="AY109" s="308"/>
      <c r="AZ109" s="346"/>
      <c r="BA109" s="318"/>
    </row>
    <row r="110" spans="1:53" x14ac:dyDescent="0.2">
      <c r="A110" s="45"/>
      <c r="B110" s="14"/>
      <c r="C110" s="14" t="s">
        <v>166</v>
      </c>
      <c r="D110" s="489"/>
      <c r="E110" s="490"/>
      <c r="F110" s="485"/>
      <c r="G110" s="485"/>
      <c r="H110" s="485"/>
      <c r="I110" s="485"/>
      <c r="J110" s="485"/>
      <c r="K110" s="486"/>
      <c r="L110" s="487"/>
      <c r="M110" s="485"/>
      <c r="N110" s="485"/>
      <c r="O110" s="485"/>
      <c r="P110" s="488"/>
      <c r="Q110" s="488"/>
      <c r="R110" s="488"/>
      <c r="S110" s="488"/>
      <c r="T110" s="488"/>
      <c r="U110" s="488"/>
      <c r="V110" s="488"/>
      <c r="W110" s="488"/>
      <c r="X110" s="486"/>
      <c r="Y110" s="486"/>
      <c r="Z110" s="486"/>
      <c r="AA110" s="486"/>
      <c r="AB110" s="34">
        <f t="shared" si="21"/>
        <v>0</v>
      </c>
      <c r="AC110" s="12">
        <f t="shared" si="22"/>
        <v>0</v>
      </c>
      <c r="AD110" s="30">
        <f t="shared" si="23"/>
        <v>0</v>
      </c>
      <c r="AE110" s="25">
        <f t="shared" si="24"/>
        <v>0</v>
      </c>
      <c r="AF110" s="485"/>
      <c r="AG110" s="485"/>
      <c r="AH110" s="30"/>
      <c r="AI110" s="25"/>
      <c r="AJ110" s="272"/>
      <c r="AK110" s="73"/>
      <c r="AL110" s="12"/>
      <c r="AM110" s="272"/>
      <c r="AN110" s="73"/>
      <c r="AO110" s="279"/>
      <c r="AP110" s="73"/>
      <c r="AQ110" s="14"/>
      <c r="AR110" s="272" t="str">
        <f>'L. Eliminations-Consolidations'!A222</f>
        <v>L.6</v>
      </c>
      <c r="AS110" s="254">
        <f>'L. Eliminations-Consolidations'!L230</f>
        <v>0</v>
      </c>
      <c r="AT110" s="508"/>
      <c r="AU110" s="509"/>
      <c r="AV110" s="323">
        <f t="shared" si="25"/>
        <v>0</v>
      </c>
      <c r="AW110" s="323">
        <f t="shared" si="26"/>
        <v>0</v>
      </c>
      <c r="AX110" s="45"/>
      <c r="AY110" s="38"/>
      <c r="AZ110" s="345" t="str">
        <f t="shared" ref="AZ110:AZ118" si="27">IF(AV110-AW110&lt;=0," ",AV110-AW110)</f>
        <v xml:space="preserve"> </v>
      </c>
      <c r="BA110" s="254">
        <f t="shared" ref="BA110:BA118" si="28">IF(AV110-AW110&gt;0," ",AW110-AV110)</f>
        <v>0</v>
      </c>
    </row>
    <row r="111" spans="1:53" x14ac:dyDescent="0.2">
      <c r="A111" s="45"/>
      <c r="B111" s="14"/>
      <c r="C111" s="14" t="s">
        <v>308</v>
      </c>
      <c r="D111" s="489"/>
      <c r="E111" s="490"/>
      <c r="F111" s="485"/>
      <c r="G111" s="485"/>
      <c r="H111" s="485"/>
      <c r="I111" s="485"/>
      <c r="J111" s="485"/>
      <c r="K111" s="486"/>
      <c r="L111" s="487"/>
      <c r="M111" s="485"/>
      <c r="N111" s="485"/>
      <c r="O111" s="485"/>
      <c r="P111" s="488"/>
      <c r="Q111" s="488"/>
      <c r="R111" s="488"/>
      <c r="S111" s="488"/>
      <c r="T111" s="488"/>
      <c r="U111" s="488"/>
      <c r="V111" s="488"/>
      <c r="W111" s="488"/>
      <c r="X111" s="486"/>
      <c r="Y111" s="486"/>
      <c r="Z111" s="486"/>
      <c r="AA111" s="486"/>
      <c r="AB111" s="34">
        <f t="shared" si="21"/>
        <v>0</v>
      </c>
      <c r="AC111" s="12">
        <f t="shared" si="22"/>
        <v>0</v>
      </c>
      <c r="AD111" s="30">
        <f t="shared" si="23"/>
        <v>0</v>
      </c>
      <c r="AE111" s="25">
        <f t="shared" si="24"/>
        <v>0</v>
      </c>
      <c r="AF111" s="485"/>
      <c r="AG111" s="485"/>
      <c r="AH111" s="30"/>
      <c r="AI111" s="25"/>
      <c r="AJ111" s="272"/>
      <c r="AK111" s="73"/>
      <c r="AL111" s="12"/>
      <c r="AM111" s="272"/>
      <c r="AN111" s="73"/>
      <c r="AO111" s="279"/>
      <c r="AP111" s="73"/>
      <c r="AQ111" s="14"/>
      <c r="AR111" s="272" t="str">
        <f>'L. Eliminations-Consolidations'!A222</f>
        <v>L.6</v>
      </c>
      <c r="AS111" s="254">
        <f>'L. Eliminations-Consolidations'!L231</f>
        <v>0</v>
      </c>
      <c r="AT111" s="508"/>
      <c r="AU111" s="509"/>
      <c r="AV111" s="323">
        <f t="shared" si="25"/>
        <v>0</v>
      </c>
      <c r="AW111" s="323">
        <f t="shared" si="26"/>
        <v>0</v>
      </c>
      <c r="AX111" s="45"/>
      <c r="AY111" s="38"/>
      <c r="AZ111" s="345" t="str">
        <f t="shared" si="27"/>
        <v xml:space="preserve"> </v>
      </c>
      <c r="BA111" s="255">
        <f t="shared" si="28"/>
        <v>0</v>
      </c>
    </row>
    <row r="112" spans="1:53" x14ac:dyDescent="0.2">
      <c r="A112" s="45"/>
      <c r="B112" s="14"/>
      <c r="C112" s="14" t="s">
        <v>309</v>
      </c>
      <c r="D112" s="489"/>
      <c r="E112" s="490"/>
      <c r="F112" s="485"/>
      <c r="G112" s="485"/>
      <c r="H112" s="485"/>
      <c r="I112" s="485"/>
      <c r="J112" s="485"/>
      <c r="K112" s="486"/>
      <c r="L112" s="487"/>
      <c r="M112" s="485"/>
      <c r="N112" s="485"/>
      <c r="O112" s="485"/>
      <c r="P112" s="488"/>
      <c r="Q112" s="488"/>
      <c r="R112" s="488"/>
      <c r="S112" s="488"/>
      <c r="T112" s="488"/>
      <c r="U112" s="488"/>
      <c r="V112" s="488"/>
      <c r="W112" s="488"/>
      <c r="X112" s="486"/>
      <c r="Y112" s="486"/>
      <c r="Z112" s="486"/>
      <c r="AA112" s="486"/>
      <c r="AB112" s="34">
        <f t="shared" si="21"/>
        <v>0</v>
      </c>
      <c r="AC112" s="12">
        <f t="shared" si="22"/>
        <v>0</v>
      </c>
      <c r="AD112" s="30">
        <f t="shared" si="23"/>
        <v>0</v>
      </c>
      <c r="AE112" s="25">
        <f t="shared" si="24"/>
        <v>0</v>
      </c>
      <c r="AF112" s="485"/>
      <c r="AG112" s="485"/>
      <c r="AH112" s="30"/>
      <c r="AI112" s="25"/>
      <c r="AJ112" s="272"/>
      <c r="AK112" s="73"/>
      <c r="AL112" s="12"/>
      <c r="AM112" s="272"/>
      <c r="AN112" s="73"/>
      <c r="AO112" s="279"/>
      <c r="AP112" s="73"/>
      <c r="AQ112" s="14"/>
      <c r="AR112" s="272" t="str">
        <f>'L. Eliminations-Consolidations'!A222</f>
        <v>L.6</v>
      </c>
      <c r="AS112" s="254">
        <f>'L. Eliminations-Consolidations'!L232</f>
        <v>0</v>
      </c>
      <c r="AT112" s="508"/>
      <c r="AU112" s="509"/>
      <c r="AV112" s="323">
        <f t="shared" si="25"/>
        <v>0</v>
      </c>
      <c r="AW112" s="323">
        <f t="shared" si="26"/>
        <v>0</v>
      </c>
      <c r="AX112" s="45"/>
      <c r="AY112" s="38"/>
      <c r="AZ112" s="345" t="str">
        <f t="shared" si="27"/>
        <v xml:space="preserve"> </v>
      </c>
      <c r="BA112" s="255">
        <f t="shared" si="28"/>
        <v>0</v>
      </c>
    </row>
    <row r="113" spans="1:53" x14ac:dyDescent="0.2">
      <c r="A113" s="45"/>
      <c r="B113" s="14"/>
      <c r="C113" s="14" t="s">
        <v>310</v>
      </c>
      <c r="D113" s="489"/>
      <c r="E113" s="490"/>
      <c r="F113" s="485"/>
      <c r="G113" s="485"/>
      <c r="H113" s="485"/>
      <c r="I113" s="485"/>
      <c r="J113" s="485"/>
      <c r="K113" s="486"/>
      <c r="L113" s="487"/>
      <c r="M113" s="485"/>
      <c r="N113" s="485"/>
      <c r="O113" s="485"/>
      <c r="P113" s="488"/>
      <c r="Q113" s="488"/>
      <c r="R113" s="488"/>
      <c r="S113" s="488"/>
      <c r="T113" s="488"/>
      <c r="U113" s="488"/>
      <c r="V113" s="488"/>
      <c r="W113" s="488"/>
      <c r="X113" s="486"/>
      <c r="Y113" s="486"/>
      <c r="Z113" s="486"/>
      <c r="AA113" s="486"/>
      <c r="AB113" s="34">
        <f t="shared" si="21"/>
        <v>0</v>
      </c>
      <c r="AC113" s="12">
        <f t="shared" si="22"/>
        <v>0</v>
      </c>
      <c r="AD113" s="30">
        <f t="shared" si="23"/>
        <v>0</v>
      </c>
      <c r="AE113" s="25">
        <f t="shared" si="24"/>
        <v>0</v>
      </c>
      <c r="AF113" s="485"/>
      <c r="AG113" s="485"/>
      <c r="AH113" s="30"/>
      <c r="AI113" s="25"/>
      <c r="AJ113" s="272"/>
      <c r="AK113" s="73"/>
      <c r="AL113" s="12"/>
      <c r="AM113" s="272"/>
      <c r="AN113" s="73"/>
      <c r="AO113" s="279"/>
      <c r="AP113" s="73"/>
      <c r="AQ113" s="14"/>
      <c r="AR113" s="272" t="str">
        <f>'L. Eliminations-Consolidations'!A222</f>
        <v>L.6</v>
      </c>
      <c r="AS113" s="254">
        <f>'L. Eliminations-Consolidations'!L233</f>
        <v>0</v>
      </c>
      <c r="AT113" s="508"/>
      <c r="AU113" s="509"/>
      <c r="AV113" s="323">
        <f t="shared" si="25"/>
        <v>0</v>
      </c>
      <c r="AW113" s="323">
        <f t="shared" si="26"/>
        <v>0</v>
      </c>
      <c r="AX113" s="45"/>
      <c r="AY113" s="38"/>
      <c r="AZ113" s="345" t="str">
        <f t="shared" si="27"/>
        <v xml:space="preserve"> </v>
      </c>
      <c r="BA113" s="255">
        <f t="shared" si="28"/>
        <v>0</v>
      </c>
    </row>
    <row r="114" spans="1:53" x14ac:dyDescent="0.2">
      <c r="A114" s="45"/>
      <c r="B114" s="14"/>
      <c r="C114" s="14" t="s">
        <v>311</v>
      </c>
      <c r="D114" s="489"/>
      <c r="E114" s="490"/>
      <c r="F114" s="485"/>
      <c r="G114" s="485"/>
      <c r="H114" s="485"/>
      <c r="I114" s="485"/>
      <c r="J114" s="485"/>
      <c r="K114" s="486"/>
      <c r="L114" s="487"/>
      <c r="M114" s="485"/>
      <c r="N114" s="485"/>
      <c r="O114" s="485"/>
      <c r="P114" s="488"/>
      <c r="Q114" s="488"/>
      <c r="R114" s="488"/>
      <c r="S114" s="488"/>
      <c r="T114" s="488"/>
      <c r="U114" s="488"/>
      <c r="V114" s="488"/>
      <c r="W114" s="488"/>
      <c r="X114" s="486"/>
      <c r="Y114" s="486"/>
      <c r="Z114" s="486"/>
      <c r="AA114" s="486"/>
      <c r="AB114" s="34">
        <f t="shared" si="21"/>
        <v>0</v>
      </c>
      <c r="AC114" s="12">
        <f t="shared" si="22"/>
        <v>0</v>
      </c>
      <c r="AD114" s="30">
        <f t="shared" si="23"/>
        <v>0</v>
      </c>
      <c r="AE114" s="25">
        <f t="shared" si="24"/>
        <v>0</v>
      </c>
      <c r="AF114" s="485"/>
      <c r="AG114" s="485"/>
      <c r="AH114" s="30"/>
      <c r="AI114" s="25"/>
      <c r="AJ114" s="272"/>
      <c r="AK114" s="73"/>
      <c r="AL114" s="12"/>
      <c r="AM114" s="272"/>
      <c r="AN114" s="73"/>
      <c r="AO114" s="279"/>
      <c r="AP114" s="73"/>
      <c r="AQ114" s="14"/>
      <c r="AR114" s="272" t="str">
        <f>'L. Eliminations-Consolidations'!A222</f>
        <v>L.6</v>
      </c>
      <c r="AS114" s="254">
        <f>'L. Eliminations-Consolidations'!L234</f>
        <v>0</v>
      </c>
      <c r="AT114" s="508"/>
      <c r="AU114" s="509"/>
      <c r="AV114" s="323">
        <f t="shared" si="25"/>
        <v>0</v>
      </c>
      <c r="AW114" s="323">
        <f t="shared" si="26"/>
        <v>0</v>
      </c>
      <c r="AX114" s="45"/>
      <c r="AY114" s="38"/>
      <c r="AZ114" s="345" t="str">
        <f t="shared" si="27"/>
        <v xml:space="preserve"> </v>
      </c>
      <c r="BA114" s="255">
        <f t="shared" si="28"/>
        <v>0</v>
      </c>
    </row>
    <row r="115" spans="1:53" x14ac:dyDescent="0.2">
      <c r="A115" s="45"/>
      <c r="B115" s="14"/>
      <c r="C115" s="14" t="s">
        <v>806</v>
      </c>
      <c r="D115" s="489"/>
      <c r="E115" s="490"/>
      <c r="F115" s="485"/>
      <c r="G115" s="485"/>
      <c r="H115" s="485"/>
      <c r="I115" s="485"/>
      <c r="J115" s="485"/>
      <c r="K115" s="486"/>
      <c r="L115" s="487"/>
      <c r="M115" s="485"/>
      <c r="N115" s="485"/>
      <c r="O115" s="485"/>
      <c r="P115" s="488"/>
      <c r="Q115" s="488"/>
      <c r="R115" s="488"/>
      <c r="S115" s="488"/>
      <c r="T115" s="488"/>
      <c r="U115" s="488"/>
      <c r="V115" s="488"/>
      <c r="W115" s="488"/>
      <c r="X115" s="486"/>
      <c r="Y115" s="486"/>
      <c r="Z115" s="486"/>
      <c r="AA115" s="486"/>
      <c r="AB115" s="34">
        <f t="shared" si="21"/>
        <v>0</v>
      </c>
      <c r="AC115" s="12">
        <f t="shared" si="22"/>
        <v>0</v>
      </c>
      <c r="AD115" s="30">
        <f t="shared" si="23"/>
        <v>0</v>
      </c>
      <c r="AE115" s="25">
        <f t="shared" si="24"/>
        <v>0</v>
      </c>
      <c r="AF115" s="485"/>
      <c r="AG115" s="485"/>
      <c r="AH115" s="30"/>
      <c r="AI115" s="25"/>
      <c r="AJ115" s="272"/>
      <c r="AK115" s="73"/>
      <c r="AL115" s="12"/>
      <c r="AM115" s="272"/>
      <c r="AN115" s="73"/>
      <c r="AO115" s="279"/>
      <c r="AP115" s="73"/>
      <c r="AQ115" s="14"/>
      <c r="AR115" s="272" t="str">
        <f>'L. Eliminations-Consolidations'!A222</f>
        <v>L.6</v>
      </c>
      <c r="AS115" s="254">
        <f>'L. Eliminations-Consolidations'!L235</f>
        <v>0</v>
      </c>
      <c r="AT115" s="508"/>
      <c r="AU115" s="509"/>
      <c r="AV115" s="323">
        <f t="shared" si="25"/>
        <v>0</v>
      </c>
      <c r="AW115" s="323">
        <f t="shared" si="26"/>
        <v>0</v>
      </c>
      <c r="AX115" s="45"/>
      <c r="AY115" s="38"/>
      <c r="AZ115" s="345" t="str">
        <f t="shared" si="27"/>
        <v xml:space="preserve"> </v>
      </c>
      <c r="BA115" s="255">
        <f t="shared" si="28"/>
        <v>0</v>
      </c>
    </row>
    <row r="116" spans="1:53" x14ac:dyDescent="0.2">
      <c r="A116" s="45"/>
      <c r="B116" s="14"/>
      <c r="C116" s="486" t="s">
        <v>313</v>
      </c>
      <c r="D116" s="489"/>
      <c r="E116" s="490"/>
      <c r="F116" s="485"/>
      <c r="G116" s="485"/>
      <c r="H116" s="485"/>
      <c r="I116" s="485"/>
      <c r="J116" s="485"/>
      <c r="K116" s="486"/>
      <c r="L116" s="487"/>
      <c r="M116" s="485"/>
      <c r="N116" s="485"/>
      <c r="O116" s="485"/>
      <c r="P116" s="488"/>
      <c r="Q116" s="488"/>
      <c r="R116" s="488"/>
      <c r="S116" s="488"/>
      <c r="T116" s="488"/>
      <c r="U116" s="488"/>
      <c r="V116" s="488"/>
      <c r="W116" s="488"/>
      <c r="X116" s="486"/>
      <c r="Y116" s="486"/>
      <c r="Z116" s="486"/>
      <c r="AA116" s="486"/>
      <c r="AB116" s="34">
        <f t="shared" si="21"/>
        <v>0</v>
      </c>
      <c r="AC116" s="12">
        <f t="shared" si="22"/>
        <v>0</v>
      </c>
      <c r="AD116" s="30">
        <f t="shared" si="23"/>
        <v>0</v>
      </c>
      <c r="AE116" s="25">
        <f t="shared" si="24"/>
        <v>0</v>
      </c>
      <c r="AF116" s="485"/>
      <c r="AG116" s="485"/>
      <c r="AH116" s="30"/>
      <c r="AI116" s="25"/>
      <c r="AJ116" s="272"/>
      <c r="AK116" s="73"/>
      <c r="AL116" s="12"/>
      <c r="AM116" s="272"/>
      <c r="AN116" s="73"/>
      <c r="AO116" s="279"/>
      <c r="AP116" s="73"/>
      <c r="AQ116" s="14"/>
      <c r="AR116" s="272" t="str">
        <f>'L. Eliminations-Consolidations'!A222</f>
        <v>L.6</v>
      </c>
      <c r="AS116" s="254">
        <f>'L. Eliminations-Consolidations'!L236</f>
        <v>0</v>
      </c>
      <c r="AT116" s="508"/>
      <c r="AU116" s="509"/>
      <c r="AV116" s="323">
        <f t="shared" si="25"/>
        <v>0</v>
      </c>
      <c r="AW116" s="323">
        <f t="shared" si="26"/>
        <v>0</v>
      </c>
      <c r="AX116" s="45"/>
      <c r="AY116" s="38"/>
      <c r="AZ116" s="345" t="str">
        <f t="shared" si="27"/>
        <v xml:space="preserve"> </v>
      </c>
      <c r="BA116" s="254">
        <f t="shared" si="28"/>
        <v>0</v>
      </c>
    </row>
    <row r="117" spans="1:53" x14ac:dyDescent="0.2">
      <c r="A117" s="45"/>
      <c r="B117" s="14"/>
      <c r="C117" s="486" t="s">
        <v>312</v>
      </c>
      <c r="D117" s="489"/>
      <c r="E117" s="490"/>
      <c r="F117" s="485"/>
      <c r="G117" s="485"/>
      <c r="H117" s="485"/>
      <c r="I117" s="485"/>
      <c r="J117" s="485"/>
      <c r="K117" s="486"/>
      <c r="L117" s="487"/>
      <c r="M117" s="485"/>
      <c r="N117" s="485"/>
      <c r="O117" s="485"/>
      <c r="P117" s="488"/>
      <c r="Q117" s="488"/>
      <c r="R117" s="488"/>
      <c r="S117" s="488"/>
      <c r="T117" s="488"/>
      <c r="U117" s="488"/>
      <c r="V117" s="488"/>
      <c r="W117" s="488"/>
      <c r="X117" s="486"/>
      <c r="Y117" s="486"/>
      <c r="Z117" s="486"/>
      <c r="AA117" s="486"/>
      <c r="AB117" s="34">
        <f t="shared" si="21"/>
        <v>0</v>
      </c>
      <c r="AC117" s="12">
        <f t="shared" si="22"/>
        <v>0</v>
      </c>
      <c r="AD117" s="30">
        <f t="shared" si="23"/>
        <v>0</v>
      </c>
      <c r="AE117" s="25">
        <f t="shared" si="24"/>
        <v>0</v>
      </c>
      <c r="AF117" s="485"/>
      <c r="AG117" s="485"/>
      <c r="AH117" s="30"/>
      <c r="AI117" s="25"/>
      <c r="AJ117" s="272"/>
      <c r="AK117" s="73"/>
      <c r="AL117" s="12"/>
      <c r="AM117" s="272"/>
      <c r="AN117" s="73"/>
      <c r="AO117" s="279"/>
      <c r="AP117" s="73"/>
      <c r="AQ117" s="14"/>
      <c r="AR117" s="272" t="str">
        <f>'L. Eliminations-Consolidations'!A222</f>
        <v>L.6</v>
      </c>
      <c r="AS117" s="254">
        <f>'L. Eliminations-Consolidations'!L237</f>
        <v>0</v>
      </c>
      <c r="AT117" s="508"/>
      <c r="AU117" s="509"/>
      <c r="AV117" s="323">
        <f t="shared" si="25"/>
        <v>0</v>
      </c>
      <c r="AW117" s="323">
        <f t="shared" si="26"/>
        <v>0</v>
      </c>
      <c r="AX117" s="45"/>
      <c r="AY117" s="38"/>
      <c r="AZ117" s="345" t="str">
        <f t="shared" si="27"/>
        <v xml:space="preserve"> </v>
      </c>
      <c r="BA117" s="254">
        <f t="shared" si="28"/>
        <v>0</v>
      </c>
    </row>
    <row r="118" spans="1:53" x14ac:dyDescent="0.2">
      <c r="A118" s="45"/>
      <c r="B118" s="14"/>
      <c r="C118" s="54" t="s">
        <v>494</v>
      </c>
      <c r="D118" s="489"/>
      <c r="E118" s="490"/>
      <c r="F118" s="485"/>
      <c r="G118" s="485"/>
      <c r="H118" s="485"/>
      <c r="I118" s="485"/>
      <c r="J118" s="485"/>
      <c r="K118" s="486"/>
      <c r="L118" s="487"/>
      <c r="M118" s="485"/>
      <c r="N118" s="485"/>
      <c r="O118" s="485"/>
      <c r="P118" s="488"/>
      <c r="Q118" s="488"/>
      <c r="R118" s="488"/>
      <c r="S118" s="488"/>
      <c r="T118" s="488"/>
      <c r="U118" s="488"/>
      <c r="V118" s="488"/>
      <c r="W118" s="488"/>
      <c r="X118" s="486"/>
      <c r="Y118" s="486"/>
      <c r="Z118" s="486"/>
      <c r="AA118" s="486"/>
      <c r="AB118" s="34">
        <f t="shared" si="21"/>
        <v>0</v>
      </c>
      <c r="AC118" s="12">
        <f t="shared" si="22"/>
        <v>0</v>
      </c>
      <c r="AD118" s="30">
        <f t="shared" si="23"/>
        <v>0</v>
      </c>
      <c r="AE118" s="25">
        <f t="shared" si="24"/>
        <v>0</v>
      </c>
      <c r="AF118" s="485"/>
      <c r="AG118" s="485"/>
      <c r="AH118" s="30"/>
      <c r="AI118" s="25"/>
      <c r="AJ118" s="272"/>
      <c r="AK118" s="73"/>
      <c r="AL118" s="12"/>
      <c r="AM118" s="272"/>
      <c r="AN118" s="73"/>
      <c r="AO118" s="279"/>
      <c r="AP118" s="73"/>
      <c r="AQ118" s="14"/>
      <c r="AR118" s="272"/>
      <c r="AS118" s="254"/>
      <c r="AT118" s="508"/>
      <c r="AU118" s="509"/>
      <c r="AV118" s="323">
        <f t="shared" si="25"/>
        <v>0</v>
      </c>
      <c r="AW118" s="323">
        <f t="shared" si="26"/>
        <v>0</v>
      </c>
      <c r="AX118" s="45"/>
      <c r="AY118" s="38"/>
      <c r="AZ118" s="345" t="str">
        <f t="shared" si="27"/>
        <v xml:space="preserve"> </v>
      </c>
      <c r="BA118" s="254">
        <f t="shared" si="28"/>
        <v>0</v>
      </c>
    </row>
    <row r="119" spans="1:53" x14ac:dyDescent="0.2">
      <c r="A119" s="45"/>
      <c r="B119" s="378"/>
      <c r="C119" s="309" t="s">
        <v>756</v>
      </c>
      <c r="D119" s="497"/>
      <c r="E119" s="498"/>
      <c r="F119" s="499"/>
      <c r="G119" s="499"/>
      <c r="H119" s="499"/>
      <c r="I119" s="499"/>
      <c r="J119" s="499"/>
      <c r="K119" s="500"/>
      <c r="L119" s="501"/>
      <c r="M119" s="499"/>
      <c r="N119" s="499"/>
      <c r="O119" s="499"/>
      <c r="P119" s="502"/>
      <c r="Q119" s="502"/>
      <c r="R119" s="502"/>
      <c r="S119" s="502"/>
      <c r="T119" s="502"/>
      <c r="U119" s="502"/>
      <c r="V119" s="502"/>
      <c r="W119" s="502"/>
      <c r="X119" s="500"/>
      <c r="Y119" s="500"/>
      <c r="Z119" s="500"/>
      <c r="AA119" s="500"/>
      <c r="AB119" s="313">
        <f t="shared" si="21"/>
        <v>0</v>
      </c>
      <c r="AC119" s="311">
        <f t="shared" si="22"/>
        <v>0</v>
      </c>
      <c r="AD119" s="312">
        <f t="shared" si="23"/>
        <v>0</v>
      </c>
      <c r="AE119" s="314">
        <f t="shared" si="24"/>
        <v>0</v>
      </c>
      <c r="AF119" s="499"/>
      <c r="AG119" s="499"/>
      <c r="AH119" s="312"/>
      <c r="AI119" s="314"/>
      <c r="AJ119" s="315" t="str">
        <f>'G. Debt Service'!D46</f>
        <v>G.1</v>
      </c>
      <c r="AK119" s="316">
        <f>'G. Debt Service'!L46</f>
        <v>0</v>
      </c>
      <c r="AL119" s="311"/>
      <c r="AM119" s="315"/>
      <c r="AN119" s="316"/>
      <c r="AO119" s="317" t="str">
        <f>'L. Eliminations-Consolidations'!A222</f>
        <v>L.6</v>
      </c>
      <c r="AP119" s="316">
        <f>'L. Eliminations-Consolidations'!J224</f>
        <v>0</v>
      </c>
      <c r="AQ119" s="309"/>
      <c r="AR119" s="315"/>
      <c r="AS119" s="318"/>
      <c r="AT119" s="508"/>
      <c r="AU119" s="509"/>
      <c r="AV119" s="316">
        <f t="shared" si="25"/>
        <v>0</v>
      </c>
      <c r="AW119" s="316">
        <f t="shared" si="26"/>
        <v>0</v>
      </c>
      <c r="AX119" s="307"/>
      <c r="AY119" s="308"/>
      <c r="AZ119" s="346" t="str">
        <f>IF((AV119+AV120)-(AW119+AW120)&lt;=0," ",(AV119+AV120)-(AW119+AW120))</f>
        <v xml:space="preserve"> </v>
      </c>
      <c r="BA119" s="1107">
        <f>IF((AV119+AV120)-(AW119+AW120)&gt;0," ",(AW119+AW120)-(AV119+AV120))</f>
        <v>0</v>
      </c>
    </row>
    <row r="120" spans="1:53" x14ac:dyDescent="0.2">
      <c r="A120" s="45"/>
      <c r="B120" s="378"/>
      <c r="C120" s="309"/>
      <c r="D120" s="497"/>
      <c r="E120" s="498"/>
      <c r="F120" s="499"/>
      <c r="G120" s="499"/>
      <c r="H120" s="499"/>
      <c r="I120" s="499"/>
      <c r="J120" s="499"/>
      <c r="K120" s="500"/>
      <c r="L120" s="501"/>
      <c r="M120" s="499"/>
      <c r="N120" s="499"/>
      <c r="O120" s="499"/>
      <c r="P120" s="502"/>
      <c r="Q120" s="502"/>
      <c r="R120" s="502"/>
      <c r="S120" s="502"/>
      <c r="T120" s="502"/>
      <c r="U120" s="502"/>
      <c r="V120" s="502"/>
      <c r="W120" s="502"/>
      <c r="X120" s="500"/>
      <c r="Y120" s="500"/>
      <c r="Z120" s="500"/>
      <c r="AA120" s="500"/>
      <c r="AB120" s="313">
        <f t="shared" si="21"/>
        <v>0</v>
      </c>
      <c r="AC120" s="311">
        <f t="shared" si="22"/>
        <v>0</v>
      </c>
      <c r="AD120" s="312">
        <f t="shared" si="23"/>
        <v>0</v>
      </c>
      <c r="AE120" s="314">
        <f t="shared" si="24"/>
        <v>0</v>
      </c>
      <c r="AF120" s="499"/>
      <c r="AG120" s="499"/>
      <c r="AH120" s="312"/>
      <c r="AI120" s="314"/>
      <c r="AJ120" s="315" t="str">
        <f>'H. Debt Issues'!D77</f>
        <v>H.1</v>
      </c>
      <c r="AK120" s="316">
        <f>'H. Debt Issues'!L92</f>
        <v>0</v>
      </c>
      <c r="AL120" s="311"/>
      <c r="AM120" s="315" t="str">
        <f>'H. Debt Issues'!D77</f>
        <v>H.1</v>
      </c>
      <c r="AN120" s="316">
        <f>'H. Debt Issues'!N92</f>
        <v>0</v>
      </c>
      <c r="AO120" s="317"/>
      <c r="AP120" s="316"/>
      <c r="AQ120" s="309"/>
      <c r="AR120" s="315"/>
      <c r="AS120" s="318"/>
      <c r="AT120" s="508"/>
      <c r="AU120" s="509"/>
      <c r="AV120" s="316">
        <f t="shared" si="25"/>
        <v>0</v>
      </c>
      <c r="AW120" s="316">
        <f t="shared" si="26"/>
        <v>0</v>
      </c>
      <c r="AX120" s="307"/>
      <c r="AY120" s="308"/>
      <c r="AZ120" s="346"/>
      <c r="BA120" s="1107"/>
    </row>
    <row r="121" spans="1:53" x14ac:dyDescent="0.2">
      <c r="A121" s="45"/>
      <c r="B121" s="378"/>
      <c r="C121" s="54" t="s">
        <v>864</v>
      </c>
      <c r="D121" s="489"/>
      <c r="E121" s="490"/>
      <c r="F121" s="485"/>
      <c r="G121" s="485"/>
      <c r="H121" s="485"/>
      <c r="I121" s="485"/>
      <c r="J121" s="485"/>
      <c r="K121" s="486"/>
      <c r="L121" s="487"/>
      <c r="M121" s="485"/>
      <c r="N121" s="485"/>
      <c r="O121" s="485"/>
      <c r="P121" s="488"/>
      <c r="Q121" s="488"/>
      <c r="R121" s="488"/>
      <c r="S121" s="488"/>
      <c r="T121" s="488"/>
      <c r="U121" s="488"/>
      <c r="V121" s="488"/>
      <c r="W121" s="488"/>
      <c r="X121" s="486"/>
      <c r="Y121" s="486"/>
      <c r="Z121" s="486"/>
      <c r="AA121" s="486"/>
      <c r="AB121" s="34">
        <f t="shared" si="21"/>
        <v>0</v>
      </c>
      <c r="AC121" s="12">
        <f t="shared" si="22"/>
        <v>0</v>
      </c>
      <c r="AD121" s="30">
        <f t="shared" si="23"/>
        <v>0</v>
      </c>
      <c r="AE121" s="25">
        <f t="shared" si="24"/>
        <v>0</v>
      </c>
      <c r="AF121" s="485"/>
      <c r="AG121" s="485"/>
      <c r="AH121" s="30"/>
      <c r="AI121" s="25"/>
      <c r="AJ121" s="272" t="str">
        <f>'H. Debt Issues'!D77</f>
        <v>H.1</v>
      </c>
      <c r="AK121" s="73">
        <f>'H. Debt Issues'!L91</f>
        <v>0</v>
      </c>
      <c r="AL121" s="12"/>
      <c r="AM121" s="272" t="str">
        <f>'H. Debt Issues'!D77</f>
        <v>H.1</v>
      </c>
      <c r="AN121" s="73">
        <f>'H. Debt Issues'!N91</f>
        <v>0</v>
      </c>
      <c r="AO121" s="279"/>
      <c r="AP121" s="73"/>
      <c r="AQ121" s="14"/>
      <c r="AR121" s="272"/>
      <c r="AS121" s="254"/>
      <c r="AT121" s="508"/>
      <c r="AU121" s="509"/>
      <c r="AV121" s="323">
        <f t="shared" si="25"/>
        <v>0</v>
      </c>
      <c r="AW121" s="323">
        <f t="shared" si="26"/>
        <v>0</v>
      </c>
      <c r="AX121" s="45"/>
      <c r="AY121" s="38"/>
      <c r="AZ121" s="345" t="str">
        <f t="shared" ref="AZ121:AZ130" si="29">IF(AV121-AW121&lt;=0," ",AV121-AW121)</f>
        <v xml:space="preserve"> </v>
      </c>
      <c r="BA121" s="255">
        <f t="shared" ref="BA121:BA131" si="30">IF(AV121-AW121&gt;0," ",AW121-AV121)</f>
        <v>0</v>
      </c>
    </row>
    <row r="122" spans="1:53" x14ac:dyDescent="0.2">
      <c r="A122" s="45"/>
      <c r="B122" s="378"/>
      <c r="C122" s="54" t="s">
        <v>351</v>
      </c>
      <c r="D122" s="489"/>
      <c r="E122" s="490"/>
      <c r="F122" s="485"/>
      <c r="G122" s="485"/>
      <c r="H122" s="485"/>
      <c r="I122" s="485"/>
      <c r="J122" s="485"/>
      <c r="K122" s="486"/>
      <c r="L122" s="487"/>
      <c r="M122" s="485"/>
      <c r="N122" s="485"/>
      <c r="O122" s="485"/>
      <c r="P122" s="488"/>
      <c r="Q122" s="488"/>
      <c r="R122" s="488"/>
      <c r="S122" s="488"/>
      <c r="T122" s="488"/>
      <c r="U122" s="488"/>
      <c r="V122" s="488"/>
      <c r="W122" s="488"/>
      <c r="X122" s="486"/>
      <c r="Y122" s="486"/>
      <c r="Z122" s="486"/>
      <c r="AA122" s="486"/>
      <c r="AB122" s="34">
        <f t="shared" si="21"/>
        <v>0</v>
      </c>
      <c r="AC122" s="12">
        <f t="shared" si="22"/>
        <v>0</v>
      </c>
      <c r="AD122" s="30">
        <f t="shared" si="23"/>
        <v>0</v>
      </c>
      <c r="AE122" s="25">
        <f t="shared" si="24"/>
        <v>0</v>
      </c>
      <c r="AF122" s="485"/>
      <c r="AG122" s="485"/>
      <c r="AH122" s="30"/>
      <c r="AI122" s="25"/>
      <c r="AJ122" s="272" t="str">
        <f>'H. Debt Issues'!D77</f>
        <v>H.1</v>
      </c>
      <c r="AK122" s="73">
        <f>'H. Debt Issues'!L81</f>
        <v>0</v>
      </c>
      <c r="AL122" s="12"/>
      <c r="AM122" s="272" t="str">
        <f>'H. Debt Issues'!D77</f>
        <v>H.1</v>
      </c>
      <c r="AN122" s="73">
        <f>'H. Debt Issues'!N81</f>
        <v>0</v>
      </c>
      <c r="AO122" s="279"/>
      <c r="AP122" s="73"/>
      <c r="AQ122" s="14"/>
      <c r="AR122" s="272"/>
      <c r="AS122" s="254"/>
      <c r="AT122" s="508"/>
      <c r="AU122" s="509"/>
      <c r="AV122" s="323">
        <f t="shared" si="25"/>
        <v>0</v>
      </c>
      <c r="AW122" s="323">
        <f t="shared" si="26"/>
        <v>0</v>
      </c>
      <c r="AX122" s="45"/>
      <c r="AY122" s="38"/>
      <c r="AZ122" s="345" t="str">
        <f t="shared" si="29"/>
        <v xml:space="preserve"> </v>
      </c>
      <c r="BA122" s="255">
        <f t="shared" si="30"/>
        <v>0</v>
      </c>
    </row>
    <row r="123" spans="1:53" x14ac:dyDescent="0.2">
      <c r="A123" s="45"/>
      <c r="B123" s="14"/>
      <c r="C123" s="54" t="s">
        <v>493</v>
      </c>
      <c r="D123" s="489"/>
      <c r="E123" s="490"/>
      <c r="F123" s="485"/>
      <c r="G123" s="485"/>
      <c r="H123" s="485"/>
      <c r="I123" s="485"/>
      <c r="J123" s="485"/>
      <c r="K123" s="486"/>
      <c r="L123" s="487"/>
      <c r="M123" s="485"/>
      <c r="N123" s="485"/>
      <c r="O123" s="485"/>
      <c r="P123" s="488"/>
      <c r="Q123" s="488"/>
      <c r="R123" s="488"/>
      <c r="S123" s="488"/>
      <c r="T123" s="488"/>
      <c r="U123" s="488"/>
      <c r="V123" s="488"/>
      <c r="W123" s="488"/>
      <c r="X123" s="486"/>
      <c r="Y123" s="486"/>
      <c r="Z123" s="486"/>
      <c r="AA123" s="486"/>
      <c r="AB123" s="34">
        <f t="shared" si="21"/>
        <v>0</v>
      </c>
      <c r="AC123" s="12">
        <f t="shared" si="22"/>
        <v>0</v>
      </c>
      <c r="AD123" s="30">
        <f t="shared" si="23"/>
        <v>0</v>
      </c>
      <c r="AE123" s="25">
        <f t="shared" si="24"/>
        <v>0</v>
      </c>
      <c r="AF123" s="485"/>
      <c r="AG123" s="485"/>
      <c r="AH123" s="30"/>
      <c r="AI123" s="25"/>
      <c r="AJ123" s="272" t="str">
        <f>'G. Debt Service'!D46</f>
        <v>G.1</v>
      </c>
      <c r="AK123" s="73">
        <f>'G. Debt Service'!L47</f>
        <v>0</v>
      </c>
      <c r="AL123" s="12"/>
      <c r="AM123" s="272" t="str">
        <f>'H. Debt Issues'!D77</f>
        <v>H.1</v>
      </c>
      <c r="AN123" s="73">
        <f>'H. Debt Issues'!N93</f>
        <v>0</v>
      </c>
      <c r="AO123" s="279"/>
      <c r="AP123" s="73"/>
      <c r="AQ123" s="14"/>
      <c r="AR123" s="272"/>
      <c r="AS123" s="254"/>
      <c r="AT123" s="508"/>
      <c r="AU123" s="509"/>
      <c r="AV123" s="323">
        <f t="shared" si="25"/>
        <v>0</v>
      </c>
      <c r="AW123" s="323">
        <f t="shared" si="26"/>
        <v>0</v>
      </c>
      <c r="AX123" s="45"/>
      <c r="AY123" s="38"/>
      <c r="AZ123" s="345" t="str">
        <f t="shared" si="29"/>
        <v xml:space="preserve"> </v>
      </c>
      <c r="BA123" s="255">
        <f t="shared" si="30"/>
        <v>0</v>
      </c>
    </row>
    <row r="124" spans="1:53" x14ac:dyDescent="0.2">
      <c r="A124" s="45"/>
      <c r="B124" s="14"/>
      <c r="C124" s="54" t="s">
        <v>839</v>
      </c>
      <c r="D124" s="489"/>
      <c r="E124" s="490"/>
      <c r="F124" s="485"/>
      <c r="G124" s="485"/>
      <c r="H124" s="485"/>
      <c r="I124" s="485"/>
      <c r="J124" s="485"/>
      <c r="K124" s="486"/>
      <c r="L124" s="487"/>
      <c r="M124" s="485"/>
      <c r="N124" s="485"/>
      <c r="O124" s="485"/>
      <c r="P124" s="488"/>
      <c r="Q124" s="488"/>
      <c r="R124" s="488"/>
      <c r="S124" s="488"/>
      <c r="T124" s="488"/>
      <c r="U124" s="488"/>
      <c r="V124" s="488"/>
      <c r="W124" s="488"/>
      <c r="X124" s="486"/>
      <c r="Y124" s="486"/>
      <c r="Z124" s="486"/>
      <c r="AA124" s="486"/>
      <c r="AB124" s="34">
        <f t="shared" si="21"/>
        <v>0</v>
      </c>
      <c r="AC124" s="12">
        <f t="shared" si="22"/>
        <v>0</v>
      </c>
      <c r="AD124" s="30">
        <f t="shared" si="23"/>
        <v>0</v>
      </c>
      <c r="AE124" s="25">
        <f t="shared" si="24"/>
        <v>0</v>
      </c>
      <c r="AF124" s="485"/>
      <c r="AG124" s="485"/>
      <c r="AH124" s="30"/>
      <c r="AI124" s="25"/>
      <c r="AJ124" s="272" t="str">
        <f>'G. Debt Service'!D46</f>
        <v>G.1</v>
      </c>
      <c r="AK124" s="73">
        <f>'G. Debt Service'!L48</f>
        <v>0</v>
      </c>
      <c r="AL124" s="12"/>
      <c r="AM124" s="272" t="str">
        <f>'H. Debt Issues'!D77</f>
        <v>H.1</v>
      </c>
      <c r="AN124" s="73">
        <f>'H. Debt Issues'!N94</f>
        <v>0</v>
      </c>
      <c r="AO124" s="279" t="str">
        <f>'L. Eliminations-Consolidations'!A222</f>
        <v>L.6</v>
      </c>
      <c r="AP124" s="73">
        <f>'L. Eliminations-Consolidations'!J223</f>
        <v>0</v>
      </c>
      <c r="AQ124" s="14"/>
      <c r="AR124" s="272"/>
      <c r="AS124" s="254"/>
      <c r="AT124" s="508"/>
      <c r="AU124" s="509"/>
      <c r="AV124" s="323">
        <f t="shared" si="25"/>
        <v>0</v>
      </c>
      <c r="AW124" s="323">
        <f t="shared" si="26"/>
        <v>0</v>
      </c>
      <c r="AX124" s="45"/>
      <c r="AY124" s="38"/>
      <c r="AZ124" s="345" t="str">
        <f t="shared" si="29"/>
        <v xml:space="preserve"> </v>
      </c>
      <c r="BA124" s="255">
        <f t="shared" si="30"/>
        <v>0</v>
      </c>
    </row>
    <row r="125" spans="1:53" x14ac:dyDescent="0.2">
      <c r="A125" s="45"/>
      <c r="B125" s="14"/>
      <c r="C125" s="54" t="s">
        <v>496</v>
      </c>
      <c r="D125" s="489"/>
      <c r="E125" s="490"/>
      <c r="F125" s="485"/>
      <c r="G125" s="485"/>
      <c r="H125" s="485"/>
      <c r="I125" s="485"/>
      <c r="J125" s="485"/>
      <c r="K125" s="486"/>
      <c r="L125" s="487"/>
      <c r="M125" s="485"/>
      <c r="N125" s="485"/>
      <c r="O125" s="485"/>
      <c r="P125" s="488"/>
      <c r="Q125" s="488"/>
      <c r="R125" s="488"/>
      <c r="S125" s="488"/>
      <c r="T125" s="488"/>
      <c r="U125" s="488"/>
      <c r="V125" s="488"/>
      <c r="W125" s="488"/>
      <c r="X125" s="486"/>
      <c r="Y125" s="486"/>
      <c r="Z125" s="486"/>
      <c r="AA125" s="486"/>
      <c r="AB125" s="34">
        <f t="shared" si="21"/>
        <v>0</v>
      </c>
      <c r="AC125" s="12">
        <f t="shared" si="22"/>
        <v>0</v>
      </c>
      <c r="AD125" s="30">
        <f t="shared" si="23"/>
        <v>0</v>
      </c>
      <c r="AE125" s="25">
        <f t="shared" si="24"/>
        <v>0</v>
      </c>
      <c r="AF125" s="485"/>
      <c r="AG125" s="485"/>
      <c r="AH125" s="30"/>
      <c r="AI125" s="25"/>
      <c r="AJ125" s="272" t="str">
        <f>'G. Debt Service'!D46</f>
        <v>G.1</v>
      </c>
      <c r="AK125" s="73">
        <f>'G. Debt Service'!L49</f>
        <v>0</v>
      </c>
      <c r="AL125" s="12"/>
      <c r="AM125" s="272" t="str">
        <f>'H. Debt Issues'!D77</f>
        <v>H.1</v>
      </c>
      <c r="AN125" s="73">
        <f>'H. Debt Issues'!N95</f>
        <v>0</v>
      </c>
      <c r="AO125" s="279" t="str">
        <f>'L. Eliminations-Consolidations'!A222</f>
        <v>L.6</v>
      </c>
      <c r="AP125" s="73">
        <f>'L. Eliminations-Consolidations'!J226</f>
        <v>0</v>
      </c>
      <c r="AQ125" s="14"/>
      <c r="AR125" s="272"/>
      <c r="AS125" s="254"/>
      <c r="AT125" s="508"/>
      <c r="AU125" s="509"/>
      <c r="AV125" s="323">
        <f t="shared" si="25"/>
        <v>0</v>
      </c>
      <c r="AW125" s="323">
        <f t="shared" si="26"/>
        <v>0</v>
      </c>
      <c r="AX125" s="45"/>
      <c r="AY125" s="38"/>
      <c r="AZ125" s="345" t="str">
        <f t="shared" si="29"/>
        <v xml:space="preserve"> </v>
      </c>
      <c r="BA125" s="255">
        <f t="shared" si="30"/>
        <v>0</v>
      </c>
    </row>
    <row r="126" spans="1:53" x14ac:dyDescent="0.2">
      <c r="A126" s="45"/>
      <c r="B126" s="14"/>
      <c r="C126" s="54" t="s">
        <v>867</v>
      </c>
      <c r="D126" s="489"/>
      <c r="E126" s="490"/>
      <c r="F126" s="485"/>
      <c r="G126" s="485"/>
      <c r="H126" s="485"/>
      <c r="I126" s="485"/>
      <c r="J126" s="485"/>
      <c r="K126" s="486"/>
      <c r="L126" s="487"/>
      <c r="M126" s="485"/>
      <c r="N126" s="485"/>
      <c r="O126" s="485"/>
      <c r="P126" s="488"/>
      <c r="Q126" s="488"/>
      <c r="R126" s="488"/>
      <c r="S126" s="488"/>
      <c r="T126" s="488"/>
      <c r="U126" s="488"/>
      <c r="V126" s="488"/>
      <c r="W126" s="488"/>
      <c r="X126" s="486"/>
      <c r="Y126" s="486"/>
      <c r="Z126" s="486"/>
      <c r="AA126" s="486"/>
      <c r="AB126" s="34">
        <f t="shared" si="21"/>
        <v>0</v>
      </c>
      <c r="AC126" s="12">
        <f t="shared" si="22"/>
        <v>0</v>
      </c>
      <c r="AD126" s="30">
        <f t="shared" si="23"/>
        <v>0</v>
      </c>
      <c r="AE126" s="25">
        <f t="shared" si="24"/>
        <v>0</v>
      </c>
      <c r="AF126" s="485"/>
      <c r="AG126" s="485"/>
      <c r="AH126" s="30"/>
      <c r="AI126" s="25"/>
      <c r="AJ126" s="272"/>
      <c r="AK126" s="73"/>
      <c r="AL126" s="12"/>
      <c r="AM126" s="272"/>
      <c r="AN126" s="73"/>
      <c r="AO126" s="279" t="str">
        <f>'L. Eliminations-Consolidations'!A222</f>
        <v>L.6</v>
      </c>
      <c r="AP126" s="73">
        <f>'L. Eliminations-Consolidations'!J225</f>
        <v>0</v>
      </c>
      <c r="AQ126" s="14"/>
      <c r="AR126" s="461" t="s">
        <v>682</v>
      </c>
      <c r="AS126" s="255">
        <f>'K.1  Int. Service Fd Allocation'!G191+'K.2  Int. Service Fd Alloca'!G184+'K.3 Int. Service Fd Alloca'!G184</f>
        <v>0</v>
      </c>
      <c r="AT126" s="508"/>
      <c r="AU126" s="509"/>
      <c r="AV126" s="323">
        <f t="shared" si="25"/>
        <v>0</v>
      </c>
      <c r="AW126" s="323">
        <f t="shared" si="26"/>
        <v>0</v>
      </c>
      <c r="AX126" s="45"/>
      <c r="AY126" s="38"/>
      <c r="AZ126" s="345" t="str">
        <f t="shared" si="29"/>
        <v xml:space="preserve"> </v>
      </c>
      <c r="BA126" s="255">
        <f t="shared" si="30"/>
        <v>0</v>
      </c>
    </row>
    <row r="127" spans="1:53" x14ac:dyDescent="0.2">
      <c r="A127" s="45"/>
      <c r="B127" s="14"/>
      <c r="C127" s="54" t="s">
        <v>495</v>
      </c>
      <c r="D127" s="489"/>
      <c r="E127" s="490"/>
      <c r="F127" s="485"/>
      <c r="G127" s="485"/>
      <c r="H127" s="485"/>
      <c r="I127" s="485"/>
      <c r="J127" s="485"/>
      <c r="K127" s="486"/>
      <c r="L127" s="487"/>
      <c r="M127" s="485"/>
      <c r="N127" s="485"/>
      <c r="O127" s="485"/>
      <c r="P127" s="488"/>
      <c r="Q127" s="488"/>
      <c r="R127" s="488"/>
      <c r="S127" s="488"/>
      <c r="T127" s="488"/>
      <c r="U127" s="488"/>
      <c r="V127" s="488"/>
      <c r="W127" s="488"/>
      <c r="X127" s="486"/>
      <c r="Y127" s="486"/>
      <c r="Z127" s="486"/>
      <c r="AA127" s="486"/>
      <c r="AB127" s="34">
        <f t="shared" si="21"/>
        <v>0</v>
      </c>
      <c r="AC127" s="12">
        <f t="shared" si="22"/>
        <v>0</v>
      </c>
      <c r="AD127" s="30">
        <f t="shared" si="23"/>
        <v>0</v>
      </c>
      <c r="AE127" s="25">
        <f t="shared" si="24"/>
        <v>0</v>
      </c>
      <c r="AF127" s="485"/>
      <c r="AG127" s="485"/>
      <c r="AH127" s="30"/>
      <c r="AI127" s="25"/>
      <c r="AJ127" s="272" t="str">
        <f>'J. Other Liability &amp; Expenses'!D185</f>
        <v>J.1</v>
      </c>
      <c r="AK127" s="73">
        <f>'J. Other Liability &amp; Expenses'!L195</f>
        <v>0</v>
      </c>
      <c r="AL127" s="12"/>
      <c r="AM127" s="272" t="str">
        <f>'J. Other Liability &amp; Expenses'!D185</f>
        <v>J.1</v>
      </c>
      <c r="AN127" s="73">
        <f>'J. Other Liability &amp; Expenses'!N195</f>
        <v>0</v>
      </c>
      <c r="AO127" s="279" t="str">
        <f>'L. Eliminations-Consolidations'!A222</f>
        <v>L.6</v>
      </c>
      <c r="AP127" s="73">
        <f>'L. Eliminations-Consolidations'!J227</f>
        <v>0</v>
      </c>
      <c r="AQ127" s="14"/>
      <c r="AR127" s="461" t="s">
        <v>682</v>
      </c>
      <c r="AS127" s="255">
        <f>'K.1  Int. Service Fd Allocation'!G187+'K.2  Int. Service Fd Alloca'!G180+'K.3 Int. Service Fd Alloca'!G180</f>
        <v>0</v>
      </c>
      <c r="AT127" s="508"/>
      <c r="AU127" s="509"/>
      <c r="AV127" s="323">
        <f t="shared" si="25"/>
        <v>0</v>
      </c>
      <c r="AW127" s="323">
        <f t="shared" si="26"/>
        <v>0</v>
      </c>
      <c r="AX127" s="45"/>
      <c r="AY127" s="38"/>
      <c r="AZ127" s="345" t="str">
        <f t="shared" si="29"/>
        <v xml:space="preserve"> </v>
      </c>
      <c r="BA127" s="255">
        <f t="shared" si="30"/>
        <v>0</v>
      </c>
    </row>
    <row r="128" spans="1:53" x14ac:dyDescent="0.2">
      <c r="A128" s="45"/>
      <c r="B128" s="14"/>
      <c r="C128" s="54" t="s">
        <v>733</v>
      </c>
      <c r="D128" s="489"/>
      <c r="E128" s="490"/>
      <c r="F128" s="485"/>
      <c r="G128" s="485"/>
      <c r="H128" s="485"/>
      <c r="I128" s="485"/>
      <c r="J128" s="485"/>
      <c r="K128" s="486"/>
      <c r="L128" s="487"/>
      <c r="M128" s="485"/>
      <c r="N128" s="485"/>
      <c r="O128" s="485"/>
      <c r="P128" s="488"/>
      <c r="Q128" s="488"/>
      <c r="R128" s="488"/>
      <c r="S128" s="488"/>
      <c r="T128" s="488"/>
      <c r="U128" s="488"/>
      <c r="V128" s="488"/>
      <c r="W128" s="488"/>
      <c r="X128" s="486"/>
      <c r="Y128" s="486"/>
      <c r="Z128" s="486"/>
      <c r="AA128" s="486"/>
      <c r="AB128" s="34">
        <f t="shared" si="21"/>
        <v>0</v>
      </c>
      <c r="AC128" s="12">
        <f t="shared" si="22"/>
        <v>0</v>
      </c>
      <c r="AD128" s="30">
        <f t="shared" si="23"/>
        <v>0</v>
      </c>
      <c r="AE128" s="25">
        <f t="shared" si="24"/>
        <v>0</v>
      </c>
      <c r="AF128" s="485"/>
      <c r="AG128" s="485"/>
      <c r="AH128" s="30"/>
      <c r="AI128" s="25"/>
      <c r="AJ128" s="272"/>
      <c r="AK128" s="73"/>
      <c r="AL128" s="12"/>
      <c r="AM128" s="272" t="str">
        <f>'J. Other Liability &amp; Expenses'!D185</f>
        <v>J.1</v>
      </c>
      <c r="AN128" s="73">
        <f>'J. Other Liability &amp; Expenses'!N197</f>
        <v>0</v>
      </c>
      <c r="AO128" s="279" t="str">
        <f>'L. Eliminations-Consolidations'!A222</f>
        <v>L.6</v>
      </c>
      <c r="AP128" s="73">
        <f>'L. Eliminations-Consolidations'!J222</f>
        <v>0</v>
      </c>
      <c r="AQ128" s="14"/>
      <c r="AR128" s="461" t="s">
        <v>682</v>
      </c>
      <c r="AS128" s="255">
        <f>'K.1  Int. Service Fd Allocation'!G188+'K.2  Int. Service Fd Alloca'!G181+'K.3 Int. Service Fd Alloca'!G181</f>
        <v>0</v>
      </c>
      <c r="AT128" s="508"/>
      <c r="AU128" s="509"/>
      <c r="AV128" s="323">
        <f t="shared" si="25"/>
        <v>0</v>
      </c>
      <c r="AW128" s="323">
        <f t="shared" si="26"/>
        <v>0</v>
      </c>
      <c r="AX128" s="45"/>
      <c r="AY128" s="38"/>
      <c r="AZ128" s="345" t="str">
        <f t="shared" si="29"/>
        <v xml:space="preserve"> </v>
      </c>
      <c r="BA128" s="255">
        <f t="shared" si="30"/>
        <v>0</v>
      </c>
    </row>
    <row r="129" spans="1:53" x14ac:dyDescent="0.2">
      <c r="A129" s="45"/>
      <c r="B129" s="14"/>
      <c r="C129" s="486" t="s">
        <v>160</v>
      </c>
      <c r="D129" s="489"/>
      <c r="E129" s="490"/>
      <c r="F129" s="485"/>
      <c r="G129" s="485"/>
      <c r="H129" s="485"/>
      <c r="I129" s="485"/>
      <c r="J129" s="485"/>
      <c r="K129" s="486"/>
      <c r="L129" s="487"/>
      <c r="M129" s="485"/>
      <c r="N129" s="485"/>
      <c r="O129" s="485"/>
      <c r="P129" s="488"/>
      <c r="Q129" s="488"/>
      <c r="R129" s="488"/>
      <c r="S129" s="488"/>
      <c r="T129" s="488"/>
      <c r="U129" s="488"/>
      <c r="V129" s="488"/>
      <c r="W129" s="488"/>
      <c r="X129" s="486"/>
      <c r="Y129" s="486"/>
      <c r="Z129" s="486"/>
      <c r="AA129" s="486"/>
      <c r="AB129" s="34">
        <f t="shared" si="21"/>
        <v>0</v>
      </c>
      <c r="AC129" s="12">
        <f t="shared" si="22"/>
        <v>0</v>
      </c>
      <c r="AD129" s="30">
        <f t="shared" si="23"/>
        <v>0</v>
      </c>
      <c r="AE129" s="25">
        <f t="shared" si="24"/>
        <v>0</v>
      </c>
      <c r="AF129" s="485"/>
      <c r="AG129" s="485"/>
      <c r="AH129" s="30"/>
      <c r="AI129" s="25"/>
      <c r="AJ129" s="272" t="str">
        <f>'J. Other Liability &amp; Expenses'!D185</f>
        <v>J.1</v>
      </c>
      <c r="AK129" s="73">
        <f>'J. Other Liability &amp; Expenses'!L198</f>
        <v>0</v>
      </c>
      <c r="AL129" s="12"/>
      <c r="AM129" s="272" t="str">
        <f>'J. Other Liability &amp; Expenses'!D185</f>
        <v>J.1</v>
      </c>
      <c r="AN129" s="73">
        <f>'J. Other Liability &amp; Expenses'!N198</f>
        <v>0</v>
      </c>
      <c r="AO129" s="279" t="str">
        <f>'L. Eliminations-Consolidations'!A222</f>
        <v>L.6</v>
      </c>
      <c r="AP129" s="73">
        <f>'L. Eliminations-Consolidations'!J228</f>
        <v>0</v>
      </c>
      <c r="AQ129" s="14"/>
      <c r="AR129" s="272"/>
      <c r="AS129" s="254"/>
      <c r="AT129" s="508"/>
      <c r="AU129" s="509"/>
      <c r="AV129" s="323">
        <f t="shared" si="25"/>
        <v>0</v>
      </c>
      <c r="AW129" s="323">
        <f t="shared" si="26"/>
        <v>0</v>
      </c>
      <c r="AX129" s="45"/>
      <c r="AY129" s="38"/>
      <c r="AZ129" s="345" t="str">
        <f t="shared" si="29"/>
        <v xml:space="preserve"> </v>
      </c>
      <c r="BA129" s="255">
        <f t="shared" si="30"/>
        <v>0</v>
      </c>
    </row>
    <row r="130" spans="1:53" x14ac:dyDescent="0.2">
      <c r="A130" s="45"/>
      <c r="B130" s="14"/>
      <c r="C130" s="486" t="s">
        <v>161</v>
      </c>
      <c r="D130" s="489"/>
      <c r="E130" s="490"/>
      <c r="F130" s="485"/>
      <c r="G130" s="485"/>
      <c r="H130" s="485"/>
      <c r="I130" s="485"/>
      <c r="J130" s="485"/>
      <c r="K130" s="486"/>
      <c r="L130" s="487"/>
      <c r="M130" s="485"/>
      <c r="N130" s="485"/>
      <c r="O130" s="485"/>
      <c r="P130" s="488"/>
      <c r="Q130" s="488"/>
      <c r="R130" s="488"/>
      <c r="S130" s="488"/>
      <c r="T130" s="488"/>
      <c r="U130" s="488"/>
      <c r="V130" s="488"/>
      <c r="W130" s="488"/>
      <c r="X130" s="486"/>
      <c r="Y130" s="486"/>
      <c r="Z130" s="486"/>
      <c r="AA130" s="486"/>
      <c r="AB130" s="34">
        <f t="shared" si="21"/>
        <v>0</v>
      </c>
      <c r="AC130" s="12">
        <f t="shared" si="22"/>
        <v>0</v>
      </c>
      <c r="AD130" s="30">
        <f t="shared" si="23"/>
        <v>0</v>
      </c>
      <c r="AE130" s="25">
        <f t="shared" si="24"/>
        <v>0</v>
      </c>
      <c r="AF130" s="485"/>
      <c r="AG130" s="485"/>
      <c r="AH130" s="30"/>
      <c r="AI130" s="25"/>
      <c r="AJ130" s="272" t="str">
        <f>'J. Other Liability &amp; Expenses'!D185</f>
        <v>J.1</v>
      </c>
      <c r="AK130" s="73">
        <f>'J. Other Liability &amp; Expenses'!L199</f>
        <v>0</v>
      </c>
      <c r="AL130" s="12"/>
      <c r="AM130" s="272" t="str">
        <f>'J. Other Liability &amp; Expenses'!D185</f>
        <v>J.1</v>
      </c>
      <c r="AN130" s="73">
        <f>'J. Other Liability &amp; Expenses'!N199</f>
        <v>0</v>
      </c>
      <c r="AO130" s="279" t="str">
        <f>'L. Eliminations-Consolidations'!A222</f>
        <v>L.6</v>
      </c>
      <c r="AP130" s="73">
        <f>'L. Eliminations-Consolidations'!J229</f>
        <v>0</v>
      </c>
      <c r="AQ130" s="14"/>
      <c r="AR130" s="272"/>
      <c r="AS130" s="254"/>
      <c r="AT130" s="508"/>
      <c r="AU130" s="509"/>
      <c r="AV130" s="323">
        <f t="shared" si="25"/>
        <v>0</v>
      </c>
      <c r="AW130" s="323">
        <f t="shared" si="26"/>
        <v>0</v>
      </c>
      <c r="AX130" s="45"/>
      <c r="AY130" s="38"/>
      <c r="AZ130" s="345" t="str">
        <f t="shared" si="29"/>
        <v xml:space="preserve"> </v>
      </c>
      <c r="BA130" s="255">
        <f t="shared" si="30"/>
        <v>0</v>
      </c>
    </row>
    <row r="131" spans="1:53" s="850" customFormat="1" x14ac:dyDescent="0.2">
      <c r="A131" s="45"/>
      <c r="B131" s="14"/>
      <c r="C131" s="1035" t="s">
        <v>3903</v>
      </c>
      <c r="D131" s="489"/>
      <c r="E131" s="490"/>
      <c r="F131" s="485"/>
      <c r="G131" s="485"/>
      <c r="H131" s="485"/>
      <c r="I131" s="485"/>
      <c r="J131" s="485"/>
      <c r="K131" s="486"/>
      <c r="L131" s="487"/>
      <c r="M131" s="485"/>
      <c r="N131" s="485"/>
      <c r="O131" s="485"/>
      <c r="P131" s="488"/>
      <c r="Q131" s="488"/>
      <c r="R131" s="488"/>
      <c r="S131" s="488"/>
      <c r="T131" s="488"/>
      <c r="U131" s="488"/>
      <c r="V131" s="488"/>
      <c r="W131" s="488"/>
      <c r="X131" s="486"/>
      <c r="Y131" s="486"/>
      <c r="Z131" s="486"/>
      <c r="AA131" s="486"/>
      <c r="AB131" s="34"/>
      <c r="AC131" s="12"/>
      <c r="AD131" s="30"/>
      <c r="AE131" s="25"/>
      <c r="AF131" s="492"/>
      <c r="AG131" s="492">
        <f>'O. GASB 73 LEO Entries'!D25</f>
        <v>0</v>
      </c>
      <c r="AH131" s="30"/>
      <c r="AI131" s="25"/>
      <c r="AJ131" s="272" t="s">
        <v>3553</v>
      </c>
      <c r="AK131" s="73">
        <f>'O. GASB 73 LEO Entries'!C67</f>
        <v>0</v>
      </c>
      <c r="AL131" s="12"/>
      <c r="AM131" s="272" t="s">
        <v>3553</v>
      </c>
      <c r="AN131" s="73">
        <f>'O. GASB 73 LEO Entries'!D67</f>
        <v>0</v>
      </c>
      <c r="AO131" s="279"/>
      <c r="AP131" s="73"/>
      <c r="AQ131" s="14"/>
      <c r="AR131" s="272"/>
      <c r="AS131" s="254"/>
      <c r="AT131" s="852"/>
      <c r="AU131" s="509"/>
      <c r="AV131" s="323"/>
      <c r="AW131" s="323">
        <f>AE131+AG131+AI131+AN131+AS131+AU131</f>
        <v>0</v>
      </c>
      <c r="AX131" s="45"/>
      <c r="AY131" s="38"/>
      <c r="AZ131" s="345"/>
      <c r="BA131" s="254">
        <f t="shared" si="30"/>
        <v>0</v>
      </c>
    </row>
    <row r="132" spans="1:53" s="693" customFormat="1" x14ac:dyDescent="0.2">
      <c r="A132" s="45"/>
      <c r="B132" s="14"/>
      <c r="C132" s="772" t="s">
        <v>2566</v>
      </c>
      <c r="D132" s="489"/>
      <c r="E132" s="490"/>
      <c r="F132" s="485"/>
      <c r="G132" s="485"/>
      <c r="H132" s="485"/>
      <c r="I132" s="485"/>
      <c r="J132" s="485"/>
      <c r="K132" s="486"/>
      <c r="L132" s="487"/>
      <c r="M132" s="485"/>
      <c r="N132" s="485"/>
      <c r="O132" s="485"/>
      <c r="P132" s="488"/>
      <c r="Q132" s="488"/>
      <c r="R132" s="488"/>
      <c r="S132" s="488"/>
      <c r="T132" s="488"/>
      <c r="U132" s="488"/>
      <c r="V132" s="488"/>
      <c r="W132" s="488"/>
      <c r="X132" s="486"/>
      <c r="Y132" s="486"/>
      <c r="Z132" s="486"/>
      <c r="AA132" s="486"/>
      <c r="AB132" s="34"/>
      <c r="AC132" s="12"/>
      <c r="AD132" s="30"/>
      <c r="AE132" s="25"/>
      <c r="AF132" s="485"/>
      <c r="AG132" s="485">
        <f>'N.1 GASB 68 LGERS'!C75*'N.1 GASB 68 LGERS'!G26</f>
        <v>0</v>
      </c>
      <c r="AH132" s="30"/>
      <c r="AI132" s="25"/>
      <c r="AJ132" s="272" t="s">
        <v>2074</v>
      </c>
      <c r="AK132" s="73">
        <f>'N.1 GASB 68 LGERS'!C96</f>
        <v>0</v>
      </c>
      <c r="AL132" s="12"/>
      <c r="AM132" s="272" t="s">
        <v>2074</v>
      </c>
      <c r="AN132" s="73">
        <f>'N.1 GASB 68 LGERS'!D96</f>
        <v>0</v>
      </c>
      <c r="AO132" s="279"/>
      <c r="AP132" s="73"/>
      <c r="AQ132" s="14"/>
      <c r="AR132" s="461" t="s">
        <v>682</v>
      </c>
      <c r="AS132" s="255">
        <f>'K.1  Int. Service Fd Allocation'!G189+'K.2  Int. Service Fd Alloca'!G182+'K.3 Int. Service Fd Alloca'!G182</f>
        <v>0</v>
      </c>
      <c r="AT132" s="697"/>
      <c r="AU132" s="509"/>
      <c r="AV132" s="323">
        <f>AD132+AF132+AH132+AK132+AP132+AT132</f>
        <v>0</v>
      </c>
      <c r="AW132" s="323">
        <f>AE132+AG132+AI132+AN132+AS132+AU132</f>
        <v>0</v>
      </c>
      <c r="AX132" s="45"/>
      <c r="AY132" s="38"/>
      <c r="AZ132" s="345" t="str">
        <f>IF(AV132-AW132&lt;=0," ",AV132-AW132)</f>
        <v xml:space="preserve"> </v>
      </c>
      <c r="BA132" s="255">
        <f>IF(AV132-AW132&gt;0," ",AW132-AV132)</f>
        <v>0</v>
      </c>
    </row>
    <row r="133" spans="1:53" x14ac:dyDescent="0.2">
      <c r="A133" s="45"/>
      <c r="B133" s="14"/>
      <c r="C133" s="1041" t="s">
        <v>3960</v>
      </c>
      <c r="D133" s="489"/>
      <c r="E133" s="490"/>
      <c r="F133" s="485"/>
      <c r="G133" s="485"/>
      <c r="H133" s="485"/>
      <c r="I133" s="485"/>
      <c r="J133" s="485"/>
      <c r="K133" s="486"/>
      <c r="L133" s="487"/>
      <c r="M133" s="485"/>
      <c r="N133" s="485"/>
      <c r="O133" s="485"/>
      <c r="P133" s="488"/>
      <c r="Q133" s="488"/>
      <c r="R133" s="488"/>
      <c r="S133" s="488"/>
      <c r="T133" s="488"/>
      <c r="U133" s="488"/>
      <c r="V133" s="488"/>
      <c r="W133" s="488"/>
      <c r="X133" s="486"/>
      <c r="Y133" s="486"/>
      <c r="Z133" s="486"/>
      <c r="AA133" s="486"/>
      <c r="AB133" s="34">
        <f>L133+N133+P133+R133+T133+V133+X133+Z133</f>
        <v>0</v>
      </c>
      <c r="AC133" s="12">
        <f>M133+O133+Q133+S133+U133+W133+Y133+AA133</f>
        <v>0</v>
      </c>
      <c r="AD133" s="30">
        <f>D133+F133+H133+J133+AB133</f>
        <v>0</v>
      </c>
      <c r="AE133" s="25">
        <f>E133+G133+I133+K133+AC133</f>
        <v>0</v>
      </c>
      <c r="AF133" s="485"/>
      <c r="AG133" s="485"/>
      <c r="AH133" s="30"/>
      <c r="AI133" s="25"/>
      <c r="AJ133" s="272" t="s">
        <v>865</v>
      </c>
      <c r="AK133" s="73">
        <f>'J. Other Liability &amp; Expenses'!L201</f>
        <v>0</v>
      </c>
      <c r="AL133" s="12"/>
      <c r="AM133" s="272" t="str">
        <f>'J. Other Liability &amp; Expenses'!D185</f>
        <v>J.1</v>
      </c>
      <c r="AN133" s="73">
        <f>'J. Other Liability &amp; Expenses'!N201</f>
        <v>0</v>
      </c>
      <c r="AO133" s="279"/>
      <c r="AP133" s="73"/>
      <c r="AQ133" s="14"/>
      <c r="AR133" s="461" t="s">
        <v>682</v>
      </c>
      <c r="AS133" s="255">
        <f>'K.1  Int. Service Fd Allocation'!G190+'K.2  Int. Service Fd Alloca'!G183+'K.3 Int. Service Fd Alloca'!G183</f>
        <v>0</v>
      </c>
      <c r="AT133" s="508"/>
      <c r="AU133" s="509"/>
      <c r="AV133" s="323">
        <f>AD133+AF133+AH133+AK133+AP133+AT133</f>
        <v>0</v>
      </c>
      <c r="AW133" s="323">
        <f>AE133+AG133+AI133+AN133+AS133+AU133</f>
        <v>0</v>
      </c>
      <c r="AX133" s="45"/>
      <c r="AY133" s="38"/>
      <c r="AZ133" s="345">
        <f>IF(AV133+AV134-AW133-AW134&gt;0,AV133+AV134-AW133-AW134,0)</f>
        <v>0</v>
      </c>
      <c r="BA133" s="254">
        <f>IF(AW133+AW134-AV133-AV134&gt;0,AW133+AW134-AV133-AV134,0)</f>
        <v>0</v>
      </c>
    </row>
    <row r="134" spans="1:53" s="993" customFormat="1" ht="24" x14ac:dyDescent="0.2">
      <c r="A134" s="45"/>
      <c r="B134" s="14"/>
      <c r="C134" s="872"/>
      <c r="D134" s="489"/>
      <c r="E134" s="490"/>
      <c r="F134" s="485"/>
      <c r="G134" s="485"/>
      <c r="H134" s="485"/>
      <c r="I134" s="485"/>
      <c r="J134" s="485"/>
      <c r="K134" s="486"/>
      <c r="L134" s="487"/>
      <c r="M134" s="485"/>
      <c r="N134" s="485"/>
      <c r="O134" s="485"/>
      <c r="P134" s="488"/>
      <c r="Q134" s="488"/>
      <c r="R134" s="488"/>
      <c r="S134" s="488"/>
      <c r="T134" s="488"/>
      <c r="U134" s="488"/>
      <c r="V134" s="488"/>
      <c r="W134" s="488"/>
      <c r="X134" s="486"/>
      <c r="Y134" s="486"/>
      <c r="Z134" s="486"/>
      <c r="AA134" s="486"/>
      <c r="AB134" s="34"/>
      <c r="AC134" s="12"/>
      <c r="AD134" s="30"/>
      <c r="AE134" s="25"/>
      <c r="AF134" s="485"/>
      <c r="AG134" s="485"/>
      <c r="AH134" s="30"/>
      <c r="AI134" s="25"/>
      <c r="AJ134" s="272"/>
      <c r="AK134" s="73"/>
      <c r="AL134" s="12"/>
      <c r="AM134" s="1119" t="s">
        <v>4900</v>
      </c>
      <c r="AN134" s="73">
        <f>'P. GASB 75 OPEB 1 Entries'!D57+'P. GASB 75 OPEB 2 Entries'!D57+'P. GASB 75 3 OPEB Entries'!D57</f>
        <v>0</v>
      </c>
      <c r="AO134" s="279"/>
      <c r="AP134" s="73"/>
      <c r="AQ134" s="14"/>
      <c r="AR134" s="461"/>
      <c r="AS134" s="255"/>
      <c r="AT134" s="998"/>
      <c r="AU134" s="509"/>
      <c r="AV134" s="323">
        <f>AD134+AF134+AH134+AK134+AP134+AT134</f>
        <v>0</v>
      </c>
      <c r="AW134" s="323">
        <f>AE134+AG134+AI134+AN134+AS134+AU134</f>
        <v>0</v>
      </c>
      <c r="AX134" s="45"/>
      <c r="AY134" s="38"/>
      <c r="AZ134" s="345"/>
      <c r="BA134" s="254"/>
    </row>
    <row r="135" spans="1:53" x14ac:dyDescent="0.2">
      <c r="A135" s="45"/>
      <c r="B135" s="14"/>
      <c r="C135" s="54"/>
      <c r="D135" s="489"/>
      <c r="E135" s="490"/>
      <c r="F135" s="485"/>
      <c r="G135" s="485"/>
      <c r="H135" s="485"/>
      <c r="I135" s="485"/>
      <c r="J135" s="485"/>
      <c r="K135" s="486"/>
      <c r="L135" s="487"/>
      <c r="M135" s="485"/>
      <c r="N135" s="485"/>
      <c r="O135" s="485"/>
      <c r="P135" s="488"/>
      <c r="Q135" s="488"/>
      <c r="R135" s="488"/>
      <c r="S135" s="488"/>
      <c r="T135" s="488"/>
      <c r="U135" s="488"/>
      <c r="V135" s="488"/>
      <c r="W135" s="488"/>
      <c r="X135" s="486"/>
      <c r="Y135" s="486"/>
      <c r="Z135" s="486"/>
      <c r="AA135" s="486"/>
      <c r="AB135" s="34"/>
      <c r="AC135" s="12"/>
      <c r="AD135" s="30"/>
      <c r="AE135" s="25"/>
      <c r="AF135" s="485"/>
      <c r="AG135" s="485"/>
      <c r="AH135" s="30"/>
      <c r="AI135" s="25"/>
      <c r="AJ135" s="272"/>
      <c r="AK135" s="73"/>
      <c r="AL135" s="12"/>
      <c r="AM135" s="272"/>
      <c r="AN135" s="73"/>
      <c r="AO135" s="279"/>
      <c r="AP135" s="73"/>
      <c r="AQ135" s="14"/>
      <c r="AR135" s="461"/>
      <c r="AS135" s="255"/>
      <c r="AT135" s="508"/>
      <c r="AU135" s="509"/>
      <c r="AV135" s="323"/>
      <c r="AW135" s="323"/>
      <c r="AX135" s="45"/>
      <c r="AY135" s="38"/>
      <c r="AZ135" s="345"/>
      <c r="BA135" s="254"/>
    </row>
    <row r="136" spans="1:53" s="229" customFormat="1" x14ac:dyDescent="0.2">
      <c r="A136" s="644"/>
      <c r="B136" s="194" t="s">
        <v>1136</v>
      </c>
      <c r="C136" s="573"/>
      <c r="D136" s="645"/>
      <c r="E136" s="646"/>
      <c r="F136" s="506"/>
      <c r="G136" s="506"/>
      <c r="H136" s="506"/>
      <c r="I136" s="506"/>
      <c r="J136" s="506"/>
      <c r="K136" s="504"/>
      <c r="L136" s="505"/>
      <c r="M136" s="506"/>
      <c r="N136" s="506"/>
      <c r="O136" s="506"/>
      <c r="P136" s="646"/>
      <c r="Q136" s="646"/>
      <c r="R136" s="646"/>
      <c r="S136" s="646"/>
      <c r="T136" s="646"/>
      <c r="U136" s="646"/>
      <c r="V136" s="646"/>
      <c r="W136" s="646"/>
      <c r="X136" s="504"/>
      <c r="Y136" s="504"/>
      <c r="Z136" s="504"/>
      <c r="AA136" s="504"/>
      <c r="AB136" s="647"/>
      <c r="AC136" s="648"/>
      <c r="AD136" s="649"/>
      <c r="AE136" s="650"/>
      <c r="AF136" s="506"/>
      <c r="AG136" s="506"/>
      <c r="AH136" s="649"/>
      <c r="AI136" s="650"/>
      <c r="AJ136" s="272"/>
      <c r="AK136" s="176"/>
      <c r="AL136" s="648"/>
      <c r="AM136" s="272"/>
      <c r="AN136" s="176"/>
      <c r="AO136" s="279"/>
      <c r="AP136" s="176"/>
      <c r="AQ136" s="636"/>
      <c r="AR136" s="461"/>
      <c r="AS136" s="651"/>
      <c r="AT136" s="529"/>
      <c r="AU136" s="652"/>
      <c r="AV136" s="653"/>
      <c r="AW136" s="653"/>
      <c r="AX136" s="644"/>
      <c r="AY136" s="654"/>
      <c r="AZ136" s="655"/>
      <c r="BA136" s="656"/>
    </row>
    <row r="137" spans="1:53" x14ac:dyDescent="0.2">
      <c r="A137" s="45"/>
      <c r="B137" s="14"/>
      <c r="C137" s="14" t="s">
        <v>880</v>
      </c>
      <c r="D137" s="489"/>
      <c r="E137" s="490"/>
      <c r="F137" s="485"/>
      <c r="G137" s="485"/>
      <c r="H137" s="485"/>
      <c r="I137" s="485"/>
      <c r="J137" s="485"/>
      <c r="K137" s="486"/>
      <c r="L137" s="487"/>
      <c r="M137" s="485"/>
      <c r="N137" s="485"/>
      <c r="O137" s="485"/>
      <c r="P137" s="488"/>
      <c r="Q137" s="488"/>
      <c r="R137" s="488"/>
      <c r="S137" s="488"/>
      <c r="T137" s="488"/>
      <c r="U137" s="488"/>
      <c r="V137" s="488"/>
      <c r="W137" s="488"/>
      <c r="X137" s="486"/>
      <c r="Y137" s="486"/>
      <c r="Z137" s="486"/>
      <c r="AA137" s="486"/>
      <c r="AB137" s="34">
        <f t="shared" ref="AB137:AC140" si="31">L137+N137+P137+R137+T137+V137+X137+Z137</f>
        <v>0</v>
      </c>
      <c r="AC137" s="12">
        <f t="shared" si="31"/>
        <v>0</v>
      </c>
      <c r="AD137" s="30">
        <f t="shared" ref="AD137:AE140" si="32">D137+F137+H137+J137+AB137</f>
        <v>0</v>
      </c>
      <c r="AE137" s="25">
        <f t="shared" si="32"/>
        <v>0</v>
      </c>
      <c r="AF137" s="485"/>
      <c r="AG137" s="485"/>
      <c r="AH137" s="30"/>
      <c r="AI137" s="25"/>
      <c r="AJ137" s="273"/>
      <c r="AK137" s="72"/>
      <c r="AL137" s="10"/>
      <c r="AM137" s="273"/>
      <c r="AN137" s="72"/>
      <c r="AO137" s="280"/>
      <c r="AP137" s="73"/>
      <c r="AQ137" s="14"/>
      <c r="AR137" s="272"/>
      <c r="AS137" s="254"/>
      <c r="AT137" s="508"/>
      <c r="AU137" s="509"/>
      <c r="AV137" s="323">
        <f>AD137+AF137+AH137+AK137+AP137+AT137</f>
        <v>0</v>
      </c>
      <c r="AW137" s="323">
        <f>AE137+AG137+AI137+AN137+AS137+AU137</f>
        <v>0</v>
      </c>
      <c r="AX137" s="45"/>
      <c r="AY137" s="38"/>
      <c r="AZ137" s="345" t="str">
        <f>IF(AV137-AW137&lt;=0," ",AV137-AW137)</f>
        <v xml:space="preserve"> </v>
      </c>
      <c r="BA137" s="255">
        <f>IF(AV137-AW137&gt;0," ",AW137-AV137)</f>
        <v>0</v>
      </c>
    </row>
    <row r="138" spans="1:53" ht="25.5" x14ac:dyDescent="0.2">
      <c r="A138" s="45"/>
      <c r="B138" s="14"/>
      <c r="C138" s="634" t="s">
        <v>1154</v>
      </c>
      <c r="D138" s="489"/>
      <c r="E138" s="490"/>
      <c r="F138" s="485"/>
      <c r="G138" s="485"/>
      <c r="H138" s="485"/>
      <c r="I138" s="485"/>
      <c r="J138" s="485"/>
      <c r="K138" s="486"/>
      <c r="L138" s="487"/>
      <c r="M138" s="485"/>
      <c r="N138" s="485"/>
      <c r="O138" s="485"/>
      <c r="P138" s="488"/>
      <c r="Q138" s="488"/>
      <c r="R138" s="488"/>
      <c r="S138" s="488"/>
      <c r="T138" s="488"/>
      <c r="U138" s="488"/>
      <c r="V138" s="488"/>
      <c r="W138" s="488"/>
      <c r="X138" s="486"/>
      <c r="Y138" s="486"/>
      <c r="Z138" s="486"/>
      <c r="AA138" s="486"/>
      <c r="AB138" s="34">
        <f t="shared" si="31"/>
        <v>0</v>
      </c>
      <c r="AC138" s="12">
        <f t="shared" si="31"/>
        <v>0</v>
      </c>
      <c r="AD138" s="30">
        <f t="shared" si="32"/>
        <v>0</v>
      </c>
      <c r="AE138" s="25">
        <f t="shared" si="32"/>
        <v>0</v>
      </c>
      <c r="AF138" s="485"/>
      <c r="AG138" s="485"/>
      <c r="AH138" s="30"/>
      <c r="AI138" s="25"/>
      <c r="AJ138" s="273" t="str">
        <f>'B.  Property Taxes'!A57</f>
        <v>B.2</v>
      </c>
      <c r="AK138" s="72">
        <f>'B.  Property Taxes'!J57</f>
        <v>0</v>
      </c>
      <c r="AL138" s="10"/>
      <c r="AM138" s="273" t="str">
        <f>'C. Other Revenues'!B205</f>
        <v>C.1</v>
      </c>
      <c r="AN138" s="72">
        <f>'C. Other Revenues'!M206</f>
        <v>0</v>
      </c>
      <c r="AO138" s="280"/>
      <c r="AP138" s="73"/>
      <c r="AQ138" s="14"/>
      <c r="AR138" s="272"/>
      <c r="AS138" s="254"/>
      <c r="AT138" s="508"/>
      <c r="AU138" s="509"/>
      <c r="AV138" s="323">
        <f>AD138+AF138+AH138+AK138+AP138+AT138</f>
        <v>0</v>
      </c>
      <c r="AW138" s="323">
        <f>AE138+AG138+AI138+AN138+AS138+AU138</f>
        <v>0</v>
      </c>
      <c r="AX138" s="45"/>
      <c r="AY138" s="38"/>
      <c r="AZ138" s="345" t="str">
        <f>IF(AV138-AW138&lt;=0," ",AV138-AW138)</f>
        <v xml:space="preserve"> </v>
      </c>
      <c r="BA138" s="255">
        <f>IF(AV138-AW138&gt;0," ",AW138-AV138)</f>
        <v>0</v>
      </c>
    </row>
    <row r="139" spans="1:53" s="672" customFormat="1" ht="38.25" x14ac:dyDescent="0.2">
      <c r="A139" s="45"/>
      <c r="B139" s="14"/>
      <c r="C139" s="684" t="s">
        <v>3527</v>
      </c>
      <c r="D139" s="489"/>
      <c r="E139" s="490"/>
      <c r="F139" s="485"/>
      <c r="G139" s="485"/>
      <c r="H139" s="485"/>
      <c r="I139" s="485"/>
      <c r="J139" s="485"/>
      <c r="K139" s="486"/>
      <c r="L139" s="487"/>
      <c r="M139" s="485"/>
      <c r="N139" s="485"/>
      <c r="O139" s="485"/>
      <c r="P139" s="488"/>
      <c r="Q139" s="488"/>
      <c r="R139" s="488"/>
      <c r="S139" s="488"/>
      <c r="T139" s="488"/>
      <c r="U139" s="488"/>
      <c r="V139" s="488"/>
      <c r="W139" s="488"/>
      <c r="X139" s="486"/>
      <c r="Y139" s="486"/>
      <c r="Z139" s="486"/>
      <c r="AA139" s="486"/>
      <c r="AB139" s="34">
        <f t="shared" si="31"/>
        <v>0</v>
      </c>
      <c r="AC139" s="12">
        <f t="shared" si="31"/>
        <v>0</v>
      </c>
      <c r="AD139" s="30">
        <f t="shared" si="32"/>
        <v>0</v>
      </c>
      <c r="AE139" s="25">
        <f t="shared" si="32"/>
        <v>0</v>
      </c>
      <c r="AF139" s="485"/>
      <c r="AG139" s="485">
        <f>'N.1 GASB 68 LGERS'!C75*'N.1 GASB 68 LGERS'!R39</f>
        <v>0</v>
      </c>
      <c r="AH139" s="30"/>
      <c r="AI139" s="25"/>
      <c r="AJ139" s="273" t="s">
        <v>2074</v>
      </c>
      <c r="AK139" s="72">
        <f>'N.1 GASB 68 LGERS'!C112</f>
        <v>0</v>
      </c>
      <c r="AL139" s="10"/>
      <c r="AM139" s="273" t="s">
        <v>2074</v>
      </c>
      <c r="AN139" s="72">
        <f>'N.1 GASB 68 LGERS'!D112</f>
        <v>0</v>
      </c>
      <c r="AO139" s="280"/>
      <c r="AP139" s="73"/>
      <c r="AQ139" s="14"/>
      <c r="AR139" s="461" t="s">
        <v>682</v>
      </c>
      <c r="AS139" s="254">
        <f>'K.1  Int. Service Fd Allocation'!G195+'K.2  Int. Service Fd Alloca'!G188+'K.3 Int. Service Fd Alloca'!G188</f>
        <v>0</v>
      </c>
      <c r="AT139" s="677"/>
      <c r="AU139" s="509"/>
      <c r="AV139" s="323">
        <f>AD139+AF139+AH139+AK139+AP139+AT139</f>
        <v>0</v>
      </c>
      <c r="AW139" s="323">
        <f>AE139+AG139+AI139+AN139+AS139+AU139</f>
        <v>0</v>
      </c>
      <c r="AX139" s="45"/>
      <c r="AY139" s="38"/>
      <c r="AZ139" s="345" t="str">
        <f t="shared" ref="AZ139:AZ144" si="33">IF(AV139-AW139&lt;=0," ",AV139-AW139)</f>
        <v xml:space="preserve"> </v>
      </c>
      <c r="BA139" s="255">
        <f t="shared" ref="BA139:BA146" si="34">IF(AV139-AW139&gt;0," ",AW139-AV139)</f>
        <v>0</v>
      </c>
    </row>
    <row r="140" spans="1:53" s="672" customFormat="1" ht="25.5" x14ac:dyDescent="0.2">
      <c r="A140" s="45"/>
      <c r="B140" s="14"/>
      <c r="C140" s="684" t="s">
        <v>3525</v>
      </c>
      <c r="D140" s="489"/>
      <c r="E140" s="490"/>
      <c r="F140" s="485"/>
      <c r="G140" s="485"/>
      <c r="H140" s="485"/>
      <c r="I140" s="485"/>
      <c r="J140" s="485"/>
      <c r="K140" s="486"/>
      <c r="L140" s="487"/>
      <c r="M140" s="485"/>
      <c r="N140" s="485"/>
      <c r="O140" s="485"/>
      <c r="P140" s="488"/>
      <c r="Q140" s="488"/>
      <c r="R140" s="488"/>
      <c r="S140" s="488"/>
      <c r="T140" s="488"/>
      <c r="U140" s="488"/>
      <c r="V140" s="488"/>
      <c r="W140" s="488"/>
      <c r="X140" s="486"/>
      <c r="Y140" s="486"/>
      <c r="Z140" s="486"/>
      <c r="AA140" s="486"/>
      <c r="AB140" s="34">
        <f t="shared" si="31"/>
        <v>0</v>
      </c>
      <c r="AC140" s="12">
        <f t="shared" si="31"/>
        <v>0</v>
      </c>
      <c r="AD140" s="30">
        <f t="shared" si="32"/>
        <v>0</v>
      </c>
      <c r="AE140" s="25">
        <f t="shared" si="32"/>
        <v>0</v>
      </c>
      <c r="AF140" s="485"/>
      <c r="AG140" s="485">
        <f>'N.1 GASB 68 LGERS'!C75*'N.1 GASB 68 LGERS'!O39</f>
        <v>0</v>
      </c>
      <c r="AH140" s="30"/>
      <c r="AI140" s="25"/>
      <c r="AJ140" s="273" t="s">
        <v>2074</v>
      </c>
      <c r="AK140" s="72">
        <f>'N.1 GASB 68 LGERS'!C109</f>
        <v>0</v>
      </c>
      <c r="AL140" s="10"/>
      <c r="AM140" s="273" t="s">
        <v>2074</v>
      </c>
      <c r="AN140" s="72">
        <f>'N.1 GASB 68 LGERS'!D109</f>
        <v>0</v>
      </c>
      <c r="AO140" s="280"/>
      <c r="AP140" s="73"/>
      <c r="AQ140" s="14"/>
      <c r="AR140" s="461" t="s">
        <v>682</v>
      </c>
      <c r="AS140" s="254">
        <f>'K.1  Int. Service Fd Allocation'!G194+'K.2  Int. Service Fd Alloca'!G187+'K.3 Int. Service Fd Alloca'!G187</f>
        <v>0</v>
      </c>
      <c r="AT140" s="677"/>
      <c r="AU140" s="509"/>
      <c r="AV140" s="323">
        <f>AD140+AF140+AH140+AK140+AP140+AT140+AD141+AF141+AH141+AK141+AP141+AT141</f>
        <v>0</v>
      </c>
      <c r="AW140" s="323">
        <f>AE140+AG140+AI140+AN140+AS140+AU140+AE141+AG141+AI141+AN141+AS141+AU141</f>
        <v>0</v>
      </c>
      <c r="AX140" s="45"/>
      <c r="AY140" s="38"/>
      <c r="AZ140" s="345" t="str">
        <f t="shared" si="33"/>
        <v xml:space="preserve"> </v>
      </c>
      <c r="BA140" s="255">
        <f t="shared" si="34"/>
        <v>0</v>
      </c>
    </row>
    <row r="141" spans="1:53" s="850" customFormat="1" x14ac:dyDescent="0.2">
      <c r="A141" s="45"/>
      <c r="B141" s="14"/>
      <c r="C141" s="684"/>
      <c r="D141" s="489"/>
      <c r="E141" s="490"/>
      <c r="F141" s="485"/>
      <c r="G141" s="485"/>
      <c r="H141" s="485"/>
      <c r="I141" s="485"/>
      <c r="J141" s="485"/>
      <c r="K141" s="486"/>
      <c r="L141" s="487"/>
      <c r="M141" s="485"/>
      <c r="N141" s="485"/>
      <c r="O141" s="485"/>
      <c r="P141" s="488"/>
      <c r="Q141" s="488"/>
      <c r="R141" s="488"/>
      <c r="S141" s="488"/>
      <c r="T141" s="488"/>
      <c r="U141" s="488"/>
      <c r="V141" s="488"/>
      <c r="W141" s="488"/>
      <c r="X141" s="486"/>
      <c r="Y141" s="486"/>
      <c r="Z141" s="486"/>
      <c r="AA141" s="486"/>
      <c r="AB141" s="34"/>
      <c r="AC141" s="12"/>
      <c r="AD141" s="30"/>
      <c r="AE141" s="25"/>
      <c r="AF141" s="485"/>
      <c r="AG141" s="485"/>
      <c r="AH141" s="30"/>
      <c r="AI141" s="25"/>
      <c r="AJ141" s="273" t="s">
        <v>3553</v>
      </c>
      <c r="AK141" s="72">
        <f>'O. GASB 73 LEO Entries'!C72</f>
        <v>0</v>
      </c>
      <c r="AL141" s="10"/>
      <c r="AM141" s="273" t="s">
        <v>3553</v>
      </c>
      <c r="AN141" s="72">
        <f>'O. GASB 73 LEO Entries'!D72</f>
        <v>0</v>
      </c>
      <c r="AO141" s="280"/>
      <c r="AP141" s="73"/>
      <c r="AQ141" s="14"/>
      <c r="AR141" s="461"/>
      <c r="AS141" s="254"/>
      <c r="AT141" s="852"/>
      <c r="AU141" s="509"/>
      <c r="AV141" s="323"/>
      <c r="AW141" s="323"/>
      <c r="AX141" s="45"/>
      <c r="AY141" s="38"/>
      <c r="AZ141" s="345"/>
      <c r="BA141" s="255"/>
    </row>
    <row r="142" spans="1:53" s="672" customFormat="1" x14ac:dyDescent="0.2">
      <c r="A142" s="45"/>
      <c r="B142" s="14"/>
      <c r="C142" s="682" t="s">
        <v>3526</v>
      </c>
      <c r="D142" s="489"/>
      <c r="E142" s="490"/>
      <c r="F142" s="485"/>
      <c r="G142" s="485"/>
      <c r="H142" s="485"/>
      <c r="I142" s="485"/>
      <c r="J142" s="485"/>
      <c r="K142" s="486"/>
      <c r="L142" s="487"/>
      <c r="M142" s="485"/>
      <c r="N142" s="485"/>
      <c r="O142" s="485"/>
      <c r="P142" s="488"/>
      <c r="Q142" s="488"/>
      <c r="R142" s="488"/>
      <c r="S142" s="488"/>
      <c r="T142" s="488"/>
      <c r="U142" s="488"/>
      <c r="V142" s="488"/>
      <c r="W142" s="488"/>
      <c r="X142" s="486"/>
      <c r="Y142" s="486"/>
      <c r="Z142" s="486"/>
      <c r="AA142" s="486"/>
      <c r="AB142" s="34">
        <f>L142+N142+P142+R142+T142+V142+X142+Z142</f>
        <v>0</v>
      </c>
      <c r="AC142" s="12">
        <f>M142+O142+Q142+S142+U142+W142+Y142+AA142</f>
        <v>0</v>
      </c>
      <c r="AD142" s="30">
        <f>D142+F142+H142+J142+AB142</f>
        <v>0</v>
      </c>
      <c r="AE142" s="25">
        <f>E142+G142+I142+K142+AC142</f>
        <v>0</v>
      </c>
      <c r="AF142" s="485"/>
      <c r="AG142" s="485">
        <f>'N.1 GASB 68 LGERS'!C75*'N.1 GASB 68 LGERS'!Q39</f>
        <v>0</v>
      </c>
      <c r="AH142" s="30"/>
      <c r="AI142" s="25"/>
      <c r="AJ142" s="273" t="s">
        <v>2074</v>
      </c>
      <c r="AK142" s="72">
        <f>'N.1 GASB 68 LGERS'!C111</f>
        <v>0</v>
      </c>
      <c r="AL142" s="10"/>
      <c r="AM142" s="273" t="s">
        <v>2074</v>
      </c>
      <c r="AN142" s="72">
        <f>'N.1 GASB 68 LGERS'!D111</f>
        <v>0</v>
      </c>
      <c r="AO142" s="280"/>
      <c r="AP142" s="73"/>
      <c r="AQ142" s="14"/>
      <c r="AR142" s="461" t="s">
        <v>682</v>
      </c>
      <c r="AS142" s="254">
        <f>'K.2  Int. Service Fd Alloca'!G185+'K.3 Int. Service Fd Alloca'!G185</f>
        <v>0</v>
      </c>
      <c r="AT142" s="677"/>
      <c r="AU142" s="509"/>
      <c r="AV142" s="323">
        <f>AD142+AF142+AH142+AK142+AP142+AT142+AD143+AF143+AH143+AK143+AP143+AT143</f>
        <v>0</v>
      </c>
      <c r="AW142" s="323">
        <f>AE142+AG142+AI142+AN142+AS142+AU142+AE143+AG143+AI143+AN143+AS143+AU143</f>
        <v>0</v>
      </c>
      <c r="AX142" s="45"/>
      <c r="AY142" s="38"/>
      <c r="AZ142" s="345" t="str">
        <f t="shared" si="33"/>
        <v xml:space="preserve"> </v>
      </c>
      <c r="BA142" s="255">
        <f t="shared" si="34"/>
        <v>0</v>
      </c>
    </row>
    <row r="143" spans="1:53" s="850" customFormat="1" x14ac:dyDescent="0.2">
      <c r="A143" s="45"/>
      <c r="B143" s="14"/>
      <c r="C143" s="682"/>
      <c r="D143" s="489"/>
      <c r="E143" s="490"/>
      <c r="F143" s="485"/>
      <c r="G143" s="485"/>
      <c r="H143" s="485"/>
      <c r="I143" s="485"/>
      <c r="J143" s="485"/>
      <c r="K143" s="486"/>
      <c r="L143" s="487"/>
      <c r="M143" s="485"/>
      <c r="N143" s="485"/>
      <c r="O143" s="485"/>
      <c r="P143" s="488"/>
      <c r="Q143" s="488"/>
      <c r="R143" s="488"/>
      <c r="S143" s="488"/>
      <c r="T143" s="488"/>
      <c r="U143" s="488"/>
      <c r="V143" s="488"/>
      <c r="W143" s="488"/>
      <c r="X143" s="486"/>
      <c r="Y143" s="486"/>
      <c r="Z143" s="486"/>
      <c r="AA143" s="486"/>
      <c r="AB143" s="34"/>
      <c r="AC143" s="12"/>
      <c r="AD143" s="30"/>
      <c r="AE143" s="25"/>
      <c r="AF143" s="485"/>
      <c r="AG143" s="485">
        <f>-'O. GASB 73 LEO Entries'!D33</f>
        <v>0</v>
      </c>
      <c r="AH143" s="30"/>
      <c r="AI143" s="25"/>
      <c r="AJ143" s="273" t="s">
        <v>3553</v>
      </c>
      <c r="AK143" s="72">
        <f>'O. GASB 73 LEO Entries'!C73</f>
        <v>0</v>
      </c>
      <c r="AL143" s="10"/>
      <c r="AM143" s="273" t="s">
        <v>3553</v>
      </c>
      <c r="AN143" s="72">
        <f>'O. GASB 73 LEO Entries'!D73</f>
        <v>0</v>
      </c>
      <c r="AO143" s="280"/>
      <c r="AP143" s="73"/>
      <c r="AQ143" s="14"/>
      <c r="AR143" s="461"/>
      <c r="AS143" s="254"/>
      <c r="AT143" s="852"/>
      <c r="AU143" s="509"/>
      <c r="AV143" s="323"/>
      <c r="AW143" s="323"/>
      <c r="AX143" s="45"/>
      <c r="AY143" s="38"/>
      <c r="AZ143" s="345"/>
      <c r="BA143" s="255"/>
    </row>
    <row r="144" spans="1:53" s="672" customFormat="1" ht="38.25" x14ac:dyDescent="0.2">
      <c r="A144" s="45"/>
      <c r="B144" s="14"/>
      <c r="C144" s="684" t="s">
        <v>2565</v>
      </c>
      <c r="D144" s="489"/>
      <c r="E144" s="490"/>
      <c r="F144" s="485"/>
      <c r="G144" s="485"/>
      <c r="H144" s="485"/>
      <c r="I144" s="485"/>
      <c r="J144" s="485"/>
      <c r="K144" s="486"/>
      <c r="L144" s="487"/>
      <c r="M144" s="485"/>
      <c r="N144" s="485"/>
      <c r="O144" s="485"/>
      <c r="P144" s="488"/>
      <c r="Q144" s="488"/>
      <c r="R144" s="488"/>
      <c r="S144" s="488"/>
      <c r="T144" s="488"/>
      <c r="U144" s="488"/>
      <c r="V144" s="488"/>
      <c r="W144" s="488"/>
      <c r="X144" s="486"/>
      <c r="Y144" s="486"/>
      <c r="Z144" s="486"/>
      <c r="AA144" s="486"/>
      <c r="AB144" s="34">
        <f>L144+N144+P144+R144+T144+V144+X144+Z144</f>
        <v>0</v>
      </c>
      <c r="AC144" s="12">
        <f>M144+O144+Q144+S144+U144+W144+Y144+AA144</f>
        <v>0</v>
      </c>
      <c r="AD144" s="30">
        <f>D144+F144+H144+J144+AB144</f>
        <v>0</v>
      </c>
      <c r="AE144" s="25">
        <f>E144+G144+I144+K144+AC144</f>
        <v>0</v>
      </c>
      <c r="AF144" s="485"/>
      <c r="AG144" s="485">
        <f>IF('N.1 GASB 68 LGERS'!K43&lt;0,-'N.1 GASB 68 LGERS'!K43*'N.1 GASB 68 LGERS'!C75,0)</f>
        <v>0</v>
      </c>
      <c r="AH144" s="30"/>
      <c r="AI144" s="25"/>
      <c r="AJ144" s="273" t="s">
        <v>2074</v>
      </c>
      <c r="AK144" s="72">
        <f>'N.1 GASB 68 LGERS'!C110</f>
        <v>0</v>
      </c>
      <c r="AL144" s="10"/>
      <c r="AM144" s="273" t="s">
        <v>2074</v>
      </c>
      <c r="AN144" s="72">
        <f>'N.1 GASB 68 LGERS'!D110</f>
        <v>0</v>
      </c>
      <c r="AO144" s="280"/>
      <c r="AP144" s="73"/>
      <c r="AQ144" s="14"/>
      <c r="AR144" s="461" t="s">
        <v>682</v>
      </c>
      <c r="AS144" s="254">
        <f>'K.1  Int. Service Fd Allocation'!G193+'K.2  Int. Service Fd Alloca'!G186+'K.3 Int. Service Fd Alloca'!G186</f>
        <v>0</v>
      </c>
      <c r="AT144" s="677"/>
      <c r="AU144" s="509"/>
      <c r="AV144" s="323">
        <f>AD144+AF144+AH144+AK144+AP144+AT144</f>
        <v>0</v>
      </c>
      <c r="AW144" s="323">
        <f>AE144+AG144+AI144+AN144+AS144+AU144</f>
        <v>0</v>
      </c>
      <c r="AX144" s="45"/>
      <c r="AY144" s="38"/>
      <c r="AZ144" s="345" t="str">
        <f t="shared" si="33"/>
        <v xml:space="preserve"> </v>
      </c>
      <c r="BA144" s="255">
        <f t="shared" si="34"/>
        <v>0</v>
      </c>
    </row>
    <row r="145" spans="1:54" s="966" customFormat="1" ht="25.5" x14ac:dyDescent="0.2">
      <c r="A145" s="45"/>
      <c r="B145" s="14"/>
      <c r="C145" s="974" t="s">
        <v>3896</v>
      </c>
      <c r="D145" s="489"/>
      <c r="E145" s="490"/>
      <c r="F145" s="485"/>
      <c r="G145" s="485"/>
      <c r="H145" s="485"/>
      <c r="I145" s="485"/>
      <c r="J145" s="485"/>
      <c r="K145" s="486"/>
      <c r="L145" s="487"/>
      <c r="M145" s="485"/>
      <c r="N145" s="485"/>
      <c r="O145" s="485"/>
      <c r="P145" s="488"/>
      <c r="Q145" s="488"/>
      <c r="R145" s="488"/>
      <c r="S145" s="488"/>
      <c r="T145" s="488"/>
      <c r="U145" s="488"/>
      <c r="V145" s="488"/>
      <c r="W145" s="488"/>
      <c r="X145" s="486"/>
      <c r="Y145" s="486"/>
      <c r="Z145" s="486"/>
      <c r="AA145" s="486"/>
      <c r="AB145" s="34"/>
      <c r="AC145" s="12"/>
      <c r="AD145" s="30"/>
      <c r="AE145" s="25"/>
      <c r="AF145" s="485"/>
      <c r="AG145" s="485"/>
      <c r="AH145" s="30"/>
      <c r="AI145" s="25"/>
      <c r="AJ145" s="273"/>
      <c r="AK145" s="72"/>
      <c r="AL145" s="10"/>
      <c r="AM145" s="1120" t="s">
        <v>4900</v>
      </c>
      <c r="AN145" s="72">
        <f>'P. GASB 75 OPEB 1 Entries'!D73-'P. GASB 75 OPEB 1 Entries'!C68+'P. GASB 75 OPEB 2 Entries'!D73-'P. GASB 75 OPEB 2 Entries'!C68+'P. GASB 75 3 OPEB Entries'!D73-'P. GASB 75 3 OPEB Entries'!C68</f>
        <v>0</v>
      </c>
      <c r="AO145" s="280"/>
      <c r="AP145" s="73"/>
      <c r="AQ145" s="14"/>
      <c r="AR145" s="461" t="s">
        <v>682</v>
      </c>
      <c r="AS145" s="254">
        <f>'K.1  Int. Service Fd Allocation'!G197+'K.2  Int. Service Fd Alloca'!G190+'K.3 Int. Service Fd Alloca'!G190</f>
        <v>0</v>
      </c>
      <c r="AT145" s="969"/>
      <c r="AU145" s="509"/>
      <c r="AV145" s="323">
        <f>AD145+AF145+AH145+AK145+AP145+AT145</f>
        <v>0</v>
      </c>
      <c r="AW145" s="323">
        <f>AE145+AG145+AI145+AN145+AS145+AU145</f>
        <v>0</v>
      </c>
      <c r="AX145" s="45"/>
      <c r="AY145" s="38"/>
      <c r="AZ145" s="345"/>
      <c r="BA145" s="255">
        <f t="shared" si="34"/>
        <v>0</v>
      </c>
    </row>
    <row r="146" spans="1:54" s="966" customFormat="1" ht="24" x14ac:dyDescent="0.2">
      <c r="A146" s="45"/>
      <c r="B146" s="14"/>
      <c r="C146" s="975" t="s">
        <v>3897</v>
      </c>
      <c r="D146" s="489"/>
      <c r="E146" s="490"/>
      <c r="F146" s="485"/>
      <c r="G146" s="485"/>
      <c r="H146" s="485"/>
      <c r="I146" s="485"/>
      <c r="J146" s="485"/>
      <c r="K146" s="486"/>
      <c r="L146" s="487"/>
      <c r="M146" s="485"/>
      <c r="N146" s="485"/>
      <c r="O146" s="485"/>
      <c r="P146" s="488"/>
      <c r="Q146" s="488"/>
      <c r="R146" s="488"/>
      <c r="S146" s="488"/>
      <c r="T146" s="488"/>
      <c r="U146" s="488"/>
      <c r="V146" s="488"/>
      <c r="W146" s="488"/>
      <c r="X146" s="486"/>
      <c r="Y146" s="486"/>
      <c r="Z146" s="486"/>
      <c r="AA146" s="486"/>
      <c r="AB146" s="34"/>
      <c r="AC146" s="12"/>
      <c r="AD146" s="30"/>
      <c r="AE146" s="25"/>
      <c r="AF146" s="485"/>
      <c r="AG146" s="485"/>
      <c r="AH146" s="30"/>
      <c r="AI146" s="25"/>
      <c r="AJ146" s="273"/>
      <c r="AK146" s="72"/>
      <c r="AL146" s="10"/>
      <c r="AM146" s="1120" t="s">
        <v>4900</v>
      </c>
      <c r="AN146" s="72">
        <f>'P. GASB 75 OPEB 1 Entries'!D74-'P. GASB 75 OPEB 1 Entries'!C69+'P. GASB 75 OPEB 2 Entries'!D74-'P. GASB 75 OPEB 2 Entries'!C69+'P. GASB 75 3 OPEB Entries'!D74-'P. GASB 75 3 OPEB Entries'!C69</f>
        <v>0</v>
      </c>
      <c r="AO146" s="280"/>
      <c r="AP146" s="73"/>
      <c r="AQ146" s="14"/>
      <c r="AR146" s="461" t="s">
        <v>682</v>
      </c>
      <c r="AS146" s="254">
        <f>'K.1  Int. Service Fd Allocation'!G196+'K.2  Int. Service Fd Alloca'!G189+'K.3 Int. Service Fd Alloca'!G189</f>
        <v>0</v>
      </c>
      <c r="AT146" s="969"/>
      <c r="AU146" s="509"/>
      <c r="AV146" s="323">
        <f>AD146+AF146+AH146+AK146+AP146+AT146</f>
        <v>0</v>
      </c>
      <c r="AW146" s="323">
        <f>AE146+AG146+AI146+AN146+AS146+AU146</f>
        <v>0</v>
      </c>
      <c r="AX146" s="45"/>
      <c r="AY146" s="38"/>
      <c r="AZ146" s="345"/>
      <c r="BA146" s="255">
        <f t="shared" si="34"/>
        <v>0</v>
      </c>
    </row>
    <row r="147" spans="1:54" s="966" customFormat="1" x14ac:dyDescent="0.2">
      <c r="A147" s="45"/>
      <c r="B147" s="14"/>
      <c r="C147" s="684"/>
      <c r="D147" s="489"/>
      <c r="E147" s="490"/>
      <c r="F147" s="485"/>
      <c r="G147" s="485"/>
      <c r="H147" s="485"/>
      <c r="I147" s="485"/>
      <c r="J147" s="485"/>
      <c r="K147" s="486"/>
      <c r="L147" s="487"/>
      <c r="M147" s="485"/>
      <c r="N147" s="485"/>
      <c r="O147" s="485"/>
      <c r="P147" s="488"/>
      <c r="Q147" s="488"/>
      <c r="R147" s="488"/>
      <c r="S147" s="488"/>
      <c r="T147" s="488"/>
      <c r="U147" s="488"/>
      <c r="V147" s="488"/>
      <c r="W147" s="488"/>
      <c r="X147" s="486"/>
      <c r="Y147" s="486"/>
      <c r="Z147" s="486"/>
      <c r="AA147" s="486"/>
      <c r="AB147" s="34"/>
      <c r="AC147" s="12"/>
      <c r="AD147" s="30"/>
      <c r="AE147" s="25"/>
      <c r="AF147" s="485"/>
      <c r="AG147" s="485"/>
      <c r="AH147" s="30"/>
      <c r="AI147" s="25"/>
      <c r="AJ147" s="273"/>
      <c r="AK147" s="72"/>
      <c r="AL147" s="10"/>
      <c r="AM147" s="273"/>
      <c r="AN147" s="72"/>
      <c r="AO147" s="280"/>
      <c r="AP147" s="73"/>
      <c r="AQ147" s="14"/>
      <c r="AR147" s="461"/>
      <c r="AS147" s="254"/>
      <c r="AT147" s="969"/>
      <c r="AU147" s="509"/>
      <c r="AV147" s="323"/>
      <c r="AW147" s="323"/>
      <c r="AX147" s="45"/>
      <c r="AY147" s="38"/>
      <c r="AZ147" s="345"/>
      <c r="BA147" s="254"/>
    </row>
    <row r="148" spans="1:54" s="966" customFormat="1" x14ac:dyDescent="0.2">
      <c r="A148" s="45"/>
      <c r="B148" s="14"/>
      <c r="C148" s="684"/>
      <c r="D148" s="489"/>
      <c r="E148" s="490"/>
      <c r="F148" s="485"/>
      <c r="G148" s="485"/>
      <c r="H148" s="485"/>
      <c r="I148" s="485"/>
      <c r="J148" s="485"/>
      <c r="K148" s="486"/>
      <c r="L148" s="487"/>
      <c r="M148" s="485"/>
      <c r="N148" s="485"/>
      <c r="O148" s="485"/>
      <c r="P148" s="488"/>
      <c r="Q148" s="488"/>
      <c r="R148" s="488"/>
      <c r="S148" s="488"/>
      <c r="T148" s="488"/>
      <c r="U148" s="488"/>
      <c r="V148" s="488"/>
      <c r="W148" s="488"/>
      <c r="X148" s="486"/>
      <c r="Y148" s="486"/>
      <c r="Z148" s="486"/>
      <c r="AA148" s="486"/>
      <c r="AB148" s="34"/>
      <c r="AC148" s="12"/>
      <c r="AD148" s="30"/>
      <c r="AE148" s="25"/>
      <c r="AF148" s="485"/>
      <c r="AG148" s="485"/>
      <c r="AH148" s="30"/>
      <c r="AI148" s="25"/>
      <c r="AJ148" s="273"/>
      <c r="AK148" s="72"/>
      <c r="AL148" s="10"/>
      <c r="AM148" s="273"/>
      <c r="AN148" s="72"/>
      <c r="AO148" s="280"/>
      <c r="AP148" s="73"/>
      <c r="AQ148" s="14"/>
      <c r="AR148" s="461"/>
      <c r="AS148" s="254"/>
      <c r="AT148" s="969"/>
      <c r="AU148" s="509"/>
      <c r="AV148" s="323"/>
      <c r="AW148" s="323"/>
      <c r="AX148" s="45"/>
      <c r="AY148" s="38"/>
      <c r="AZ148" s="345"/>
      <c r="BA148" s="254"/>
    </row>
    <row r="149" spans="1:54" s="672" customFormat="1" x14ac:dyDescent="0.2">
      <c r="A149" s="45"/>
      <c r="B149" s="14"/>
      <c r="C149" s="814"/>
      <c r="D149" s="489"/>
      <c r="E149" s="490"/>
      <c r="F149" s="485"/>
      <c r="G149" s="485"/>
      <c r="H149" s="485"/>
      <c r="I149" s="485"/>
      <c r="J149" s="485"/>
      <c r="K149" s="486"/>
      <c r="L149" s="487"/>
      <c r="M149" s="485"/>
      <c r="N149" s="485"/>
      <c r="O149" s="485"/>
      <c r="P149" s="488"/>
      <c r="Q149" s="488"/>
      <c r="R149" s="488"/>
      <c r="S149" s="488"/>
      <c r="T149" s="488"/>
      <c r="U149" s="488"/>
      <c r="V149" s="488"/>
      <c r="W149" s="488"/>
      <c r="X149" s="486"/>
      <c r="Y149" s="486"/>
      <c r="Z149" s="486"/>
      <c r="AA149" s="486"/>
      <c r="AB149" s="34">
        <f>L149+N149+P149+R149+T149+V149+X149+Z149</f>
        <v>0</v>
      </c>
      <c r="AC149" s="12">
        <f>M149+O149+Q149+S149+U149+W149+Y149+AA149</f>
        <v>0</v>
      </c>
      <c r="AD149" s="30">
        <f>D149+F149+H149+J149+AB149</f>
        <v>0</v>
      </c>
      <c r="AE149" s="25">
        <f>E149+G149+I149+K149+AC149</f>
        <v>0</v>
      </c>
      <c r="AF149" s="485"/>
      <c r="AG149" s="485"/>
      <c r="AH149" s="30"/>
      <c r="AI149" s="25"/>
      <c r="AJ149" s="273"/>
      <c r="AK149" s="72"/>
      <c r="AL149" s="10"/>
      <c r="AM149" s="273"/>
      <c r="AN149" s="72"/>
      <c r="AO149" s="280"/>
      <c r="AP149" s="73"/>
      <c r="AQ149" s="14"/>
      <c r="AR149" s="272"/>
      <c r="AS149" s="254"/>
      <c r="AT149" s="677"/>
      <c r="AU149" s="509"/>
      <c r="AV149" s="323"/>
      <c r="AW149" s="323"/>
      <c r="AX149" s="45"/>
      <c r="AY149" s="38"/>
      <c r="AZ149" s="345"/>
      <c r="BA149" s="254"/>
    </row>
    <row r="150" spans="1:54" x14ac:dyDescent="0.2">
      <c r="A150" s="45"/>
      <c r="B150" s="14"/>
      <c r="C150" s="54"/>
      <c r="D150" s="489"/>
      <c r="E150" s="490"/>
      <c r="F150" s="485"/>
      <c r="G150" s="485"/>
      <c r="H150" s="485"/>
      <c r="I150" s="485"/>
      <c r="J150" s="485"/>
      <c r="K150" s="486"/>
      <c r="L150" s="487"/>
      <c r="M150" s="485"/>
      <c r="N150" s="485"/>
      <c r="O150" s="485"/>
      <c r="P150" s="488"/>
      <c r="Q150" s="488"/>
      <c r="R150" s="488"/>
      <c r="S150" s="488"/>
      <c r="T150" s="488"/>
      <c r="U150" s="488"/>
      <c r="V150" s="488"/>
      <c r="W150" s="488"/>
      <c r="X150" s="486"/>
      <c r="Y150" s="486"/>
      <c r="Z150" s="486"/>
      <c r="AA150" s="486"/>
      <c r="AB150" s="34"/>
      <c r="AC150" s="12"/>
      <c r="AD150" s="30"/>
      <c r="AE150" s="25"/>
      <c r="AF150" s="485"/>
      <c r="AG150" s="485"/>
      <c r="AH150" s="30"/>
      <c r="AI150" s="25"/>
      <c r="AJ150" s="272"/>
      <c r="AK150" s="73"/>
      <c r="AL150" s="12"/>
      <c r="AM150" s="272"/>
      <c r="AN150" s="73"/>
      <c r="AO150" s="279"/>
      <c r="AP150" s="73"/>
      <c r="AQ150" s="14"/>
      <c r="AR150" s="461"/>
      <c r="AS150" s="255"/>
      <c r="AT150" s="508"/>
      <c r="AU150" s="509"/>
      <c r="AV150" s="323"/>
      <c r="AW150" s="323"/>
      <c r="AX150" s="45"/>
      <c r="AY150" s="38"/>
      <c r="AZ150" s="345"/>
      <c r="BA150" s="254"/>
    </row>
    <row r="151" spans="1:54" x14ac:dyDescent="0.2">
      <c r="A151" s="57"/>
      <c r="B151" s="54"/>
      <c r="C151" s="309" t="s">
        <v>115</v>
      </c>
      <c r="D151" s="497"/>
      <c r="E151" s="498"/>
      <c r="F151" s="499"/>
      <c r="G151" s="499"/>
      <c r="H151" s="499"/>
      <c r="I151" s="499"/>
      <c r="J151" s="499"/>
      <c r="K151" s="500"/>
      <c r="L151" s="501"/>
      <c r="M151" s="499"/>
      <c r="N151" s="499"/>
      <c r="O151" s="499"/>
      <c r="P151" s="502"/>
      <c r="Q151" s="502"/>
      <c r="R151" s="502"/>
      <c r="S151" s="502"/>
      <c r="T151" s="502"/>
      <c r="U151" s="502"/>
      <c r="V151" s="502"/>
      <c r="W151" s="502"/>
      <c r="X151" s="500"/>
      <c r="Y151" s="500"/>
      <c r="Z151" s="500"/>
      <c r="AA151" s="500"/>
      <c r="AB151" s="313">
        <f t="shared" si="21"/>
        <v>0</v>
      </c>
      <c r="AC151" s="311">
        <f t="shared" si="22"/>
        <v>0</v>
      </c>
      <c r="AD151" s="312">
        <f t="shared" si="23"/>
        <v>0</v>
      </c>
      <c r="AE151" s="314">
        <f t="shared" si="24"/>
        <v>0</v>
      </c>
      <c r="AF151" s="499">
        <f>SUM(AG119:AG133)-AG132-AG131</f>
        <v>0</v>
      </c>
      <c r="AG151" s="499">
        <f>SUM(AF36:AF68)-SUM(AG36:AG68)</f>
        <v>0</v>
      </c>
      <c r="AH151" s="312"/>
      <c r="AI151" s="314"/>
      <c r="AJ151" s="315" t="str">
        <f>'G. Debt Service'!D52</f>
        <v>G.2</v>
      </c>
      <c r="AK151" s="316">
        <f>'G. Debt Service'!L52</f>
        <v>0</v>
      </c>
      <c r="AL151" s="311"/>
      <c r="AM151" s="315" t="str">
        <f>'B.  Property Taxes'!A53</f>
        <v>B.1</v>
      </c>
      <c r="AN151" s="316">
        <f>'B.  Property Taxes'!L55</f>
        <v>0</v>
      </c>
      <c r="AO151" s="317"/>
      <c r="AP151" s="316"/>
      <c r="AQ151" s="309"/>
      <c r="AR151" s="463" t="s">
        <v>682</v>
      </c>
      <c r="AS151" s="318">
        <f>'K.1  Int. Service Fd Allocation'!G198+'K.2  Int. Service Fd Alloca'!G191+'K.3 Int. Service Fd Alloca'!G191</f>
        <v>0</v>
      </c>
      <c r="AT151" s="508"/>
      <c r="AU151" s="509"/>
      <c r="AV151" s="316">
        <f t="shared" ref="AV151:AV159" si="35">AD151+AF151+AH151+AK151+AP151+AT151</f>
        <v>0</v>
      </c>
      <c r="AW151" s="316">
        <f>AE151+AG151+AI151+AN151+AS151+AU151</f>
        <v>0</v>
      </c>
      <c r="AX151" s="307"/>
      <c r="AY151" s="308"/>
      <c r="AZ151" s="346">
        <f>IF((AV151+AV152+AV153+AV155)-(AW151+AW152+AW153+AW154+AW155)&lt;=0,0,(AV151+AV152+AV153+AV155)-(AW151+AW152+AW153+AW154+AW155))</f>
        <v>0</v>
      </c>
      <c r="BA151" s="318">
        <f>IF((AV151+AV152+AV153+AV155+AV156+AV157)-(AW151+AW152+AW153+AW154+AW155+AW156)&gt;0,0,(AW151+AW152+AW153+AW154+AW155+AW156)-(AV151+AV152+AV153+AV155+AV156+AV157))</f>
        <v>0</v>
      </c>
    </row>
    <row r="152" spans="1:54" x14ac:dyDescent="0.2">
      <c r="A152" s="57"/>
      <c r="B152" s="54"/>
      <c r="C152" s="309"/>
      <c r="D152" s="497"/>
      <c r="E152" s="503"/>
      <c r="F152" s="499"/>
      <c r="G152" s="499"/>
      <c r="H152" s="499"/>
      <c r="I152" s="499"/>
      <c r="J152" s="499"/>
      <c r="K152" s="499"/>
      <c r="L152" s="501"/>
      <c r="M152" s="499"/>
      <c r="N152" s="499"/>
      <c r="O152" s="499"/>
      <c r="P152" s="502"/>
      <c r="Q152" s="502"/>
      <c r="R152" s="502"/>
      <c r="S152" s="502"/>
      <c r="T152" s="502"/>
      <c r="U152" s="502"/>
      <c r="V152" s="502"/>
      <c r="W152" s="502"/>
      <c r="X152" s="500"/>
      <c r="Y152" s="500"/>
      <c r="Z152" s="500"/>
      <c r="AA152" s="500"/>
      <c r="AB152" s="313">
        <f t="shared" si="21"/>
        <v>0</v>
      </c>
      <c r="AC152" s="311">
        <f t="shared" si="22"/>
        <v>0</v>
      </c>
      <c r="AD152" s="312">
        <f t="shared" si="23"/>
        <v>0</v>
      </c>
      <c r="AE152" s="314">
        <f t="shared" si="24"/>
        <v>0</v>
      </c>
      <c r="AF152" s="885"/>
      <c r="AG152" s="885"/>
      <c r="AH152" s="312"/>
      <c r="AI152" s="314"/>
      <c r="AJ152" s="315" t="s">
        <v>865</v>
      </c>
      <c r="AK152" s="316">
        <f>'J. Other Liability &amp; Expenses'!L202</f>
        <v>0</v>
      </c>
      <c r="AL152" s="311"/>
      <c r="AM152" s="315" t="str">
        <f>'C. Other Revenues'!B205</f>
        <v>C.1</v>
      </c>
      <c r="AN152" s="316">
        <f>'C. Other Revenues'!M241</f>
        <v>0</v>
      </c>
      <c r="AO152" s="317" t="str">
        <f>'L. Eliminations-Consolidations'!B266</f>
        <v>L.8</v>
      </c>
      <c r="AP152" s="316">
        <f>'L. Eliminations-Consolidations'!J275</f>
        <v>0</v>
      </c>
      <c r="AQ152" s="309"/>
      <c r="AR152" s="315" t="str">
        <f>'L. Eliminations-Consolidations'!B266</f>
        <v>L.8</v>
      </c>
      <c r="AS152" s="318">
        <f>'L. Eliminations-Consolidations'!L275</f>
        <v>0</v>
      </c>
      <c r="AT152" s="508"/>
      <c r="AU152" s="509"/>
      <c r="AV152" s="316">
        <f t="shared" si="35"/>
        <v>0</v>
      </c>
      <c r="AW152" s="316">
        <f t="shared" si="26"/>
        <v>0</v>
      </c>
      <c r="AX152" s="307"/>
      <c r="AY152" s="308"/>
      <c r="AZ152" s="346"/>
      <c r="BA152" s="318"/>
    </row>
    <row r="153" spans="1:54" x14ac:dyDescent="0.2">
      <c r="A153" s="57"/>
      <c r="B153" s="54"/>
      <c r="C153" s="309"/>
      <c r="D153" s="497"/>
      <c r="E153" s="503"/>
      <c r="F153" s="499"/>
      <c r="G153" s="499"/>
      <c r="H153" s="499"/>
      <c r="I153" s="499"/>
      <c r="J153" s="499"/>
      <c r="K153" s="499"/>
      <c r="L153" s="501"/>
      <c r="M153" s="499"/>
      <c r="N153" s="499"/>
      <c r="O153" s="499"/>
      <c r="P153" s="502"/>
      <c r="Q153" s="502"/>
      <c r="R153" s="502"/>
      <c r="S153" s="502"/>
      <c r="T153" s="502"/>
      <c r="U153" s="502"/>
      <c r="V153" s="502"/>
      <c r="W153" s="502"/>
      <c r="X153" s="500"/>
      <c r="Y153" s="500"/>
      <c r="Z153" s="500"/>
      <c r="AA153" s="500"/>
      <c r="AB153" s="313">
        <f t="shared" si="21"/>
        <v>0</v>
      </c>
      <c r="AC153" s="311">
        <f t="shared" si="22"/>
        <v>0</v>
      </c>
      <c r="AD153" s="312">
        <f t="shared" si="23"/>
        <v>0</v>
      </c>
      <c r="AE153" s="314">
        <f t="shared" si="24"/>
        <v>0</v>
      </c>
      <c r="AF153" s="511"/>
      <c r="AG153" s="511"/>
      <c r="AH153" s="312"/>
      <c r="AI153" s="314"/>
      <c r="AJ153" s="315" t="s">
        <v>3553</v>
      </c>
      <c r="AK153" s="316">
        <f>'O. GASB 73 LEO Entries'!C66</f>
        <v>0</v>
      </c>
      <c r="AL153" s="311"/>
      <c r="AM153" s="322" t="str">
        <f>'I.  Other Asset Entries'!B105</f>
        <v>I.1</v>
      </c>
      <c r="AN153" s="316">
        <f>'I.  Other Asset Entries'!N119</f>
        <v>0</v>
      </c>
      <c r="AO153" s="342"/>
      <c r="AP153" s="309"/>
      <c r="AQ153" s="309"/>
      <c r="AR153" s="315"/>
      <c r="AS153" s="318"/>
      <c r="AT153" s="508"/>
      <c r="AU153" s="509"/>
      <c r="AV153" s="316">
        <f t="shared" si="35"/>
        <v>0</v>
      </c>
      <c r="AW153" s="316">
        <f t="shared" si="26"/>
        <v>0</v>
      </c>
      <c r="AX153" s="307"/>
      <c r="AY153" s="308"/>
      <c r="AZ153" s="346"/>
      <c r="BA153" s="318"/>
    </row>
    <row r="154" spans="1:54" x14ac:dyDescent="0.2">
      <c r="A154" s="57"/>
      <c r="B154" s="54"/>
      <c r="C154" s="309"/>
      <c r="D154" s="497"/>
      <c r="E154" s="503"/>
      <c r="F154" s="499"/>
      <c r="G154" s="499"/>
      <c r="H154" s="499"/>
      <c r="I154" s="499"/>
      <c r="J154" s="499"/>
      <c r="K154" s="499"/>
      <c r="L154" s="501"/>
      <c r="M154" s="499"/>
      <c r="N154" s="499"/>
      <c r="O154" s="499"/>
      <c r="P154" s="502"/>
      <c r="Q154" s="502"/>
      <c r="R154" s="502"/>
      <c r="S154" s="502"/>
      <c r="T154" s="502"/>
      <c r="U154" s="502"/>
      <c r="V154" s="502"/>
      <c r="W154" s="502"/>
      <c r="X154" s="500"/>
      <c r="Y154" s="500"/>
      <c r="Z154" s="500"/>
      <c r="AA154" s="500"/>
      <c r="AB154" s="313">
        <f>L154+N154+P154+R154+T154+V154+X154+Z154</f>
        <v>0</v>
      </c>
      <c r="AC154" s="311">
        <f>M154+O154+Q154+S154+U154+W154+Y154+AA154</f>
        <v>0</v>
      </c>
      <c r="AD154" s="312">
        <f>D154+F154+H154+J154+AB154</f>
        <v>0</v>
      </c>
      <c r="AE154" s="314">
        <f>E154+G154+I154+K154+AC154</f>
        <v>0</v>
      </c>
      <c r="AF154" s="511"/>
      <c r="AG154" s="511"/>
      <c r="AH154" s="312"/>
      <c r="AI154" s="314"/>
      <c r="AJ154" s="315"/>
      <c r="AK154" s="316"/>
      <c r="AL154" s="311"/>
      <c r="AM154" s="322" t="s">
        <v>865</v>
      </c>
      <c r="AN154" s="316">
        <f>'J. Other Liability &amp; Expenses'!N203</f>
        <v>0</v>
      </c>
      <c r="AO154" s="317" t="str">
        <f>'L. Eliminations-Consolidations'!B281</f>
        <v>L.9</v>
      </c>
      <c r="AP154" s="316">
        <f>'L. Eliminations-Consolidations'!J281</f>
        <v>0</v>
      </c>
      <c r="AQ154" s="309"/>
      <c r="AR154" s="315"/>
      <c r="AS154" s="318"/>
      <c r="AT154" s="508"/>
      <c r="AU154" s="509"/>
      <c r="AV154" s="316">
        <f t="shared" si="35"/>
        <v>0</v>
      </c>
      <c r="AW154" s="316">
        <f t="shared" si="26"/>
        <v>0</v>
      </c>
      <c r="AX154" s="307"/>
      <c r="AY154" s="308"/>
      <c r="AZ154" s="346"/>
      <c r="BA154" s="318"/>
    </row>
    <row r="155" spans="1:54" s="803" customFormat="1" x14ac:dyDescent="0.2">
      <c r="A155" s="57"/>
      <c r="B155" s="805"/>
      <c r="C155" s="809" t="s">
        <v>3927</v>
      </c>
      <c r="D155" s="497"/>
      <c r="E155" s="503"/>
      <c r="F155" s="499"/>
      <c r="G155" s="499"/>
      <c r="H155" s="499"/>
      <c r="I155" s="499"/>
      <c r="J155" s="499"/>
      <c r="K155" s="499"/>
      <c r="L155" s="501"/>
      <c r="M155" s="499"/>
      <c r="N155" s="499"/>
      <c r="O155" s="499"/>
      <c r="P155" s="502"/>
      <c r="Q155" s="502"/>
      <c r="R155" s="502"/>
      <c r="S155" s="502"/>
      <c r="T155" s="502"/>
      <c r="U155" s="502"/>
      <c r="V155" s="502"/>
      <c r="W155" s="502"/>
      <c r="X155" s="500"/>
      <c r="Y155" s="500"/>
      <c r="Z155" s="500"/>
      <c r="AA155" s="500"/>
      <c r="AB155" s="313">
        <f>L155+N155+P155+R155+T155+V155+X155+Z155</f>
        <v>0</v>
      </c>
      <c r="AC155" s="311">
        <f>M155+O155+Q155+S155+U155+W155+Y155+AA155</f>
        <v>0</v>
      </c>
      <c r="AD155" s="312">
        <f>D155+F155+H155+J155+AB155</f>
        <v>0</v>
      </c>
      <c r="AE155" s="314">
        <f>E155+G155+I155+K155+AC155</f>
        <v>0</v>
      </c>
      <c r="AF155" s="885">
        <f>AG144+AG142+AG140+AG139+AG132</f>
        <v>0</v>
      </c>
      <c r="AG155" s="503">
        <f>AF81+AF79+AF77+AF76+AF74+AF30</f>
        <v>0</v>
      </c>
      <c r="AH155" s="312"/>
      <c r="AI155" s="314"/>
      <c r="AJ155" s="315"/>
      <c r="AK155" s="316"/>
      <c r="AL155" s="311"/>
      <c r="AM155" s="322"/>
      <c r="AN155" s="316"/>
      <c r="AO155" s="317"/>
      <c r="AP155" s="316"/>
      <c r="AQ155" s="309"/>
      <c r="AR155" s="315"/>
      <c r="AS155" s="318"/>
      <c r="AT155" s="804"/>
      <c r="AU155" s="509"/>
      <c r="AV155" s="316">
        <f t="shared" si="35"/>
        <v>0</v>
      </c>
      <c r="AW155" s="316">
        <f>AE155+AG155+AI155+AN155+AS155+AU155</f>
        <v>0</v>
      </c>
      <c r="AX155" s="307"/>
      <c r="AY155" s="308"/>
      <c r="AZ155" s="346"/>
      <c r="BA155" s="318"/>
      <c r="BB155" s="5"/>
    </row>
    <row r="156" spans="1:54" s="993" customFormat="1" x14ac:dyDescent="0.2">
      <c r="A156" s="57"/>
      <c r="B156" s="997"/>
      <c r="C156" s="809" t="s">
        <v>3928</v>
      </c>
      <c r="D156" s="497"/>
      <c r="E156" s="503"/>
      <c r="F156" s="499"/>
      <c r="G156" s="499"/>
      <c r="H156" s="499"/>
      <c r="I156" s="499"/>
      <c r="J156" s="499"/>
      <c r="K156" s="499"/>
      <c r="L156" s="501"/>
      <c r="M156" s="499"/>
      <c r="N156" s="499"/>
      <c r="O156" s="499"/>
      <c r="P156" s="502"/>
      <c r="Q156" s="502"/>
      <c r="R156" s="502"/>
      <c r="S156" s="502"/>
      <c r="T156" s="502"/>
      <c r="U156" s="502"/>
      <c r="V156" s="502"/>
      <c r="W156" s="502"/>
      <c r="X156" s="500"/>
      <c r="Y156" s="500"/>
      <c r="Z156" s="500"/>
      <c r="AA156" s="500"/>
      <c r="AB156" s="313"/>
      <c r="AC156" s="311"/>
      <c r="AD156" s="312"/>
      <c r="AE156" s="314"/>
      <c r="AF156" s="885">
        <f>AG143+AG141+AG131</f>
        <v>0</v>
      </c>
      <c r="AG156" s="503">
        <f>AF75+AF78</f>
        <v>0</v>
      </c>
      <c r="AH156" s="312"/>
      <c r="AI156" s="314"/>
      <c r="AJ156" s="315"/>
      <c r="AK156" s="316"/>
      <c r="AL156" s="311"/>
      <c r="AM156" s="322"/>
      <c r="AN156" s="316"/>
      <c r="AO156" s="317"/>
      <c r="AP156" s="316"/>
      <c r="AQ156" s="309"/>
      <c r="AR156" s="315"/>
      <c r="AS156" s="318"/>
      <c r="AT156" s="998"/>
      <c r="AU156" s="509"/>
      <c r="AV156" s="316">
        <f t="shared" si="35"/>
        <v>0</v>
      </c>
      <c r="AW156" s="316">
        <f>AE156+AG156+AI156+AN156+AS156+AU156</f>
        <v>0</v>
      </c>
      <c r="AX156" s="307"/>
      <c r="AY156" s="308"/>
      <c r="AZ156" s="346"/>
      <c r="BA156" s="318"/>
      <c r="BB156" s="5"/>
    </row>
    <row r="157" spans="1:54" s="993" customFormat="1" x14ac:dyDescent="0.2">
      <c r="A157" s="57"/>
      <c r="B157" s="997"/>
      <c r="C157" s="809"/>
      <c r="D157" s="497"/>
      <c r="E157" s="503"/>
      <c r="F157" s="499"/>
      <c r="G157" s="499"/>
      <c r="H157" s="499"/>
      <c r="I157" s="499"/>
      <c r="J157" s="499"/>
      <c r="K157" s="499"/>
      <c r="L157" s="501"/>
      <c r="M157" s="499"/>
      <c r="N157" s="499"/>
      <c r="O157" s="499"/>
      <c r="P157" s="502"/>
      <c r="Q157" s="502"/>
      <c r="R157" s="502"/>
      <c r="S157" s="502"/>
      <c r="T157" s="502"/>
      <c r="U157" s="502"/>
      <c r="V157" s="502"/>
      <c r="W157" s="502"/>
      <c r="X157" s="500"/>
      <c r="Y157" s="500"/>
      <c r="Z157" s="500"/>
      <c r="AA157" s="500"/>
      <c r="AB157" s="313"/>
      <c r="AC157" s="311"/>
      <c r="AD157" s="312"/>
      <c r="AE157" s="314"/>
      <c r="AF157" s="885"/>
      <c r="AG157" s="503"/>
      <c r="AH157" s="312"/>
      <c r="AI157" s="314"/>
      <c r="AJ157" s="315"/>
      <c r="AK157" s="316"/>
      <c r="AL157" s="311"/>
      <c r="AM157" s="322"/>
      <c r="AN157" s="316"/>
      <c r="AO157" s="317"/>
      <c r="AP157" s="316"/>
      <c r="AQ157" s="309"/>
      <c r="AR157" s="315"/>
      <c r="AS157" s="318"/>
      <c r="AT157" s="998"/>
      <c r="AU157" s="509"/>
      <c r="AV157" s="316">
        <f t="shared" si="35"/>
        <v>0</v>
      </c>
      <c r="AW157" s="316">
        <f>AE157+AG157+AI157+AN157+AS157+AU157</f>
        <v>0</v>
      </c>
      <c r="AX157" s="307"/>
      <c r="AY157" s="308"/>
      <c r="AZ157" s="346"/>
      <c r="BA157" s="318"/>
      <c r="BB157" s="5"/>
    </row>
    <row r="158" spans="1:54" x14ac:dyDescent="0.2">
      <c r="A158" s="45"/>
      <c r="B158" s="14"/>
      <c r="C158" s="657" t="s">
        <v>1137</v>
      </c>
      <c r="D158" s="497"/>
      <c r="E158" s="498"/>
      <c r="F158" s="499"/>
      <c r="G158" s="499"/>
      <c r="H158" s="498"/>
      <c r="I158" s="498"/>
      <c r="J158" s="498"/>
      <c r="K158" s="498"/>
      <c r="L158" s="501"/>
      <c r="M158" s="499"/>
      <c r="N158" s="499"/>
      <c r="O158" s="499"/>
      <c r="P158" s="502"/>
      <c r="Q158" s="502"/>
      <c r="R158" s="502"/>
      <c r="S158" s="502"/>
      <c r="T158" s="502"/>
      <c r="U158" s="502"/>
      <c r="V158" s="502"/>
      <c r="W158" s="502"/>
      <c r="X158" s="500"/>
      <c r="Y158" s="500"/>
      <c r="Z158" s="500"/>
      <c r="AA158" s="500"/>
      <c r="AB158" s="313">
        <f t="shared" si="21"/>
        <v>0</v>
      </c>
      <c r="AC158" s="311">
        <f t="shared" si="22"/>
        <v>0</v>
      </c>
      <c r="AD158" s="312">
        <f t="shared" si="23"/>
        <v>0</v>
      </c>
      <c r="AE158" s="314">
        <f t="shared" si="24"/>
        <v>0</v>
      </c>
      <c r="AF158" s="499"/>
      <c r="AG158" s="499"/>
      <c r="AH158" s="312"/>
      <c r="AI158" s="314"/>
      <c r="AJ158" s="315"/>
      <c r="AK158" s="316"/>
      <c r="AL158" s="311"/>
      <c r="AM158" s="320"/>
      <c r="AN158" s="321"/>
      <c r="AO158" s="342"/>
      <c r="AP158" s="316"/>
      <c r="AQ158" s="309"/>
      <c r="AR158" s="315"/>
      <c r="AS158" s="318"/>
      <c r="AT158" s="508"/>
      <c r="AU158" s="509"/>
      <c r="AV158" s="316">
        <f t="shared" si="35"/>
        <v>0</v>
      </c>
      <c r="AW158" s="316">
        <f t="shared" si="26"/>
        <v>0</v>
      </c>
      <c r="AX158" s="307"/>
      <c r="AY158" s="308"/>
      <c r="AZ158" s="346">
        <f>AY335</f>
        <v>0</v>
      </c>
      <c r="BA158" s="318">
        <f>AX335</f>
        <v>0</v>
      </c>
    </row>
    <row r="159" spans="1:54" x14ac:dyDescent="0.2">
      <c r="A159" s="45"/>
      <c r="B159" s="14"/>
      <c r="C159" s="657" t="s">
        <v>1138</v>
      </c>
      <c r="D159" s="497"/>
      <c r="E159" s="498"/>
      <c r="F159" s="499"/>
      <c r="G159" s="499"/>
      <c r="H159" s="498"/>
      <c r="I159" s="498"/>
      <c r="J159" s="498"/>
      <c r="K159" s="498"/>
      <c r="L159" s="501"/>
      <c r="M159" s="499"/>
      <c r="N159" s="499"/>
      <c r="O159" s="499"/>
      <c r="P159" s="502"/>
      <c r="Q159" s="502"/>
      <c r="R159" s="502"/>
      <c r="S159" s="502"/>
      <c r="T159" s="502"/>
      <c r="U159" s="502"/>
      <c r="V159" s="502"/>
      <c r="W159" s="502"/>
      <c r="X159" s="500"/>
      <c r="Y159" s="500"/>
      <c r="Z159" s="500"/>
      <c r="AA159" s="500"/>
      <c r="AB159" s="313">
        <f t="shared" si="21"/>
        <v>0</v>
      </c>
      <c r="AC159" s="311">
        <f t="shared" si="22"/>
        <v>0</v>
      </c>
      <c r="AD159" s="312">
        <f t="shared" si="23"/>
        <v>0</v>
      </c>
      <c r="AE159" s="314">
        <f t="shared" si="24"/>
        <v>0</v>
      </c>
      <c r="AF159" s="499"/>
      <c r="AG159" s="499"/>
      <c r="AH159" s="312"/>
      <c r="AI159" s="314"/>
      <c r="AJ159" s="315"/>
      <c r="AK159" s="316"/>
      <c r="AL159" s="311"/>
      <c r="AM159" s="320"/>
      <c r="AN159" s="321"/>
      <c r="AO159" s="342"/>
      <c r="AP159" s="316"/>
      <c r="AQ159" s="309"/>
      <c r="AR159" s="315"/>
      <c r="AS159" s="318"/>
      <c r="AT159" s="508"/>
      <c r="AU159" s="509"/>
      <c r="AV159" s="316">
        <f t="shared" si="35"/>
        <v>0</v>
      </c>
      <c r="AW159" s="316">
        <f t="shared" si="26"/>
        <v>0</v>
      </c>
      <c r="AX159" s="307"/>
      <c r="AY159" s="308"/>
      <c r="AZ159" s="346">
        <f>AV154</f>
        <v>0</v>
      </c>
      <c r="BA159" s="318"/>
    </row>
    <row r="160" spans="1:54" x14ac:dyDescent="0.2">
      <c r="A160" s="45"/>
      <c r="B160" s="14"/>
      <c r="C160" s="14"/>
      <c r="D160" s="489"/>
      <c r="E160" s="490"/>
      <c r="F160" s="485"/>
      <c r="G160" s="485"/>
      <c r="H160" s="490"/>
      <c r="I160" s="490"/>
      <c r="J160" s="490"/>
      <c r="K160" s="490"/>
      <c r="L160" s="487"/>
      <c r="M160" s="485"/>
      <c r="N160" s="485"/>
      <c r="O160" s="485"/>
      <c r="P160" s="488"/>
      <c r="Q160" s="488"/>
      <c r="R160" s="488"/>
      <c r="S160" s="488"/>
      <c r="T160" s="488"/>
      <c r="U160" s="488"/>
      <c r="V160" s="488"/>
      <c r="W160" s="488"/>
      <c r="X160" s="486"/>
      <c r="Y160" s="486"/>
      <c r="Z160" s="486"/>
      <c r="AA160" s="486"/>
      <c r="AB160" s="34">
        <f t="shared" si="21"/>
        <v>0</v>
      </c>
      <c r="AC160" s="12">
        <f t="shared" si="22"/>
        <v>0</v>
      </c>
      <c r="AD160" s="30">
        <f t="shared" si="23"/>
        <v>0</v>
      </c>
      <c r="AE160" s="25">
        <f t="shared" si="24"/>
        <v>0</v>
      </c>
      <c r="AF160" s="12"/>
      <c r="AG160" s="12"/>
      <c r="AH160" s="30"/>
      <c r="AI160" s="25"/>
      <c r="AJ160" s="272"/>
      <c r="AK160" s="73"/>
      <c r="AL160" s="12"/>
      <c r="AO160" s="278"/>
      <c r="AP160" s="73"/>
      <c r="AQ160" s="14"/>
      <c r="AR160" s="272"/>
      <c r="AS160" s="254"/>
      <c r="AT160" s="508"/>
      <c r="AU160" s="509"/>
      <c r="AV160" s="323"/>
      <c r="AW160" s="323"/>
      <c r="AX160" s="45"/>
      <c r="AY160" s="38"/>
      <c r="AZ160" s="345"/>
      <c r="BA160" s="254"/>
    </row>
    <row r="161" spans="1:53" x14ac:dyDescent="0.2">
      <c r="A161" s="45"/>
      <c r="B161" s="194" t="s">
        <v>1131</v>
      </c>
      <c r="C161" s="14"/>
      <c r="D161" s="489"/>
      <c r="E161" s="490"/>
      <c r="F161" s="485"/>
      <c r="G161" s="485"/>
      <c r="H161" s="490"/>
      <c r="I161" s="490"/>
      <c r="J161" s="490"/>
      <c r="K161" s="490"/>
      <c r="L161" s="487"/>
      <c r="M161" s="485"/>
      <c r="N161" s="485"/>
      <c r="O161" s="485"/>
      <c r="P161" s="488"/>
      <c r="Q161" s="488"/>
      <c r="R161" s="488"/>
      <c r="S161" s="488"/>
      <c r="T161" s="488"/>
      <c r="U161" s="488"/>
      <c r="V161" s="488"/>
      <c r="W161" s="488"/>
      <c r="X161" s="486"/>
      <c r="Y161" s="486"/>
      <c r="Z161" s="486"/>
      <c r="AA161" s="486"/>
      <c r="AB161" s="34">
        <f t="shared" si="21"/>
        <v>0</v>
      </c>
      <c r="AC161" s="12">
        <f t="shared" si="22"/>
        <v>0</v>
      </c>
      <c r="AD161" s="30">
        <f t="shared" si="23"/>
        <v>0</v>
      </c>
      <c r="AE161" s="25">
        <f t="shared" si="24"/>
        <v>0</v>
      </c>
      <c r="AF161" s="12"/>
      <c r="AG161" s="12"/>
      <c r="AH161" s="30"/>
      <c r="AI161" s="25"/>
      <c r="AJ161" s="272"/>
      <c r="AK161" s="73"/>
      <c r="AL161" s="12"/>
      <c r="AO161" s="278"/>
      <c r="AP161" s="73"/>
      <c r="AQ161" s="14"/>
      <c r="AR161" s="272"/>
      <c r="AS161" s="254"/>
      <c r="AT161" s="508"/>
      <c r="AU161" s="509"/>
      <c r="AV161" s="323">
        <f t="shared" ref="AV161:AV175" si="36">AD161+AF161+AH161+AK161+AP161+AT161</f>
        <v>0</v>
      </c>
      <c r="AW161" s="323">
        <f t="shared" ref="AW161:AW175" si="37">AE161+AG161+AI161+AN161+AS161+AU161</f>
        <v>0</v>
      </c>
      <c r="AX161" s="45"/>
      <c r="AY161" s="38"/>
      <c r="AZ161" s="345" t="str">
        <f t="shared" ref="AZ161:AZ167" si="38">IF(AV161-AW161&lt;=0," ",AV161-AW161)</f>
        <v xml:space="preserve"> </v>
      </c>
      <c r="BA161" s="254"/>
    </row>
    <row r="162" spans="1:53" ht="14.25" customHeight="1" x14ac:dyDescent="0.2">
      <c r="A162" s="45"/>
      <c r="B162" s="1139" t="s">
        <v>97</v>
      </c>
      <c r="C162" s="636" t="s">
        <v>1139</v>
      </c>
      <c r="D162" s="489"/>
      <c r="E162" s="490"/>
      <c r="F162" s="485"/>
      <c r="G162" s="485"/>
      <c r="H162" s="490"/>
      <c r="I162" s="490"/>
      <c r="J162" s="490"/>
      <c r="K162" s="490"/>
      <c r="L162" s="487"/>
      <c r="M162" s="485"/>
      <c r="N162" s="485"/>
      <c r="O162" s="485"/>
      <c r="P162" s="488"/>
      <c r="Q162" s="488"/>
      <c r="R162" s="488"/>
      <c r="S162" s="488"/>
      <c r="T162" s="488"/>
      <c r="U162" s="488"/>
      <c r="V162" s="488"/>
      <c r="W162" s="488"/>
      <c r="X162" s="486"/>
      <c r="Y162" s="486"/>
      <c r="Z162" s="486"/>
      <c r="AA162" s="486"/>
      <c r="AB162" s="34">
        <f t="shared" si="21"/>
        <v>0</v>
      </c>
      <c r="AC162" s="12">
        <f t="shared" si="22"/>
        <v>0</v>
      </c>
      <c r="AD162" s="30">
        <f t="shared" si="23"/>
        <v>0</v>
      </c>
      <c r="AE162" s="25">
        <f t="shared" si="24"/>
        <v>0</v>
      </c>
      <c r="AF162" s="12"/>
      <c r="AG162" s="12"/>
      <c r="AH162" s="30"/>
      <c r="AI162" s="25"/>
      <c r="AJ162" s="272"/>
      <c r="AK162" s="73"/>
      <c r="AL162" s="12"/>
      <c r="AO162" s="278"/>
      <c r="AP162" s="73"/>
      <c r="AQ162" s="14"/>
      <c r="AR162" s="272" t="str">
        <f>'L. Eliminations-Consolidations'!B281</f>
        <v>L.9</v>
      </c>
      <c r="AS162" s="254">
        <f>'L. Eliminations-Consolidations'!L282</f>
        <v>0</v>
      </c>
      <c r="AT162" s="508"/>
      <c r="AU162" s="509"/>
      <c r="AV162" s="323">
        <f t="shared" si="36"/>
        <v>0</v>
      </c>
      <c r="AW162" s="323">
        <f t="shared" si="37"/>
        <v>0</v>
      </c>
      <c r="AX162" s="45"/>
      <c r="AY162" s="38"/>
      <c r="AZ162" s="345" t="str">
        <f t="shared" si="38"/>
        <v xml:space="preserve"> </v>
      </c>
      <c r="BA162" s="254">
        <f t="shared" ref="BA162:BA174" si="39">IF(AV162-AW162&gt;0," ",AW162-AV162)</f>
        <v>0</v>
      </c>
    </row>
    <row r="163" spans="1:53" ht="14.25" customHeight="1" x14ac:dyDescent="0.2">
      <c r="A163" s="45"/>
      <c r="B163" s="1139"/>
      <c r="C163" s="14" t="s">
        <v>78</v>
      </c>
      <c r="D163" s="489"/>
      <c r="E163" s="490"/>
      <c r="F163" s="485"/>
      <c r="G163" s="485"/>
      <c r="H163" s="490"/>
      <c r="I163" s="490"/>
      <c r="J163" s="490"/>
      <c r="K163" s="490"/>
      <c r="L163" s="487"/>
      <c r="M163" s="485"/>
      <c r="N163" s="485"/>
      <c r="O163" s="485"/>
      <c r="P163" s="488"/>
      <c r="Q163" s="488"/>
      <c r="R163" s="488"/>
      <c r="S163" s="488"/>
      <c r="T163" s="488"/>
      <c r="U163" s="488"/>
      <c r="V163" s="488"/>
      <c r="W163" s="488"/>
      <c r="X163" s="486"/>
      <c r="Y163" s="486"/>
      <c r="Z163" s="486"/>
      <c r="AA163" s="486"/>
      <c r="AB163" s="34">
        <f t="shared" si="21"/>
        <v>0</v>
      </c>
      <c r="AC163" s="12">
        <f t="shared" si="22"/>
        <v>0</v>
      </c>
      <c r="AD163" s="30">
        <f t="shared" si="23"/>
        <v>0</v>
      </c>
      <c r="AE163" s="25">
        <f t="shared" si="24"/>
        <v>0</v>
      </c>
      <c r="AF163" s="12"/>
      <c r="AG163" s="12"/>
      <c r="AH163" s="30"/>
      <c r="AI163" s="25"/>
      <c r="AJ163" s="272"/>
      <c r="AK163" s="73"/>
      <c r="AL163" s="12"/>
      <c r="AO163" s="278"/>
      <c r="AP163" s="73"/>
      <c r="AQ163" s="14"/>
      <c r="AR163" s="272" t="str">
        <f>'L. Eliminations-Consolidations'!B281</f>
        <v>L.9</v>
      </c>
      <c r="AS163" s="254">
        <f>'L. Eliminations-Consolidations'!L283</f>
        <v>0</v>
      </c>
      <c r="AT163" s="508"/>
      <c r="AU163" s="509"/>
      <c r="AV163" s="323">
        <f t="shared" si="36"/>
        <v>0</v>
      </c>
      <c r="AW163" s="323">
        <f t="shared" si="37"/>
        <v>0</v>
      </c>
      <c r="AX163" s="45"/>
      <c r="AY163" s="38"/>
      <c r="AZ163" s="345" t="str">
        <f t="shared" si="38"/>
        <v xml:space="preserve"> </v>
      </c>
      <c r="BA163" s="254">
        <f t="shared" si="39"/>
        <v>0</v>
      </c>
    </row>
    <row r="164" spans="1:53" ht="14.25" customHeight="1" x14ac:dyDescent="0.2">
      <c r="A164" s="45"/>
      <c r="B164" s="1139"/>
      <c r="C164" s="14" t="s">
        <v>277</v>
      </c>
      <c r="D164" s="489"/>
      <c r="E164" s="490"/>
      <c r="F164" s="485"/>
      <c r="G164" s="485"/>
      <c r="H164" s="490"/>
      <c r="I164" s="490"/>
      <c r="J164" s="490"/>
      <c r="K164" s="490"/>
      <c r="L164" s="487"/>
      <c r="M164" s="485"/>
      <c r="N164" s="485"/>
      <c r="O164" s="485"/>
      <c r="P164" s="488"/>
      <c r="Q164" s="488"/>
      <c r="R164" s="488"/>
      <c r="S164" s="488"/>
      <c r="T164" s="488"/>
      <c r="U164" s="488"/>
      <c r="V164" s="488"/>
      <c r="W164" s="488"/>
      <c r="X164" s="486"/>
      <c r="Y164" s="486"/>
      <c r="Z164" s="486"/>
      <c r="AA164" s="486"/>
      <c r="AB164" s="34">
        <f t="shared" si="21"/>
        <v>0</v>
      </c>
      <c r="AC164" s="12">
        <f t="shared" si="22"/>
        <v>0</v>
      </c>
      <c r="AD164" s="30">
        <f t="shared" si="23"/>
        <v>0</v>
      </c>
      <c r="AE164" s="25">
        <f t="shared" si="24"/>
        <v>0</v>
      </c>
      <c r="AF164" s="12"/>
      <c r="AG164" s="12"/>
      <c r="AH164" s="30"/>
      <c r="AI164" s="25"/>
      <c r="AJ164" s="272"/>
      <c r="AK164" s="73"/>
      <c r="AL164" s="12"/>
      <c r="AO164" s="278"/>
      <c r="AP164" s="73"/>
      <c r="AQ164" s="14"/>
      <c r="AR164" s="272" t="str">
        <f>'L. Eliminations-Consolidations'!B281</f>
        <v>L.9</v>
      </c>
      <c r="AS164" s="254">
        <f>'L. Eliminations-Consolidations'!L284</f>
        <v>0</v>
      </c>
      <c r="AT164" s="508"/>
      <c r="AU164" s="509"/>
      <c r="AV164" s="323">
        <f t="shared" si="36"/>
        <v>0</v>
      </c>
      <c r="AW164" s="323">
        <f t="shared" si="37"/>
        <v>0</v>
      </c>
      <c r="AX164" s="45"/>
      <c r="AY164" s="38"/>
      <c r="AZ164" s="345" t="str">
        <f t="shared" si="38"/>
        <v xml:space="preserve"> </v>
      </c>
      <c r="BA164" s="254">
        <f t="shared" si="39"/>
        <v>0</v>
      </c>
    </row>
    <row r="165" spans="1:53" ht="14.25" customHeight="1" x14ac:dyDescent="0.2">
      <c r="A165" s="45"/>
      <c r="B165" s="1139"/>
      <c r="C165" s="14" t="s">
        <v>278</v>
      </c>
      <c r="D165" s="489"/>
      <c r="E165" s="490"/>
      <c r="F165" s="485"/>
      <c r="G165" s="485"/>
      <c r="H165" s="490"/>
      <c r="I165" s="490"/>
      <c r="J165" s="490"/>
      <c r="K165" s="490"/>
      <c r="L165" s="487"/>
      <c r="M165" s="485"/>
      <c r="N165" s="485"/>
      <c r="O165" s="485"/>
      <c r="P165" s="488"/>
      <c r="Q165" s="488"/>
      <c r="R165" s="488"/>
      <c r="S165" s="488"/>
      <c r="T165" s="488"/>
      <c r="U165" s="488"/>
      <c r="V165" s="488"/>
      <c r="W165" s="488"/>
      <c r="X165" s="486"/>
      <c r="Y165" s="486"/>
      <c r="Z165" s="486"/>
      <c r="AA165" s="486"/>
      <c r="AB165" s="34">
        <f t="shared" si="21"/>
        <v>0</v>
      </c>
      <c r="AC165" s="12">
        <f t="shared" si="22"/>
        <v>0</v>
      </c>
      <c r="AD165" s="30">
        <f t="shared" si="23"/>
        <v>0</v>
      </c>
      <c r="AE165" s="25">
        <f t="shared" si="24"/>
        <v>0</v>
      </c>
      <c r="AF165" s="12"/>
      <c r="AG165" s="12"/>
      <c r="AH165" s="30"/>
      <c r="AI165" s="25"/>
      <c r="AJ165" s="272"/>
      <c r="AK165" s="73"/>
      <c r="AL165" s="12"/>
      <c r="AO165" s="278"/>
      <c r="AP165" s="73"/>
      <c r="AQ165" s="14"/>
      <c r="AR165" s="272" t="str">
        <f>'L. Eliminations-Consolidations'!B281</f>
        <v>L.9</v>
      </c>
      <c r="AS165" s="254">
        <f>'L. Eliminations-Consolidations'!L285</f>
        <v>0</v>
      </c>
      <c r="AT165" s="508"/>
      <c r="AU165" s="509"/>
      <c r="AV165" s="323">
        <f t="shared" si="36"/>
        <v>0</v>
      </c>
      <c r="AW165" s="323">
        <f t="shared" si="37"/>
        <v>0</v>
      </c>
      <c r="AX165" s="45"/>
      <c r="AY165" s="38"/>
      <c r="AZ165" s="345" t="str">
        <f t="shared" si="38"/>
        <v xml:space="preserve"> </v>
      </c>
      <c r="BA165" s="255">
        <f t="shared" si="39"/>
        <v>0</v>
      </c>
    </row>
    <row r="166" spans="1:53" ht="14.25" customHeight="1" x14ac:dyDescent="0.2">
      <c r="A166" s="45"/>
      <c r="B166" s="1139"/>
      <c r="C166" s="14" t="s">
        <v>279</v>
      </c>
      <c r="D166" s="489"/>
      <c r="E166" s="490"/>
      <c r="F166" s="485"/>
      <c r="G166" s="485"/>
      <c r="H166" s="490"/>
      <c r="I166" s="490"/>
      <c r="J166" s="490"/>
      <c r="K166" s="490"/>
      <c r="L166" s="487"/>
      <c r="M166" s="485"/>
      <c r="N166" s="485"/>
      <c r="O166" s="485"/>
      <c r="P166" s="488"/>
      <c r="Q166" s="488"/>
      <c r="R166" s="488"/>
      <c r="S166" s="488"/>
      <c r="T166" s="488"/>
      <c r="U166" s="488"/>
      <c r="V166" s="488"/>
      <c r="W166" s="488"/>
      <c r="X166" s="486"/>
      <c r="Y166" s="486"/>
      <c r="Z166" s="486"/>
      <c r="AA166" s="486"/>
      <c r="AB166" s="34">
        <f t="shared" si="21"/>
        <v>0</v>
      </c>
      <c r="AC166" s="12">
        <f t="shared" si="22"/>
        <v>0</v>
      </c>
      <c r="AD166" s="30">
        <f t="shared" si="23"/>
        <v>0</v>
      </c>
      <c r="AE166" s="25">
        <f t="shared" si="24"/>
        <v>0</v>
      </c>
      <c r="AF166" s="12"/>
      <c r="AG166" s="12"/>
      <c r="AH166" s="30"/>
      <c r="AI166" s="25"/>
      <c r="AJ166" s="272"/>
      <c r="AK166" s="73"/>
      <c r="AL166" s="12"/>
      <c r="AO166" s="278"/>
      <c r="AP166" s="73"/>
      <c r="AQ166" s="14"/>
      <c r="AR166" s="272" t="str">
        <f>'L. Eliminations-Consolidations'!B281</f>
        <v>L.9</v>
      </c>
      <c r="AS166" s="254">
        <f>'L. Eliminations-Consolidations'!L286</f>
        <v>0</v>
      </c>
      <c r="AT166" s="508"/>
      <c r="AU166" s="509"/>
      <c r="AV166" s="323">
        <f t="shared" si="36"/>
        <v>0</v>
      </c>
      <c r="AW166" s="323">
        <f t="shared" si="37"/>
        <v>0</v>
      </c>
      <c r="AX166" s="45"/>
      <c r="AY166" s="38"/>
      <c r="AZ166" s="345" t="str">
        <f t="shared" si="38"/>
        <v xml:space="preserve"> </v>
      </c>
      <c r="BA166" s="255">
        <f t="shared" si="39"/>
        <v>0</v>
      </c>
    </row>
    <row r="167" spans="1:53" ht="14.25" customHeight="1" x14ac:dyDescent="0.2">
      <c r="A167" s="45"/>
      <c r="B167" s="1139"/>
      <c r="C167" s="14" t="s">
        <v>280</v>
      </c>
      <c r="D167" s="489"/>
      <c r="E167" s="490"/>
      <c r="F167" s="485"/>
      <c r="G167" s="485"/>
      <c r="H167" s="490"/>
      <c r="I167" s="490"/>
      <c r="J167" s="490"/>
      <c r="K167" s="490"/>
      <c r="L167" s="487"/>
      <c r="M167" s="485"/>
      <c r="N167" s="485"/>
      <c r="O167" s="485"/>
      <c r="P167" s="488"/>
      <c r="Q167" s="488"/>
      <c r="R167" s="488"/>
      <c r="S167" s="488"/>
      <c r="T167" s="488"/>
      <c r="U167" s="488"/>
      <c r="V167" s="488"/>
      <c r="W167" s="488"/>
      <c r="X167" s="486"/>
      <c r="Y167" s="486"/>
      <c r="Z167" s="486"/>
      <c r="AA167" s="486"/>
      <c r="AB167" s="34">
        <f t="shared" si="21"/>
        <v>0</v>
      </c>
      <c r="AC167" s="12">
        <f t="shared" si="22"/>
        <v>0</v>
      </c>
      <c r="AD167" s="30">
        <f t="shared" si="23"/>
        <v>0</v>
      </c>
      <c r="AE167" s="25">
        <f t="shared" si="24"/>
        <v>0</v>
      </c>
      <c r="AF167" s="12"/>
      <c r="AG167" s="12"/>
      <c r="AH167" s="30"/>
      <c r="AI167" s="25"/>
      <c r="AJ167" s="272"/>
      <c r="AK167" s="73"/>
      <c r="AL167" s="12"/>
      <c r="AO167" s="278"/>
      <c r="AP167" s="73"/>
      <c r="AQ167" s="14"/>
      <c r="AR167" s="272" t="str">
        <f>'L. Eliminations-Consolidations'!B281</f>
        <v>L.9</v>
      </c>
      <c r="AS167" s="254">
        <f>'L. Eliminations-Consolidations'!L287</f>
        <v>0</v>
      </c>
      <c r="AT167" s="508"/>
      <c r="AU167" s="509"/>
      <c r="AV167" s="323">
        <f t="shared" si="36"/>
        <v>0</v>
      </c>
      <c r="AW167" s="323">
        <f t="shared" si="37"/>
        <v>0</v>
      </c>
      <c r="AX167" s="45"/>
      <c r="AY167" s="38"/>
      <c r="AZ167" s="345" t="str">
        <f t="shared" si="38"/>
        <v xml:space="preserve"> </v>
      </c>
      <c r="BA167" s="254">
        <f t="shared" si="39"/>
        <v>0</v>
      </c>
    </row>
    <row r="168" spans="1:53" ht="14.25" customHeight="1" x14ac:dyDescent="0.2">
      <c r="A168" s="45"/>
      <c r="B168" s="1139"/>
      <c r="C168" s="54" t="s">
        <v>80</v>
      </c>
      <c r="D168" s="489"/>
      <c r="E168" s="490"/>
      <c r="F168" s="485"/>
      <c r="G168" s="485"/>
      <c r="H168" s="490"/>
      <c r="I168" s="490"/>
      <c r="J168" s="490"/>
      <c r="K168" s="490"/>
      <c r="L168" s="487"/>
      <c r="M168" s="485"/>
      <c r="N168" s="485"/>
      <c r="O168" s="485"/>
      <c r="P168" s="488"/>
      <c r="Q168" s="488"/>
      <c r="R168" s="488"/>
      <c r="S168" s="488"/>
      <c r="T168" s="488"/>
      <c r="U168" s="488"/>
      <c r="V168" s="488"/>
      <c r="W168" s="488"/>
      <c r="X168" s="486"/>
      <c r="Y168" s="486"/>
      <c r="Z168" s="486"/>
      <c r="AA168" s="486"/>
      <c r="AB168" s="34">
        <f t="shared" si="21"/>
        <v>0</v>
      </c>
      <c r="AC168" s="12">
        <f t="shared" si="22"/>
        <v>0</v>
      </c>
      <c r="AD168" s="30">
        <v>0</v>
      </c>
      <c r="AE168" s="25">
        <v>0</v>
      </c>
      <c r="AF168" s="12"/>
      <c r="AG168" s="12"/>
      <c r="AH168" s="30"/>
      <c r="AI168" s="25"/>
      <c r="AJ168" s="272"/>
      <c r="AK168" s="73"/>
      <c r="AL168" s="12"/>
      <c r="AO168" s="278"/>
      <c r="AP168" s="73"/>
      <c r="AQ168" s="14"/>
      <c r="AR168" s="272" t="str">
        <f>'L. Eliminations-Consolidations'!B281</f>
        <v>L.9</v>
      </c>
      <c r="AS168" s="254">
        <f>'L. Eliminations-Consolidations'!L288</f>
        <v>0</v>
      </c>
      <c r="AT168" s="508"/>
      <c r="AU168" s="509"/>
      <c r="AV168" s="323">
        <f t="shared" si="36"/>
        <v>0</v>
      </c>
      <c r="AW168" s="323">
        <f t="shared" si="37"/>
        <v>0</v>
      </c>
      <c r="AX168" s="45"/>
      <c r="AY168" s="38"/>
      <c r="AZ168" s="345"/>
      <c r="BA168" s="254">
        <f t="shared" si="39"/>
        <v>0</v>
      </c>
    </row>
    <row r="169" spans="1:53" ht="14.25" customHeight="1" x14ac:dyDescent="0.2">
      <c r="A169" s="45"/>
      <c r="B169" s="1139"/>
      <c r="C169" s="504" t="s">
        <v>1046</v>
      </c>
      <c r="D169" s="489"/>
      <c r="E169" s="490"/>
      <c r="F169" s="485"/>
      <c r="G169" s="485"/>
      <c r="H169" s="490"/>
      <c r="I169" s="490"/>
      <c r="J169" s="490"/>
      <c r="K169" s="490"/>
      <c r="L169" s="487"/>
      <c r="M169" s="485"/>
      <c r="N169" s="485"/>
      <c r="O169" s="485"/>
      <c r="P169" s="488"/>
      <c r="Q169" s="488"/>
      <c r="R169" s="488"/>
      <c r="S169" s="488"/>
      <c r="T169" s="488"/>
      <c r="U169" s="488"/>
      <c r="V169" s="488"/>
      <c r="W169" s="488"/>
      <c r="X169" s="486"/>
      <c r="Y169" s="486"/>
      <c r="Z169" s="486"/>
      <c r="AA169" s="486"/>
      <c r="AB169" s="34">
        <f>L169+N169+P169+R169+T169+V169+X169+Z169</f>
        <v>0</v>
      </c>
      <c r="AC169" s="12">
        <f>M169+O169+Q169+S169+U169+W169+Y169+AA169</f>
        <v>0</v>
      </c>
      <c r="AD169" s="30">
        <f>D169+F169+H169+J169+AB169</f>
        <v>0</v>
      </c>
      <c r="AE169" s="25">
        <f>E169+G169+I169+K169+AC169</f>
        <v>0</v>
      </c>
      <c r="AF169" s="12"/>
      <c r="AG169" s="12"/>
      <c r="AH169" s="30"/>
      <c r="AI169" s="25"/>
      <c r="AJ169" s="272"/>
      <c r="AK169" s="73"/>
      <c r="AL169" s="12"/>
      <c r="AO169" s="278"/>
      <c r="AP169" s="73"/>
      <c r="AQ169" s="14"/>
      <c r="AR169" s="272" t="str">
        <f>'L. Eliminations-Consolidations'!B281</f>
        <v>L.9</v>
      </c>
      <c r="AS169" s="254">
        <f>'L. Eliminations-Consolidations'!L289</f>
        <v>0</v>
      </c>
      <c r="AT169" s="508"/>
      <c r="AU169" s="509"/>
      <c r="AV169" s="323">
        <f>AD169+AF169+AH169+AK169+AP169+AT169</f>
        <v>0</v>
      </c>
      <c r="AW169" s="323">
        <f>AE169+AG169+AI169+AN169+AS169+AU169</f>
        <v>0</v>
      </c>
      <c r="AX169" s="45"/>
      <c r="AY169" s="38"/>
      <c r="AZ169" s="345" t="str">
        <f t="shared" ref="AZ169:AZ174" si="40">IF(AV169-AW169&lt;=0," ",AV169-AW169)</f>
        <v xml:space="preserve"> </v>
      </c>
      <c r="BA169" s="254">
        <f>IF(AV169-AW169&gt;0," ",AW169-AV169)</f>
        <v>0</v>
      </c>
    </row>
    <row r="170" spans="1:53" ht="14.25" customHeight="1" x14ac:dyDescent="0.2">
      <c r="A170" s="45"/>
      <c r="B170" s="1139"/>
      <c r="C170" s="486" t="s">
        <v>281</v>
      </c>
      <c r="D170" s="489"/>
      <c r="E170" s="490"/>
      <c r="F170" s="485"/>
      <c r="G170" s="485"/>
      <c r="H170" s="490"/>
      <c r="I170" s="490"/>
      <c r="J170" s="490"/>
      <c r="K170" s="490"/>
      <c r="L170" s="487"/>
      <c r="M170" s="485"/>
      <c r="N170" s="485"/>
      <c r="O170" s="485"/>
      <c r="P170" s="488"/>
      <c r="Q170" s="488"/>
      <c r="R170" s="488"/>
      <c r="S170" s="488"/>
      <c r="T170" s="488"/>
      <c r="U170" s="488"/>
      <c r="V170" s="488"/>
      <c r="W170" s="488"/>
      <c r="X170" s="486"/>
      <c r="Y170" s="486"/>
      <c r="Z170" s="486"/>
      <c r="AA170" s="486"/>
      <c r="AB170" s="34">
        <f t="shared" si="21"/>
        <v>0</v>
      </c>
      <c r="AC170" s="12">
        <f t="shared" si="22"/>
        <v>0</v>
      </c>
      <c r="AD170" s="30">
        <f t="shared" si="23"/>
        <v>0</v>
      </c>
      <c r="AE170" s="25">
        <f t="shared" si="24"/>
        <v>0</v>
      </c>
      <c r="AF170" s="12"/>
      <c r="AG170" s="12"/>
      <c r="AH170" s="30"/>
      <c r="AI170" s="25"/>
      <c r="AJ170" s="272"/>
      <c r="AK170" s="73"/>
      <c r="AL170" s="12"/>
      <c r="AO170" s="278"/>
      <c r="AP170" s="73"/>
      <c r="AQ170" s="14"/>
      <c r="AR170" s="272" t="str">
        <f>'L. Eliminations-Consolidations'!B281</f>
        <v>L.9</v>
      </c>
      <c r="AS170" s="254">
        <f>'L. Eliminations-Consolidations'!L290</f>
        <v>0</v>
      </c>
      <c r="AT170" s="508"/>
      <c r="AU170" s="509"/>
      <c r="AV170" s="323">
        <f t="shared" si="36"/>
        <v>0</v>
      </c>
      <c r="AW170" s="323">
        <f t="shared" si="37"/>
        <v>0</v>
      </c>
      <c r="AX170" s="45"/>
      <c r="AY170" s="38"/>
      <c r="AZ170" s="345" t="str">
        <f t="shared" si="40"/>
        <v xml:space="preserve"> </v>
      </c>
      <c r="BA170" s="254">
        <f t="shared" si="39"/>
        <v>0</v>
      </c>
    </row>
    <row r="171" spans="1:53" ht="13.5" customHeight="1" x14ac:dyDescent="0.2">
      <c r="A171" s="45"/>
      <c r="B171" s="1139"/>
      <c r="C171" s="486" t="s">
        <v>282</v>
      </c>
      <c r="D171" s="489"/>
      <c r="E171" s="490"/>
      <c r="F171" s="485"/>
      <c r="G171" s="485"/>
      <c r="H171" s="490"/>
      <c r="I171" s="490"/>
      <c r="J171" s="490"/>
      <c r="K171" s="490"/>
      <c r="L171" s="487"/>
      <c r="M171" s="485"/>
      <c r="N171" s="485"/>
      <c r="O171" s="485"/>
      <c r="P171" s="488"/>
      <c r="Q171" s="488"/>
      <c r="R171" s="488"/>
      <c r="S171" s="488"/>
      <c r="T171" s="488"/>
      <c r="U171" s="488"/>
      <c r="V171" s="488"/>
      <c r="W171" s="488"/>
      <c r="X171" s="486"/>
      <c r="Y171" s="486"/>
      <c r="Z171" s="486"/>
      <c r="AA171" s="486"/>
      <c r="AB171" s="34">
        <f t="shared" si="21"/>
        <v>0</v>
      </c>
      <c r="AC171" s="12">
        <f t="shared" si="22"/>
        <v>0</v>
      </c>
      <c r="AD171" s="30">
        <f t="shared" si="23"/>
        <v>0</v>
      </c>
      <c r="AE171" s="25">
        <f t="shared" si="24"/>
        <v>0</v>
      </c>
      <c r="AF171" s="12"/>
      <c r="AG171" s="12"/>
      <c r="AH171" s="30"/>
      <c r="AI171" s="25"/>
      <c r="AJ171" s="272"/>
      <c r="AK171" s="73"/>
      <c r="AL171" s="12"/>
      <c r="AO171" s="278"/>
      <c r="AP171" s="73"/>
      <c r="AQ171" s="14"/>
      <c r="AR171" s="272" t="str">
        <f>'L. Eliminations-Consolidations'!B281</f>
        <v>L.9</v>
      </c>
      <c r="AS171" s="254">
        <f>'L. Eliminations-Consolidations'!L291</f>
        <v>0</v>
      </c>
      <c r="AT171" s="508"/>
      <c r="AU171" s="509"/>
      <c r="AV171" s="323">
        <f t="shared" si="36"/>
        <v>0</v>
      </c>
      <c r="AW171" s="323">
        <f t="shared" si="37"/>
        <v>0</v>
      </c>
      <c r="AX171" s="45"/>
      <c r="AY171" s="38"/>
      <c r="AZ171" s="345" t="str">
        <f t="shared" si="40"/>
        <v xml:space="preserve"> </v>
      </c>
      <c r="BA171" s="254">
        <f t="shared" si="39"/>
        <v>0</v>
      </c>
    </row>
    <row r="172" spans="1:53" ht="13.5" customHeight="1" x14ac:dyDescent="0.2">
      <c r="A172" s="45"/>
      <c r="B172" s="1139"/>
      <c r="C172" s="486" t="s">
        <v>95</v>
      </c>
      <c r="D172" s="489"/>
      <c r="E172" s="490"/>
      <c r="F172" s="485"/>
      <c r="G172" s="485"/>
      <c r="H172" s="490"/>
      <c r="I172" s="490"/>
      <c r="J172" s="490"/>
      <c r="K172" s="490"/>
      <c r="L172" s="487"/>
      <c r="M172" s="485"/>
      <c r="N172" s="485"/>
      <c r="O172" s="485"/>
      <c r="P172" s="488"/>
      <c r="Q172" s="488"/>
      <c r="R172" s="488"/>
      <c r="S172" s="488"/>
      <c r="T172" s="488"/>
      <c r="U172" s="488"/>
      <c r="V172" s="488"/>
      <c r="W172" s="488"/>
      <c r="X172" s="486"/>
      <c r="Y172" s="486"/>
      <c r="Z172" s="486"/>
      <c r="AA172" s="486"/>
      <c r="AB172" s="34">
        <f t="shared" si="21"/>
        <v>0</v>
      </c>
      <c r="AC172" s="12">
        <f t="shared" si="22"/>
        <v>0</v>
      </c>
      <c r="AD172" s="30">
        <f t="shared" si="23"/>
        <v>0</v>
      </c>
      <c r="AE172" s="25">
        <f t="shared" si="24"/>
        <v>0</v>
      </c>
      <c r="AF172" s="12"/>
      <c r="AG172" s="12"/>
      <c r="AH172" s="30"/>
      <c r="AI172" s="25"/>
      <c r="AJ172" s="272"/>
      <c r="AK172" s="73"/>
      <c r="AL172" s="12"/>
      <c r="AO172" s="278"/>
      <c r="AP172" s="73"/>
      <c r="AQ172" s="14"/>
      <c r="AR172" s="272" t="str">
        <f>'L. Eliminations-Consolidations'!B281</f>
        <v>L.9</v>
      </c>
      <c r="AS172" s="254">
        <f>'L. Eliminations-Consolidations'!L292</f>
        <v>0</v>
      </c>
      <c r="AT172" s="508"/>
      <c r="AU172" s="509"/>
      <c r="AV172" s="323">
        <f t="shared" si="36"/>
        <v>0</v>
      </c>
      <c r="AW172" s="323">
        <f t="shared" si="37"/>
        <v>0</v>
      </c>
      <c r="AX172" s="45"/>
      <c r="AY172" s="38"/>
      <c r="AZ172" s="345" t="str">
        <f t="shared" si="40"/>
        <v xml:space="preserve"> </v>
      </c>
      <c r="BA172" s="254">
        <f t="shared" si="39"/>
        <v>0</v>
      </c>
    </row>
    <row r="173" spans="1:53" x14ac:dyDescent="0.2">
      <c r="A173" s="45"/>
      <c r="B173" s="1139"/>
      <c r="C173" s="14" t="s">
        <v>523</v>
      </c>
      <c r="D173" s="489"/>
      <c r="E173" s="490"/>
      <c r="F173" s="485"/>
      <c r="G173" s="485"/>
      <c r="H173" s="490"/>
      <c r="I173" s="490"/>
      <c r="J173" s="490"/>
      <c r="K173" s="490"/>
      <c r="L173" s="487"/>
      <c r="M173" s="485"/>
      <c r="N173" s="485"/>
      <c r="O173" s="485"/>
      <c r="P173" s="488"/>
      <c r="Q173" s="488"/>
      <c r="R173" s="488"/>
      <c r="S173" s="488"/>
      <c r="T173" s="488"/>
      <c r="U173" s="488"/>
      <c r="V173" s="488"/>
      <c r="W173" s="488"/>
      <c r="X173" s="486"/>
      <c r="Y173" s="486"/>
      <c r="Z173" s="486"/>
      <c r="AA173" s="486"/>
      <c r="AB173" s="34">
        <f t="shared" si="21"/>
        <v>0</v>
      </c>
      <c r="AC173" s="12">
        <f t="shared" si="22"/>
        <v>0</v>
      </c>
      <c r="AD173" s="30">
        <f t="shared" si="23"/>
        <v>0</v>
      </c>
      <c r="AE173" s="25">
        <f t="shared" si="24"/>
        <v>0</v>
      </c>
      <c r="AF173" s="12"/>
      <c r="AG173" s="12"/>
      <c r="AH173" s="30"/>
      <c r="AI173" s="25"/>
      <c r="AJ173" s="272"/>
      <c r="AK173" s="73"/>
      <c r="AL173" s="12"/>
      <c r="AO173" s="278"/>
      <c r="AP173" s="73"/>
      <c r="AQ173" s="14"/>
      <c r="AR173" s="272" t="str">
        <f>'L. Eliminations-Consolidations'!B281</f>
        <v>L.9</v>
      </c>
      <c r="AS173" s="254">
        <f>'L. Eliminations-Consolidations'!L293</f>
        <v>0</v>
      </c>
      <c r="AT173" s="508"/>
      <c r="AU173" s="509"/>
      <c r="AV173" s="323">
        <f t="shared" si="36"/>
        <v>0</v>
      </c>
      <c r="AW173" s="323">
        <f t="shared" si="37"/>
        <v>0</v>
      </c>
      <c r="AX173" s="45"/>
      <c r="AY173" s="38"/>
      <c r="AZ173" s="345" t="str">
        <f t="shared" si="40"/>
        <v xml:space="preserve"> </v>
      </c>
      <c r="BA173" s="254">
        <f t="shared" si="39"/>
        <v>0</v>
      </c>
    </row>
    <row r="174" spans="1:53" x14ac:dyDescent="0.2">
      <c r="A174" s="384"/>
      <c r="B174" s="14"/>
      <c r="C174" s="14"/>
      <c r="D174" s="489"/>
      <c r="E174" s="490"/>
      <c r="F174" s="485"/>
      <c r="G174" s="485"/>
      <c r="H174" s="490"/>
      <c r="I174" s="490"/>
      <c r="J174" s="490"/>
      <c r="K174" s="490"/>
      <c r="L174" s="487"/>
      <c r="M174" s="485"/>
      <c r="N174" s="485"/>
      <c r="O174" s="485"/>
      <c r="P174" s="488"/>
      <c r="Q174" s="488"/>
      <c r="R174" s="488"/>
      <c r="S174" s="488"/>
      <c r="T174" s="488"/>
      <c r="U174" s="488"/>
      <c r="V174" s="488"/>
      <c r="W174" s="488"/>
      <c r="X174" s="486"/>
      <c r="Y174" s="486"/>
      <c r="Z174" s="486"/>
      <c r="AA174" s="486"/>
      <c r="AB174" s="34">
        <f t="shared" si="21"/>
        <v>0</v>
      </c>
      <c r="AC174" s="12">
        <f t="shared" si="22"/>
        <v>0</v>
      </c>
      <c r="AD174" s="30">
        <f t="shared" si="23"/>
        <v>0</v>
      </c>
      <c r="AE174" s="25">
        <f t="shared" si="24"/>
        <v>0</v>
      </c>
      <c r="AF174" s="12"/>
      <c r="AG174" s="12"/>
      <c r="AH174" s="30"/>
      <c r="AI174" s="25"/>
      <c r="AJ174" s="272"/>
      <c r="AK174" s="73"/>
      <c r="AL174" s="12"/>
      <c r="AO174" s="278"/>
      <c r="AP174" s="73"/>
      <c r="AQ174" s="14"/>
      <c r="AR174" s="272"/>
      <c r="AS174" s="254"/>
      <c r="AT174" s="508"/>
      <c r="AU174" s="509"/>
      <c r="AV174" s="323">
        <f t="shared" si="36"/>
        <v>0</v>
      </c>
      <c r="AW174" s="323">
        <f t="shared" si="37"/>
        <v>0</v>
      </c>
      <c r="AX174" s="45"/>
      <c r="AY174" s="38"/>
      <c r="AZ174" s="345" t="str">
        <f t="shared" si="40"/>
        <v xml:space="preserve"> </v>
      </c>
      <c r="BA174" s="254">
        <f t="shared" si="39"/>
        <v>0</v>
      </c>
    </row>
    <row r="175" spans="1:53" ht="18" customHeight="1" x14ac:dyDescent="0.2">
      <c r="A175" s="372" t="s">
        <v>497</v>
      </c>
      <c r="B175" s="43"/>
      <c r="C175" s="43"/>
      <c r="D175" s="489"/>
      <c r="E175" s="490"/>
      <c r="F175" s="485"/>
      <c r="G175" s="485"/>
      <c r="H175" s="485"/>
      <c r="I175" s="485"/>
      <c r="J175" s="485"/>
      <c r="K175" s="485"/>
      <c r="L175" s="487"/>
      <c r="M175" s="485"/>
      <c r="N175" s="485"/>
      <c r="O175" s="485"/>
      <c r="P175" s="488"/>
      <c r="Q175" s="488"/>
      <c r="R175" s="488"/>
      <c r="S175" s="488"/>
      <c r="T175" s="488"/>
      <c r="U175" s="488"/>
      <c r="V175" s="488"/>
      <c r="W175" s="488"/>
      <c r="X175" s="486"/>
      <c r="Y175" s="486"/>
      <c r="Z175" s="486"/>
      <c r="AA175" s="486"/>
      <c r="AB175" s="34">
        <f t="shared" si="21"/>
        <v>0</v>
      </c>
      <c r="AC175" s="12">
        <f t="shared" si="22"/>
        <v>0</v>
      </c>
      <c r="AD175" s="30">
        <f t="shared" si="23"/>
        <v>0</v>
      </c>
      <c r="AE175" s="25">
        <f t="shared" si="24"/>
        <v>0</v>
      </c>
      <c r="AF175" s="12"/>
      <c r="AG175" s="12"/>
      <c r="AH175" s="30"/>
      <c r="AI175" s="25"/>
      <c r="AJ175" s="272"/>
      <c r="AK175" s="73"/>
      <c r="AL175" s="12"/>
      <c r="AM175" s="272"/>
      <c r="AN175" s="73"/>
      <c r="AO175" s="279"/>
      <c r="AP175" s="73"/>
      <c r="AQ175" s="14"/>
      <c r="AR175" s="272"/>
      <c r="AS175" s="254"/>
      <c r="AT175" s="508"/>
      <c r="AU175" s="509"/>
      <c r="AV175" s="323">
        <f t="shared" si="36"/>
        <v>0</v>
      </c>
      <c r="AW175" s="323">
        <f t="shared" si="37"/>
        <v>0</v>
      </c>
      <c r="AX175" s="1186" t="s">
        <v>1141</v>
      </c>
      <c r="AY175" s="1187"/>
      <c r="AZ175" s="412">
        <f>SUM(AZ7:AZ174)</f>
        <v>0</v>
      </c>
      <c r="BA175" s="413">
        <f>SUM(BA7:BA174)</f>
        <v>0</v>
      </c>
    </row>
    <row r="176" spans="1:53" s="13" customFormat="1" ht="4.5" customHeight="1" x14ac:dyDescent="0.2">
      <c r="A176" s="381"/>
      <c r="B176" s="54"/>
      <c r="C176" s="54"/>
      <c r="D176" s="493"/>
      <c r="E176" s="494"/>
      <c r="F176" s="492"/>
      <c r="G176" s="492"/>
      <c r="H176" s="492"/>
      <c r="I176" s="492"/>
      <c r="J176" s="492"/>
      <c r="K176" s="492"/>
      <c r="L176" s="496"/>
      <c r="M176" s="492"/>
      <c r="N176" s="492"/>
      <c r="O176" s="492"/>
      <c r="P176" s="491"/>
      <c r="Q176" s="491"/>
      <c r="R176" s="491"/>
      <c r="S176" s="491"/>
      <c r="T176" s="491"/>
      <c r="U176" s="491"/>
      <c r="V176" s="491"/>
      <c r="W176" s="491"/>
      <c r="X176" s="495"/>
      <c r="Y176" s="495"/>
      <c r="Z176" s="495"/>
      <c r="AA176" s="495"/>
      <c r="AB176" s="34"/>
      <c r="AC176" s="10"/>
      <c r="AD176" s="53"/>
      <c r="AE176" s="55"/>
      <c r="AF176" s="10"/>
      <c r="AG176" s="10"/>
      <c r="AH176" s="53"/>
      <c r="AI176" s="55"/>
      <c r="AJ176" s="273"/>
      <c r="AK176" s="72"/>
      <c r="AL176" s="10"/>
      <c r="AM176" s="273"/>
      <c r="AN176" s="72"/>
      <c r="AO176" s="280"/>
      <c r="AP176" s="72"/>
      <c r="AQ176" s="54"/>
      <c r="AR176" s="273"/>
      <c r="AS176" s="255"/>
      <c r="AT176" s="510"/>
      <c r="AU176" s="508"/>
      <c r="AV176" s="443"/>
      <c r="AW176" s="444"/>
      <c r="AX176" s="57"/>
      <c r="AY176" s="411"/>
      <c r="AZ176" s="351"/>
      <c r="BA176" s="72"/>
    </row>
    <row r="177" spans="1:53" x14ac:dyDescent="0.2">
      <c r="A177" s="45"/>
      <c r="B177" s="185"/>
      <c r="C177" s="14" t="s">
        <v>382</v>
      </c>
      <c r="D177" s="489"/>
      <c r="E177" s="485"/>
      <c r="F177" s="485"/>
      <c r="G177" s="485"/>
      <c r="H177" s="485"/>
      <c r="I177" s="485"/>
      <c r="J177" s="485"/>
      <c r="K177" s="485"/>
      <c r="L177" s="487"/>
      <c r="M177" s="485"/>
      <c r="N177" s="485"/>
      <c r="O177" s="485"/>
      <c r="P177" s="488"/>
      <c r="Q177" s="488"/>
      <c r="R177" s="488"/>
      <c r="S177" s="488"/>
      <c r="T177" s="488"/>
      <c r="U177" s="488"/>
      <c r="V177" s="488"/>
      <c r="W177" s="488"/>
      <c r="X177" s="486"/>
      <c r="Y177" s="486"/>
      <c r="Z177" s="486"/>
      <c r="AA177" s="486"/>
      <c r="AB177" s="34">
        <f t="shared" si="21"/>
        <v>0</v>
      </c>
      <c r="AC177" s="12">
        <f t="shared" si="22"/>
        <v>0</v>
      </c>
      <c r="AD177" s="30">
        <f t="shared" si="23"/>
        <v>0</v>
      </c>
      <c r="AE177" s="25">
        <f t="shared" si="24"/>
        <v>0</v>
      </c>
      <c r="AF177" s="12"/>
      <c r="AG177" s="12"/>
      <c r="AH177" s="30"/>
      <c r="AI177" s="25"/>
      <c r="AJ177" s="272" t="str">
        <f>'B.  Property Taxes'!A53</f>
        <v>B.1</v>
      </c>
      <c r="AK177" s="73">
        <f>'B.  Property Taxes'!J53</f>
        <v>0</v>
      </c>
      <c r="AL177" s="12"/>
      <c r="AM177" s="272" t="str">
        <f>'B.  Property Taxes'!A57</f>
        <v>B.2</v>
      </c>
      <c r="AN177" s="73">
        <f>'B.  Property Taxes'!L59</f>
        <v>0</v>
      </c>
      <c r="AO177" s="279"/>
      <c r="AP177" s="73"/>
      <c r="AQ177" s="14"/>
      <c r="AR177" s="272"/>
      <c r="AS177" s="254"/>
      <c r="AT177" s="508"/>
      <c r="AU177" s="509"/>
      <c r="AV177" s="323">
        <f t="shared" ref="AV177:AV209" si="41">AD177+AF177+AH177+AK177+AP177+AT177</f>
        <v>0</v>
      </c>
      <c r="AW177" s="323">
        <f t="shared" ref="AW177:AW209" si="42">AE177+AG177+AI177+AN177+AS177+AU177</f>
        <v>0</v>
      </c>
      <c r="AX177" s="345" t="str">
        <f>IF(AV177-AW177&lt;=0," ",AV177-AW177)</f>
        <v xml:space="preserve"> </v>
      </c>
      <c r="AY177" s="254">
        <f>IF(AV177-AW177&gt;0," ",AW177-AV177)</f>
        <v>0</v>
      </c>
      <c r="AZ177" s="345"/>
      <c r="BA177" s="254"/>
    </row>
    <row r="178" spans="1:53" s="13" customFormat="1" x14ac:dyDescent="0.2">
      <c r="A178" s="57"/>
      <c r="B178" s="575"/>
      <c r="C178" s="54" t="s">
        <v>383</v>
      </c>
      <c r="D178" s="493"/>
      <c r="E178" s="492"/>
      <c r="F178" s="492"/>
      <c r="G178" s="492"/>
      <c r="H178" s="492"/>
      <c r="I178" s="492"/>
      <c r="J178" s="492"/>
      <c r="K178" s="495"/>
      <c r="L178" s="496"/>
      <c r="M178" s="492"/>
      <c r="N178" s="492"/>
      <c r="O178" s="492"/>
      <c r="P178" s="491"/>
      <c r="Q178" s="491"/>
      <c r="R178" s="491"/>
      <c r="S178" s="491"/>
      <c r="T178" s="491"/>
      <c r="U178" s="491"/>
      <c r="V178" s="491"/>
      <c r="W178" s="491"/>
      <c r="X178" s="495"/>
      <c r="Y178" s="495"/>
      <c r="Z178" s="495"/>
      <c r="AA178" s="495"/>
      <c r="AB178" s="34">
        <f t="shared" si="21"/>
        <v>0</v>
      </c>
      <c r="AC178" s="10">
        <f t="shared" si="22"/>
        <v>0</v>
      </c>
      <c r="AD178" s="53">
        <f t="shared" si="23"/>
        <v>0</v>
      </c>
      <c r="AE178" s="55">
        <f t="shared" si="24"/>
        <v>0</v>
      </c>
      <c r="AF178" s="10"/>
      <c r="AG178" s="10"/>
      <c r="AH178" s="53">
        <f>'A. Revenue by function'!L96</f>
        <v>0</v>
      </c>
      <c r="AI178" s="55"/>
      <c r="AJ178" s="273" t="str">
        <f>'C. Other Revenues'!B205</f>
        <v>C.1</v>
      </c>
      <c r="AK178" s="72">
        <f>'C. Other Revenues'!K207</f>
        <v>0</v>
      </c>
      <c r="AL178" s="10"/>
      <c r="AM178" s="273" t="str">
        <f>'C. Other Revenues'!B205</f>
        <v>C.1</v>
      </c>
      <c r="AN178" s="72">
        <f>'C. Other Revenues'!M207</f>
        <v>0</v>
      </c>
      <c r="AO178" s="280"/>
      <c r="AP178" s="72"/>
      <c r="AQ178" s="54"/>
      <c r="AR178" s="273"/>
      <c r="AS178" s="255"/>
      <c r="AT178" s="508"/>
      <c r="AU178" s="509"/>
      <c r="AV178" s="323">
        <f t="shared" si="41"/>
        <v>0</v>
      </c>
      <c r="AW178" s="323">
        <f t="shared" si="42"/>
        <v>0</v>
      </c>
      <c r="AX178" s="351" t="str">
        <f t="shared" ref="AX178:AX234" si="43">IF(AV178-AW178&lt;=0," ",AV178-AW178)</f>
        <v xml:space="preserve"> </v>
      </c>
      <c r="AY178" s="255">
        <f t="shared" ref="AY178:AY234" si="44">IF(AV178-AW178&gt;0," ",AW178-AV178)</f>
        <v>0</v>
      </c>
      <c r="AZ178" s="351"/>
      <c r="BA178" s="255"/>
    </row>
    <row r="179" spans="1:53" x14ac:dyDescent="0.2">
      <c r="A179" s="45"/>
      <c r="B179" s="185"/>
      <c r="C179" s="14" t="s">
        <v>629</v>
      </c>
      <c r="D179" s="489"/>
      <c r="E179" s="485"/>
      <c r="F179" s="485"/>
      <c r="G179" s="485"/>
      <c r="H179" s="485"/>
      <c r="I179" s="485"/>
      <c r="J179" s="485"/>
      <c r="K179" s="486"/>
      <c r="L179" s="487"/>
      <c r="M179" s="485"/>
      <c r="N179" s="485"/>
      <c r="O179" s="485"/>
      <c r="P179" s="488"/>
      <c r="Q179" s="488"/>
      <c r="R179" s="488"/>
      <c r="S179" s="488"/>
      <c r="T179" s="488"/>
      <c r="U179" s="488"/>
      <c r="V179" s="488"/>
      <c r="W179" s="488"/>
      <c r="X179" s="486"/>
      <c r="Y179" s="486"/>
      <c r="Z179" s="486"/>
      <c r="AA179" s="486"/>
      <c r="AB179" s="34">
        <f t="shared" si="21"/>
        <v>0</v>
      </c>
      <c r="AC179" s="12">
        <f t="shared" si="22"/>
        <v>0</v>
      </c>
      <c r="AD179" s="30">
        <f t="shared" si="23"/>
        <v>0</v>
      </c>
      <c r="AE179" s="25">
        <f t="shared" si="24"/>
        <v>0</v>
      </c>
      <c r="AF179" s="12"/>
      <c r="AG179" s="12"/>
      <c r="AH179" s="30">
        <f>'A. Revenue by function'!L97</f>
        <v>0</v>
      </c>
      <c r="AI179" s="25"/>
      <c r="AJ179" s="272" t="str">
        <f>'C. Other Revenues'!B205</f>
        <v>C.1</v>
      </c>
      <c r="AK179" s="73">
        <f>'C. Other Revenues'!K208</f>
        <v>0</v>
      </c>
      <c r="AL179" s="12"/>
      <c r="AM179" s="272" t="str">
        <f>'C. Other Revenues'!B205</f>
        <v>C.1</v>
      </c>
      <c r="AN179" s="73">
        <f>'C. Other Revenues'!M208</f>
        <v>0</v>
      </c>
      <c r="AO179" s="279"/>
      <c r="AP179" s="73"/>
      <c r="AQ179" s="14"/>
      <c r="AR179" s="272"/>
      <c r="AS179" s="254"/>
      <c r="AT179" s="508"/>
      <c r="AU179" s="509"/>
      <c r="AV179" s="323">
        <f t="shared" si="41"/>
        <v>0</v>
      </c>
      <c r="AW179" s="323">
        <f t="shared" si="42"/>
        <v>0</v>
      </c>
      <c r="AX179" s="345" t="str">
        <f t="shared" si="43"/>
        <v xml:space="preserve"> </v>
      </c>
      <c r="AY179" s="254">
        <f t="shared" si="44"/>
        <v>0</v>
      </c>
      <c r="AZ179" s="345"/>
      <c r="BA179" s="254"/>
    </row>
    <row r="180" spans="1:53" x14ac:dyDescent="0.2">
      <c r="A180" s="45"/>
      <c r="B180" s="185"/>
      <c r="C180" s="14" t="s">
        <v>630</v>
      </c>
      <c r="D180" s="489"/>
      <c r="E180" s="485"/>
      <c r="F180" s="485"/>
      <c r="G180" s="485"/>
      <c r="H180" s="485"/>
      <c r="I180" s="485"/>
      <c r="J180" s="485"/>
      <c r="K180" s="486"/>
      <c r="L180" s="487"/>
      <c r="M180" s="485"/>
      <c r="N180" s="485"/>
      <c r="O180" s="485"/>
      <c r="P180" s="488"/>
      <c r="Q180" s="488"/>
      <c r="R180" s="488"/>
      <c r="S180" s="488"/>
      <c r="T180" s="488"/>
      <c r="U180" s="488"/>
      <c r="V180" s="488"/>
      <c r="W180" s="488"/>
      <c r="X180" s="486"/>
      <c r="Y180" s="486"/>
      <c r="Z180" s="486"/>
      <c r="AA180" s="486"/>
      <c r="AB180" s="34">
        <f t="shared" si="21"/>
        <v>0</v>
      </c>
      <c r="AC180" s="12">
        <f t="shared" si="22"/>
        <v>0</v>
      </c>
      <c r="AD180" s="30">
        <f t="shared" si="23"/>
        <v>0</v>
      </c>
      <c r="AE180" s="25">
        <f t="shared" si="24"/>
        <v>0</v>
      </c>
      <c r="AF180" s="12"/>
      <c r="AG180" s="12"/>
      <c r="AH180" s="30">
        <f>'A. Revenue by function'!L98</f>
        <v>0</v>
      </c>
      <c r="AI180" s="25"/>
      <c r="AJ180" s="272" t="str">
        <f>'C. Other Revenues'!B205</f>
        <v>C.1</v>
      </c>
      <c r="AK180" s="73">
        <f>'C. Other Revenues'!K209</f>
        <v>0</v>
      </c>
      <c r="AL180" s="12"/>
      <c r="AM180" s="272" t="str">
        <f>'C. Other Revenues'!B205</f>
        <v>C.1</v>
      </c>
      <c r="AN180" s="73">
        <f>'C. Other Revenues'!M209</f>
        <v>0</v>
      </c>
      <c r="AO180" s="279"/>
      <c r="AP180" s="73"/>
      <c r="AQ180" s="14"/>
      <c r="AR180" s="272"/>
      <c r="AS180" s="254"/>
      <c r="AT180" s="508"/>
      <c r="AU180" s="509"/>
      <c r="AV180" s="323">
        <f t="shared" si="41"/>
        <v>0</v>
      </c>
      <c r="AW180" s="323">
        <f t="shared" si="42"/>
        <v>0</v>
      </c>
      <c r="AX180" s="351" t="str">
        <f t="shared" si="43"/>
        <v xml:space="preserve"> </v>
      </c>
      <c r="AY180" s="254">
        <f t="shared" si="44"/>
        <v>0</v>
      </c>
      <c r="AZ180" s="345"/>
      <c r="BA180" s="254"/>
    </row>
    <row r="181" spans="1:53" x14ac:dyDescent="0.2">
      <c r="A181" s="45"/>
      <c r="B181" s="185"/>
      <c r="C181" s="14" t="s">
        <v>384</v>
      </c>
      <c r="D181" s="489"/>
      <c r="E181" s="485"/>
      <c r="F181" s="485"/>
      <c r="G181" s="485"/>
      <c r="H181" s="485"/>
      <c r="I181" s="485"/>
      <c r="J181" s="485"/>
      <c r="K181" s="486"/>
      <c r="L181" s="487"/>
      <c r="M181" s="485"/>
      <c r="N181" s="485"/>
      <c r="O181" s="485"/>
      <c r="P181" s="488"/>
      <c r="Q181" s="488"/>
      <c r="R181" s="488"/>
      <c r="S181" s="488"/>
      <c r="T181" s="488"/>
      <c r="U181" s="488"/>
      <c r="V181" s="488"/>
      <c r="W181" s="488"/>
      <c r="X181" s="486"/>
      <c r="Y181" s="486"/>
      <c r="Z181" s="486"/>
      <c r="AA181" s="486"/>
      <c r="AB181" s="34">
        <f t="shared" si="21"/>
        <v>0</v>
      </c>
      <c r="AC181" s="12">
        <f t="shared" si="22"/>
        <v>0</v>
      </c>
      <c r="AD181" s="30">
        <f t="shared" si="23"/>
        <v>0</v>
      </c>
      <c r="AE181" s="25">
        <f t="shared" si="24"/>
        <v>0</v>
      </c>
      <c r="AF181" s="12"/>
      <c r="AG181" s="12"/>
      <c r="AH181" s="30">
        <f>'A. Revenue by function'!L99</f>
        <v>0</v>
      </c>
      <c r="AI181" s="25"/>
      <c r="AJ181" s="272" t="str">
        <f>'C. Other Revenues'!B205</f>
        <v>C.1</v>
      </c>
      <c r="AK181" s="73">
        <f>'C. Other Revenues'!K210</f>
        <v>0</v>
      </c>
      <c r="AL181" s="12"/>
      <c r="AM181" s="272" t="str">
        <f>'C. Other Revenues'!B205</f>
        <v>C.1</v>
      </c>
      <c r="AN181" s="73">
        <f>'C. Other Revenues'!M210</f>
        <v>0</v>
      </c>
      <c r="AO181" s="279"/>
      <c r="AP181" s="73"/>
      <c r="AQ181" s="14"/>
      <c r="AR181" s="272"/>
      <c r="AS181" s="254"/>
      <c r="AT181" s="508"/>
      <c r="AU181" s="509"/>
      <c r="AV181" s="323">
        <f t="shared" si="41"/>
        <v>0</v>
      </c>
      <c r="AW181" s="323">
        <f t="shared" si="42"/>
        <v>0</v>
      </c>
      <c r="AX181" s="345" t="str">
        <f t="shared" si="43"/>
        <v xml:space="preserve"> </v>
      </c>
      <c r="AY181" s="255">
        <f t="shared" si="44"/>
        <v>0</v>
      </c>
      <c r="AZ181" s="345"/>
      <c r="BA181" s="254"/>
    </row>
    <row r="182" spans="1:53" x14ac:dyDescent="0.2">
      <c r="A182" s="45"/>
      <c r="B182" s="185"/>
      <c r="C182" s="14" t="s">
        <v>381</v>
      </c>
      <c r="D182" s="489"/>
      <c r="E182" s="485"/>
      <c r="F182" s="485"/>
      <c r="G182" s="485"/>
      <c r="H182" s="485"/>
      <c r="I182" s="485"/>
      <c r="J182" s="485"/>
      <c r="K182" s="486"/>
      <c r="L182" s="487"/>
      <c r="M182" s="485"/>
      <c r="N182" s="485"/>
      <c r="O182" s="485"/>
      <c r="P182" s="488"/>
      <c r="Q182" s="488"/>
      <c r="R182" s="488"/>
      <c r="S182" s="488"/>
      <c r="T182" s="488"/>
      <c r="U182" s="488"/>
      <c r="V182" s="488"/>
      <c r="W182" s="488"/>
      <c r="X182" s="486"/>
      <c r="Y182" s="486"/>
      <c r="Z182" s="486"/>
      <c r="AA182" s="486"/>
      <c r="AB182" s="34">
        <f t="shared" si="21"/>
        <v>0</v>
      </c>
      <c r="AC182" s="12">
        <f t="shared" si="22"/>
        <v>0</v>
      </c>
      <c r="AD182" s="30">
        <f t="shared" si="23"/>
        <v>0</v>
      </c>
      <c r="AE182" s="25">
        <f t="shared" si="24"/>
        <v>0</v>
      </c>
      <c r="AF182" s="12"/>
      <c r="AG182" s="12"/>
      <c r="AH182" s="30">
        <f>'A. Revenue by function'!L100</f>
        <v>0</v>
      </c>
      <c r="AI182" s="25"/>
      <c r="AJ182" s="272" t="str">
        <f>'C. Other Revenues'!B205</f>
        <v>C.1</v>
      </c>
      <c r="AK182" s="73">
        <f>'C. Other Revenues'!K211</f>
        <v>0</v>
      </c>
      <c r="AL182" s="12"/>
      <c r="AM182" s="272" t="str">
        <f>'C. Other Revenues'!B205</f>
        <v>C.1</v>
      </c>
      <c r="AN182" s="73">
        <f>'C. Other Revenues'!M211</f>
        <v>0</v>
      </c>
      <c r="AO182" s="279"/>
      <c r="AP182" s="73"/>
      <c r="AQ182" s="14"/>
      <c r="AR182" s="272"/>
      <c r="AS182" s="254"/>
      <c r="AT182" s="508"/>
      <c r="AU182" s="509"/>
      <c r="AV182" s="323">
        <f>AD182+AF182+AH182+AK182+AP182+AT182</f>
        <v>0</v>
      </c>
      <c r="AW182" s="323">
        <f t="shared" si="42"/>
        <v>0</v>
      </c>
      <c r="AX182" s="345" t="str">
        <f t="shared" si="43"/>
        <v xml:space="preserve"> </v>
      </c>
      <c r="AY182" s="255">
        <f t="shared" si="44"/>
        <v>0</v>
      </c>
      <c r="AZ182" s="345"/>
      <c r="BA182" s="254"/>
    </row>
    <row r="183" spans="1:53" x14ac:dyDescent="0.2">
      <c r="A183" s="45"/>
      <c r="B183" s="185"/>
      <c r="C183" s="38" t="s">
        <v>385</v>
      </c>
      <c r="D183" s="490"/>
      <c r="E183" s="485"/>
      <c r="F183" s="485"/>
      <c r="G183" s="485"/>
      <c r="H183" s="485"/>
      <c r="I183" s="485"/>
      <c r="J183" s="485"/>
      <c r="K183" s="561"/>
      <c r="L183" s="485"/>
      <c r="M183" s="485"/>
      <c r="N183" s="485"/>
      <c r="O183" s="485"/>
      <c r="P183" s="488"/>
      <c r="Q183" s="488"/>
      <c r="R183" s="488"/>
      <c r="S183" s="488"/>
      <c r="T183" s="488"/>
      <c r="U183" s="488"/>
      <c r="V183" s="488"/>
      <c r="W183" s="488"/>
      <c r="X183" s="486"/>
      <c r="Y183" s="486"/>
      <c r="Z183" s="486"/>
      <c r="AA183" s="486"/>
      <c r="AB183" s="34">
        <f t="shared" ref="AB183:AB245" si="45">L183+N183+P183+R183+T183+V183+X183+Z183</f>
        <v>0</v>
      </c>
      <c r="AC183" s="12">
        <f t="shared" ref="AC183:AC245" si="46">M183+O183+Q183+S183+U183+W183+Y183+AA183</f>
        <v>0</v>
      </c>
      <c r="AD183" s="30">
        <f t="shared" si="23"/>
        <v>0</v>
      </c>
      <c r="AE183" s="25">
        <f t="shared" si="24"/>
        <v>0</v>
      </c>
      <c r="AF183" s="12"/>
      <c r="AG183" s="12"/>
      <c r="AH183" s="30">
        <f>'A. Revenue by function'!L101</f>
        <v>0</v>
      </c>
      <c r="AI183" s="25"/>
      <c r="AJ183" s="272" t="str">
        <f>'C. Other Revenues'!B205</f>
        <v>C.1</v>
      </c>
      <c r="AK183" s="73">
        <f>'C. Other Revenues'!K213</f>
        <v>0</v>
      </c>
      <c r="AL183" s="12"/>
      <c r="AM183" s="272" t="str">
        <f>'C. Other Revenues'!B205</f>
        <v>C.1</v>
      </c>
      <c r="AN183" s="73">
        <f>'C. Other Revenues'!M213</f>
        <v>0</v>
      </c>
      <c r="AO183" s="279" t="str">
        <f>'L. Eliminations-Consolidations'!A239</f>
        <v>L.7</v>
      </c>
      <c r="AP183" s="73">
        <f>'L. Eliminations-Consolidations'!J248</f>
        <v>0</v>
      </c>
      <c r="AQ183" s="14"/>
      <c r="AR183" s="464" t="s">
        <v>682</v>
      </c>
      <c r="AS183" s="255">
        <f>'K.1  Int. Service Fd Allocation'!G200+'K.2  Int. Service Fd Alloca'!G193+'K.3 Int. Service Fd Alloca'!G193</f>
        <v>0</v>
      </c>
      <c r="AT183" s="508"/>
      <c r="AU183" s="509"/>
      <c r="AV183" s="323">
        <f t="shared" si="41"/>
        <v>0</v>
      </c>
      <c r="AW183" s="323">
        <f t="shared" si="42"/>
        <v>0</v>
      </c>
      <c r="AX183" s="345" t="str">
        <f t="shared" si="43"/>
        <v xml:space="preserve"> </v>
      </c>
      <c r="AY183" s="255">
        <f t="shared" si="44"/>
        <v>0</v>
      </c>
      <c r="AZ183" s="345"/>
      <c r="BA183" s="254"/>
    </row>
    <row r="184" spans="1:53" x14ac:dyDescent="0.2">
      <c r="A184" s="45"/>
      <c r="B184" s="379"/>
      <c r="C184" s="309" t="s">
        <v>189</v>
      </c>
      <c r="D184" s="497"/>
      <c r="E184" s="499"/>
      <c r="F184" s="499"/>
      <c r="G184" s="499"/>
      <c r="H184" s="499"/>
      <c r="I184" s="499"/>
      <c r="J184" s="499"/>
      <c r="K184" s="500"/>
      <c r="L184" s="501"/>
      <c r="M184" s="499"/>
      <c r="N184" s="499"/>
      <c r="O184" s="499"/>
      <c r="P184" s="502"/>
      <c r="Q184" s="502"/>
      <c r="R184" s="502"/>
      <c r="S184" s="502"/>
      <c r="T184" s="502"/>
      <c r="U184" s="502"/>
      <c r="V184" s="502"/>
      <c r="W184" s="502"/>
      <c r="X184" s="500"/>
      <c r="Y184" s="500"/>
      <c r="Z184" s="500"/>
      <c r="AA184" s="500"/>
      <c r="AB184" s="313">
        <f t="shared" si="45"/>
        <v>0</v>
      </c>
      <c r="AC184" s="311">
        <f t="shared" si="46"/>
        <v>0</v>
      </c>
      <c r="AD184" s="312">
        <f t="shared" si="23"/>
        <v>0</v>
      </c>
      <c r="AE184" s="314">
        <f t="shared" si="24"/>
        <v>0</v>
      </c>
      <c r="AF184" s="311"/>
      <c r="AG184" s="311"/>
      <c r="AH184" s="312">
        <f>'A. Revenue by function'!L102</f>
        <v>0</v>
      </c>
      <c r="AI184" s="314"/>
      <c r="AJ184" s="315" t="str">
        <f>'C. Other Revenues'!B205</f>
        <v>C.1</v>
      </c>
      <c r="AK184" s="316">
        <f>'C. Other Revenues'!K212</f>
        <v>0</v>
      </c>
      <c r="AL184" s="311"/>
      <c r="AM184" s="315" t="str">
        <f>'C. Other Revenues'!B205</f>
        <v>C.1</v>
      </c>
      <c r="AN184" s="316">
        <f>'C. Other Revenues'!M212</f>
        <v>0</v>
      </c>
      <c r="AO184" s="317"/>
      <c r="AP184" s="316"/>
      <c r="AQ184" s="309"/>
      <c r="AR184" s="315" t="str">
        <f>'L. Eliminations-Consolidations'!B277</f>
        <v>L.10</v>
      </c>
      <c r="AS184" s="318">
        <f>'L. Eliminations-Consolidations'!L279</f>
        <v>0</v>
      </c>
      <c r="AT184" s="508"/>
      <c r="AU184" s="509"/>
      <c r="AV184" s="316">
        <f t="shared" si="41"/>
        <v>0</v>
      </c>
      <c r="AW184" s="316">
        <f t="shared" si="42"/>
        <v>0</v>
      </c>
      <c r="AX184" s="346" t="str">
        <f>IF((AV184+AV185+AV186+AV187)-(AW184+AW185+AW186+AW187)&lt;=0," ",(AV184+AV185+AV186+AV187)-(AW184+AW185+AW186+AW187))</f>
        <v xml:space="preserve"> </v>
      </c>
      <c r="AY184" s="318" t="str">
        <f>IF((AV184+AV185+AV186+AV187+AV188)-(AW184+AW185+AW186+AW187+AV188)&gt;=0," ",(AW184+AW185+AW186+AW187+AV188)-(AV184+AV185+AV186+AV187+AV188))</f>
        <v xml:space="preserve"> </v>
      </c>
      <c r="AZ184" s="345"/>
      <c r="BA184" s="254"/>
    </row>
    <row r="185" spans="1:53" x14ac:dyDescent="0.2">
      <c r="A185" s="45"/>
      <c r="B185" s="379"/>
      <c r="C185" s="309"/>
      <c r="D185" s="497"/>
      <c r="E185" s="499"/>
      <c r="F185" s="499"/>
      <c r="G185" s="499"/>
      <c r="H185" s="499"/>
      <c r="I185" s="499"/>
      <c r="J185" s="499"/>
      <c r="K185" s="500"/>
      <c r="L185" s="501"/>
      <c r="M185" s="499"/>
      <c r="N185" s="499"/>
      <c r="O185" s="499"/>
      <c r="P185" s="502"/>
      <c r="Q185" s="502"/>
      <c r="R185" s="502"/>
      <c r="S185" s="502"/>
      <c r="T185" s="502"/>
      <c r="U185" s="502"/>
      <c r="V185" s="502"/>
      <c r="W185" s="502"/>
      <c r="X185" s="500"/>
      <c r="Y185" s="500"/>
      <c r="Z185" s="500"/>
      <c r="AA185" s="500"/>
      <c r="AB185" s="313">
        <f t="shared" si="45"/>
        <v>0</v>
      </c>
      <c r="AC185" s="311">
        <f t="shared" si="46"/>
        <v>0</v>
      </c>
      <c r="AD185" s="312">
        <f t="shared" si="23"/>
        <v>0</v>
      </c>
      <c r="AE185" s="314">
        <f t="shared" si="24"/>
        <v>0</v>
      </c>
      <c r="AF185" s="311"/>
      <c r="AG185" s="311"/>
      <c r="AH185" s="312"/>
      <c r="AI185" s="314"/>
      <c r="AJ185" s="315" t="str">
        <f>'F.  Other Cap Asset Entries'!D214</f>
        <v>F.1</v>
      </c>
      <c r="AK185" s="316">
        <f>'F.  Other Cap Asset Entries'!M222</f>
        <v>0</v>
      </c>
      <c r="AL185" s="311"/>
      <c r="AM185" s="315" t="str">
        <f>'F.  Other Cap Asset Entries'!D214</f>
        <v>F.1</v>
      </c>
      <c r="AN185" s="316">
        <f>'F.  Other Cap Asset Entries'!O233</f>
        <v>0</v>
      </c>
      <c r="AO185" s="317"/>
      <c r="AP185" s="316"/>
      <c r="AQ185" s="309"/>
      <c r="AR185" s="315"/>
      <c r="AS185" s="318"/>
      <c r="AT185" s="508"/>
      <c r="AU185" s="509"/>
      <c r="AV185" s="316">
        <f t="shared" si="41"/>
        <v>0</v>
      </c>
      <c r="AW185" s="316">
        <f t="shared" si="42"/>
        <v>0</v>
      </c>
      <c r="AX185" s="346"/>
      <c r="AY185" s="318"/>
      <c r="AZ185" s="345"/>
      <c r="BA185" s="254"/>
    </row>
    <row r="186" spans="1:53" x14ac:dyDescent="0.2">
      <c r="A186" s="45"/>
      <c r="B186" s="379"/>
      <c r="C186" s="309"/>
      <c r="D186" s="497"/>
      <c r="E186" s="499"/>
      <c r="F186" s="499"/>
      <c r="G186" s="499"/>
      <c r="H186" s="499"/>
      <c r="I186" s="499"/>
      <c r="J186" s="499"/>
      <c r="K186" s="500"/>
      <c r="L186" s="501"/>
      <c r="M186" s="499"/>
      <c r="N186" s="499"/>
      <c r="O186" s="499"/>
      <c r="P186" s="502"/>
      <c r="Q186" s="502"/>
      <c r="R186" s="502"/>
      <c r="S186" s="502"/>
      <c r="T186" s="502"/>
      <c r="U186" s="502"/>
      <c r="V186" s="502"/>
      <c r="W186" s="502"/>
      <c r="X186" s="500"/>
      <c r="Y186" s="500"/>
      <c r="Z186" s="500"/>
      <c r="AA186" s="500"/>
      <c r="AB186" s="313">
        <f t="shared" si="45"/>
        <v>0</v>
      </c>
      <c r="AC186" s="311">
        <f t="shared" si="46"/>
        <v>0</v>
      </c>
      <c r="AD186" s="312">
        <f t="shared" si="23"/>
        <v>0</v>
      </c>
      <c r="AE186" s="314">
        <f t="shared" si="24"/>
        <v>0</v>
      </c>
      <c r="AF186" s="311"/>
      <c r="AG186" s="311"/>
      <c r="AH186" s="312"/>
      <c r="AI186" s="314"/>
      <c r="AJ186" s="315" t="str">
        <f>'F.  Other Cap Asset Entries'!D214</f>
        <v>F.1</v>
      </c>
      <c r="AK186" s="316">
        <f>'F.  Other Cap Asset Entries'!M233</f>
        <v>0</v>
      </c>
      <c r="AL186" s="311"/>
      <c r="AM186" s="315" t="str">
        <f>'F.  Other Cap Asset Entries'!D236</f>
        <v>F.2</v>
      </c>
      <c r="AN186" s="316">
        <f>'F.  Other Cap Asset Entries'!O244</f>
        <v>0</v>
      </c>
      <c r="AO186" s="317"/>
      <c r="AP186" s="316"/>
      <c r="AQ186" s="309"/>
      <c r="AR186" s="315"/>
      <c r="AS186" s="318"/>
      <c r="AT186" s="508"/>
      <c r="AU186" s="509"/>
      <c r="AV186" s="316">
        <f t="shared" si="41"/>
        <v>0</v>
      </c>
      <c r="AW186" s="316">
        <f t="shared" si="42"/>
        <v>0</v>
      </c>
      <c r="AX186" s="346"/>
      <c r="AY186" s="318"/>
      <c r="AZ186" s="345"/>
      <c r="BA186" s="254"/>
    </row>
    <row r="187" spans="1:53" x14ac:dyDescent="0.2">
      <c r="A187" s="45"/>
      <c r="B187" s="379"/>
      <c r="C187" s="309"/>
      <c r="D187" s="497"/>
      <c r="E187" s="499"/>
      <c r="F187" s="499"/>
      <c r="G187" s="499"/>
      <c r="H187" s="499"/>
      <c r="I187" s="499"/>
      <c r="J187" s="499"/>
      <c r="K187" s="500"/>
      <c r="L187" s="501"/>
      <c r="M187" s="499"/>
      <c r="N187" s="499"/>
      <c r="O187" s="499"/>
      <c r="P187" s="502"/>
      <c r="Q187" s="502"/>
      <c r="R187" s="502"/>
      <c r="S187" s="502"/>
      <c r="T187" s="502"/>
      <c r="U187" s="502"/>
      <c r="V187" s="502"/>
      <c r="W187" s="502"/>
      <c r="X187" s="500"/>
      <c r="Y187" s="500"/>
      <c r="Z187" s="500"/>
      <c r="AA187" s="500"/>
      <c r="AB187" s="313">
        <f t="shared" si="45"/>
        <v>0</v>
      </c>
      <c r="AC187" s="311">
        <f t="shared" si="46"/>
        <v>0</v>
      </c>
      <c r="AD187" s="312">
        <f t="shared" ref="AD187:AD254" si="47">D187+F187+H187+J187+AB187</f>
        <v>0</v>
      </c>
      <c r="AE187" s="314">
        <f t="shared" ref="AE187:AE254" si="48">E187+G187+I187+K187+AC187</f>
        <v>0</v>
      </c>
      <c r="AF187" s="311"/>
      <c r="AG187" s="311"/>
      <c r="AH187" s="312"/>
      <c r="AI187" s="314"/>
      <c r="AJ187" s="322" t="str">
        <f>'I.  Other Asset Entries'!B105</f>
        <v>I.1</v>
      </c>
      <c r="AK187" s="316">
        <f>'I.  Other Asset Entries'!L106</f>
        <v>0</v>
      </c>
      <c r="AL187" s="311"/>
      <c r="AM187" s="315" t="s">
        <v>968</v>
      </c>
      <c r="AN187" s="316">
        <f>'F.  Other Cap Asset Entries'!O266</f>
        <v>0</v>
      </c>
      <c r="AO187" s="317"/>
      <c r="AP187" s="316"/>
      <c r="AQ187" s="309"/>
      <c r="AR187" s="315"/>
      <c r="AS187" s="318"/>
      <c r="AT187" s="508"/>
      <c r="AU187" s="509"/>
      <c r="AV187" s="316">
        <f t="shared" si="41"/>
        <v>0</v>
      </c>
      <c r="AW187" s="316">
        <f t="shared" si="42"/>
        <v>0</v>
      </c>
      <c r="AX187" s="346"/>
      <c r="AY187" s="318"/>
      <c r="AZ187" s="345"/>
      <c r="BA187" s="254"/>
    </row>
    <row r="188" spans="1:53" x14ac:dyDescent="0.2">
      <c r="A188" s="45"/>
      <c r="B188" s="379"/>
      <c r="C188" s="309"/>
      <c r="D188" s="497"/>
      <c r="E188" s="499"/>
      <c r="F188" s="499"/>
      <c r="G188" s="499"/>
      <c r="H188" s="499"/>
      <c r="I188" s="499"/>
      <c r="J188" s="499"/>
      <c r="K188" s="500"/>
      <c r="L188" s="501"/>
      <c r="M188" s="499"/>
      <c r="N188" s="499"/>
      <c r="O188" s="499"/>
      <c r="P188" s="502"/>
      <c r="Q188" s="502"/>
      <c r="R188" s="502"/>
      <c r="S188" s="502"/>
      <c r="T188" s="502"/>
      <c r="U188" s="502"/>
      <c r="V188" s="502"/>
      <c r="W188" s="502"/>
      <c r="X188" s="500"/>
      <c r="Y188" s="500"/>
      <c r="Z188" s="500"/>
      <c r="AA188" s="500"/>
      <c r="AB188" s="313">
        <f t="shared" si="45"/>
        <v>0</v>
      </c>
      <c r="AC188" s="311">
        <f t="shared" si="46"/>
        <v>0</v>
      </c>
      <c r="AD188" s="312">
        <f t="shared" si="47"/>
        <v>0</v>
      </c>
      <c r="AE188" s="314">
        <f t="shared" si="48"/>
        <v>0</v>
      </c>
      <c r="AF188" s="311"/>
      <c r="AG188" s="311"/>
      <c r="AH188" s="312"/>
      <c r="AI188" s="314"/>
      <c r="AJ188" s="322" t="str">
        <f>'I.  Other Asset Entries'!B105</f>
        <v>I.1</v>
      </c>
      <c r="AK188" s="316">
        <f>'I.  Other Asset Entries'!L118</f>
        <v>0</v>
      </c>
      <c r="AL188" s="311"/>
      <c r="AM188" s="322" t="str">
        <f>'I.  Other Asset Entries'!B105</f>
        <v>I.1</v>
      </c>
      <c r="AN188" s="316">
        <f>'I.  Other Asset Entries'!N118</f>
        <v>0</v>
      </c>
      <c r="AO188" s="317"/>
      <c r="AP188" s="316"/>
      <c r="AQ188" s="309"/>
      <c r="AR188" s="315"/>
      <c r="AS188" s="318"/>
      <c r="AT188" s="508"/>
      <c r="AU188" s="509"/>
      <c r="AV188" s="316">
        <f t="shared" si="41"/>
        <v>0</v>
      </c>
      <c r="AW188" s="316">
        <f t="shared" si="42"/>
        <v>0</v>
      </c>
      <c r="AX188" s="346"/>
      <c r="AY188" s="318"/>
      <c r="AZ188" s="345"/>
      <c r="BA188" s="254"/>
    </row>
    <row r="189" spans="1:53" x14ac:dyDescent="0.2">
      <c r="A189" s="45"/>
      <c r="B189" s="14"/>
      <c r="C189" s="486" t="s">
        <v>833</v>
      </c>
      <c r="D189" s="489"/>
      <c r="E189" s="490"/>
      <c r="F189" s="485"/>
      <c r="G189" s="485"/>
      <c r="H189" s="485"/>
      <c r="I189" s="485"/>
      <c r="J189" s="485"/>
      <c r="K189" s="486"/>
      <c r="L189" s="487"/>
      <c r="M189" s="485"/>
      <c r="N189" s="485"/>
      <c r="O189" s="485"/>
      <c r="P189" s="488"/>
      <c r="Q189" s="488"/>
      <c r="R189" s="488"/>
      <c r="S189" s="488"/>
      <c r="T189" s="488"/>
      <c r="U189" s="488"/>
      <c r="V189" s="488"/>
      <c r="W189" s="488"/>
      <c r="X189" s="486"/>
      <c r="Y189" s="486"/>
      <c r="Z189" s="486"/>
      <c r="AA189" s="486"/>
      <c r="AB189" s="34">
        <f t="shared" si="45"/>
        <v>0</v>
      </c>
      <c r="AC189" s="12">
        <f t="shared" si="46"/>
        <v>0</v>
      </c>
      <c r="AD189" s="30">
        <f t="shared" si="47"/>
        <v>0</v>
      </c>
      <c r="AE189" s="25">
        <f t="shared" si="48"/>
        <v>0</v>
      </c>
      <c r="AF189" s="12"/>
      <c r="AG189" s="12"/>
      <c r="AH189" s="30">
        <f>'A. Revenue by function'!L103</f>
        <v>0</v>
      </c>
      <c r="AI189" s="25"/>
      <c r="AO189" s="278"/>
      <c r="AP189" s="73"/>
      <c r="AQ189" s="14"/>
      <c r="AR189" s="272"/>
      <c r="AS189" s="254"/>
      <c r="AT189" s="508"/>
      <c r="AU189" s="509"/>
      <c r="AV189" s="323">
        <f t="shared" si="41"/>
        <v>0</v>
      </c>
      <c r="AW189" s="323">
        <f t="shared" si="42"/>
        <v>0</v>
      </c>
      <c r="AX189" s="345" t="str">
        <f t="shared" si="43"/>
        <v xml:space="preserve"> </v>
      </c>
      <c r="AY189" s="254">
        <f t="shared" si="44"/>
        <v>0</v>
      </c>
      <c r="AZ189" s="345"/>
      <c r="BA189" s="254"/>
    </row>
    <row r="190" spans="1:53" ht="12" customHeight="1" x14ac:dyDescent="0.2">
      <c r="A190" s="45"/>
      <c r="B190" s="14"/>
      <c r="C190" s="486" t="s">
        <v>921</v>
      </c>
      <c r="D190" s="489"/>
      <c r="E190" s="490"/>
      <c r="F190" s="485"/>
      <c r="G190" s="485"/>
      <c r="H190" s="485"/>
      <c r="I190" s="485"/>
      <c r="J190" s="485"/>
      <c r="K190" s="485"/>
      <c r="L190" s="487"/>
      <c r="M190" s="485"/>
      <c r="N190" s="485"/>
      <c r="O190" s="485"/>
      <c r="P190" s="488"/>
      <c r="Q190" s="488"/>
      <c r="R190" s="488"/>
      <c r="S190" s="488"/>
      <c r="T190" s="488"/>
      <c r="U190" s="488"/>
      <c r="V190" s="488"/>
      <c r="W190" s="488"/>
      <c r="X190" s="486"/>
      <c r="Y190" s="486"/>
      <c r="Z190" s="486"/>
      <c r="AA190" s="486"/>
      <c r="AB190" s="34">
        <f t="shared" si="45"/>
        <v>0</v>
      </c>
      <c r="AC190" s="12">
        <f t="shared" si="46"/>
        <v>0</v>
      </c>
      <c r="AD190" s="30">
        <f t="shared" si="47"/>
        <v>0</v>
      </c>
      <c r="AE190" s="25">
        <f t="shared" si="48"/>
        <v>0</v>
      </c>
      <c r="AF190" s="12"/>
      <c r="AG190" s="12"/>
      <c r="AH190" s="30">
        <f>'A. Revenue by function'!L104</f>
        <v>0</v>
      </c>
      <c r="AI190" s="25"/>
      <c r="AJ190" s="272"/>
      <c r="AK190" s="73"/>
      <c r="AL190" s="12"/>
      <c r="AM190" s="272"/>
      <c r="AN190" s="73"/>
      <c r="AO190" s="279"/>
      <c r="AP190" s="73"/>
      <c r="AQ190" s="14"/>
      <c r="AR190" s="272"/>
      <c r="AS190" s="254"/>
      <c r="AT190" s="508"/>
      <c r="AU190" s="509"/>
      <c r="AV190" s="323">
        <f t="shared" si="41"/>
        <v>0</v>
      </c>
      <c r="AW190" s="323">
        <f t="shared" si="42"/>
        <v>0</v>
      </c>
      <c r="AX190" s="345" t="str">
        <f t="shared" si="43"/>
        <v xml:space="preserve"> </v>
      </c>
      <c r="AY190" s="254">
        <f t="shared" si="44"/>
        <v>0</v>
      </c>
      <c r="AZ190" s="345"/>
      <c r="BA190" s="254"/>
    </row>
    <row r="191" spans="1:53" ht="12.75" customHeight="1" x14ac:dyDescent="0.2">
      <c r="A191" s="45"/>
      <c r="B191" s="14"/>
      <c r="C191" s="14"/>
      <c r="D191" s="489"/>
      <c r="E191" s="490"/>
      <c r="F191" s="485"/>
      <c r="G191" s="485"/>
      <c r="H191" s="485"/>
      <c r="I191" s="485"/>
      <c r="J191" s="485"/>
      <c r="K191" s="485"/>
      <c r="L191" s="487"/>
      <c r="M191" s="485"/>
      <c r="N191" s="485"/>
      <c r="O191" s="485"/>
      <c r="P191" s="488"/>
      <c r="Q191" s="488"/>
      <c r="R191" s="488"/>
      <c r="S191" s="488"/>
      <c r="T191" s="488"/>
      <c r="U191" s="488"/>
      <c r="V191" s="488"/>
      <c r="W191" s="488"/>
      <c r="X191" s="486"/>
      <c r="Y191" s="486"/>
      <c r="Z191" s="486"/>
      <c r="AA191" s="486"/>
      <c r="AB191" s="34">
        <f t="shared" si="45"/>
        <v>0</v>
      </c>
      <c r="AC191" s="12">
        <f t="shared" si="46"/>
        <v>0</v>
      </c>
      <c r="AD191" s="30">
        <f t="shared" si="47"/>
        <v>0</v>
      </c>
      <c r="AE191" s="25">
        <f t="shared" si="48"/>
        <v>0</v>
      </c>
      <c r="AF191" s="12"/>
      <c r="AG191" s="12"/>
      <c r="AH191" s="30"/>
      <c r="AI191" s="25"/>
      <c r="AJ191" s="272"/>
      <c r="AK191" s="73"/>
      <c r="AL191" s="12"/>
      <c r="AM191" s="272"/>
      <c r="AN191" s="73"/>
      <c r="AO191" s="279"/>
      <c r="AP191" s="73"/>
      <c r="AQ191" s="14"/>
      <c r="AR191" s="272"/>
      <c r="AS191" s="254"/>
      <c r="AT191" s="508"/>
      <c r="AU191" s="509"/>
      <c r="AV191" s="323">
        <f t="shared" si="41"/>
        <v>0</v>
      </c>
      <c r="AW191" s="323">
        <f t="shared" si="42"/>
        <v>0</v>
      </c>
      <c r="AX191" s="345" t="str">
        <f t="shared" si="43"/>
        <v xml:space="preserve"> </v>
      </c>
      <c r="AY191" s="254">
        <f t="shared" si="44"/>
        <v>0</v>
      </c>
      <c r="AZ191" s="345"/>
      <c r="BA191" s="254"/>
    </row>
    <row r="192" spans="1:53" x14ac:dyDescent="0.2">
      <c r="A192" s="45"/>
      <c r="B192" s="194" t="s">
        <v>498</v>
      </c>
      <c r="C192" s="14"/>
      <c r="D192" s="489"/>
      <c r="E192" s="490"/>
      <c r="F192" s="485"/>
      <c r="G192" s="485"/>
      <c r="H192" s="485"/>
      <c r="I192" s="485"/>
      <c r="J192" s="485"/>
      <c r="K192" s="485"/>
      <c r="L192" s="487"/>
      <c r="M192" s="485"/>
      <c r="N192" s="485"/>
      <c r="O192" s="485"/>
      <c r="P192" s="488"/>
      <c r="Q192" s="488"/>
      <c r="R192" s="488"/>
      <c r="S192" s="488"/>
      <c r="T192" s="488"/>
      <c r="U192" s="488"/>
      <c r="V192" s="488"/>
      <c r="W192" s="488"/>
      <c r="X192" s="486"/>
      <c r="Y192" s="486"/>
      <c r="Z192" s="486"/>
      <c r="AA192" s="486"/>
      <c r="AB192" s="34">
        <f t="shared" si="45"/>
        <v>0</v>
      </c>
      <c r="AC192" s="12">
        <f t="shared" si="46"/>
        <v>0</v>
      </c>
      <c r="AD192" s="30">
        <f t="shared" si="47"/>
        <v>0</v>
      </c>
      <c r="AE192" s="25">
        <f t="shared" si="48"/>
        <v>0</v>
      </c>
      <c r="AF192" s="12"/>
      <c r="AG192" s="12"/>
      <c r="AH192" s="30"/>
      <c r="AI192" s="25"/>
      <c r="AJ192" s="272"/>
      <c r="AK192" s="73"/>
      <c r="AL192" s="12"/>
      <c r="AM192" s="272"/>
      <c r="AN192" s="73"/>
      <c r="AO192" s="279"/>
      <c r="AP192" s="73"/>
      <c r="AQ192" s="14"/>
      <c r="AR192" s="272"/>
      <c r="AS192" s="254"/>
      <c r="AT192" s="508"/>
      <c r="AU192" s="509"/>
      <c r="AV192" s="323">
        <f t="shared" si="41"/>
        <v>0</v>
      </c>
      <c r="AW192" s="323">
        <f t="shared" si="42"/>
        <v>0</v>
      </c>
      <c r="AX192" s="345" t="str">
        <f t="shared" si="43"/>
        <v xml:space="preserve"> </v>
      </c>
      <c r="AY192" s="254">
        <f t="shared" si="44"/>
        <v>0</v>
      </c>
      <c r="AZ192" s="345"/>
      <c r="BA192" s="254"/>
    </row>
    <row r="193" spans="1:53" x14ac:dyDescent="0.2">
      <c r="A193" s="45"/>
      <c r="B193" s="1152" t="s">
        <v>522</v>
      </c>
      <c r="C193" s="14" t="s">
        <v>499</v>
      </c>
      <c r="D193" s="489"/>
      <c r="E193" s="490"/>
      <c r="F193" s="485"/>
      <c r="G193" s="485"/>
      <c r="H193" s="485"/>
      <c r="I193" s="485"/>
      <c r="J193" s="485"/>
      <c r="K193" s="486"/>
      <c r="L193" s="487"/>
      <c r="M193" s="485"/>
      <c r="N193" s="485"/>
      <c r="O193" s="485"/>
      <c r="P193" s="488"/>
      <c r="Q193" s="488"/>
      <c r="R193" s="488"/>
      <c r="S193" s="488"/>
      <c r="T193" s="488"/>
      <c r="U193" s="488"/>
      <c r="V193" s="488"/>
      <c r="W193" s="488"/>
      <c r="X193" s="486"/>
      <c r="Y193" s="486"/>
      <c r="Z193" s="486"/>
      <c r="AA193" s="486"/>
      <c r="AB193" s="34">
        <f t="shared" si="45"/>
        <v>0</v>
      </c>
      <c r="AC193" s="12">
        <f t="shared" si="46"/>
        <v>0</v>
      </c>
      <c r="AD193" s="30">
        <f t="shared" si="47"/>
        <v>0</v>
      </c>
      <c r="AE193" s="25">
        <f t="shared" si="48"/>
        <v>0</v>
      </c>
      <c r="AF193" s="12"/>
      <c r="AG193" s="12"/>
      <c r="AH193" s="30"/>
      <c r="AI193" s="25">
        <f>'A. Revenue by function'!N107</f>
        <v>0</v>
      </c>
      <c r="AJ193" s="272" t="str">
        <f>'C. Other Revenues'!B205</f>
        <v>C.1</v>
      </c>
      <c r="AK193" s="61">
        <f>'C. Other Revenues'!K215</f>
        <v>0</v>
      </c>
      <c r="AM193" s="272" t="str">
        <f>'C. Other Revenues'!B205</f>
        <v>C.1</v>
      </c>
      <c r="AN193" s="73">
        <f>'C. Other Revenues'!M215</f>
        <v>0</v>
      </c>
      <c r="AO193" s="279" t="str">
        <f>'L. Eliminations-Consolidations'!A217</f>
        <v>L.5</v>
      </c>
      <c r="AP193" s="73">
        <f>'L. Eliminations-Consolidations'!J217</f>
        <v>0</v>
      </c>
      <c r="AQ193" s="14"/>
      <c r="AR193" s="464" t="s">
        <v>682</v>
      </c>
      <c r="AS193" s="255">
        <f>'K.1  Int. Service Fd Allocation'!G201+'K.2  Int. Service Fd Alloca'!G194+'K.3 Int. Service Fd Alloca'!G194</f>
        <v>0</v>
      </c>
      <c r="AT193" s="508"/>
      <c r="AU193" s="509"/>
      <c r="AV193" s="323">
        <f t="shared" si="41"/>
        <v>0</v>
      </c>
      <c r="AW193" s="323">
        <f t="shared" si="42"/>
        <v>0</v>
      </c>
      <c r="AX193" s="345" t="str">
        <f t="shared" si="43"/>
        <v xml:space="preserve"> </v>
      </c>
      <c r="AY193" s="255">
        <f t="shared" si="44"/>
        <v>0</v>
      </c>
      <c r="AZ193" s="345"/>
      <c r="BA193" s="254"/>
    </row>
    <row r="194" spans="1:53" x14ac:dyDescent="0.2">
      <c r="A194" s="45"/>
      <c r="B194" s="1152"/>
      <c r="C194" s="14" t="s">
        <v>295</v>
      </c>
      <c r="D194" s="489"/>
      <c r="E194" s="490"/>
      <c r="F194" s="485"/>
      <c r="G194" s="485"/>
      <c r="H194" s="485"/>
      <c r="I194" s="485"/>
      <c r="J194" s="485"/>
      <c r="K194" s="486"/>
      <c r="L194" s="487"/>
      <c r="M194" s="485"/>
      <c r="N194" s="485"/>
      <c r="O194" s="485"/>
      <c r="P194" s="488"/>
      <c r="Q194" s="488"/>
      <c r="R194" s="488"/>
      <c r="S194" s="488"/>
      <c r="T194" s="488"/>
      <c r="U194" s="488"/>
      <c r="V194" s="488"/>
      <c r="W194" s="488"/>
      <c r="X194" s="486"/>
      <c r="Y194" s="486"/>
      <c r="Z194" s="486"/>
      <c r="AA194" s="486"/>
      <c r="AB194" s="34">
        <f t="shared" si="45"/>
        <v>0</v>
      </c>
      <c r="AC194" s="12">
        <f t="shared" si="46"/>
        <v>0</v>
      </c>
      <c r="AD194" s="30">
        <f t="shared" si="47"/>
        <v>0</v>
      </c>
      <c r="AE194" s="25">
        <f t="shared" si="48"/>
        <v>0</v>
      </c>
      <c r="AF194" s="12"/>
      <c r="AG194" s="12"/>
      <c r="AH194" s="30"/>
      <c r="AI194" s="25">
        <f>'A. Revenue by function'!N108</f>
        <v>0</v>
      </c>
      <c r="AJ194" s="272" t="str">
        <f>'C. Other Revenues'!B205</f>
        <v>C.1</v>
      </c>
      <c r="AK194" s="73">
        <f>'C. Other Revenues'!K224</f>
        <v>0</v>
      </c>
      <c r="AL194" s="12"/>
      <c r="AM194" s="272" t="str">
        <f>'C. Other Revenues'!B205</f>
        <v>C.1</v>
      </c>
      <c r="AN194" s="73">
        <f>'C. Other Revenues'!M224</f>
        <v>0</v>
      </c>
      <c r="AO194" s="279"/>
      <c r="AP194" s="73"/>
      <c r="AQ194" s="14"/>
      <c r="AR194" s="272" t="str">
        <f>'L. Eliminations-Consolidations'!A239</f>
        <v>L.7</v>
      </c>
      <c r="AS194" s="254">
        <f>'L. Eliminations-Consolidations'!L249</f>
        <v>0</v>
      </c>
      <c r="AT194" s="508"/>
      <c r="AU194" s="509"/>
      <c r="AV194" s="323">
        <f t="shared" si="41"/>
        <v>0</v>
      </c>
      <c r="AW194" s="323">
        <f t="shared" si="42"/>
        <v>0</v>
      </c>
      <c r="AX194" s="345" t="str">
        <f t="shared" si="43"/>
        <v xml:space="preserve"> </v>
      </c>
      <c r="AY194" s="254">
        <f t="shared" si="44"/>
        <v>0</v>
      </c>
      <c r="AZ194" s="345"/>
      <c r="BA194" s="254"/>
    </row>
    <row r="195" spans="1:53" ht="15.75" customHeight="1" x14ac:dyDescent="0.2">
      <c r="A195" s="45"/>
      <c r="B195" s="1152"/>
      <c r="C195" s="14" t="s">
        <v>296</v>
      </c>
      <c r="D195" s="489"/>
      <c r="E195" s="490"/>
      <c r="F195" s="485"/>
      <c r="G195" s="485"/>
      <c r="H195" s="485"/>
      <c r="I195" s="485"/>
      <c r="J195" s="485"/>
      <c r="K195" s="486"/>
      <c r="L195" s="487"/>
      <c r="M195" s="485"/>
      <c r="N195" s="485"/>
      <c r="O195" s="485"/>
      <c r="P195" s="488"/>
      <c r="Q195" s="488"/>
      <c r="R195" s="488"/>
      <c r="S195" s="488"/>
      <c r="T195" s="488"/>
      <c r="U195" s="488"/>
      <c r="V195" s="488"/>
      <c r="W195" s="488"/>
      <c r="X195" s="486"/>
      <c r="Y195" s="486"/>
      <c r="Z195" s="486"/>
      <c r="AA195" s="486"/>
      <c r="AB195" s="34">
        <f t="shared" si="45"/>
        <v>0</v>
      </c>
      <c r="AC195" s="12">
        <f t="shared" si="46"/>
        <v>0</v>
      </c>
      <c r="AD195" s="30">
        <f t="shared" si="47"/>
        <v>0</v>
      </c>
      <c r="AE195" s="25">
        <f t="shared" si="48"/>
        <v>0</v>
      </c>
      <c r="AF195" s="12"/>
      <c r="AG195" s="12"/>
      <c r="AH195" s="30"/>
      <c r="AI195" s="25">
        <f>'A. Revenue by function'!N109</f>
        <v>0</v>
      </c>
      <c r="AJ195" s="272" t="str">
        <f>'C. Other Revenues'!B205</f>
        <v>C.1</v>
      </c>
      <c r="AK195" s="73">
        <f>'C. Other Revenues'!K233</f>
        <v>0</v>
      </c>
      <c r="AL195" s="12"/>
      <c r="AM195" s="272" t="str">
        <f>'C. Other Revenues'!B205</f>
        <v>C.1</v>
      </c>
      <c r="AN195" s="73">
        <f>'C. Other Revenues'!M233</f>
        <v>0</v>
      </c>
      <c r="AO195" s="279"/>
      <c r="AP195" s="73"/>
      <c r="AQ195" s="14"/>
      <c r="AR195" s="272" t="str">
        <f>'L. Eliminations-Consolidations'!A239</f>
        <v>L.7</v>
      </c>
      <c r="AS195" s="254">
        <f>'L. Eliminations-Consolidations'!L257</f>
        <v>0</v>
      </c>
      <c r="AT195" s="508"/>
      <c r="AU195" s="509"/>
      <c r="AV195" s="323">
        <f t="shared" si="41"/>
        <v>0</v>
      </c>
      <c r="AW195" s="323">
        <f t="shared" si="42"/>
        <v>0</v>
      </c>
      <c r="AX195" s="345" t="str">
        <f t="shared" si="43"/>
        <v xml:space="preserve"> </v>
      </c>
      <c r="AY195" s="254">
        <f t="shared" si="44"/>
        <v>0</v>
      </c>
      <c r="AZ195" s="345"/>
      <c r="BA195" s="254"/>
    </row>
    <row r="196" spans="1:53" x14ac:dyDescent="0.2">
      <c r="A196" s="45"/>
      <c r="B196" s="14"/>
      <c r="C196" s="14"/>
      <c r="D196" s="489"/>
      <c r="E196" s="490"/>
      <c r="F196" s="485"/>
      <c r="G196" s="485"/>
      <c r="H196" s="485"/>
      <c r="I196" s="485"/>
      <c r="J196" s="485"/>
      <c r="K196" s="486"/>
      <c r="L196" s="487"/>
      <c r="M196" s="485"/>
      <c r="N196" s="485"/>
      <c r="O196" s="485"/>
      <c r="P196" s="488"/>
      <c r="Q196" s="488"/>
      <c r="R196" s="488"/>
      <c r="S196" s="488"/>
      <c r="T196" s="488"/>
      <c r="U196" s="488"/>
      <c r="V196" s="488"/>
      <c r="W196" s="488"/>
      <c r="X196" s="486"/>
      <c r="Y196" s="486"/>
      <c r="Z196" s="486"/>
      <c r="AA196" s="486"/>
      <c r="AB196" s="34">
        <f t="shared" si="45"/>
        <v>0</v>
      </c>
      <c r="AC196" s="12">
        <f t="shared" si="46"/>
        <v>0</v>
      </c>
      <c r="AD196" s="30">
        <f t="shared" si="47"/>
        <v>0</v>
      </c>
      <c r="AE196" s="25">
        <f t="shared" si="48"/>
        <v>0</v>
      </c>
      <c r="AF196" s="12"/>
      <c r="AG196" s="12"/>
      <c r="AH196" s="30"/>
      <c r="AI196" s="25"/>
      <c r="AJ196" s="272"/>
      <c r="AK196" s="73"/>
      <c r="AL196" s="12"/>
      <c r="AO196" s="279"/>
      <c r="AP196" s="73"/>
      <c r="AQ196" s="14"/>
      <c r="AR196" s="272"/>
      <c r="AS196" s="254"/>
      <c r="AT196" s="508"/>
      <c r="AU196" s="509"/>
      <c r="AV196" s="323">
        <f t="shared" si="41"/>
        <v>0</v>
      </c>
      <c r="AW196" s="323">
        <f t="shared" si="42"/>
        <v>0</v>
      </c>
      <c r="AX196" s="345" t="str">
        <f t="shared" si="43"/>
        <v xml:space="preserve"> </v>
      </c>
      <c r="AY196" s="254">
        <f t="shared" si="44"/>
        <v>0</v>
      </c>
      <c r="AZ196" s="345"/>
      <c r="BA196" s="254"/>
    </row>
    <row r="197" spans="1:53" x14ac:dyDescent="0.2">
      <c r="A197" s="45"/>
      <c r="B197" s="194" t="s">
        <v>895</v>
      </c>
      <c r="C197" s="14"/>
      <c r="D197" s="489"/>
      <c r="E197" s="490"/>
      <c r="F197" s="485"/>
      <c r="G197" s="485"/>
      <c r="H197" s="485"/>
      <c r="I197" s="485"/>
      <c r="J197" s="485"/>
      <c r="K197" s="486"/>
      <c r="L197" s="487"/>
      <c r="M197" s="485"/>
      <c r="N197" s="485"/>
      <c r="O197" s="485"/>
      <c r="P197" s="488"/>
      <c r="Q197" s="488"/>
      <c r="R197" s="488"/>
      <c r="S197" s="488"/>
      <c r="T197" s="488"/>
      <c r="U197" s="488"/>
      <c r="V197" s="488"/>
      <c r="W197" s="488"/>
      <c r="X197" s="486"/>
      <c r="Y197" s="486"/>
      <c r="Z197" s="486"/>
      <c r="AA197" s="486"/>
      <c r="AB197" s="34">
        <f t="shared" si="45"/>
        <v>0</v>
      </c>
      <c r="AC197" s="12">
        <f t="shared" si="46"/>
        <v>0</v>
      </c>
      <c r="AD197" s="30">
        <f t="shared" si="47"/>
        <v>0</v>
      </c>
      <c r="AE197" s="25">
        <f t="shared" si="48"/>
        <v>0</v>
      </c>
      <c r="AF197" s="12"/>
      <c r="AG197" s="12"/>
      <c r="AH197" s="30"/>
      <c r="AI197" s="25"/>
      <c r="AO197" s="279"/>
      <c r="AP197" s="73"/>
      <c r="AQ197" s="14"/>
      <c r="AR197" s="272"/>
      <c r="AS197" s="254"/>
      <c r="AT197" s="508"/>
      <c r="AU197" s="509"/>
      <c r="AV197" s="323">
        <f t="shared" si="41"/>
        <v>0</v>
      </c>
      <c r="AW197" s="323">
        <f t="shared" si="42"/>
        <v>0</v>
      </c>
      <c r="AX197" s="345" t="str">
        <f t="shared" si="43"/>
        <v xml:space="preserve"> </v>
      </c>
      <c r="AY197" s="254">
        <f t="shared" si="44"/>
        <v>0</v>
      </c>
      <c r="AZ197" s="345"/>
      <c r="BA197" s="254"/>
    </row>
    <row r="198" spans="1:53" x14ac:dyDescent="0.2">
      <c r="A198" s="45"/>
      <c r="B198" s="1152" t="s">
        <v>522</v>
      </c>
      <c r="C198" s="14" t="s">
        <v>499</v>
      </c>
      <c r="D198" s="489"/>
      <c r="E198" s="490"/>
      <c r="F198" s="485"/>
      <c r="G198" s="485"/>
      <c r="H198" s="485"/>
      <c r="I198" s="485"/>
      <c r="J198" s="485"/>
      <c r="K198" s="504"/>
      <c r="L198" s="505"/>
      <c r="M198" s="506"/>
      <c r="N198" s="485"/>
      <c r="O198" s="485"/>
      <c r="P198" s="488"/>
      <c r="Q198" s="488"/>
      <c r="R198" s="488"/>
      <c r="S198" s="488"/>
      <c r="T198" s="488"/>
      <c r="U198" s="488"/>
      <c r="V198" s="488"/>
      <c r="W198" s="488"/>
      <c r="X198" s="486"/>
      <c r="Y198" s="486"/>
      <c r="Z198" s="486"/>
      <c r="AA198" s="486"/>
      <c r="AB198" s="34">
        <f t="shared" si="45"/>
        <v>0</v>
      </c>
      <c r="AC198" s="12">
        <f t="shared" si="46"/>
        <v>0</v>
      </c>
      <c r="AD198" s="30">
        <f t="shared" si="47"/>
        <v>0</v>
      </c>
      <c r="AE198" s="25">
        <f t="shared" si="48"/>
        <v>0</v>
      </c>
      <c r="AF198" s="12"/>
      <c r="AG198" s="12"/>
      <c r="AH198" s="30"/>
      <c r="AI198" s="25">
        <f>'A. Revenue by function'!N110</f>
        <v>0</v>
      </c>
      <c r="AJ198" s="272" t="str">
        <f>'C. Other Revenues'!B205</f>
        <v>C.1</v>
      </c>
      <c r="AK198" s="73">
        <f>'C. Other Revenues'!K216</f>
        <v>0</v>
      </c>
      <c r="AL198" s="12"/>
      <c r="AM198" s="272" t="str">
        <f>'C. Other Revenues'!B205</f>
        <v>C.1</v>
      </c>
      <c r="AN198" s="73">
        <f>'C. Other Revenues'!M216</f>
        <v>0</v>
      </c>
      <c r="AO198" s="279"/>
      <c r="AP198" s="73"/>
      <c r="AQ198" s="14"/>
      <c r="AR198" s="272"/>
      <c r="AS198" s="254"/>
      <c r="AT198" s="508"/>
      <c r="AU198" s="509"/>
      <c r="AV198" s="323">
        <f t="shared" si="41"/>
        <v>0</v>
      </c>
      <c r="AW198" s="323">
        <f t="shared" si="42"/>
        <v>0</v>
      </c>
      <c r="AX198" s="345" t="str">
        <f t="shared" si="43"/>
        <v xml:space="preserve"> </v>
      </c>
      <c r="AY198" s="254">
        <f t="shared" si="44"/>
        <v>0</v>
      </c>
      <c r="AZ198" s="345"/>
      <c r="BA198" s="254"/>
    </row>
    <row r="199" spans="1:53" x14ac:dyDescent="0.2">
      <c r="A199" s="45"/>
      <c r="B199" s="1152"/>
      <c r="C199" s="14" t="s">
        <v>295</v>
      </c>
      <c r="D199" s="489"/>
      <c r="E199" s="490"/>
      <c r="F199" s="485"/>
      <c r="G199" s="485"/>
      <c r="H199" s="485"/>
      <c r="I199" s="485"/>
      <c r="J199" s="485"/>
      <c r="K199" s="504"/>
      <c r="L199" s="505"/>
      <c r="M199" s="506"/>
      <c r="N199" s="485"/>
      <c r="O199" s="485"/>
      <c r="P199" s="488"/>
      <c r="Q199" s="488"/>
      <c r="R199" s="488"/>
      <c r="S199" s="488"/>
      <c r="T199" s="488"/>
      <c r="U199" s="488"/>
      <c r="V199" s="488"/>
      <c r="W199" s="488"/>
      <c r="X199" s="486"/>
      <c r="Y199" s="486"/>
      <c r="Z199" s="486"/>
      <c r="AA199" s="486"/>
      <c r="AB199" s="34">
        <f t="shared" si="45"/>
        <v>0</v>
      </c>
      <c r="AC199" s="12">
        <f t="shared" si="46"/>
        <v>0</v>
      </c>
      <c r="AD199" s="30">
        <f t="shared" si="47"/>
        <v>0</v>
      </c>
      <c r="AE199" s="25">
        <f t="shared" si="48"/>
        <v>0</v>
      </c>
      <c r="AF199" s="12"/>
      <c r="AG199" s="12"/>
      <c r="AH199" s="30"/>
      <c r="AI199" s="25">
        <f>'A. Revenue by function'!N111</f>
        <v>0</v>
      </c>
      <c r="AJ199" s="272" t="str">
        <f>'C. Other Revenues'!B205</f>
        <v>C.1</v>
      </c>
      <c r="AK199" s="73">
        <f>'C. Other Revenues'!K225</f>
        <v>0</v>
      </c>
      <c r="AL199" s="12"/>
      <c r="AM199" s="272" t="str">
        <f>'C. Other Revenues'!B205</f>
        <v>C.1</v>
      </c>
      <c r="AN199" s="73">
        <f>'C. Other Revenues'!M225</f>
        <v>0</v>
      </c>
      <c r="AO199" s="279"/>
      <c r="AP199" s="73"/>
      <c r="AQ199" s="14"/>
      <c r="AR199" s="272" t="str">
        <f>'L. Eliminations-Consolidations'!A239</f>
        <v>L.7</v>
      </c>
      <c r="AS199" s="254">
        <f>'L. Eliminations-Consolidations'!L250</f>
        <v>0</v>
      </c>
      <c r="AT199" s="508"/>
      <c r="AU199" s="509"/>
      <c r="AV199" s="323">
        <f t="shared" si="41"/>
        <v>0</v>
      </c>
      <c r="AW199" s="323">
        <f t="shared" si="42"/>
        <v>0</v>
      </c>
      <c r="AX199" s="345" t="str">
        <f>IF(AV199+AV200-AW199-AW200&lt;=0," ",AV199+AV200-AW199-AW200)</f>
        <v xml:space="preserve"> </v>
      </c>
      <c r="AY199" s="255">
        <f>IF(AV199+AV200-AW199-AW200&gt;0," ",AW199+AW200-AV199-AV200)</f>
        <v>0</v>
      </c>
      <c r="AZ199" s="345"/>
      <c r="BA199" s="254"/>
    </row>
    <row r="200" spans="1:53" s="672" customFormat="1" x14ac:dyDescent="0.2">
      <c r="A200" s="45"/>
      <c r="B200" s="1152"/>
      <c r="C200" s="14"/>
      <c r="D200" s="489"/>
      <c r="E200" s="490"/>
      <c r="F200" s="485"/>
      <c r="G200" s="485"/>
      <c r="H200" s="485"/>
      <c r="I200" s="485"/>
      <c r="J200" s="485"/>
      <c r="K200" s="504"/>
      <c r="L200" s="505"/>
      <c r="M200" s="506"/>
      <c r="N200" s="485"/>
      <c r="O200" s="485"/>
      <c r="P200" s="488"/>
      <c r="Q200" s="488"/>
      <c r="R200" s="488"/>
      <c r="S200" s="488"/>
      <c r="T200" s="488"/>
      <c r="U200" s="488"/>
      <c r="V200" s="488"/>
      <c r="W200" s="488"/>
      <c r="X200" s="486"/>
      <c r="Y200" s="486"/>
      <c r="Z200" s="486"/>
      <c r="AA200" s="486"/>
      <c r="AB200" s="34"/>
      <c r="AC200" s="12"/>
      <c r="AD200" s="30"/>
      <c r="AE200" s="25"/>
      <c r="AF200" s="12"/>
      <c r="AG200" s="12"/>
      <c r="AH200" s="30"/>
      <c r="AI200" s="25"/>
      <c r="AJ200" s="272"/>
      <c r="AK200" s="73"/>
      <c r="AL200" s="12"/>
      <c r="AM200" s="272" t="s">
        <v>2075</v>
      </c>
      <c r="AN200" s="73">
        <f>'N.2 GASB 68 FRSWPF'!D28</f>
        <v>0</v>
      </c>
      <c r="AO200" s="279"/>
      <c r="AP200" s="73"/>
      <c r="AQ200" s="14"/>
      <c r="AR200" s="272"/>
      <c r="AS200" s="254"/>
      <c r="AT200" s="677"/>
      <c r="AU200" s="509"/>
      <c r="AV200" s="323">
        <f>AD200+AF200+AH200+AK200+AP200+AT200</f>
        <v>0</v>
      </c>
      <c r="AW200" s="323">
        <f>AE200+AG200+AI200+AN200+AS200+AU200</f>
        <v>0</v>
      </c>
      <c r="AX200" s="345"/>
      <c r="AY200" s="254"/>
      <c r="AZ200" s="345"/>
      <c r="BA200" s="254"/>
    </row>
    <row r="201" spans="1:53" ht="15" customHeight="1" x14ac:dyDescent="0.2">
      <c r="A201" s="45"/>
      <c r="B201" s="1152"/>
      <c r="C201" s="14" t="s">
        <v>296</v>
      </c>
      <c r="D201" s="489"/>
      <c r="E201" s="490"/>
      <c r="F201" s="485"/>
      <c r="G201" s="485"/>
      <c r="H201" s="485"/>
      <c r="I201" s="485"/>
      <c r="J201" s="485"/>
      <c r="K201" s="504"/>
      <c r="L201" s="505"/>
      <c r="M201" s="506"/>
      <c r="N201" s="485"/>
      <c r="O201" s="485"/>
      <c r="P201" s="488"/>
      <c r="Q201" s="488"/>
      <c r="R201" s="488"/>
      <c r="S201" s="488"/>
      <c r="T201" s="488"/>
      <c r="U201" s="488"/>
      <c r="V201" s="488"/>
      <c r="W201" s="488"/>
      <c r="X201" s="486"/>
      <c r="Y201" s="486"/>
      <c r="Z201" s="486"/>
      <c r="AA201" s="486"/>
      <c r="AB201" s="34">
        <f t="shared" si="45"/>
        <v>0</v>
      </c>
      <c r="AC201" s="12">
        <f t="shared" si="46"/>
        <v>0</v>
      </c>
      <c r="AD201" s="30">
        <f t="shared" si="47"/>
        <v>0</v>
      </c>
      <c r="AE201" s="25">
        <f t="shared" si="48"/>
        <v>0</v>
      </c>
      <c r="AF201" s="12"/>
      <c r="AG201" s="12"/>
      <c r="AH201" s="30"/>
      <c r="AI201" s="25">
        <f>'A. Revenue by function'!N112</f>
        <v>0</v>
      </c>
      <c r="AJ201" s="272" t="str">
        <f>'C. Other Revenues'!B205</f>
        <v>C.1</v>
      </c>
      <c r="AK201" s="73">
        <f>'C. Other Revenues'!K234</f>
        <v>0</v>
      </c>
      <c r="AL201" s="12"/>
      <c r="AM201" s="272" t="str">
        <f>'C. Other Revenues'!B205</f>
        <v>C.1</v>
      </c>
      <c r="AN201" s="73">
        <f>'C. Other Revenues'!M234</f>
        <v>0</v>
      </c>
      <c r="AO201" s="279"/>
      <c r="AP201" s="73"/>
      <c r="AQ201" s="14"/>
      <c r="AR201" s="272" t="str">
        <f>'L. Eliminations-Consolidations'!A239</f>
        <v>L.7</v>
      </c>
      <c r="AS201" s="254">
        <f>'L. Eliminations-Consolidations'!L258</f>
        <v>0</v>
      </c>
      <c r="AT201" s="508"/>
      <c r="AU201" s="509"/>
      <c r="AV201" s="323">
        <f t="shared" si="41"/>
        <v>0</v>
      </c>
      <c r="AW201" s="323">
        <f t="shared" si="42"/>
        <v>0</v>
      </c>
      <c r="AX201" s="345" t="str">
        <f t="shared" si="43"/>
        <v xml:space="preserve"> </v>
      </c>
      <c r="AY201" s="254">
        <f t="shared" si="44"/>
        <v>0</v>
      </c>
      <c r="AZ201" s="345"/>
      <c r="BA201" s="254"/>
    </row>
    <row r="202" spans="1:53" x14ac:dyDescent="0.2">
      <c r="A202" s="45"/>
      <c r="B202" s="14"/>
      <c r="C202" s="14"/>
      <c r="D202" s="489"/>
      <c r="E202" s="490"/>
      <c r="F202" s="485"/>
      <c r="G202" s="485"/>
      <c r="H202" s="485"/>
      <c r="I202" s="485"/>
      <c r="J202" s="485"/>
      <c r="K202" s="486"/>
      <c r="L202" s="487"/>
      <c r="M202" s="485"/>
      <c r="N202" s="485"/>
      <c r="O202" s="485"/>
      <c r="P202" s="488"/>
      <c r="Q202" s="488"/>
      <c r="R202" s="488"/>
      <c r="S202" s="488"/>
      <c r="T202" s="488"/>
      <c r="U202" s="488"/>
      <c r="V202" s="488"/>
      <c r="W202" s="488"/>
      <c r="X202" s="486"/>
      <c r="Y202" s="486"/>
      <c r="Z202" s="486"/>
      <c r="AA202" s="486"/>
      <c r="AB202" s="34">
        <f t="shared" si="45"/>
        <v>0</v>
      </c>
      <c r="AC202" s="12">
        <f t="shared" si="46"/>
        <v>0</v>
      </c>
      <c r="AD202" s="30">
        <f t="shared" si="47"/>
        <v>0</v>
      </c>
      <c r="AE202" s="25">
        <f t="shared" si="48"/>
        <v>0</v>
      </c>
      <c r="AF202" s="12"/>
      <c r="AG202" s="12"/>
      <c r="AH202" s="30"/>
      <c r="AI202" s="25"/>
      <c r="AJ202" s="272"/>
      <c r="AK202" s="73"/>
      <c r="AL202" s="12"/>
      <c r="AO202" s="279"/>
      <c r="AP202" s="73"/>
      <c r="AQ202" s="14"/>
      <c r="AR202" s="272"/>
      <c r="AS202" s="254"/>
      <c r="AT202" s="508"/>
      <c r="AU202" s="509"/>
      <c r="AV202" s="323">
        <f t="shared" si="41"/>
        <v>0</v>
      </c>
      <c r="AW202" s="323">
        <f t="shared" si="42"/>
        <v>0</v>
      </c>
      <c r="AX202" s="345" t="str">
        <f t="shared" si="43"/>
        <v xml:space="preserve"> </v>
      </c>
      <c r="AY202" s="254">
        <f t="shared" si="44"/>
        <v>0</v>
      </c>
      <c r="AZ202" s="345"/>
      <c r="BA202" s="254"/>
    </row>
    <row r="203" spans="1:53" x14ac:dyDescent="0.2">
      <c r="A203" s="45"/>
      <c r="B203" s="194" t="s">
        <v>896</v>
      </c>
      <c r="C203" s="14"/>
      <c r="D203" s="489"/>
      <c r="E203" s="490"/>
      <c r="F203" s="485"/>
      <c r="G203" s="485"/>
      <c r="H203" s="485"/>
      <c r="I203" s="485"/>
      <c r="J203" s="485"/>
      <c r="K203" s="486"/>
      <c r="L203" s="487"/>
      <c r="M203" s="485"/>
      <c r="N203" s="485"/>
      <c r="O203" s="485"/>
      <c r="P203" s="488"/>
      <c r="Q203" s="488"/>
      <c r="R203" s="488"/>
      <c r="S203" s="488"/>
      <c r="T203" s="488"/>
      <c r="U203" s="488"/>
      <c r="V203" s="488"/>
      <c r="W203" s="488"/>
      <c r="X203" s="486"/>
      <c r="Y203" s="486"/>
      <c r="Z203" s="486"/>
      <c r="AA203" s="486"/>
      <c r="AB203" s="34">
        <f t="shared" si="45"/>
        <v>0</v>
      </c>
      <c r="AC203" s="12">
        <f t="shared" si="46"/>
        <v>0</v>
      </c>
      <c r="AD203" s="30">
        <f t="shared" si="47"/>
        <v>0</v>
      </c>
      <c r="AE203" s="25">
        <f t="shared" si="48"/>
        <v>0</v>
      </c>
      <c r="AF203" s="12"/>
      <c r="AG203" s="12"/>
      <c r="AH203" s="30"/>
      <c r="AI203" s="25"/>
      <c r="AJ203" s="272"/>
      <c r="AK203" s="73"/>
      <c r="AL203" s="12"/>
      <c r="AM203" s="272"/>
      <c r="AN203" s="73"/>
      <c r="AO203" s="279"/>
      <c r="AP203" s="73"/>
      <c r="AQ203" s="14"/>
      <c r="AR203" s="272"/>
      <c r="AS203" s="254"/>
      <c r="AT203" s="508"/>
      <c r="AU203" s="509"/>
      <c r="AV203" s="323">
        <f t="shared" si="41"/>
        <v>0</v>
      </c>
      <c r="AW203" s="323">
        <f t="shared" si="42"/>
        <v>0</v>
      </c>
      <c r="AX203" s="345" t="str">
        <f t="shared" si="43"/>
        <v xml:space="preserve"> </v>
      </c>
      <c r="AY203" s="254">
        <f t="shared" si="44"/>
        <v>0</v>
      </c>
      <c r="AZ203" s="345"/>
      <c r="BA203" s="254"/>
    </row>
    <row r="204" spans="1:53" x14ac:dyDescent="0.2">
      <c r="A204" s="45"/>
      <c r="B204" s="1152" t="s">
        <v>522</v>
      </c>
      <c r="C204" s="14" t="s">
        <v>499</v>
      </c>
      <c r="D204" s="489"/>
      <c r="E204" s="490"/>
      <c r="F204" s="485"/>
      <c r="G204" s="485"/>
      <c r="H204" s="485"/>
      <c r="I204" s="485"/>
      <c r="J204" s="485"/>
      <c r="K204" s="486"/>
      <c r="L204" s="487"/>
      <c r="M204" s="485"/>
      <c r="N204" s="485"/>
      <c r="O204" s="485"/>
      <c r="P204" s="488"/>
      <c r="Q204" s="488"/>
      <c r="R204" s="488"/>
      <c r="S204" s="488"/>
      <c r="T204" s="488"/>
      <c r="U204" s="488"/>
      <c r="V204" s="488"/>
      <c r="W204" s="488"/>
      <c r="X204" s="486"/>
      <c r="Y204" s="486"/>
      <c r="Z204" s="486"/>
      <c r="AA204" s="486"/>
      <c r="AB204" s="34">
        <f t="shared" si="45"/>
        <v>0</v>
      </c>
      <c r="AC204" s="12">
        <f t="shared" si="46"/>
        <v>0</v>
      </c>
      <c r="AD204" s="30">
        <f t="shared" si="47"/>
        <v>0</v>
      </c>
      <c r="AE204" s="25">
        <f t="shared" si="48"/>
        <v>0</v>
      </c>
      <c r="AF204" s="12"/>
      <c r="AG204" s="12"/>
      <c r="AH204" s="30"/>
      <c r="AI204" s="25">
        <f>'A. Revenue by function'!N113</f>
        <v>0</v>
      </c>
      <c r="AJ204" s="272" t="str">
        <f>'C. Other Revenues'!B205</f>
        <v>C.1</v>
      </c>
      <c r="AK204" s="73">
        <f>'C. Other Revenues'!K217</f>
        <v>0</v>
      </c>
      <c r="AL204" s="12"/>
      <c r="AM204" s="272" t="str">
        <f>'C. Other Revenues'!B205</f>
        <v>C.1</v>
      </c>
      <c r="AN204" s="73">
        <f>'C. Other Revenues'!M217</f>
        <v>0</v>
      </c>
      <c r="AO204" s="279" t="str">
        <f>'L. Eliminations-Consolidations'!A217</f>
        <v>L.5</v>
      </c>
      <c r="AP204" s="73">
        <f>'L. Eliminations-Consolidations'!J218</f>
        <v>0</v>
      </c>
      <c r="AQ204" s="14"/>
      <c r="AR204" s="272"/>
      <c r="AS204" s="254"/>
      <c r="AT204" s="508"/>
      <c r="AU204" s="509"/>
      <c r="AV204" s="323">
        <f t="shared" si="41"/>
        <v>0</v>
      </c>
      <c r="AW204" s="323">
        <f t="shared" si="42"/>
        <v>0</v>
      </c>
      <c r="AX204" s="345" t="str">
        <f t="shared" si="43"/>
        <v xml:space="preserve"> </v>
      </c>
      <c r="AY204" s="254">
        <f t="shared" si="44"/>
        <v>0</v>
      </c>
      <c r="AZ204" s="345"/>
      <c r="BA204" s="254"/>
    </row>
    <row r="205" spans="1:53" x14ac:dyDescent="0.2">
      <c r="A205" s="45"/>
      <c r="B205" s="1152"/>
      <c r="C205" s="14" t="s">
        <v>295</v>
      </c>
      <c r="D205" s="489"/>
      <c r="E205" s="490"/>
      <c r="F205" s="485"/>
      <c r="G205" s="485"/>
      <c r="H205" s="485"/>
      <c r="I205" s="485"/>
      <c r="J205" s="485"/>
      <c r="K205" s="486"/>
      <c r="L205" s="487"/>
      <c r="M205" s="485"/>
      <c r="N205" s="485"/>
      <c r="O205" s="485"/>
      <c r="P205" s="488"/>
      <c r="Q205" s="488"/>
      <c r="R205" s="488"/>
      <c r="S205" s="488"/>
      <c r="T205" s="488"/>
      <c r="U205" s="488"/>
      <c r="V205" s="488"/>
      <c r="W205" s="488"/>
      <c r="X205" s="486"/>
      <c r="Y205" s="486"/>
      <c r="Z205" s="486"/>
      <c r="AA205" s="486"/>
      <c r="AB205" s="34">
        <f t="shared" si="45"/>
        <v>0</v>
      </c>
      <c r="AC205" s="12">
        <f t="shared" si="46"/>
        <v>0</v>
      </c>
      <c r="AD205" s="30">
        <f t="shared" si="47"/>
        <v>0</v>
      </c>
      <c r="AE205" s="25">
        <f t="shared" si="48"/>
        <v>0</v>
      </c>
      <c r="AF205" s="12"/>
      <c r="AG205" s="12"/>
      <c r="AH205" s="30"/>
      <c r="AI205" s="25">
        <f>'A. Revenue by function'!N114</f>
        <v>0</v>
      </c>
      <c r="AJ205" s="272" t="str">
        <f>'C. Other Revenues'!B205</f>
        <v>C.1</v>
      </c>
      <c r="AK205" s="73">
        <f>'C. Other Revenues'!K226</f>
        <v>0</v>
      </c>
      <c r="AL205" s="12"/>
      <c r="AM205" s="272" t="str">
        <f>'C. Other Revenues'!B205</f>
        <v>C.1</v>
      </c>
      <c r="AN205" s="73">
        <f>'C. Other Revenues'!M226</f>
        <v>0</v>
      </c>
      <c r="AO205" s="279"/>
      <c r="AP205" s="73"/>
      <c r="AQ205" s="14"/>
      <c r="AR205" s="272" t="str">
        <f>'L. Eliminations-Consolidations'!A239</f>
        <v>L.7</v>
      </c>
      <c r="AS205" s="254">
        <f>'L. Eliminations-Consolidations'!L251</f>
        <v>0</v>
      </c>
      <c r="AT205" s="508"/>
      <c r="AU205" s="509"/>
      <c r="AV205" s="323">
        <f t="shared" si="41"/>
        <v>0</v>
      </c>
      <c r="AW205" s="323">
        <f t="shared" si="42"/>
        <v>0</v>
      </c>
      <c r="AX205" s="345" t="str">
        <f t="shared" si="43"/>
        <v xml:space="preserve"> </v>
      </c>
      <c r="AY205" s="254">
        <f t="shared" si="44"/>
        <v>0</v>
      </c>
      <c r="AZ205" s="345"/>
      <c r="BA205" s="254"/>
    </row>
    <row r="206" spans="1:53" ht="15" customHeight="1" x14ac:dyDescent="0.2">
      <c r="A206" s="45"/>
      <c r="B206" s="1152"/>
      <c r="C206" s="14" t="s">
        <v>296</v>
      </c>
      <c r="D206" s="489"/>
      <c r="E206" s="490"/>
      <c r="F206" s="485"/>
      <c r="G206" s="485"/>
      <c r="H206" s="485"/>
      <c r="I206" s="485"/>
      <c r="J206" s="485"/>
      <c r="K206" s="486"/>
      <c r="L206" s="487"/>
      <c r="M206" s="485"/>
      <c r="N206" s="485"/>
      <c r="O206" s="485"/>
      <c r="P206" s="488"/>
      <c r="Q206" s="488"/>
      <c r="R206" s="488"/>
      <c r="S206" s="488"/>
      <c r="T206" s="488"/>
      <c r="U206" s="488"/>
      <c r="V206" s="488"/>
      <c r="W206" s="488"/>
      <c r="X206" s="486"/>
      <c r="Y206" s="486"/>
      <c r="Z206" s="486"/>
      <c r="AA206" s="486"/>
      <c r="AB206" s="34">
        <f t="shared" si="45"/>
        <v>0</v>
      </c>
      <c r="AC206" s="12">
        <f t="shared" si="46"/>
        <v>0</v>
      </c>
      <c r="AD206" s="30">
        <f t="shared" si="47"/>
        <v>0</v>
      </c>
      <c r="AE206" s="25">
        <f t="shared" si="48"/>
        <v>0</v>
      </c>
      <c r="AF206" s="12"/>
      <c r="AG206" s="12"/>
      <c r="AH206" s="30"/>
      <c r="AI206" s="25">
        <f>'A. Revenue by function'!N115</f>
        <v>0</v>
      </c>
      <c r="AJ206" s="272" t="str">
        <f>'C. Other Revenues'!B205</f>
        <v>C.1</v>
      </c>
      <c r="AK206" s="73">
        <f>'C. Other Revenues'!K235</f>
        <v>0</v>
      </c>
      <c r="AL206" s="12"/>
      <c r="AM206" s="272" t="str">
        <f>'C. Other Revenues'!B205</f>
        <v>C.1</v>
      </c>
      <c r="AN206" s="73">
        <f>'C. Other Revenues'!M235</f>
        <v>0</v>
      </c>
      <c r="AO206" s="279"/>
      <c r="AP206" s="73"/>
      <c r="AQ206" s="14"/>
      <c r="AR206" s="274" t="str">
        <f>'L. Eliminations-Consolidations'!A239</f>
        <v>L.7</v>
      </c>
      <c r="AS206" s="254">
        <f>'L. Eliminations-Consolidations'!L259</f>
        <v>0</v>
      </c>
      <c r="AT206" s="508"/>
      <c r="AU206" s="509"/>
      <c r="AV206" s="323">
        <f t="shared" si="41"/>
        <v>0</v>
      </c>
      <c r="AW206" s="323">
        <f t="shared" si="42"/>
        <v>0</v>
      </c>
      <c r="AX206" s="345" t="str">
        <f t="shared" si="43"/>
        <v xml:space="preserve"> </v>
      </c>
      <c r="AY206" s="254">
        <f t="shared" si="44"/>
        <v>0</v>
      </c>
      <c r="AZ206" s="345"/>
      <c r="BA206" s="254"/>
    </row>
    <row r="207" spans="1:53" x14ac:dyDescent="0.2">
      <c r="A207" s="45"/>
      <c r="B207" s="14"/>
      <c r="C207" s="14"/>
      <c r="D207" s="489"/>
      <c r="E207" s="490"/>
      <c r="F207" s="485"/>
      <c r="G207" s="485"/>
      <c r="H207" s="485"/>
      <c r="I207" s="485"/>
      <c r="J207" s="485"/>
      <c r="K207" s="486"/>
      <c r="L207" s="487"/>
      <c r="M207" s="485"/>
      <c r="N207" s="485"/>
      <c r="O207" s="485"/>
      <c r="P207" s="488"/>
      <c r="Q207" s="488"/>
      <c r="R207" s="488"/>
      <c r="S207" s="488"/>
      <c r="T207" s="488"/>
      <c r="U207" s="488"/>
      <c r="V207" s="488"/>
      <c r="W207" s="488"/>
      <c r="X207" s="486"/>
      <c r="Y207" s="486"/>
      <c r="Z207" s="486"/>
      <c r="AA207" s="486"/>
      <c r="AB207" s="34">
        <f t="shared" si="45"/>
        <v>0</v>
      </c>
      <c r="AC207" s="12">
        <f t="shared" si="46"/>
        <v>0</v>
      </c>
      <c r="AD207" s="30">
        <f t="shared" si="47"/>
        <v>0</v>
      </c>
      <c r="AE207" s="25">
        <f t="shared" si="48"/>
        <v>0</v>
      </c>
      <c r="AF207" s="12"/>
      <c r="AG207" s="12"/>
      <c r="AH207" s="30"/>
      <c r="AI207" s="25"/>
      <c r="AJ207" s="272"/>
      <c r="AK207" s="73"/>
      <c r="AL207" s="12"/>
      <c r="AO207" s="279"/>
      <c r="AP207" s="73"/>
      <c r="AQ207" s="14"/>
      <c r="AR207" s="272"/>
      <c r="AS207" s="254"/>
      <c r="AT207" s="508"/>
      <c r="AU207" s="509"/>
      <c r="AV207" s="323">
        <f t="shared" si="41"/>
        <v>0</v>
      </c>
      <c r="AW207" s="323">
        <f t="shared" si="42"/>
        <v>0</v>
      </c>
      <c r="AX207" s="345" t="str">
        <f t="shared" si="43"/>
        <v xml:space="preserve"> </v>
      </c>
      <c r="AY207" s="254">
        <f t="shared" si="44"/>
        <v>0</v>
      </c>
      <c r="AZ207" s="345"/>
      <c r="BA207" s="254"/>
    </row>
    <row r="208" spans="1:53" x14ac:dyDescent="0.2">
      <c r="A208" s="45"/>
      <c r="B208" s="194" t="s">
        <v>480</v>
      </c>
      <c r="C208" s="14"/>
      <c r="D208" s="489"/>
      <c r="E208" s="490"/>
      <c r="F208" s="485"/>
      <c r="G208" s="485"/>
      <c r="H208" s="485"/>
      <c r="I208" s="485"/>
      <c r="J208" s="485"/>
      <c r="K208" s="486"/>
      <c r="L208" s="487"/>
      <c r="M208" s="485"/>
      <c r="N208" s="485"/>
      <c r="O208" s="485"/>
      <c r="P208" s="488"/>
      <c r="Q208" s="488"/>
      <c r="R208" s="488"/>
      <c r="S208" s="488"/>
      <c r="T208" s="488"/>
      <c r="U208" s="488"/>
      <c r="V208" s="488"/>
      <c r="W208" s="488"/>
      <c r="X208" s="486"/>
      <c r="Y208" s="486"/>
      <c r="Z208" s="486"/>
      <c r="AA208" s="486"/>
      <c r="AB208" s="34">
        <f t="shared" si="45"/>
        <v>0</v>
      </c>
      <c r="AC208" s="12">
        <f t="shared" si="46"/>
        <v>0</v>
      </c>
      <c r="AD208" s="30">
        <f t="shared" si="47"/>
        <v>0</v>
      </c>
      <c r="AE208" s="25">
        <f t="shared" si="48"/>
        <v>0</v>
      </c>
      <c r="AF208" s="12"/>
      <c r="AG208" s="12"/>
      <c r="AH208" s="30"/>
      <c r="AI208" s="25"/>
      <c r="AJ208" s="272"/>
      <c r="AK208" s="73"/>
      <c r="AL208" s="12"/>
      <c r="AM208" s="272"/>
      <c r="AN208" s="73"/>
      <c r="AO208" s="279"/>
      <c r="AP208" s="73"/>
      <c r="AQ208" s="14"/>
      <c r="AR208" s="272"/>
      <c r="AS208" s="254"/>
      <c r="AT208" s="508"/>
      <c r="AU208" s="509"/>
      <c r="AV208" s="323">
        <f t="shared" si="41"/>
        <v>0</v>
      </c>
      <c r="AW208" s="323">
        <f t="shared" si="42"/>
        <v>0</v>
      </c>
      <c r="AX208" s="345" t="str">
        <f t="shared" si="43"/>
        <v xml:space="preserve"> </v>
      </c>
      <c r="AY208" s="254">
        <f t="shared" si="44"/>
        <v>0</v>
      </c>
      <c r="AZ208" s="345"/>
      <c r="BA208" s="254"/>
    </row>
    <row r="209" spans="1:53" x14ac:dyDescent="0.2">
      <c r="A209" s="45"/>
      <c r="B209" s="1152" t="s">
        <v>522</v>
      </c>
      <c r="C209" s="14" t="s">
        <v>499</v>
      </c>
      <c r="D209" s="489"/>
      <c r="E209" s="490"/>
      <c r="F209" s="485"/>
      <c r="G209" s="485"/>
      <c r="H209" s="485"/>
      <c r="I209" s="485"/>
      <c r="J209" s="485"/>
      <c r="K209" s="486"/>
      <c r="L209" s="487"/>
      <c r="M209" s="485"/>
      <c r="N209" s="485"/>
      <c r="O209" s="485"/>
      <c r="P209" s="488"/>
      <c r="Q209" s="488"/>
      <c r="R209" s="488"/>
      <c r="S209" s="488"/>
      <c r="T209" s="488"/>
      <c r="U209" s="488"/>
      <c r="V209" s="488"/>
      <c r="W209" s="488"/>
      <c r="X209" s="486"/>
      <c r="Y209" s="486"/>
      <c r="Z209" s="486"/>
      <c r="AA209" s="486"/>
      <c r="AB209" s="34">
        <f t="shared" si="45"/>
        <v>0</v>
      </c>
      <c r="AC209" s="12">
        <f t="shared" si="46"/>
        <v>0</v>
      </c>
      <c r="AD209" s="30">
        <f t="shared" si="47"/>
        <v>0</v>
      </c>
      <c r="AE209" s="25">
        <f t="shared" si="48"/>
        <v>0</v>
      </c>
      <c r="AF209" s="12"/>
      <c r="AG209" s="12"/>
      <c r="AH209" s="30"/>
      <c r="AI209" s="25">
        <f>'A. Revenue by function'!N116</f>
        <v>0</v>
      </c>
      <c r="AJ209" s="272" t="str">
        <f>'C. Other Revenues'!B205</f>
        <v>C.1</v>
      </c>
      <c r="AK209" s="73">
        <f>'C. Other Revenues'!K218</f>
        <v>0</v>
      </c>
      <c r="AL209" s="12"/>
      <c r="AM209" s="272" t="str">
        <f>'C. Other Revenues'!B205</f>
        <v>C.1</v>
      </c>
      <c r="AN209" s="73">
        <f>'C. Other Revenues'!M218</f>
        <v>0</v>
      </c>
      <c r="AO209" s="279"/>
      <c r="AP209" s="73"/>
      <c r="AQ209" s="14"/>
      <c r="AR209" s="272"/>
      <c r="AS209" s="254"/>
      <c r="AT209" s="508"/>
      <c r="AU209" s="509"/>
      <c r="AV209" s="323">
        <f t="shared" si="41"/>
        <v>0</v>
      </c>
      <c r="AW209" s="323">
        <f t="shared" si="42"/>
        <v>0</v>
      </c>
      <c r="AX209" s="345" t="str">
        <f t="shared" si="43"/>
        <v xml:space="preserve"> </v>
      </c>
      <c r="AY209" s="254">
        <f t="shared" si="44"/>
        <v>0</v>
      </c>
      <c r="AZ209" s="345"/>
      <c r="BA209" s="254"/>
    </row>
    <row r="210" spans="1:53" x14ac:dyDescent="0.2">
      <c r="A210" s="45"/>
      <c r="B210" s="1152"/>
      <c r="C210" s="14" t="s">
        <v>295</v>
      </c>
      <c r="D210" s="489"/>
      <c r="E210" s="490"/>
      <c r="F210" s="485"/>
      <c r="G210" s="485"/>
      <c r="H210" s="485"/>
      <c r="I210" s="485"/>
      <c r="J210" s="485"/>
      <c r="K210" s="486"/>
      <c r="L210" s="487"/>
      <c r="M210" s="485"/>
      <c r="N210" s="485"/>
      <c r="O210" s="485"/>
      <c r="P210" s="488"/>
      <c r="Q210" s="488"/>
      <c r="R210" s="488"/>
      <c r="S210" s="488"/>
      <c r="T210" s="488"/>
      <c r="U210" s="488"/>
      <c r="V210" s="488"/>
      <c r="W210" s="488"/>
      <c r="X210" s="486"/>
      <c r="Y210" s="486"/>
      <c r="Z210" s="486"/>
      <c r="AA210" s="486"/>
      <c r="AB210" s="34">
        <f t="shared" si="45"/>
        <v>0</v>
      </c>
      <c r="AC210" s="12">
        <f t="shared" si="46"/>
        <v>0</v>
      </c>
      <c r="AD210" s="30">
        <f t="shared" si="47"/>
        <v>0</v>
      </c>
      <c r="AE210" s="25">
        <f t="shared" si="48"/>
        <v>0</v>
      </c>
      <c r="AF210" s="12"/>
      <c r="AG210" s="12"/>
      <c r="AH210" s="30"/>
      <c r="AI210" s="25">
        <f>'A. Revenue by function'!N117</f>
        <v>0</v>
      </c>
      <c r="AJ210" s="272" t="str">
        <f>'C. Other Revenues'!B205</f>
        <v>C.1</v>
      </c>
      <c r="AK210" s="73">
        <f>'C. Other Revenues'!K227</f>
        <v>0</v>
      </c>
      <c r="AL210" s="12"/>
      <c r="AM210" s="272" t="str">
        <f>'C. Other Revenues'!B205</f>
        <v>C.1</v>
      </c>
      <c r="AN210" s="73">
        <f>'C. Other Revenues'!M227</f>
        <v>0</v>
      </c>
      <c r="AO210" s="279"/>
      <c r="AP210" s="73"/>
      <c r="AQ210" s="14"/>
      <c r="AR210" s="272" t="str">
        <f>'L. Eliminations-Consolidations'!A239</f>
        <v>L.7</v>
      </c>
      <c r="AS210" s="254">
        <f>'L. Eliminations-Consolidations'!L252</f>
        <v>0</v>
      </c>
      <c r="AT210" s="508"/>
      <c r="AU210" s="509"/>
      <c r="AV210" s="323">
        <f t="shared" ref="AV210:AV236" si="49">AD210+AF210+AH210+AK210+AP210+AT210</f>
        <v>0</v>
      </c>
      <c r="AW210" s="323">
        <f t="shared" ref="AW210:AW236" si="50">AE210+AG210+AI210+AN210+AS210+AU210</f>
        <v>0</v>
      </c>
      <c r="AX210" s="345" t="str">
        <f t="shared" si="43"/>
        <v xml:space="preserve"> </v>
      </c>
      <c r="AY210" s="254">
        <f t="shared" si="44"/>
        <v>0</v>
      </c>
      <c r="AZ210" s="345"/>
      <c r="BA210" s="254"/>
    </row>
    <row r="211" spans="1:53" ht="15.75" customHeight="1" x14ac:dyDescent="0.2">
      <c r="A211" s="45"/>
      <c r="B211" s="1152"/>
      <c r="C211" s="14" t="s">
        <v>296</v>
      </c>
      <c r="D211" s="489"/>
      <c r="E211" s="490"/>
      <c r="F211" s="485"/>
      <c r="G211" s="485"/>
      <c r="H211" s="485"/>
      <c r="I211" s="485"/>
      <c r="J211" s="485"/>
      <c r="K211" s="486"/>
      <c r="L211" s="487"/>
      <c r="M211" s="485"/>
      <c r="N211" s="485"/>
      <c r="O211" s="485"/>
      <c r="P211" s="488"/>
      <c r="Q211" s="488"/>
      <c r="R211" s="488"/>
      <c r="S211" s="488"/>
      <c r="T211" s="488"/>
      <c r="U211" s="488"/>
      <c r="V211" s="488"/>
      <c r="W211" s="488"/>
      <c r="X211" s="486"/>
      <c r="Y211" s="486"/>
      <c r="Z211" s="486"/>
      <c r="AA211" s="486"/>
      <c r="AB211" s="34">
        <f t="shared" si="45"/>
        <v>0</v>
      </c>
      <c r="AC211" s="12">
        <f t="shared" si="46"/>
        <v>0</v>
      </c>
      <c r="AD211" s="30">
        <f t="shared" si="47"/>
        <v>0</v>
      </c>
      <c r="AE211" s="25">
        <f t="shared" si="48"/>
        <v>0</v>
      </c>
      <c r="AF211" s="12"/>
      <c r="AG211" s="12"/>
      <c r="AH211" s="30"/>
      <c r="AI211" s="25">
        <f>'A. Revenue by function'!N118</f>
        <v>0</v>
      </c>
      <c r="AJ211" s="272" t="str">
        <f>'C. Other Revenues'!B205</f>
        <v>C.1</v>
      </c>
      <c r="AK211" s="73">
        <f>'C. Other Revenues'!K236</f>
        <v>0</v>
      </c>
      <c r="AL211" s="12"/>
      <c r="AM211" s="272" t="str">
        <f>'C. Other Revenues'!B205</f>
        <v>C.1</v>
      </c>
      <c r="AN211" s="73">
        <f>'C. Other Revenues'!M236</f>
        <v>0</v>
      </c>
      <c r="AO211" s="279"/>
      <c r="AP211" s="73"/>
      <c r="AQ211" s="14"/>
      <c r="AR211" s="272" t="str">
        <f>'L. Eliminations-Consolidations'!A239</f>
        <v>L.7</v>
      </c>
      <c r="AS211" s="254">
        <f>'L. Eliminations-Consolidations'!L260</f>
        <v>0</v>
      </c>
      <c r="AT211" s="508"/>
      <c r="AU211" s="509"/>
      <c r="AV211" s="323">
        <f t="shared" si="49"/>
        <v>0</v>
      </c>
      <c r="AW211" s="323">
        <f t="shared" si="50"/>
        <v>0</v>
      </c>
      <c r="AX211" s="345" t="str">
        <f t="shared" si="43"/>
        <v xml:space="preserve"> </v>
      </c>
      <c r="AY211" s="254">
        <f t="shared" si="44"/>
        <v>0</v>
      </c>
      <c r="AZ211" s="345"/>
      <c r="BA211" s="254"/>
    </row>
    <row r="212" spans="1:53" x14ac:dyDescent="0.2">
      <c r="A212" s="45"/>
      <c r="B212" s="14"/>
      <c r="C212" s="14"/>
      <c r="D212" s="489"/>
      <c r="E212" s="490"/>
      <c r="F212" s="485"/>
      <c r="G212" s="485"/>
      <c r="H212" s="485"/>
      <c r="I212" s="485"/>
      <c r="J212" s="485"/>
      <c r="K212" s="486"/>
      <c r="L212" s="487"/>
      <c r="M212" s="485"/>
      <c r="N212" s="485"/>
      <c r="O212" s="485"/>
      <c r="P212" s="488"/>
      <c r="Q212" s="488"/>
      <c r="R212" s="488"/>
      <c r="S212" s="488"/>
      <c r="T212" s="488"/>
      <c r="U212" s="488"/>
      <c r="V212" s="488"/>
      <c r="W212" s="488"/>
      <c r="X212" s="486"/>
      <c r="Y212" s="486"/>
      <c r="Z212" s="486"/>
      <c r="AA212" s="486"/>
      <c r="AB212" s="34">
        <f t="shared" si="45"/>
        <v>0</v>
      </c>
      <c r="AC212" s="12">
        <f t="shared" si="46"/>
        <v>0</v>
      </c>
      <c r="AD212" s="30">
        <f t="shared" si="47"/>
        <v>0</v>
      </c>
      <c r="AE212" s="25">
        <f t="shared" si="48"/>
        <v>0</v>
      </c>
      <c r="AF212" s="12"/>
      <c r="AG212" s="12"/>
      <c r="AH212" s="30"/>
      <c r="AI212" s="25"/>
      <c r="AJ212" s="272"/>
      <c r="AK212" s="73"/>
      <c r="AL212" s="12"/>
      <c r="AO212" s="279"/>
      <c r="AP212" s="73"/>
      <c r="AQ212" s="14"/>
      <c r="AR212" s="272"/>
      <c r="AS212" s="254"/>
      <c r="AT212" s="508"/>
      <c r="AU212" s="509"/>
      <c r="AV212" s="323">
        <f t="shared" si="49"/>
        <v>0</v>
      </c>
      <c r="AW212" s="323">
        <f t="shared" si="50"/>
        <v>0</v>
      </c>
      <c r="AX212" s="345" t="str">
        <f t="shared" si="43"/>
        <v xml:space="preserve"> </v>
      </c>
      <c r="AY212" s="254">
        <f t="shared" si="44"/>
        <v>0</v>
      </c>
      <c r="AZ212" s="345"/>
      <c r="BA212" s="254"/>
    </row>
    <row r="213" spans="1:53" x14ac:dyDescent="0.2">
      <c r="A213" s="45"/>
      <c r="B213" s="194" t="s">
        <v>897</v>
      </c>
      <c r="C213" s="14"/>
      <c r="D213" s="489"/>
      <c r="E213" s="490"/>
      <c r="F213" s="485"/>
      <c r="G213" s="485"/>
      <c r="H213" s="485"/>
      <c r="I213" s="485"/>
      <c r="J213" s="485"/>
      <c r="K213" s="486"/>
      <c r="L213" s="487"/>
      <c r="M213" s="485"/>
      <c r="N213" s="485"/>
      <c r="O213" s="485"/>
      <c r="P213" s="488"/>
      <c r="Q213" s="488"/>
      <c r="R213" s="488"/>
      <c r="S213" s="488"/>
      <c r="T213" s="488"/>
      <c r="U213" s="488"/>
      <c r="V213" s="488"/>
      <c r="W213" s="488"/>
      <c r="X213" s="486"/>
      <c r="Y213" s="486"/>
      <c r="Z213" s="486"/>
      <c r="AA213" s="486"/>
      <c r="AB213" s="34">
        <f t="shared" si="45"/>
        <v>0</v>
      </c>
      <c r="AC213" s="12">
        <f t="shared" si="46"/>
        <v>0</v>
      </c>
      <c r="AD213" s="30">
        <f t="shared" si="47"/>
        <v>0</v>
      </c>
      <c r="AE213" s="25">
        <f t="shared" si="48"/>
        <v>0</v>
      </c>
      <c r="AF213" s="12"/>
      <c r="AG213" s="12"/>
      <c r="AH213" s="30"/>
      <c r="AI213" s="25"/>
      <c r="AJ213" s="272"/>
      <c r="AK213" s="73"/>
      <c r="AL213" s="12"/>
      <c r="AM213" s="272"/>
      <c r="AN213" s="73"/>
      <c r="AO213" s="279"/>
      <c r="AP213" s="73"/>
      <c r="AQ213" s="14"/>
      <c r="AR213" s="272"/>
      <c r="AS213" s="254"/>
      <c r="AT213" s="508"/>
      <c r="AU213" s="509"/>
      <c r="AV213" s="323">
        <f t="shared" si="49"/>
        <v>0</v>
      </c>
      <c r="AW213" s="323">
        <f t="shared" si="50"/>
        <v>0</v>
      </c>
      <c r="AX213" s="345" t="str">
        <f t="shared" si="43"/>
        <v xml:space="preserve"> </v>
      </c>
      <c r="AY213" s="254">
        <f t="shared" si="44"/>
        <v>0</v>
      </c>
      <c r="AZ213" s="345"/>
      <c r="BA213" s="254"/>
    </row>
    <row r="214" spans="1:53" x14ac:dyDescent="0.2">
      <c r="A214" s="45"/>
      <c r="B214" s="1152" t="s">
        <v>522</v>
      </c>
      <c r="C214" s="14" t="s">
        <v>499</v>
      </c>
      <c r="D214" s="489"/>
      <c r="E214" s="490"/>
      <c r="F214" s="485"/>
      <c r="G214" s="485"/>
      <c r="H214" s="485"/>
      <c r="I214" s="485"/>
      <c r="J214" s="485"/>
      <c r="K214" s="486"/>
      <c r="L214" s="487"/>
      <c r="M214" s="485"/>
      <c r="N214" s="485"/>
      <c r="O214" s="485"/>
      <c r="P214" s="488"/>
      <c r="Q214" s="488"/>
      <c r="R214" s="488"/>
      <c r="S214" s="488"/>
      <c r="T214" s="488"/>
      <c r="U214" s="488"/>
      <c r="V214" s="488"/>
      <c r="W214" s="488"/>
      <c r="X214" s="486"/>
      <c r="Y214" s="486"/>
      <c r="Z214" s="486"/>
      <c r="AA214" s="486"/>
      <c r="AB214" s="34">
        <f t="shared" si="45"/>
        <v>0</v>
      </c>
      <c r="AC214" s="12">
        <f t="shared" si="46"/>
        <v>0</v>
      </c>
      <c r="AD214" s="30">
        <f t="shared" si="47"/>
        <v>0</v>
      </c>
      <c r="AE214" s="25">
        <f t="shared" si="48"/>
        <v>0</v>
      </c>
      <c r="AF214" s="12"/>
      <c r="AG214" s="12"/>
      <c r="AH214" s="30"/>
      <c r="AI214" s="25">
        <f>'A. Revenue by function'!N119</f>
        <v>0</v>
      </c>
      <c r="AJ214" s="272" t="str">
        <f>'C. Other Revenues'!B205</f>
        <v>C.1</v>
      </c>
      <c r="AK214" s="73">
        <f>'C. Other Revenues'!K219</f>
        <v>0</v>
      </c>
      <c r="AL214" s="12"/>
      <c r="AM214" s="272" t="str">
        <f>'C. Other Revenues'!B205</f>
        <v>C.1</v>
      </c>
      <c r="AN214" s="73">
        <f>'C. Other Revenues'!M219</f>
        <v>0</v>
      </c>
      <c r="AO214" s="279"/>
      <c r="AP214" s="73"/>
      <c r="AQ214" s="14"/>
      <c r="AR214" s="272"/>
      <c r="AS214" s="254"/>
      <c r="AT214" s="508"/>
      <c r="AU214" s="509"/>
      <c r="AV214" s="323">
        <f t="shared" si="49"/>
        <v>0</v>
      </c>
      <c r="AW214" s="323">
        <f t="shared" si="50"/>
        <v>0</v>
      </c>
      <c r="AX214" s="345" t="str">
        <f t="shared" si="43"/>
        <v xml:space="preserve"> </v>
      </c>
      <c r="AY214" s="254">
        <f t="shared" si="44"/>
        <v>0</v>
      </c>
      <c r="AZ214" s="345"/>
      <c r="BA214" s="254"/>
    </row>
    <row r="215" spans="1:53" x14ac:dyDescent="0.2">
      <c r="A215" s="45"/>
      <c r="B215" s="1152"/>
      <c r="C215" s="14" t="s">
        <v>295</v>
      </c>
      <c r="D215" s="489"/>
      <c r="E215" s="490"/>
      <c r="F215" s="485"/>
      <c r="G215" s="485"/>
      <c r="H215" s="485"/>
      <c r="I215" s="485"/>
      <c r="J215" s="485"/>
      <c r="K215" s="486"/>
      <c r="L215" s="487"/>
      <c r="M215" s="485"/>
      <c r="N215" s="485"/>
      <c r="O215" s="485"/>
      <c r="P215" s="488"/>
      <c r="Q215" s="488"/>
      <c r="R215" s="488"/>
      <c r="S215" s="488"/>
      <c r="T215" s="488"/>
      <c r="U215" s="488"/>
      <c r="V215" s="488"/>
      <c r="W215" s="488"/>
      <c r="X215" s="486"/>
      <c r="Y215" s="486"/>
      <c r="Z215" s="486"/>
      <c r="AA215" s="486"/>
      <c r="AB215" s="34">
        <f t="shared" si="45"/>
        <v>0</v>
      </c>
      <c r="AC215" s="12">
        <f t="shared" si="46"/>
        <v>0</v>
      </c>
      <c r="AD215" s="30">
        <f t="shared" si="47"/>
        <v>0</v>
      </c>
      <c r="AE215" s="25">
        <f t="shared" si="48"/>
        <v>0</v>
      </c>
      <c r="AF215" s="12"/>
      <c r="AG215" s="12"/>
      <c r="AH215" s="30"/>
      <c r="AI215" s="25">
        <f>'A. Revenue by function'!N120</f>
        <v>0</v>
      </c>
      <c r="AJ215" s="272" t="str">
        <f>'C. Other Revenues'!B205</f>
        <v>C.1</v>
      </c>
      <c r="AK215" s="73">
        <f>'C. Other Revenues'!K228</f>
        <v>0</v>
      </c>
      <c r="AL215" s="12"/>
      <c r="AM215" s="272" t="str">
        <f>'C. Other Revenues'!B205</f>
        <v>C.1</v>
      </c>
      <c r="AN215" s="73">
        <f>'C. Other Revenues'!M228</f>
        <v>0</v>
      </c>
      <c r="AO215" s="279"/>
      <c r="AP215" s="73"/>
      <c r="AQ215" s="14"/>
      <c r="AR215" s="272" t="str">
        <f>'L. Eliminations-Consolidations'!A239</f>
        <v>L.7</v>
      </c>
      <c r="AS215" s="254">
        <f>'L. Eliminations-Consolidations'!L253</f>
        <v>0</v>
      </c>
      <c r="AT215" s="508"/>
      <c r="AU215" s="509"/>
      <c r="AV215" s="323">
        <f t="shared" si="49"/>
        <v>0</v>
      </c>
      <c r="AW215" s="323">
        <f t="shared" si="50"/>
        <v>0</v>
      </c>
      <c r="AX215" s="345" t="str">
        <f t="shared" si="43"/>
        <v xml:space="preserve"> </v>
      </c>
      <c r="AY215" s="254">
        <f t="shared" si="44"/>
        <v>0</v>
      </c>
      <c r="AZ215" s="345"/>
      <c r="BA215" s="254"/>
    </row>
    <row r="216" spans="1:53" ht="15.75" customHeight="1" x14ac:dyDescent="0.2">
      <c r="A216" s="45"/>
      <c r="B216" s="1152"/>
      <c r="C216" s="14" t="s">
        <v>296</v>
      </c>
      <c r="D216" s="489"/>
      <c r="E216" s="490"/>
      <c r="F216" s="485"/>
      <c r="G216" s="485"/>
      <c r="H216" s="485"/>
      <c r="I216" s="485"/>
      <c r="J216" s="485"/>
      <c r="K216" s="486"/>
      <c r="L216" s="487"/>
      <c r="M216" s="485"/>
      <c r="N216" s="485"/>
      <c r="O216" s="485"/>
      <c r="P216" s="488"/>
      <c r="Q216" s="488"/>
      <c r="R216" s="488"/>
      <c r="S216" s="488"/>
      <c r="T216" s="488"/>
      <c r="U216" s="488"/>
      <c r="V216" s="488"/>
      <c r="W216" s="488"/>
      <c r="X216" s="486"/>
      <c r="Y216" s="486"/>
      <c r="Z216" s="486"/>
      <c r="AA216" s="486"/>
      <c r="AB216" s="34">
        <f t="shared" si="45"/>
        <v>0</v>
      </c>
      <c r="AC216" s="12">
        <f t="shared" si="46"/>
        <v>0</v>
      </c>
      <c r="AD216" s="30">
        <f t="shared" si="47"/>
        <v>0</v>
      </c>
      <c r="AE216" s="25">
        <f t="shared" si="48"/>
        <v>0</v>
      </c>
      <c r="AF216" s="12"/>
      <c r="AG216" s="12"/>
      <c r="AH216" s="30"/>
      <c r="AI216" s="25">
        <f>'A. Revenue by function'!N121</f>
        <v>0</v>
      </c>
      <c r="AJ216" s="272" t="str">
        <f>'C. Other Revenues'!B205</f>
        <v>C.1</v>
      </c>
      <c r="AK216" s="73">
        <f>'C. Other Revenues'!K237</f>
        <v>0</v>
      </c>
      <c r="AL216" s="12"/>
      <c r="AM216" s="272" t="str">
        <f>'C. Other Revenues'!B205</f>
        <v>C.1</v>
      </c>
      <c r="AN216" s="73">
        <f>'C. Other Revenues'!M237</f>
        <v>0</v>
      </c>
      <c r="AO216" s="279"/>
      <c r="AP216" s="73"/>
      <c r="AQ216" s="14"/>
      <c r="AR216" s="272" t="str">
        <f>'L. Eliminations-Consolidations'!A239</f>
        <v>L.7</v>
      </c>
      <c r="AS216" s="254">
        <f>'L. Eliminations-Consolidations'!L261</f>
        <v>0</v>
      </c>
      <c r="AT216" s="508"/>
      <c r="AU216" s="509"/>
      <c r="AV216" s="323">
        <f t="shared" si="49"/>
        <v>0</v>
      </c>
      <c r="AW216" s="323">
        <f t="shared" si="50"/>
        <v>0</v>
      </c>
      <c r="AX216" s="345" t="str">
        <f t="shared" si="43"/>
        <v xml:space="preserve"> </v>
      </c>
      <c r="AY216" s="254">
        <f t="shared" si="44"/>
        <v>0</v>
      </c>
      <c r="AZ216" s="345"/>
      <c r="BA216" s="254"/>
    </row>
    <row r="217" spans="1:53" x14ac:dyDescent="0.2">
      <c r="A217" s="45"/>
      <c r="B217" s="14"/>
      <c r="C217" s="14"/>
      <c r="D217" s="489"/>
      <c r="E217" s="490"/>
      <c r="F217" s="485"/>
      <c r="G217" s="485"/>
      <c r="H217" s="485"/>
      <c r="I217" s="485"/>
      <c r="J217" s="485"/>
      <c r="K217" s="486"/>
      <c r="L217" s="487"/>
      <c r="M217" s="485"/>
      <c r="N217" s="485"/>
      <c r="O217" s="485"/>
      <c r="P217" s="488"/>
      <c r="Q217" s="488"/>
      <c r="R217" s="488"/>
      <c r="S217" s="488"/>
      <c r="T217" s="488"/>
      <c r="U217" s="488"/>
      <c r="V217" s="488"/>
      <c r="W217" s="488"/>
      <c r="X217" s="486"/>
      <c r="Y217" s="486"/>
      <c r="Z217" s="486"/>
      <c r="AA217" s="486"/>
      <c r="AB217" s="34">
        <f t="shared" si="45"/>
        <v>0</v>
      </c>
      <c r="AC217" s="12">
        <f t="shared" si="46"/>
        <v>0</v>
      </c>
      <c r="AD217" s="30">
        <f t="shared" si="47"/>
        <v>0</v>
      </c>
      <c r="AE217" s="25">
        <f t="shared" si="48"/>
        <v>0</v>
      </c>
      <c r="AF217" s="12"/>
      <c r="AG217" s="12"/>
      <c r="AH217" s="30"/>
      <c r="AI217" s="25"/>
      <c r="AJ217" s="272"/>
      <c r="AK217" s="73"/>
      <c r="AL217" s="12"/>
      <c r="AO217" s="279"/>
      <c r="AP217" s="73"/>
      <c r="AQ217" s="14"/>
      <c r="AR217" s="272"/>
      <c r="AS217" s="254"/>
      <c r="AT217" s="508"/>
      <c r="AU217" s="509"/>
      <c r="AV217" s="323">
        <f t="shared" si="49"/>
        <v>0</v>
      </c>
      <c r="AW217" s="323">
        <f t="shared" si="50"/>
        <v>0</v>
      </c>
      <c r="AX217" s="345" t="str">
        <f t="shared" si="43"/>
        <v xml:space="preserve"> </v>
      </c>
      <c r="AY217" s="254">
        <f t="shared" si="44"/>
        <v>0</v>
      </c>
      <c r="AZ217" s="345"/>
      <c r="BA217" s="254"/>
    </row>
    <row r="218" spans="1:53" x14ac:dyDescent="0.2">
      <c r="A218" s="45"/>
      <c r="B218" s="194" t="s">
        <v>906</v>
      </c>
      <c r="C218" s="14"/>
      <c r="D218" s="489"/>
      <c r="E218" s="490"/>
      <c r="F218" s="485"/>
      <c r="G218" s="485"/>
      <c r="H218" s="485"/>
      <c r="I218" s="485"/>
      <c r="J218" s="485"/>
      <c r="K218" s="486"/>
      <c r="L218" s="487"/>
      <c r="M218" s="485"/>
      <c r="N218" s="485"/>
      <c r="O218" s="485"/>
      <c r="P218" s="488"/>
      <c r="Q218" s="488"/>
      <c r="R218" s="488"/>
      <c r="S218" s="488"/>
      <c r="T218" s="488"/>
      <c r="U218" s="488"/>
      <c r="V218" s="488"/>
      <c r="W218" s="488"/>
      <c r="X218" s="486"/>
      <c r="Y218" s="486"/>
      <c r="Z218" s="486"/>
      <c r="AA218" s="486"/>
      <c r="AB218" s="34">
        <f t="shared" si="45"/>
        <v>0</v>
      </c>
      <c r="AC218" s="12">
        <f t="shared" si="46"/>
        <v>0</v>
      </c>
      <c r="AD218" s="30">
        <f t="shared" si="47"/>
        <v>0</v>
      </c>
      <c r="AE218" s="25">
        <f t="shared" si="48"/>
        <v>0</v>
      </c>
      <c r="AF218" s="12"/>
      <c r="AG218" s="12"/>
      <c r="AH218" s="30"/>
      <c r="AI218" s="25"/>
      <c r="AJ218" s="272"/>
      <c r="AK218" s="73"/>
      <c r="AL218" s="12"/>
      <c r="AM218" s="272"/>
      <c r="AN218" s="73"/>
      <c r="AO218" s="279"/>
      <c r="AP218" s="73"/>
      <c r="AQ218" s="14"/>
      <c r="AR218" s="272"/>
      <c r="AS218" s="254"/>
      <c r="AT218" s="508"/>
      <c r="AU218" s="509"/>
      <c r="AV218" s="323">
        <f t="shared" si="49"/>
        <v>0</v>
      </c>
      <c r="AW218" s="323">
        <f t="shared" si="50"/>
        <v>0</v>
      </c>
      <c r="AX218" s="345" t="str">
        <f t="shared" si="43"/>
        <v xml:space="preserve"> </v>
      </c>
      <c r="AY218" s="254">
        <f t="shared" si="44"/>
        <v>0</v>
      </c>
      <c r="AZ218" s="345"/>
      <c r="BA218" s="254"/>
    </row>
    <row r="219" spans="1:53" x14ac:dyDescent="0.2">
      <c r="A219" s="45"/>
      <c r="B219" s="1152" t="s">
        <v>522</v>
      </c>
      <c r="C219" s="14" t="s">
        <v>499</v>
      </c>
      <c r="D219" s="489"/>
      <c r="E219" s="490"/>
      <c r="F219" s="485"/>
      <c r="G219" s="485"/>
      <c r="H219" s="485"/>
      <c r="I219" s="485"/>
      <c r="J219" s="485"/>
      <c r="K219" s="486"/>
      <c r="L219" s="487"/>
      <c r="M219" s="485"/>
      <c r="N219" s="485"/>
      <c r="O219" s="485"/>
      <c r="P219" s="488"/>
      <c r="Q219" s="488"/>
      <c r="R219" s="488"/>
      <c r="S219" s="488"/>
      <c r="T219" s="488"/>
      <c r="U219" s="488"/>
      <c r="V219" s="488"/>
      <c r="W219" s="488"/>
      <c r="X219" s="486"/>
      <c r="Y219" s="486"/>
      <c r="Z219" s="486"/>
      <c r="AA219" s="486"/>
      <c r="AB219" s="34">
        <f t="shared" si="45"/>
        <v>0</v>
      </c>
      <c r="AC219" s="12">
        <f t="shared" si="46"/>
        <v>0</v>
      </c>
      <c r="AD219" s="30">
        <f t="shared" si="47"/>
        <v>0</v>
      </c>
      <c r="AE219" s="25">
        <f t="shared" si="48"/>
        <v>0</v>
      </c>
      <c r="AF219" s="12"/>
      <c r="AG219" s="12"/>
      <c r="AH219" s="30"/>
      <c r="AI219" s="25">
        <f>'A. Revenue by function'!N122</f>
        <v>0</v>
      </c>
      <c r="AJ219" s="272" t="str">
        <f>'C. Other Revenues'!B205</f>
        <v>C.1</v>
      </c>
      <c r="AK219" s="73">
        <f>'C. Other Revenues'!K220</f>
        <v>0</v>
      </c>
      <c r="AL219" s="12"/>
      <c r="AM219" s="272" t="str">
        <f>'C. Other Revenues'!B205</f>
        <v>C.1</v>
      </c>
      <c r="AN219" s="73">
        <f>'C. Other Revenues'!M220</f>
        <v>0</v>
      </c>
      <c r="AO219" s="279"/>
      <c r="AP219" s="73"/>
      <c r="AQ219" s="14"/>
      <c r="AR219" s="272"/>
      <c r="AS219" s="254"/>
      <c r="AT219" s="508"/>
      <c r="AU219" s="509"/>
      <c r="AV219" s="323">
        <f t="shared" si="49"/>
        <v>0</v>
      </c>
      <c r="AW219" s="323">
        <f t="shared" si="50"/>
        <v>0</v>
      </c>
      <c r="AX219" s="345" t="str">
        <f t="shared" si="43"/>
        <v xml:space="preserve"> </v>
      </c>
      <c r="AY219" s="254">
        <f t="shared" si="44"/>
        <v>0</v>
      </c>
      <c r="AZ219" s="345"/>
      <c r="BA219" s="254"/>
    </row>
    <row r="220" spans="1:53" x14ac:dyDescent="0.2">
      <c r="A220" s="45"/>
      <c r="B220" s="1152"/>
      <c r="C220" s="14" t="s">
        <v>295</v>
      </c>
      <c r="D220" s="489"/>
      <c r="E220" s="490"/>
      <c r="F220" s="485"/>
      <c r="G220" s="485"/>
      <c r="H220" s="485"/>
      <c r="I220" s="485"/>
      <c r="J220" s="485"/>
      <c r="K220" s="486"/>
      <c r="L220" s="487"/>
      <c r="M220" s="485"/>
      <c r="N220" s="485"/>
      <c r="O220" s="485"/>
      <c r="P220" s="488"/>
      <c r="Q220" s="488"/>
      <c r="R220" s="488"/>
      <c r="S220" s="488"/>
      <c r="T220" s="488"/>
      <c r="U220" s="488"/>
      <c r="V220" s="488"/>
      <c r="W220" s="488"/>
      <c r="X220" s="486"/>
      <c r="Y220" s="486"/>
      <c r="Z220" s="486"/>
      <c r="AA220" s="486"/>
      <c r="AB220" s="34">
        <f t="shared" si="45"/>
        <v>0</v>
      </c>
      <c r="AC220" s="12">
        <f t="shared" si="46"/>
        <v>0</v>
      </c>
      <c r="AD220" s="30">
        <f t="shared" si="47"/>
        <v>0</v>
      </c>
      <c r="AE220" s="25">
        <f t="shared" si="48"/>
        <v>0</v>
      </c>
      <c r="AF220" s="12"/>
      <c r="AG220" s="12"/>
      <c r="AH220" s="30"/>
      <c r="AI220" s="25">
        <f>'A. Revenue by function'!N123</f>
        <v>0</v>
      </c>
      <c r="AJ220" s="272" t="str">
        <f>'C. Other Revenues'!B205</f>
        <v>C.1</v>
      </c>
      <c r="AK220" s="73">
        <f>'C. Other Revenues'!K229</f>
        <v>0</v>
      </c>
      <c r="AL220" s="12"/>
      <c r="AM220" s="272" t="str">
        <f>'C. Other Revenues'!B205</f>
        <v>C.1</v>
      </c>
      <c r="AN220" s="73">
        <f>'C. Other Revenues'!M229</f>
        <v>0</v>
      </c>
      <c r="AO220" s="279"/>
      <c r="AP220" s="73"/>
      <c r="AQ220" s="14"/>
      <c r="AR220" s="272" t="str">
        <f>'L. Eliminations-Consolidations'!A239</f>
        <v>L.7</v>
      </c>
      <c r="AS220" s="254">
        <f>'L. Eliminations-Consolidations'!L254</f>
        <v>0</v>
      </c>
      <c r="AT220" s="508"/>
      <c r="AU220" s="509"/>
      <c r="AV220" s="323">
        <f t="shared" si="49"/>
        <v>0</v>
      </c>
      <c r="AW220" s="323">
        <f t="shared" si="50"/>
        <v>0</v>
      </c>
      <c r="AX220" s="345" t="str">
        <f t="shared" si="43"/>
        <v xml:space="preserve"> </v>
      </c>
      <c r="AY220" s="254">
        <f t="shared" si="44"/>
        <v>0</v>
      </c>
      <c r="AZ220" s="345"/>
      <c r="BA220" s="254"/>
    </row>
    <row r="221" spans="1:53" ht="15" customHeight="1" x14ac:dyDescent="0.2">
      <c r="A221" s="45"/>
      <c r="B221" s="1152"/>
      <c r="C221" s="14" t="s">
        <v>296</v>
      </c>
      <c r="D221" s="489"/>
      <c r="E221" s="490"/>
      <c r="F221" s="485"/>
      <c r="G221" s="485"/>
      <c r="H221" s="485"/>
      <c r="I221" s="485"/>
      <c r="J221" s="485"/>
      <c r="K221" s="486"/>
      <c r="L221" s="487"/>
      <c r="M221" s="485"/>
      <c r="N221" s="485"/>
      <c r="O221" s="485"/>
      <c r="P221" s="488"/>
      <c r="Q221" s="488"/>
      <c r="R221" s="488"/>
      <c r="S221" s="488"/>
      <c r="T221" s="488"/>
      <c r="U221" s="488"/>
      <c r="V221" s="488"/>
      <c r="W221" s="488"/>
      <c r="X221" s="486"/>
      <c r="Y221" s="486"/>
      <c r="Z221" s="486"/>
      <c r="AA221" s="486"/>
      <c r="AB221" s="34">
        <f t="shared" si="45"/>
        <v>0</v>
      </c>
      <c r="AC221" s="12">
        <f t="shared" si="46"/>
        <v>0</v>
      </c>
      <c r="AD221" s="30">
        <f t="shared" si="47"/>
        <v>0</v>
      </c>
      <c r="AE221" s="25">
        <f t="shared" si="48"/>
        <v>0</v>
      </c>
      <c r="AF221" s="12"/>
      <c r="AG221" s="12"/>
      <c r="AH221" s="30"/>
      <c r="AI221" s="25">
        <f>'A. Revenue by function'!N124</f>
        <v>0</v>
      </c>
      <c r="AJ221" s="272" t="str">
        <f>'C. Other Revenues'!B205</f>
        <v>C.1</v>
      </c>
      <c r="AK221" s="73">
        <f>'C. Other Revenues'!K238</f>
        <v>0</v>
      </c>
      <c r="AL221" s="12"/>
      <c r="AM221" s="272" t="str">
        <f>'C. Other Revenues'!B205</f>
        <v>C.1</v>
      </c>
      <c r="AN221" s="73">
        <f>'C. Other Revenues'!M238</f>
        <v>0</v>
      </c>
      <c r="AO221" s="279"/>
      <c r="AP221" s="73"/>
      <c r="AQ221" s="14"/>
      <c r="AR221" s="272" t="str">
        <f>'L. Eliminations-Consolidations'!A239</f>
        <v>L.7</v>
      </c>
      <c r="AS221" s="254">
        <f>'L. Eliminations-Consolidations'!L262</f>
        <v>0</v>
      </c>
      <c r="AT221" s="508"/>
      <c r="AU221" s="509"/>
      <c r="AV221" s="323">
        <f t="shared" si="49"/>
        <v>0</v>
      </c>
      <c r="AW221" s="323">
        <f t="shared" si="50"/>
        <v>0</v>
      </c>
      <c r="AX221" s="345" t="str">
        <f t="shared" si="43"/>
        <v xml:space="preserve"> </v>
      </c>
      <c r="AY221" s="254">
        <f t="shared" si="44"/>
        <v>0</v>
      </c>
      <c r="AZ221" s="345"/>
      <c r="BA221" s="254"/>
    </row>
    <row r="222" spans="1:53" ht="12.75" customHeight="1" x14ac:dyDescent="0.2">
      <c r="A222" s="45"/>
      <c r="B222" s="371"/>
      <c r="C222" s="14"/>
      <c r="D222" s="489"/>
      <c r="E222" s="490"/>
      <c r="F222" s="485"/>
      <c r="G222" s="485"/>
      <c r="H222" s="485"/>
      <c r="I222" s="485"/>
      <c r="J222" s="485"/>
      <c r="K222" s="486"/>
      <c r="L222" s="487"/>
      <c r="M222" s="485"/>
      <c r="N222" s="485"/>
      <c r="O222" s="485"/>
      <c r="P222" s="488"/>
      <c r="Q222" s="488"/>
      <c r="R222" s="488"/>
      <c r="S222" s="488"/>
      <c r="T222" s="488"/>
      <c r="U222" s="488"/>
      <c r="V222" s="488"/>
      <c r="W222" s="488"/>
      <c r="X222" s="486"/>
      <c r="Y222" s="486"/>
      <c r="Z222" s="486"/>
      <c r="AA222" s="486"/>
      <c r="AB222" s="34">
        <f t="shared" si="45"/>
        <v>0</v>
      </c>
      <c r="AC222" s="12">
        <f t="shared" si="46"/>
        <v>0</v>
      </c>
      <c r="AD222" s="30">
        <f t="shared" si="47"/>
        <v>0</v>
      </c>
      <c r="AE222" s="25">
        <f t="shared" si="48"/>
        <v>0</v>
      </c>
      <c r="AF222" s="12"/>
      <c r="AG222" s="12"/>
      <c r="AH222" s="30"/>
      <c r="AI222" s="25"/>
      <c r="AJ222" s="272"/>
      <c r="AK222" s="73"/>
      <c r="AL222" s="12"/>
      <c r="AM222" s="272"/>
      <c r="AO222" s="279"/>
      <c r="AP222" s="73"/>
      <c r="AQ222" s="14"/>
      <c r="AR222" s="272"/>
      <c r="AS222" s="254"/>
      <c r="AT222" s="508"/>
      <c r="AU222" s="509"/>
      <c r="AV222" s="323">
        <f t="shared" si="49"/>
        <v>0</v>
      </c>
      <c r="AW222" s="323">
        <f t="shared" si="50"/>
        <v>0</v>
      </c>
      <c r="AX222" s="345" t="str">
        <f t="shared" si="43"/>
        <v xml:space="preserve"> </v>
      </c>
      <c r="AY222" s="254">
        <f t="shared" si="44"/>
        <v>0</v>
      </c>
      <c r="AZ222" s="345"/>
      <c r="BA222" s="254"/>
    </row>
    <row r="223" spans="1:53" ht="15" customHeight="1" x14ac:dyDescent="0.2">
      <c r="A223" s="45"/>
      <c r="B223" s="380" t="s">
        <v>926</v>
      </c>
      <c r="C223" s="14"/>
      <c r="D223" s="489"/>
      <c r="E223" s="490"/>
      <c r="F223" s="485"/>
      <c r="G223" s="485"/>
      <c r="H223" s="485"/>
      <c r="I223" s="485"/>
      <c r="J223" s="485"/>
      <c r="K223" s="486"/>
      <c r="L223" s="487"/>
      <c r="M223" s="485"/>
      <c r="N223" s="485"/>
      <c r="O223" s="485"/>
      <c r="P223" s="488"/>
      <c r="Q223" s="488"/>
      <c r="R223" s="488"/>
      <c r="S223" s="488"/>
      <c r="T223" s="488"/>
      <c r="U223" s="488"/>
      <c r="V223" s="488"/>
      <c r="W223" s="488"/>
      <c r="X223" s="486"/>
      <c r="Y223" s="486"/>
      <c r="Z223" s="486"/>
      <c r="AA223" s="486"/>
      <c r="AB223" s="34">
        <f t="shared" si="45"/>
        <v>0</v>
      </c>
      <c r="AC223" s="12">
        <f t="shared" si="46"/>
        <v>0</v>
      </c>
      <c r="AD223" s="30">
        <f t="shared" si="47"/>
        <v>0</v>
      </c>
      <c r="AE223" s="25">
        <f t="shared" si="48"/>
        <v>0</v>
      </c>
      <c r="AF223" s="12"/>
      <c r="AG223" s="12"/>
      <c r="AH223" s="30"/>
      <c r="AI223" s="25"/>
      <c r="AJ223" s="272"/>
      <c r="AK223" s="73"/>
      <c r="AL223" s="12"/>
      <c r="AM223" s="272"/>
      <c r="AN223" s="73"/>
      <c r="AO223" s="279"/>
      <c r="AP223" s="73"/>
      <c r="AQ223" s="14"/>
      <c r="AR223" s="272"/>
      <c r="AS223" s="254"/>
      <c r="AT223" s="508"/>
      <c r="AU223" s="509"/>
      <c r="AV223" s="323">
        <f t="shared" si="49"/>
        <v>0</v>
      </c>
      <c r="AW223" s="323">
        <f t="shared" si="50"/>
        <v>0</v>
      </c>
      <c r="AX223" s="345" t="str">
        <f t="shared" si="43"/>
        <v xml:space="preserve"> </v>
      </c>
      <c r="AY223" s="254">
        <f t="shared" si="44"/>
        <v>0</v>
      </c>
      <c r="AZ223" s="345"/>
      <c r="BA223" s="254"/>
    </row>
    <row r="224" spans="1:53" ht="15" customHeight="1" x14ac:dyDescent="0.2">
      <c r="A224" s="45"/>
      <c r="B224" s="1152" t="s">
        <v>522</v>
      </c>
      <c r="C224" s="14" t="s">
        <v>499</v>
      </c>
      <c r="D224" s="489"/>
      <c r="E224" s="490"/>
      <c r="F224" s="485"/>
      <c r="G224" s="485"/>
      <c r="H224" s="485"/>
      <c r="I224" s="485"/>
      <c r="J224" s="485"/>
      <c r="K224" s="486"/>
      <c r="L224" s="487"/>
      <c r="M224" s="485"/>
      <c r="N224" s="485"/>
      <c r="O224" s="485"/>
      <c r="P224" s="488"/>
      <c r="Q224" s="488"/>
      <c r="R224" s="488"/>
      <c r="S224" s="488"/>
      <c r="T224" s="488"/>
      <c r="U224" s="488"/>
      <c r="V224" s="488"/>
      <c r="W224" s="488"/>
      <c r="X224" s="486"/>
      <c r="Y224" s="486"/>
      <c r="Z224" s="486"/>
      <c r="AA224" s="486"/>
      <c r="AB224" s="34">
        <f t="shared" si="45"/>
        <v>0</v>
      </c>
      <c r="AC224" s="12">
        <f t="shared" si="46"/>
        <v>0</v>
      </c>
      <c r="AD224" s="30">
        <f t="shared" si="47"/>
        <v>0</v>
      </c>
      <c r="AE224" s="25">
        <f t="shared" si="48"/>
        <v>0</v>
      </c>
      <c r="AF224" s="12"/>
      <c r="AG224" s="12"/>
      <c r="AH224" s="30"/>
      <c r="AI224" s="25">
        <f>'A. Revenue by function'!N125</f>
        <v>0</v>
      </c>
      <c r="AJ224" s="272" t="str">
        <f>'C. Other Revenues'!B205</f>
        <v>C.1</v>
      </c>
      <c r="AK224" s="73">
        <f>'C. Other Revenues'!K221</f>
        <v>0</v>
      </c>
      <c r="AL224" s="12"/>
      <c r="AM224" s="272" t="str">
        <f>'C. Other Revenues'!B205</f>
        <v>C.1</v>
      </c>
      <c r="AN224" s="73">
        <f>'C. Other Revenues'!M221</f>
        <v>0</v>
      </c>
      <c r="AO224" s="279"/>
      <c r="AP224" s="73"/>
      <c r="AQ224" s="14"/>
      <c r="AR224" s="272"/>
      <c r="AS224" s="254"/>
      <c r="AT224" s="508"/>
      <c r="AU224" s="509"/>
      <c r="AV224" s="323">
        <f t="shared" si="49"/>
        <v>0</v>
      </c>
      <c r="AW224" s="323">
        <f t="shared" si="50"/>
        <v>0</v>
      </c>
      <c r="AX224" s="345" t="str">
        <f t="shared" si="43"/>
        <v xml:space="preserve"> </v>
      </c>
      <c r="AY224" s="254">
        <f t="shared" si="44"/>
        <v>0</v>
      </c>
      <c r="AZ224" s="345"/>
      <c r="BA224" s="254"/>
    </row>
    <row r="225" spans="1:53" ht="15" customHeight="1" x14ac:dyDescent="0.2">
      <c r="A225" s="45"/>
      <c r="B225" s="1152"/>
      <c r="C225" s="14" t="s">
        <v>295</v>
      </c>
      <c r="D225" s="489"/>
      <c r="E225" s="490"/>
      <c r="F225" s="485"/>
      <c r="G225" s="485"/>
      <c r="H225" s="485"/>
      <c r="I225" s="485"/>
      <c r="J225" s="485"/>
      <c r="K225" s="486"/>
      <c r="L225" s="487"/>
      <c r="M225" s="485"/>
      <c r="N225" s="485"/>
      <c r="O225" s="485"/>
      <c r="P225" s="488"/>
      <c r="Q225" s="488"/>
      <c r="R225" s="488"/>
      <c r="S225" s="488"/>
      <c r="T225" s="488"/>
      <c r="U225" s="488"/>
      <c r="V225" s="488"/>
      <c r="W225" s="488"/>
      <c r="X225" s="486"/>
      <c r="Y225" s="486"/>
      <c r="Z225" s="486"/>
      <c r="AA225" s="486"/>
      <c r="AB225" s="34">
        <f t="shared" si="45"/>
        <v>0</v>
      </c>
      <c r="AC225" s="12">
        <f t="shared" si="46"/>
        <v>0</v>
      </c>
      <c r="AD225" s="30">
        <f t="shared" si="47"/>
        <v>0</v>
      </c>
      <c r="AE225" s="25">
        <f t="shared" si="48"/>
        <v>0</v>
      </c>
      <c r="AF225" s="12"/>
      <c r="AG225" s="12"/>
      <c r="AH225" s="30"/>
      <c r="AI225" s="25">
        <f>'A. Revenue by function'!N126</f>
        <v>0</v>
      </c>
      <c r="AJ225" s="272" t="str">
        <f>'C. Other Revenues'!B205</f>
        <v>C.1</v>
      </c>
      <c r="AK225" s="73">
        <f>'C. Other Revenues'!K230</f>
        <v>0</v>
      </c>
      <c r="AL225" s="12"/>
      <c r="AM225" s="272" t="str">
        <f>'C. Other Revenues'!B205</f>
        <v>C.1</v>
      </c>
      <c r="AN225" s="73">
        <f>'C. Other Revenues'!M230</f>
        <v>0</v>
      </c>
      <c r="AO225" s="279"/>
      <c r="AP225" s="73"/>
      <c r="AQ225" s="14"/>
      <c r="AR225" s="272" t="str">
        <f>'L. Eliminations-Consolidations'!A239</f>
        <v>L.7</v>
      </c>
      <c r="AS225" s="254">
        <f>'L. Eliminations-Consolidations'!L255</f>
        <v>0</v>
      </c>
      <c r="AT225" s="508"/>
      <c r="AU225" s="509"/>
      <c r="AV225" s="323">
        <f t="shared" si="49"/>
        <v>0</v>
      </c>
      <c r="AW225" s="323">
        <f t="shared" si="50"/>
        <v>0</v>
      </c>
      <c r="AX225" s="345" t="str">
        <f t="shared" si="43"/>
        <v xml:space="preserve"> </v>
      </c>
      <c r="AY225" s="254">
        <f t="shared" si="44"/>
        <v>0</v>
      </c>
      <c r="AZ225" s="345"/>
      <c r="BA225" s="254"/>
    </row>
    <row r="226" spans="1:53" ht="15" customHeight="1" x14ac:dyDescent="0.2">
      <c r="A226" s="45"/>
      <c r="B226" s="1152"/>
      <c r="C226" s="14" t="s">
        <v>296</v>
      </c>
      <c r="D226" s="489"/>
      <c r="E226" s="490"/>
      <c r="F226" s="485"/>
      <c r="G226" s="485"/>
      <c r="H226" s="485"/>
      <c r="I226" s="485"/>
      <c r="J226" s="485"/>
      <c r="K226" s="486"/>
      <c r="L226" s="487"/>
      <c r="M226" s="485"/>
      <c r="N226" s="485"/>
      <c r="O226" s="485"/>
      <c r="P226" s="488"/>
      <c r="Q226" s="488"/>
      <c r="R226" s="488"/>
      <c r="S226" s="488"/>
      <c r="T226" s="488"/>
      <c r="U226" s="488"/>
      <c r="V226" s="488"/>
      <c r="W226" s="488"/>
      <c r="X226" s="486"/>
      <c r="Y226" s="486"/>
      <c r="Z226" s="486"/>
      <c r="AA226" s="486"/>
      <c r="AB226" s="34">
        <f t="shared" si="45"/>
        <v>0</v>
      </c>
      <c r="AC226" s="12">
        <f t="shared" si="46"/>
        <v>0</v>
      </c>
      <c r="AD226" s="30">
        <f t="shared" si="47"/>
        <v>0</v>
      </c>
      <c r="AE226" s="25">
        <f t="shared" si="48"/>
        <v>0</v>
      </c>
      <c r="AF226" s="12"/>
      <c r="AG226" s="12"/>
      <c r="AH226" s="30"/>
      <c r="AI226" s="25">
        <f>'A. Revenue by function'!N127</f>
        <v>0</v>
      </c>
      <c r="AJ226" s="272" t="str">
        <f>'C. Other Revenues'!B205</f>
        <v>C.1</v>
      </c>
      <c r="AK226" s="73">
        <f>'C. Other Revenues'!K239</f>
        <v>0</v>
      </c>
      <c r="AL226" s="12"/>
      <c r="AM226" s="272" t="str">
        <f>'C. Other Revenues'!B205</f>
        <v>C.1</v>
      </c>
      <c r="AN226" s="73">
        <f>'C. Other Revenues'!M239</f>
        <v>0</v>
      </c>
      <c r="AO226" s="279"/>
      <c r="AP226" s="73"/>
      <c r="AQ226" s="14"/>
      <c r="AR226" s="272" t="str">
        <f>'L. Eliminations-Consolidations'!A239</f>
        <v>L.7</v>
      </c>
      <c r="AS226" s="254">
        <f>'L. Eliminations-Consolidations'!L263</f>
        <v>0</v>
      </c>
      <c r="AT226" s="508"/>
      <c r="AU226" s="509"/>
      <c r="AV226" s="323">
        <f t="shared" si="49"/>
        <v>0</v>
      </c>
      <c r="AW226" s="323">
        <f t="shared" si="50"/>
        <v>0</v>
      </c>
      <c r="AX226" s="345" t="str">
        <f t="shared" si="43"/>
        <v xml:space="preserve"> </v>
      </c>
      <c r="AY226" s="254">
        <f t="shared" si="44"/>
        <v>0</v>
      </c>
      <c r="AZ226" s="345"/>
      <c r="BA226" s="254"/>
    </row>
    <row r="227" spans="1:53" ht="12.75" customHeight="1" x14ac:dyDescent="0.2">
      <c r="A227" s="45"/>
      <c r="B227" s="371"/>
      <c r="C227" s="14"/>
      <c r="D227" s="489"/>
      <c r="E227" s="490"/>
      <c r="F227" s="485"/>
      <c r="G227" s="485"/>
      <c r="H227" s="485"/>
      <c r="I227" s="485"/>
      <c r="J227" s="485"/>
      <c r="K227" s="486"/>
      <c r="L227" s="487"/>
      <c r="M227" s="485"/>
      <c r="N227" s="485"/>
      <c r="O227" s="485"/>
      <c r="P227" s="488"/>
      <c r="Q227" s="488"/>
      <c r="R227" s="488"/>
      <c r="S227" s="488"/>
      <c r="T227" s="488"/>
      <c r="U227" s="488"/>
      <c r="V227" s="488"/>
      <c r="W227" s="488"/>
      <c r="X227" s="486"/>
      <c r="Y227" s="486"/>
      <c r="Z227" s="486"/>
      <c r="AA227" s="486"/>
      <c r="AB227" s="34">
        <f t="shared" si="45"/>
        <v>0</v>
      </c>
      <c r="AC227" s="12">
        <f t="shared" si="46"/>
        <v>0</v>
      </c>
      <c r="AD227" s="30">
        <f t="shared" si="47"/>
        <v>0</v>
      </c>
      <c r="AE227" s="25">
        <f t="shared" si="48"/>
        <v>0</v>
      </c>
      <c r="AF227" s="12"/>
      <c r="AG227" s="12"/>
      <c r="AH227" s="30"/>
      <c r="AI227" s="25"/>
      <c r="AJ227" s="272"/>
      <c r="AK227" s="73"/>
      <c r="AL227" s="12"/>
      <c r="AM227" s="272"/>
      <c r="AO227" s="279"/>
      <c r="AP227" s="73"/>
      <c r="AQ227" s="14"/>
      <c r="AR227" s="272"/>
      <c r="AS227" s="254"/>
      <c r="AT227" s="508"/>
      <c r="AU227" s="509"/>
      <c r="AV227" s="323">
        <f t="shared" si="49"/>
        <v>0</v>
      </c>
      <c r="AW227" s="323">
        <f t="shared" si="50"/>
        <v>0</v>
      </c>
      <c r="AX227" s="345" t="str">
        <f t="shared" si="43"/>
        <v xml:space="preserve"> </v>
      </c>
      <c r="AY227" s="254">
        <f t="shared" si="44"/>
        <v>0</v>
      </c>
      <c r="AZ227" s="345"/>
      <c r="BA227" s="254"/>
    </row>
    <row r="228" spans="1:53" ht="15" customHeight="1" x14ac:dyDescent="0.2">
      <c r="A228" s="45"/>
      <c r="B228" s="543" t="s">
        <v>203</v>
      </c>
      <c r="C228" s="14"/>
      <c r="D228" s="489"/>
      <c r="E228" s="490"/>
      <c r="F228" s="485"/>
      <c r="G228" s="485"/>
      <c r="H228" s="485"/>
      <c r="I228" s="485"/>
      <c r="J228" s="485"/>
      <c r="K228" s="486"/>
      <c r="L228" s="487"/>
      <c r="M228" s="485"/>
      <c r="N228" s="485"/>
      <c r="O228" s="485"/>
      <c r="P228" s="488"/>
      <c r="Q228" s="488"/>
      <c r="R228" s="488"/>
      <c r="S228" s="488"/>
      <c r="T228" s="488"/>
      <c r="U228" s="488"/>
      <c r="V228" s="488"/>
      <c r="W228" s="488"/>
      <c r="X228" s="486"/>
      <c r="Y228" s="486"/>
      <c r="Z228" s="486"/>
      <c r="AA228" s="486"/>
      <c r="AB228" s="34">
        <f t="shared" si="45"/>
        <v>0</v>
      </c>
      <c r="AC228" s="12">
        <f t="shared" si="46"/>
        <v>0</v>
      </c>
      <c r="AD228" s="30">
        <f t="shared" si="47"/>
        <v>0</v>
      </c>
      <c r="AE228" s="25">
        <f t="shared" si="48"/>
        <v>0</v>
      </c>
      <c r="AF228" s="12"/>
      <c r="AG228" s="12"/>
      <c r="AH228" s="30"/>
      <c r="AI228" s="25"/>
      <c r="AJ228" s="272"/>
      <c r="AK228" s="73"/>
      <c r="AL228" s="12"/>
      <c r="AM228" s="272"/>
      <c r="AN228" s="73"/>
      <c r="AO228" s="279"/>
      <c r="AP228" s="73"/>
      <c r="AQ228" s="14"/>
      <c r="AR228" s="272"/>
      <c r="AS228" s="254"/>
      <c r="AT228" s="508"/>
      <c r="AU228" s="509"/>
      <c r="AV228" s="323">
        <f t="shared" si="49"/>
        <v>0</v>
      </c>
      <c r="AW228" s="323">
        <f t="shared" si="50"/>
        <v>0</v>
      </c>
      <c r="AX228" s="345" t="str">
        <f t="shared" si="43"/>
        <v xml:space="preserve"> </v>
      </c>
      <c r="AY228" s="254">
        <f t="shared" si="44"/>
        <v>0</v>
      </c>
      <c r="AZ228" s="345"/>
      <c r="BA228" s="254"/>
    </row>
    <row r="229" spans="1:53" ht="14.25" customHeight="1" x14ac:dyDescent="0.2">
      <c r="A229" s="45"/>
      <c r="B229" s="1152" t="s">
        <v>522</v>
      </c>
      <c r="C229" s="14" t="s">
        <v>499</v>
      </c>
      <c r="D229" s="489"/>
      <c r="E229" s="490"/>
      <c r="F229" s="485"/>
      <c r="G229" s="485"/>
      <c r="H229" s="485"/>
      <c r="I229" s="485"/>
      <c r="J229" s="485"/>
      <c r="K229" s="486"/>
      <c r="L229" s="487"/>
      <c r="M229" s="485"/>
      <c r="N229" s="485"/>
      <c r="O229" s="485"/>
      <c r="P229" s="488"/>
      <c r="Q229" s="488"/>
      <c r="R229" s="488"/>
      <c r="S229" s="488"/>
      <c r="T229" s="488"/>
      <c r="U229" s="488"/>
      <c r="V229" s="488"/>
      <c r="W229" s="488"/>
      <c r="X229" s="486"/>
      <c r="Y229" s="486"/>
      <c r="Z229" s="486"/>
      <c r="AA229" s="486"/>
      <c r="AB229" s="34">
        <f t="shared" si="45"/>
        <v>0</v>
      </c>
      <c r="AC229" s="12">
        <f t="shared" si="46"/>
        <v>0</v>
      </c>
      <c r="AD229" s="30">
        <f t="shared" si="47"/>
        <v>0</v>
      </c>
      <c r="AE229" s="25">
        <f t="shared" si="48"/>
        <v>0</v>
      </c>
      <c r="AF229" s="12"/>
      <c r="AG229" s="12"/>
      <c r="AH229" s="30"/>
      <c r="AI229" s="25">
        <f>'A. Revenue by function'!N128</f>
        <v>0</v>
      </c>
      <c r="AJ229" s="272" t="str">
        <f>'C. Other Revenues'!B205</f>
        <v>C.1</v>
      </c>
      <c r="AK229" s="73">
        <f>'C. Other Revenues'!K222</f>
        <v>0</v>
      </c>
      <c r="AL229" s="12"/>
      <c r="AM229" s="272" t="str">
        <f>'C. Other Revenues'!B205</f>
        <v>C.1</v>
      </c>
      <c r="AN229" s="73">
        <f>'C. Other Revenues'!M222</f>
        <v>0</v>
      </c>
      <c r="AO229" s="279"/>
      <c r="AP229" s="73"/>
      <c r="AQ229" s="14"/>
      <c r="AR229" s="272"/>
      <c r="AS229" s="254"/>
      <c r="AT229" s="508"/>
      <c r="AU229" s="509"/>
      <c r="AV229" s="323">
        <f t="shared" si="49"/>
        <v>0</v>
      </c>
      <c r="AW229" s="323">
        <f t="shared" si="50"/>
        <v>0</v>
      </c>
      <c r="AX229" s="345" t="str">
        <f t="shared" si="43"/>
        <v xml:space="preserve"> </v>
      </c>
      <c r="AY229" s="254">
        <f t="shared" si="44"/>
        <v>0</v>
      </c>
      <c r="AZ229" s="345"/>
      <c r="BA229" s="254"/>
    </row>
    <row r="230" spans="1:53" ht="15" customHeight="1" x14ac:dyDescent="0.2">
      <c r="A230" s="45"/>
      <c r="B230" s="1152"/>
      <c r="C230" s="14" t="s">
        <v>295</v>
      </c>
      <c r="D230" s="489"/>
      <c r="E230" s="490"/>
      <c r="F230" s="485"/>
      <c r="G230" s="485"/>
      <c r="H230" s="485"/>
      <c r="I230" s="485"/>
      <c r="J230" s="485"/>
      <c r="K230" s="486"/>
      <c r="L230" s="487"/>
      <c r="M230" s="485"/>
      <c r="N230" s="485"/>
      <c r="O230" s="485"/>
      <c r="P230" s="488"/>
      <c r="Q230" s="488"/>
      <c r="R230" s="488"/>
      <c r="S230" s="488"/>
      <c r="T230" s="488"/>
      <c r="U230" s="488"/>
      <c r="V230" s="488"/>
      <c r="W230" s="488"/>
      <c r="X230" s="486"/>
      <c r="Y230" s="486"/>
      <c r="Z230" s="486"/>
      <c r="AA230" s="486"/>
      <c r="AB230" s="34">
        <f t="shared" si="45"/>
        <v>0</v>
      </c>
      <c r="AC230" s="12">
        <f t="shared" si="46"/>
        <v>0</v>
      </c>
      <c r="AD230" s="30">
        <f t="shared" si="47"/>
        <v>0</v>
      </c>
      <c r="AE230" s="25">
        <f t="shared" si="48"/>
        <v>0</v>
      </c>
      <c r="AF230" s="12"/>
      <c r="AG230" s="12"/>
      <c r="AH230" s="30"/>
      <c r="AI230" s="25">
        <f>'A. Revenue by function'!N129</f>
        <v>0</v>
      </c>
      <c r="AJ230" s="272" t="str">
        <f>'C. Other Revenues'!B205</f>
        <v>C.1</v>
      </c>
      <c r="AK230" s="73">
        <f>'C. Other Revenues'!K231</f>
        <v>0</v>
      </c>
      <c r="AL230" s="12"/>
      <c r="AM230" s="272" t="str">
        <f>'C. Other Revenues'!B205</f>
        <v>C.1</v>
      </c>
      <c r="AN230" s="73">
        <f>'C. Other Revenues'!M231</f>
        <v>0</v>
      </c>
      <c r="AO230" s="279"/>
      <c r="AP230" s="73"/>
      <c r="AQ230" s="14"/>
      <c r="AR230" s="272" t="str">
        <f>'L. Eliminations-Consolidations'!A239</f>
        <v>L.7</v>
      </c>
      <c r="AS230" s="254">
        <f>'L. Eliminations-Consolidations'!L256</f>
        <v>0</v>
      </c>
      <c r="AT230" s="508"/>
      <c r="AU230" s="509"/>
      <c r="AV230" s="323">
        <f t="shared" si="49"/>
        <v>0</v>
      </c>
      <c r="AW230" s="323">
        <f t="shared" si="50"/>
        <v>0</v>
      </c>
      <c r="AX230" s="345" t="str">
        <f t="shared" si="43"/>
        <v xml:space="preserve"> </v>
      </c>
      <c r="AY230" s="254">
        <f t="shared" si="44"/>
        <v>0</v>
      </c>
      <c r="AZ230" s="345"/>
      <c r="BA230" s="254"/>
    </row>
    <row r="231" spans="1:53" ht="15" customHeight="1" x14ac:dyDescent="0.2">
      <c r="A231" s="45"/>
      <c r="B231" s="1152"/>
      <c r="C231" s="14" t="s">
        <v>296</v>
      </c>
      <c r="D231" s="489"/>
      <c r="E231" s="490"/>
      <c r="F231" s="485"/>
      <c r="G231" s="485"/>
      <c r="H231" s="485"/>
      <c r="I231" s="485"/>
      <c r="J231" s="485"/>
      <c r="K231" s="486"/>
      <c r="L231" s="487"/>
      <c r="M231" s="485"/>
      <c r="N231" s="485"/>
      <c r="O231" s="485"/>
      <c r="P231" s="488"/>
      <c r="Q231" s="488"/>
      <c r="R231" s="488"/>
      <c r="S231" s="488"/>
      <c r="T231" s="488"/>
      <c r="U231" s="488"/>
      <c r="V231" s="488"/>
      <c r="W231" s="488"/>
      <c r="X231" s="486"/>
      <c r="Y231" s="486"/>
      <c r="Z231" s="486"/>
      <c r="AA231" s="486"/>
      <c r="AB231" s="34">
        <f t="shared" si="45"/>
        <v>0</v>
      </c>
      <c r="AC231" s="12">
        <f t="shared" si="46"/>
        <v>0</v>
      </c>
      <c r="AD231" s="30">
        <f t="shared" si="47"/>
        <v>0</v>
      </c>
      <c r="AE231" s="25">
        <f t="shared" si="48"/>
        <v>0</v>
      </c>
      <c r="AF231" s="12"/>
      <c r="AG231" s="12"/>
      <c r="AH231" s="30"/>
      <c r="AI231" s="25">
        <f>'A. Revenue by function'!N130</f>
        <v>0</v>
      </c>
      <c r="AJ231" s="272" t="str">
        <f>'C. Other Revenues'!B205</f>
        <v>C.1</v>
      </c>
      <c r="AK231" s="73">
        <f>'C. Other Revenues'!K240</f>
        <v>0</v>
      </c>
      <c r="AL231" s="12"/>
      <c r="AM231" s="272" t="str">
        <f>'C. Other Revenues'!B205</f>
        <v>C.1</v>
      </c>
      <c r="AN231" s="73">
        <f>'C. Other Revenues'!M240</f>
        <v>0</v>
      </c>
      <c r="AO231" s="279"/>
      <c r="AP231" s="73"/>
      <c r="AQ231" s="14"/>
      <c r="AR231" s="272" t="str">
        <f>'L. Eliminations-Consolidations'!A239</f>
        <v>L.7</v>
      </c>
      <c r="AS231" s="254">
        <f>'L. Eliminations-Consolidations'!L264</f>
        <v>0</v>
      </c>
      <c r="AT231" s="508"/>
      <c r="AU231" s="509"/>
      <c r="AV231" s="323">
        <f t="shared" si="49"/>
        <v>0</v>
      </c>
      <c r="AW231" s="323">
        <f t="shared" si="50"/>
        <v>0</v>
      </c>
      <c r="AX231" s="345" t="str">
        <f t="shared" si="43"/>
        <v xml:space="preserve"> </v>
      </c>
      <c r="AY231" s="254">
        <f t="shared" si="44"/>
        <v>0</v>
      </c>
      <c r="AZ231" s="345"/>
      <c r="BA231" s="254"/>
    </row>
    <row r="232" spans="1:53" ht="15" customHeight="1" x14ac:dyDescent="0.2">
      <c r="A232" s="45"/>
      <c r="B232" s="371"/>
      <c r="C232" s="14"/>
      <c r="D232" s="489"/>
      <c r="E232" s="490"/>
      <c r="F232" s="485"/>
      <c r="G232" s="485"/>
      <c r="H232" s="485"/>
      <c r="I232" s="485"/>
      <c r="J232" s="485"/>
      <c r="K232" s="486"/>
      <c r="L232" s="487"/>
      <c r="M232" s="485"/>
      <c r="N232" s="485"/>
      <c r="O232" s="485"/>
      <c r="P232" s="488"/>
      <c r="Q232" s="488"/>
      <c r="R232" s="488"/>
      <c r="S232" s="488"/>
      <c r="T232" s="488"/>
      <c r="U232" s="488"/>
      <c r="V232" s="488"/>
      <c r="W232" s="488"/>
      <c r="X232" s="486"/>
      <c r="Y232" s="486"/>
      <c r="Z232" s="486"/>
      <c r="AA232" s="486"/>
      <c r="AB232" s="34">
        <f t="shared" si="45"/>
        <v>0</v>
      </c>
      <c r="AC232" s="12">
        <f t="shared" si="46"/>
        <v>0</v>
      </c>
      <c r="AD232" s="30">
        <f t="shared" si="47"/>
        <v>0</v>
      </c>
      <c r="AE232" s="25">
        <f t="shared" si="48"/>
        <v>0</v>
      </c>
      <c r="AF232" s="12"/>
      <c r="AG232" s="12"/>
      <c r="AH232" s="30"/>
      <c r="AI232" s="25"/>
      <c r="AJ232" s="272"/>
      <c r="AK232" s="73"/>
      <c r="AL232" s="12"/>
      <c r="AO232" s="279"/>
      <c r="AP232" s="73"/>
      <c r="AQ232" s="14"/>
      <c r="AR232" s="272"/>
      <c r="AS232" s="254"/>
      <c r="AT232" s="508"/>
      <c r="AU232" s="509"/>
      <c r="AV232" s="323">
        <f t="shared" si="49"/>
        <v>0</v>
      </c>
      <c r="AW232" s="323">
        <f t="shared" si="50"/>
        <v>0</v>
      </c>
      <c r="AX232" s="345" t="str">
        <f t="shared" si="43"/>
        <v xml:space="preserve"> </v>
      </c>
      <c r="AY232" s="254">
        <f t="shared" si="44"/>
        <v>0</v>
      </c>
      <c r="AZ232" s="345"/>
      <c r="BA232" s="254"/>
    </row>
    <row r="233" spans="1:53" ht="18" customHeight="1" x14ac:dyDescent="0.2">
      <c r="A233" s="1155" t="s">
        <v>922</v>
      </c>
      <c r="B233" s="1150"/>
      <c r="C233" s="1151"/>
      <c r="D233" s="490"/>
      <c r="E233" s="490"/>
      <c r="F233"/>
      <c r="G233" s="485"/>
      <c r="H233" s="485"/>
      <c r="I233" s="485"/>
      <c r="J233" s="485"/>
      <c r="K233" s="486"/>
      <c r="L233" s="487"/>
      <c r="M233" s="485"/>
      <c r="N233" s="485"/>
      <c r="O233" s="485"/>
      <c r="P233" s="488"/>
      <c r="Q233" s="488"/>
      <c r="R233" s="488"/>
      <c r="S233" s="488"/>
      <c r="T233" s="488"/>
      <c r="U233" s="488"/>
      <c r="V233" s="488"/>
      <c r="W233" s="488"/>
      <c r="X233" s="486"/>
      <c r="Y233" s="486"/>
      <c r="Z233" s="486"/>
      <c r="AA233" s="486"/>
      <c r="AB233" s="34">
        <f t="shared" si="45"/>
        <v>0</v>
      </c>
      <c r="AC233" s="12">
        <f t="shared" si="46"/>
        <v>0</v>
      </c>
      <c r="AD233" s="30">
        <f t="shared" si="47"/>
        <v>0</v>
      </c>
      <c r="AE233" s="25">
        <f t="shared" si="48"/>
        <v>0</v>
      </c>
      <c r="AF233" s="12"/>
      <c r="AG233" s="12"/>
      <c r="AH233" s="30"/>
      <c r="AI233" s="25"/>
      <c r="AJ233" s="272"/>
      <c r="AK233" s="73"/>
      <c r="AL233" s="12"/>
      <c r="AM233" s="272"/>
      <c r="AN233" s="73"/>
      <c r="AO233" s="279"/>
      <c r="AP233" s="73"/>
      <c r="AQ233" s="14"/>
      <c r="AR233" s="272"/>
      <c r="AS233" s="254"/>
      <c r="AT233" s="508"/>
      <c r="AU233" s="509"/>
      <c r="AV233" s="323">
        <f t="shared" si="49"/>
        <v>0</v>
      </c>
      <c r="AW233" s="323">
        <f t="shared" si="50"/>
        <v>0</v>
      </c>
      <c r="AX233" s="345" t="str">
        <f t="shared" si="43"/>
        <v xml:space="preserve"> </v>
      </c>
      <c r="AY233" s="254">
        <f t="shared" si="44"/>
        <v>0</v>
      </c>
      <c r="AZ233" s="345"/>
      <c r="BA233" s="254"/>
    </row>
    <row r="234" spans="1:53" ht="9" customHeight="1" x14ac:dyDescent="0.2">
      <c r="A234" s="381"/>
      <c r="B234" s="69"/>
      <c r="C234" s="562"/>
      <c r="D234" s="490"/>
      <c r="E234" s="490"/>
      <c r="F234"/>
      <c r="G234" s="485"/>
      <c r="H234" s="485"/>
      <c r="I234" s="485"/>
      <c r="J234" s="485"/>
      <c r="K234" s="486"/>
      <c r="L234" s="487"/>
      <c r="M234" s="485"/>
      <c r="N234" s="485"/>
      <c r="O234" s="485"/>
      <c r="P234" s="488"/>
      <c r="Q234" s="488"/>
      <c r="R234" s="488"/>
      <c r="S234" s="488"/>
      <c r="T234" s="488"/>
      <c r="U234" s="488"/>
      <c r="V234" s="488"/>
      <c r="W234" s="488"/>
      <c r="X234" s="486"/>
      <c r="Y234" s="486"/>
      <c r="Z234" s="486"/>
      <c r="AA234" s="486"/>
      <c r="AB234" s="34">
        <f t="shared" si="45"/>
        <v>0</v>
      </c>
      <c r="AC234" s="12">
        <f t="shared" si="46"/>
        <v>0</v>
      </c>
      <c r="AD234" s="30">
        <f t="shared" si="47"/>
        <v>0</v>
      </c>
      <c r="AE234" s="25">
        <f t="shared" si="48"/>
        <v>0</v>
      </c>
      <c r="AF234" s="12"/>
      <c r="AG234" s="12"/>
      <c r="AH234" s="30"/>
      <c r="AI234" s="25"/>
      <c r="AJ234" s="272"/>
      <c r="AK234" s="73"/>
      <c r="AL234" s="12"/>
      <c r="AM234" s="272"/>
      <c r="AN234" s="73"/>
      <c r="AO234" s="279"/>
      <c r="AP234" s="73"/>
      <c r="AQ234" s="14"/>
      <c r="AR234" s="272"/>
      <c r="AS234" s="254"/>
      <c r="AT234" s="508"/>
      <c r="AU234" s="509"/>
      <c r="AV234" s="323">
        <f t="shared" si="49"/>
        <v>0</v>
      </c>
      <c r="AW234" s="323">
        <f t="shared" si="50"/>
        <v>0</v>
      </c>
      <c r="AX234" s="345" t="str">
        <f t="shared" si="43"/>
        <v xml:space="preserve"> </v>
      </c>
      <c r="AY234" s="254">
        <f t="shared" si="44"/>
        <v>0</v>
      </c>
      <c r="AZ234" s="345"/>
      <c r="BA234" s="254"/>
    </row>
    <row r="235" spans="1:53" x14ac:dyDescent="0.2">
      <c r="A235" s="57"/>
      <c r="B235" s="382" t="s">
        <v>498</v>
      </c>
      <c r="C235" s="309"/>
      <c r="D235" s="497"/>
      <c r="E235" s="498"/>
      <c r="F235" s="499"/>
      <c r="G235" s="499"/>
      <c r="H235" s="499"/>
      <c r="I235" s="499"/>
      <c r="J235" s="499"/>
      <c r="K235" s="500"/>
      <c r="L235" s="501"/>
      <c r="M235" s="499"/>
      <c r="N235" s="499"/>
      <c r="O235" s="499"/>
      <c r="P235" s="502"/>
      <c r="Q235" s="502"/>
      <c r="R235" s="502"/>
      <c r="S235" s="502"/>
      <c r="T235" s="502"/>
      <c r="U235" s="502"/>
      <c r="V235" s="502"/>
      <c r="W235" s="502"/>
      <c r="X235" s="500"/>
      <c r="Y235" s="500"/>
      <c r="Z235" s="500"/>
      <c r="AA235" s="500"/>
      <c r="AB235" s="313">
        <f t="shared" si="45"/>
        <v>0</v>
      </c>
      <c r="AC235" s="311">
        <f t="shared" si="46"/>
        <v>0</v>
      </c>
      <c r="AD235" s="312">
        <f t="shared" si="47"/>
        <v>0</v>
      </c>
      <c r="AE235" s="314">
        <f t="shared" si="48"/>
        <v>0</v>
      </c>
      <c r="AF235" s="311"/>
      <c r="AG235" s="311"/>
      <c r="AH235" s="312"/>
      <c r="AI235" s="314"/>
      <c r="AJ235" s="315" t="str">
        <f>'D. Depreciation'!A53</f>
        <v>D.1</v>
      </c>
      <c r="AK235" s="316">
        <f>'D. Depreciation'!J53</f>
        <v>0</v>
      </c>
      <c r="AL235" s="311"/>
      <c r="AM235" s="315" t="str">
        <f>'E. Capital Outlay'!D51</f>
        <v>E.1</v>
      </c>
      <c r="AN235" s="316">
        <f>'E. Capital Outlay'!N60</f>
        <v>0</v>
      </c>
      <c r="AO235" s="459" t="s">
        <v>682</v>
      </c>
      <c r="AP235" s="316">
        <f>'K.1  Int. Service Fd Allocation'!E202+'K.2  Int. Service Fd Alloca'!E195+'K.3 Int. Service Fd Alloca'!E195</f>
        <v>0</v>
      </c>
      <c r="AQ235" s="309"/>
      <c r="AR235" s="463" t="s">
        <v>682</v>
      </c>
      <c r="AS235" s="318">
        <f>'K.1  Int. Service Fd Allocation'!G207+'K.2  Int. Service Fd Alloca'!G200+'K.3 Int. Service Fd Alloca'!G200</f>
        <v>0</v>
      </c>
      <c r="AT235" s="508"/>
      <c r="AU235" s="509"/>
      <c r="AV235" s="316">
        <f t="shared" si="49"/>
        <v>0</v>
      </c>
      <c r="AW235" s="316">
        <f t="shared" si="50"/>
        <v>0</v>
      </c>
      <c r="AX235" s="346" t="str">
        <f>IF(SUM(AV235:AV241)-SUM(AW235:AW241)&lt;=0," ",SUM(AV235:AV241)-SUM(AW235:AW241))</f>
        <v xml:space="preserve"> </v>
      </c>
      <c r="AY235" s="318" t="str">
        <f>IF(SUM(AV235:AV241)-SUM(AW235:AW241)&gt;=0," ",SUM(AW235:AW241)-SUM(AV235:AV241))</f>
        <v xml:space="preserve"> </v>
      </c>
      <c r="AZ235" s="345"/>
      <c r="BA235" s="254"/>
    </row>
    <row r="236" spans="1:53" x14ac:dyDescent="0.2">
      <c r="A236" s="57"/>
      <c r="B236" s="382"/>
      <c r="C236" s="309"/>
      <c r="D236" s="497"/>
      <c r="E236" s="498"/>
      <c r="F236" s="499"/>
      <c r="G236" s="499"/>
      <c r="H236" s="499"/>
      <c r="I236" s="499"/>
      <c r="J236" s="499"/>
      <c r="K236" s="500"/>
      <c r="L236" s="501"/>
      <c r="M236" s="499"/>
      <c r="N236" s="499"/>
      <c r="O236" s="499"/>
      <c r="P236" s="502"/>
      <c r="Q236" s="502"/>
      <c r="R236" s="502"/>
      <c r="S236" s="502"/>
      <c r="T236" s="502"/>
      <c r="U236" s="502"/>
      <c r="V236" s="502"/>
      <c r="W236" s="502"/>
      <c r="X236" s="500"/>
      <c r="Y236" s="500"/>
      <c r="Z236" s="500"/>
      <c r="AA236" s="500"/>
      <c r="AB236" s="313">
        <f t="shared" si="45"/>
        <v>0</v>
      </c>
      <c r="AC236" s="311">
        <f t="shared" si="46"/>
        <v>0</v>
      </c>
      <c r="AD236" s="312">
        <f t="shared" si="47"/>
        <v>0</v>
      </c>
      <c r="AE236" s="314">
        <f t="shared" si="48"/>
        <v>0</v>
      </c>
      <c r="AF236" s="311"/>
      <c r="AG236" s="311"/>
      <c r="AH236" s="312"/>
      <c r="AI236" s="314"/>
      <c r="AJ236" s="315" t="str">
        <f>'F.  Other Cap Asset Entries'!D214</f>
        <v>F.1</v>
      </c>
      <c r="AK236" s="316">
        <f>'F.  Other Cap Asset Entries'!M223</f>
        <v>0</v>
      </c>
      <c r="AL236" s="311"/>
      <c r="AM236" s="322" t="str">
        <f>'I.  Other Asset Entries'!B105</f>
        <v>I.1</v>
      </c>
      <c r="AN236" s="316">
        <f>'I.  Other Asset Entries'!N110</f>
        <v>0</v>
      </c>
      <c r="AO236" s="317" t="str">
        <f>'L. Eliminations-Consolidations'!A239</f>
        <v>L.7</v>
      </c>
      <c r="AP236" s="316">
        <f>'L. Eliminations-Consolidations'!J239</f>
        <v>0</v>
      </c>
      <c r="AQ236" s="309"/>
      <c r="AR236" s="315" t="str">
        <f>'L. Eliminations-Consolidations'!A217</f>
        <v>L.5</v>
      </c>
      <c r="AS236" s="318">
        <f>'L. Eliminations-Consolidations'!L219</f>
        <v>0</v>
      </c>
      <c r="AT236" s="508"/>
      <c r="AU236" s="509"/>
      <c r="AV236" s="316">
        <f t="shared" si="49"/>
        <v>0</v>
      </c>
      <c r="AW236" s="316">
        <f t="shared" si="50"/>
        <v>0</v>
      </c>
      <c r="AX236" s="346"/>
      <c r="AY236" s="318"/>
      <c r="AZ236" s="345"/>
      <c r="BA236" s="254"/>
    </row>
    <row r="237" spans="1:53" x14ac:dyDescent="0.2">
      <c r="A237" s="57"/>
      <c r="B237" s="382"/>
      <c r="C237" s="309"/>
      <c r="D237" s="497"/>
      <c r="E237" s="498"/>
      <c r="F237" s="499"/>
      <c r="G237" s="499"/>
      <c r="H237" s="499"/>
      <c r="I237" s="499"/>
      <c r="J237" s="499"/>
      <c r="K237" s="500"/>
      <c r="L237" s="501"/>
      <c r="M237" s="499"/>
      <c r="N237" s="499"/>
      <c r="O237" s="499"/>
      <c r="P237" s="502"/>
      <c r="Q237" s="502"/>
      <c r="R237" s="502"/>
      <c r="S237" s="502"/>
      <c r="T237" s="502"/>
      <c r="U237" s="502"/>
      <c r="V237" s="502"/>
      <c r="W237" s="502"/>
      <c r="X237" s="500"/>
      <c r="Y237" s="500"/>
      <c r="Z237" s="500"/>
      <c r="AA237" s="500"/>
      <c r="AB237" s="313">
        <f t="shared" si="45"/>
        <v>0</v>
      </c>
      <c r="AC237" s="311">
        <f t="shared" si="46"/>
        <v>0</v>
      </c>
      <c r="AD237" s="312">
        <f t="shared" si="47"/>
        <v>0</v>
      </c>
      <c r="AE237" s="314">
        <f t="shared" si="48"/>
        <v>0</v>
      </c>
      <c r="AF237" s="311"/>
      <c r="AG237" s="311"/>
      <c r="AH237" s="312"/>
      <c r="AI237" s="314"/>
      <c r="AJ237" s="315" t="str">
        <f>'H. Debt Issues'!D77</f>
        <v>H.1</v>
      </c>
      <c r="AK237" s="316">
        <f>'H. Debt Issues'!L84</f>
        <v>0</v>
      </c>
      <c r="AL237" s="311"/>
      <c r="AM237" s="315" t="str">
        <f>'J. Other Liability &amp; Expenses'!D185</f>
        <v>J.1</v>
      </c>
      <c r="AN237" s="316">
        <f>'J. Other Liability &amp; Expenses'!N185</f>
        <v>0</v>
      </c>
      <c r="AO237" s="317" t="str">
        <f>'L. Eliminations-Consolidations'!B266</f>
        <v>L.8</v>
      </c>
      <c r="AP237" s="316">
        <f>'L. Eliminations-Consolidations'!J267</f>
        <v>0</v>
      </c>
      <c r="AQ237" s="309"/>
      <c r="AR237" s="315" t="str">
        <f>'L. Eliminations-Consolidations'!B266</f>
        <v>L.8</v>
      </c>
      <c r="AS237" s="318">
        <f>'L. Eliminations-Consolidations'!L267</f>
        <v>0</v>
      </c>
      <c r="AT237" s="508"/>
      <c r="AU237" s="509"/>
      <c r="AV237" s="316">
        <f t="shared" ref="AV237:AV287" si="51">AD237+AF237+AH237+AK237+AP237+AT237</f>
        <v>0</v>
      </c>
      <c r="AW237" s="316">
        <f t="shared" ref="AW237:AW287" si="52">AE237+AG237+AI237+AN237+AS237+AU237</f>
        <v>0</v>
      </c>
      <c r="AX237" s="346"/>
      <c r="AY237" s="318"/>
      <c r="AZ237" s="345"/>
      <c r="BA237" s="254"/>
    </row>
    <row r="238" spans="1:53" x14ac:dyDescent="0.2">
      <c r="A238" s="57"/>
      <c r="B238" s="382"/>
      <c r="C238" s="309"/>
      <c r="D238" s="497"/>
      <c r="E238" s="498"/>
      <c r="F238" s="499"/>
      <c r="G238" s="499"/>
      <c r="H238" s="499"/>
      <c r="I238" s="499"/>
      <c r="J238" s="499"/>
      <c r="K238" s="500"/>
      <c r="L238" s="501"/>
      <c r="M238" s="499"/>
      <c r="N238" s="499"/>
      <c r="O238" s="499"/>
      <c r="P238" s="502"/>
      <c r="Q238" s="502"/>
      <c r="R238" s="502"/>
      <c r="S238" s="502"/>
      <c r="T238" s="502"/>
      <c r="U238" s="502"/>
      <c r="V238" s="502"/>
      <c r="W238" s="502"/>
      <c r="X238" s="500"/>
      <c r="Y238" s="500"/>
      <c r="Z238" s="500"/>
      <c r="AA238" s="500"/>
      <c r="AB238" s="313">
        <f t="shared" si="45"/>
        <v>0</v>
      </c>
      <c r="AC238" s="311">
        <f t="shared" si="46"/>
        <v>0</v>
      </c>
      <c r="AD238" s="312">
        <f t="shared" si="47"/>
        <v>0</v>
      </c>
      <c r="AE238" s="314">
        <f t="shared" si="48"/>
        <v>0</v>
      </c>
      <c r="AF238" s="311"/>
      <c r="AG238" s="311"/>
      <c r="AH238" s="312"/>
      <c r="AI238" s="314"/>
      <c r="AJ238" s="315" t="str">
        <f>'J. Other Liability &amp; Expenses'!D185</f>
        <v>J.1</v>
      </c>
      <c r="AK238" s="316">
        <f>'J. Other Liability &amp; Expenses'!L185</f>
        <v>0</v>
      </c>
      <c r="AL238" s="311"/>
      <c r="AM238" s="315" t="s">
        <v>2074</v>
      </c>
      <c r="AN238" s="316">
        <f>'N.1 GASB 68 LGERS'!D97</f>
        <v>0</v>
      </c>
      <c r="AO238" s="317" t="str">
        <f>'L. Eliminations-Consolidations'!B277</f>
        <v>L.10</v>
      </c>
      <c r="AP238" s="316">
        <f>'L. Eliminations-Consolidations'!J277</f>
        <v>0</v>
      </c>
      <c r="AQ238" s="309"/>
      <c r="AR238" s="315"/>
      <c r="AS238" s="318"/>
      <c r="AT238" s="508"/>
      <c r="AU238" s="509"/>
      <c r="AV238" s="316">
        <f t="shared" si="51"/>
        <v>0</v>
      </c>
      <c r="AW238" s="316">
        <f t="shared" si="52"/>
        <v>0</v>
      </c>
      <c r="AX238" s="346"/>
      <c r="AY238" s="318"/>
      <c r="AZ238" s="345"/>
      <c r="BA238" s="254"/>
    </row>
    <row r="239" spans="1:53" x14ac:dyDescent="0.2">
      <c r="A239" s="57"/>
      <c r="B239" s="382"/>
      <c r="C239" s="309"/>
      <c r="D239" s="497"/>
      <c r="E239" s="498"/>
      <c r="F239" s="499"/>
      <c r="G239" s="499"/>
      <c r="H239" s="499"/>
      <c r="I239" s="499"/>
      <c r="J239" s="499"/>
      <c r="K239" s="500"/>
      <c r="L239" s="501"/>
      <c r="M239" s="499"/>
      <c r="N239" s="499"/>
      <c r="O239" s="499"/>
      <c r="P239" s="502"/>
      <c r="Q239" s="502"/>
      <c r="R239" s="502"/>
      <c r="S239" s="502"/>
      <c r="T239" s="502"/>
      <c r="U239" s="502"/>
      <c r="V239" s="502"/>
      <c r="W239" s="502"/>
      <c r="X239" s="500"/>
      <c r="Y239" s="500"/>
      <c r="Z239" s="500"/>
      <c r="AA239" s="500"/>
      <c r="AB239" s="313"/>
      <c r="AC239" s="311"/>
      <c r="AD239" s="312"/>
      <c r="AE239" s="314"/>
      <c r="AF239" s="311"/>
      <c r="AG239" s="311"/>
      <c r="AH239" s="312"/>
      <c r="AI239" s="314"/>
      <c r="AJ239" s="315" t="s">
        <v>968</v>
      </c>
      <c r="AK239" s="316">
        <f>'F.  Other Cap Asset Entries'!M268</f>
        <v>0</v>
      </c>
      <c r="AL239" s="311"/>
      <c r="AM239" s="315" t="s">
        <v>3969</v>
      </c>
      <c r="AN239" s="316">
        <f>'P. GASB 75 OPEB 1 Entries'!D76+'P. GASB 75 OPEB 2 Entries'!D76+'P. GASB 75 3 OPEB Entries'!D76</f>
        <v>0</v>
      </c>
      <c r="AO239" s="317"/>
      <c r="AP239" s="316"/>
      <c r="AQ239" s="309"/>
      <c r="AR239" s="315"/>
      <c r="AS239" s="318"/>
      <c r="AT239" s="508"/>
      <c r="AU239" s="509"/>
      <c r="AV239" s="316">
        <f t="shared" si="51"/>
        <v>0</v>
      </c>
      <c r="AW239" s="316">
        <f t="shared" si="52"/>
        <v>0</v>
      </c>
      <c r="AX239" s="346"/>
      <c r="AY239" s="318"/>
      <c r="AZ239" s="345"/>
      <c r="BA239" s="254"/>
    </row>
    <row r="240" spans="1:53" s="672" customFormat="1" x14ac:dyDescent="0.2">
      <c r="A240" s="57"/>
      <c r="B240" s="382"/>
      <c r="C240" s="309"/>
      <c r="D240" s="497"/>
      <c r="E240" s="498"/>
      <c r="F240" s="499"/>
      <c r="G240" s="499"/>
      <c r="H240" s="499"/>
      <c r="I240" s="499"/>
      <c r="J240" s="499"/>
      <c r="K240" s="500"/>
      <c r="L240" s="501"/>
      <c r="M240" s="499"/>
      <c r="N240" s="499"/>
      <c r="O240" s="499"/>
      <c r="P240" s="502"/>
      <c r="Q240" s="502"/>
      <c r="R240" s="502"/>
      <c r="S240" s="502"/>
      <c r="T240" s="502"/>
      <c r="U240" s="502"/>
      <c r="V240" s="502"/>
      <c r="W240" s="502"/>
      <c r="X240" s="500"/>
      <c r="Y240" s="500"/>
      <c r="Z240" s="500"/>
      <c r="AA240" s="500"/>
      <c r="AB240" s="313"/>
      <c r="AC240" s="311"/>
      <c r="AD240" s="312"/>
      <c r="AE240" s="314"/>
      <c r="AF240" s="311"/>
      <c r="AG240" s="311"/>
      <c r="AH240" s="312"/>
      <c r="AI240" s="314"/>
      <c r="AJ240" s="315" t="s">
        <v>2074</v>
      </c>
      <c r="AK240" s="316">
        <f>'N.1 GASB 68 LGERS'!C97</f>
        <v>0</v>
      </c>
      <c r="AL240" s="311"/>
      <c r="AM240" s="315" t="s">
        <v>3969</v>
      </c>
      <c r="AN240" s="316">
        <f>'P. GASB 75 OPEB 1 Entries'!D84+'P. GASB 75 OPEB 2 Entries'!D84+'P. GASB 75 3 OPEB Entries'!D84</f>
        <v>0</v>
      </c>
      <c r="AO240" s="317"/>
      <c r="AP240" s="316"/>
      <c r="AQ240" s="309"/>
      <c r="AR240" s="315"/>
      <c r="AS240" s="318"/>
      <c r="AT240" s="677"/>
      <c r="AU240" s="509"/>
      <c r="AV240" s="316">
        <f t="shared" si="51"/>
        <v>0</v>
      </c>
      <c r="AW240" s="316">
        <f t="shared" si="52"/>
        <v>0</v>
      </c>
      <c r="AX240" s="346"/>
      <c r="AY240" s="318"/>
      <c r="AZ240" s="345"/>
      <c r="BA240" s="254"/>
    </row>
    <row r="241" spans="1:53" s="672" customFormat="1" x14ac:dyDescent="0.2">
      <c r="A241" s="57"/>
      <c r="B241" s="382"/>
      <c r="C241" s="309"/>
      <c r="D241" s="497"/>
      <c r="E241" s="498"/>
      <c r="F241" s="499"/>
      <c r="G241" s="499"/>
      <c r="H241" s="499"/>
      <c r="I241" s="499"/>
      <c r="J241" s="499"/>
      <c r="K241" s="500"/>
      <c r="L241" s="501"/>
      <c r="M241" s="499"/>
      <c r="N241" s="499"/>
      <c r="O241" s="499"/>
      <c r="P241" s="502"/>
      <c r="Q241" s="502"/>
      <c r="R241" s="502"/>
      <c r="S241" s="502"/>
      <c r="T241" s="502"/>
      <c r="U241" s="502"/>
      <c r="V241" s="502"/>
      <c r="W241" s="502"/>
      <c r="X241" s="500"/>
      <c r="Y241" s="500"/>
      <c r="Z241" s="500"/>
      <c r="AA241" s="500"/>
      <c r="AB241" s="313"/>
      <c r="AC241" s="311"/>
      <c r="AD241" s="312"/>
      <c r="AE241" s="314"/>
      <c r="AF241" s="311"/>
      <c r="AG241" s="311"/>
      <c r="AH241" s="312"/>
      <c r="AI241" s="314"/>
      <c r="AJ241" s="315" t="s">
        <v>3969</v>
      </c>
      <c r="AK241" s="316">
        <f>'P. GASB 75 OPEB 1 Entries'!C58-'P. GASB 75 OPEB 1 Entries'!D92+'P. GASB 75 OPEB 2 Entries'!C58-'P. GASB 75 OPEB 2 Entries'!D92+'P. GASB 75 3 OPEB Entries'!C58-'P. GASB 75 3 OPEB Entries'!D92</f>
        <v>0</v>
      </c>
      <c r="AL241" s="311"/>
      <c r="AM241" s="315"/>
      <c r="AN241" s="316"/>
      <c r="AO241" s="317"/>
      <c r="AP241" s="316"/>
      <c r="AQ241" s="309"/>
      <c r="AR241" s="315"/>
      <c r="AS241" s="318"/>
      <c r="AT241" s="677"/>
      <c r="AU241" s="509"/>
      <c r="AV241" s="316">
        <f>AD241+AF241+AH241+AK241+AP241+AT241</f>
        <v>0</v>
      </c>
      <c r="AW241" s="316">
        <f>AE241+AG241+AI241+AN241+AS241+AU241</f>
        <v>0</v>
      </c>
      <c r="AX241" s="346"/>
      <c r="AY241" s="318"/>
      <c r="AZ241" s="345"/>
      <c r="BA241" s="254"/>
    </row>
    <row r="242" spans="1:53" x14ac:dyDescent="0.2">
      <c r="A242" s="45"/>
      <c r="B242" s="14"/>
      <c r="C242" s="194"/>
      <c r="D242" s="489"/>
      <c r="E242" s="490"/>
      <c r="F242" s="485"/>
      <c r="G242" s="485"/>
      <c r="H242" s="485"/>
      <c r="I242" s="485"/>
      <c r="J242" s="485"/>
      <c r="K242" s="486"/>
      <c r="L242" s="487"/>
      <c r="M242" s="485"/>
      <c r="N242" s="485"/>
      <c r="O242" s="485"/>
      <c r="P242" s="488"/>
      <c r="Q242" s="488"/>
      <c r="R242" s="488"/>
      <c r="S242" s="488"/>
      <c r="T242" s="488"/>
      <c r="U242" s="488"/>
      <c r="V242" s="488"/>
      <c r="W242" s="488"/>
      <c r="X242" s="486"/>
      <c r="Y242" s="486"/>
      <c r="Z242" s="486"/>
      <c r="AA242" s="486"/>
      <c r="AB242" s="34">
        <f t="shared" si="45"/>
        <v>0</v>
      </c>
      <c r="AC242" s="12">
        <f t="shared" si="46"/>
        <v>0</v>
      </c>
      <c r="AD242" s="30">
        <f t="shared" si="47"/>
        <v>0</v>
      </c>
      <c r="AE242" s="25">
        <f t="shared" si="48"/>
        <v>0</v>
      </c>
      <c r="AF242" s="12"/>
      <c r="AG242" s="12"/>
      <c r="AH242" s="30"/>
      <c r="AI242" s="25"/>
      <c r="AL242" s="12"/>
      <c r="AM242" s="272"/>
      <c r="AN242" s="73"/>
      <c r="AO242" s="279"/>
      <c r="AP242" s="73"/>
      <c r="AQ242" s="14"/>
      <c r="AR242" s="272"/>
      <c r="AS242" s="254"/>
      <c r="AT242" s="508"/>
      <c r="AU242" s="509"/>
      <c r="AV242" s="72"/>
      <c r="AW242" s="72"/>
      <c r="AX242" s="351"/>
      <c r="AY242" s="254"/>
      <c r="AZ242" s="345"/>
      <c r="BA242" s="254"/>
    </row>
    <row r="243" spans="1:53" x14ac:dyDescent="0.2">
      <c r="A243" s="57"/>
      <c r="B243" s="382" t="s">
        <v>895</v>
      </c>
      <c r="C243" s="309"/>
      <c r="D243" s="497"/>
      <c r="E243" s="498"/>
      <c r="F243" s="499"/>
      <c r="G243" s="499"/>
      <c r="H243" s="499"/>
      <c r="I243" s="499"/>
      <c r="J243" s="499"/>
      <c r="K243" s="500"/>
      <c r="L243" s="501"/>
      <c r="M243" s="499"/>
      <c r="N243" s="499"/>
      <c r="O243" s="499"/>
      <c r="P243" s="502"/>
      <c r="Q243" s="502"/>
      <c r="R243" s="502"/>
      <c r="S243" s="502"/>
      <c r="T243" s="502"/>
      <c r="U243" s="502"/>
      <c r="V243" s="502"/>
      <c r="W243" s="502"/>
      <c r="X243" s="500"/>
      <c r="Y243" s="500"/>
      <c r="Z243" s="500"/>
      <c r="AA243" s="500"/>
      <c r="AB243" s="313">
        <f t="shared" si="45"/>
        <v>0</v>
      </c>
      <c r="AC243" s="311">
        <f t="shared" si="46"/>
        <v>0</v>
      </c>
      <c r="AD243" s="312">
        <f t="shared" si="47"/>
        <v>0</v>
      </c>
      <c r="AE243" s="314">
        <f t="shared" si="48"/>
        <v>0</v>
      </c>
      <c r="AF243" s="311"/>
      <c r="AG243" s="311"/>
      <c r="AH243" s="312"/>
      <c r="AI243" s="314"/>
      <c r="AJ243" s="315" t="str">
        <f>'D. Depreciation'!A53</f>
        <v>D.1</v>
      </c>
      <c r="AK243" s="316">
        <f>'D. Depreciation'!J54</f>
        <v>0</v>
      </c>
      <c r="AL243" s="311"/>
      <c r="AM243" s="315" t="str">
        <f>'E. Capital Outlay'!D51</f>
        <v>E.1</v>
      </c>
      <c r="AN243" s="316">
        <f>'E. Capital Outlay'!N61</f>
        <v>0</v>
      </c>
      <c r="AO243" s="317" t="str">
        <f>'L. Eliminations-Consolidations'!A239</f>
        <v>L.7</v>
      </c>
      <c r="AP243" s="316">
        <f>'L. Eliminations-Consolidations'!J240</f>
        <v>0</v>
      </c>
      <c r="AQ243" s="309"/>
      <c r="AR243" s="463" t="s">
        <v>682</v>
      </c>
      <c r="AS243" s="318">
        <f>'K.1  Int. Service Fd Allocation'!G208+'K.2  Int. Service Fd Alloca'!G201+'K.3 Int. Service Fd Alloca'!G201</f>
        <v>0</v>
      </c>
      <c r="AT243" s="508"/>
      <c r="AU243" s="509"/>
      <c r="AV243" s="316">
        <f t="shared" si="51"/>
        <v>0</v>
      </c>
      <c r="AW243" s="316">
        <f t="shared" si="52"/>
        <v>0</v>
      </c>
      <c r="AX243" s="346" t="str">
        <f>IF(SUM(AV243:AV250)-SUM(AW243:AW250)&lt;=0," ",SUM(AV243:AV250)-SUM(AW243:AW250))</f>
        <v xml:space="preserve"> </v>
      </c>
      <c r="AY243" s="318" t="str">
        <f>IF(SUM(AV243:AV250)-SUM(AW243:AW250)&gt;=0," ",SUM(AW243:AW250)-SUM(AV243:AV250))</f>
        <v xml:space="preserve"> </v>
      </c>
      <c r="AZ243" s="345"/>
      <c r="BA243" s="254"/>
    </row>
    <row r="244" spans="1:53" x14ac:dyDescent="0.2">
      <c r="A244" s="57"/>
      <c r="B244" s="382"/>
      <c r="C244" s="309"/>
      <c r="D244" s="497"/>
      <c r="E244" s="498"/>
      <c r="F244" s="499"/>
      <c r="G244" s="499"/>
      <c r="H244" s="499"/>
      <c r="I244" s="499"/>
      <c r="J244" s="499"/>
      <c r="K244" s="500"/>
      <c r="L244" s="501"/>
      <c r="M244" s="499"/>
      <c r="N244" s="499"/>
      <c r="O244" s="499"/>
      <c r="P244" s="502"/>
      <c r="Q244" s="502"/>
      <c r="R244" s="502"/>
      <c r="S244" s="502"/>
      <c r="T244" s="502"/>
      <c r="U244" s="502"/>
      <c r="V244" s="502"/>
      <c r="W244" s="502"/>
      <c r="X244" s="500"/>
      <c r="Y244" s="500"/>
      <c r="Z244" s="500"/>
      <c r="AA244" s="500"/>
      <c r="AB244" s="313">
        <f t="shared" si="45"/>
        <v>0</v>
      </c>
      <c r="AC244" s="311">
        <f t="shared" si="46"/>
        <v>0</v>
      </c>
      <c r="AD244" s="312">
        <f t="shared" si="47"/>
        <v>0</v>
      </c>
      <c r="AE244" s="314">
        <f t="shared" si="48"/>
        <v>0</v>
      </c>
      <c r="AF244" s="311"/>
      <c r="AG244" s="311"/>
      <c r="AH244" s="312"/>
      <c r="AI244" s="314"/>
      <c r="AJ244" s="315" t="str">
        <f>'J. Other Liability &amp; Expenses'!D185</f>
        <v>J.1</v>
      </c>
      <c r="AK244" s="316">
        <f>'J. Other Liability &amp; Expenses'!L186</f>
        <v>0</v>
      </c>
      <c r="AL244" s="311"/>
      <c r="AM244" s="315" t="str">
        <f>'I.  Other Asset Entries'!B105</f>
        <v>I.1</v>
      </c>
      <c r="AN244" s="316">
        <f>'I.  Other Asset Entries'!N111</f>
        <v>0</v>
      </c>
      <c r="AO244" s="317"/>
      <c r="AP244" s="316"/>
      <c r="AQ244" s="309"/>
      <c r="AR244" s="315"/>
      <c r="AS244" s="318"/>
      <c r="AT244" s="508"/>
      <c r="AU244" s="509"/>
      <c r="AV244" s="316">
        <f>AD244+AF244+AH244+AK244+AP244+AT244</f>
        <v>0</v>
      </c>
      <c r="AW244" s="316">
        <f t="shared" si="52"/>
        <v>0</v>
      </c>
      <c r="AX244" s="346"/>
      <c r="AY244" s="318"/>
      <c r="AZ244" s="345"/>
      <c r="BA244" s="254"/>
    </row>
    <row r="245" spans="1:53" x14ac:dyDescent="0.2">
      <c r="A245" s="57"/>
      <c r="B245" s="382"/>
      <c r="C245" s="309"/>
      <c r="D245" s="497"/>
      <c r="E245" s="498"/>
      <c r="F245" s="499"/>
      <c r="G245" s="499"/>
      <c r="H245" s="499"/>
      <c r="I245" s="499"/>
      <c r="J245" s="499"/>
      <c r="K245" s="500"/>
      <c r="L245" s="501"/>
      <c r="M245" s="499"/>
      <c r="N245" s="499"/>
      <c r="O245" s="499"/>
      <c r="P245" s="502"/>
      <c r="Q245" s="502"/>
      <c r="R245" s="502"/>
      <c r="S245" s="502"/>
      <c r="T245" s="502"/>
      <c r="U245" s="502"/>
      <c r="V245" s="502"/>
      <c r="W245" s="502"/>
      <c r="X245" s="500"/>
      <c r="Y245" s="500"/>
      <c r="Z245" s="500"/>
      <c r="AA245" s="500"/>
      <c r="AB245" s="313">
        <f t="shared" si="45"/>
        <v>0</v>
      </c>
      <c r="AC245" s="311">
        <f t="shared" si="46"/>
        <v>0</v>
      </c>
      <c r="AD245" s="312">
        <f t="shared" si="47"/>
        <v>0</v>
      </c>
      <c r="AE245" s="314">
        <f t="shared" si="48"/>
        <v>0</v>
      </c>
      <c r="AF245" s="311"/>
      <c r="AG245" s="311"/>
      <c r="AH245" s="312"/>
      <c r="AI245" s="314"/>
      <c r="AJ245" s="315" t="str">
        <f>'F.  Other Cap Asset Entries'!D248</f>
        <v>F.3</v>
      </c>
      <c r="AK245" s="316">
        <f>'F.  Other Cap Asset Entries'!M248</f>
        <v>0</v>
      </c>
      <c r="AL245" s="311"/>
      <c r="AM245" s="315" t="str">
        <f>'J. Other Liability &amp; Expenses'!D185</f>
        <v>J.1</v>
      </c>
      <c r="AN245" s="316">
        <f>'J. Other Liability &amp; Expenses'!N186</f>
        <v>0</v>
      </c>
      <c r="AO245" s="317" t="str">
        <f>'L. Eliminations-Consolidations'!B266</f>
        <v>L.8</v>
      </c>
      <c r="AP245" s="316">
        <f>'L. Eliminations-Consolidations'!J268</f>
        <v>0</v>
      </c>
      <c r="AQ245" s="309"/>
      <c r="AR245" s="315" t="str">
        <f>'L. Eliminations-Consolidations'!B266</f>
        <v>L.8</v>
      </c>
      <c r="AS245" s="318">
        <f>'L. Eliminations-Consolidations'!L268</f>
        <v>0</v>
      </c>
      <c r="AT245" s="508"/>
      <c r="AU245" s="509"/>
      <c r="AV245" s="316">
        <f t="shared" si="51"/>
        <v>0</v>
      </c>
      <c r="AW245" s="316">
        <f t="shared" si="52"/>
        <v>0</v>
      </c>
      <c r="AX245" s="346"/>
      <c r="AY245" s="318"/>
      <c r="AZ245" s="345"/>
      <c r="BA245" s="254"/>
    </row>
    <row r="246" spans="1:53" x14ac:dyDescent="0.2">
      <c r="A246" s="57"/>
      <c r="B246" s="382"/>
      <c r="C246" s="309"/>
      <c r="D246" s="497"/>
      <c r="E246" s="498"/>
      <c r="F246" s="499"/>
      <c r="G246" s="499"/>
      <c r="H246" s="499"/>
      <c r="I246" s="499"/>
      <c r="J246" s="499"/>
      <c r="K246" s="500"/>
      <c r="L246" s="501"/>
      <c r="M246" s="499"/>
      <c r="N246" s="499"/>
      <c r="O246" s="499"/>
      <c r="P246" s="502"/>
      <c r="Q246" s="502"/>
      <c r="R246" s="502"/>
      <c r="S246" s="502"/>
      <c r="T246" s="502"/>
      <c r="U246" s="502"/>
      <c r="V246" s="502"/>
      <c r="W246" s="502"/>
      <c r="X246" s="500"/>
      <c r="Y246" s="500"/>
      <c r="Z246" s="500"/>
      <c r="AA246" s="500"/>
      <c r="AB246" s="313"/>
      <c r="AC246" s="311"/>
      <c r="AD246" s="312"/>
      <c r="AE246" s="314"/>
      <c r="AF246" s="311"/>
      <c r="AG246" s="311"/>
      <c r="AH246" s="312"/>
      <c r="AI246" s="314"/>
      <c r="AJ246" s="315" t="s">
        <v>968</v>
      </c>
      <c r="AK246" s="316">
        <f>'F.  Other Cap Asset Entries'!M269</f>
        <v>0</v>
      </c>
      <c r="AL246" s="311"/>
      <c r="AM246" s="315" t="s">
        <v>2074</v>
      </c>
      <c r="AN246" s="316">
        <f>'N.1 GASB 68 LGERS'!D98</f>
        <v>0</v>
      </c>
      <c r="AO246" s="317"/>
      <c r="AP246" s="316"/>
      <c r="AQ246" s="309"/>
      <c r="AR246" s="315"/>
      <c r="AS246" s="318"/>
      <c r="AT246" s="508"/>
      <c r="AU246" s="509"/>
      <c r="AV246" s="316">
        <f t="shared" si="51"/>
        <v>0</v>
      </c>
      <c r="AW246" s="316">
        <f t="shared" si="52"/>
        <v>0</v>
      </c>
      <c r="AX246" s="346"/>
      <c r="AY246" s="318"/>
      <c r="AZ246" s="345"/>
      <c r="BA246" s="254"/>
    </row>
    <row r="247" spans="1:53" s="693" customFormat="1" x14ac:dyDescent="0.2">
      <c r="A247" s="57"/>
      <c r="B247" s="382"/>
      <c r="C247" s="309"/>
      <c r="D247" s="497"/>
      <c r="E247" s="498"/>
      <c r="F247" s="499"/>
      <c r="G247" s="499"/>
      <c r="H247" s="499"/>
      <c r="I247" s="499"/>
      <c r="J247" s="499"/>
      <c r="K247" s="500"/>
      <c r="L247" s="501"/>
      <c r="M247" s="499"/>
      <c r="N247" s="499"/>
      <c r="O247" s="499"/>
      <c r="P247" s="502"/>
      <c r="Q247" s="502"/>
      <c r="R247" s="502"/>
      <c r="S247" s="502"/>
      <c r="T247" s="502"/>
      <c r="U247" s="502"/>
      <c r="V247" s="502"/>
      <c r="W247" s="502"/>
      <c r="X247" s="500"/>
      <c r="Y247" s="500"/>
      <c r="Z247" s="500"/>
      <c r="AA247" s="500"/>
      <c r="AB247" s="313"/>
      <c r="AC247" s="311"/>
      <c r="AD247" s="312"/>
      <c r="AE247" s="314"/>
      <c r="AF247" s="311"/>
      <c r="AG247" s="311"/>
      <c r="AH247" s="312"/>
      <c r="AI247" s="314"/>
      <c r="AJ247" s="315" t="s">
        <v>2074</v>
      </c>
      <c r="AK247" s="316">
        <f>'N.1 GASB 68 LGERS'!C98</f>
        <v>0</v>
      </c>
      <c r="AL247" s="311"/>
      <c r="AM247" s="322" t="s">
        <v>3553</v>
      </c>
      <c r="AN247" s="316">
        <f>'O. GASB 73 LEO Entries'!D75</f>
        <v>0</v>
      </c>
      <c r="AO247" s="317"/>
      <c r="AP247" s="316"/>
      <c r="AQ247" s="309"/>
      <c r="AR247" s="315"/>
      <c r="AS247" s="318"/>
      <c r="AT247" s="697"/>
      <c r="AU247" s="509"/>
      <c r="AV247" s="316">
        <f>AD247+AF247+AH247+AK247+AP247+AT247</f>
        <v>0</v>
      </c>
      <c r="AW247" s="316">
        <f>AE247+AG247+AI247+AN247+AS247+AU247</f>
        <v>0</v>
      </c>
      <c r="AX247" s="346"/>
      <c r="AY247" s="318"/>
      <c r="AZ247" s="345"/>
      <c r="BA247" s="254"/>
    </row>
    <row r="248" spans="1:53" s="672" customFormat="1" x14ac:dyDescent="0.2">
      <c r="A248" s="57"/>
      <c r="B248" s="382"/>
      <c r="C248" s="309"/>
      <c r="D248" s="497"/>
      <c r="E248" s="498"/>
      <c r="F248" s="499"/>
      <c r="G248" s="499"/>
      <c r="H248" s="499"/>
      <c r="I248" s="499"/>
      <c r="J248" s="499"/>
      <c r="K248" s="500"/>
      <c r="L248" s="501"/>
      <c r="M248" s="499"/>
      <c r="N248" s="499"/>
      <c r="O248" s="499"/>
      <c r="P248" s="502"/>
      <c r="Q248" s="502"/>
      <c r="R248" s="502"/>
      <c r="S248" s="502"/>
      <c r="T248" s="502"/>
      <c r="U248" s="502"/>
      <c r="V248" s="502"/>
      <c r="W248" s="502"/>
      <c r="X248" s="500"/>
      <c r="Y248" s="500"/>
      <c r="Z248" s="500"/>
      <c r="AA248" s="500"/>
      <c r="AB248" s="313"/>
      <c r="AC248" s="311"/>
      <c r="AD248" s="312"/>
      <c r="AE248" s="314"/>
      <c r="AF248" s="311"/>
      <c r="AG248" s="311"/>
      <c r="AH248" s="312"/>
      <c r="AI248" s="314"/>
      <c r="AJ248" s="315" t="s">
        <v>2075</v>
      </c>
      <c r="AK248" s="316">
        <f>'N.2 GASB 68 FRSWPF'!C27</f>
        <v>0</v>
      </c>
      <c r="AL248" s="311"/>
      <c r="AM248" s="322" t="s">
        <v>3553</v>
      </c>
      <c r="AN248" s="316">
        <f>'O. GASB 73 LEO Entries'!D76</f>
        <v>0</v>
      </c>
      <c r="AO248" s="317"/>
      <c r="AP248" s="316"/>
      <c r="AQ248" s="309"/>
      <c r="AR248" s="315"/>
      <c r="AS248" s="318"/>
      <c r="AT248" s="677"/>
      <c r="AU248" s="509"/>
      <c r="AV248" s="316">
        <f>AD248+AF248+AH248+AK248+AP248+AT248</f>
        <v>0</v>
      </c>
      <c r="AW248" s="316">
        <f>AE248+AG248+AI248+AN248+AS248+AU248</f>
        <v>0</v>
      </c>
      <c r="AX248" s="346"/>
      <c r="AY248" s="318"/>
      <c r="AZ248" s="345"/>
      <c r="BA248" s="254"/>
    </row>
    <row r="249" spans="1:53" s="850" customFormat="1" x14ac:dyDescent="0.2">
      <c r="A249" s="57"/>
      <c r="B249" s="382"/>
      <c r="C249" s="309"/>
      <c r="D249" s="497"/>
      <c r="E249" s="498"/>
      <c r="F249" s="499"/>
      <c r="G249" s="499"/>
      <c r="H249" s="499"/>
      <c r="I249" s="499"/>
      <c r="J249" s="499"/>
      <c r="K249" s="500"/>
      <c r="L249" s="501"/>
      <c r="M249" s="499"/>
      <c r="N249" s="499"/>
      <c r="O249" s="499"/>
      <c r="P249" s="502"/>
      <c r="Q249" s="502"/>
      <c r="R249" s="502"/>
      <c r="S249" s="502"/>
      <c r="T249" s="502"/>
      <c r="U249" s="502"/>
      <c r="V249" s="502"/>
      <c r="W249" s="502"/>
      <c r="X249" s="500"/>
      <c r="Y249" s="500"/>
      <c r="Z249" s="500"/>
      <c r="AA249" s="500"/>
      <c r="AB249" s="313"/>
      <c r="AC249" s="311"/>
      <c r="AD249" s="312"/>
      <c r="AE249" s="314"/>
      <c r="AF249" s="311"/>
      <c r="AG249" s="311"/>
      <c r="AH249" s="312"/>
      <c r="AI249" s="314"/>
      <c r="AJ249" s="315" t="s">
        <v>3553</v>
      </c>
      <c r="AK249" s="316">
        <f>'O. GASB 73 LEO Entries'!C68</f>
        <v>0</v>
      </c>
      <c r="AL249" s="311"/>
      <c r="AM249" s="315" t="s">
        <v>3969</v>
      </c>
      <c r="AN249" s="316">
        <f>'P. GASB 75 OPEB 1 Entries'!D77+'P. GASB 75 OPEB 1 Entries'!D85+'P. GASB 75 OPEB 2 Entries'!D77+'P. GASB 75 OPEB 2 Entries'!D85+'P. GASB 75 3 OPEB Entries'!D77+'P. GASB 75 3 OPEB Entries'!D85</f>
        <v>0</v>
      </c>
      <c r="AO249" s="317"/>
      <c r="AP249" s="316"/>
      <c r="AQ249" s="309"/>
      <c r="AR249" s="315"/>
      <c r="AS249" s="318"/>
      <c r="AT249" s="852"/>
      <c r="AU249" s="509"/>
      <c r="AV249" s="316">
        <f>AD249+AF249+AH249+AK249+AP249+AT249</f>
        <v>0</v>
      </c>
      <c r="AW249" s="316">
        <f>AE249+AG249+AI249+AN249+AS249+AU249</f>
        <v>0</v>
      </c>
      <c r="AX249" s="346"/>
      <c r="AY249" s="318"/>
      <c r="AZ249" s="345"/>
      <c r="BA249" s="254"/>
    </row>
    <row r="250" spans="1:53" s="1030" customFormat="1" x14ac:dyDescent="0.2">
      <c r="A250" s="57"/>
      <c r="B250" s="382"/>
      <c r="C250" s="309"/>
      <c r="D250" s="497"/>
      <c r="E250" s="498"/>
      <c r="F250" s="499"/>
      <c r="G250" s="499"/>
      <c r="H250" s="499"/>
      <c r="I250" s="499"/>
      <c r="J250" s="499"/>
      <c r="K250" s="500"/>
      <c r="L250" s="501"/>
      <c r="M250" s="499"/>
      <c r="N250" s="499"/>
      <c r="O250" s="499"/>
      <c r="P250" s="502"/>
      <c r="Q250" s="502"/>
      <c r="R250" s="502"/>
      <c r="S250" s="502"/>
      <c r="T250" s="502"/>
      <c r="U250" s="502"/>
      <c r="V250" s="502"/>
      <c r="W250" s="502"/>
      <c r="X250" s="500"/>
      <c r="Y250" s="500"/>
      <c r="Z250" s="500"/>
      <c r="AA250" s="500"/>
      <c r="AB250" s="313"/>
      <c r="AC250" s="311"/>
      <c r="AD250" s="312"/>
      <c r="AE250" s="314"/>
      <c r="AF250" s="311"/>
      <c r="AG250" s="311"/>
      <c r="AH250" s="312"/>
      <c r="AI250" s="314"/>
      <c r="AJ250" s="315" t="s">
        <v>3969</v>
      </c>
      <c r="AK250" s="316">
        <f>'P. GASB 75 OPEB 1 Entries'!C59-'P. GASB 75 OPEB 1 Entries'!D93+'P. GASB 75 OPEB 2 Entries'!C59-'P. GASB 75 OPEB 2 Entries'!D93+'P. GASB 75 3 OPEB Entries'!C59-'P. GASB 75 3 OPEB Entries'!D93</f>
        <v>0</v>
      </c>
      <c r="AL250" s="311"/>
      <c r="AM250" s="322"/>
      <c r="AN250" s="316"/>
      <c r="AO250" s="317"/>
      <c r="AP250" s="316"/>
      <c r="AQ250" s="309"/>
      <c r="AR250" s="315"/>
      <c r="AS250" s="318"/>
      <c r="AT250" s="1032"/>
      <c r="AU250" s="509"/>
      <c r="AV250" s="316">
        <f>AD250+AF250+AH250+AK250+AP250+AT250</f>
        <v>0</v>
      </c>
      <c r="AW250" s="316">
        <f>AE250+AG250+AI250+AN250+AS250+AU250</f>
        <v>0</v>
      </c>
      <c r="AX250" s="346"/>
      <c r="AY250" s="318"/>
      <c r="AZ250" s="345"/>
      <c r="BA250" s="254"/>
    </row>
    <row r="251" spans="1:53" x14ac:dyDescent="0.2">
      <c r="A251" s="57"/>
      <c r="B251" s="14"/>
      <c r="C251" s="14"/>
      <c r="D251" s="489"/>
      <c r="E251" s="490"/>
      <c r="F251" s="485"/>
      <c r="G251" s="485"/>
      <c r="H251" s="485"/>
      <c r="I251" s="485"/>
      <c r="J251" s="485"/>
      <c r="K251" s="486"/>
      <c r="L251" s="487"/>
      <c r="M251" s="485"/>
      <c r="N251" s="485"/>
      <c r="O251" s="485"/>
      <c r="P251" s="488"/>
      <c r="Q251" s="488"/>
      <c r="R251" s="488"/>
      <c r="S251" s="488"/>
      <c r="T251" s="488"/>
      <c r="U251" s="488"/>
      <c r="V251" s="488"/>
      <c r="W251" s="488"/>
      <c r="X251" s="486"/>
      <c r="Y251" s="486"/>
      <c r="Z251" s="486"/>
      <c r="AA251" s="486"/>
      <c r="AB251" s="34">
        <f t="shared" ref="AB251:AB332" si="53">L251+N251+P251+R251+T251+V251+X251+Z251</f>
        <v>0</v>
      </c>
      <c r="AC251" s="12">
        <f t="shared" ref="AC251:AC332" si="54">M251+O251+Q251+S251+U251+W251+Y251+AA251</f>
        <v>0</v>
      </c>
      <c r="AD251" s="30">
        <f t="shared" si="47"/>
        <v>0</v>
      </c>
      <c r="AE251" s="25">
        <f t="shared" si="48"/>
        <v>0</v>
      </c>
      <c r="AF251" s="12"/>
      <c r="AG251" s="12"/>
      <c r="AH251" s="30"/>
      <c r="AI251" s="25"/>
      <c r="AL251" s="12"/>
      <c r="AM251" s="272"/>
      <c r="AN251" s="73"/>
      <c r="AO251" s="279"/>
      <c r="AP251" s="73"/>
      <c r="AQ251" s="14"/>
      <c r="AR251" s="272"/>
      <c r="AS251" s="254"/>
      <c r="AT251" s="508"/>
      <c r="AU251" s="509"/>
      <c r="AV251" s="72"/>
      <c r="AW251" s="72"/>
      <c r="AX251" s="345" t="str">
        <f>IF(AV251-AW251&lt;=0," ",AV251-AW251)</f>
        <v xml:space="preserve"> </v>
      </c>
      <c r="AY251" s="254"/>
      <c r="AZ251" s="345"/>
      <c r="BA251" s="254"/>
    </row>
    <row r="252" spans="1:53" x14ac:dyDescent="0.2">
      <c r="A252" s="57"/>
      <c r="B252" s="382" t="s">
        <v>896</v>
      </c>
      <c r="C252" s="309"/>
      <c r="D252" s="497"/>
      <c r="E252" s="498"/>
      <c r="F252" s="499"/>
      <c r="G252" s="499"/>
      <c r="H252" s="499"/>
      <c r="I252" s="499"/>
      <c r="J252" s="499"/>
      <c r="K252" s="500"/>
      <c r="L252" s="501"/>
      <c r="M252" s="499"/>
      <c r="N252" s="499"/>
      <c r="O252" s="499"/>
      <c r="P252" s="502"/>
      <c r="Q252" s="502"/>
      <c r="R252" s="502"/>
      <c r="S252" s="502"/>
      <c r="T252" s="502"/>
      <c r="U252" s="502"/>
      <c r="V252" s="502"/>
      <c r="W252" s="502"/>
      <c r="X252" s="500"/>
      <c r="Y252" s="500"/>
      <c r="Z252" s="500"/>
      <c r="AA252" s="500"/>
      <c r="AB252" s="313">
        <f t="shared" si="53"/>
        <v>0</v>
      </c>
      <c r="AC252" s="311">
        <f t="shared" si="54"/>
        <v>0</v>
      </c>
      <c r="AD252" s="312">
        <f t="shared" si="47"/>
        <v>0</v>
      </c>
      <c r="AE252" s="314">
        <f t="shared" si="48"/>
        <v>0</v>
      </c>
      <c r="AF252" s="311"/>
      <c r="AG252" s="311"/>
      <c r="AH252" s="312"/>
      <c r="AI252" s="314"/>
      <c r="AJ252" s="315" t="str">
        <f>'D. Depreciation'!A53</f>
        <v>D.1</v>
      </c>
      <c r="AK252" s="316">
        <f>'D. Depreciation'!J55</f>
        <v>0</v>
      </c>
      <c r="AL252" s="311"/>
      <c r="AM252" s="315" t="str">
        <f>'E. Capital Outlay'!D51</f>
        <v>E.1</v>
      </c>
      <c r="AN252" s="316">
        <f>'E. Capital Outlay'!N62</f>
        <v>0</v>
      </c>
      <c r="AO252" s="317" t="str">
        <f>'L. Eliminations-Consolidations'!A239</f>
        <v>L.7</v>
      </c>
      <c r="AP252" s="316">
        <f>'L. Eliminations-Consolidations'!J241</f>
        <v>0</v>
      </c>
      <c r="AQ252" s="309"/>
      <c r="AR252" s="463" t="s">
        <v>682</v>
      </c>
      <c r="AS252" s="318">
        <f>'K.1  Int. Service Fd Allocation'!G209+'K.2  Int. Service Fd Alloca'!G202+'K.3 Int. Service Fd Alloca'!G202</f>
        <v>0</v>
      </c>
      <c r="AT252" s="508"/>
      <c r="AU252" s="509"/>
      <c r="AV252" s="316">
        <f t="shared" si="51"/>
        <v>0</v>
      </c>
      <c r="AW252" s="316">
        <f t="shared" si="52"/>
        <v>0</v>
      </c>
      <c r="AX252" s="346" t="str">
        <f>IF(SUM(AV252:AV257)-SUM(AW252:AW257)&lt;=0," ",SUM(AV252:AV257)-SUM(AW252:AW257))</f>
        <v xml:space="preserve"> </v>
      </c>
      <c r="AY252" s="318" t="str">
        <f>IF(SUM(AV252:AV257)-SUM(AW252:AW257)&gt;=0," ",SUM(AW252:AW257)-SUM(AV252:AV257))</f>
        <v xml:space="preserve"> </v>
      </c>
      <c r="AZ252" s="345"/>
      <c r="BA252" s="254"/>
    </row>
    <row r="253" spans="1:53" x14ac:dyDescent="0.2">
      <c r="A253" s="57"/>
      <c r="B253" s="382"/>
      <c r="C253" s="309"/>
      <c r="D253" s="497"/>
      <c r="E253" s="498"/>
      <c r="F253" s="499"/>
      <c r="G253" s="499"/>
      <c r="H253" s="499"/>
      <c r="I253" s="499"/>
      <c r="J253" s="499"/>
      <c r="K253" s="500"/>
      <c r="L253" s="501"/>
      <c r="M253" s="499"/>
      <c r="N253" s="499"/>
      <c r="O253" s="499"/>
      <c r="P253" s="502"/>
      <c r="Q253" s="502"/>
      <c r="R253" s="502"/>
      <c r="S253" s="502"/>
      <c r="T253" s="502"/>
      <c r="U253" s="502"/>
      <c r="V253" s="502"/>
      <c r="W253" s="502"/>
      <c r="X253" s="500"/>
      <c r="Y253" s="500"/>
      <c r="Z253" s="500"/>
      <c r="AA253" s="500"/>
      <c r="AB253" s="313">
        <f t="shared" si="53"/>
        <v>0</v>
      </c>
      <c r="AC253" s="311">
        <f t="shared" si="54"/>
        <v>0</v>
      </c>
      <c r="AD253" s="312">
        <f t="shared" si="47"/>
        <v>0</v>
      </c>
      <c r="AE253" s="314">
        <f t="shared" si="48"/>
        <v>0</v>
      </c>
      <c r="AF253" s="311"/>
      <c r="AG253" s="311"/>
      <c r="AH253" s="312"/>
      <c r="AI253" s="314"/>
      <c r="AJ253" s="315" t="str">
        <f>'J. Other Liability &amp; Expenses'!D185</f>
        <v>J.1</v>
      </c>
      <c r="AK253" s="316">
        <f>'J. Other Liability &amp; Expenses'!L187</f>
        <v>0</v>
      </c>
      <c r="AL253" s="311"/>
      <c r="AM253" s="315" t="str">
        <f>'I.  Other Asset Entries'!B105</f>
        <v>I.1</v>
      </c>
      <c r="AN253" s="316">
        <f>'I.  Other Asset Entries'!N112</f>
        <v>0</v>
      </c>
      <c r="AO253" s="317"/>
      <c r="AP253" s="316"/>
      <c r="AQ253" s="309"/>
      <c r="AR253" s="315" t="str">
        <f>'L. Eliminations-Consolidations'!A217</f>
        <v>L.5</v>
      </c>
      <c r="AS253" s="318">
        <f>'L. Eliminations-Consolidations'!L220</f>
        <v>0</v>
      </c>
      <c r="AT253" s="508"/>
      <c r="AU253" s="509"/>
      <c r="AV253" s="316">
        <f t="shared" si="51"/>
        <v>0</v>
      </c>
      <c r="AW253" s="316">
        <f t="shared" si="52"/>
        <v>0</v>
      </c>
      <c r="AX253" s="346"/>
      <c r="AY253" s="318"/>
      <c r="AZ253" s="345"/>
      <c r="BA253" s="254"/>
    </row>
    <row r="254" spans="1:53" x14ac:dyDescent="0.2">
      <c r="A254" s="57"/>
      <c r="B254" s="382"/>
      <c r="C254" s="309"/>
      <c r="D254" s="497"/>
      <c r="E254" s="498"/>
      <c r="F254" s="499"/>
      <c r="G254" s="499"/>
      <c r="H254" s="499"/>
      <c r="I254" s="499"/>
      <c r="J254" s="499"/>
      <c r="K254" s="500"/>
      <c r="L254" s="501"/>
      <c r="M254" s="499"/>
      <c r="N254" s="499"/>
      <c r="O254" s="499"/>
      <c r="P254" s="502"/>
      <c r="Q254" s="502"/>
      <c r="R254" s="502"/>
      <c r="S254" s="502"/>
      <c r="T254" s="502"/>
      <c r="U254" s="502"/>
      <c r="V254" s="502"/>
      <c r="W254" s="502"/>
      <c r="X254" s="500"/>
      <c r="Y254" s="500"/>
      <c r="Z254" s="500"/>
      <c r="AA254" s="500"/>
      <c r="AB254" s="313">
        <f t="shared" si="53"/>
        <v>0</v>
      </c>
      <c r="AC254" s="311">
        <f t="shared" si="54"/>
        <v>0</v>
      </c>
      <c r="AD254" s="312">
        <f t="shared" si="47"/>
        <v>0</v>
      </c>
      <c r="AE254" s="314">
        <f t="shared" si="48"/>
        <v>0</v>
      </c>
      <c r="AF254" s="311"/>
      <c r="AG254" s="311"/>
      <c r="AH254" s="312"/>
      <c r="AI254" s="314"/>
      <c r="AJ254" s="315" t="str">
        <f>'F.  Other Cap Asset Entries'!D248</f>
        <v>F.3</v>
      </c>
      <c r="AK254" s="316">
        <f>'F.  Other Cap Asset Entries'!M249</f>
        <v>0</v>
      </c>
      <c r="AL254" s="311"/>
      <c r="AM254" s="315" t="str">
        <f>'J. Other Liability &amp; Expenses'!D185</f>
        <v>J.1</v>
      </c>
      <c r="AN254" s="316">
        <f>'J. Other Liability &amp; Expenses'!N187</f>
        <v>0</v>
      </c>
      <c r="AO254" s="317" t="str">
        <f>'L. Eliminations-Consolidations'!B266</f>
        <v>L.8</v>
      </c>
      <c r="AP254" s="316">
        <f>'L. Eliminations-Consolidations'!J269</f>
        <v>0</v>
      </c>
      <c r="AQ254" s="309"/>
      <c r="AR254" s="315" t="str">
        <f>'L. Eliminations-Consolidations'!B266</f>
        <v>L.8</v>
      </c>
      <c r="AS254" s="318">
        <f>'L. Eliminations-Consolidations'!L269</f>
        <v>0</v>
      </c>
      <c r="AT254" s="508"/>
      <c r="AU254" s="509"/>
      <c r="AV254" s="316">
        <f t="shared" si="51"/>
        <v>0</v>
      </c>
      <c r="AW254" s="316">
        <f t="shared" si="52"/>
        <v>0</v>
      </c>
      <c r="AX254" s="346"/>
      <c r="AY254" s="318"/>
      <c r="AZ254" s="345"/>
      <c r="BA254" s="254"/>
    </row>
    <row r="255" spans="1:53" x14ac:dyDescent="0.2">
      <c r="A255" s="57"/>
      <c r="B255" s="382"/>
      <c r="C255" s="309"/>
      <c r="D255" s="497"/>
      <c r="E255" s="498"/>
      <c r="F255" s="499"/>
      <c r="G255" s="499"/>
      <c r="H255" s="499"/>
      <c r="I255" s="499"/>
      <c r="J255" s="499"/>
      <c r="K255" s="500"/>
      <c r="L255" s="501"/>
      <c r="M255" s="499"/>
      <c r="N255" s="499"/>
      <c r="O255" s="499"/>
      <c r="P255" s="502"/>
      <c r="Q255" s="502"/>
      <c r="R255" s="502"/>
      <c r="S255" s="502"/>
      <c r="T255" s="502"/>
      <c r="U255" s="502"/>
      <c r="V255" s="502"/>
      <c r="W255" s="502"/>
      <c r="X255" s="500"/>
      <c r="Y255" s="500"/>
      <c r="Z255" s="500"/>
      <c r="AA255" s="500"/>
      <c r="AB255" s="313"/>
      <c r="AC255" s="311"/>
      <c r="AD255" s="312"/>
      <c r="AE255" s="314"/>
      <c r="AF255" s="311"/>
      <c r="AG255" s="311"/>
      <c r="AH255" s="312"/>
      <c r="AI255" s="314"/>
      <c r="AJ255" s="315" t="s">
        <v>968</v>
      </c>
      <c r="AK255" s="316">
        <f>'F.  Other Cap Asset Entries'!M270</f>
        <v>0</v>
      </c>
      <c r="AL255" s="311"/>
      <c r="AM255" s="315" t="s">
        <v>2074</v>
      </c>
      <c r="AN255" s="316">
        <f>'N.1 GASB 68 LGERS'!D99</f>
        <v>0</v>
      </c>
      <c r="AO255" s="317"/>
      <c r="AP255" s="316"/>
      <c r="AQ255" s="309"/>
      <c r="AR255" s="315"/>
      <c r="AS255" s="318"/>
      <c r="AT255" s="508"/>
      <c r="AU255" s="509"/>
      <c r="AV255" s="316">
        <f t="shared" si="51"/>
        <v>0</v>
      </c>
      <c r="AW255" s="316">
        <f t="shared" si="52"/>
        <v>0</v>
      </c>
      <c r="AX255" s="346"/>
      <c r="AY255" s="318"/>
      <c r="AZ255" s="345"/>
      <c r="BA255" s="254"/>
    </row>
    <row r="256" spans="1:53" s="693" customFormat="1" x14ac:dyDescent="0.2">
      <c r="A256" s="57"/>
      <c r="B256" s="382"/>
      <c r="C256" s="309"/>
      <c r="D256" s="497"/>
      <c r="E256" s="498"/>
      <c r="F256" s="499"/>
      <c r="G256" s="499"/>
      <c r="H256" s="499"/>
      <c r="I256" s="499"/>
      <c r="J256" s="499"/>
      <c r="K256" s="500"/>
      <c r="L256" s="501"/>
      <c r="M256" s="499"/>
      <c r="N256" s="499"/>
      <c r="O256" s="499"/>
      <c r="P256" s="502"/>
      <c r="Q256" s="502"/>
      <c r="R256" s="502"/>
      <c r="S256" s="502"/>
      <c r="T256" s="502"/>
      <c r="U256" s="502"/>
      <c r="V256" s="502"/>
      <c r="W256" s="502"/>
      <c r="X256" s="500"/>
      <c r="Y256" s="500"/>
      <c r="Z256" s="500"/>
      <c r="AA256" s="500"/>
      <c r="AB256" s="313"/>
      <c r="AC256" s="311"/>
      <c r="AD256" s="312"/>
      <c r="AE256" s="314"/>
      <c r="AF256" s="311"/>
      <c r="AG256" s="311"/>
      <c r="AH256" s="312"/>
      <c r="AI256" s="314"/>
      <c r="AJ256" s="315" t="s">
        <v>2074</v>
      </c>
      <c r="AK256" s="316">
        <f>'N.1 GASB 68 LGERS'!C99</f>
        <v>0</v>
      </c>
      <c r="AL256" s="311"/>
      <c r="AM256" s="315" t="s">
        <v>3969</v>
      </c>
      <c r="AN256" s="1042">
        <f>'P. GASB 75 OPEB 1 Entries'!D78+'P. GASB 75 OPEB 1 Entries'!D86+'P. GASB 75 OPEB 2 Entries'!D78+'P. GASB 75 OPEB 2 Entries'!D86+'P. GASB 75 3 OPEB Entries'!D78+'P. GASB 75 3 OPEB Entries'!D86</f>
        <v>0</v>
      </c>
      <c r="AO256" s="317"/>
      <c r="AP256" s="316"/>
      <c r="AQ256" s="309"/>
      <c r="AR256" s="315"/>
      <c r="AS256" s="318"/>
      <c r="AT256" s="697"/>
      <c r="AU256" s="509"/>
      <c r="AV256" s="316">
        <f>AD256+AF256+AH256+AK256+AP256+AT256</f>
        <v>0</v>
      </c>
      <c r="AW256" s="316">
        <f>AE256+AG256+AI256+AN256+AS256+AU256</f>
        <v>0</v>
      </c>
      <c r="AX256" s="346"/>
      <c r="AY256" s="318"/>
      <c r="AZ256" s="345"/>
      <c r="BA256" s="254"/>
    </row>
    <row r="257" spans="1:53" s="1030" customFormat="1" x14ac:dyDescent="0.2">
      <c r="A257" s="57"/>
      <c r="B257" s="382"/>
      <c r="C257" s="309"/>
      <c r="D257" s="497"/>
      <c r="E257" s="498"/>
      <c r="F257" s="499"/>
      <c r="G257" s="499"/>
      <c r="H257" s="499"/>
      <c r="I257" s="499"/>
      <c r="J257" s="499"/>
      <c r="K257" s="500"/>
      <c r="L257" s="501"/>
      <c r="M257" s="499"/>
      <c r="N257" s="499"/>
      <c r="O257" s="499"/>
      <c r="P257" s="502"/>
      <c r="Q257" s="502"/>
      <c r="R257" s="502"/>
      <c r="S257" s="502"/>
      <c r="T257" s="502"/>
      <c r="U257" s="502"/>
      <c r="V257" s="502"/>
      <c r="W257" s="502"/>
      <c r="X257" s="500"/>
      <c r="Y257" s="500"/>
      <c r="Z257" s="500"/>
      <c r="AA257" s="500"/>
      <c r="AB257" s="313"/>
      <c r="AC257" s="311"/>
      <c r="AD257" s="312"/>
      <c r="AE257" s="314"/>
      <c r="AF257" s="311"/>
      <c r="AG257" s="311"/>
      <c r="AH257" s="312"/>
      <c r="AI257" s="314"/>
      <c r="AJ257" s="315" t="s">
        <v>3926</v>
      </c>
      <c r="AK257" s="316">
        <f>'P. GASB 75 OPEB 1 Entries'!C60-'P. GASB 75 OPEB 1 Entries'!D94+'P. GASB 75 OPEB 2 Entries'!C60-'P. GASB 75 OPEB 2 Entries'!D94+'P. GASB 75 3 OPEB Entries'!C60-'P. GASB 75 3 OPEB Entries'!D94</f>
        <v>0</v>
      </c>
      <c r="AL257" s="311"/>
      <c r="AM257" s="322"/>
      <c r="AN257" s="1042"/>
      <c r="AO257" s="317"/>
      <c r="AP257" s="316"/>
      <c r="AQ257" s="309"/>
      <c r="AR257" s="315"/>
      <c r="AS257" s="318"/>
      <c r="AT257" s="1032"/>
      <c r="AU257" s="509"/>
      <c r="AV257" s="316">
        <f>AD257+AF257+AH257+AK257+AP257+AT257</f>
        <v>0</v>
      </c>
      <c r="AW257" s="316">
        <f>AE257+AG257+AI257+AN257+AS257+AU257</f>
        <v>0</v>
      </c>
      <c r="AX257" s="346"/>
      <c r="AY257" s="318"/>
      <c r="AZ257" s="345"/>
      <c r="BA257" s="254"/>
    </row>
    <row r="258" spans="1:53" x14ac:dyDescent="0.2">
      <c r="A258" s="57"/>
      <c r="B258" s="14"/>
      <c r="C258" s="14"/>
      <c r="D258" s="489"/>
      <c r="E258" s="490"/>
      <c r="F258" s="485"/>
      <c r="G258" s="485"/>
      <c r="H258" s="485"/>
      <c r="I258" s="485"/>
      <c r="J258" s="485"/>
      <c r="K258" s="486"/>
      <c r="L258" s="487"/>
      <c r="M258" s="485"/>
      <c r="N258" s="485"/>
      <c r="O258" s="485"/>
      <c r="P258" s="488"/>
      <c r="Q258" s="488"/>
      <c r="R258" s="488"/>
      <c r="S258" s="488"/>
      <c r="T258" s="488"/>
      <c r="U258" s="488"/>
      <c r="V258" s="488"/>
      <c r="W258" s="488"/>
      <c r="X258" s="486"/>
      <c r="Y258" s="486"/>
      <c r="Z258" s="486"/>
      <c r="AA258" s="486"/>
      <c r="AB258" s="34">
        <f t="shared" si="53"/>
        <v>0</v>
      </c>
      <c r="AC258" s="12">
        <f t="shared" si="54"/>
        <v>0</v>
      </c>
      <c r="AD258" s="30">
        <f t="shared" ref="AD258:AD332" si="55">D258+F258+H258+J258+AB258</f>
        <v>0</v>
      </c>
      <c r="AE258" s="25">
        <f t="shared" ref="AE258:AE332" si="56">E258+G258+I258+K258+AC258</f>
        <v>0</v>
      </c>
      <c r="AF258" s="12"/>
      <c r="AG258" s="12"/>
      <c r="AH258" s="30"/>
      <c r="AI258" s="25"/>
      <c r="AL258" s="12"/>
      <c r="AM258" s="272"/>
      <c r="AN258" s="73"/>
      <c r="AO258" s="279"/>
      <c r="AP258" s="73"/>
      <c r="AQ258" s="14"/>
      <c r="AR258" s="272"/>
      <c r="AS258" s="254"/>
      <c r="AT258" s="508"/>
      <c r="AU258" s="509"/>
      <c r="AV258" s="72"/>
      <c r="AW258" s="72">
        <f t="shared" si="52"/>
        <v>0</v>
      </c>
      <c r="AX258" s="345" t="str">
        <f>IF(AV258-AW258&lt;=0," ",AV258-AW258)</f>
        <v xml:space="preserve"> </v>
      </c>
      <c r="AY258" s="254"/>
      <c r="AZ258" s="345"/>
      <c r="BA258" s="254"/>
    </row>
    <row r="259" spans="1:53" x14ac:dyDescent="0.2">
      <c r="A259" s="57"/>
      <c r="B259" s="382" t="s">
        <v>480</v>
      </c>
      <c r="C259" s="309"/>
      <c r="D259" s="497"/>
      <c r="E259" s="498"/>
      <c r="F259" s="499"/>
      <c r="G259" s="499"/>
      <c r="H259" s="499"/>
      <c r="I259" s="499"/>
      <c r="J259" s="499"/>
      <c r="K259" s="500"/>
      <c r="L259" s="501"/>
      <c r="M259" s="499"/>
      <c r="N259" s="499"/>
      <c r="O259" s="499"/>
      <c r="P259" s="502"/>
      <c r="Q259" s="502"/>
      <c r="R259" s="502"/>
      <c r="S259" s="502"/>
      <c r="T259" s="502"/>
      <c r="U259" s="502"/>
      <c r="V259" s="502"/>
      <c r="W259" s="502"/>
      <c r="X259" s="500"/>
      <c r="Y259" s="500"/>
      <c r="Z259" s="500"/>
      <c r="AA259" s="500"/>
      <c r="AB259" s="313">
        <f t="shared" si="53"/>
        <v>0</v>
      </c>
      <c r="AC259" s="311">
        <f t="shared" si="54"/>
        <v>0</v>
      </c>
      <c r="AD259" s="312">
        <f t="shared" si="55"/>
        <v>0</v>
      </c>
      <c r="AE259" s="314">
        <f t="shared" si="56"/>
        <v>0</v>
      </c>
      <c r="AF259" s="311"/>
      <c r="AG259" s="311"/>
      <c r="AH259" s="312"/>
      <c r="AI259" s="314"/>
      <c r="AJ259" s="315" t="str">
        <f>'D. Depreciation'!A53</f>
        <v>D.1</v>
      </c>
      <c r="AK259" s="316">
        <f>'D. Depreciation'!J56</f>
        <v>0</v>
      </c>
      <c r="AL259" s="311"/>
      <c r="AM259" s="315" t="str">
        <f>'E. Capital Outlay'!D51</f>
        <v>E.1</v>
      </c>
      <c r="AN259" s="316">
        <f>'E. Capital Outlay'!N63</f>
        <v>0</v>
      </c>
      <c r="AO259" s="317" t="str">
        <f>'L. Eliminations-Consolidations'!A239</f>
        <v>L.7</v>
      </c>
      <c r="AP259" s="316">
        <f>'L. Eliminations-Consolidations'!J242</f>
        <v>0</v>
      </c>
      <c r="AQ259" s="309"/>
      <c r="AR259" s="463" t="s">
        <v>682</v>
      </c>
      <c r="AS259" s="318">
        <f>'K.1  Int. Service Fd Allocation'!G210+'K.2  Int. Service Fd Alloca'!G203+'K.3 Int. Service Fd Alloca'!G203</f>
        <v>0</v>
      </c>
      <c r="AT259" s="508"/>
      <c r="AU259" s="509"/>
      <c r="AV259" s="316">
        <f t="shared" si="51"/>
        <v>0</v>
      </c>
      <c r="AW259" s="316">
        <f t="shared" si="52"/>
        <v>0</v>
      </c>
      <c r="AX259" s="346" t="str">
        <f>IF(SUM(AV259:AV264)-SUM(AW259:AW264)&lt;=0," ",SUM(AV259:AV264)-SUM(AW259:AW264))</f>
        <v xml:space="preserve"> </v>
      </c>
      <c r="AY259" s="318" t="str">
        <f>IF(SUM(AV259:AV264)-SUM(AW259:AW264)&gt;=0," ",SUM(AW259:AW264)-SUM(AV259:AV264))</f>
        <v xml:space="preserve"> </v>
      </c>
      <c r="AZ259" s="345"/>
      <c r="BA259" s="254"/>
    </row>
    <row r="260" spans="1:53" x14ac:dyDescent="0.2">
      <c r="A260" s="57"/>
      <c r="B260" s="382"/>
      <c r="C260" s="309"/>
      <c r="D260" s="497"/>
      <c r="E260" s="498"/>
      <c r="F260" s="499"/>
      <c r="G260" s="499"/>
      <c r="H260" s="499"/>
      <c r="I260" s="499"/>
      <c r="J260" s="499"/>
      <c r="K260" s="500"/>
      <c r="L260" s="501"/>
      <c r="M260" s="499"/>
      <c r="N260" s="499"/>
      <c r="O260" s="499"/>
      <c r="P260" s="502"/>
      <c r="Q260" s="502"/>
      <c r="R260" s="502"/>
      <c r="S260" s="502"/>
      <c r="T260" s="502"/>
      <c r="U260" s="502"/>
      <c r="V260" s="502"/>
      <c r="W260" s="502"/>
      <c r="X260" s="500"/>
      <c r="Y260" s="500"/>
      <c r="Z260" s="500"/>
      <c r="AA260" s="500"/>
      <c r="AB260" s="313">
        <f t="shared" si="53"/>
        <v>0</v>
      </c>
      <c r="AC260" s="311">
        <f t="shared" si="54"/>
        <v>0</v>
      </c>
      <c r="AD260" s="312">
        <f t="shared" si="55"/>
        <v>0</v>
      </c>
      <c r="AE260" s="314">
        <f t="shared" si="56"/>
        <v>0</v>
      </c>
      <c r="AF260" s="311"/>
      <c r="AG260" s="311"/>
      <c r="AH260" s="312"/>
      <c r="AI260" s="314"/>
      <c r="AJ260" s="315" t="str">
        <f>'J. Other Liability &amp; Expenses'!D185</f>
        <v>J.1</v>
      </c>
      <c r="AK260" s="316">
        <f>'J. Other Liability &amp; Expenses'!L188</f>
        <v>0</v>
      </c>
      <c r="AL260" s="311"/>
      <c r="AM260" s="322" t="str">
        <f>'I.  Other Asset Entries'!B105</f>
        <v>I.1</v>
      </c>
      <c r="AN260" s="316">
        <f>'I.  Other Asset Entries'!N113</f>
        <v>0</v>
      </c>
      <c r="AO260" s="317"/>
      <c r="AP260" s="316"/>
      <c r="AQ260" s="309"/>
      <c r="AR260" s="315"/>
      <c r="AS260" s="318"/>
      <c r="AT260" s="508"/>
      <c r="AU260" s="509"/>
      <c r="AV260" s="316">
        <f t="shared" si="51"/>
        <v>0</v>
      </c>
      <c r="AW260" s="316">
        <f t="shared" si="52"/>
        <v>0</v>
      </c>
      <c r="AX260" s="346"/>
      <c r="AY260" s="318"/>
      <c r="AZ260" s="345"/>
      <c r="BA260" s="254"/>
    </row>
    <row r="261" spans="1:53" x14ac:dyDescent="0.2">
      <c r="A261" s="57"/>
      <c r="B261" s="382"/>
      <c r="C261" s="309"/>
      <c r="D261" s="497"/>
      <c r="E261" s="498"/>
      <c r="F261" s="499"/>
      <c r="G261" s="499"/>
      <c r="H261" s="499"/>
      <c r="I261" s="499"/>
      <c r="J261" s="499"/>
      <c r="K261" s="500"/>
      <c r="L261" s="501"/>
      <c r="M261" s="499"/>
      <c r="N261" s="499"/>
      <c r="O261" s="499"/>
      <c r="P261" s="502"/>
      <c r="Q261" s="502"/>
      <c r="R261" s="502"/>
      <c r="S261" s="502"/>
      <c r="T261" s="502"/>
      <c r="U261" s="502"/>
      <c r="V261" s="502"/>
      <c r="W261" s="502"/>
      <c r="X261" s="500"/>
      <c r="Y261" s="500"/>
      <c r="Z261" s="500"/>
      <c r="AA261" s="500"/>
      <c r="AB261" s="313">
        <f t="shared" si="53"/>
        <v>0</v>
      </c>
      <c r="AC261" s="311">
        <f t="shared" si="54"/>
        <v>0</v>
      </c>
      <c r="AD261" s="312">
        <f t="shared" si="55"/>
        <v>0</v>
      </c>
      <c r="AE261" s="314">
        <f t="shared" si="56"/>
        <v>0</v>
      </c>
      <c r="AF261" s="311"/>
      <c r="AG261" s="311"/>
      <c r="AH261" s="312"/>
      <c r="AI261" s="314"/>
      <c r="AJ261" s="315" t="str">
        <f>'F.  Other Cap Asset Entries'!D248</f>
        <v>F.3</v>
      </c>
      <c r="AK261" s="316">
        <f>'F.  Other Cap Asset Entries'!M250</f>
        <v>0</v>
      </c>
      <c r="AL261" s="311"/>
      <c r="AM261" s="322" t="str">
        <f>'J. Other Liability &amp; Expenses'!D185</f>
        <v>J.1</v>
      </c>
      <c r="AN261" s="316">
        <f>'J. Other Liability &amp; Expenses'!N188</f>
        <v>0</v>
      </c>
      <c r="AO261" s="317" t="str">
        <f>'L. Eliminations-Consolidations'!B266</f>
        <v>L.8</v>
      </c>
      <c r="AP261" s="316">
        <f>'L. Eliminations-Consolidations'!J270</f>
        <v>0</v>
      </c>
      <c r="AQ261" s="309"/>
      <c r="AR261" s="315" t="str">
        <f>'L. Eliminations-Consolidations'!B266</f>
        <v>L.8</v>
      </c>
      <c r="AS261" s="318">
        <f>'L. Eliminations-Consolidations'!L270</f>
        <v>0</v>
      </c>
      <c r="AT261" s="508"/>
      <c r="AU261" s="509"/>
      <c r="AV261" s="316">
        <f t="shared" si="51"/>
        <v>0</v>
      </c>
      <c r="AW261" s="316">
        <f t="shared" si="52"/>
        <v>0</v>
      </c>
      <c r="AX261" s="346"/>
      <c r="AY261" s="318"/>
      <c r="AZ261" s="345"/>
      <c r="BA261" s="254"/>
    </row>
    <row r="262" spans="1:53" x14ac:dyDescent="0.2">
      <c r="A262" s="57"/>
      <c r="B262" s="382"/>
      <c r="C262" s="309"/>
      <c r="D262" s="497"/>
      <c r="E262" s="498"/>
      <c r="F262" s="499"/>
      <c r="G262" s="499"/>
      <c r="H262" s="499"/>
      <c r="I262" s="499"/>
      <c r="J262" s="499"/>
      <c r="K262" s="500"/>
      <c r="L262" s="501"/>
      <c r="M262" s="499"/>
      <c r="N262" s="499"/>
      <c r="O262" s="499"/>
      <c r="P262" s="502"/>
      <c r="Q262" s="502"/>
      <c r="R262" s="502"/>
      <c r="S262" s="502"/>
      <c r="T262" s="502"/>
      <c r="U262" s="502"/>
      <c r="V262" s="502"/>
      <c r="W262" s="502"/>
      <c r="X262" s="500"/>
      <c r="Y262" s="500"/>
      <c r="Z262" s="500"/>
      <c r="AA262" s="500"/>
      <c r="AB262" s="313"/>
      <c r="AC262" s="311"/>
      <c r="AD262" s="312"/>
      <c r="AE262" s="314"/>
      <c r="AF262" s="311"/>
      <c r="AG262" s="311"/>
      <c r="AH262" s="312"/>
      <c r="AI262" s="314"/>
      <c r="AJ262" s="315" t="s">
        <v>968</v>
      </c>
      <c r="AK262" s="316">
        <f>'F.  Other Cap Asset Entries'!M271</f>
        <v>0</v>
      </c>
      <c r="AL262" s="311"/>
      <c r="AM262" s="322" t="s">
        <v>2074</v>
      </c>
      <c r="AN262" s="316">
        <f>'N.1 GASB 68 LGERS'!D100</f>
        <v>0</v>
      </c>
      <c r="AO262" s="317"/>
      <c r="AP262" s="316"/>
      <c r="AQ262" s="309"/>
      <c r="AR262" s="315"/>
      <c r="AS262" s="318"/>
      <c r="AT262" s="508"/>
      <c r="AU262" s="509"/>
      <c r="AV262" s="316">
        <f t="shared" si="51"/>
        <v>0</v>
      </c>
      <c r="AW262" s="316">
        <f t="shared" si="52"/>
        <v>0</v>
      </c>
      <c r="AX262" s="346"/>
      <c r="AY262" s="318"/>
      <c r="AZ262" s="345"/>
      <c r="BA262" s="254"/>
    </row>
    <row r="263" spans="1:53" s="693" customFormat="1" x14ac:dyDescent="0.2">
      <c r="A263" s="57"/>
      <c r="B263" s="382"/>
      <c r="C263" s="309"/>
      <c r="D263" s="497"/>
      <c r="E263" s="498"/>
      <c r="F263" s="499"/>
      <c r="G263" s="499"/>
      <c r="H263" s="499"/>
      <c r="I263" s="499"/>
      <c r="J263" s="499"/>
      <c r="K263" s="500"/>
      <c r="L263" s="501"/>
      <c r="M263" s="499"/>
      <c r="N263" s="499"/>
      <c r="O263" s="499"/>
      <c r="P263" s="502"/>
      <c r="Q263" s="502"/>
      <c r="R263" s="502"/>
      <c r="S263" s="502"/>
      <c r="T263" s="502"/>
      <c r="U263" s="502"/>
      <c r="V263" s="502"/>
      <c r="W263" s="502"/>
      <c r="X263" s="500"/>
      <c r="Y263" s="500"/>
      <c r="Z263" s="500"/>
      <c r="AA263" s="500"/>
      <c r="AB263" s="313"/>
      <c r="AC263" s="311"/>
      <c r="AD263" s="312"/>
      <c r="AE263" s="314"/>
      <c r="AF263" s="311"/>
      <c r="AG263" s="311"/>
      <c r="AH263" s="312"/>
      <c r="AI263" s="314"/>
      <c r="AJ263" s="315" t="s">
        <v>2074</v>
      </c>
      <c r="AK263" s="316">
        <f>'N.1 GASB 68 LGERS'!C100</f>
        <v>0</v>
      </c>
      <c r="AL263" s="311"/>
      <c r="AM263" s="315" t="s">
        <v>3969</v>
      </c>
      <c r="AN263" s="316">
        <f>'P. GASB 75 OPEB 1 Entries'!D79+'P. GASB 75 OPEB 1 Entries'!D87+'P. GASB 75 OPEB 2 Entries'!D79+'P. GASB 75 OPEB 2 Entries'!D87+'P. GASB 75 3 OPEB Entries'!D79+'P. GASB 75 3 OPEB Entries'!D87</f>
        <v>0</v>
      </c>
      <c r="AO263" s="317"/>
      <c r="AP263" s="316"/>
      <c r="AQ263" s="309"/>
      <c r="AR263" s="315"/>
      <c r="AS263" s="318"/>
      <c r="AT263" s="697"/>
      <c r="AU263" s="509"/>
      <c r="AV263" s="316">
        <f>AD263+AF263+AH263+AK263+AP263+AT263</f>
        <v>0</v>
      </c>
      <c r="AW263" s="316">
        <f>AE263+AG263+AI263+AN263+AS263+AU263</f>
        <v>0</v>
      </c>
      <c r="AX263" s="346"/>
      <c r="AY263" s="318"/>
      <c r="AZ263" s="345"/>
      <c r="BA263" s="254"/>
    </row>
    <row r="264" spans="1:53" s="1030" customFormat="1" x14ac:dyDescent="0.2">
      <c r="A264" s="57"/>
      <c r="B264" s="382"/>
      <c r="C264" s="309"/>
      <c r="D264" s="497"/>
      <c r="E264" s="498"/>
      <c r="F264" s="499"/>
      <c r="G264" s="499"/>
      <c r="H264" s="499"/>
      <c r="I264" s="499"/>
      <c r="J264" s="499"/>
      <c r="K264" s="500"/>
      <c r="L264" s="501"/>
      <c r="M264" s="499"/>
      <c r="N264" s="499"/>
      <c r="O264" s="499"/>
      <c r="P264" s="502"/>
      <c r="Q264" s="502"/>
      <c r="R264" s="502"/>
      <c r="S264" s="502"/>
      <c r="T264" s="502"/>
      <c r="U264" s="502"/>
      <c r="V264" s="502"/>
      <c r="W264" s="502"/>
      <c r="X264" s="500"/>
      <c r="Y264" s="500"/>
      <c r="Z264" s="500"/>
      <c r="AA264" s="500"/>
      <c r="AB264" s="313"/>
      <c r="AC264" s="311"/>
      <c r="AD264" s="312"/>
      <c r="AE264" s="314"/>
      <c r="AF264" s="311"/>
      <c r="AG264" s="311"/>
      <c r="AH264" s="312"/>
      <c r="AI264" s="314"/>
      <c r="AJ264" s="315" t="s">
        <v>3969</v>
      </c>
      <c r="AK264" s="316">
        <f>'P. GASB 75 OPEB 1 Entries'!C61-'P. GASB 75 OPEB 1 Entries'!D95+'P. GASB 75 OPEB 2 Entries'!C61-'P. GASB 75 OPEB 2 Entries'!D95+'P. GASB 75 3 OPEB Entries'!C61-'P. GASB 75 3 OPEB Entries'!D95</f>
        <v>0</v>
      </c>
      <c r="AL264" s="311"/>
      <c r="AM264" s="322"/>
      <c r="AN264" s="316"/>
      <c r="AO264" s="317"/>
      <c r="AP264" s="316"/>
      <c r="AQ264" s="309"/>
      <c r="AR264" s="315"/>
      <c r="AS264" s="318"/>
      <c r="AT264" s="1032"/>
      <c r="AU264" s="509"/>
      <c r="AV264" s="316">
        <f>AD264+AF264+AH264+AK264+AP264+AT264</f>
        <v>0</v>
      </c>
      <c r="AW264" s="316">
        <f>AE264+AG264+AI264+AN264+AS264+AU264</f>
        <v>0</v>
      </c>
      <c r="AX264" s="346"/>
      <c r="AY264" s="318"/>
      <c r="AZ264" s="345"/>
      <c r="BA264" s="254"/>
    </row>
    <row r="265" spans="1:53" x14ac:dyDescent="0.2">
      <c r="A265" s="57"/>
      <c r="B265" s="14"/>
      <c r="C265" s="14"/>
      <c r="D265" s="489"/>
      <c r="E265" s="490"/>
      <c r="F265" s="485"/>
      <c r="G265" s="485"/>
      <c r="H265" s="485"/>
      <c r="I265" s="485"/>
      <c r="J265" s="485"/>
      <c r="K265" s="486"/>
      <c r="L265" s="487"/>
      <c r="M265" s="485"/>
      <c r="N265" s="485"/>
      <c r="O265" s="485"/>
      <c r="P265" s="488"/>
      <c r="Q265" s="488"/>
      <c r="R265" s="488"/>
      <c r="S265" s="488"/>
      <c r="T265" s="488"/>
      <c r="U265" s="488"/>
      <c r="V265" s="488"/>
      <c r="W265" s="488"/>
      <c r="X265" s="486"/>
      <c r="Y265" s="486"/>
      <c r="Z265" s="486"/>
      <c r="AA265" s="486"/>
      <c r="AB265" s="34">
        <f t="shared" si="53"/>
        <v>0</v>
      </c>
      <c r="AC265" s="12">
        <f t="shared" si="54"/>
        <v>0</v>
      </c>
      <c r="AD265" s="30">
        <f t="shared" si="55"/>
        <v>0</v>
      </c>
      <c r="AE265" s="25">
        <f t="shared" si="56"/>
        <v>0</v>
      </c>
      <c r="AF265" s="12"/>
      <c r="AG265" s="12"/>
      <c r="AH265" s="30"/>
      <c r="AI265" s="25"/>
      <c r="AL265" s="12"/>
      <c r="AM265" s="272"/>
      <c r="AN265" s="73"/>
      <c r="AO265" s="279"/>
      <c r="AP265" s="73"/>
      <c r="AQ265" s="14"/>
      <c r="AR265" s="272"/>
      <c r="AS265" s="254"/>
      <c r="AT265" s="508"/>
      <c r="AU265" s="509"/>
      <c r="AV265" s="72"/>
      <c r="AW265" s="72"/>
      <c r="AX265" s="345" t="str">
        <f>IF(AV265-AW265&lt;=0," ",AV265-AW265)</f>
        <v xml:space="preserve"> </v>
      </c>
      <c r="AY265" s="254"/>
      <c r="AZ265" s="345"/>
      <c r="BA265" s="254"/>
    </row>
    <row r="266" spans="1:53" x14ac:dyDescent="0.2">
      <c r="A266" s="57"/>
      <c r="B266" s="382" t="s">
        <v>897</v>
      </c>
      <c r="C266" s="309"/>
      <c r="D266" s="497"/>
      <c r="E266" s="498"/>
      <c r="F266" s="499"/>
      <c r="G266" s="499"/>
      <c r="H266" s="499"/>
      <c r="I266" s="499"/>
      <c r="J266" s="499"/>
      <c r="K266" s="500"/>
      <c r="L266" s="501"/>
      <c r="M266" s="499"/>
      <c r="N266" s="499"/>
      <c r="O266" s="499"/>
      <c r="P266" s="502"/>
      <c r="Q266" s="502"/>
      <c r="R266" s="502"/>
      <c r="S266" s="502"/>
      <c r="T266" s="502"/>
      <c r="U266" s="502"/>
      <c r="V266" s="502"/>
      <c r="W266" s="502"/>
      <c r="X266" s="500"/>
      <c r="Y266" s="500"/>
      <c r="Z266" s="500"/>
      <c r="AA266" s="500"/>
      <c r="AB266" s="313">
        <f t="shared" si="53"/>
        <v>0</v>
      </c>
      <c r="AC266" s="311">
        <f t="shared" si="54"/>
        <v>0</v>
      </c>
      <c r="AD266" s="312">
        <f t="shared" si="55"/>
        <v>0</v>
      </c>
      <c r="AE266" s="314">
        <f t="shared" si="56"/>
        <v>0</v>
      </c>
      <c r="AF266" s="311"/>
      <c r="AG266" s="311"/>
      <c r="AH266" s="312"/>
      <c r="AI266" s="314"/>
      <c r="AJ266" s="315" t="str">
        <f>'D. Depreciation'!A53</f>
        <v>D.1</v>
      </c>
      <c r="AK266" s="316">
        <f>'D. Depreciation'!J57</f>
        <v>0</v>
      </c>
      <c r="AL266" s="311"/>
      <c r="AM266" s="315" t="str">
        <f>'E. Capital Outlay'!D51</f>
        <v>E.1</v>
      </c>
      <c r="AN266" s="316">
        <f>'E. Capital Outlay'!N64</f>
        <v>0</v>
      </c>
      <c r="AO266" s="317" t="str">
        <f>'L. Eliminations-Consolidations'!A239</f>
        <v>L.7</v>
      </c>
      <c r="AP266" s="316">
        <f>'L. Eliminations-Consolidations'!J243</f>
        <v>0</v>
      </c>
      <c r="AQ266" s="309"/>
      <c r="AR266" s="463" t="s">
        <v>682</v>
      </c>
      <c r="AS266" s="318">
        <f>'K.1  Int. Service Fd Allocation'!G211+'K.2  Int. Service Fd Alloca'!G204+'K.3 Int. Service Fd Alloca'!G204</f>
        <v>0</v>
      </c>
      <c r="AT266" s="508"/>
      <c r="AU266" s="509"/>
      <c r="AV266" s="316">
        <f t="shared" si="51"/>
        <v>0</v>
      </c>
      <c r="AW266" s="316">
        <f t="shared" si="52"/>
        <v>0</v>
      </c>
      <c r="AX266" s="346" t="str">
        <f>IF(SUM(AV266:AV271)-SUM(AW266:AW271)&lt;=0," ",SUM(AV266:AV271)-SUM(AW266:AW271))</f>
        <v xml:space="preserve"> </v>
      </c>
      <c r="AY266" s="318" t="str">
        <f>IF(SUM(AV266:AV271)-SUM(AW266:AW271)&gt;=0," ",SUM(AW266:AW271)-SUM(AV266:AV271))</f>
        <v xml:space="preserve"> </v>
      </c>
      <c r="AZ266" s="345"/>
      <c r="BA266" s="254"/>
    </row>
    <row r="267" spans="1:53" x14ac:dyDescent="0.2">
      <c r="A267" s="57"/>
      <c r="B267" s="382"/>
      <c r="C267" s="309"/>
      <c r="D267" s="497"/>
      <c r="E267" s="498"/>
      <c r="F267" s="499"/>
      <c r="G267" s="499"/>
      <c r="H267" s="499"/>
      <c r="I267" s="499"/>
      <c r="J267" s="499"/>
      <c r="K267" s="500"/>
      <c r="L267" s="501"/>
      <c r="M267" s="499"/>
      <c r="N267" s="499"/>
      <c r="O267" s="499"/>
      <c r="P267" s="502"/>
      <c r="Q267" s="502"/>
      <c r="R267" s="502"/>
      <c r="S267" s="502"/>
      <c r="T267" s="502"/>
      <c r="U267" s="502"/>
      <c r="V267" s="502"/>
      <c r="W267" s="502"/>
      <c r="X267" s="500"/>
      <c r="Y267" s="500"/>
      <c r="Z267" s="500"/>
      <c r="AA267" s="500"/>
      <c r="AB267" s="313">
        <f t="shared" si="53"/>
        <v>0</v>
      </c>
      <c r="AC267" s="311">
        <f t="shared" si="54"/>
        <v>0</v>
      </c>
      <c r="AD267" s="312">
        <f t="shared" si="55"/>
        <v>0</v>
      </c>
      <c r="AE267" s="314">
        <f t="shared" si="56"/>
        <v>0</v>
      </c>
      <c r="AF267" s="311"/>
      <c r="AG267" s="311"/>
      <c r="AH267" s="312"/>
      <c r="AI267" s="314"/>
      <c r="AJ267" s="315" t="str">
        <f>'J. Other Liability &amp; Expenses'!D185</f>
        <v>J.1</v>
      </c>
      <c r="AK267" s="316">
        <f>'J. Other Liability &amp; Expenses'!L189</f>
        <v>0</v>
      </c>
      <c r="AL267" s="311"/>
      <c r="AM267" s="322" t="str">
        <f>'I.  Other Asset Entries'!B105</f>
        <v>I.1</v>
      </c>
      <c r="AN267" s="316">
        <f>'I.  Other Asset Entries'!N114</f>
        <v>0</v>
      </c>
      <c r="AO267" s="317"/>
      <c r="AP267" s="316"/>
      <c r="AQ267" s="309"/>
      <c r="AR267" s="315"/>
      <c r="AS267" s="318"/>
      <c r="AT267" s="508"/>
      <c r="AU267" s="509"/>
      <c r="AV267" s="316">
        <f t="shared" si="51"/>
        <v>0</v>
      </c>
      <c r="AW267" s="316">
        <f t="shared" si="52"/>
        <v>0</v>
      </c>
      <c r="AX267" s="346"/>
      <c r="AY267" s="318"/>
      <c r="AZ267" s="345"/>
      <c r="BA267" s="254"/>
    </row>
    <row r="268" spans="1:53" x14ac:dyDescent="0.2">
      <c r="A268" s="57"/>
      <c r="B268" s="382"/>
      <c r="C268" s="309"/>
      <c r="D268" s="497"/>
      <c r="E268" s="498"/>
      <c r="F268" s="499"/>
      <c r="G268" s="499"/>
      <c r="H268" s="499"/>
      <c r="I268" s="499"/>
      <c r="J268" s="499"/>
      <c r="K268" s="500"/>
      <c r="L268" s="501"/>
      <c r="M268" s="499"/>
      <c r="N268" s="499"/>
      <c r="O268" s="499"/>
      <c r="P268" s="502"/>
      <c r="Q268" s="502"/>
      <c r="R268" s="502"/>
      <c r="S268" s="502"/>
      <c r="T268" s="502"/>
      <c r="U268" s="502"/>
      <c r="V268" s="502"/>
      <c r="W268" s="502"/>
      <c r="X268" s="500"/>
      <c r="Y268" s="500"/>
      <c r="Z268" s="500"/>
      <c r="AA268" s="500"/>
      <c r="AB268" s="313">
        <f t="shared" si="53"/>
        <v>0</v>
      </c>
      <c r="AC268" s="311">
        <f t="shared" si="54"/>
        <v>0</v>
      </c>
      <c r="AD268" s="312">
        <f t="shared" si="55"/>
        <v>0</v>
      </c>
      <c r="AE268" s="314">
        <f t="shared" si="56"/>
        <v>0</v>
      </c>
      <c r="AF268" s="311"/>
      <c r="AG268" s="311"/>
      <c r="AH268" s="312"/>
      <c r="AI268" s="314"/>
      <c r="AJ268" s="315" t="str">
        <f>'F.  Other Cap Asset Entries'!D248</f>
        <v>F.3</v>
      </c>
      <c r="AK268" s="316">
        <f>'F.  Other Cap Asset Entries'!M251</f>
        <v>0</v>
      </c>
      <c r="AL268" s="311"/>
      <c r="AM268" s="322" t="str">
        <f>'J. Other Liability &amp; Expenses'!D185</f>
        <v>J.1</v>
      </c>
      <c r="AN268" s="316">
        <f>'J. Other Liability &amp; Expenses'!N189</f>
        <v>0</v>
      </c>
      <c r="AO268" s="317" t="str">
        <f>'L. Eliminations-Consolidations'!B266</f>
        <v>L.8</v>
      </c>
      <c r="AP268" s="316">
        <f>'L. Eliminations-Consolidations'!J271</f>
        <v>0</v>
      </c>
      <c r="AQ268" s="309"/>
      <c r="AR268" s="315" t="str">
        <f>'L. Eliminations-Consolidations'!B266</f>
        <v>L.8</v>
      </c>
      <c r="AS268" s="318">
        <f>'L. Eliminations-Consolidations'!L271</f>
        <v>0</v>
      </c>
      <c r="AT268" s="508"/>
      <c r="AU268" s="509"/>
      <c r="AV268" s="316">
        <f t="shared" si="51"/>
        <v>0</v>
      </c>
      <c r="AW268" s="316">
        <f t="shared" si="52"/>
        <v>0</v>
      </c>
      <c r="AX268" s="346"/>
      <c r="AY268" s="318"/>
      <c r="AZ268" s="345"/>
      <c r="BA268" s="254"/>
    </row>
    <row r="269" spans="1:53" x14ac:dyDescent="0.2">
      <c r="A269" s="57"/>
      <c r="B269" s="382"/>
      <c r="C269" s="309"/>
      <c r="D269" s="497"/>
      <c r="E269" s="498"/>
      <c r="F269" s="499"/>
      <c r="G269" s="499"/>
      <c r="H269" s="499"/>
      <c r="I269" s="499"/>
      <c r="J269" s="499"/>
      <c r="K269" s="500"/>
      <c r="L269" s="501"/>
      <c r="M269" s="499"/>
      <c r="N269" s="499"/>
      <c r="O269" s="499"/>
      <c r="P269" s="502"/>
      <c r="Q269" s="502"/>
      <c r="R269" s="502"/>
      <c r="S269" s="502"/>
      <c r="T269" s="502"/>
      <c r="U269" s="502"/>
      <c r="V269" s="502"/>
      <c r="W269" s="502"/>
      <c r="X269" s="500"/>
      <c r="Y269" s="500"/>
      <c r="Z269" s="500"/>
      <c r="AA269" s="500"/>
      <c r="AB269" s="313"/>
      <c r="AC269" s="311"/>
      <c r="AD269" s="312"/>
      <c r="AE269" s="314"/>
      <c r="AF269" s="311"/>
      <c r="AG269" s="311"/>
      <c r="AH269" s="312"/>
      <c r="AI269" s="314"/>
      <c r="AJ269" s="315" t="s">
        <v>968</v>
      </c>
      <c r="AK269" s="316">
        <f>'F.  Other Cap Asset Entries'!M272</f>
        <v>0</v>
      </c>
      <c r="AL269" s="311"/>
      <c r="AM269" s="322" t="s">
        <v>2074</v>
      </c>
      <c r="AN269" s="316">
        <f>'N.1 GASB 68 LGERS'!D101</f>
        <v>0</v>
      </c>
      <c r="AO269" s="317"/>
      <c r="AP269" s="316"/>
      <c r="AQ269" s="309"/>
      <c r="AR269" s="315"/>
      <c r="AS269" s="318"/>
      <c r="AT269" s="508"/>
      <c r="AU269" s="509"/>
      <c r="AV269" s="316">
        <f t="shared" si="51"/>
        <v>0</v>
      </c>
      <c r="AW269" s="316">
        <f t="shared" si="52"/>
        <v>0</v>
      </c>
      <c r="AX269" s="346"/>
      <c r="AY269" s="318"/>
      <c r="AZ269" s="345"/>
      <c r="BA269" s="254"/>
    </row>
    <row r="270" spans="1:53" s="693" customFormat="1" x14ac:dyDescent="0.2">
      <c r="A270" s="57"/>
      <c r="B270" s="382"/>
      <c r="C270" s="309"/>
      <c r="D270" s="497"/>
      <c r="E270" s="498"/>
      <c r="F270" s="499"/>
      <c r="G270" s="499"/>
      <c r="H270" s="499"/>
      <c r="I270" s="499"/>
      <c r="J270" s="499"/>
      <c r="K270" s="500"/>
      <c r="L270" s="501"/>
      <c r="M270" s="499"/>
      <c r="N270" s="499"/>
      <c r="O270" s="499"/>
      <c r="P270" s="502"/>
      <c r="Q270" s="502"/>
      <c r="R270" s="502"/>
      <c r="S270" s="502"/>
      <c r="T270" s="502"/>
      <c r="U270" s="502"/>
      <c r="V270" s="502"/>
      <c r="W270" s="502"/>
      <c r="X270" s="500"/>
      <c r="Y270" s="500"/>
      <c r="Z270" s="500"/>
      <c r="AA270" s="500"/>
      <c r="AB270" s="313"/>
      <c r="AC270" s="311"/>
      <c r="AD270" s="312"/>
      <c r="AE270" s="314"/>
      <c r="AF270" s="311"/>
      <c r="AG270" s="311"/>
      <c r="AH270" s="312"/>
      <c r="AI270" s="314"/>
      <c r="AJ270" s="315" t="s">
        <v>2074</v>
      </c>
      <c r="AK270" s="316">
        <f>'N.1 GASB 68 LGERS'!C101</f>
        <v>0</v>
      </c>
      <c r="AL270" s="311"/>
      <c r="AM270" s="315" t="s">
        <v>3969</v>
      </c>
      <c r="AN270" s="316">
        <f>'P. GASB 75 OPEB 1 Entries'!D80+'P. GASB 75 OPEB 1 Entries'!D88+'P. GASB 75 OPEB 2 Entries'!D80+'P. GASB 75 OPEB 2 Entries'!D88+'P. GASB 75 3 OPEB Entries'!D80+'P. GASB 75 3 OPEB Entries'!D88</f>
        <v>0</v>
      </c>
      <c r="AO270" s="317"/>
      <c r="AP270" s="316"/>
      <c r="AQ270" s="309"/>
      <c r="AR270" s="315"/>
      <c r="AS270" s="318"/>
      <c r="AT270" s="697"/>
      <c r="AU270" s="509"/>
      <c r="AV270" s="316">
        <f>AD270+AF270+AH270+AK270+AP270+AT270</f>
        <v>0</v>
      </c>
      <c r="AW270" s="316">
        <f>AE270+AG270+AI270+AN270+AS270+AU270</f>
        <v>0</v>
      </c>
      <c r="AX270" s="346"/>
      <c r="AY270" s="318"/>
      <c r="AZ270" s="345"/>
      <c r="BA270" s="254"/>
    </row>
    <row r="271" spans="1:53" s="1030" customFormat="1" x14ac:dyDescent="0.2">
      <c r="A271" s="57"/>
      <c r="B271" s="382"/>
      <c r="C271" s="309"/>
      <c r="D271" s="497"/>
      <c r="E271" s="498"/>
      <c r="F271" s="499"/>
      <c r="G271" s="499"/>
      <c r="H271" s="499"/>
      <c r="I271" s="499"/>
      <c r="J271" s="499"/>
      <c r="K271" s="500"/>
      <c r="L271" s="501"/>
      <c r="M271" s="499"/>
      <c r="N271" s="499"/>
      <c r="O271" s="499"/>
      <c r="P271" s="502"/>
      <c r="Q271" s="502"/>
      <c r="R271" s="502"/>
      <c r="S271" s="502"/>
      <c r="T271" s="502"/>
      <c r="U271" s="502"/>
      <c r="V271" s="502"/>
      <c r="W271" s="502"/>
      <c r="X271" s="500"/>
      <c r="Y271" s="500"/>
      <c r="Z271" s="500"/>
      <c r="AA271" s="500"/>
      <c r="AB271" s="313"/>
      <c r="AC271" s="311"/>
      <c r="AD271" s="312"/>
      <c r="AE271" s="314"/>
      <c r="AF271" s="311"/>
      <c r="AG271" s="311"/>
      <c r="AH271" s="312"/>
      <c r="AI271" s="314"/>
      <c r="AJ271" s="315" t="s">
        <v>3969</v>
      </c>
      <c r="AK271" s="316">
        <f>'P. GASB 75 OPEB 1 Entries'!C62-'P. GASB 75 OPEB 1 Entries'!D96+'P. GASB 75 OPEB 2 Entries'!C62-'P. GASB 75 OPEB 2 Entries'!D96+'P. GASB 75 3 OPEB Entries'!C62-'P. GASB 75 3 OPEB Entries'!D96</f>
        <v>0</v>
      </c>
      <c r="AL271" s="311"/>
      <c r="AM271" s="322"/>
      <c r="AN271" s="316"/>
      <c r="AO271" s="317"/>
      <c r="AP271" s="316"/>
      <c r="AQ271" s="309"/>
      <c r="AR271" s="315"/>
      <c r="AS271" s="318"/>
      <c r="AT271" s="1032"/>
      <c r="AU271" s="509"/>
      <c r="AV271" s="316">
        <f>AD271+AF271+AH271+AK271+AP271+AT271</f>
        <v>0</v>
      </c>
      <c r="AW271" s="316">
        <f>AE271+AG271+AI271+AN271+AS271+AU271</f>
        <v>0</v>
      </c>
      <c r="AX271" s="346"/>
      <c r="AY271" s="318"/>
      <c r="AZ271" s="345"/>
      <c r="BA271" s="254"/>
    </row>
    <row r="272" spans="1:53" x14ac:dyDescent="0.2">
      <c r="A272" s="57"/>
      <c r="B272" s="14"/>
      <c r="C272" s="14"/>
      <c r="D272" s="489"/>
      <c r="E272" s="490"/>
      <c r="F272" s="485"/>
      <c r="G272" s="485"/>
      <c r="H272" s="485"/>
      <c r="I272" s="485"/>
      <c r="J272" s="485"/>
      <c r="K272" s="486"/>
      <c r="L272" s="487"/>
      <c r="M272" s="485"/>
      <c r="N272" s="485"/>
      <c r="O272" s="485"/>
      <c r="P272" s="488"/>
      <c r="Q272" s="488"/>
      <c r="R272" s="488"/>
      <c r="S272" s="488"/>
      <c r="T272" s="488"/>
      <c r="U272" s="488"/>
      <c r="V272" s="488"/>
      <c r="W272" s="488"/>
      <c r="X272" s="486"/>
      <c r="Y272" s="486"/>
      <c r="Z272" s="486"/>
      <c r="AA272" s="486"/>
      <c r="AB272" s="34">
        <f t="shared" si="53"/>
        <v>0</v>
      </c>
      <c r="AC272" s="12">
        <f t="shared" si="54"/>
        <v>0</v>
      </c>
      <c r="AD272" s="30">
        <f t="shared" si="55"/>
        <v>0</v>
      </c>
      <c r="AE272" s="25">
        <f t="shared" si="56"/>
        <v>0</v>
      </c>
      <c r="AF272" s="12"/>
      <c r="AG272" s="12"/>
      <c r="AH272" s="30"/>
      <c r="AI272" s="25"/>
      <c r="AL272" s="12"/>
      <c r="AM272" s="272"/>
      <c r="AN272" s="73"/>
      <c r="AO272" s="279"/>
      <c r="AP272" s="73"/>
      <c r="AQ272" s="14"/>
      <c r="AR272" s="272"/>
      <c r="AS272" s="254"/>
      <c r="AT272" s="508"/>
      <c r="AU272" s="509"/>
      <c r="AV272" s="72"/>
      <c r="AW272" s="72"/>
      <c r="AX272" s="345" t="str">
        <f>IF(AV272-AW272&lt;=0," ",AV272-AW272)</f>
        <v xml:space="preserve"> </v>
      </c>
      <c r="AY272" s="254"/>
      <c r="AZ272" s="345"/>
      <c r="BA272" s="254"/>
    </row>
    <row r="273" spans="1:53" x14ac:dyDescent="0.2">
      <c r="A273" s="57"/>
      <c r="B273" s="382" t="s">
        <v>906</v>
      </c>
      <c r="C273" s="309"/>
      <c r="D273" s="497"/>
      <c r="E273" s="498"/>
      <c r="F273" s="499"/>
      <c r="G273" s="499"/>
      <c r="H273" s="499"/>
      <c r="I273" s="499"/>
      <c r="J273" s="499"/>
      <c r="K273" s="500"/>
      <c r="L273" s="501"/>
      <c r="M273" s="499"/>
      <c r="N273" s="499"/>
      <c r="O273" s="499"/>
      <c r="P273" s="502"/>
      <c r="Q273" s="502"/>
      <c r="R273" s="502"/>
      <c r="S273" s="502"/>
      <c r="T273" s="502"/>
      <c r="U273" s="502"/>
      <c r="V273" s="502"/>
      <c r="W273" s="502"/>
      <c r="X273" s="500"/>
      <c r="Y273" s="500"/>
      <c r="Z273" s="500"/>
      <c r="AA273" s="500"/>
      <c r="AB273" s="313">
        <f t="shared" si="53"/>
        <v>0</v>
      </c>
      <c r="AC273" s="311">
        <f t="shared" si="54"/>
        <v>0</v>
      </c>
      <c r="AD273" s="312">
        <f t="shared" si="55"/>
        <v>0</v>
      </c>
      <c r="AE273" s="314">
        <f t="shared" si="56"/>
        <v>0</v>
      </c>
      <c r="AF273" s="311"/>
      <c r="AG273" s="311"/>
      <c r="AH273" s="312"/>
      <c r="AI273" s="314"/>
      <c r="AJ273" s="315" t="str">
        <f>'D. Depreciation'!A53</f>
        <v>D.1</v>
      </c>
      <c r="AK273" s="316">
        <f>'D. Depreciation'!J58</f>
        <v>0</v>
      </c>
      <c r="AL273" s="311"/>
      <c r="AM273" s="315" t="str">
        <f>'E. Capital Outlay'!D51</f>
        <v>E.1</v>
      </c>
      <c r="AN273" s="316">
        <f>'E. Capital Outlay'!N65</f>
        <v>0</v>
      </c>
      <c r="AO273" s="317" t="str">
        <f>'L. Eliminations-Consolidations'!A239</f>
        <v>L.7</v>
      </c>
      <c r="AP273" s="316">
        <f>'L. Eliminations-Consolidations'!J244</f>
        <v>0</v>
      </c>
      <c r="AQ273" s="309"/>
      <c r="AR273" s="463" t="s">
        <v>682</v>
      </c>
      <c r="AS273" s="318">
        <f>'K.1  Int. Service Fd Allocation'!G212+'K.2  Int. Service Fd Alloca'!G205+'K.3 Int. Service Fd Alloca'!G205</f>
        <v>0</v>
      </c>
      <c r="AT273" s="508"/>
      <c r="AU273" s="509"/>
      <c r="AV273" s="316">
        <f t="shared" si="51"/>
        <v>0</v>
      </c>
      <c r="AW273" s="316">
        <f t="shared" si="52"/>
        <v>0</v>
      </c>
      <c r="AX273" s="346" t="str">
        <f>IF(SUM(AV273:AV278)-SUM(AW273:AW278)&lt;=0," ",SUM(AV273:AV278)-SUM(AW273:AW278))</f>
        <v xml:space="preserve"> </v>
      </c>
      <c r="AY273" s="318" t="str">
        <f>IF(SUM(AV273:AV278)-SUM(AW273:AW278)&gt;=0," ",SUM(AW273:AW278)-SUM(AV273:AV278))</f>
        <v xml:space="preserve"> </v>
      </c>
      <c r="AZ273" s="345"/>
      <c r="BA273" s="254"/>
    </row>
    <row r="274" spans="1:53" x14ac:dyDescent="0.2">
      <c r="A274" s="57"/>
      <c r="B274" s="382"/>
      <c r="C274" s="309"/>
      <c r="D274" s="497"/>
      <c r="E274" s="498"/>
      <c r="F274" s="499"/>
      <c r="G274" s="499"/>
      <c r="H274" s="499"/>
      <c r="I274" s="499"/>
      <c r="J274" s="499"/>
      <c r="K274" s="500"/>
      <c r="L274" s="501"/>
      <c r="M274" s="499"/>
      <c r="N274" s="499"/>
      <c r="O274" s="499"/>
      <c r="P274" s="502"/>
      <c r="Q274" s="502"/>
      <c r="R274" s="502"/>
      <c r="S274" s="502"/>
      <c r="T274" s="502"/>
      <c r="U274" s="502"/>
      <c r="V274" s="502"/>
      <c r="W274" s="502"/>
      <c r="X274" s="500"/>
      <c r="Y274" s="500"/>
      <c r="Z274" s="500"/>
      <c r="AA274" s="500"/>
      <c r="AB274" s="313">
        <f t="shared" si="53"/>
        <v>0</v>
      </c>
      <c r="AC274" s="311">
        <f t="shared" si="54"/>
        <v>0</v>
      </c>
      <c r="AD274" s="312">
        <f t="shared" si="55"/>
        <v>0</v>
      </c>
      <c r="AE274" s="314">
        <f t="shared" si="56"/>
        <v>0</v>
      </c>
      <c r="AF274" s="311"/>
      <c r="AG274" s="311"/>
      <c r="AH274" s="312"/>
      <c r="AI274" s="314"/>
      <c r="AJ274" s="315" t="str">
        <f>'J. Other Liability &amp; Expenses'!D185</f>
        <v>J.1</v>
      </c>
      <c r="AK274" s="316">
        <f>'J. Other Liability &amp; Expenses'!L190</f>
        <v>0</v>
      </c>
      <c r="AL274" s="311"/>
      <c r="AM274" s="322" t="str">
        <f>'I.  Other Asset Entries'!B105</f>
        <v>I.1</v>
      </c>
      <c r="AN274" s="316">
        <f>'I.  Other Asset Entries'!N115</f>
        <v>0</v>
      </c>
      <c r="AO274" s="317"/>
      <c r="AP274" s="316"/>
      <c r="AQ274" s="309"/>
      <c r="AR274" s="315"/>
      <c r="AS274" s="318"/>
      <c r="AT274" s="508"/>
      <c r="AU274" s="509"/>
      <c r="AV274" s="316">
        <f t="shared" si="51"/>
        <v>0</v>
      </c>
      <c r="AW274" s="316">
        <f t="shared" si="52"/>
        <v>0</v>
      </c>
      <c r="AX274" s="346"/>
      <c r="AY274" s="318"/>
      <c r="AZ274" s="345"/>
      <c r="BA274" s="254"/>
    </row>
    <row r="275" spans="1:53" x14ac:dyDescent="0.2">
      <c r="A275" s="57"/>
      <c r="B275" s="382"/>
      <c r="C275" s="309"/>
      <c r="D275" s="497"/>
      <c r="E275" s="498"/>
      <c r="F275" s="499"/>
      <c r="G275" s="499"/>
      <c r="H275" s="499"/>
      <c r="I275" s="499"/>
      <c r="J275" s="499"/>
      <c r="K275" s="500"/>
      <c r="L275" s="501"/>
      <c r="M275" s="499"/>
      <c r="N275" s="499"/>
      <c r="O275" s="499"/>
      <c r="P275" s="502"/>
      <c r="Q275" s="502"/>
      <c r="R275" s="502"/>
      <c r="S275" s="502"/>
      <c r="T275" s="502"/>
      <c r="U275" s="502"/>
      <c r="V275" s="502"/>
      <c r="W275" s="502"/>
      <c r="X275" s="500"/>
      <c r="Y275" s="500"/>
      <c r="Z275" s="500"/>
      <c r="AA275" s="500"/>
      <c r="AB275" s="313">
        <f t="shared" si="53"/>
        <v>0</v>
      </c>
      <c r="AC275" s="311">
        <f t="shared" si="54"/>
        <v>0</v>
      </c>
      <c r="AD275" s="312">
        <f t="shared" si="55"/>
        <v>0</v>
      </c>
      <c r="AE275" s="314">
        <f t="shared" si="56"/>
        <v>0</v>
      </c>
      <c r="AF275" s="311"/>
      <c r="AG275" s="311"/>
      <c r="AH275" s="312"/>
      <c r="AI275" s="314"/>
      <c r="AJ275" s="315" t="str">
        <f>'F.  Other Cap Asset Entries'!D248</f>
        <v>F.3</v>
      </c>
      <c r="AK275" s="316">
        <f>'F.  Other Cap Asset Entries'!M252</f>
        <v>0</v>
      </c>
      <c r="AL275" s="311"/>
      <c r="AM275" s="322" t="str">
        <f>'J. Other Liability &amp; Expenses'!D185</f>
        <v>J.1</v>
      </c>
      <c r="AN275" s="316">
        <f>'J. Other Liability &amp; Expenses'!N190</f>
        <v>0</v>
      </c>
      <c r="AO275" s="317" t="str">
        <f>'L. Eliminations-Consolidations'!B266</f>
        <v>L.8</v>
      </c>
      <c r="AP275" s="316">
        <f>'L. Eliminations-Consolidations'!J272</f>
        <v>0</v>
      </c>
      <c r="AQ275" s="309"/>
      <c r="AR275" s="315" t="str">
        <f>'L. Eliminations-Consolidations'!B266</f>
        <v>L.8</v>
      </c>
      <c r="AS275" s="318">
        <f>'L. Eliminations-Consolidations'!L272</f>
        <v>0</v>
      </c>
      <c r="AT275" s="508"/>
      <c r="AU275" s="509"/>
      <c r="AV275" s="316">
        <f t="shared" si="51"/>
        <v>0</v>
      </c>
      <c r="AW275" s="316">
        <f t="shared" si="52"/>
        <v>0</v>
      </c>
      <c r="AX275" s="346"/>
      <c r="AY275" s="318"/>
      <c r="AZ275" s="345"/>
      <c r="BA275" s="254"/>
    </row>
    <row r="276" spans="1:53" x14ac:dyDescent="0.2">
      <c r="A276" s="57"/>
      <c r="B276" s="382"/>
      <c r="C276" s="309"/>
      <c r="D276" s="497"/>
      <c r="E276" s="498"/>
      <c r="F276" s="499"/>
      <c r="G276" s="499"/>
      <c r="H276" s="499"/>
      <c r="I276" s="499"/>
      <c r="J276" s="499"/>
      <c r="K276" s="500"/>
      <c r="L276" s="501"/>
      <c r="M276" s="499"/>
      <c r="N276" s="499"/>
      <c r="O276" s="499"/>
      <c r="P276" s="502"/>
      <c r="Q276" s="502"/>
      <c r="R276" s="502"/>
      <c r="S276" s="502"/>
      <c r="T276" s="502"/>
      <c r="U276" s="502"/>
      <c r="V276" s="502"/>
      <c r="W276" s="502"/>
      <c r="X276" s="500"/>
      <c r="Y276" s="500"/>
      <c r="Z276" s="500"/>
      <c r="AA276" s="500"/>
      <c r="AB276" s="313"/>
      <c r="AC276" s="311"/>
      <c r="AD276" s="312"/>
      <c r="AE276" s="314"/>
      <c r="AF276" s="311"/>
      <c r="AG276" s="311"/>
      <c r="AH276" s="312"/>
      <c r="AI276" s="314"/>
      <c r="AJ276" s="315" t="s">
        <v>968</v>
      </c>
      <c r="AK276" s="316">
        <f>'F.  Other Cap Asset Entries'!M273</f>
        <v>0</v>
      </c>
      <c r="AL276" s="311"/>
      <c r="AM276" s="322" t="s">
        <v>2074</v>
      </c>
      <c r="AN276" s="316">
        <f>'N.1 GASB 68 LGERS'!D102</f>
        <v>0</v>
      </c>
      <c r="AO276" s="317"/>
      <c r="AP276" s="316"/>
      <c r="AQ276" s="309"/>
      <c r="AR276" s="315"/>
      <c r="AS276" s="318"/>
      <c r="AT276" s="508"/>
      <c r="AU276" s="509"/>
      <c r="AV276" s="316">
        <f t="shared" si="51"/>
        <v>0</v>
      </c>
      <c r="AW276" s="316">
        <f t="shared" si="52"/>
        <v>0</v>
      </c>
      <c r="AX276" s="346"/>
      <c r="AY276" s="318"/>
      <c r="AZ276" s="345"/>
      <c r="BA276" s="254"/>
    </row>
    <row r="277" spans="1:53" s="693" customFormat="1" x14ac:dyDescent="0.2">
      <c r="A277" s="57"/>
      <c r="B277" s="382"/>
      <c r="C277" s="309"/>
      <c r="D277" s="497"/>
      <c r="E277" s="498"/>
      <c r="F277" s="499"/>
      <c r="G277" s="499"/>
      <c r="H277" s="499"/>
      <c r="I277" s="499"/>
      <c r="J277" s="499"/>
      <c r="K277" s="500"/>
      <c r="L277" s="501"/>
      <c r="M277" s="499"/>
      <c r="N277" s="499"/>
      <c r="O277" s="499"/>
      <c r="P277" s="502"/>
      <c r="Q277" s="502"/>
      <c r="R277" s="502"/>
      <c r="S277" s="502"/>
      <c r="T277" s="502"/>
      <c r="U277" s="502"/>
      <c r="V277" s="502"/>
      <c r="W277" s="502"/>
      <c r="X277" s="500"/>
      <c r="Y277" s="500"/>
      <c r="Z277" s="500"/>
      <c r="AA277" s="500"/>
      <c r="AB277" s="313"/>
      <c r="AC277" s="311"/>
      <c r="AD277" s="312"/>
      <c r="AE277" s="314"/>
      <c r="AF277" s="311"/>
      <c r="AG277" s="311"/>
      <c r="AH277" s="312"/>
      <c r="AI277" s="314"/>
      <c r="AJ277" s="315" t="s">
        <v>2074</v>
      </c>
      <c r="AK277" s="316">
        <f>'N.1 GASB 68 LGERS'!C102</f>
        <v>0</v>
      </c>
      <c r="AL277" s="311"/>
      <c r="AM277" s="315" t="s">
        <v>3969</v>
      </c>
      <c r="AN277" s="316">
        <f>'P. GASB 75 OPEB 1 Entries'!D81+'P. GASB 75 OPEB 1 Entries'!D89+'P. GASB 75 OPEB 2 Entries'!D81+'P. GASB 75 OPEB 2 Entries'!D89+'P. GASB 75 3 OPEB Entries'!D81+'P. GASB 75 3 OPEB Entries'!D89</f>
        <v>0</v>
      </c>
      <c r="AO277" s="317"/>
      <c r="AP277" s="316"/>
      <c r="AQ277" s="309"/>
      <c r="AR277" s="315"/>
      <c r="AS277" s="318"/>
      <c r="AT277" s="697"/>
      <c r="AU277" s="509"/>
      <c r="AV277" s="316">
        <f>AD277+AF277+AH277+AK277+AP277+AT277</f>
        <v>0</v>
      </c>
      <c r="AW277" s="316">
        <f>AE277+AG277+AI277+AN277+AS277+AU277</f>
        <v>0</v>
      </c>
      <c r="AX277" s="346"/>
      <c r="AY277" s="318"/>
      <c r="AZ277" s="345"/>
      <c r="BA277" s="254"/>
    </row>
    <row r="278" spans="1:53" s="1030" customFormat="1" x14ac:dyDescent="0.2">
      <c r="A278" s="57"/>
      <c r="B278" s="382"/>
      <c r="C278" s="309"/>
      <c r="D278" s="497"/>
      <c r="E278" s="498"/>
      <c r="F278" s="499"/>
      <c r="G278" s="499"/>
      <c r="H278" s="499"/>
      <c r="I278" s="499"/>
      <c r="J278" s="499"/>
      <c r="K278" s="500"/>
      <c r="L278" s="501"/>
      <c r="M278" s="499"/>
      <c r="N278" s="499"/>
      <c r="O278" s="499"/>
      <c r="P278" s="502"/>
      <c r="Q278" s="502"/>
      <c r="R278" s="502"/>
      <c r="S278" s="502"/>
      <c r="T278" s="502"/>
      <c r="U278" s="502"/>
      <c r="V278" s="502"/>
      <c r="W278" s="502"/>
      <c r="X278" s="500"/>
      <c r="Y278" s="500"/>
      <c r="Z278" s="500"/>
      <c r="AA278" s="500"/>
      <c r="AB278" s="313"/>
      <c r="AC278" s="311"/>
      <c r="AD278" s="312"/>
      <c r="AE278" s="314"/>
      <c r="AF278" s="311"/>
      <c r="AG278" s="311"/>
      <c r="AH278" s="312"/>
      <c r="AI278" s="314"/>
      <c r="AJ278" s="315" t="s">
        <v>3969</v>
      </c>
      <c r="AK278" s="316">
        <f>'P. GASB 75 OPEB 1 Entries'!C63-'P. GASB 75 OPEB 1 Entries'!D97+'P. GASB 75 OPEB 2 Entries'!C63-'P. GASB 75 OPEB 2 Entries'!D97+'P. GASB 75 3 OPEB Entries'!C63-'P. GASB 75 3 OPEB Entries'!D97</f>
        <v>0</v>
      </c>
      <c r="AL278" s="311"/>
      <c r="AM278" s="322"/>
      <c r="AN278" s="316"/>
      <c r="AO278" s="317"/>
      <c r="AP278" s="316"/>
      <c r="AQ278" s="309"/>
      <c r="AR278" s="315"/>
      <c r="AS278" s="318"/>
      <c r="AT278" s="1032"/>
      <c r="AU278" s="509"/>
      <c r="AV278" s="316">
        <f>AD278+AF278+AH278+AK278+AP278+AT278</f>
        <v>0</v>
      </c>
      <c r="AW278" s="316">
        <f>AE278+AG278+AI278+AN278+AS278+AU278</f>
        <v>0</v>
      </c>
      <c r="AX278" s="346"/>
      <c r="AY278" s="318"/>
      <c r="AZ278" s="345"/>
      <c r="BA278" s="254"/>
    </row>
    <row r="279" spans="1:53" x14ac:dyDescent="0.2">
      <c r="A279" s="45"/>
      <c r="B279" s="14"/>
      <c r="C279" s="14"/>
      <c r="D279" s="489"/>
      <c r="E279" s="490"/>
      <c r="F279" s="485"/>
      <c r="G279" s="485"/>
      <c r="H279" s="485"/>
      <c r="I279" s="485"/>
      <c r="J279" s="485"/>
      <c r="K279" s="486"/>
      <c r="L279" s="487"/>
      <c r="M279" s="485"/>
      <c r="N279" s="485"/>
      <c r="O279" s="485"/>
      <c r="P279" s="488"/>
      <c r="Q279" s="488"/>
      <c r="R279" s="488"/>
      <c r="S279" s="488"/>
      <c r="T279" s="488"/>
      <c r="U279" s="488"/>
      <c r="V279" s="488"/>
      <c r="W279" s="488"/>
      <c r="X279" s="486"/>
      <c r="Y279" s="486"/>
      <c r="Z279" s="486"/>
      <c r="AA279" s="486"/>
      <c r="AB279" s="34">
        <f t="shared" si="53"/>
        <v>0</v>
      </c>
      <c r="AC279" s="12">
        <f t="shared" si="54"/>
        <v>0</v>
      </c>
      <c r="AD279" s="30">
        <f t="shared" si="55"/>
        <v>0</v>
      </c>
      <c r="AE279" s="25">
        <f t="shared" si="56"/>
        <v>0</v>
      </c>
      <c r="AF279" s="12"/>
      <c r="AG279" s="12"/>
      <c r="AH279" s="30"/>
      <c r="AI279" s="25"/>
      <c r="AL279" s="12"/>
      <c r="AM279" s="272"/>
      <c r="AN279" s="73"/>
      <c r="AO279" s="279"/>
      <c r="AP279" s="73"/>
      <c r="AQ279" s="14"/>
      <c r="AR279" s="272"/>
      <c r="AS279" s="254"/>
      <c r="AT279" s="508"/>
      <c r="AU279" s="509"/>
      <c r="AV279" s="72"/>
      <c r="AW279" s="72"/>
      <c r="AX279" s="345" t="str">
        <f>IF(AV279-AW279&lt;=0," ",AV279-AW279)</f>
        <v xml:space="preserve"> </v>
      </c>
      <c r="AY279" s="254"/>
      <c r="AZ279" s="345"/>
      <c r="BA279" s="254"/>
    </row>
    <row r="280" spans="1:53" x14ac:dyDescent="0.2">
      <c r="A280" s="57"/>
      <c r="B280" s="382" t="s">
        <v>926</v>
      </c>
      <c r="C280" s="309"/>
      <c r="D280" s="497"/>
      <c r="E280" s="498"/>
      <c r="F280" s="499"/>
      <c r="G280" s="499"/>
      <c r="H280" s="499"/>
      <c r="I280" s="499"/>
      <c r="J280" s="499"/>
      <c r="K280" s="500"/>
      <c r="L280" s="501"/>
      <c r="M280" s="499"/>
      <c r="N280" s="499"/>
      <c r="O280" s="499"/>
      <c r="P280" s="502"/>
      <c r="Q280" s="502"/>
      <c r="R280" s="502"/>
      <c r="S280" s="502"/>
      <c r="T280" s="502"/>
      <c r="U280" s="502"/>
      <c r="V280" s="502"/>
      <c r="W280" s="502"/>
      <c r="X280" s="500"/>
      <c r="Y280" s="500"/>
      <c r="Z280" s="500"/>
      <c r="AA280" s="500"/>
      <c r="AB280" s="313">
        <f t="shared" si="53"/>
        <v>0</v>
      </c>
      <c r="AC280" s="311">
        <f t="shared" si="54"/>
        <v>0</v>
      </c>
      <c r="AD280" s="312">
        <f t="shared" si="55"/>
        <v>0</v>
      </c>
      <c r="AE280" s="314">
        <f t="shared" si="56"/>
        <v>0</v>
      </c>
      <c r="AF280" s="311"/>
      <c r="AG280" s="311"/>
      <c r="AH280" s="312"/>
      <c r="AI280" s="314"/>
      <c r="AJ280" s="315" t="str">
        <f>'D. Depreciation'!A53</f>
        <v>D.1</v>
      </c>
      <c r="AK280" s="316">
        <f>'D. Depreciation'!J59</f>
        <v>0</v>
      </c>
      <c r="AL280" s="311"/>
      <c r="AM280" s="315" t="str">
        <f>'E. Capital Outlay'!D51</f>
        <v>E.1</v>
      </c>
      <c r="AN280" s="316">
        <f>'E. Capital Outlay'!N67</f>
        <v>0</v>
      </c>
      <c r="AO280" s="317" t="str">
        <f>'L. Eliminations-Consolidations'!A239</f>
        <v>L.7</v>
      </c>
      <c r="AP280" s="316">
        <f>'L. Eliminations-Consolidations'!J245</f>
        <v>0</v>
      </c>
      <c r="AQ280" s="309"/>
      <c r="AR280" s="463" t="s">
        <v>682</v>
      </c>
      <c r="AS280" s="318">
        <f>'K.1  Int. Service Fd Allocation'!G213+'K.2  Int. Service Fd Alloca'!G206+'K.3 Int. Service Fd Alloca'!G206</f>
        <v>0</v>
      </c>
      <c r="AT280" s="508"/>
      <c r="AU280" s="509"/>
      <c r="AV280" s="316">
        <f t="shared" si="51"/>
        <v>0</v>
      </c>
      <c r="AW280" s="316">
        <f t="shared" si="52"/>
        <v>0</v>
      </c>
      <c r="AX280" s="346" t="str">
        <f>IF(SUM(AV280:AV285)-SUM(AW280:AW285)&lt;=0," ",SUM(AV280:AV285)-SUM(AW280:AW285))</f>
        <v xml:space="preserve"> </v>
      </c>
      <c r="AY280" s="318" t="str">
        <f>IF(SUM(AV280:AV285)-SUM(AW280:AW285)&gt;=0," ",SUM(AW280:AW285)-SUM(AV280:AV285))</f>
        <v xml:space="preserve"> </v>
      </c>
      <c r="AZ280" s="345"/>
      <c r="BA280" s="254"/>
    </row>
    <row r="281" spans="1:53" x14ac:dyDescent="0.2">
      <c r="A281" s="57"/>
      <c r="B281" s="382"/>
      <c r="C281" s="309"/>
      <c r="D281" s="497"/>
      <c r="E281" s="498"/>
      <c r="F281" s="499"/>
      <c r="G281" s="499"/>
      <c r="H281" s="499"/>
      <c r="I281" s="499"/>
      <c r="J281" s="499"/>
      <c r="K281" s="500"/>
      <c r="L281" s="501"/>
      <c r="M281" s="499"/>
      <c r="N281" s="499"/>
      <c r="O281" s="499"/>
      <c r="P281" s="502"/>
      <c r="Q281" s="502"/>
      <c r="R281" s="502"/>
      <c r="S281" s="502"/>
      <c r="T281" s="502"/>
      <c r="U281" s="502"/>
      <c r="V281" s="502"/>
      <c r="W281" s="502"/>
      <c r="X281" s="500"/>
      <c r="Y281" s="500"/>
      <c r="Z281" s="500"/>
      <c r="AA281" s="500"/>
      <c r="AB281" s="313">
        <f t="shared" si="53"/>
        <v>0</v>
      </c>
      <c r="AC281" s="311">
        <f t="shared" si="54"/>
        <v>0</v>
      </c>
      <c r="AD281" s="312">
        <f t="shared" si="55"/>
        <v>0</v>
      </c>
      <c r="AE281" s="314">
        <f t="shared" si="56"/>
        <v>0</v>
      </c>
      <c r="AF281" s="311"/>
      <c r="AG281" s="311"/>
      <c r="AH281" s="312"/>
      <c r="AI281" s="314"/>
      <c r="AJ281" s="315" t="str">
        <f>'J. Other Liability &amp; Expenses'!D185</f>
        <v>J.1</v>
      </c>
      <c r="AK281" s="316">
        <f>'J. Other Liability &amp; Expenses'!L191</f>
        <v>0</v>
      </c>
      <c r="AL281" s="311"/>
      <c r="AM281" s="322" t="str">
        <f>'I.  Other Asset Entries'!B105</f>
        <v>I.1</v>
      </c>
      <c r="AN281" s="316">
        <f>'I.  Other Asset Entries'!N116</f>
        <v>0</v>
      </c>
      <c r="AO281" s="317"/>
      <c r="AP281" s="316"/>
      <c r="AQ281" s="309"/>
      <c r="AR281" s="315"/>
      <c r="AS281" s="318"/>
      <c r="AT281" s="508"/>
      <c r="AU281" s="509"/>
      <c r="AV281" s="316">
        <f t="shared" si="51"/>
        <v>0</v>
      </c>
      <c r="AW281" s="316">
        <f t="shared" si="52"/>
        <v>0</v>
      </c>
      <c r="AX281" s="346"/>
      <c r="AY281" s="318"/>
      <c r="AZ281" s="345"/>
      <c r="BA281" s="254"/>
    </row>
    <row r="282" spans="1:53" x14ac:dyDescent="0.2">
      <c r="A282" s="57"/>
      <c r="B282" s="382"/>
      <c r="C282" s="309"/>
      <c r="D282" s="497"/>
      <c r="E282" s="498"/>
      <c r="F282" s="499"/>
      <c r="G282" s="499"/>
      <c r="H282" s="499"/>
      <c r="I282" s="499"/>
      <c r="J282" s="499"/>
      <c r="K282" s="500"/>
      <c r="L282" s="501"/>
      <c r="M282" s="499"/>
      <c r="N282" s="499"/>
      <c r="O282" s="499"/>
      <c r="P282" s="502"/>
      <c r="Q282" s="502"/>
      <c r="R282" s="502"/>
      <c r="S282" s="502"/>
      <c r="T282" s="502"/>
      <c r="U282" s="502"/>
      <c r="V282" s="502"/>
      <c r="W282" s="502"/>
      <c r="X282" s="500"/>
      <c r="Y282" s="500"/>
      <c r="Z282" s="500"/>
      <c r="AA282" s="500"/>
      <c r="AB282" s="313">
        <f t="shared" si="53"/>
        <v>0</v>
      </c>
      <c r="AC282" s="311">
        <f t="shared" si="54"/>
        <v>0</v>
      </c>
      <c r="AD282" s="312">
        <f t="shared" si="55"/>
        <v>0</v>
      </c>
      <c r="AE282" s="314">
        <f t="shared" si="56"/>
        <v>0</v>
      </c>
      <c r="AF282" s="311"/>
      <c r="AG282" s="311"/>
      <c r="AH282" s="312"/>
      <c r="AI282" s="314"/>
      <c r="AJ282" s="315" t="str">
        <f>'F.  Other Cap Asset Entries'!D248</f>
        <v>F.3</v>
      </c>
      <c r="AK282" s="316">
        <f>'F.  Other Cap Asset Entries'!M253</f>
        <v>0</v>
      </c>
      <c r="AL282" s="311"/>
      <c r="AM282" s="322" t="str">
        <f>'J. Other Liability &amp; Expenses'!D185</f>
        <v>J.1</v>
      </c>
      <c r="AN282" s="316">
        <f>'J. Other Liability &amp; Expenses'!N191</f>
        <v>0</v>
      </c>
      <c r="AO282" s="317" t="str">
        <f>'L. Eliminations-Consolidations'!B266</f>
        <v>L.8</v>
      </c>
      <c r="AP282" s="316">
        <f>'L. Eliminations-Consolidations'!J273</f>
        <v>0</v>
      </c>
      <c r="AQ282" s="309"/>
      <c r="AR282" s="315" t="str">
        <f>'L. Eliminations-Consolidations'!B266</f>
        <v>L.8</v>
      </c>
      <c r="AS282" s="318">
        <f>'L. Eliminations-Consolidations'!L273</f>
        <v>0</v>
      </c>
      <c r="AT282" s="508"/>
      <c r="AU282" s="509"/>
      <c r="AV282" s="316">
        <f t="shared" si="51"/>
        <v>0</v>
      </c>
      <c r="AW282" s="316">
        <f t="shared" si="52"/>
        <v>0</v>
      </c>
      <c r="AX282" s="346"/>
      <c r="AY282" s="318"/>
      <c r="AZ282" s="345"/>
      <c r="BA282" s="254"/>
    </row>
    <row r="283" spans="1:53" x14ac:dyDescent="0.2">
      <c r="A283" s="57"/>
      <c r="B283" s="382"/>
      <c r="C283" s="309"/>
      <c r="D283" s="497"/>
      <c r="E283" s="498"/>
      <c r="F283" s="499"/>
      <c r="G283" s="499"/>
      <c r="H283" s="499"/>
      <c r="I283" s="499"/>
      <c r="J283" s="499"/>
      <c r="K283" s="500"/>
      <c r="L283" s="501"/>
      <c r="M283" s="499"/>
      <c r="N283" s="499"/>
      <c r="O283" s="499"/>
      <c r="P283" s="502"/>
      <c r="Q283" s="502"/>
      <c r="R283" s="502"/>
      <c r="S283" s="502"/>
      <c r="T283" s="502"/>
      <c r="U283" s="502"/>
      <c r="V283" s="502"/>
      <c r="W283" s="502"/>
      <c r="X283" s="500"/>
      <c r="Y283" s="500"/>
      <c r="Z283" s="500"/>
      <c r="AA283" s="500"/>
      <c r="AB283" s="313"/>
      <c r="AC283" s="311"/>
      <c r="AD283" s="312"/>
      <c r="AE283" s="314"/>
      <c r="AF283" s="311"/>
      <c r="AG283" s="311"/>
      <c r="AH283" s="312"/>
      <c r="AI283" s="314"/>
      <c r="AJ283" s="315" t="s">
        <v>968</v>
      </c>
      <c r="AK283" s="316">
        <f>'F.  Other Cap Asset Entries'!M274</f>
        <v>0</v>
      </c>
      <c r="AL283" s="311"/>
      <c r="AM283" s="322" t="s">
        <v>2074</v>
      </c>
      <c r="AN283" s="316">
        <f>'N.1 GASB 68 LGERS'!D103</f>
        <v>0</v>
      </c>
      <c r="AO283" s="317"/>
      <c r="AP283" s="316"/>
      <c r="AQ283" s="309"/>
      <c r="AR283" s="315"/>
      <c r="AS283" s="318"/>
      <c r="AT283" s="508"/>
      <c r="AU283" s="509"/>
      <c r="AV283" s="316">
        <f t="shared" si="51"/>
        <v>0</v>
      </c>
      <c r="AW283" s="316">
        <f t="shared" si="52"/>
        <v>0</v>
      </c>
      <c r="AX283" s="346"/>
      <c r="AY283" s="318"/>
      <c r="AZ283" s="345"/>
      <c r="BA283" s="254"/>
    </row>
    <row r="284" spans="1:53" s="693" customFormat="1" x14ac:dyDescent="0.2">
      <c r="A284" s="57"/>
      <c r="B284" s="382"/>
      <c r="C284" s="309"/>
      <c r="D284" s="497"/>
      <c r="E284" s="498"/>
      <c r="F284" s="499"/>
      <c r="G284" s="499"/>
      <c r="H284" s="499"/>
      <c r="I284" s="499"/>
      <c r="J284" s="499"/>
      <c r="K284" s="500"/>
      <c r="L284" s="501"/>
      <c r="M284" s="499"/>
      <c r="N284" s="499"/>
      <c r="O284" s="499"/>
      <c r="P284" s="502"/>
      <c r="Q284" s="502"/>
      <c r="R284" s="502"/>
      <c r="S284" s="502"/>
      <c r="T284" s="502"/>
      <c r="U284" s="502"/>
      <c r="V284" s="502"/>
      <c r="W284" s="502"/>
      <c r="X284" s="500"/>
      <c r="Y284" s="500"/>
      <c r="Z284" s="500"/>
      <c r="AA284" s="500"/>
      <c r="AB284" s="313"/>
      <c r="AC284" s="311"/>
      <c r="AD284" s="312"/>
      <c r="AE284" s="314"/>
      <c r="AF284" s="311"/>
      <c r="AG284" s="311"/>
      <c r="AH284" s="312"/>
      <c r="AI284" s="314"/>
      <c r="AJ284" s="315" t="s">
        <v>2074</v>
      </c>
      <c r="AK284" s="316">
        <f>'N.1 GASB 68 LGERS'!C103</f>
        <v>0</v>
      </c>
      <c r="AL284" s="311"/>
      <c r="AM284" s="315" t="s">
        <v>3969</v>
      </c>
      <c r="AN284" s="316">
        <f>'P. GASB 75 OPEB 1 Entries'!D82+'P. GASB 75 OPEB 1 Entries'!D90+'P. GASB 75 OPEB 2 Entries'!D82+'P. GASB 75 OPEB 2 Entries'!D90+'P. GASB 75 3 OPEB Entries'!D82+'P. GASB 75 3 OPEB Entries'!D90</f>
        <v>0</v>
      </c>
      <c r="AO284" s="317"/>
      <c r="AP284" s="316"/>
      <c r="AQ284" s="309"/>
      <c r="AR284" s="315"/>
      <c r="AS284" s="318"/>
      <c r="AT284" s="697"/>
      <c r="AU284" s="509"/>
      <c r="AV284" s="316">
        <f>AD284+AF284+AH284+AK284+AP284+AT284</f>
        <v>0</v>
      </c>
      <c r="AW284" s="316">
        <f>AE284+AG284+AI284+AN284+AS284+AU284</f>
        <v>0</v>
      </c>
      <c r="AX284" s="346"/>
      <c r="AY284" s="318"/>
      <c r="AZ284" s="345"/>
      <c r="BA284" s="254"/>
    </row>
    <row r="285" spans="1:53" s="1030" customFormat="1" x14ac:dyDescent="0.2">
      <c r="A285" s="57"/>
      <c r="B285" s="382"/>
      <c r="C285" s="309"/>
      <c r="D285" s="497"/>
      <c r="E285" s="498"/>
      <c r="F285" s="499"/>
      <c r="G285" s="499"/>
      <c r="H285" s="499"/>
      <c r="I285" s="499"/>
      <c r="J285" s="499"/>
      <c r="K285" s="500"/>
      <c r="L285" s="501"/>
      <c r="M285" s="499"/>
      <c r="N285" s="499"/>
      <c r="O285" s="499"/>
      <c r="P285" s="502"/>
      <c r="Q285" s="502"/>
      <c r="R285" s="502"/>
      <c r="S285" s="502"/>
      <c r="T285" s="502"/>
      <c r="U285" s="502"/>
      <c r="V285" s="502"/>
      <c r="W285" s="502"/>
      <c r="X285" s="500"/>
      <c r="Y285" s="500"/>
      <c r="Z285" s="500"/>
      <c r="AA285" s="500"/>
      <c r="AB285" s="313"/>
      <c r="AC285" s="311"/>
      <c r="AD285" s="312"/>
      <c r="AE285" s="314"/>
      <c r="AF285" s="311"/>
      <c r="AG285" s="311"/>
      <c r="AH285" s="312"/>
      <c r="AI285" s="314"/>
      <c r="AJ285" s="315" t="s">
        <v>3969</v>
      </c>
      <c r="AK285" s="316">
        <f>'P. GASB 75 OPEB 1 Entries'!C64-'P. GASB 75 OPEB 1 Entries'!D98+'P. GASB 75 OPEB 2 Entries'!C64-'P. GASB 75 OPEB 2 Entries'!D98+'P. GASB 75 3 OPEB Entries'!C64-'P. GASB 75 3 OPEB Entries'!D98</f>
        <v>0</v>
      </c>
      <c r="AL285" s="311"/>
      <c r="AM285" s="322"/>
      <c r="AN285" s="316"/>
      <c r="AO285" s="317"/>
      <c r="AP285" s="316"/>
      <c r="AQ285" s="309"/>
      <c r="AR285" s="315"/>
      <c r="AS285" s="318"/>
      <c r="AT285" s="1032"/>
      <c r="AU285" s="509"/>
      <c r="AV285" s="316">
        <f>AD285+AF285+AH285+AK285+AP285+AT285</f>
        <v>0</v>
      </c>
      <c r="AW285" s="316">
        <f>AE285+AG285+AI285+AN285+AS285+AU285</f>
        <v>0</v>
      </c>
      <c r="AX285" s="346"/>
      <c r="AY285" s="318"/>
      <c r="AZ285" s="345"/>
      <c r="BA285" s="254"/>
    </row>
    <row r="286" spans="1:53" x14ac:dyDescent="0.2">
      <c r="A286" s="57"/>
      <c r="B286" s="14"/>
      <c r="C286" s="14"/>
      <c r="D286" s="489"/>
      <c r="E286" s="490"/>
      <c r="F286" s="485"/>
      <c r="G286" s="485"/>
      <c r="H286" s="485"/>
      <c r="I286" s="485"/>
      <c r="J286" s="485"/>
      <c r="K286" s="486"/>
      <c r="L286" s="487"/>
      <c r="M286" s="485"/>
      <c r="N286" s="485"/>
      <c r="O286" s="485"/>
      <c r="P286" s="488"/>
      <c r="Q286" s="488"/>
      <c r="R286" s="488"/>
      <c r="S286" s="488"/>
      <c r="T286" s="488"/>
      <c r="U286" s="488"/>
      <c r="V286" s="488"/>
      <c r="W286" s="488"/>
      <c r="X286" s="486"/>
      <c r="Y286" s="486"/>
      <c r="Z286" s="486"/>
      <c r="AA286" s="486"/>
      <c r="AB286" s="34">
        <f t="shared" si="53"/>
        <v>0</v>
      </c>
      <c r="AC286" s="12">
        <f t="shared" si="54"/>
        <v>0</v>
      </c>
      <c r="AD286" s="30">
        <f t="shared" si="55"/>
        <v>0</v>
      </c>
      <c r="AE286" s="25">
        <f t="shared" si="56"/>
        <v>0</v>
      </c>
      <c r="AF286" s="12"/>
      <c r="AG286" s="12"/>
      <c r="AH286" s="30"/>
      <c r="AI286" s="25"/>
      <c r="AL286" s="12"/>
      <c r="AM286" s="272"/>
      <c r="AN286" s="73"/>
      <c r="AO286" s="279"/>
      <c r="AP286" s="73"/>
      <c r="AQ286" s="14"/>
      <c r="AR286" s="272"/>
      <c r="AS286" s="254"/>
      <c r="AT286" s="508"/>
      <c r="AU286" s="509"/>
      <c r="AV286" s="72"/>
      <c r="AW286" s="72"/>
      <c r="AX286" s="345" t="str">
        <f>IF(AV286-AW286&lt;=0," ",AV286-AW286)</f>
        <v xml:space="preserve"> </v>
      </c>
      <c r="AY286" s="254"/>
      <c r="AZ286" s="345"/>
      <c r="BA286" s="254"/>
    </row>
    <row r="287" spans="1:53" x14ac:dyDescent="0.2">
      <c r="A287" s="57"/>
      <c r="B287" s="541" t="s">
        <v>203</v>
      </c>
      <c r="C287" s="309"/>
      <c r="D287" s="497"/>
      <c r="E287" s="498"/>
      <c r="F287" s="499"/>
      <c r="G287" s="499"/>
      <c r="H287" s="499"/>
      <c r="I287" s="499"/>
      <c r="J287" s="499"/>
      <c r="K287" s="500"/>
      <c r="L287" s="501"/>
      <c r="M287" s="499"/>
      <c r="N287" s="499"/>
      <c r="O287" s="499"/>
      <c r="P287" s="502"/>
      <c r="Q287" s="502"/>
      <c r="R287" s="502"/>
      <c r="S287" s="502"/>
      <c r="T287" s="502"/>
      <c r="U287" s="502"/>
      <c r="V287" s="502"/>
      <c r="W287" s="502"/>
      <c r="X287" s="500"/>
      <c r="Y287" s="500"/>
      <c r="Z287" s="500"/>
      <c r="AA287" s="500"/>
      <c r="AB287" s="313">
        <f t="shared" si="53"/>
        <v>0</v>
      </c>
      <c r="AC287" s="311">
        <f t="shared" si="54"/>
        <v>0</v>
      </c>
      <c r="AD287" s="312">
        <f t="shared" si="55"/>
        <v>0</v>
      </c>
      <c r="AE287" s="314">
        <f t="shared" si="56"/>
        <v>0</v>
      </c>
      <c r="AF287" s="311"/>
      <c r="AG287" s="311"/>
      <c r="AH287" s="312"/>
      <c r="AI287" s="314"/>
      <c r="AJ287" s="315" t="str">
        <f>'D. Depreciation'!A53</f>
        <v>D.1</v>
      </c>
      <c r="AK287" s="316">
        <f>'D. Depreciation'!J60</f>
        <v>0</v>
      </c>
      <c r="AL287" s="311"/>
      <c r="AM287" s="315" t="str">
        <f>'E. Capital Outlay'!D51</f>
        <v>E.1</v>
      </c>
      <c r="AN287" s="316">
        <f>'E. Capital Outlay'!N68</f>
        <v>0</v>
      </c>
      <c r="AO287" s="317" t="str">
        <f>'L. Eliminations-Consolidations'!A239</f>
        <v>L.7</v>
      </c>
      <c r="AP287" s="316">
        <f>'L. Eliminations-Consolidations'!J246</f>
        <v>0</v>
      </c>
      <c r="AQ287" s="309"/>
      <c r="AR287" s="463" t="s">
        <v>682</v>
      </c>
      <c r="AS287" s="318">
        <f>'K.1  Int. Service Fd Allocation'!G214+'K.2  Int. Service Fd Alloca'!G207+'K.3 Int. Service Fd Alloca'!G207</f>
        <v>0</v>
      </c>
      <c r="AT287" s="508"/>
      <c r="AU287" s="509"/>
      <c r="AV287" s="316">
        <f t="shared" si="51"/>
        <v>0</v>
      </c>
      <c r="AW287" s="316">
        <f t="shared" si="52"/>
        <v>0</v>
      </c>
      <c r="AX287" s="346" t="str">
        <f>IF(SUM(AV287:AV292)-SUM(AW287:AW292)&lt;=0," ",SUM(AV287:AV292)-SUM(AW287:AW292))</f>
        <v xml:space="preserve"> </v>
      </c>
      <c r="AY287" s="318" t="str">
        <f>IF(SUM(AV287:AV292)-SUM(AW287:AW292)&gt;=0," ",SUM(AW287:AW292)-SUM(AV287:AV292))</f>
        <v xml:space="preserve"> </v>
      </c>
      <c r="AZ287" s="345"/>
      <c r="BA287" s="254"/>
    </row>
    <row r="288" spans="1:53" x14ac:dyDescent="0.2">
      <c r="A288" s="57"/>
      <c r="B288" s="382"/>
      <c r="C288" s="309"/>
      <c r="D288" s="497"/>
      <c r="E288" s="498"/>
      <c r="F288" s="499"/>
      <c r="G288" s="499"/>
      <c r="H288" s="499"/>
      <c r="I288" s="499"/>
      <c r="J288" s="499"/>
      <c r="K288" s="500"/>
      <c r="L288" s="501"/>
      <c r="M288" s="499"/>
      <c r="N288" s="499"/>
      <c r="O288" s="499"/>
      <c r="P288" s="502"/>
      <c r="Q288" s="502"/>
      <c r="R288" s="502"/>
      <c r="S288" s="502"/>
      <c r="T288" s="502"/>
      <c r="U288" s="502"/>
      <c r="V288" s="502"/>
      <c r="W288" s="502"/>
      <c r="X288" s="500"/>
      <c r="Y288" s="500"/>
      <c r="Z288" s="500"/>
      <c r="AA288" s="500"/>
      <c r="AB288" s="313">
        <f t="shared" si="53"/>
        <v>0</v>
      </c>
      <c r="AC288" s="311">
        <f t="shared" si="54"/>
        <v>0</v>
      </c>
      <c r="AD288" s="312">
        <f t="shared" si="55"/>
        <v>0</v>
      </c>
      <c r="AE288" s="314">
        <f t="shared" si="56"/>
        <v>0</v>
      </c>
      <c r="AF288" s="311"/>
      <c r="AG288" s="311"/>
      <c r="AH288" s="312"/>
      <c r="AI288" s="314"/>
      <c r="AJ288" s="315" t="str">
        <f>'J. Other Liability &amp; Expenses'!D185</f>
        <v>J.1</v>
      </c>
      <c r="AK288" s="316">
        <f>'J. Other Liability &amp; Expenses'!L192</f>
        <v>0</v>
      </c>
      <c r="AL288" s="311"/>
      <c r="AM288" s="322" t="str">
        <f>'I.  Other Asset Entries'!B105</f>
        <v>I.1</v>
      </c>
      <c r="AN288" s="316">
        <f>'I.  Other Asset Entries'!N117</f>
        <v>0</v>
      </c>
      <c r="AO288" s="317"/>
      <c r="AP288" s="316"/>
      <c r="AQ288" s="309"/>
      <c r="AR288" s="315"/>
      <c r="AS288" s="318"/>
      <c r="AT288" s="508"/>
      <c r="AU288" s="509"/>
      <c r="AV288" s="316">
        <f t="shared" ref="AV288:AV324" si="57">AD288+AF288+AH288+AK288+AP288+AT288</f>
        <v>0</v>
      </c>
      <c r="AW288" s="316">
        <f t="shared" ref="AW288:AW324" si="58">AE288+AG288+AI288+AN288+AS288+AU288</f>
        <v>0</v>
      </c>
      <c r="AX288" s="346"/>
      <c r="AY288" s="318"/>
      <c r="AZ288" s="345"/>
      <c r="BA288" s="254"/>
    </row>
    <row r="289" spans="1:53" x14ac:dyDescent="0.2">
      <c r="A289" s="57"/>
      <c r="B289" s="382"/>
      <c r="C289" s="309"/>
      <c r="D289" s="497"/>
      <c r="E289" s="498"/>
      <c r="F289" s="499"/>
      <c r="G289" s="499"/>
      <c r="H289" s="499"/>
      <c r="I289" s="499"/>
      <c r="J289" s="499"/>
      <c r="K289" s="500"/>
      <c r="L289" s="501"/>
      <c r="M289" s="499"/>
      <c r="N289" s="499"/>
      <c r="O289" s="499"/>
      <c r="P289" s="502"/>
      <c r="Q289" s="502"/>
      <c r="R289" s="502"/>
      <c r="S289" s="502"/>
      <c r="T289" s="502"/>
      <c r="U289" s="502"/>
      <c r="V289" s="502"/>
      <c r="W289" s="502"/>
      <c r="X289" s="500"/>
      <c r="Y289" s="500"/>
      <c r="Z289" s="500"/>
      <c r="AA289" s="500"/>
      <c r="AB289" s="313">
        <f t="shared" si="53"/>
        <v>0</v>
      </c>
      <c r="AC289" s="311">
        <f t="shared" si="54"/>
        <v>0</v>
      </c>
      <c r="AD289" s="312">
        <f t="shared" si="55"/>
        <v>0</v>
      </c>
      <c r="AE289" s="314">
        <f t="shared" si="56"/>
        <v>0</v>
      </c>
      <c r="AF289" s="311"/>
      <c r="AG289" s="311"/>
      <c r="AH289" s="312"/>
      <c r="AI289" s="314"/>
      <c r="AJ289" s="315" t="str">
        <f>'F.  Other Cap Asset Entries'!D248</f>
        <v>F.3</v>
      </c>
      <c r="AK289" s="316">
        <f>'F.  Other Cap Asset Entries'!M254</f>
        <v>0</v>
      </c>
      <c r="AL289" s="311"/>
      <c r="AM289" s="322" t="str">
        <f>'J. Other Liability &amp; Expenses'!D185</f>
        <v>J.1</v>
      </c>
      <c r="AN289" s="316">
        <f>'J. Other Liability &amp; Expenses'!N192</f>
        <v>0</v>
      </c>
      <c r="AO289" s="317" t="str">
        <f>'L. Eliminations-Consolidations'!B266</f>
        <v>L.8</v>
      </c>
      <c r="AP289" s="316">
        <f>'L. Eliminations-Consolidations'!J274</f>
        <v>0</v>
      </c>
      <c r="AQ289" s="309"/>
      <c r="AR289" s="315" t="str">
        <f>'L. Eliminations-Consolidations'!B266</f>
        <v>L.8</v>
      </c>
      <c r="AS289" s="318">
        <f>'L. Eliminations-Consolidations'!L274</f>
        <v>0</v>
      </c>
      <c r="AT289" s="508"/>
      <c r="AU289" s="509"/>
      <c r="AV289" s="316">
        <f t="shared" si="57"/>
        <v>0</v>
      </c>
      <c r="AW289" s="316">
        <f t="shared" si="58"/>
        <v>0</v>
      </c>
      <c r="AX289" s="346"/>
      <c r="AY289" s="318"/>
      <c r="AZ289" s="345"/>
      <c r="BA289" s="254"/>
    </row>
    <row r="290" spans="1:53" x14ac:dyDescent="0.2">
      <c r="A290" s="57"/>
      <c r="B290" s="382"/>
      <c r="C290" s="309"/>
      <c r="D290" s="497"/>
      <c r="E290" s="498"/>
      <c r="F290" s="499"/>
      <c r="G290" s="499"/>
      <c r="H290" s="499"/>
      <c r="I290" s="499"/>
      <c r="J290" s="499"/>
      <c r="K290" s="500"/>
      <c r="L290" s="501"/>
      <c r="M290" s="499"/>
      <c r="N290" s="499"/>
      <c r="O290" s="499"/>
      <c r="P290" s="502"/>
      <c r="Q290" s="502"/>
      <c r="R290" s="502"/>
      <c r="S290" s="502"/>
      <c r="T290" s="502"/>
      <c r="U290" s="502"/>
      <c r="V290" s="502"/>
      <c r="W290" s="502"/>
      <c r="X290" s="500"/>
      <c r="Y290" s="500"/>
      <c r="Z290" s="500"/>
      <c r="AA290" s="500"/>
      <c r="AB290" s="313"/>
      <c r="AC290" s="311"/>
      <c r="AD290" s="312"/>
      <c r="AE290" s="314"/>
      <c r="AF290" s="311"/>
      <c r="AG290" s="311"/>
      <c r="AH290" s="312"/>
      <c r="AI290" s="314"/>
      <c r="AJ290" s="315" t="s">
        <v>968</v>
      </c>
      <c r="AK290" s="316">
        <f>'F.  Other Cap Asset Entries'!M275</f>
        <v>0</v>
      </c>
      <c r="AL290" s="311"/>
      <c r="AM290" s="322" t="s">
        <v>2074</v>
      </c>
      <c r="AN290" s="316">
        <f>'N.1 GASB 68 LGERS'!D104</f>
        <v>0</v>
      </c>
      <c r="AO290" s="317"/>
      <c r="AP290" s="316"/>
      <c r="AQ290" s="309"/>
      <c r="AR290" s="315"/>
      <c r="AS290" s="318"/>
      <c r="AT290" s="508"/>
      <c r="AU290" s="509"/>
      <c r="AV290" s="316">
        <f t="shared" si="57"/>
        <v>0</v>
      </c>
      <c r="AW290" s="316">
        <f t="shared" si="58"/>
        <v>0</v>
      </c>
      <c r="AX290" s="346"/>
      <c r="AY290" s="318"/>
      <c r="AZ290" s="345"/>
      <c r="BA290" s="254"/>
    </row>
    <row r="291" spans="1:53" s="693" customFormat="1" x14ac:dyDescent="0.2">
      <c r="A291" s="57"/>
      <c r="B291" s="382"/>
      <c r="C291" s="309"/>
      <c r="D291" s="497"/>
      <c r="E291" s="498"/>
      <c r="F291" s="499"/>
      <c r="G291" s="499"/>
      <c r="H291" s="499"/>
      <c r="I291" s="499"/>
      <c r="J291" s="499"/>
      <c r="K291" s="500"/>
      <c r="L291" s="501"/>
      <c r="M291" s="499"/>
      <c r="N291" s="499"/>
      <c r="O291" s="499"/>
      <c r="P291" s="502"/>
      <c r="Q291" s="502"/>
      <c r="R291" s="502"/>
      <c r="S291" s="502"/>
      <c r="T291" s="502"/>
      <c r="U291" s="502"/>
      <c r="V291" s="502"/>
      <c r="W291" s="502"/>
      <c r="X291" s="500"/>
      <c r="Y291" s="500"/>
      <c r="Z291" s="500"/>
      <c r="AA291" s="500"/>
      <c r="AB291" s="313"/>
      <c r="AC291" s="311"/>
      <c r="AD291" s="312"/>
      <c r="AE291" s="314"/>
      <c r="AF291" s="311"/>
      <c r="AG291" s="311"/>
      <c r="AH291" s="312"/>
      <c r="AI291" s="314"/>
      <c r="AJ291" s="315" t="s">
        <v>2074</v>
      </c>
      <c r="AK291" s="316">
        <f>'N.1 GASB 68 LGERS'!C104</f>
        <v>0</v>
      </c>
      <c r="AL291" s="311"/>
      <c r="AM291" s="315" t="s">
        <v>3969</v>
      </c>
      <c r="AN291" s="316">
        <f>'P. GASB 75 OPEB 1 Entries'!D83+'P. GASB 75 OPEB 1 Entries'!D91+'P. GASB 75 OPEB 2 Entries'!D83+'P. GASB 75 OPEB 2 Entries'!D91+'P. GASB 75 3 OPEB Entries'!D83+'P. GASB 75 3 OPEB Entries'!D91</f>
        <v>0</v>
      </c>
      <c r="AO291" s="317"/>
      <c r="AP291" s="316"/>
      <c r="AQ291" s="309"/>
      <c r="AR291" s="315"/>
      <c r="AS291" s="318"/>
      <c r="AT291" s="697"/>
      <c r="AU291" s="509"/>
      <c r="AV291" s="316">
        <f>AD291+AF291+AH291+AK291+AP291+AT291</f>
        <v>0</v>
      </c>
      <c r="AW291" s="316">
        <f>AE291+AG291+AI291+AN291+AS291+AU291</f>
        <v>0</v>
      </c>
      <c r="AX291" s="346"/>
      <c r="AY291" s="318"/>
      <c r="AZ291" s="345"/>
      <c r="BA291" s="254"/>
    </row>
    <row r="292" spans="1:53" s="1030" customFormat="1" x14ac:dyDescent="0.2">
      <c r="A292" s="57"/>
      <c r="B292" s="382"/>
      <c r="C292" s="309"/>
      <c r="D292" s="497"/>
      <c r="E292" s="498"/>
      <c r="F292" s="499"/>
      <c r="G292" s="499"/>
      <c r="H292" s="499"/>
      <c r="I292" s="499"/>
      <c r="J292" s="499"/>
      <c r="K292" s="500"/>
      <c r="L292" s="501"/>
      <c r="M292" s="499"/>
      <c r="N292" s="499"/>
      <c r="O292" s="499"/>
      <c r="P292" s="502"/>
      <c r="Q292" s="502"/>
      <c r="R292" s="502"/>
      <c r="S292" s="502"/>
      <c r="T292" s="502"/>
      <c r="U292" s="502"/>
      <c r="V292" s="502"/>
      <c r="W292" s="502"/>
      <c r="X292" s="500"/>
      <c r="Y292" s="500"/>
      <c r="Z292" s="500"/>
      <c r="AA292" s="500"/>
      <c r="AB292" s="313"/>
      <c r="AC292" s="311"/>
      <c r="AD292" s="312"/>
      <c r="AE292" s="314"/>
      <c r="AF292" s="311"/>
      <c r="AG292" s="311"/>
      <c r="AH292" s="312"/>
      <c r="AI292" s="314"/>
      <c r="AJ292" s="315" t="s">
        <v>3969</v>
      </c>
      <c r="AK292" s="316">
        <f>'P. GASB 75 OPEB 1 Entries'!C65-'P. GASB 75 OPEB 1 Entries'!D99+'P. GASB 75 OPEB 2 Entries'!C65-'P. GASB 75 OPEB 2 Entries'!D99+'P. GASB 75 3 OPEB Entries'!C65-'P. GASB 75 3 OPEB Entries'!D99</f>
        <v>0</v>
      </c>
      <c r="AL292" s="311"/>
      <c r="AM292" s="322"/>
      <c r="AN292" s="316"/>
      <c r="AO292" s="317"/>
      <c r="AP292" s="316"/>
      <c r="AQ292" s="309"/>
      <c r="AR292" s="315"/>
      <c r="AS292" s="318"/>
      <c r="AT292" s="1032"/>
      <c r="AU292" s="509"/>
      <c r="AV292" s="316">
        <f>AD292+AF292+AH292+AK292+AP292+AT292</f>
        <v>0</v>
      </c>
      <c r="AW292" s="316">
        <f>AE292+AG292+AI292+AN292+AS292+AU292</f>
        <v>0</v>
      </c>
      <c r="AX292" s="346"/>
      <c r="AY292" s="318"/>
      <c r="AZ292" s="345"/>
      <c r="BA292" s="254"/>
    </row>
    <row r="293" spans="1:53" x14ac:dyDescent="0.2">
      <c r="A293" s="57"/>
      <c r="B293" s="14"/>
      <c r="C293" s="14"/>
      <c r="D293" s="489"/>
      <c r="E293" s="490"/>
      <c r="F293" s="485"/>
      <c r="G293" s="485"/>
      <c r="H293" s="485"/>
      <c r="I293" s="485"/>
      <c r="J293" s="485"/>
      <c r="K293" s="486"/>
      <c r="L293" s="487"/>
      <c r="M293" s="485"/>
      <c r="N293" s="485"/>
      <c r="O293" s="485"/>
      <c r="P293" s="488"/>
      <c r="Q293" s="488"/>
      <c r="R293" s="488"/>
      <c r="S293" s="488"/>
      <c r="T293" s="488"/>
      <c r="U293" s="488"/>
      <c r="V293" s="488"/>
      <c r="W293" s="488"/>
      <c r="X293" s="486"/>
      <c r="Y293" s="486"/>
      <c r="Z293" s="486"/>
      <c r="AA293" s="486"/>
      <c r="AB293" s="34">
        <f t="shared" si="53"/>
        <v>0</v>
      </c>
      <c r="AC293" s="12">
        <f t="shared" si="54"/>
        <v>0</v>
      </c>
      <c r="AD293" s="30">
        <f t="shared" si="55"/>
        <v>0</v>
      </c>
      <c r="AE293" s="25">
        <f t="shared" si="56"/>
        <v>0</v>
      </c>
      <c r="AF293" s="12"/>
      <c r="AG293" s="12"/>
      <c r="AH293" s="30"/>
      <c r="AI293" s="25"/>
      <c r="AL293" s="12"/>
      <c r="AM293" s="272"/>
      <c r="AN293" s="73"/>
      <c r="AO293" s="279"/>
      <c r="AP293" s="73"/>
      <c r="AQ293" s="14"/>
      <c r="AR293" s="272"/>
      <c r="AS293" s="254"/>
      <c r="AT293" s="508"/>
      <c r="AU293" s="509"/>
      <c r="AV293" s="72"/>
      <c r="AW293" s="72"/>
      <c r="AX293" s="345" t="str">
        <f>IF(AV293-AW293&lt;=0," ",AV293-AW293)</f>
        <v xml:space="preserve"> </v>
      </c>
      <c r="AY293" s="254"/>
      <c r="AZ293" s="345"/>
      <c r="BA293" s="254"/>
    </row>
    <row r="294" spans="1:53" x14ac:dyDescent="0.2">
      <c r="A294" s="45"/>
      <c r="B294" s="382" t="s">
        <v>907</v>
      </c>
      <c r="C294" s="309"/>
      <c r="D294" s="497"/>
      <c r="E294" s="498"/>
      <c r="F294" s="499"/>
      <c r="G294" s="499"/>
      <c r="H294" s="499"/>
      <c r="I294" s="499"/>
      <c r="J294" s="499"/>
      <c r="K294" s="500"/>
      <c r="L294" s="501"/>
      <c r="M294" s="499"/>
      <c r="N294" s="499"/>
      <c r="O294" s="499"/>
      <c r="P294" s="502"/>
      <c r="Q294" s="502"/>
      <c r="R294" s="502"/>
      <c r="S294" s="502"/>
      <c r="T294" s="502"/>
      <c r="U294" s="502"/>
      <c r="V294" s="502"/>
      <c r="W294" s="502"/>
      <c r="X294" s="500"/>
      <c r="Y294" s="500"/>
      <c r="Z294" s="500"/>
      <c r="AA294" s="500"/>
      <c r="AB294" s="313">
        <f t="shared" si="53"/>
        <v>0</v>
      </c>
      <c r="AC294" s="311">
        <f t="shared" si="54"/>
        <v>0</v>
      </c>
      <c r="AD294" s="312">
        <f t="shared" si="55"/>
        <v>0</v>
      </c>
      <c r="AE294" s="314">
        <f t="shared" si="56"/>
        <v>0</v>
      </c>
      <c r="AF294" s="311"/>
      <c r="AG294" s="311"/>
      <c r="AH294" s="312"/>
      <c r="AI294" s="314"/>
      <c r="AJ294" s="315"/>
      <c r="AK294" s="316"/>
      <c r="AL294" s="311"/>
      <c r="AM294" s="315" t="str">
        <f>'E. Capital Outlay'!D51</f>
        <v>E.1</v>
      </c>
      <c r="AN294" s="316">
        <f>'E. Capital Outlay'!N66</f>
        <v>0</v>
      </c>
      <c r="AO294" s="317"/>
      <c r="AP294" s="316"/>
      <c r="AQ294" s="309"/>
      <c r="AR294" s="315"/>
      <c r="AS294" s="318"/>
      <c r="AT294" s="508"/>
      <c r="AU294" s="509"/>
      <c r="AV294" s="316">
        <f t="shared" si="57"/>
        <v>0</v>
      </c>
      <c r="AW294" s="316">
        <f t="shared" si="58"/>
        <v>0</v>
      </c>
      <c r="AX294" s="346" t="str">
        <f>IF(AV294+AV295-(AW294+AW295)&lt;=0," ",AV294+AV295-(AW294+AW295))</f>
        <v xml:space="preserve"> </v>
      </c>
      <c r="AY294" s="318">
        <f>IF(AV294+AV295-(AW294+AW295)&gt;0," ",AW294+AW295-(AV294+AV295))</f>
        <v>0</v>
      </c>
      <c r="AZ294" s="345"/>
      <c r="BA294" s="254"/>
    </row>
    <row r="295" spans="1:53" x14ac:dyDescent="0.2">
      <c r="A295" s="45"/>
      <c r="B295" s="382"/>
      <c r="C295" s="309"/>
      <c r="D295" s="497"/>
      <c r="E295" s="498"/>
      <c r="F295" s="499"/>
      <c r="G295" s="499"/>
      <c r="H295" s="499"/>
      <c r="I295" s="499"/>
      <c r="J295" s="499"/>
      <c r="K295" s="500"/>
      <c r="L295" s="501"/>
      <c r="M295" s="499"/>
      <c r="N295" s="499"/>
      <c r="O295" s="499"/>
      <c r="P295" s="502"/>
      <c r="Q295" s="502"/>
      <c r="R295" s="502"/>
      <c r="S295" s="502"/>
      <c r="T295" s="502"/>
      <c r="U295" s="502"/>
      <c r="V295" s="502"/>
      <c r="W295" s="502"/>
      <c r="X295" s="500"/>
      <c r="Y295" s="500"/>
      <c r="Z295" s="500"/>
      <c r="AA295" s="500"/>
      <c r="AB295" s="313"/>
      <c r="AC295" s="311"/>
      <c r="AD295" s="312"/>
      <c r="AE295" s="314"/>
      <c r="AF295" s="311"/>
      <c r="AG295" s="311"/>
      <c r="AH295" s="312"/>
      <c r="AI295" s="314"/>
      <c r="AJ295" s="315"/>
      <c r="AK295" s="316"/>
      <c r="AL295" s="311"/>
      <c r="AM295" s="315" t="str">
        <f>'F.  Other Cap Asset Entries'!D248</f>
        <v>F.3</v>
      </c>
      <c r="AN295" s="316">
        <f>'F.  Other Cap Asset Entries'!O255</f>
        <v>0</v>
      </c>
      <c r="AO295" s="317"/>
      <c r="AP295" s="316"/>
      <c r="AQ295" s="309"/>
      <c r="AR295" s="315"/>
      <c r="AS295" s="318"/>
      <c r="AT295" s="508"/>
      <c r="AU295" s="509"/>
      <c r="AV295" s="316">
        <f t="shared" si="57"/>
        <v>0</v>
      </c>
      <c r="AW295" s="316">
        <f t="shared" si="58"/>
        <v>0</v>
      </c>
      <c r="AX295" s="346"/>
      <c r="AY295" s="318"/>
      <c r="AZ295" s="345"/>
      <c r="BA295" s="254"/>
    </row>
    <row r="296" spans="1:53" x14ac:dyDescent="0.2">
      <c r="A296" s="45"/>
      <c r="B296" s="194"/>
      <c r="C296" s="14"/>
      <c r="D296" s="489"/>
      <c r="E296" s="490"/>
      <c r="F296" s="485"/>
      <c r="G296" s="485"/>
      <c r="H296" s="485"/>
      <c r="I296" s="485"/>
      <c r="J296" s="485"/>
      <c r="K296" s="486"/>
      <c r="L296" s="487"/>
      <c r="M296" s="485"/>
      <c r="N296" s="485"/>
      <c r="O296" s="485"/>
      <c r="P296" s="488"/>
      <c r="Q296" s="488"/>
      <c r="R296" s="488"/>
      <c r="S296" s="488"/>
      <c r="T296" s="488"/>
      <c r="U296" s="488"/>
      <c r="V296" s="488"/>
      <c r="W296" s="488"/>
      <c r="X296" s="486"/>
      <c r="Y296" s="486"/>
      <c r="Z296" s="486"/>
      <c r="AA296" s="486"/>
      <c r="AB296" s="34">
        <f t="shared" si="53"/>
        <v>0</v>
      </c>
      <c r="AC296" s="12">
        <f t="shared" si="54"/>
        <v>0</v>
      </c>
      <c r="AD296" s="30">
        <f t="shared" si="55"/>
        <v>0</v>
      </c>
      <c r="AE296" s="25">
        <f t="shared" si="56"/>
        <v>0</v>
      </c>
      <c r="AF296" s="12"/>
      <c r="AG296" s="12"/>
      <c r="AH296" s="30"/>
      <c r="AI296" s="25"/>
      <c r="AJ296" s="272"/>
      <c r="AK296" s="73"/>
      <c r="AL296" s="12"/>
      <c r="AM296" s="272"/>
      <c r="AN296" s="73"/>
      <c r="AO296" s="279"/>
      <c r="AP296" s="73"/>
      <c r="AQ296" s="14"/>
      <c r="AR296" s="272"/>
      <c r="AS296" s="254"/>
      <c r="AT296" s="508"/>
      <c r="AU296" s="509"/>
      <c r="AV296" s="323">
        <f t="shared" si="57"/>
        <v>0</v>
      </c>
      <c r="AW296" s="323">
        <f t="shared" si="58"/>
        <v>0</v>
      </c>
      <c r="AX296" s="345" t="str">
        <f>IF(AV296-AW296&lt;=0," ",AV296-AW296)</f>
        <v xml:space="preserve"> </v>
      </c>
      <c r="AY296" s="254"/>
      <c r="AZ296" s="345"/>
      <c r="BA296" s="254"/>
    </row>
    <row r="297" spans="1:53" x14ac:dyDescent="0.2">
      <c r="A297" s="45"/>
      <c r="B297" s="194" t="s">
        <v>898</v>
      </c>
      <c r="C297" s="14"/>
      <c r="D297" s="489"/>
      <c r="E297" s="490"/>
      <c r="F297" s="485"/>
      <c r="G297" s="485"/>
      <c r="H297" s="485"/>
      <c r="I297" s="485"/>
      <c r="J297" s="485"/>
      <c r="K297" s="486"/>
      <c r="L297" s="487"/>
      <c r="M297" s="485"/>
      <c r="N297" s="485"/>
      <c r="O297" s="485"/>
      <c r="P297" s="488"/>
      <c r="Q297" s="488"/>
      <c r="R297" s="488"/>
      <c r="S297" s="488"/>
      <c r="T297" s="488"/>
      <c r="U297" s="488"/>
      <c r="V297" s="488"/>
      <c r="W297" s="488"/>
      <c r="X297" s="486"/>
      <c r="Y297" s="486"/>
      <c r="Z297" s="486"/>
      <c r="AA297" s="486"/>
      <c r="AB297" s="34">
        <f t="shared" si="53"/>
        <v>0</v>
      </c>
      <c r="AC297" s="12">
        <f t="shared" si="54"/>
        <v>0</v>
      </c>
      <c r="AD297" s="30">
        <f t="shared" si="55"/>
        <v>0</v>
      </c>
      <c r="AE297" s="25">
        <f t="shared" si="56"/>
        <v>0</v>
      </c>
      <c r="AF297" s="12"/>
      <c r="AG297" s="12"/>
      <c r="AH297" s="30"/>
      <c r="AI297" s="25"/>
      <c r="AJ297" s="272"/>
      <c r="AK297" s="73"/>
      <c r="AL297" s="12"/>
      <c r="AM297" s="272"/>
      <c r="AN297" s="73"/>
      <c r="AO297" s="279"/>
      <c r="AP297" s="73"/>
      <c r="AQ297" s="14"/>
      <c r="AR297" s="272"/>
      <c r="AS297" s="254"/>
      <c r="AT297" s="508"/>
      <c r="AU297" s="509"/>
      <c r="AV297" s="323">
        <f t="shared" si="57"/>
        <v>0</v>
      </c>
      <c r="AW297" s="323">
        <f t="shared" si="58"/>
        <v>0</v>
      </c>
      <c r="AX297" s="345" t="str">
        <f>IF(AV297-AW297&lt;=0," ",AV297-AW297)</f>
        <v xml:space="preserve"> </v>
      </c>
      <c r="AY297" s="254"/>
      <c r="AZ297" s="345"/>
      <c r="BA297" s="254"/>
    </row>
    <row r="298" spans="1:53" x14ac:dyDescent="0.2">
      <c r="A298" s="45"/>
      <c r="B298" s="14"/>
      <c r="C298" s="14" t="s">
        <v>899</v>
      </c>
      <c r="D298" s="489"/>
      <c r="E298" s="490"/>
      <c r="F298" s="485"/>
      <c r="G298" s="485"/>
      <c r="H298" s="485"/>
      <c r="I298" s="485"/>
      <c r="J298" s="485"/>
      <c r="K298" s="486"/>
      <c r="L298" s="487"/>
      <c r="M298" s="485"/>
      <c r="N298" s="485"/>
      <c r="O298" s="485"/>
      <c r="P298" s="488"/>
      <c r="Q298" s="488"/>
      <c r="R298" s="488"/>
      <c r="S298" s="488"/>
      <c r="T298" s="488"/>
      <c r="U298" s="488"/>
      <c r="V298" s="488"/>
      <c r="W298" s="488"/>
      <c r="X298" s="486"/>
      <c r="Y298" s="486"/>
      <c r="Z298" s="486"/>
      <c r="AA298" s="486"/>
      <c r="AB298" s="34">
        <f t="shared" si="53"/>
        <v>0</v>
      </c>
      <c r="AC298" s="12">
        <f t="shared" si="54"/>
        <v>0</v>
      </c>
      <c r="AD298" s="30">
        <f t="shared" si="55"/>
        <v>0</v>
      </c>
      <c r="AE298" s="25">
        <f t="shared" si="56"/>
        <v>0</v>
      </c>
      <c r="AF298" s="12"/>
      <c r="AG298" s="12"/>
      <c r="AH298" s="30"/>
      <c r="AI298" s="25"/>
      <c r="AJ298" s="272"/>
      <c r="AK298" s="73"/>
      <c r="AL298" s="12"/>
      <c r="AM298" s="272" t="str">
        <f>'G. Debt Service'!D46</f>
        <v>G.1</v>
      </c>
      <c r="AN298" s="73">
        <f>'G. Debt Service'!N50</f>
        <v>0</v>
      </c>
      <c r="AO298" s="279"/>
      <c r="AP298" s="73"/>
      <c r="AQ298" s="14"/>
      <c r="AR298" s="272"/>
      <c r="AS298" s="254"/>
      <c r="AT298" s="508"/>
      <c r="AU298" s="509"/>
      <c r="AV298" s="323">
        <f t="shared" si="57"/>
        <v>0</v>
      </c>
      <c r="AW298" s="323">
        <f t="shared" si="58"/>
        <v>0</v>
      </c>
      <c r="AX298" s="345" t="str">
        <f>IF(AV298-AW298&lt;=0," ",AV298-AW298)</f>
        <v xml:space="preserve"> </v>
      </c>
      <c r="AY298" s="254">
        <f>IF(AV298-AW298&gt;0," ",AW298-AV298)</f>
        <v>0</v>
      </c>
      <c r="AZ298" s="345"/>
      <c r="BA298" s="254"/>
    </row>
    <row r="299" spans="1:53" x14ac:dyDescent="0.2">
      <c r="A299" s="45"/>
      <c r="B299" s="14"/>
      <c r="C299" s="309" t="s">
        <v>900</v>
      </c>
      <c r="D299" s="497"/>
      <c r="E299" s="498"/>
      <c r="F299" s="499"/>
      <c r="G299" s="499"/>
      <c r="H299" s="499"/>
      <c r="I299" s="499"/>
      <c r="J299" s="499"/>
      <c r="K299" s="499"/>
      <c r="L299" s="501"/>
      <c r="M299" s="499"/>
      <c r="N299" s="499"/>
      <c r="O299" s="499"/>
      <c r="P299" s="502"/>
      <c r="Q299" s="502"/>
      <c r="R299" s="502"/>
      <c r="S299" s="502"/>
      <c r="T299" s="502"/>
      <c r="U299" s="502"/>
      <c r="V299" s="502"/>
      <c r="W299" s="502"/>
      <c r="X299" s="500"/>
      <c r="Y299" s="500"/>
      <c r="Z299" s="500"/>
      <c r="AA299" s="500"/>
      <c r="AB299" s="313">
        <f t="shared" si="53"/>
        <v>0</v>
      </c>
      <c r="AC299" s="311">
        <f t="shared" si="54"/>
        <v>0</v>
      </c>
      <c r="AD299" s="312">
        <f t="shared" si="55"/>
        <v>0</v>
      </c>
      <c r="AE299" s="314">
        <f t="shared" si="56"/>
        <v>0</v>
      </c>
      <c r="AF299" s="311"/>
      <c r="AG299" s="311"/>
      <c r="AH299" s="312"/>
      <c r="AI299" s="314"/>
      <c r="AJ299" s="315" t="str">
        <f>'H. Debt Issues'!D77</f>
        <v>H.1</v>
      </c>
      <c r="AK299" s="316">
        <f>'H. Debt Issues'!L88</f>
        <v>0</v>
      </c>
      <c r="AL299" s="311"/>
      <c r="AM299" s="315" t="str">
        <f>'G. Debt Service'!D55</f>
        <v>G.3</v>
      </c>
      <c r="AN299" s="316">
        <f>'G. Debt Service'!N56</f>
        <v>0</v>
      </c>
      <c r="AO299" s="459" t="s">
        <v>682</v>
      </c>
      <c r="AP299" s="316">
        <f>'K.1  Int. Service Fd Allocation'!E203+'K.2  Int. Service Fd Alloca'!E196+'K.3 Int. Service Fd Alloca'!E196</f>
        <v>0</v>
      </c>
      <c r="AQ299" s="309"/>
      <c r="AR299" s="315" t="str">
        <f>'L. Eliminations-Consolidations'!A239</f>
        <v>L.7</v>
      </c>
      <c r="AS299" s="318">
        <f>'L. Eliminations-Consolidations'!L247</f>
        <v>0</v>
      </c>
      <c r="AT299" s="508"/>
      <c r="AU299" s="509"/>
      <c r="AV299" s="316">
        <f t="shared" si="57"/>
        <v>0</v>
      </c>
      <c r="AW299" s="316">
        <f t="shared" si="58"/>
        <v>0</v>
      </c>
      <c r="AX299" s="346">
        <f>IF((AV299+AV300)-(AW299+AW300)&lt;=0,0,(AV299+AV300)-(AW299+AW300))</f>
        <v>0</v>
      </c>
      <c r="AY299" s="318">
        <f>IF((AV299+AV300)-(AW299+AW300)&gt;0,0,(AW299+AW300)-(AV299+AV300))</f>
        <v>0</v>
      </c>
      <c r="AZ299" s="345"/>
      <c r="BA299" s="254"/>
    </row>
    <row r="300" spans="1:53" x14ac:dyDescent="0.2">
      <c r="A300" s="45"/>
      <c r="B300" s="14"/>
      <c r="C300" s="309"/>
      <c r="D300" s="497"/>
      <c r="E300" s="498"/>
      <c r="F300" s="499"/>
      <c r="G300" s="499"/>
      <c r="H300" s="499"/>
      <c r="I300" s="499"/>
      <c r="J300" s="499"/>
      <c r="K300" s="499"/>
      <c r="L300" s="501"/>
      <c r="M300" s="499"/>
      <c r="N300" s="499"/>
      <c r="O300" s="499"/>
      <c r="P300" s="502"/>
      <c r="Q300" s="502"/>
      <c r="R300" s="502"/>
      <c r="S300" s="502"/>
      <c r="T300" s="502"/>
      <c r="U300" s="502"/>
      <c r="V300" s="502"/>
      <c r="W300" s="502"/>
      <c r="X300" s="500"/>
      <c r="Y300" s="500"/>
      <c r="Z300" s="500"/>
      <c r="AA300" s="500"/>
      <c r="AB300" s="313"/>
      <c r="AC300" s="311"/>
      <c r="AD300" s="312"/>
      <c r="AE300" s="314"/>
      <c r="AF300" s="311"/>
      <c r="AG300" s="311"/>
      <c r="AH300" s="312"/>
      <c r="AI300" s="314"/>
      <c r="AJ300" s="315" t="s">
        <v>449</v>
      </c>
      <c r="AK300" s="316">
        <f>'G. Debt Service'!L56</f>
        <v>0</v>
      </c>
      <c r="AL300" s="311"/>
      <c r="AM300" s="315"/>
      <c r="AN300" s="316"/>
      <c r="AO300" s="459"/>
      <c r="AP300" s="316"/>
      <c r="AQ300" s="309"/>
      <c r="AR300" s="315"/>
      <c r="AS300" s="318"/>
      <c r="AT300" s="508"/>
      <c r="AU300" s="509"/>
      <c r="AV300" s="316">
        <f t="shared" si="57"/>
        <v>0</v>
      </c>
      <c r="AW300" s="316">
        <f t="shared" si="58"/>
        <v>0</v>
      </c>
      <c r="AX300" s="346"/>
      <c r="AY300" s="318"/>
      <c r="AZ300" s="345"/>
      <c r="BA300" s="254"/>
    </row>
    <row r="301" spans="1:53" x14ac:dyDescent="0.2">
      <c r="A301" s="45"/>
      <c r="B301" s="14"/>
      <c r="C301" s="14" t="s">
        <v>652</v>
      </c>
      <c r="D301" s="489"/>
      <c r="E301" s="490"/>
      <c r="F301" s="485"/>
      <c r="G301" s="485"/>
      <c r="H301" s="485"/>
      <c r="I301" s="485"/>
      <c r="J301" s="485"/>
      <c r="K301" s="485"/>
      <c r="L301" s="487"/>
      <c r="M301" s="485"/>
      <c r="N301" s="485"/>
      <c r="O301" s="485"/>
      <c r="P301" s="488"/>
      <c r="Q301" s="488"/>
      <c r="R301" s="488"/>
      <c r="S301" s="488"/>
      <c r="T301" s="488"/>
      <c r="U301" s="488"/>
      <c r="V301" s="488"/>
      <c r="W301" s="488"/>
      <c r="X301" s="486"/>
      <c r="Y301" s="486"/>
      <c r="Z301" s="486"/>
      <c r="AA301" s="486"/>
      <c r="AB301" s="34">
        <f t="shared" si="53"/>
        <v>0</v>
      </c>
      <c r="AC301" s="12">
        <f t="shared" si="54"/>
        <v>0</v>
      </c>
      <c r="AD301" s="30">
        <f t="shared" si="55"/>
        <v>0</v>
      </c>
      <c r="AE301" s="25">
        <f t="shared" si="56"/>
        <v>0</v>
      </c>
      <c r="AF301" s="12"/>
      <c r="AG301" s="12"/>
      <c r="AH301" s="30"/>
      <c r="AI301" s="25"/>
      <c r="AJ301" s="272"/>
      <c r="AK301" s="73"/>
      <c r="AL301" s="12"/>
      <c r="AM301" s="272" t="str">
        <f>'H. Debt Issues'!D77</f>
        <v>H.1</v>
      </c>
      <c r="AN301" s="73">
        <f>'H. Debt Issues'!N85</f>
        <v>0</v>
      </c>
      <c r="AO301" s="279"/>
      <c r="AP301" s="73"/>
      <c r="AQ301" s="14"/>
      <c r="AR301" s="272"/>
      <c r="AS301" s="254"/>
      <c r="AT301" s="508"/>
      <c r="AU301" s="509"/>
      <c r="AV301" s="323">
        <f t="shared" si="57"/>
        <v>0</v>
      </c>
      <c r="AW301" s="323">
        <f t="shared" si="58"/>
        <v>0</v>
      </c>
      <c r="AX301" s="345" t="str">
        <f t="shared" ref="AX301:AX317" si="59">IF(AV301-AW301&lt;=0," ",AV301-AW301)</f>
        <v xml:space="preserve"> </v>
      </c>
      <c r="AY301" s="254">
        <f>IF(AV301-AW301&gt;0," ",AW301-AV301)</f>
        <v>0</v>
      </c>
      <c r="AZ301" s="345"/>
      <c r="BA301" s="254"/>
    </row>
    <row r="302" spans="1:53" x14ac:dyDescent="0.2">
      <c r="A302" s="45"/>
      <c r="B302" s="14"/>
      <c r="C302" s="54" t="s">
        <v>1132</v>
      </c>
      <c r="D302" s="489"/>
      <c r="E302" s="490"/>
      <c r="F302" s="485"/>
      <c r="G302" s="485"/>
      <c r="H302" s="485"/>
      <c r="I302" s="485"/>
      <c r="J302" s="485"/>
      <c r="K302" s="485"/>
      <c r="L302" s="487"/>
      <c r="M302" s="485"/>
      <c r="N302" s="485"/>
      <c r="O302" s="485"/>
      <c r="P302" s="488"/>
      <c r="Q302" s="488"/>
      <c r="R302" s="488"/>
      <c r="S302" s="488"/>
      <c r="T302" s="488"/>
      <c r="U302" s="488"/>
      <c r="V302" s="488"/>
      <c r="W302" s="488"/>
      <c r="X302" s="486"/>
      <c r="Y302" s="486"/>
      <c r="Z302" s="486"/>
      <c r="AA302" s="486"/>
      <c r="AB302" s="34"/>
      <c r="AC302" s="12"/>
      <c r="AD302" s="30"/>
      <c r="AE302" s="25"/>
      <c r="AF302" s="12"/>
      <c r="AG302" s="12"/>
      <c r="AH302" s="30"/>
      <c r="AI302" s="25"/>
      <c r="AJ302" s="272"/>
      <c r="AK302" s="73"/>
      <c r="AL302" s="12"/>
      <c r="AM302" s="272" t="s">
        <v>840</v>
      </c>
      <c r="AN302" s="73">
        <f>'H. Debt Issues'!N86</f>
        <v>0</v>
      </c>
      <c r="AO302" s="279"/>
      <c r="AP302" s="73"/>
      <c r="AQ302" s="14"/>
      <c r="AR302" s="272"/>
      <c r="AS302" s="254"/>
      <c r="AT302" s="508"/>
      <c r="AU302" s="509"/>
      <c r="AV302" s="323">
        <f>AD302+AF302+AH302+AK302+AP302+AT302</f>
        <v>0</v>
      </c>
      <c r="AW302" s="323">
        <f>AE302+AG302+AI302+AN302+AS302+AU302</f>
        <v>0</v>
      </c>
      <c r="AX302" s="345" t="str">
        <f t="shared" si="59"/>
        <v xml:space="preserve"> </v>
      </c>
      <c r="AY302" s="254">
        <f>IF(AV302-AW302&gt;0," ",AW302-AV302)</f>
        <v>0</v>
      </c>
      <c r="AZ302" s="345"/>
      <c r="BA302" s="254"/>
    </row>
    <row r="303" spans="1:53" x14ac:dyDescent="0.2">
      <c r="A303" s="45"/>
      <c r="B303" s="14"/>
      <c r="C303" s="14" t="s">
        <v>653</v>
      </c>
      <c r="D303" s="489"/>
      <c r="E303" s="490"/>
      <c r="F303" s="485"/>
      <c r="G303" s="485"/>
      <c r="H303" s="485"/>
      <c r="I303" s="485"/>
      <c r="J303" s="485"/>
      <c r="K303" s="485"/>
      <c r="L303" s="487"/>
      <c r="M303" s="485"/>
      <c r="N303" s="485"/>
      <c r="O303" s="485"/>
      <c r="P303" s="488"/>
      <c r="Q303" s="488"/>
      <c r="R303" s="488"/>
      <c r="S303" s="488"/>
      <c r="T303" s="488"/>
      <c r="U303" s="488"/>
      <c r="V303" s="488"/>
      <c r="W303" s="488"/>
      <c r="X303" s="486"/>
      <c r="Y303" s="486"/>
      <c r="Z303" s="486"/>
      <c r="AA303" s="486"/>
      <c r="AB303" s="34">
        <f t="shared" si="53"/>
        <v>0</v>
      </c>
      <c r="AC303" s="12">
        <f t="shared" si="54"/>
        <v>0</v>
      </c>
      <c r="AD303" s="30">
        <f t="shared" si="55"/>
        <v>0</v>
      </c>
      <c r="AE303" s="25">
        <f t="shared" si="56"/>
        <v>0</v>
      </c>
      <c r="AF303" s="12"/>
      <c r="AG303" s="12"/>
      <c r="AH303" s="30"/>
      <c r="AI303" s="25"/>
      <c r="AJ303" s="272"/>
      <c r="AK303" s="73"/>
      <c r="AL303" s="12"/>
      <c r="AM303" s="272" t="str">
        <f>'H. Debt Issues'!D77</f>
        <v>H.1</v>
      </c>
      <c r="AN303" s="73">
        <f>'H. Debt Issues'!N87</f>
        <v>0</v>
      </c>
      <c r="AO303" s="279"/>
      <c r="AP303" s="73"/>
      <c r="AQ303" s="14"/>
      <c r="AR303" s="272"/>
      <c r="AS303" s="254"/>
      <c r="AT303" s="508"/>
      <c r="AU303" s="509"/>
      <c r="AV303" s="323">
        <f t="shared" si="57"/>
        <v>0</v>
      </c>
      <c r="AW303" s="323">
        <f t="shared" si="58"/>
        <v>0</v>
      </c>
      <c r="AX303" s="345" t="str">
        <f t="shared" si="59"/>
        <v xml:space="preserve"> </v>
      </c>
      <c r="AY303" s="254">
        <f>IF(AV303-AW303&gt;0," ",AW303-AV303)</f>
        <v>0</v>
      </c>
      <c r="AZ303" s="345"/>
      <c r="BA303" s="254"/>
    </row>
    <row r="304" spans="1:53" x14ac:dyDescent="0.2">
      <c r="A304" s="45"/>
      <c r="B304" s="14"/>
      <c r="C304" s="14"/>
      <c r="D304" s="489"/>
      <c r="E304" s="490"/>
      <c r="F304" s="485"/>
      <c r="G304" s="485"/>
      <c r="H304" s="485"/>
      <c r="I304" s="485"/>
      <c r="J304" s="485"/>
      <c r="K304" s="485"/>
      <c r="L304" s="487"/>
      <c r="M304" s="485"/>
      <c r="N304" s="485"/>
      <c r="O304" s="485"/>
      <c r="P304" s="488"/>
      <c r="Q304" s="488"/>
      <c r="R304" s="488"/>
      <c r="S304" s="488"/>
      <c r="T304" s="488"/>
      <c r="U304" s="488"/>
      <c r="V304" s="488"/>
      <c r="W304" s="488"/>
      <c r="X304" s="486"/>
      <c r="Y304" s="486"/>
      <c r="Z304" s="486"/>
      <c r="AA304" s="486"/>
      <c r="AB304" s="34">
        <f t="shared" si="53"/>
        <v>0</v>
      </c>
      <c r="AC304" s="12">
        <f t="shared" si="54"/>
        <v>0</v>
      </c>
      <c r="AD304" s="30">
        <f t="shared" si="55"/>
        <v>0</v>
      </c>
      <c r="AE304" s="25">
        <f t="shared" si="56"/>
        <v>0</v>
      </c>
      <c r="AF304" s="12"/>
      <c r="AG304" s="12"/>
      <c r="AH304" s="30"/>
      <c r="AI304" s="25"/>
      <c r="AJ304" s="272"/>
      <c r="AK304" s="73"/>
      <c r="AL304" s="12"/>
      <c r="AM304" s="272"/>
      <c r="AN304" s="73"/>
      <c r="AO304" s="279"/>
      <c r="AP304" s="73"/>
      <c r="AQ304" s="14"/>
      <c r="AR304" s="272"/>
      <c r="AS304" s="254"/>
      <c r="AT304" s="508"/>
      <c r="AU304" s="509"/>
      <c r="AV304" s="323">
        <f t="shared" si="57"/>
        <v>0</v>
      </c>
      <c r="AW304" s="323">
        <f t="shared" si="58"/>
        <v>0</v>
      </c>
      <c r="AX304" s="345" t="str">
        <f t="shared" si="59"/>
        <v xml:space="preserve"> </v>
      </c>
      <c r="AY304" s="254"/>
      <c r="AZ304" s="345"/>
      <c r="BA304" s="254"/>
    </row>
    <row r="305" spans="1:53" x14ac:dyDescent="0.2">
      <c r="A305" s="45"/>
      <c r="B305" s="194" t="s">
        <v>378</v>
      </c>
      <c r="C305" s="14"/>
      <c r="D305" s="489"/>
      <c r="E305" s="490"/>
      <c r="F305" s="485"/>
      <c r="G305" s="485"/>
      <c r="H305" s="485"/>
      <c r="I305" s="485"/>
      <c r="J305" s="485"/>
      <c r="K305" s="485"/>
      <c r="L305" s="487"/>
      <c r="M305" s="485"/>
      <c r="N305" s="485"/>
      <c r="O305" s="485"/>
      <c r="P305" s="488"/>
      <c r="Q305" s="488"/>
      <c r="R305" s="488"/>
      <c r="S305" s="488"/>
      <c r="T305" s="488"/>
      <c r="U305" s="488"/>
      <c r="V305" s="488"/>
      <c r="W305" s="488"/>
      <c r="X305" s="486"/>
      <c r="Y305" s="486"/>
      <c r="Z305" s="486"/>
      <c r="AA305" s="486"/>
      <c r="AB305" s="34">
        <f t="shared" si="53"/>
        <v>0</v>
      </c>
      <c r="AC305" s="12">
        <f t="shared" si="54"/>
        <v>0</v>
      </c>
      <c r="AD305" s="30">
        <f t="shared" si="55"/>
        <v>0</v>
      </c>
      <c r="AE305" s="25">
        <f t="shared" si="56"/>
        <v>0</v>
      </c>
      <c r="AF305" s="12"/>
      <c r="AG305" s="12"/>
      <c r="AH305" s="30"/>
      <c r="AI305" s="25"/>
      <c r="AJ305" s="272" t="str">
        <f>'D. Depreciation'!A53</f>
        <v>D.1</v>
      </c>
      <c r="AK305" s="73">
        <f>'D. Depreciation'!J61</f>
        <v>0</v>
      </c>
      <c r="AL305" s="12"/>
      <c r="AM305" s="272"/>
      <c r="AN305" s="73"/>
      <c r="AO305" s="279"/>
      <c r="AP305" s="73"/>
      <c r="AQ305" s="14"/>
      <c r="AR305" s="272"/>
      <c r="AS305" s="254"/>
      <c r="AT305" s="508"/>
      <c r="AU305" s="509"/>
      <c r="AV305" s="323">
        <f t="shared" si="57"/>
        <v>0</v>
      </c>
      <c r="AW305" s="323">
        <f t="shared" si="58"/>
        <v>0</v>
      </c>
      <c r="AX305" s="345" t="str">
        <f t="shared" si="59"/>
        <v xml:space="preserve"> </v>
      </c>
      <c r="AY305" s="254">
        <f>IF(AV305-AW305&gt;0," ",AW305-AV305)</f>
        <v>0</v>
      </c>
      <c r="AZ305" s="345"/>
      <c r="BA305" s="254"/>
    </row>
    <row r="306" spans="1:53" x14ac:dyDescent="0.2">
      <c r="A306" s="45"/>
      <c r="B306" s="194"/>
      <c r="C306" s="14"/>
      <c r="D306" s="489"/>
      <c r="E306" s="490"/>
      <c r="F306" s="485"/>
      <c r="G306" s="485"/>
      <c r="H306" s="485"/>
      <c r="I306" s="485"/>
      <c r="J306" s="485"/>
      <c r="K306" s="486"/>
      <c r="L306" s="487"/>
      <c r="M306" s="485"/>
      <c r="N306" s="485"/>
      <c r="O306" s="485"/>
      <c r="P306" s="488"/>
      <c r="Q306" s="488"/>
      <c r="R306" s="488"/>
      <c r="S306" s="488"/>
      <c r="T306" s="488"/>
      <c r="U306" s="488"/>
      <c r="V306" s="488"/>
      <c r="W306" s="488"/>
      <c r="X306" s="486"/>
      <c r="Y306" s="486"/>
      <c r="Z306" s="486"/>
      <c r="AA306" s="486"/>
      <c r="AB306" s="34">
        <f t="shared" si="53"/>
        <v>0</v>
      </c>
      <c r="AC306" s="12">
        <f t="shared" si="54"/>
        <v>0</v>
      </c>
      <c r="AD306" s="30">
        <f t="shared" si="55"/>
        <v>0</v>
      </c>
      <c r="AE306" s="25">
        <f t="shared" si="56"/>
        <v>0</v>
      </c>
      <c r="AF306" s="12"/>
      <c r="AG306" s="12"/>
      <c r="AH306" s="30"/>
      <c r="AI306" s="25"/>
      <c r="AL306" s="12"/>
      <c r="AM306" s="272"/>
      <c r="AN306" s="73"/>
      <c r="AO306" s="279"/>
      <c r="AP306" s="73"/>
      <c r="AQ306" s="14"/>
      <c r="AR306" s="272"/>
      <c r="AS306" s="254"/>
      <c r="AT306" s="508"/>
      <c r="AU306" s="509"/>
      <c r="AV306" s="323">
        <f t="shared" si="57"/>
        <v>0</v>
      </c>
      <c r="AW306" s="323">
        <f t="shared" si="58"/>
        <v>0</v>
      </c>
      <c r="AX306" s="345" t="str">
        <f t="shared" si="59"/>
        <v xml:space="preserve"> </v>
      </c>
      <c r="AY306" s="254"/>
      <c r="AZ306" s="345"/>
      <c r="BA306" s="254"/>
    </row>
    <row r="307" spans="1:53" ht="18" customHeight="1" x14ac:dyDescent="0.2">
      <c r="A307" s="1150" t="s">
        <v>923</v>
      </c>
      <c r="B307" s="1150"/>
      <c r="C307" s="1151"/>
      <c r="D307" s="490"/>
      <c r="E307" s="490"/>
      <c r="F307" s="485"/>
      <c r="G307" s="485"/>
      <c r="H307" s="485"/>
      <c r="I307" s="485"/>
      <c r="J307" s="485"/>
      <c r="K307" s="486"/>
      <c r="L307" s="487"/>
      <c r="M307" s="485"/>
      <c r="N307" s="485"/>
      <c r="O307" s="485"/>
      <c r="P307" s="488"/>
      <c r="Q307" s="488"/>
      <c r="R307" s="488"/>
      <c r="S307" s="488"/>
      <c r="T307" s="488"/>
      <c r="U307" s="488"/>
      <c r="V307" s="488"/>
      <c r="W307" s="488"/>
      <c r="X307" s="486"/>
      <c r="Y307" s="486"/>
      <c r="Z307" s="486"/>
      <c r="AA307" s="486"/>
      <c r="AB307" s="34">
        <f t="shared" si="53"/>
        <v>0</v>
      </c>
      <c r="AC307" s="12">
        <f t="shared" si="54"/>
        <v>0</v>
      </c>
      <c r="AD307" s="30">
        <f t="shared" si="55"/>
        <v>0</v>
      </c>
      <c r="AE307" s="25">
        <f t="shared" si="56"/>
        <v>0</v>
      </c>
      <c r="AF307" s="12"/>
      <c r="AG307" s="12"/>
      <c r="AH307" s="30"/>
      <c r="AI307" s="25"/>
      <c r="AJ307" s="272"/>
      <c r="AK307" s="73"/>
      <c r="AL307" s="12"/>
      <c r="AM307" s="272"/>
      <c r="AN307" s="73"/>
      <c r="AO307" s="279"/>
      <c r="AP307" s="73"/>
      <c r="AQ307" s="14"/>
      <c r="AR307" s="272"/>
      <c r="AS307" s="254"/>
      <c r="AT307" s="508"/>
      <c r="AU307" s="509"/>
      <c r="AV307" s="323">
        <f t="shared" si="57"/>
        <v>0</v>
      </c>
      <c r="AW307" s="323">
        <f t="shared" si="58"/>
        <v>0</v>
      </c>
      <c r="AX307" s="345" t="str">
        <f t="shared" si="59"/>
        <v xml:space="preserve"> </v>
      </c>
      <c r="AY307" s="254"/>
      <c r="AZ307" s="345"/>
      <c r="BA307" s="254"/>
    </row>
    <row r="308" spans="1:53" x14ac:dyDescent="0.2">
      <c r="A308" s="45"/>
      <c r="B308" s="194"/>
      <c r="C308" s="14"/>
      <c r="D308" s="489"/>
      <c r="E308" s="490"/>
      <c r="F308" s="485"/>
      <c r="G308" s="485"/>
      <c r="H308" s="485"/>
      <c r="I308" s="485"/>
      <c r="J308" s="485"/>
      <c r="K308" s="486"/>
      <c r="L308" s="487"/>
      <c r="M308" s="485"/>
      <c r="N308" s="485"/>
      <c r="O308" s="485"/>
      <c r="P308" s="488"/>
      <c r="Q308" s="488"/>
      <c r="R308" s="488"/>
      <c r="S308" s="488"/>
      <c r="T308" s="488"/>
      <c r="U308" s="488"/>
      <c r="V308" s="488"/>
      <c r="W308" s="488"/>
      <c r="X308" s="486"/>
      <c r="Y308" s="486"/>
      <c r="Z308" s="486"/>
      <c r="AA308" s="486"/>
      <c r="AB308" s="34">
        <f t="shared" si="53"/>
        <v>0</v>
      </c>
      <c r="AC308" s="12">
        <f t="shared" si="54"/>
        <v>0</v>
      </c>
      <c r="AD308" s="30">
        <f t="shared" si="55"/>
        <v>0</v>
      </c>
      <c r="AE308" s="25">
        <f t="shared" si="56"/>
        <v>0</v>
      </c>
      <c r="AF308" s="12"/>
      <c r="AG308" s="12"/>
      <c r="AH308" s="30"/>
      <c r="AI308" s="25"/>
      <c r="AJ308" s="272"/>
      <c r="AK308" s="73"/>
      <c r="AL308" s="12"/>
      <c r="AM308" s="272"/>
      <c r="AN308" s="73"/>
      <c r="AO308" s="279"/>
      <c r="AP308" s="73"/>
      <c r="AQ308" s="14"/>
      <c r="AR308" s="272"/>
      <c r="AS308" s="254"/>
      <c r="AT308" s="508"/>
      <c r="AU308" s="509"/>
      <c r="AV308" s="323">
        <f t="shared" si="57"/>
        <v>0</v>
      </c>
      <c r="AW308" s="323">
        <f t="shared" si="58"/>
        <v>0</v>
      </c>
      <c r="AX308" s="345" t="str">
        <f t="shared" si="59"/>
        <v xml:space="preserve"> </v>
      </c>
      <c r="AY308" s="254"/>
      <c r="AZ308" s="345"/>
      <c r="BA308" s="254"/>
    </row>
    <row r="309" spans="1:53" x14ac:dyDescent="0.2">
      <c r="A309" s="45"/>
      <c r="B309" s="14"/>
      <c r="C309" s="14" t="s">
        <v>791</v>
      </c>
      <c r="D309" s="489"/>
      <c r="E309" s="490"/>
      <c r="F309" s="485"/>
      <c r="G309" s="485"/>
      <c r="H309" s="485"/>
      <c r="I309" s="485"/>
      <c r="J309" s="485"/>
      <c r="K309" s="486"/>
      <c r="L309" s="487"/>
      <c r="M309" s="485"/>
      <c r="N309" s="485"/>
      <c r="O309" s="485"/>
      <c r="P309" s="488"/>
      <c r="Q309" s="488"/>
      <c r="R309" s="488"/>
      <c r="S309" s="488"/>
      <c r="T309" s="488"/>
      <c r="U309" s="488"/>
      <c r="V309" s="488"/>
      <c r="W309" s="488"/>
      <c r="X309" s="486"/>
      <c r="Y309" s="486"/>
      <c r="Z309" s="486"/>
      <c r="AA309" s="486"/>
      <c r="AB309" s="34">
        <f t="shared" si="53"/>
        <v>0</v>
      </c>
      <c r="AC309" s="12">
        <f t="shared" si="54"/>
        <v>0</v>
      </c>
      <c r="AD309" s="30">
        <f t="shared" si="55"/>
        <v>0</v>
      </c>
      <c r="AE309" s="25">
        <f t="shared" si="56"/>
        <v>0</v>
      </c>
      <c r="AF309" s="12"/>
      <c r="AG309" s="12"/>
      <c r="AH309" s="30"/>
      <c r="AI309" s="25"/>
      <c r="AJ309" s="272"/>
      <c r="AK309" s="73"/>
      <c r="AL309" s="12"/>
      <c r="AM309" s="272" t="str">
        <f>'F.  Other Cap Asset Entries'!D236</f>
        <v>F.2</v>
      </c>
      <c r="AN309" s="73">
        <f>'F.  Other Cap Asset Entries'!O246</f>
        <v>0</v>
      </c>
      <c r="AO309" s="279" t="str">
        <f>'L. Eliminations-Consolidations'!A198</f>
        <v>L.1</v>
      </c>
      <c r="AP309" s="73">
        <f>'L. Eliminations-Consolidations'!J198</f>
        <v>0</v>
      </c>
      <c r="AQ309" s="14"/>
      <c r="AR309" s="464" t="s">
        <v>682</v>
      </c>
      <c r="AS309" s="255">
        <f>'K.1  Int. Service Fd Allocation'!G204+'K.2  Int. Service Fd Alloca'!G197+'K.3 Int. Service Fd Alloca'!G197</f>
        <v>0</v>
      </c>
      <c r="AT309" s="508"/>
      <c r="AU309" s="509"/>
      <c r="AV309" s="323">
        <f t="shared" si="57"/>
        <v>0</v>
      </c>
      <c r="AW309" s="323">
        <f t="shared" si="58"/>
        <v>0</v>
      </c>
      <c r="AX309" s="351" t="str">
        <f t="shared" si="59"/>
        <v xml:space="preserve"> </v>
      </c>
      <c r="AY309" s="255">
        <f t="shared" ref="AY309:AY322" si="60">IF(AV309-AW309&gt;0," ",AW309-AV309)</f>
        <v>0</v>
      </c>
      <c r="AZ309" s="345"/>
      <c r="BA309" s="254"/>
    </row>
    <row r="310" spans="1:53" x14ac:dyDescent="0.2">
      <c r="A310" s="45"/>
      <c r="B310" s="14"/>
      <c r="C310" s="14" t="s">
        <v>582</v>
      </c>
      <c r="D310" s="507"/>
      <c r="E310" s="490"/>
      <c r="F310" s="485"/>
      <c r="G310" s="485"/>
      <c r="H310" s="485"/>
      <c r="I310" s="485"/>
      <c r="J310" s="485"/>
      <c r="K310" s="486"/>
      <c r="L310" s="487"/>
      <c r="M310" s="485"/>
      <c r="N310" s="485"/>
      <c r="O310" s="485"/>
      <c r="P310" s="488"/>
      <c r="Q310" s="488"/>
      <c r="R310" s="488"/>
      <c r="S310" s="488"/>
      <c r="T310" s="488"/>
      <c r="U310" s="488"/>
      <c r="V310" s="488"/>
      <c r="W310" s="488"/>
      <c r="X310" s="486"/>
      <c r="Y310" s="486"/>
      <c r="Z310" s="486"/>
      <c r="AA310" s="486"/>
      <c r="AB310" s="34">
        <f t="shared" si="53"/>
        <v>0</v>
      </c>
      <c r="AC310" s="12">
        <f t="shared" si="54"/>
        <v>0</v>
      </c>
      <c r="AD310" s="30">
        <f t="shared" si="55"/>
        <v>0</v>
      </c>
      <c r="AE310" s="25">
        <f t="shared" si="56"/>
        <v>0</v>
      </c>
      <c r="AF310" s="12"/>
      <c r="AG310" s="12"/>
      <c r="AH310" s="30"/>
      <c r="AI310" s="25"/>
      <c r="AJ310" s="272" t="str">
        <f>'F.  Other Cap Asset Entries'!D214</f>
        <v>F.1</v>
      </c>
      <c r="AK310" s="73">
        <f>'F.  Other Cap Asset Entries'!M224</f>
        <v>0</v>
      </c>
      <c r="AL310" s="12"/>
      <c r="AM310" s="272"/>
      <c r="AN310" s="73"/>
      <c r="AO310" s="457" t="s">
        <v>682</v>
      </c>
      <c r="AP310" s="72">
        <f>'K.1  Int. Service Fd Allocation'!E205+'K.2  Int. Service Fd Alloca'!E198+'K.3 Int. Service Fd Alloca'!E198</f>
        <v>0</v>
      </c>
      <c r="AQ310" s="14"/>
      <c r="AR310" s="272" t="str">
        <f>'L. Eliminations-Consolidations'!A198</f>
        <v>L.1</v>
      </c>
      <c r="AS310" s="254">
        <f>'L. Eliminations-Consolidations'!L199</f>
        <v>0</v>
      </c>
      <c r="AT310" s="508"/>
      <c r="AU310" s="509"/>
      <c r="AV310" s="323">
        <f t="shared" si="57"/>
        <v>0</v>
      </c>
      <c r="AW310" s="323">
        <f t="shared" si="58"/>
        <v>0</v>
      </c>
      <c r="AX310" s="351" t="str">
        <f t="shared" si="59"/>
        <v xml:space="preserve"> </v>
      </c>
      <c r="AY310" s="255">
        <f t="shared" si="60"/>
        <v>0</v>
      </c>
      <c r="AZ310" s="345"/>
      <c r="BA310" s="254"/>
    </row>
    <row r="311" spans="1:53" x14ac:dyDescent="0.2">
      <c r="A311" s="45"/>
      <c r="B311" s="378"/>
      <c r="C311" s="54" t="s">
        <v>623</v>
      </c>
      <c r="D311" s="489"/>
      <c r="E311" s="490"/>
      <c r="F311" s="485"/>
      <c r="G311" s="485"/>
      <c r="H311" s="485"/>
      <c r="I311" s="485"/>
      <c r="J311" s="485"/>
      <c r="K311" s="485"/>
      <c r="L311" s="487"/>
      <c r="M311" s="485"/>
      <c r="N311" s="485"/>
      <c r="O311" s="485"/>
      <c r="P311" s="488"/>
      <c r="Q311" s="488"/>
      <c r="R311" s="488"/>
      <c r="S311" s="488"/>
      <c r="T311" s="488"/>
      <c r="U311" s="488"/>
      <c r="V311" s="488"/>
      <c r="W311" s="488"/>
      <c r="X311" s="486"/>
      <c r="Y311" s="486"/>
      <c r="Z311" s="486"/>
      <c r="AA311" s="486"/>
      <c r="AB311" s="34">
        <f t="shared" si="53"/>
        <v>0</v>
      </c>
      <c r="AC311" s="12">
        <f t="shared" si="54"/>
        <v>0</v>
      </c>
      <c r="AD311" s="30">
        <f t="shared" si="55"/>
        <v>0</v>
      </c>
      <c r="AE311" s="25">
        <f t="shared" si="56"/>
        <v>0</v>
      </c>
      <c r="AF311" s="12"/>
      <c r="AG311" s="12"/>
      <c r="AH311" s="30"/>
      <c r="AI311" s="25"/>
      <c r="AJ311" s="272" t="str">
        <f>'H. Debt Issues'!D77</f>
        <v>H.1</v>
      </c>
      <c r="AK311" s="73">
        <f>'H. Debt Issues'!L77</f>
        <v>0</v>
      </c>
      <c r="AL311" s="12"/>
      <c r="AM311" s="272"/>
      <c r="AN311" s="73"/>
      <c r="AO311" s="279"/>
      <c r="AP311" s="73"/>
      <c r="AQ311" s="14"/>
      <c r="AR311" s="272"/>
      <c r="AS311" s="254"/>
      <c r="AT311" s="508"/>
      <c r="AU311" s="509"/>
      <c r="AV311" s="323">
        <f t="shared" si="57"/>
        <v>0</v>
      </c>
      <c r="AW311" s="323">
        <f t="shared" si="58"/>
        <v>0</v>
      </c>
      <c r="AX311" s="345" t="str">
        <f t="shared" si="59"/>
        <v xml:space="preserve"> </v>
      </c>
      <c r="AY311" s="254">
        <f t="shared" si="60"/>
        <v>0</v>
      </c>
      <c r="AZ311" s="345"/>
      <c r="BA311" s="254"/>
    </row>
    <row r="312" spans="1:53" x14ac:dyDescent="0.2">
      <c r="A312" s="45"/>
      <c r="B312" s="14"/>
      <c r="C312" s="573" t="s">
        <v>792</v>
      </c>
      <c r="D312" s="489"/>
      <c r="E312" s="490"/>
      <c r="F312" s="485"/>
      <c r="G312" s="485"/>
      <c r="H312" s="485"/>
      <c r="I312" s="485"/>
      <c r="J312" s="485"/>
      <c r="K312" s="486"/>
      <c r="L312" s="487"/>
      <c r="M312" s="485"/>
      <c r="N312" s="485"/>
      <c r="O312" s="485"/>
      <c r="P312" s="488"/>
      <c r="Q312" s="488"/>
      <c r="R312" s="488"/>
      <c r="S312" s="488"/>
      <c r="T312" s="488"/>
      <c r="U312" s="488"/>
      <c r="V312" s="488"/>
      <c r="W312" s="488"/>
      <c r="X312" s="486"/>
      <c r="Y312" s="486"/>
      <c r="Z312" s="486"/>
      <c r="AA312" s="486"/>
      <c r="AB312" s="34">
        <f t="shared" si="53"/>
        <v>0</v>
      </c>
      <c r="AC312" s="12">
        <f t="shared" si="54"/>
        <v>0</v>
      </c>
      <c r="AD312" s="30">
        <f t="shared" si="55"/>
        <v>0</v>
      </c>
      <c r="AE312" s="25">
        <f t="shared" si="56"/>
        <v>0</v>
      </c>
      <c r="AF312" s="12"/>
      <c r="AG312" s="12"/>
      <c r="AH312" s="30"/>
      <c r="AI312" s="25"/>
      <c r="AJ312" s="272" t="str">
        <f>'H. Debt Issues'!D77</f>
        <v>H.1</v>
      </c>
      <c r="AK312" s="73">
        <f>'H. Debt Issues'!L78</f>
        <v>0</v>
      </c>
      <c r="AL312" s="12"/>
      <c r="AM312" s="272"/>
      <c r="AN312" s="73"/>
      <c r="AO312" s="279"/>
      <c r="AP312" s="73"/>
      <c r="AQ312" s="14"/>
      <c r="AR312" s="272"/>
      <c r="AS312" s="254"/>
      <c r="AT312" s="508"/>
      <c r="AU312" s="509"/>
      <c r="AV312" s="323">
        <f t="shared" si="57"/>
        <v>0</v>
      </c>
      <c r="AW312" s="323">
        <f t="shared" si="58"/>
        <v>0</v>
      </c>
      <c r="AX312" s="345" t="str">
        <f t="shared" si="59"/>
        <v xml:space="preserve"> </v>
      </c>
      <c r="AY312" s="254">
        <f t="shared" si="60"/>
        <v>0</v>
      </c>
      <c r="AZ312" s="345"/>
      <c r="BA312" s="254"/>
    </row>
    <row r="313" spans="1:53" x14ac:dyDescent="0.2">
      <c r="A313" s="45"/>
      <c r="B313" s="14"/>
      <c r="C313" s="14" t="s">
        <v>793</v>
      </c>
      <c r="D313" s="489"/>
      <c r="E313" s="490"/>
      <c r="F313" s="485"/>
      <c r="G313" s="485"/>
      <c r="H313" s="485"/>
      <c r="I313" s="485"/>
      <c r="J313" s="485"/>
      <c r="K313" s="486"/>
      <c r="L313" s="487"/>
      <c r="M313" s="485"/>
      <c r="N313" s="485"/>
      <c r="O313" s="485"/>
      <c r="P313" s="488"/>
      <c r="Q313" s="488"/>
      <c r="R313" s="488"/>
      <c r="S313" s="488"/>
      <c r="T313" s="488"/>
      <c r="U313" s="488"/>
      <c r="V313" s="488"/>
      <c r="W313" s="488"/>
      <c r="X313" s="486"/>
      <c r="Y313" s="486"/>
      <c r="Z313" s="486"/>
      <c r="AA313" s="486"/>
      <c r="AB313" s="34">
        <f t="shared" si="53"/>
        <v>0</v>
      </c>
      <c r="AC313" s="12">
        <f t="shared" si="54"/>
        <v>0</v>
      </c>
      <c r="AD313" s="30">
        <f t="shared" si="55"/>
        <v>0</v>
      </c>
      <c r="AE313" s="25">
        <f t="shared" si="56"/>
        <v>0</v>
      </c>
      <c r="AF313" s="12"/>
      <c r="AG313" s="12"/>
      <c r="AH313" s="30"/>
      <c r="AI313" s="25"/>
      <c r="AJ313" s="272" t="str">
        <f>'H. Debt Issues'!D77</f>
        <v>H.1</v>
      </c>
      <c r="AK313" s="73">
        <f>'H. Debt Issues'!L79</f>
        <v>0</v>
      </c>
      <c r="AL313" s="12"/>
      <c r="AM313" s="272"/>
      <c r="AN313" s="73"/>
      <c r="AO313" s="279"/>
      <c r="AP313" s="73"/>
      <c r="AQ313" s="14"/>
      <c r="AR313" s="272"/>
      <c r="AS313" s="254"/>
      <c r="AT313" s="508"/>
      <c r="AU313" s="509"/>
      <c r="AV313" s="323">
        <f t="shared" si="57"/>
        <v>0</v>
      </c>
      <c r="AW313" s="323">
        <f t="shared" si="58"/>
        <v>0</v>
      </c>
      <c r="AX313" s="345" t="str">
        <f t="shared" si="59"/>
        <v xml:space="preserve"> </v>
      </c>
      <c r="AY313" s="254">
        <f t="shared" si="60"/>
        <v>0</v>
      </c>
      <c r="AZ313" s="345"/>
      <c r="BA313" s="254"/>
    </row>
    <row r="314" spans="1:53" x14ac:dyDescent="0.2">
      <c r="A314" s="45"/>
      <c r="B314" s="14"/>
      <c r="C314" s="14" t="s">
        <v>794</v>
      </c>
      <c r="D314" s="489"/>
      <c r="E314" s="490"/>
      <c r="F314" s="485"/>
      <c r="G314" s="485"/>
      <c r="H314" s="485"/>
      <c r="I314" s="485"/>
      <c r="J314" s="485"/>
      <c r="K314" s="486"/>
      <c r="L314" s="487"/>
      <c r="M314" s="485"/>
      <c r="N314" s="485"/>
      <c r="O314" s="485"/>
      <c r="P314" s="488"/>
      <c r="Q314" s="488"/>
      <c r="R314" s="488"/>
      <c r="S314" s="488"/>
      <c r="T314" s="488"/>
      <c r="U314" s="488"/>
      <c r="V314" s="488"/>
      <c r="W314" s="488"/>
      <c r="X314" s="486"/>
      <c r="Y314" s="486"/>
      <c r="Z314" s="486"/>
      <c r="AA314" s="486"/>
      <c r="AB314" s="34">
        <f t="shared" si="53"/>
        <v>0</v>
      </c>
      <c r="AC314" s="12">
        <f t="shared" si="54"/>
        <v>0</v>
      </c>
      <c r="AD314" s="30">
        <f t="shared" si="55"/>
        <v>0</v>
      </c>
      <c r="AE314" s="25">
        <f t="shared" si="56"/>
        <v>0</v>
      </c>
      <c r="AF314" s="12"/>
      <c r="AG314" s="12"/>
      <c r="AH314" s="30"/>
      <c r="AI314" s="25"/>
      <c r="AJ314" s="272" t="str">
        <f>'H. Debt Issues'!D77</f>
        <v>H.1</v>
      </c>
      <c r="AK314" s="73">
        <f>'H. Debt Issues'!L80</f>
        <v>0</v>
      </c>
      <c r="AL314" s="12"/>
      <c r="AM314" s="272"/>
      <c r="AN314" s="73"/>
      <c r="AO314" s="279"/>
      <c r="AP314" s="73"/>
      <c r="AQ314" s="14"/>
      <c r="AR314" s="272"/>
      <c r="AS314" s="254"/>
      <c r="AT314" s="508"/>
      <c r="AU314" s="509"/>
      <c r="AV314" s="323">
        <f t="shared" si="57"/>
        <v>0</v>
      </c>
      <c r="AW314" s="323">
        <f t="shared" si="58"/>
        <v>0</v>
      </c>
      <c r="AX314" s="345" t="str">
        <f t="shared" si="59"/>
        <v xml:space="preserve"> </v>
      </c>
      <c r="AY314" s="254">
        <f t="shared" si="60"/>
        <v>0</v>
      </c>
      <c r="AZ314" s="345"/>
      <c r="BA314" s="254"/>
    </row>
    <row r="315" spans="1:53" x14ac:dyDescent="0.2">
      <c r="A315" s="45"/>
      <c r="B315" s="14"/>
      <c r="C315" s="14" t="s">
        <v>795</v>
      </c>
      <c r="D315" s="489"/>
      <c r="E315" s="490"/>
      <c r="F315" s="485"/>
      <c r="G315" s="485"/>
      <c r="H315" s="485"/>
      <c r="I315" s="485"/>
      <c r="J315" s="485"/>
      <c r="K315" s="486"/>
      <c r="L315" s="487"/>
      <c r="M315" s="485"/>
      <c r="N315" s="485"/>
      <c r="O315" s="485"/>
      <c r="P315" s="488"/>
      <c r="Q315" s="488"/>
      <c r="R315" s="488"/>
      <c r="S315" s="488"/>
      <c r="T315" s="488"/>
      <c r="U315" s="488"/>
      <c r="V315" s="488"/>
      <c r="W315" s="488"/>
      <c r="X315" s="486"/>
      <c r="Y315" s="486"/>
      <c r="Z315" s="486"/>
      <c r="AA315" s="486"/>
      <c r="AB315" s="34">
        <f t="shared" si="53"/>
        <v>0</v>
      </c>
      <c r="AC315" s="12">
        <f t="shared" si="54"/>
        <v>0</v>
      </c>
      <c r="AD315" s="30">
        <f t="shared" si="55"/>
        <v>0</v>
      </c>
      <c r="AE315" s="25">
        <f t="shared" si="56"/>
        <v>0</v>
      </c>
      <c r="AF315" s="12"/>
      <c r="AG315" s="12"/>
      <c r="AH315" s="30"/>
      <c r="AI315" s="25"/>
      <c r="AJ315" s="272"/>
      <c r="AK315" s="73"/>
      <c r="AL315" s="12"/>
      <c r="AM315" s="272" t="str">
        <f>'H. Debt Issues'!D77</f>
        <v>H.1</v>
      </c>
      <c r="AN315" s="73">
        <f>'H. Debt Issues'!N89</f>
        <v>0</v>
      </c>
      <c r="AO315" s="279"/>
      <c r="AP315" s="73"/>
      <c r="AQ315" s="14"/>
      <c r="AR315" s="272"/>
      <c r="AS315" s="254"/>
      <c r="AT315" s="508"/>
      <c r="AU315" s="509"/>
      <c r="AV315" s="323">
        <f t="shared" si="57"/>
        <v>0</v>
      </c>
      <c r="AW315" s="323">
        <f t="shared" si="58"/>
        <v>0</v>
      </c>
      <c r="AX315" s="345" t="str">
        <f t="shared" si="59"/>
        <v xml:space="preserve"> </v>
      </c>
      <c r="AY315" s="254">
        <f t="shared" si="60"/>
        <v>0</v>
      </c>
      <c r="AZ315" s="345"/>
      <c r="BA315" s="254"/>
    </row>
    <row r="316" spans="1:53" x14ac:dyDescent="0.2">
      <c r="A316" s="45"/>
      <c r="B316" s="14"/>
      <c r="C316" s="14" t="s">
        <v>796</v>
      </c>
      <c r="D316" s="489"/>
      <c r="E316" s="490"/>
      <c r="F316" s="485"/>
      <c r="G316" s="485"/>
      <c r="H316" s="485"/>
      <c r="I316" s="485"/>
      <c r="J316" s="485"/>
      <c r="K316" s="486"/>
      <c r="L316" s="487"/>
      <c r="M316" s="485"/>
      <c r="N316" s="485"/>
      <c r="O316" s="485"/>
      <c r="P316" s="488"/>
      <c r="Q316" s="488"/>
      <c r="R316" s="488"/>
      <c r="S316" s="488"/>
      <c r="T316" s="488"/>
      <c r="U316" s="488"/>
      <c r="V316" s="488"/>
      <c r="W316" s="488"/>
      <c r="X316" s="486"/>
      <c r="Y316" s="486"/>
      <c r="Z316" s="486"/>
      <c r="AA316" s="486"/>
      <c r="AB316" s="34">
        <f t="shared" si="53"/>
        <v>0</v>
      </c>
      <c r="AC316" s="12">
        <f t="shared" si="54"/>
        <v>0</v>
      </c>
      <c r="AD316" s="30">
        <f t="shared" si="55"/>
        <v>0</v>
      </c>
      <c r="AE316" s="25">
        <f t="shared" si="56"/>
        <v>0</v>
      </c>
      <c r="AF316" s="12"/>
      <c r="AG316" s="12"/>
      <c r="AH316" s="30"/>
      <c r="AI316" s="25"/>
      <c r="AJ316" s="272"/>
      <c r="AK316" s="73"/>
      <c r="AL316" s="12"/>
      <c r="AM316" s="272" t="str">
        <f>'H. Debt Issues'!D77</f>
        <v>H.1</v>
      </c>
      <c r="AN316" s="73">
        <f>'H. Debt Issues'!N90</f>
        <v>0</v>
      </c>
      <c r="AO316" s="279"/>
      <c r="AP316" s="73"/>
      <c r="AQ316" s="14"/>
      <c r="AR316" s="272"/>
      <c r="AS316" s="254"/>
      <c r="AT316" s="508"/>
      <c r="AU316" s="509"/>
      <c r="AV316" s="323">
        <f t="shared" si="57"/>
        <v>0</v>
      </c>
      <c r="AW316" s="323">
        <f t="shared" si="58"/>
        <v>0</v>
      </c>
      <c r="AX316" s="345" t="str">
        <f t="shared" si="59"/>
        <v xml:space="preserve"> </v>
      </c>
      <c r="AY316" s="254">
        <f t="shared" si="60"/>
        <v>0</v>
      </c>
      <c r="AZ316" s="345"/>
      <c r="BA316" s="254"/>
    </row>
    <row r="317" spans="1:53" x14ac:dyDescent="0.2">
      <c r="A317" s="45"/>
      <c r="B317" s="14"/>
      <c r="C317" s="14" t="s">
        <v>841</v>
      </c>
      <c r="D317" s="489"/>
      <c r="E317" s="490"/>
      <c r="F317" s="485"/>
      <c r="G317" s="485"/>
      <c r="H317" s="485"/>
      <c r="I317" s="485"/>
      <c r="J317" s="485"/>
      <c r="K317" s="486"/>
      <c r="L317" s="487"/>
      <c r="M317" s="485"/>
      <c r="N317" s="485"/>
      <c r="O317" s="485"/>
      <c r="P317" s="488"/>
      <c r="Q317" s="488"/>
      <c r="R317" s="488"/>
      <c r="S317" s="488"/>
      <c r="T317" s="488"/>
      <c r="U317" s="488"/>
      <c r="V317" s="488"/>
      <c r="W317" s="488"/>
      <c r="X317" s="486"/>
      <c r="Y317" s="486"/>
      <c r="Z317" s="486"/>
      <c r="AA317" s="486"/>
      <c r="AB317" s="34">
        <f t="shared" si="53"/>
        <v>0</v>
      </c>
      <c r="AC317" s="12">
        <f t="shared" si="54"/>
        <v>0</v>
      </c>
      <c r="AD317" s="30">
        <f t="shared" si="55"/>
        <v>0</v>
      </c>
      <c r="AE317" s="25">
        <f t="shared" si="56"/>
        <v>0</v>
      </c>
      <c r="AF317" s="12"/>
      <c r="AG317" s="12"/>
      <c r="AH317" s="30"/>
      <c r="AI317" s="25"/>
      <c r="AJ317" s="272" t="str">
        <f>'F.  Other Cap Asset Entries'!D214</f>
        <v>F.1</v>
      </c>
      <c r="AK317" s="73">
        <f>'F.  Other Cap Asset Entries'!M221</f>
        <v>0</v>
      </c>
      <c r="AL317" s="12"/>
      <c r="AM317" s="272"/>
      <c r="AN317" s="73"/>
      <c r="AO317" s="279"/>
      <c r="AP317" s="73"/>
      <c r="AQ317" s="14"/>
      <c r="AR317" s="272"/>
      <c r="AS317" s="254"/>
      <c r="AT317" s="508"/>
      <c r="AU317" s="509"/>
      <c r="AV317" s="323">
        <f t="shared" si="57"/>
        <v>0</v>
      </c>
      <c r="AW317" s="323">
        <f t="shared" si="58"/>
        <v>0</v>
      </c>
      <c r="AX317" s="345" t="str">
        <f t="shared" si="59"/>
        <v xml:space="preserve"> </v>
      </c>
      <c r="AY317" s="254">
        <f t="shared" si="60"/>
        <v>0</v>
      </c>
      <c r="AZ317" s="345"/>
      <c r="BA317" s="254"/>
    </row>
    <row r="318" spans="1:53" x14ac:dyDescent="0.2">
      <c r="A318" s="45"/>
      <c r="B318" s="14"/>
      <c r="C318" s="54" t="s">
        <v>511</v>
      </c>
      <c r="D318" s="489"/>
      <c r="E318" s="490"/>
      <c r="F318" s="485"/>
      <c r="G318" s="485"/>
      <c r="H318" s="485"/>
      <c r="I318" s="485"/>
      <c r="J318" s="485"/>
      <c r="K318" s="486"/>
      <c r="L318" s="487"/>
      <c r="M318" s="485"/>
      <c r="N318" s="485"/>
      <c r="O318" s="485"/>
      <c r="P318" s="488"/>
      <c r="Q318" s="488"/>
      <c r="R318" s="488"/>
      <c r="S318" s="488"/>
      <c r="T318" s="488"/>
      <c r="U318" s="488"/>
      <c r="V318" s="488"/>
      <c r="W318" s="488"/>
      <c r="X318" s="486"/>
      <c r="Y318" s="486"/>
      <c r="Z318" s="486"/>
      <c r="AA318" s="486"/>
      <c r="AB318" s="34"/>
      <c r="AC318" s="12"/>
      <c r="AD318" s="30">
        <f t="shared" si="55"/>
        <v>0</v>
      </c>
      <c r="AE318" s="25">
        <f t="shared" si="56"/>
        <v>0</v>
      </c>
      <c r="AF318" s="12"/>
      <c r="AG318" s="12"/>
      <c r="AH318" s="30"/>
      <c r="AI318" s="25"/>
      <c r="AJ318" s="272" t="s">
        <v>968</v>
      </c>
      <c r="AK318" s="73">
        <f>'F.  Other Cap Asset Entries'!M257</f>
        <v>0</v>
      </c>
      <c r="AL318" s="12"/>
      <c r="AM318" s="272"/>
      <c r="AN318" s="73"/>
      <c r="AO318" s="279"/>
      <c r="AP318" s="73"/>
      <c r="AQ318" s="14"/>
      <c r="AR318" s="272"/>
      <c r="AS318" s="254"/>
      <c r="AT318" s="508"/>
      <c r="AU318" s="509"/>
      <c r="AV318" s="323">
        <f t="shared" si="57"/>
        <v>0</v>
      </c>
      <c r="AW318" s="323">
        <f t="shared" si="58"/>
        <v>0</v>
      </c>
      <c r="AX318" s="345"/>
      <c r="AY318" s="254">
        <f t="shared" si="60"/>
        <v>0</v>
      </c>
      <c r="AZ318" s="345"/>
      <c r="BA318" s="254"/>
    </row>
    <row r="319" spans="1:53" x14ac:dyDescent="0.2">
      <c r="A319" s="45"/>
      <c r="B319" s="14"/>
      <c r="C319" s="14"/>
      <c r="D319" s="489"/>
      <c r="E319" s="490"/>
      <c r="F319" s="485"/>
      <c r="G319" s="485"/>
      <c r="H319" s="485"/>
      <c r="I319" s="485"/>
      <c r="J319" s="485"/>
      <c r="K319" s="486"/>
      <c r="L319" s="487"/>
      <c r="M319" s="485"/>
      <c r="N319" s="485"/>
      <c r="O319" s="485"/>
      <c r="P319" s="488"/>
      <c r="Q319" s="488"/>
      <c r="R319" s="488"/>
      <c r="S319" s="488"/>
      <c r="T319" s="488"/>
      <c r="U319" s="488"/>
      <c r="V319" s="488"/>
      <c r="W319" s="488"/>
      <c r="X319" s="486"/>
      <c r="Y319" s="486"/>
      <c r="Z319" s="486"/>
      <c r="AA319" s="486"/>
      <c r="AB319" s="34">
        <f t="shared" si="53"/>
        <v>0</v>
      </c>
      <c r="AC319" s="12">
        <f t="shared" si="54"/>
        <v>0</v>
      </c>
      <c r="AD319" s="30">
        <f t="shared" si="55"/>
        <v>0</v>
      </c>
      <c r="AE319" s="25">
        <f t="shared" si="56"/>
        <v>0</v>
      </c>
      <c r="AF319" s="12"/>
      <c r="AG319" s="12"/>
      <c r="AH319" s="30"/>
      <c r="AI319" s="25"/>
      <c r="AJ319" s="272"/>
      <c r="AK319" s="73"/>
      <c r="AL319" s="12"/>
      <c r="AM319" s="272"/>
      <c r="AN319" s="73"/>
      <c r="AO319" s="279"/>
      <c r="AP319" s="73"/>
      <c r="AQ319" s="14"/>
      <c r="AR319" s="272"/>
      <c r="AS319" s="254"/>
      <c r="AT319" s="508"/>
      <c r="AU319" s="509"/>
      <c r="AV319" s="323">
        <f t="shared" si="57"/>
        <v>0</v>
      </c>
      <c r="AW319" s="323">
        <f t="shared" si="58"/>
        <v>0</v>
      </c>
      <c r="AX319" s="345" t="str">
        <f t="shared" ref="AX319:AX325" si="61">IF(AV319-AW319&lt;=0," ",AV319-AW319)</f>
        <v xml:space="preserve"> </v>
      </c>
      <c r="AY319" s="254">
        <f t="shared" si="60"/>
        <v>0</v>
      </c>
      <c r="AZ319" s="345"/>
      <c r="BA319" s="254"/>
    </row>
    <row r="320" spans="1:53" x14ac:dyDescent="0.2">
      <c r="A320" s="45"/>
      <c r="B320" s="14"/>
      <c r="C320" s="14" t="s">
        <v>763</v>
      </c>
      <c r="D320" s="489"/>
      <c r="E320" s="490"/>
      <c r="F320" s="485"/>
      <c r="G320" s="485"/>
      <c r="H320" s="485"/>
      <c r="I320" s="485"/>
      <c r="J320" s="485"/>
      <c r="K320" s="486"/>
      <c r="L320" s="487"/>
      <c r="M320" s="485"/>
      <c r="N320" s="485"/>
      <c r="O320" s="485"/>
      <c r="P320" s="488"/>
      <c r="Q320" s="488"/>
      <c r="R320" s="488"/>
      <c r="S320" s="488"/>
      <c r="T320" s="488"/>
      <c r="U320" s="488"/>
      <c r="V320" s="488"/>
      <c r="W320" s="488"/>
      <c r="X320" s="486"/>
      <c r="Y320" s="486"/>
      <c r="Z320" s="486"/>
      <c r="AA320" s="486"/>
      <c r="AB320" s="34">
        <f t="shared" si="53"/>
        <v>0</v>
      </c>
      <c r="AC320" s="12">
        <f t="shared" si="54"/>
        <v>0</v>
      </c>
      <c r="AD320" s="30">
        <f t="shared" si="55"/>
        <v>0</v>
      </c>
      <c r="AE320" s="25">
        <f t="shared" si="56"/>
        <v>0</v>
      </c>
      <c r="AF320" s="12"/>
      <c r="AG320" s="12"/>
      <c r="AH320" s="30"/>
      <c r="AI320" s="25"/>
      <c r="AJ320" s="302" t="str">
        <f>'I.  Other Asset Entries'!B105</f>
        <v>I.1</v>
      </c>
      <c r="AK320" s="73">
        <f>'I.  Other Asset Entries'!L107</f>
        <v>0</v>
      </c>
      <c r="AL320" s="12"/>
      <c r="AM320" s="272"/>
      <c r="AN320" s="73"/>
      <c r="AO320" s="279"/>
      <c r="AP320" s="73"/>
      <c r="AQ320" s="14"/>
      <c r="AR320" s="272"/>
      <c r="AS320" s="254"/>
      <c r="AT320" s="508"/>
      <c r="AU320" s="509"/>
      <c r="AV320" s="323">
        <f t="shared" si="57"/>
        <v>0</v>
      </c>
      <c r="AW320" s="323">
        <f t="shared" si="58"/>
        <v>0</v>
      </c>
      <c r="AX320" s="345" t="str">
        <f t="shared" si="61"/>
        <v xml:space="preserve"> </v>
      </c>
      <c r="AY320" s="254">
        <f t="shared" si="60"/>
        <v>0</v>
      </c>
      <c r="AZ320" s="345"/>
      <c r="BA320" s="254"/>
    </row>
    <row r="321" spans="1:53" x14ac:dyDescent="0.2">
      <c r="A321" s="45"/>
      <c r="B321" s="14"/>
      <c r="C321" s="14" t="s">
        <v>764</v>
      </c>
      <c r="D321" s="489"/>
      <c r="E321" s="490"/>
      <c r="F321" s="485"/>
      <c r="G321" s="485"/>
      <c r="H321" s="485"/>
      <c r="I321" s="485"/>
      <c r="J321" s="485"/>
      <c r="K321" s="486"/>
      <c r="L321" s="487"/>
      <c r="M321" s="485"/>
      <c r="N321" s="485"/>
      <c r="O321" s="485"/>
      <c r="P321" s="488"/>
      <c r="Q321" s="488"/>
      <c r="R321" s="488"/>
      <c r="S321" s="488"/>
      <c r="T321" s="488"/>
      <c r="U321" s="488"/>
      <c r="V321" s="488"/>
      <c r="W321" s="488"/>
      <c r="X321" s="486"/>
      <c r="Y321" s="486"/>
      <c r="Z321" s="486"/>
      <c r="AA321" s="486"/>
      <c r="AB321" s="34">
        <f t="shared" si="53"/>
        <v>0</v>
      </c>
      <c r="AC321" s="12">
        <f t="shared" si="54"/>
        <v>0</v>
      </c>
      <c r="AD321" s="30">
        <f t="shared" si="55"/>
        <v>0</v>
      </c>
      <c r="AE321" s="25">
        <f t="shared" si="56"/>
        <v>0</v>
      </c>
      <c r="AF321" s="12"/>
      <c r="AG321" s="12"/>
      <c r="AH321" s="30"/>
      <c r="AI321" s="25"/>
      <c r="AJ321" s="302" t="str">
        <f>'I.  Other Asset Entries'!B105</f>
        <v>I.1</v>
      </c>
      <c r="AK321" s="73">
        <f>'I.  Other Asset Entries'!L108</f>
        <v>0</v>
      </c>
      <c r="AL321" s="12"/>
      <c r="AM321" s="272"/>
      <c r="AN321" s="73"/>
      <c r="AO321" s="279"/>
      <c r="AP321" s="73"/>
      <c r="AQ321" s="14"/>
      <c r="AR321" s="272"/>
      <c r="AS321" s="254"/>
      <c r="AT321" s="508"/>
      <c r="AU321" s="509"/>
      <c r="AV321" s="323">
        <f t="shared" si="57"/>
        <v>0</v>
      </c>
      <c r="AW321" s="323">
        <f t="shared" si="58"/>
        <v>0</v>
      </c>
      <c r="AX321" s="345" t="str">
        <f t="shared" si="61"/>
        <v xml:space="preserve"> </v>
      </c>
      <c r="AY321" s="254">
        <f t="shared" si="60"/>
        <v>0</v>
      </c>
      <c r="AZ321" s="345"/>
      <c r="BA321" s="254"/>
    </row>
    <row r="322" spans="1:53" x14ac:dyDescent="0.2">
      <c r="A322" s="45"/>
      <c r="B322" s="14"/>
      <c r="C322" s="14"/>
      <c r="D322" s="489"/>
      <c r="E322" s="490"/>
      <c r="F322" s="485"/>
      <c r="G322" s="485"/>
      <c r="H322" s="485"/>
      <c r="I322" s="485"/>
      <c r="J322" s="485"/>
      <c r="K322" s="485"/>
      <c r="L322" s="487"/>
      <c r="M322" s="485"/>
      <c r="N322" s="485"/>
      <c r="O322" s="485"/>
      <c r="P322" s="488"/>
      <c r="Q322" s="488"/>
      <c r="R322" s="488"/>
      <c r="S322" s="488"/>
      <c r="T322" s="488"/>
      <c r="U322" s="488"/>
      <c r="V322" s="488"/>
      <c r="W322" s="488"/>
      <c r="X322" s="486"/>
      <c r="Y322" s="486"/>
      <c r="Z322" s="486"/>
      <c r="AA322" s="486"/>
      <c r="AB322" s="34">
        <f t="shared" si="53"/>
        <v>0</v>
      </c>
      <c r="AC322" s="12">
        <f t="shared" si="54"/>
        <v>0</v>
      </c>
      <c r="AD322" s="30">
        <f t="shared" si="55"/>
        <v>0</v>
      </c>
      <c r="AE322" s="25">
        <f t="shared" si="56"/>
        <v>0</v>
      </c>
      <c r="AF322" s="12"/>
      <c r="AG322" s="12"/>
      <c r="AH322" s="30"/>
      <c r="AI322" s="25"/>
      <c r="AJ322" s="272"/>
      <c r="AK322" s="73"/>
      <c r="AL322" s="12"/>
      <c r="AM322" s="272"/>
      <c r="AN322" s="73"/>
      <c r="AO322" s="279"/>
      <c r="AP322" s="73"/>
      <c r="AQ322" s="14"/>
      <c r="AR322" s="272"/>
      <c r="AS322" s="254"/>
      <c r="AT322" s="508"/>
      <c r="AU322" s="509"/>
      <c r="AV322" s="323">
        <f t="shared" si="57"/>
        <v>0</v>
      </c>
      <c r="AW322" s="323">
        <f t="shared" si="58"/>
        <v>0</v>
      </c>
      <c r="AX322" s="345" t="str">
        <f t="shared" si="61"/>
        <v xml:space="preserve"> </v>
      </c>
      <c r="AY322" s="254">
        <f t="shared" si="60"/>
        <v>0</v>
      </c>
      <c r="AZ322" s="345"/>
      <c r="BA322" s="254"/>
    </row>
    <row r="323" spans="1:53" ht="18.75" customHeight="1" x14ac:dyDescent="0.2">
      <c r="A323" s="372" t="s">
        <v>26</v>
      </c>
      <c r="B323" s="43"/>
      <c r="C323" s="563"/>
      <c r="D323" s="490"/>
      <c r="E323" s="490"/>
      <c r="F323" s="485"/>
      <c r="G323" s="485"/>
      <c r="H323" s="485"/>
      <c r="I323" s="485"/>
      <c r="J323" s="485"/>
      <c r="K323" s="485"/>
      <c r="L323" s="487"/>
      <c r="M323" s="485"/>
      <c r="N323" s="485"/>
      <c r="O323" s="485"/>
      <c r="P323" s="488"/>
      <c r="Q323" s="488"/>
      <c r="R323" s="488"/>
      <c r="S323" s="488"/>
      <c r="T323" s="488"/>
      <c r="U323" s="488"/>
      <c r="V323" s="488"/>
      <c r="W323" s="488"/>
      <c r="X323" s="486"/>
      <c r="Y323" s="486"/>
      <c r="Z323" s="486"/>
      <c r="AA323" s="486"/>
      <c r="AB323" s="34">
        <f t="shared" si="53"/>
        <v>0</v>
      </c>
      <c r="AC323" s="12">
        <f t="shared" si="54"/>
        <v>0</v>
      </c>
      <c r="AD323" s="30">
        <f t="shared" si="55"/>
        <v>0</v>
      </c>
      <c r="AE323" s="25">
        <f t="shared" si="56"/>
        <v>0</v>
      </c>
      <c r="AF323" s="12"/>
      <c r="AG323" s="12"/>
      <c r="AH323" s="30"/>
      <c r="AI323" s="25"/>
      <c r="AJ323" s="272"/>
      <c r="AK323" s="73"/>
      <c r="AL323" s="12"/>
      <c r="AM323" s="272"/>
      <c r="AN323" s="73"/>
      <c r="AO323" s="279"/>
      <c r="AP323" s="73"/>
      <c r="AQ323" s="14"/>
      <c r="AR323" s="272"/>
      <c r="AS323" s="254"/>
      <c r="AT323" s="508"/>
      <c r="AU323" s="509"/>
      <c r="AV323" s="323">
        <f t="shared" si="57"/>
        <v>0</v>
      </c>
      <c r="AW323" s="323">
        <f t="shared" si="58"/>
        <v>0</v>
      </c>
      <c r="AX323" s="345" t="str">
        <f t="shared" si="61"/>
        <v xml:space="preserve"> </v>
      </c>
      <c r="AY323" s="254"/>
      <c r="AZ323" s="345"/>
      <c r="BA323" s="254"/>
    </row>
    <row r="324" spans="1:53" x14ac:dyDescent="0.2">
      <c r="A324" s="45"/>
      <c r="B324" s="14"/>
      <c r="C324" s="14"/>
      <c r="D324" s="489"/>
      <c r="E324" s="490"/>
      <c r="F324" s="485"/>
      <c r="G324" s="485"/>
      <c r="H324" s="485"/>
      <c r="I324" s="485"/>
      <c r="J324" s="485"/>
      <c r="K324" s="485"/>
      <c r="L324" s="487"/>
      <c r="M324" s="485"/>
      <c r="N324" s="485"/>
      <c r="O324" s="485"/>
      <c r="P324" s="488"/>
      <c r="Q324" s="488"/>
      <c r="R324" s="488"/>
      <c r="S324" s="488"/>
      <c r="T324" s="488"/>
      <c r="U324" s="488"/>
      <c r="V324" s="488"/>
      <c r="W324" s="488"/>
      <c r="X324" s="486"/>
      <c r="Y324" s="486"/>
      <c r="Z324" s="486"/>
      <c r="AA324" s="486"/>
      <c r="AB324" s="34">
        <f t="shared" si="53"/>
        <v>0</v>
      </c>
      <c r="AC324" s="12">
        <f t="shared" si="54"/>
        <v>0</v>
      </c>
      <c r="AD324" s="30">
        <f t="shared" si="55"/>
        <v>0</v>
      </c>
      <c r="AE324" s="25">
        <f t="shared" si="56"/>
        <v>0</v>
      </c>
      <c r="AF324" s="12"/>
      <c r="AG324" s="12"/>
      <c r="AH324" s="30"/>
      <c r="AI324" s="25"/>
      <c r="AJ324" s="272"/>
      <c r="AK324" s="73"/>
      <c r="AL324" s="12"/>
      <c r="AM324" s="272"/>
      <c r="AN324" s="73"/>
      <c r="AO324" s="279"/>
      <c r="AP324" s="73"/>
      <c r="AQ324" s="14"/>
      <c r="AR324" s="272"/>
      <c r="AS324" s="254"/>
      <c r="AT324" s="508"/>
      <c r="AU324" s="509"/>
      <c r="AV324" s="323">
        <f t="shared" si="57"/>
        <v>0</v>
      </c>
      <c r="AW324" s="323">
        <f t="shared" si="58"/>
        <v>0</v>
      </c>
      <c r="AX324" s="345" t="str">
        <f t="shared" si="61"/>
        <v xml:space="preserve"> </v>
      </c>
      <c r="AY324" s="254"/>
      <c r="AZ324" s="345"/>
      <c r="BA324" s="254"/>
    </row>
    <row r="325" spans="1:53" x14ac:dyDescent="0.2">
      <c r="A325" s="45"/>
      <c r="B325" s="378"/>
      <c r="C325" s="14" t="s">
        <v>731</v>
      </c>
      <c r="D325" s="489"/>
      <c r="E325" s="490"/>
      <c r="F325" s="485"/>
      <c r="G325" s="485"/>
      <c r="H325" s="485"/>
      <c r="I325" s="485"/>
      <c r="J325" s="485"/>
      <c r="K325" s="485"/>
      <c r="L325" s="487"/>
      <c r="M325" s="485"/>
      <c r="N325" s="485"/>
      <c r="O325" s="485"/>
      <c r="P325" s="488"/>
      <c r="Q325" s="488"/>
      <c r="R325" s="488"/>
      <c r="S325" s="488"/>
      <c r="T325" s="488"/>
      <c r="U325" s="488"/>
      <c r="V325" s="488"/>
      <c r="W325" s="488"/>
      <c r="X325" s="486"/>
      <c r="Y325" s="486"/>
      <c r="Z325" s="486"/>
      <c r="AA325" s="486"/>
      <c r="AB325" s="34">
        <f t="shared" si="53"/>
        <v>0</v>
      </c>
      <c r="AC325" s="12">
        <f t="shared" si="54"/>
        <v>0</v>
      </c>
      <c r="AD325" s="30">
        <f t="shared" si="55"/>
        <v>0</v>
      </c>
      <c r="AE325" s="25">
        <f t="shared" si="56"/>
        <v>0</v>
      </c>
      <c r="AF325" s="14"/>
      <c r="AG325" s="12"/>
      <c r="AH325" s="30"/>
      <c r="AI325" s="25"/>
      <c r="AJ325" s="272" t="str">
        <f>'J. Other Liability &amp; Expenses'!D185</f>
        <v>J.1</v>
      </c>
      <c r="AK325" s="73">
        <f>'J. Other Liability &amp; Expenses'!L193</f>
        <v>0</v>
      </c>
      <c r="AL325" s="12"/>
      <c r="AM325" s="272" t="str">
        <f>'J. Other Liability &amp; Expenses'!D185</f>
        <v>J.1</v>
      </c>
      <c r="AN325" s="73">
        <f>'J. Other Liability &amp; Expenses'!N193</f>
        <v>0</v>
      </c>
      <c r="AO325" s="279" t="str">
        <f>'L. Eliminations-Consolidations'!B277</f>
        <v>L.10</v>
      </c>
      <c r="AP325" s="73">
        <f>'L. Eliminations-Consolidations'!J278</f>
        <v>0</v>
      </c>
      <c r="AQ325" s="14"/>
      <c r="AR325" s="272"/>
      <c r="AS325" s="254"/>
      <c r="AT325" s="508"/>
      <c r="AU325" s="509"/>
      <c r="AV325" s="323">
        <f t="shared" ref="AV325:AV332" si="62">AD325+AF325+AH325+AK325+AP325+AT325</f>
        <v>0</v>
      </c>
      <c r="AW325" s="323">
        <f t="shared" ref="AW325:AW332" si="63">AE325+AG325+AI325+AN325+AS325+AU325</f>
        <v>0</v>
      </c>
      <c r="AX325" s="345" t="str">
        <f t="shared" si="61"/>
        <v xml:space="preserve"> </v>
      </c>
      <c r="AY325" s="254">
        <f>IF(AV325-AW325&gt;0," ",AW325-AV325)</f>
        <v>0</v>
      </c>
      <c r="AZ325" s="345"/>
      <c r="BA325" s="254"/>
    </row>
    <row r="326" spans="1:53" x14ac:dyDescent="0.2">
      <c r="A326" s="45"/>
      <c r="B326" s="378"/>
      <c r="C326" s="309" t="s">
        <v>27</v>
      </c>
      <c r="D326" s="497"/>
      <c r="E326" s="498"/>
      <c r="F326" s="499"/>
      <c r="G326" s="499"/>
      <c r="H326" s="499"/>
      <c r="I326" s="499"/>
      <c r="J326" s="499"/>
      <c r="K326" s="499"/>
      <c r="L326" s="501"/>
      <c r="M326" s="499"/>
      <c r="N326" s="499"/>
      <c r="O326" s="499"/>
      <c r="P326" s="502"/>
      <c r="Q326" s="502"/>
      <c r="R326" s="502"/>
      <c r="S326" s="502"/>
      <c r="T326" s="502"/>
      <c r="U326" s="502"/>
      <c r="V326" s="502"/>
      <c r="W326" s="502"/>
      <c r="X326" s="500"/>
      <c r="Y326" s="500"/>
      <c r="Z326" s="500"/>
      <c r="AA326" s="500"/>
      <c r="AB326" s="313">
        <f t="shared" si="53"/>
        <v>0</v>
      </c>
      <c r="AC326" s="311">
        <f t="shared" si="54"/>
        <v>0</v>
      </c>
      <c r="AD326" s="312">
        <f t="shared" si="55"/>
        <v>0</v>
      </c>
      <c r="AE326" s="314">
        <f t="shared" si="56"/>
        <v>0</v>
      </c>
      <c r="AF326" s="311"/>
      <c r="AG326" s="311"/>
      <c r="AH326" s="312"/>
      <c r="AI326" s="314"/>
      <c r="AJ326" s="315" t="str">
        <f>'J. Other Liability &amp; Expenses'!D185</f>
        <v>J.1</v>
      </c>
      <c r="AK326" s="316">
        <f>'J. Other Liability &amp; Expenses'!L194</f>
        <v>0</v>
      </c>
      <c r="AL326" s="311"/>
      <c r="AM326" s="315" t="str">
        <f>'J. Other Liability &amp; Expenses'!D185</f>
        <v>J.1</v>
      </c>
      <c r="AN326" s="316">
        <f>'J. Other Liability &amp; Expenses'!N194</f>
        <v>0</v>
      </c>
      <c r="AO326" s="317"/>
      <c r="AP326" s="316"/>
      <c r="AQ326" s="309"/>
      <c r="AR326" s="315"/>
      <c r="AS326" s="318"/>
      <c r="AT326" s="508"/>
      <c r="AU326" s="509"/>
      <c r="AV326" s="323">
        <f t="shared" si="62"/>
        <v>0</v>
      </c>
      <c r="AW326" s="323">
        <f t="shared" si="63"/>
        <v>0</v>
      </c>
      <c r="AX326" s="346" t="str">
        <f>IF(AV326+AV327-(AW326+AW327)&lt;=0," ",AV326+AV327-(AW326+AW327))</f>
        <v xml:space="preserve"> </v>
      </c>
      <c r="AY326" s="318">
        <f>IF(AV326+AV327-(AW326+AW327)&gt;0," ",AW326+AW327-(AV326+AV327))</f>
        <v>0</v>
      </c>
      <c r="AZ326" s="345"/>
      <c r="BA326" s="254"/>
    </row>
    <row r="327" spans="1:53" x14ac:dyDescent="0.2">
      <c r="A327" s="45"/>
      <c r="B327" s="378"/>
      <c r="C327" s="309"/>
      <c r="D327" s="497"/>
      <c r="E327" s="498"/>
      <c r="F327" s="499"/>
      <c r="G327" s="499"/>
      <c r="H327" s="499"/>
      <c r="I327" s="499"/>
      <c r="J327" s="499"/>
      <c r="K327" s="499"/>
      <c r="L327" s="501"/>
      <c r="M327" s="499"/>
      <c r="N327" s="499"/>
      <c r="O327" s="499"/>
      <c r="P327" s="502"/>
      <c r="Q327" s="502"/>
      <c r="R327" s="502"/>
      <c r="S327" s="502"/>
      <c r="T327" s="502"/>
      <c r="U327" s="502"/>
      <c r="V327" s="502"/>
      <c r="W327" s="502"/>
      <c r="X327" s="500"/>
      <c r="Y327" s="500"/>
      <c r="Z327" s="500"/>
      <c r="AA327" s="500"/>
      <c r="AB327" s="313">
        <f>L327+N327+P327+R327+T327+V327+X327+Z327</f>
        <v>0</v>
      </c>
      <c r="AC327" s="311">
        <f>M327+O327+Q327+S327+U327+W327+Y327+AA327</f>
        <v>0</v>
      </c>
      <c r="AD327" s="312">
        <f>D327+F327+H327+J327+AB327</f>
        <v>0</v>
      </c>
      <c r="AE327" s="314">
        <f>E327+G327+I327+K327+AC327</f>
        <v>0</v>
      </c>
      <c r="AF327" s="311"/>
      <c r="AG327" s="311"/>
      <c r="AH327" s="312"/>
      <c r="AI327" s="314"/>
      <c r="AJ327" s="315" t="s">
        <v>968</v>
      </c>
      <c r="AK327" s="316">
        <f>'F.  Other Cap Asset Entries'!M267</f>
        <v>0</v>
      </c>
      <c r="AL327" s="311"/>
      <c r="AM327" s="315"/>
      <c r="AN327" s="316"/>
      <c r="AO327" s="317"/>
      <c r="AP327" s="316"/>
      <c r="AQ327" s="309"/>
      <c r="AR327" s="315"/>
      <c r="AS327" s="318"/>
      <c r="AT327" s="508"/>
      <c r="AU327" s="509"/>
      <c r="AV327" s="323">
        <f>AD327+AF327+AH327+AK327+AP327+AT327</f>
        <v>0</v>
      </c>
      <c r="AW327" s="323">
        <f>AE327+AG327+AI327+AN327+AS327+AU327</f>
        <v>0</v>
      </c>
      <c r="AX327" s="346"/>
      <c r="AY327" s="318"/>
      <c r="AZ327" s="345"/>
      <c r="BA327" s="254"/>
    </row>
    <row r="328" spans="1:53" ht="6" customHeight="1" x14ac:dyDescent="0.2">
      <c r="A328" s="45"/>
      <c r="B328" s="378"/>
      <c r="C328" s="14"/>
      <c r="D328" s="489"/>
      <c r="E328" s="490"/>
      <c r="F328" s="485"/>
      <c r="G328" s="485"/>
      <c r="H328" s="485"/>
      <c r="I328" s="485"/>
      <c r="J328" s="485"/>
      <c r="K328" s="485"/>
      <c r="L328" s="487"/>
      <c r="M328" s="485"/>
      <c r="N328" s="485"/>
      <c r="O328" s="485"/>
      <c r="P328" s="488"/>
      <c r="Q328" s="488"/>
      <c r="R328" s="488"/>
      <c r="S328" s="488"/>
      <c r="T328" s="488"/>
      <c r="U328" s="488"/>
      <c r="V328" s="488"/>
      <c r="W328" s="488"/>
      <c r="X328" s="486"/>
      <c r="Y328" s="486"/>
      <c r="Z328" s="486"/>
      <c r="AA328" s="486"/>
      <c r="AB328" s="34"/>
      <c r="AC328" s="12"/>
      <c r="AD328" s="30"/>
      <c r="AE328" s="25"/>
      <c r="AF328" s="12"/>
      <c r="AG328" s="12"/>
      <c r="AH328" s="30"/>
      <c r="AI328" s="25"/>
      <c r="AJ328" s="272"/>
      <c r="AK328" s="73"/>
      <c r="AL328" s="12"/>
      <c r="AM328" s="272"/>
      <c r="AN328" s="73"/>
      <c r="AO328" s="279"/>
      <c r="AP328" s="73"/>
      <c r="AQ328" s="14"/>
      <c r="AR328" s="272"/>
      <c r="AS328" s="254"/>
      <c r="AT328" s="508"/>
      <c r="AU328" s="509"/>
      <c r="AV328" s="323"/>
      <c r="AW328" s="323"/>
      <c r="AX328" s="345"/>
      <c r="AY328" s="254"/>
      <c r="AZ328" s="345"/>
      <c r="BA328" s="254"/>
    </row>
    <row r="329" spans="1:53" x14ac:dyDescent="0.2">
      <c r="A329" s="45"/>
      <c r="B329" s="378"/>
      <c r="C329" s="309" t="s">
        <v>728</v>
      </c>
      <c r="D329" s="497"/>
      <c r="E329" s="498"/>
      <c r="F329" s="499"/>
      <c r="G329" s="499"/>
      <c r="H329" s="499"/>
      <c r="I329" s="499"/>
      <c r="J329" s="499"/>
      <c r="K329" s="499"/>
      <c r="L329" s="501"/>
      <c r="M329" s="499"/>
      <c r="N329" s="499"/>
      <c r="O329" s="499"/>
      <c r="P329" s="502"/>
      <c r="Q329" s="502"/>
      <c r="R329" s="502"/>
      <c r="S329" s="502"/>
      <c r="T329" s="502"/>
      <c r="U329" s="502"/>
      <c r="V329" s="502"/>
      <c r="W329" s="502"/>
      <c r="X329" s="500"/>
      <c r="Y329" s="500"/>
      <c r="Z329" s="500"/>
      <c r="AA329" s="500"/>
      <c r="AB329" s="313">
        <f t="shared" si="53"/>
        <v>0</v>
      </c>
      <c r="AC329" s="311">
        <f t="shared" si="54"/>
        <v>0</v>
      </c>
      <c r="AD329" s="312">
        <f t="shared" si="55"/>
        <v>0</v>
      </c>
      <c r="AE329" s="314">
        <f t="shared" si="56"/>
        <v>0</v>
      </c>
      <c r="AF329" s="311"/>
      <c r="AG329" s="311"/>
      <c r="AH329" s="312">
        <f>'A. Revenue by function'!L105</f>
        <v>0</v>
      </c>
      <c r="AI329" s="314">
        <f>'A. Revenue by function'!N131</f>
        <v>0</v>
      </c>
      <c r="AJ329" s="315" t="str">
        <f>'F.  Other Cap Asset Entries'!D214</f>
        <v>F.1</v>
      </c>
      <c r="AK329" s="316">
        <f>'F.  Other Cap Asset Entries'!M234</f>
        <v>0</v>
      </c>
      <c r="AL329" s="311"/>
      <c r="AM329" s="315" t="str">
        <f>'F.  Other Cap Asset Entries'!D214</f>
        <v>F.1</v>
      </c>
      <c r="AN329" s="316">
        <f>'F.  Other Cap Asset Entries'!O234</f>
        <v>0</v>
      </c>
      <c r="AO329" s="317"/>
      <c r="AP329" s="316"/>
      <c r="AQ329" s="309"/>
      <c r="AR329" s="315"/>
      <c r="AS329" s="318"/>
      <c r="AT329" s="508"/>
      <c r="AU329" s="509"/>
      <c r="AV329" s="323">
        <f t="shared" si="62"/>
        <v>0</v>
      </c>
      <c r="AW329" s="323">
        <f t="shared" si="63"/>
        <v>0</v>
      </c>
      <c r="AX329" s="346" t="str">
        <f>IF(AV329+AV330-(AW329+AW330)&lt;=0," ",AV329+AV330-(AW329+AW330))</f>
        <v xml:space="preserve"> </v>
      </c>
      <c r="AY329" s="318">
        <f>IF(AV329+AV330-(AW329+AW330)&gt;0," ",AW329+AW330-(AV329+AV330))</f>
        <v>0</v>
      </c>
      <c r="AZ329" s="345"/>
      <c r="BA329" s="254"/>
    </row>
    <row r="330" spans="1:53" x14ac:dyDescent="0.2">
      <c r="A330" s="45"/>
      <c r="B330" s="378"/>
      <c r="C330" s="309"/>
      <c r="D330" s="497"/>
      <c r="E330" s="498"/>
      <c r="F330" s="499"/>
      <c r="G330" s="499"/>
      <c r="H330" s="499"/>
      <c r="I330" s="499"/>
      <c r="J330" s="499"/>
      <c r="K330" s="499"/>
      <c r="L330" s="501"/>
      <c r="M330" s="499"/>
      <c r="N330" s="499"/>
      <c r="O330" s="499"/>
      <c r="P330" s="502"/>
      <c r="Q330" s="502"/>
      <c r="R330" s="502"/>
      <c r="S330" s="502"/>
      <c r="T330" s="502"/>
      <c r="U330" s="502"/>
      <c r="V330" s="502"/>
      <c r="W330" s="502"/>
      <c r="X330" s="500"/>
      <c r="Y330" s="500"/>
      <c r="Z330" s="500"/>
      <c r="AA330" s="500"/>
      <c r="AB330" s="313">
        <f>L330+N330+P330+R330+T330+V330+X330+Z330</f>
        <v>0</v>
      </c>
      <c r="AC330" s="311">
        <f>M330+O330+Q330+S330+U330+W330+Y330+AA330</f>
        <v>0</v>
      </c>
      <c r="AD330" s="312">
        <f>D330+F330+H330+J330+AB330</f>
        <v>0</v>
      </c>
      <c r="AE330" s="314">
        <f>E330+G330+I330+K330+AC330</f>
        <v>0</v>
      </c>
      <c r="AF330" s="311"/>
      <c r="AG330" s="311"/>
      <c r="AH330" s="312"/>
      <c r="AI330" s="314"/>
      <c r="AJ330" s="315"/>
      <c r="AK330" s="316"/>
      <c r="AL330" s="311"/>
      <c r="AM330" s="315" t="str">
        <f>'F.  Other Cap Asset Entries'!D236</f>
        <v>F.2</v>
      </c>
      <c r="AN330" s="316">
        <f>'F.  Other Cap Asset Entries'!O245</f>
        <v>0</v>
      </c>
      <c r="AO330" s="317"/>
      <c r="AP330" s="316"/>
      <c r="AQ330" s="309"/>
      <c r="AR330" s="315"/>
      <c r="AS330" s="318"/>
      <c r="AT330" s="508"/>
      <c r="AU330" s="509"/>
      <c r="AV330" s="323">
        <f t="shared" si="62"/>
        <v>0</v>
      </c>
      <c r="AW330" s="323">
        <f t="shared" si="63"/>
        <v>0</v>
      </c>
      <c r="AX330" s="346"/>
      <c r="AY330" s="318"/>
      <c r="AZ330" s="345"/>
      <c r="BA330" s="254"/>
    </row>
    <row r="331" spans="1:53" x14ac:dyDescent="0.2">
      <c r="A331" s="45"/>
      <c r="B331" s="378"/>
      <c r="C331" s="14" t="s">
        <v>188</v>
      </c>
      <c r="D331" s="489"/>
      <c r="E331" s="490"/>
      <c r="F331" s="485"/>
      <c r="G331" s="485"/>
      <c r="H331" s="485"/>
      <c r="I331" s="485"/>
      <c r="J331" s="485"/>
      <c r="K331" s="485"/>
      <c r="L331" s="487"/>
      <c r="M331" s="485"/>
      <c r="N331" s="485"/>
      <c r="O331" s="485"/>
      <c r="P331" s="488"/>
      <c r="Q331" s="488"/>
      <c r="R331" s="488"/>
      <c r="S331" s="488"/>
      <c r="T331" s="488"/>
      <c r="U331" s="488"/>
      <c r="V331" s="488"/>
      <c r="W331" s="488"/>
      <c r="X331" s="486"/>
      <c r="Y331" s="486"/>
      <c r="Z331" s="486"/>
      <c r="AA331" s="486"/>
      <c r="AB331" s="34">
        <f t="shared" si="53"/>
        <v>0</v>
      </c>
      <c r="AC331" s="12">
        <f t="shared" si="54"/>
        <v>0</v>
      </c>
      <c r="AD331" s="30">
        <f t="shared" si="55"/>
        <v>0</v>
      </c>
      <c r="AE331" s="25">
        <f t="shared" si="56"/>
        <v>0</v>
      </c>
      <c r="AF331" s="12"/>
      <c r="AG331" s="12"/>
      <c r="AH331" s="30">
        <f>'A. Revenue by function'!L106</f>
        <v>0</v>
      </c>
      <c r="AI331" s="25">
        <f>'A. Revenue by function'!N132</f>
        <v>0</v>
      </c>
      <c r="AJ331" s="272"/>
      <c r="AK331" s="73"/>
      <c r="AL331" s="12"/>
      <c r="AM331" s="272" t="s">
        <v>968</v>
      </c>
      <c r="AN331" s="73">
        <f>'F.  Other Cap Asset Entries'!O267</f>
        <v>0</v>
      </c>
      <c r="AO331" s="279"/>
      <c r="AP331" s="73"/>
      <c r="AQ331" s="14"/>
      <c r="AR331" s="272"/>
      <c r="AS331" s="254"/>
      <c r="AT331" s="508"/>
      <c r="AU331" s="509"/>
      <c r="AV331" s="323">
        <f>AD331+AF331+AH331+AK331+AP331+AT331</f>
        <v>0</v>
      </c>
      <c r="AW331" s="323">
        <f>AE331+AG331+AI331+AN331+AS331+AU331</f>
        <v>0</v>
      </c>
      <c r="AX331" s="345" t="str">
        <f>IF(AV331-AW331&lt;=0," ",AV331-AW331)</f>
        <v xml:space="preserve"> </v>
      </c>
      <c r="AY331" s="254">
        <f>IF(AV331-AW331&gt;0," ",AW331-AV331)</f>
        <v>0</v>
      </c>
      <c r="AZ331" s="345"/>
      <c r="BA331" s="254"/>
    </row>
    <row r="332" spans="1:53" x14ac:dyDescent="0.2">
      <c r="A332" s="45"/>
      <c r="B332" s="378"/>
      <c r="C332" s="14"/>
      <c r="D332" s="489"/>
      <c r="E332" s="490"/>
      <c r="F332" s="485"/>
      <c r="G332" s="485"/>
      <c r="H332" s="485"/>
      <c r="I332" s="485"/>
      <c r="J332" s="485"/>
      <c r="K332" s="485"/>
      <c r="L332" s="487"/>
      <c r="M332" s="485"/>
      <c r="N332" s="485"/>
      <c r="O332" s="485"/>
      <c r="P332" s="488"/>
      <c r="Q332" s="488"/>
      <c r="R332" s="488"/>
      <c r="S332" s="488"/>
      <c r="T332" s="488"/>
      <c r="U332" s="488"/>
      <c r="V332" s="488"/>
      <c r="W332" s="488"/>
      <c r="X332" s="486"/>
      <c r="Y332" s="486"/>
      <c r="Z332" s="486"/>
      <c r="AA332" s="486"/>
      <c r="AB332" s="34">
        <f t="shared" si="53"/>
        <v>0</v>
      </c>
      <c r="AC332" s="12">
        <f t="shared" si="54"/>
        <v>0</v>
      </c>
      <c r="AD332" s="30">
        <f t="shared" si="55"/>
        <v>0</v>
      </c>
      <c r="AE332" s="25">
        <f t="shared" si="56"/>
        <v>0</v>
      </c>
      <c r="AF332" s="12"/>
      <c r="AG332" s="12"/>
      <c r="AH332" s="30"/>
      <c r="AI332" s="25"/>
      <c r="AJ332" s="272"/>
      <c r="AK332" s="73"/>
      <c r="AL332" s="12"/>
      <c r="AM332" s="272"/>
      <c r="AN332" s="73"/>
      <c r="AO332" s="279"/>
      <c r="AP332" s="73"/>
      <c r="AQ332" s="14"/>
      <c r="AR332" s="272"/>
      <c r="AS332" s="254"/>
      <c r="AT332" s="508"/>
      <c r="AU332" s="509"/>
      <c r="AV332" s="323">
        <f t="shared" si="62"/>
        <v>0</v>
      </c>
      <c r="AW332" s="323">
        <f t="shared" si="63"/>
        <v>0</v>
      </c>
      <c r="AX332" s="45"/>
      <c r="AY332" s="38"/>
      <c r="AZ332" s="345" t="str">
        <f>IF(AV332-AW332&lt;=0," ",AV332-AW332)</f>
        <v xml:space="preserve"> </v>
      </c>
      <c r="BA332" s="254"/>
    </row>
    <row r="333" spans="1:53" ht="13.5" thickBot="1" x14ac:dyDescent="0.25">
      <c r="A333" s="45"/>
      <c r="B333" s="14"/>
      <c r="C333" s="14" t="s">
        <v>407</v>
      </c>
      <c r="D333" s="476">
        <f>SUM(D8:D332)</f>
        <v>0</v>
      </c>
      <c r="E333" s="477">
        <f>SUM(E8:E332)</f>
        <v>0</v>
      </c>
      <c r="F333" s="477">
        <f t="shared" ref="F333:Y333" si="64">SUM(F6:F322)</f>
        <v>0</v>
      </c>
      <c r="G333" s="477">
        <f t="shared" si="64"/>
        <v>0</v>
      </c>
      <c r="H333" s="477">
        <f t="shared" si="64"/>
        <v>0</v>
      </c>
      <c r="I333" s="477">
        <f t="shared" si="64"/>
        <v>0</v>
      </c>
      <c r="J333" s="477">
        <f t="shared" si="64"/>
        <v>0</v>
      </c>
      <c r="K333" s="477">
        <f t="shared" si="64"/>
        <v>0</v>
      </c>
      <c r="L333" s="476">
        <f t="shared" si="64"/>
        <v>0</v>
      </c>
      <c r="M333" s="477">
        <f t="shared" si="64"/>
        <v>0</v>
      </c>
      <c r="N333" s="477">
        <f t="shared" si="64"/>
        <v>0</v>
      </c>
      <c r="O333" s="477">
        <f t="shared" si="64"/>
        <v>0</v>
      </c>
      <c r="P333" s="477">
        <f t="shared" si="64"/>
        <v>0</v>
      </c>
      <c r="Q333" s="477">
        <f t="shared" si="64"/>
        <v>0</v>
      </c>
      <c r="R333" s="477">
        <f t="shared" si="64"/>
        <v>0</v>
      </c>
      <c r="S333" s="477">
        <f t="shared" si="64"/>
        <v>0</v>
      </c>
      <c r="T333" s="477">
        <f t="shared" si="64"/>
        <v>0</v>
      </c>
      <c r="U333" s="477">
        <f t="shared" si="64"/>
        <v>0</v>
      </c>
      <c r="V333" s="477">
        <f t="shared" si="64"/>
        <v>0</v>
      </c>
      <c r="W333" s="477">
        <f t="shared" si="64"/>
        <v>0</v>
      </c>
      <c r="X333" s="477">
        <f t="shared" si="64"/>
        <v>0</v>
      </c>
      <c r="Y333" s="477">
        <f t="shared" si="64"/>
        <v>0</v>
      </c>
      <c r="Z333" s="477"/>
      <c r="AA333" s="477"/>
      <c r="AB333" s="478">
        <f>SUM(AB6:AB326)</f>
        <v>0</v>
      </c>
      <c r="AC333" s="469">
        <f>SUM(AC6:AC326)</f>
        <v>0</v>
      </c>
      <c r="AD333" s="468">
        <f t="shared" ref="AD333:AI333" si="65">SUM(AD6:AD331)</f>
        <v>0</v>
      </c>
      <c r="AE333" s="470">
        <f t="shared" si="65"/>
        <v>0</v>
      </c>
      <c r="AF333" s="469">
        <f t="shared" si="65"/>
        <v>0</v>
      </c>
      <c r="AG333" s="469">
        <f t="shared" si="65"/>
        <v>0</v>
      </c>
      <c r="AH333" s="468">
        <f t="shared" si="65"/>
        <v>0</v>
      </c>
      <c r="AI333" s="470">
        <f t="shared" si="65"/>
        <v>0</v>
      </c>
      <c r="AJ333" s="471"/>
      <c r="AK333" s="472">
        <f>SUM(AK6:AK332)</f>
        <v>0</v>
      </c>
      <c r="AL333" s="469"/>
      <c r="AM333" s="471"/>
      <c r="AN333" s="472">
        <f>SUM(AN6:AN332)</f>
        <v>0</v>
      </c>
      <c r="AO333" s="473"/>
      <c r="AP333" s="469">
        <f>SUM(AP6:AP332)</f>
        <v>0</v>
      </c>
      <c r="AQ333" s="469">
        <f>SUM(AQ6:AQ332)</f>
        <v>0</v>
      </c>
      <c r="AR333" s="471"/>
      <c r="AS333" s="470">
        <f t="shared" ref="AS333:BA333" si="66">SUM(AS6:AS332)</f>
        <v>0</v>
      </c>
      <c r="AT333" s="472">
        <f t="shared" si="66"/>
        <v>0</v>
      </c>
      <c r="AU333" s="472">
        <f t="shared" si="66"/>
        <v>0</v>
      </c>
      <c r="AV333" s="472">
        <f>SUM(AV6:AV332)</f>
        <v>0</v>
      </c>
      <c r="AW333" s="472">
        <f t="shared" si="66"/>
        <v>0</v>
      </c>
      <c r="AX333" s="474">
        <f t="shared" si="66"/>
        <v>0</v>
      </c>
      <c r="AY333" s="475">
        <f t="shared" si="66"/>
        <v>0</v>
      </c>
      <c r="AZ333" s="474">
        <f t="shared" si="66"/>
        <v>0</v>
      </c>
      <c r="BA333" s="475">
        <f t="shared" si="66"/>
        <v>0</v>
      </c>
    </row>
    <row r="334" spans="1:53" ht="13.5" thickTop="1" x14ac:dyDescent="0.2">
      <c r="A334" s="45"/>
      <c r="B334" s="14"/>
      <c r="C334" s="14"/>
      <c r="D334" s="24"/>
      <c r="E334" s="11"/>
      <c r="F334" s="11"/>
      <c r="G334" s="11"/>
      <c r="H334" s="12"/>
      <c r="I334" s="12"/>
      <c r="J334" s="12"/>
      <c r="K334" s="14"/>
      <c r="L334" s="30"/>
      <c r="M334" s="12"/>
      <c r="N334" s="12"/>
      <c r="O334" s="12"/>
      <c r="P334" s="73"/>
      <c r="Q334" s="73"/>
      <c r="R334" s="73"/>
      <c r="S334" s="73"/>
      <c r="T334" s="73"/>
      <c r="U334" s="73"/>
      <c r="V334" s="73"/>
      <c r="W334" s="73"/>
      <c r="X334" s="14"/>
      <c r="Y334" s="14"/>
      <c r="Z334" s="14"/>
      <c r="AA334" s="14"/>
      <c r="AB334" s="7"/>
      <c r="AC334" s="12">
        <f>L334+N334+P334+AB334</f>
        <v>0</v>
      </c>
      <c r="AD334" s="30"/>
      <c r="AE334" s="25">
        <f>D334+H334+K334+AC334</f>
        <v>0</v>
      </c>
      <c r="AF334" s="12"/>
      <c r="AG334" s="12">
        <f>AF333-AG333</f>
        <v>0</v>
      </c>
      <c r="AH334" s="30"/>
      <c r="AI334" s="25"/>
      <c r="AJ334" s="272"/>
      <c r="AK334" s="73"/>
      <c r="AL334" s="14"/>
      <c r="AM334" s="272"/>
      <c r="AN334" s="73"/>
      <c r="AO334" s="278"/>
      <c r="AP334" s="14"/>
      <c r="AQ334" s="14"/>
      <c r="AR334" s="272"/>
      <c r="AS334" s="38"/>
      <c r="AT334" s="54"/>
      <c r="AU334" s="58"/>
      <c r="AV334" s="72"/>
      <c r="AW334" s="72"/>
      <c r="AX334" s="340"/>
      <c r="AY334" s="341"/>
      <c r="AZ334" s="345"/>
      <c r="BA334" s="254"/>
    </row>
    <row r="335" spans="1:53" x14ac:dyDescent="0.2">
      <c r="A335" s="383" t="s">
        <v>1140</v>
      </c>
      <c r="B335" s="14"/>
      <c r="C335" s="14"/>
      <c r="D335" s="24">
        <f>D333-E333</f>
        <v>0</v>
      </c>
      <c r="E335" s="11"/>
      <c r="F335" s="11"/>
      <c r="G335" s="11"/>
      <c r="H335" s="12"/>
      <c r="I335" s="12"/>
      <c r="J335" s="12"/>
      <c r="K335" s="14"/>
      <c r="L335" s="30"/>
      <c r="M335" s="12"/>
      <c r="N335" s="12"/>
      <c r="O335" s="12"/>
      <c r="P335" s="73"/>
      <c r="Q335" s="73"/>
      <c r="R335" s="73"/>
      <c r="S335" s="73"/>
      <c r="T335" s="73"/>
      <c r="U335" s="73"/>
      <c r="V335" s="73"/>
      <c r="W335" s="73"/>
      <c r="X335" s="14"/>
      <c r="Y335" s="14"/>
      <c r="Z335" s="14"/>
      <c r="AA335" s="14"/>
      <c r="AB335" s="7"/>
      <c r="AC335" s="12"/>
      <c r="AD335" s="30"/>
      <c r="AE335" s="25"/>
      <c r="AF335" s="12"/>
      <c r="AG335" s="12"/>
      <c r="AH335" s="30"/>
      <c r="AI335" s="25"/>
      <c r="AJ335" s="272"/>
      <c r="AK335" s="73">
        <f>AK333-AN333</f>
        <v>0</v>
      </c>
      <c r="AL335" s="14"/>
      <c r="AM335" s="272"/>
      <c r="AN335" s="73"/>
      <c r="AO335" s="278"/>
      <c r="AP335" s="12">
        <f>AP333-AS333</f>
        <v>0</v>
      </c>
      <c r="AQ335" s="14"/>
      <c r="AR335" s="272"/>
      <c r="AS335" s="38"/>
      <c r="AT335" s="54"/>
      <c r="AU335" s="58"/>
      <c r="AV335" s="72">
        <f>AV333-AW333</f>
        <v>0</v>
      </c>
      <c r="AW335" s="72"/>
      <c r="AX335" s="347">
        <f>IF(AY333-AX333&lt;0,0,(AY333-AX333))</f>
        <v>0</v>
      </c>
      <c r="AY335" s="348">
        <f>IF(AY333-AX333&gt;0,0,(AY333-AX333)*-1)</f>
        <v>0</v>
      </c>
      <c r="AZ335" s="72">
        <f>AV335</f>
        <v>0</v>
      </c>
      <c r="BA335" s="254"/>
    </row>
    <row r="336" spans="1:53" ht="3.75" customHeight="1" x14ac:dyDescent="0.2">
      <c r="A336" s="45"/>
      <c r="B336" s="14"/>
      <c r="C336" s="14"/>
      <c r="D336" s="24"/>
      <c r="E336" s="11"/>
      <c r="F336" s="11"/>
      <c r="G336" s="11"/>
      <c r="H336" s="12"/>
      <c r="I336" s="12"/>
      <c r="J336" s="12"/>
      <c r="K336" s="14"/>
      <c r="L336" s="30"/>
      <c r="M336" s="12"/>
      <c r="N336" s="12"/>
      <c r="O336" s="12"/>
      <c r="P336" s="73"/>
      <c r="Q336" s="73"/>
      <c r="R336" s="73"/>
      <c r="S336" s="73"/>
      <c r="T336" s="73"/>
      <c r="U336" s="73"/>
      <c r="V336" s="73"/>
      <c r="W336" s="73"/>
      <c r="X336" s="14"/>
      <c r="Y336" s="14"/>
      <c r="Z336" s="14"/>
      <c r="AA336" s="14"/>
      <c r="AB336" s="7"/>
      <c r="AC336" s="12"/>
      <c r="AD336" s="30"/>
      <c r="AE336" s="25"/>
      <c r="AF336" s="12"/>
      <c r="AG336" s="12"/>
      <c r="AH336" s="30"/>
      <c r="AI336" s="25"/>
      <c r="AJ336" s="272"/>
      <c r="AK336" s="73"/>
      <c r="AL336" s="14"/>
      <c r="AM336" s="272"/>
      <c r="AN336" s="73"/>
      <c r="AO336" s="278"/>
      <c r="AP336" s="14"/>
      <c r="AQ336" s="14"/>
      <c r="AR336" s="272"/>
      <c r="AS336" s="38"/>
      <c r="AT336" s="54"/>
      <c r="AU336" s="58"/>
      <c r="AV336" s="72"/>
      <c r="AW336" s="72"/>
      <c r="AX336" s="347"/>
      <c r="AY336" s="348"/>
      <c r="AZ336" s="345"/>
      <c r="BA336" s="254"/>
    </row>
    <row r="337" spans="1:53" ht="13.5" thickBot="1" x14ac:dyDescent="0.25">
      <c r="A337" s="45"/>
      <c r="B337" s="14"/>
      <c r="C337" s="14"/>
      <c r="D337" s="24"/>
      <c r="E337" s="11"/>
      <c r="F337" s="11"/>
      <c r="G337" s="11"/>
      <c r="H337" s="12"/>
      <c r="I337" s="12"/>
      <c r="J337" s="12"/>
      <c r="K337" s="14"/>
      <c r="L337" s="30"/>
      <c r="M337" s="12"/>
      <c r="N337" s="12"/>
      <c r="O337" s="12"/>
      <c r="P337" s="73"/>
      <c r="Q337" s="73"/>
      <c r="R337" s="73"/>
      <c r="S337" s="73"/>
      <c r="T337" s="73"/>
      <c r="U337" s="73"/>
      <c r="V337" s="73"/>
      <c r="W337" s="73"/>
      <c r="X337" s="14"/>
      <c r="Y337" s="14"/>
      <c r="Z337" s="14"/>
      <c r="AA337" s="14"/>
      <c r="AB337" s="7"/>
      <c r="AC337" s="12"/>
      <c r="AD337" s="30"/>
      <c r="AE337" s="25"/>
      <c r="AF337" s="12"/>
      <c r="AG337" s="12"/>
      <c r="AH337" s="30"/>
      <c r="AI337" s="25"/>
      <c r="AJ337" s="272"/>
      <c r="AK337" s="73"/>
      <c r="AL337" s="14"/>
      <c r="AM337" s="272"/>
      <c r="AN337" s="73"/>
      <c r="AO337" s="278"/>
      <c r="AP337" s="14"/>
      <c r="AQ337" s="14"/>
      <c r="AR337" s="272"/>
      <c r="AS337" s="38"/>
      <c r="AT337" s="54"/>
      <c r="AU337" s="58"/>
      <c r="AV337" s="72"/>
      <c r="AW337" s="72"/>
      <c r="AX337" s="468">
        <f>AX333+AX335</f>
        <v>0</v>
      </c>
      <c r="AY337" s="470">
        <f>AY333+AY335</f>
        <v>0</v>
      </c>
      <c r="AZ337" s="345"/>
      <c r="BA337" s="254"/>
    </row>
    <row r="338" spans="1:53" ht="14.25" thickTop="1" thickBot="1" x14ac:dyDescent="0.25">
      <c r="A338" s="349"/>
      <c r="B338" s="31"/>
      <c r="C338" s="49"/>
      <c r="D338" s="26"/>
      <c r="E338" s="27"/>
      <c r="F338" s="27"/>
      <c r="G338" s="27"/>
      <c r="H338" s="27"/>
      <c r="I338" s="27"/>
      <c r="J338" s="27"/>
      <c r="K338" s="27"/>
      <c r="L338" s="26"/>
      <c r="M338" s="27"/>
      <c r="N338" s="27"/>
      <c r="O338" s="27"/>
      <c r="P338" s="298"/>
      <c r="Q338" s="298"/>
      <c r="R338" s="298"/>
      <c r="S338" s="298"/>
      <c r="T338" s="298"/>
      <c r="U338" s="298"/>
      <c r="V338" s="298"/>
      <c r="W338" s="298"/>
      <c r="X338" s="31"/>
      <c r="Y338" s="31"/>
      <c r="Z338" s="31"/>
      <c r="AA338" s="31"/>
      <c r="AB338" s="35"/>
      <c r="AC338" s="47">
        <f>L338+N338+P338+AB338</f>
        <v>0</v>
      </c>
      <c r="AD338" s="46"/>
      <c r="AE338" s="32">
        <f>D338+H338+K338+AC338</f>
        <v>0</v>
      </c>
      <c r="AF338" s="47"/>
      <c r="AG338" s="47"/>
      <c r="AH338" s="46"/>
      <c r="AI338" s="32"/>
      <c r="AJ338" s="275"/>
      <c r="AK338" s="298"/>
      <c r="AL338" s="31"/>
      <c r="AM338" s="275"/>
      <c r="AN338" s="298"/>
      <c r="AO338" s="281"/>
      <c r="AP338" s="31"/>
      <c r="AQ338" s="31"/>
      <c r="AR338" s="275"/>
      <c r="AS338" s="49"/>
      <c r="AT338" s="338"/>
      <c r="AU338" s="339"/>
      <c r="AV338" s="337"/>
      <c r="AW338" s="337"/>
      <c r="AX338" s="349"/>
      <c r="AY338" s="49"/>
      <c r="AZ338" s="352"/>
      <c r="BA338" s="336"/>
    </row>
    <row r="339" spans="1:53" x14ac:dyDescent="0.2">
      <c r="L339" s="12"/>
      <c r="M339" s="12"/>
      <c r="AC339" s="5">
        <f>L339+N339+P339+AB339</f>
        <v>0</v>
      </c>
      <c r="AD339" s="12"/>
      <c r="AE339" s="12">
        <f>D339+H339+K339+AC339</f>
        <v>0</v>
      </c>
      <c r="AF339" s="12"/>
      <c r="AG339" s="12"/>
      <c r="AH339" s="12"/>
      <c r="AI339" s="12"/>
      <c r="AJ339" s="272"/>
      <c r="AK339" s="73"/>
      <c r="AL339" s="14"/>
      <c r="AM339" s="272"/>
      <c r="AN339" s="73"/>
      <c r="AO339" s="272"/>
      <c r="AP339" s="14"/>
      <c r="AQ339" s="14"/>
      <c r="AR339" s="272"/>
      <c r="AS339" s="14"/>
      <c r="AT339" s="14"/>
      <c r="AU339" s="14"/>
      <c r="AV339" s="72"/>
      <c r="AW339" s="72"/>
      <c r="AX339" s="14"/>
      <c r="AY339" s="14"/>
      <c r="AZ339" s="73"/>
      <c r="BA339" s="73"/>
    </row>
    <row r="340" spans="1:53" x14ac:dyDescent="0.2">
      <c r="H340" s="1"/>
      <c r="I340" s="1"/>
      <c r="J340" s="1"/>
      <c r="K340" s="1"/>
      <c r="L340" s="11"/>
      <c r="M340" s="11"/>
      <c r="N340" s="1"/>
      <c r="O340" s="1"/>
      <c r="AC340" s="5">
        <f>L340+N340+P340+AB340</f>
        <v>0</v>
      </c>
      <c r="AD340" s="12"/>
      <c r="AE340" s="12">
        <f>D340+H340+K340+AC340</f>
        <v>0</v>
      </c>
      <c r="AF340" s="12"/>
      <c r="AG340" s="12"/>
      <c r="AH340" s="12"/>
      <c r="AI340" s="12"/>
      <c r="AJ340" s="272"/>
      <c r="AK340" s="329"/>
      <c r="AL340" s="331"/>
      <c r="AM340" s="332"/>
      <c r="AN340" s="333"/>
      <c r="AO340" s="272"/>
      <c r="AP340" s="14"/>
      <c r="AQ340" s="14"/>
      <c r="AR340" s="272"/>
      <c r="AS340" s="14"/>
      <c r="AT340" s="14"/>
      <c r="AU340" s="14"/>
      <c r="AV340" s="440"/>
      <c r="AW340"/>
      <c r="AX340" s="10"/>
      <c r="AY340" s="54"/>
      <c r="AZ340" s="441"/>
      <c r="BA340" s="441"/>
    </row>
    <row r="341" spans="1:53" x14ac:dyDescent="0.2">
      <c r="AF341" s="12"/>
      <c r="AG341" s="12"/>
      <c r="AX341" s="5"/>
      <c r="BA341" s="330"/>
    </row>
    <row r="342" spans="1:53" x14ac:dyDescent="0.2">
      <c r="AX342" s="5"/>
    </row>
    <row r="343" spans="1:53" x14ac:dyDescent="0.2">
      <c r="AP343" s="5"/>
    </row>
    <row r="345" spans="1:53" x14ac:dyDescent="0.2">
      <c r="A345" s="146"/>
      <c r="B345" s="146"/>
      <c r="C345" s="146"/>
      <c r="D345" s="290"/>
      <c r="E345" s="290"/>
      <c r="F345" s="290"/>
      <c r="G345" s="290"/>
      <c r="H345" s="291"/>
      <c r="I345" s="291"/>
      <c r="J345" s="291"/>
      <c r="K345" s="146"/>
      <c r="L345" s="291"/>
      <c r="M345" s="291"/>
      <c r="N345" s="291"/>
      <c r="O345" s="291"/>
      <c r="P345" s="290"/>
      <c r="Q345" s="290"/>
      <c r="R345" s="290"/>
      <c r="S345" s="290"/>
      <c r="T345" s="290"/>
      <c r="U345" s="290"/>
      <c r="V345" s="290"/>
      <c r="W345" s="290"/>
      <c r="X345" s="146"/>
      <c r="Y345" s="146"/>
      <c r="Z345" s="146"/>
      <c r="AA345" s="146"/>
      <c r="AB345" s="146"/>
      <c r="AC345" s="291"/>
      <c r="AD345" s="291"/>
      <c r="AE345" s="146"/>
      <c r="AF345" s="146"/>
      <c r="AG345" s="146"/>
      <c r="AH345" s="291"/>
      <c r="AI345" s="291"/>
      <c r="AJ345" s="305"/>
    </row>
    <row r="346" spans="1:53" x14ac:dyDescent="0.2">
      <c r="A346" s="146"/>
      <c r="B346" s="146"/>
      <c r="C346" s="146"/>
      <c r="D346" s="290"/>
      <c r="E346" s="290"/>
      <c r="F346" s="290"/>
      <c r="G346" s="290"/>
      <c r="H346" s="291"/>
      <c r="I346" s="291"/>
      <c r="J346" s="291"/>
      <c r="K346" s="146"/>
      <c r="L346" s="291"/>
      <c r="M346" s="291"/>
      <c r="N346" s="291"/>
      <c r="O346" s="291"/>
      <c r="P346" s="290"/>
      <c r="Q346" s="290"/>
      <c r="R346" s="290"/>
      <c r="S346" s="290"/>
      <c r="T346" s="290"/>
      <c r="U346" s="290"/>
      <c r="V346" s="290"/>
      <c r="W346" s="290"/>
      <c r="X346" s="146"/>
      <c r="Y346" s="146"/>
      <c r="Z346" s="146"/>
      <c r="AA346" s="146"/>
      <c r="AB346" s="146"/>
      <c r="AC346" s="291"/>
      <c r="AD346" s="291"/>
      <c r="AE346" s="146"/>
      <c r="AF346" s="146"/>
      <c r="AG346" s="146"/>
      <c r="AH346" s="291"/>
      <c r="AI346" s="291"/>
      <c r="AJ346" s="305"/>
    </row>
    <row r="349" spans="1:53" x14ac:dyDescent="0.2">
      <c r="A349" s="4" t="s">
        <v>433</v>
      </c>
    </row>
    <row r="350" spans="1:53" ht="2.25" customHeight="1" x14ac:dyDescent="0.2">
      <c r="A350" s="4"/>
    </row>
    <row r="351" spans="1:53" x14ac:dyDescent="0.2">
      <c r="A351" s="4">
        <v>1</v>
      </c>
      <c r="B351" t="s">
        <v>171</v>
      </c>
    </row>
    <row r="352" spans="1:53" ht="2.25" customHeight="1" x14ac:dyDescent="0.2">
      <c r="A352" s="4"/>
    </row>
    <row r="353" spans="1:53" x14ac:dyDescent="0.2">
      <c r="A353" s="4">
        <v>2</v>
      </c>
      <c r="B353" t="s">
        <v>124</v>
      </c>
    </row>
    <row r="354" spans="1:53" ht="2.25" customHeight="1" x14ac:dyDescent="0.2">
      <c r="A354" s="4"/>
    </row>
    <row r="355" spans="1:53" x14ac:dyDescent="0.2">
      <c r="A355" s="4">
        <v>3</v>
      </c>
      <c r="B355" t="s">
        <v>489</v>
      </c>
    </row>
    <row r="356" spans="1:53" x14ac:dyDescent="0.2">
      <c r="A356" s="4"/>
      <c r="B356" t="s">
        <v>835</v>
      </c>
    </row>
    <row r="357" spans="1:53" ht="2.25" customHeight="1" x14ac:dyDescent="0.2">
      <c r="A357" s="4"/>
    </row>
    <row r="358" spans="1:53" ht="12.75" customHeight="1" x14ac:dyDescent="0.2">
      <c r="A358" s="4">
        <v>4</v>
      </c>
      <c r="B358" s="1126" t="s">
        <v>509</v>
      </c>
      <c r="C358" s="1126"/>
      <c r="D358" s="1126"/>
      <c r="E358" s="1126"/>
      <c r="F358" s="1126"/>
      <c r="G358" s="1126"/>
      <c r="H358" s="1126"/>
      <c r="I358" s="1126"/>
      <c r="J358" s="1126"/>
      <c r="K358" s="1126"/>
      <c r="L358" s="1126"/>
      <c r="M358" s="1126"/>
      <c r="N358" s="1126"/>
      <c r="O358" s="1126"/>
      <c r="P358" s="1126"/>
      <c r="Q358" s="1126"/>
      <c r="R358" s="1126"/>
      <c r="S358" s="1126"/>
      <c r="T358" s="1126"/>
      <c r="U358" s="1126"/>
      <c r="V358" s="1126"/>
      <c r="W358" s="1126"/>
      <c r="X358" s="1126"/>
      <c r="Y358" s="1126"/>
      <c r="Z358" s="1126"/>
      <c r="AA358" s="1126"/>
      <c r="AB358" s="1126"/>
      <c r="AC358" s="1126"/>
      <c r="AD358" s="1126"/>
      <c r="AE358" s="1126"/>
      <c r="AF358" s="1126"/>
      <c r="AG358" s="1126"/>
      <c r="AH358" s="1126"/>
      <c r="AI358" s="1126"/>
      <c r="AJ358" s="1126"/>
      <c r="AK358" s="1126"/>
      <c r="AL358" s="1126"/>
      <c r="AM358" s="1126"/>
      <c r="AN358" s="293"/>
      <c r="AO358" s="59"/>
      <c r="AP358" s="59"/>
      <c r="AQ358" s="59"/>
      <c r="AR358" s="59"/>
      <c r="AS358" s="59"/>
      <c r="AT358" s="59"/>
      <c r="AU358" s="59"/>
      <c r="AV358" s="293"/>
      <c r="AW358" s="293"/>
      <c r="AX358" s="59"/>
      <c r="AY358" s="59"/>
      <c r="AZ358" s="293"/>
      <c r="BA358" s="293"/>
    </row>
    <row r="359" spans="1:53" ht="12.75" customHeight="1" x14ac:dyDescent="0.2">
      <c r="A359" s="4"/>
      <c r="B359" s="1126" t="s">
        <v>510</v>
      </c>
      <c r="C359" s="1126"/>
      <c r="D359" s="1126"/>
      <c r="E359" s="1126"/>
      <c r="F359" s="1126"/>
      <c r="G359" s="1126"/>
      <c r="H359" s="1126"/>
      <c r="I359" s="59"/>
      <c r="J359" s="59"/>
      <c r="K359" s="59"/>
      <c r="L359" s="59"/>
      <c r="M359" s="59"/>
      <c r="N359" s="59"/>
      <c r="O359" s="59"/>
      <c r="P359" s="59"/>
      <c r="Q359" s="59"/>
      <c r="R359" s="59"/>
      <c r="S359" s="59"/>
      <c r="T359" s="59"/>
      <c r="U359" s="59"/>
      <c r="V359" s="59"/>
      <c r="W359" s="59"/>
      <c r="X359" s="59"/>
      <c r="Y359" s="59"/>
      <c r="Z359" s="59"/>
      <c r="AA359" s="59"/>
      <c r="AB359" s="59"/>
      <c r="AC359" s="59"/>
      <c r="AD359" s="59"/>
      <c r="AE359" s="59"/>
      <c r="AF359" s="59"/>
      <c r="AG359" s="59"/>
      <c r="AH359" s="59"/>
      <c r="AI359" s="59"/>
      <c r="AJ359" s="59"/>
      <c r="AK359" s="59"/>
      <c r="AL359" s="59"/>
      <c r="AM359" s="59"/>
      <c r="AN359" s="293"/>
      <c r="AO359" s="59"/>
      <c r="AP359" s="59"/>
      <c r="AQ359" s="59"/>
      <c r="AR359" s="59"/>
      <c r="AS359" s="59"/>
      <c r="AT359" s="59"/>
      <c r="AU359" s="59"/>
      <c r="AV359" s="293"/>
      <c r="AW359" s="293"/>
      <c r="AX359" s="59"/>
      <c r="AY359" s="59"/>
      <c r="AZ359" s="293"/>
      <c r="BA359" s="293"/>
    </row>
    <row r="360" spans="1:53" ht="2.25" customHeight="1" x14ac:dyDescent="0.2">
      <c r="A360" s="4"/>
      <c r="B360" s="59"/>
      <c r="C360" s="59"/>
      <c r="D360" s="59"/>
      <c r="E360" s="59"/>
      <c r="F360" s="59"/>
      <c r="G360" s="59"/>
      <c r="H360" s="59"/>
      <c r="I360" s="59"/>
      <c r="J360" s="59"/>
      <c r="K360" s="59"/>
      <c r="L360" s="59"/>
      <c r="M360" s="59"/>
      <c r="N360" s="59"/>
      <c r="O360" s="59"/>
      <c r="P360" s="59"/>
      <c r="Q360" s="59"/>
      <c r="R360" s="59"/>
      <c r="S360" s="59"/>
      <c r="T360" s="59"/>
      <c r="U360" s="59"/>
      <c r="V360" s="59"/>
      <c r="W360" s="59"/>
      <c r="X360" s="59"/>
      <c r="Y360" s="59"/>
      <c r="Z360" s="59"/>
      <c r="AA360" s="59"/>
      <c r="AB360" s="59"/>
      <c r="AC360" s="59"/>
      <c r="AD360" s="59"/>
      <c r="AE360" s="59"/>
      <c r="AF360" s="59"/>
      <c r="AG360" s="59"/>
      <c r="AH360" s="59"/>
      <c r="AI360" s="59"/>
      <c r="AJ360" s="59"/>
      <c r="AK360" s="59"/>
      <c r="AL360" s="59"/>
      <c r="AM360" s="59"/>
      <c r="AN360" s="293"/>
      <c r="AO360" s="59"/>
      <c r="AP360" s="59"/>
      <c r="AQ360" s="59"/>
      <c r="AR360" s="59"/>
      <c r="AS360" s="59"/>
      <c r="AT360" s="59"/>
      <c r="AU360" s="59"/>
      <c r="AV360" s="293"/>
      <c r="AW360" s="293"/>
      <c r="AX360" s="59"/>
      <c r="AY360" s="59"/>
      <c r="AZ360" s="293"/>
      <c r="BA360" s="293"/>
    </row>
    <row r="361" spans="1:53" ht="14.25" customHeight="1" x14ac:dyDescent="0.2">
      <c r="A361" s="4">
        <v>5</v>
      </c>
      <c r="B361" t="s">
        <v>154</v>
      </c>
    </row>
    <row r="362" spans="1:53" ht="2.25" customHeight="1" x14ac:dyDescent="0.2">
      <c r="A362" s="4"/>
    </row>
    <row r="363" spans="1:53" x14ac:dyDescent="0.2">
      <c r="A363" s="4">
        <v>6</v>
      </c>
      <c r="B363" t="s">
        <v>409</v>
      </c>
    </row>
    <row r="369" spans="42:49" x14ac:dyDescent="0.2">
      <c r="AP369" s="78"/>
      <c r="AQ369" s="78"/>
      <c r="AR369" s="277"/>
      <c r="AS369" s="78"/>
      <c r="AT369" s="78"/>
      <c r="AU369" s="78"/>
      <c r="AV369" s="294"/>
      <c r="AW369" s="294"/>
    </row>
  </sheetData>
  <mergeCells count="56">
    <mergeCell ref="B359:H359"/>
    <mergeCell ref="AB1:AC1"/>
    <mergeCell ref="AB2:AC2"/>
    <mergeCell ref="AX175:AY175"/>
    <mergeCell ref="T4:U4"/>
    <mergeCell ref="V4:W4"/>
    <mergeCell ref="X4:Y4"/>
    <mergeCell ref="Z4:AA4"/>
    <mergeCell ref="AY1:AZ1"/>
    <mergeCell ref="AV1:AW1"/>
    <mergeCell ref="B358:AM358"/>
    <mergeCell ref="AO1:AS1"/>
    <mergeCell ref="AO2:AS2"/>
    <mergeCell ref="AD4:AE4"/>
    <mergeCell ref="AF3:AG3"/>
    <mergeCell ref="AF4:AG4"/>
    <mergeCell ref="AB4:AC4"/>
    <mergeCell ref="AJ1:AN1"/>
    <mergeCell ref="AJ2:AN2"/>
    <mergeCell ref="AD1:AE2"/>
    <mergeCell ref="AZ3:BA3"/>
    <mergeCell ref="AZ4:BA4"/>
    <mergeCell ref="AJ4:AN4"/>
    <mergeCell ref="AX3:AY3"/>
    <mergeCell ref="AX4:AY4"/>
    <mergeCell ref="AO3:AS3"/>
    <mergeCell ref="AO4:AS4"/>
    <mergeCell ref="AV4:AW4"/>
    <mergeCell ref="AH2:AI2"/>
    <mergeCell ref="AF1:AG2"/>
    <mergeCell ref="AH3:AI3"/>
    <mergeCell ref="AH4:AI4"/>
    <mergeCell ref="A307:C307"/>
    <mergeCell ref="B224:B226"/>
    <mergeCell ref="B229:B231"/>
    <mergeCell ref="B219:B221"/>
    <mergeCell ref="AD3:AE3"/>
    <mergeCell ref="B193:B195"/>
    <mergeCell ref="B204:B206"/>
    <mergeCell ref="B209:B211"/>
    <mergeCell ref="A233:C233"/>
    <mergeCell ref="B214:B216"/>
    <mergeCell ref="B198:B201"/>
    <mergeCell ref="P4:Q4"/>
    <mergeCell ref="D4:E4"/>
    <mergeCell ref="H4:I4"/>
    <mergeCell ref="J4:K4"/>
    <mergeCell ref="L4:M4"/>
    <mergeCell ref="N4:O4"/>
    <mergeCell ref="B162:B173"/>
    <mergeCell ref="D1:K1"/>
    <mergeCell ref="L1:P1"/>
    <mergeCell ref="D3:K3"/>
    <mergeCell ref="F4:G4"/>
    <mergeCell ref="L3:S3"/>
    <mergeCell ref="R4:S4"/>
  </mergeCells>
  <phoneticPr fontId="13" type="noConversion"/>
  <pageMargins left="0.26" right="0.22" top="0.91" bottom="0.65" header="0.42" footer="0.5"/>
  <pageSetup paperSize="5" scale="36" fitToHeight="0" orientation="landscape" r:id="rId1"/>
  <headerFooter alignWithMargins="0">
    <oddHeader>&amp;L&amp;D ... &amp;T&amp;C&amp;"Arial,Bold"&amp;14City of Dogwood
&amp;"Arial,Regular"GASB 34 Conversion Worksheet&amp;"Arial,Bold"
&amp;11to prepare the Government-wide Statements - (including  adjustments and consolidations)&amp;R&amp;P</oddHeader>
    <oddFooter>&amp;L&amp;F</oddFooter>
  </headerFooter>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12A47-26D5-4169-AFF5-A0446D679E81}">
  <sheetPr>
    <pageSetUpPr fitToPage="1"/>
  </sheetPr>
  <dimension ref="A1:U1908"/>
  <sheetViews>
    <sheetView zoomScaleNormal="100" workbookViewId="0">
      <pane xSplit="2" ySplit="5" topLeftCell="C920" activePane="bottomRight" state="frozen"/>
      <selection pane="topRight" activeCell="C1" sqref="C1"/>
      <selection pane="bottomLeft" activeCell="A6" sqref="A6"/>
      <selection pane="bottomRight" activeCell="C928" sqref="C928"/>
    </sheetView>
  </sheetViews>
  <sheetFormatPr defaultRowHeight="15" x14ac:dyDescent="0.25"/>
  <cols>
    <col min="1" max="1" width="10.5703125" style="1046" customWidth="1"/>
    <col min="2" max="2" width="48.85546875" style="1046" customWidth="1"/>
    <col min="3" max="4" width="13.85546875" style="1046" customWidth="1"/>
    <col min="5" max="5" width="30.140625" style="1046" customWidth="1"/>
    <col min="6" max="6" width="3.85546875" style="1046" customWidth="1"/>
    <col min="7" max="7" width="18.28515625" style="1046" customWidth="1"/>
    <col min="8" max="8" width="20" style="1047" customWidth="1"/>
    <col min="9" max="9" width="16.85546875" style="1046" customWidth="1"/>
    <col min="10" max="10" width="19.42578125" style="1046" customWidth="1"/>
    <col min="11" max="11" width="20" style="1047" customWidth="1"/>
    <col min="12" max="12" width="3.85546875" style="1046" customWidth="1"/>
    <col min="13" max="13" width="18.28515625" style="1046" customWidth="1"/>
    <col min="14" max="14" width="11.85546875" style="1046" customWidth="1"/>
    <col min="15" max="15" width="19.42578125" style="1046" customWidth="1"/>
    <col min="16" max="16" width="20" style="1047" customWidth="1"/>
    <col min="17" max="17" width="3.85546875" style="1046" customWidth="1"/>
    <col min="18" max="18" width="13.85546875" style="1046" customWidth="1"/>
    <col min="19" max="19" width="22.42578125" style="1046" customWidth="1"/>
    <col min="20" max="20" width="14.85546875" style="1046" bestFit="1" customWidth="1"/>
    <col min="21" max="21" width="11.140625" style="1046" bestFit="1" customWidth="1"/>
    <col min="22" max="16384" width="9.140625" style="1046"/>
  </cols>
  <sheetData>
    <row r="1" spans="1:20" x14ac:dyDescent="0.25">
      <c r="A1" s="1046" t="s">
        <v>3978</v>
      </c>
      <c r="H1" s="1046"/>
    </row>
    <row r="2" spans="1:20" x14ac:dyDescent="0.25">
      <c r="A2" s="1046" t="s">
        <v>3575</v>
      </c>
      <c r="H2" s="1046"/>
    </row>
    <row r="3" spans="1:20" x14ac:dyDescent="0.25">
      <c r="H3" s="1046"/>
    </row>
    <row r="4" spans="1:20" x14ac:dyDescent="0.25">
      <c r="G4" s="1048" t="s">
        <v>1156</v>
      </c>
      <c r="H4" s="1048"/>
      <c r="I4" s="1048"/>
      <c r="J4" s="1048"/>
      <c r="K4" s="1049"/>
      <c r="M4" s="1048" t="s">
        <v>1157</v>
      </c>
      <c r="N4" s="1048"/>
      <c r="O4" s="1048"/>
      <c r="P4" s="1049"/>
      <c r="R4" s="1048" t="s">
        <v>1158</v>
      </c>
      <c r="S4" s="1048"/>
      <c r="T4" s="1048"/>
    </row>
    <row r="5" spans="1:20" ht="120" x14ac:dyDescent="0.25">
      <c r="A5" s="1050" t="s">
        <v>1155</v>
      </c>
      <c r="B5" s="1050" t="s">
        <v>1159</v>
      </c>
      <c r="C5" s="1050" t="s">
        <v>2117</v>
      </c>
      <c r="D5" s="1050" t="s">
        <v>2118</v>
      </c>
      <c r="E5" s="1050" t="s">
        <v>1168</v>
      </c>
      <c r="F5" s="1050"/>
      <c r="G5" s="1050" t="s">
        <v>1161</v>
      </c>
      <c r="H5" s="1051" t="s">
        <v>1162</v>
      </c>
      <c r="I5" s="1050" t="s">
        <v>1163</v>
      </c>
      <c r="J5" s="1050" t="s">
        <v>1164</v>
      </c>
      <c r="K5" s="1051" t="s">
        <v>3576</v>
      </c>
      <c r="L5" s="1050"/>
      <c r="M5" s="1050" t="s">
        <v>1161</v>
      </c>
      <c r="N5" s="1050" t="s">
        <v>1163</v>
      </c>
      <c r="O5" s="1050" t="s">
        <v>1164</v>
      </c>
      <c r="P5" s="1051" t="s">
        <v>3577</v>
      </c>
      <c r="Q5" s="1050"/>
      <c r="R5" s="1050" t="s">
        <v>1165</v>
      </c>
      <c r="S5" s="1050" t="s">
        <v>1166</v>
      </c>
      <c r="T5" s="1050" t="s">
        <v>1167</v>
      </c>
    </row>
    <row r="6" spans="1:20" x14ac:dyDescent="0.25">
      <c r="A6" s="1052" t="s">
        <v>487</v>
      </c>
      <c r="B6" s="1053" t="s">
        <v>2121</v>
      </c>
      <c r="C6" s="1050"/>
      <c r="D6" s="1050"/>
      <c r="E6" s="1050"/>
      <c r="F6" s="1050"/>
      <c r="G6" s="1050"/>
      <c r="H6" s="1051"/>
      <c r="I6" s="1050"/>
      <c r="J6" s="1050"/>
      <c r="K6" s="1051"/>
      <c r="L6" s="1050"/>
      <c r="M6" s="1050"/>
      <c r="N6" s="1050"/>
      <c r="O6" s="1050"/>
      <c r="P6" s="1051"/>
      <c r="Q6" s="1050"/>
      <c r="R6" s="1050"/>
      <c r="S6" s="1050"/>
      <c r="T6" s="1050"/>
    </row>
    <row r="7" spans="1:20" x14ac:dyDescent="0.25">
      <c r="A7" s="1054">
        <v>70505</v>
      </c>
      <c r="B7" s="1055" t="s">
        <v>2575</v>
      </c>
      <c r="C7" s="1056">
        <v>3.6600000000000001E-4</v>
      </c>
      <c r="D7" s="1056">
        <v>4.147E-4</v>
      </c>
      <c r="E7" s="1057">
        <v>868277</v>
      </c>
      <c r="F7" s="1057"/>
      <c r="G7" s="1058">
        <v>133955</v>
      </c>
      <c r="H7" s="1059">
        <v>119188</v>
      </c>
      <c r="I7" s="1058">
        <v>230407</v>
      </c>
      <c r="J7" s="1057">
        <v>0</v>
      </c>
      <c r="K7" s="1059">
        <f t="shared" ref="K7:K70" si="0">G7+H7+I7+J7</f>
        <v>483550</v>
      </c>
      <c r="L7" s="1057"/>
      <c r="M7" s="1058">
        <v>4495</v>
      </c>
      <c r="N7" s="1058">
        <v>0</v>
      </c>
      <c r="O7" s="1057">
        <v>53689</v>
      </c>
      <c r="P7" s="1059">
        <f t="shared" ref="P7:P70" si="1">M7+N7+O7</f>
        <v>58184</v>
      </c>
      <c r="Q7" s="1057"/>
      <c r="R7" s="1058">
        <v>241184</v>
      </c>
      <c r="S7" s="1057">
        <v>-22825</v>
      </c>
      <c r="T7" s="1060">
        <v>218359</v>
      </c>
    </row>
    <row r="8" spans="1:20" x14ac:dyDescent="0.25">
      <c r="A8" s="1054">
        <v>72265</v>
      </c>
      <c r="B8" s="1055" t="s">
        <v>2577</v>
      </c>
      <c r="C8" s="1056">
        <v>1.538E-4</v>
      </c>
      <c r="D8" s="1056">
        <v>1.4009999999999999E-4</v>
      </c>
      <c r="E8" s="1057">
        <v>364866</v>
      </c>
      <c r="F8" s="1057"/>
      <c r="G8" s="1058">
        <v>56290</v>
      </c>
      <c r="H8" s="1059">
        <v>50085</v>
      </c>
      <c r="I8" s="1058">
        <v>96821</v>
      </c>
      <c r="J8" s="1057">
        <v>10295</v>
      </c>
      <c r="K8" s="1059">
        <f t="shared" si="0"/>
        <v>213491</v>
      </c>
      <c r="L8" s="1057"/>
      <c r="M8" s="1058">
        <v>1889</v>
      </c>
      <c r="N8" s="1058">
        <v>0</v>
      </c>
      <c r="O8" s="1057">
        <v>2396</v>
      </c>
      <c r="P8" s="1059">
        <f t="shared" si="1"/>
        <v>4285</v>
      </c>
      <c r="Q8" s="1057"/>
      <c r="R8" s="1058">
        <v>101350</v>
      </c>
      <c r="S8" s="1057">
        <v>5014</v>
      </c>
      <c r="T8" s="1060">
        <v>106364</v>
      </c>
    </row>
    <row r="9" spans="1:20" x14ac:dyDescent="0.25">
      <c r="A9" s="1054">
        <v>72593</v>
      </c>
      <c r="B9" s="1055" t="s">
        <v>3979</v>
      </c>
      <c r="C9" s="1056">
        <v>6.0000000000000002E-6</v>
      </c>
      <c r="D9" s="1056">
        <v>5.9000000000000003E-6</v>
      </c>
      <c r="E9" s="1057">
        <v>14234</v>
      </c>
      <c r="F9" s="1057"/>
      <c r="G9" s="1058">
        <v>2196</v>
      </c>
      <c r="H9" s="1059">
        <v>1954</v>
      </c>
      <c r="I9" s="1058">
        <v>3777</v>
      </c>
      <c r="J9" s="1057">
        <v>2261</v>
      </c>
      <c r="K9" s="1059">
        <f t="shared" si="0"/>
        <v>10188</v>
      </c>
      <c r="L9" s="1057"/>
      <c r="M9" s="1058">
        <v>74</v>
      </c>
      <c r="N9" s="1058">
        <v>0</v>
      </c>
      <c r="O9" s="1057">
        <v>590</v>
      </c>
      <c r="P9" s="1059">
        <f t="shared" si="1"/>
        <v>664</v>
      </c>
      <c r="Q9" s="1057"/>
      <c r="R9" s="1058">
        <v>3954</v>
      </c>
      <c r="S9" s="1057">
        <v>605</v>
      </c>
      <c r="T9" s="1060">
        <v>4559</v>
      </c>
    </row>
    <row r="10" spans="1:20" x14ac:dyDescent="0.25">
      <c r="A10" s="1054">
        <v>72657</v>
      </c>
      <c r="B10" s="1055" t="s">
        <v>3980</v>
      </c>
      <c r="C10" s="1056">
        <v>3.9199999999999997E-5</v>
      </c>
      <c r="D10" s="1056">
        <v>3.9900000000000001E-5</v>
      </c>
      <c r="E10" s="1057">
        <v>92996</v>
      </c>
      <c r="F10" s="1057"/>
      <c r="G10" s="1058">
        <v>14347</v>
      </c>
      <c r="H10" s="1059">
        <v>12765</v>
      </c>
      <c r="I10" s="1058">
        <v>24677</v>
      </c>
      <c r="J10" s="1057">
        <v>0</v>
      </c>
      <c r="K10" s="1059">
        <f t="shared" si="0"/>
        <v>51789</v>
      </c>
      <c r="L10" s="1057"/>
      <c r="M10" s="1058">
        <v>481</v>
      </c>
      <c r="N10" s="1058">
        <v>0</v>
      </c>
      <c r="O10" s="1057">
        <v>6011</v>
      </c>
      <c r="P10" s="1059">
        <f t="shared" si="1"/>
        <v>6492</v>
      </c>
      <c r="Q10" s="1057"/>
      <c r="R10" s="1058">
        <v>25832</v>
      </c>
      <c r="S10" s="1057">
        <v>356</v>
      </c>
      <c r="T10" s="1060">
        <v>26188</v>
      </c>
    </row>
    <row r="11" spans="1:20" x14ac:dyDescent="0.25">
      <c r="A11" s="1054">
        <v>90001</v>
      </c>
      <c r="B11" s="1055" t="s">
        <v>2579</v>
      </c>
      <c r="C11" s="1056">
        <v>8.61E-4</v>
      </c>
      <c r="D11" s="1056">
        <v>8.6030000000000004E-4</v>
      </c>
      <c r="E11" s="1057">
        <v>2042586</v>
      </c>
      <c r="F11" s="1057"/>
      <c r="G11" s="1058">
        <v>315123</v>
      </c>
      <c r="H11" s="1059">
        <v>280386</v>
      </c>
      <c r="I11" s="1058">
        <v>542024</v>
      </c>
      <c r="J11" s="1057">
        <v>7657</v>
      </c>
      <c r="K11" s="1059">
        <f t="shared" si="0"/>
        <v>1145190</v>
      </c>
      <c r="L11" s="1057"/>
      <c r="M11" s="1058">
        <v>10574</v>
      </c>
      <c r="N11" s="1058">
        <v>0</v>
      </c>
      <c r="O11" s="1057">
        <v>10725</v>
      </c>
      <c r="P11" s="1059">
        <f t="shared" si="1"/>
        <v>21299</v>
      </c>
      <c r="Q11" s="1057"/>
      <c r="R11" s="1058">
        <v>567376</v>
      </c>
      <c r="S11" s="1057">
        <v>1195</v>
      </c>
      <c r="T11" s="1060">
        <v>568571</v>
      </c>
    </row>
    <row r="12" spans="1:20" x14ac:dyDescent="0.25">
      <c r="A12" s="1054">
        <v>90002</v>
      </c>
      <c r="B12" s="1055" t="s">
        <v>2580</v>
      </c>
      <c r="C12" s="1056">
        <v>9.5000000000000005E-6</v>
      </c>
      <c r="D12" s="1056">
        <v>1.06E-5</v>
      </c>
      <c r="E12" s="1057">
        <v>22537</v>
      </c>
      <c r="F12" s="1057"/>
      <c r="G12" s="1058">
        <v>3477</v>
      </c>
      <c r="H12" s="1059">
        <v>3094</v>
      </c>
      <c r="I12" s="1058">
        <v>5981</v>
      </c>
      <c r="J12" s="1057">
        <v>1636</v>
      </c>
      <c r="K12" s="1059">
        <f t="shared" si="0"/>
        <v>14188</v>
      </c>
      <c r="L12" s="1057"/>
      <c r="M12" s="1058">
        <v>117</v>
      </c>
      <c r="N12" s="1058">
        <v>0</v>
      </c>
      <c r="O12" s="1057">
        <v>0</v>
      </c>
      <c r="P12" s="1059">
        <f t="shared" si="1"/>
        <v>117</v>
      </c>
      <c r="Q12" s="1057"/>
      <c r="R12" s="1058">
        <v>6260</v>
      </c>
      <c r="S12" s="1057">
        <v>737</v>
      </c>
      <c r="T12" s="1060">
        <v>6997</v>
      </c>
    </row>
    <row r="13" spans="1:20" x14ac:dyDescent="0.25">
      <c r="A13" s="1054">
        <v>90011</v>
      </c>
      <c r="B13" s="1055" t="s">
        <v>3981</v>
      </c>
      <c r="C13" s="1056">
        <v>1.916E-4</v>
      </c>
      <c r="D13" s="1056">
        <v>1.974E-4</v>
      </c>
      <c r="E13" s="1057">
        <v>454541</v>
      </c>
      <c r="F13" s="1057"/>
      <c r="G13" s="1058">
        <v>70125</v>
      </c>
      <c r="H13" s="1059">
        <v>62395</v>
      </c>
      <c r="I13" s="1058">
        <v>120618</v>
      </c>
      <c r="J13" s="1057">
        <v>0</v>
      </c>
      <c r="K13" s="1059">
        <f t="shared" si="0"/>
        <v>253138</v>
      </c>
      <c r="L13" s="1057"/>
      <c r="M13" s="1058">
        <v>2353</v>
      </c>
      <c r="N13" s="1058">
        <v>0</v>
      </c>
      <c r="O13" s="1057">
        <v>27708</v>
      </c>
      <c r="P13" s="1059">
        <f t="shared" si="1"/>
        <v>30061</v>
      </c>
      <c r="Q13" s="1057"/>
      <c r="R13" s="1058">
        <v>126259</v>
      </c>
      <c r="S13" s="1057">
        <v>-9526</v>
      </c>
      <c r="T13" s="1060">
        <v>116733</v>
      </c>
    </row>
    <row r="14" spans="1:20" x14ac:dyDescent="0.25">
      <c r="A14" s="1054">
        <v>90092</v>
      </c>
      <c r="B14" s="1055" t="s">
        <v>2582</v>
      </c>
      <c r="C14" s="1056">
        <v>3.547E-4</v>
      </c>
      <c r="D14" s="1056">
        <v>3.5349999999999997E-4</v>
      </c>
      <c r="E14" s="1057">
        <v>841470</v>
      </c>
      <c r="F14" s="1057"/>
      <c r="G14" s="1058">
        <v>129819</v>
      </c>
      <c r="H14" s="1059">
        <v>115509</v>
      </c>
      <c r="I14" s="1058">
        <v>223294</v>
      </c>
      <c r="J14" s="1057">
        <v>14687</v>
      </c>
      <c r="K14" s="1059">
        <f t="shared" si="0"/>
        <v>483309</v>
      </c>
      <c r="L14" s="1057"/>
      <c r="M14" s="1058">
        <v>4356</v>
      </c>
      <c r="N14" s="1058">
        <v>0</v>
      </c>
      <c r="O14" s="1057">
        <v>40510</v>
      </c>
      <c r="P14" s="1059">
        <f t="shared" si="1"/>
        <v>44866</v>
      </c>
      <c r="Q14" s="1057"/>
      <c r="R14" s="1058">
        <v>233738</v>
      </c>
      <c r="S14" s="1057">
        <v>-38987</v>
      </c>
      <c r="T14" s="1060">
        <v>194751</v>
      </c>
    </row>
    <row r="15" spans="1:20" x14ac:dyDescent="0.25">
      <c r="A15" s="1054">
        <v>90096</v>
      </c>
      <c r="B15" s="1055" t="s">
        <v>2583</v>
      </c>
      <c r="C15" s="1056">
        <v>9.1730000000000002E-4</v>
      </c>
      <c r="D15" s="1056">
        <v>9.7559999999999997E-4</v>
      </c>
      <c r="E15" s="1057">
        <v>2176149</v>
      </c>
      <c r="F15" s="1057"/>
      <c r="G15" s="1058">
        <v>335728</v>
      </c>
      <c r="H15" s="1059">
        <v>298720</v>
      </c>
      <c r="I15" s="1058">
        <v>577466</v>
      </c>
      <c r="J15" s="1057">
        <v>43181</v>
      </c>
      <c r="K15" s="1059">
        <f t="shared" si="0"/>
        <v>1255095</v>
      </c>
      <c r="L15" s="1057"/>
      <c r="M15" s="1058">
        <v>11265</v>
      </c>
      <c r="N15" s="1058">
        <v>0</v>
      </c>
      <c r="O15" s="1057">
        <v>175620</v>
      </c>
      <c r="P15" s="1059">
        <f t="shared" si="1"/>
        <v>186885</v>
      </c>
      <c r="Q15" s="1057"/>
      <c r="R15" s="1058">
        <v>604476</v>
      </c>
      <c r="S15" s="1057">
        <v>-19105</v>
      </c>
      <c r="T15" s="1060">
        <v>585371</v>
      </c>
    </row>
    <row r="16" spans="1:20" x14ac:dyDescent="0.25">
      <c r="A16" s="1054">
        <v>90098</v>
      </c>
      <c r="B16" s="1055" t="s">
        <v>2584</v>
      </c>
      <c r="C16" s="1056">
        <v>3.1510000000000002E-4</v>
      </c>
      <c r="D16" s="1056">
        <v>2.9599999999999998E-4</v>
      </c>
      <c r="E16" s="1057">
        <v>747525</v>
      </c>
      <c r="F16" s="1057"/>
      <c r="G16" s="1058">
        <v>115325</v>
      </c>
      <c r="H16" s="1059">
        <v>102613</v>
      </c>
      <c r="I16" s="1058">
        <v>198364</v>
      </c>
      <c r="J16" s="1057">
        <v>19294</v>
      </c>
      <c r="K16" s="1059">
        <f t="shared" si="0"/>
        <v>435596</v>
      </c>
      <c r="L16" s="1057"/>
      <c r="M16" s="1058">
        <v>3870</v>
      </c>
      <c r="N16" s="1058">
        <v>0</v>
      </c>
      <c r="O16" s="1057">
        <v>58299</v>
      </c>
      <c r="P16" s="1059">
        <f t="shared" si="1"/>
        <v>62169</v>
      </c>
      <c r="Q16" s="1057"/>
      <c r="R16" s="1058">
        <v>207642</v>
      </c>
      <c r="S16" s="1057">
        <v>-47420</v>
      </c>
      <c r="T16" s="1060">
        <v>160222</v>
      </c>
    </row>
    <row r="17" spans="1:20" x14ac:dyDescent="0.25">
      <c r="A17" s="1054">
        <v>90099</v>
      </c>
      <c r="B17" s="1055" t="s">
        <v>2585</v>
      </c>
      <c r="C17" s="1056">
        <v>6.8800000000000003E-4</v>
      </c>
      <c r="D17" s="1056">
        <v>6.6330000000000002E-4</v>
      </c>
      <c r="E17" s="1057">
        <v>1632171</v>
      </c>
      <c r="F17" s="1057"/>
      <c r="G17" s="1058">
        <v>251805</v>
      </c>
      <c r="H17" s="1059">
        <v>224048</v>
      </c>
      <c r="I17" s="1058">
        <v>433115</v>
      </c>
      <c r="J17" s="1057">
        <v>65504</v>
      </c>
      <c r="K17" s="1059">
        <f t="shared" si="0"/>
        <v>974472</v>
      </c>
      <c r="L17" s="1057"/>
      <c r="M17" s="1058">
        <v>8449</v>
      </c>
      <c r="N17" s="1058">
        <v>0</v>
      </c>
      <c r="O17" s="1057">
        <v>31571</v>
      </c>
      <c r="P17" s="1059">
        <f t="shared" si="1"/>
        <v>40020</v>
      </c>
      <c r="Q17" s="1057"/>
      <c r="R17" s="1058">
        <v>453373</v>
      </c>
      <c r="S17" s="1057">
        <v>6742</v>
      </c>
      <c r="T17" s="1060">
        <v>460115</v>
      </c>
    </row>
    <row r="18" spans="1:20" x14ac:dyDescent="0.25">
      <c r="A18" s="1054">
        <v>90101</v>
      </c>
      <c r="B18" s="1055" t="s">
        <v>2586</v>
      </c>
      <c r="C18" s="1056">
        <v>6.4729000000000002E-3</v>
      </c>
      <c r="D18" s="1056">
        <v>6.6312000000000003E-3</v>
      </c>
      <c r="E18" s="1057">
        <v>15355933</v>
      </c>
      <c r="F18" s="1057"/>
      <c r="G18" s="1058">
        <v>2369056</v>
      </c>
      <c r="H18" s="1059">
        <v>2107912</v>
      </c>
      <c r="I18" s="1058">
        <v>4074872</v>
      </c>
      <c r="J18" s="1057">
        <v>152067</v>
      </c>
      <c r="K18" s="1059">
        <f t="shared" si="0"/>
        <v>8703907</v>
      </c>
      <c r="L18" s="1057"/>
      <c r="M18" s="1058">
        <v>79494</v>
      </c>
      <c r="N18" s="1058">
        <v>0</v>
      </c>
      <c r="O18" s="1057">
        <v>140729</v>
      </c>
      <c r="P18" s="1059">
        <f t="shared" si="1"/>
        <v>220223</v>
      </c>
      <c r="Q18" s="1057"/>
      <c r="R18" s="1058">
        <v>4265466</v>
      </c>
      <c r="S18" s="1057">
        <v>32971</v>
      </c>
      <c r="T18" s="1060">
        <v>4298437</v>
      </c>
    </row>
    <row r="19" spans="1:20" x14ac:dyDescent="0.25">
      <c r="A19" s="1054">
        <v>90111</v>
      </c>
      <c r="B19" s="1055" t="s">
        <v>2587</v>
      </c>
      <c r="C19" s="1056">
        <v>5.0667999999999998E-3</v>
      </c>
      <c r="D19" s="1056">
        <v>4.9740000000000001E-3</v>
      </c>
      <c r="E19" s="1057">
        <v>12020182</v>
      </c>
      <c r="F19" s="1057"/>
      <c r="G19" s="1058">
        <v>1854429</v>
      </c>
      <c r="H19" s="1059">
        <v>1650013</v>
      </c>
      <c r="I19" s="1058">
        <v>3189692</v>
      </c>
      <c r="J19" s="1057">
        <v>18312</v>
      </c>
      <c r="K19" s="1059">
        <f t="shared" si="0"/>
        <v>6712446</v>
      </c>
      <c r="L19" s="1057"/>
      <c r="M19" s="1058">
        <v>62225</v>
      </c>
      <c r="N19" s="1058">
        <v>0</v>
      </c>
      <c r="O19" s="1057">
        <v>49468</v>
      </c>
      <c r="P19" s="1059">
        <f t="shared" si="1"/>
        <v>111693</v>
      </c>
      <c r="Q19" s="1057"/>
      <c r="R19" s="1058">
        <v>3338884</v>
      </c>
      <c r="S19" s="1057">
        <v>-51615</v>
      </c>
      <c r="T19" s="1060">
        <v>3287269</v>
      </c>
    </row>
    <row r="20" spans="1:20" x14ac:dyDescent="0.25">
      <c r="A20" s="1054">
        <v>90114</v>
      </c>
      <c r="B20" s="1055" t="s">
        <v>2588</v>
      </c>
      <c r="C20" s="1056">
        <v>1.0735E-3</v>
      </c>
      <c r="D20" s="1056">
        <v>1.0919E-3</v>
      </c>
      <c r="E20" s="1057">
        <v>2546709</v>
      </c>
      <c r="F20" s="1057"/>
      <c r="G20" s="1058">
        <v>392897</v>
      </c>
      <c r="H20" s="1059">
        <v>349588</v>
      </c>
      <c r="I20" s="1058">
        <v>675798</v>
      </c>
      <c r="J20" s="1057">
        <v>1231689</v>
      </c>
      <c r="K20" s="1059">
        <f t="shared" si="0"/>
        <v>2649972</v>
      </c>
      <c r="L20" s="1057"/>
      <c r="M20" s="1058">
        <v>13184</v>
      </c>
      <c r="N20" s="1058">
        <v>0</v>
      </c>
      <c r="O20" s="1057">
        <v>0</v>
      </c>
      <c r="P20" s="1059">
        <f t="shared" si="1"/>
        <v>13184</v>
      </c>
      <c r="Q20" s="1057"/>
      <c r="R20" s="1058">
        <v>707408</v>
      </c>
      <c r="S20" s="1057">
        <v>502556</v>
      </c>
      <c r="T20" s="1060">
        <v>1209964</v>
      </c>
    </row>
    <row r="21" spans="1:20" x14ac:dyDescent="0.25">
      <c r="A21" s="1054">
        <v>90117</v>
      </c>
      <c r="B21" s="1055" t="s">
        <v>2589</v>
      </c>
      <c r="C21" s="1056">
        <v>1.36E-4</v>
      </c>
      <c r="D21" s="1056">
        <v>1.407E-4</v>
      </c>
      <c r="E21" s="1057">
        <v>322639</v>
      </c>
      <c r="F21" s="1057"/>
      <c r="G21" s="1058">
        <v>49775</v>
      </c>
      <c r="H21" s="1059">
        <v>44288</v>
      </c>
      <c r="I21" s="1058">
        <v>85616</v>
      </c>
      <c r="J21" s="1057">
        <v>40224</v>
      </c>
      <c r="K21" s="1059">
        <f t="shared" si="0"/>
        <v>219903</v>
      </c>
      <c r="L21" s="1057"/>
      <c r="M21" s="1058">
        <v>1670</v>
      </c>
      <c r="N21" s="1058">
        <v>0</v>
      </c>
      <c r="O21" s="1057">
        <v>0</v>
      </c>
      <c r="P21" s="1059">
        <f t="shared" si="1"/>
        <v>1670</v>
      </c>
      <c r="Q21" s="1057"/>
      <c r="R21" s="1058">
        <v>89620</v>
      </c>
      <c r="S21" s="1057">
        <v>21821</v>
      </c>
      <c r="T21" s="1060">
        <v>111441</v>
      </c>
    </row>
    <row r="22" spans="1:20" x14ac:dyDescent="0.25">
      <c r="A22" s="1054">
        <v>90121</v>
      </c>
      <c r="B22" s="1055" t="s">
        <v>2590</v>
      </c>
      <c r="C22" s="1056">
        <v>1.0601E-3</v>
      </c>
      <c r="D22" s="1056">
        <v>1.0991E-3</v>
      </c>
      <c r="E22" s="1057">
        <v>2514920</v>
      </c>
      <c r="F22" s="1057"/>
      <c r="G22" s="1058">
        <v>387992</v>
      </c>
      <c r="H22" s="1059">
        <v>345223</v>
      </c>
      <c r="I22" s="1058">
        <v>667363</v>
      </c>
      <c r="J22" s="1057">
        <v>0</v>
      </c>
      <c r="K22" s="1059">
        <f t="shared" si="0"/>
        <v>1400578</v>
      </c>
      <c r="L22" s="1057"/>
      <c r="M22" s="1058">
        <v>13019</v>
      </c>
      <c r="N22" s="1058">
        <v>0</v>
      </c>
      <c r="O22" s="1057">
        <v>126217</v>
      </c>
      <c r="P22" s="1059">
        <f t="shared" si="1"/>
        <v>139236</v>
      </c>
      <c r="Q22" s="1057"/>
      <c r="R22" s="1058">
        <v>698577</v>
      </c>
      <c r="S22" s="1057">
        <v>-43331</v>
      </c>
      <c r="T22" s="1060">
        <v>655246</v>
      </c>
    </row>
    <row r="23" spans="1:20" x14ac:dyDescent="0.25">
      <c r="A23" s="1054">
        <v>90131</v>
      </c>
      <c r="B23" s="1055" t="s">
        <v>3982</v>
      </c>
      <c r="C23" s="1056">
        <v>4.7830000000000003E-4</v>
      </c>
      <c r="D23" s="1056">
        <v>4.7639999999999998E-4</v>
      </c>
      <c r="E23" s="1057">
        <v>1134691</v>
      </c>
      <c r="F23" s="1057"/>
      <c r="G23" s="1058">
        <v>175056</v>
      </c>
      <c r="H23" s="1059">
        <v>155759</v>
      </c>
      <c r="I23" s="1058">
        <v>301103</v>
      </c>
      <c r="J23" s="1057">
        <v>0</v>
      </c>
      <c r="K23" s="1059">
        <f t="shared" si="0"/>
        <v>631918</v>
      </c>
      <c r="L23" s="1057"/>
      <c r="M23" s="1058">
        <v>5874</v>
      </c>
      <c r="N23" s="1058">
        <v>0</v>
      </c>
      <c r="O23" s="1057">
        <v>36391</v>
      </c>
      <c r="P23" s="1059">
        <f t="shared" si="1"/>
        <v>42265</v>
      </c>
      <c r="Q23" s="1057"/>
      <c r="R23" s="1058">
        <v>315187</v>
      </c>
      <c r="S23" s="1057">
        <v>-18431</v>
      </c>
      <c r="T23" s="1060">
        <v>296756</v>
      </c>
    </row>
    <row r="24" spans="1:20" x14ac:dyDescent="0.25">
      <c r="A24" s="1054">
        <v>90141</v>
      </c>
      <c r="B24" s="1055" t="s">
        <v>3983</v>
      </c>
      <c r="C24" s="1056">
        <v>1.4770000000000001E-4</v>
      </c>
      <c r="D24" s="1056">
        <v>1.4779999999999999E-4</v>
      </c>
      <c r="E24" s="1057">
        <v>350395</v>
      </c>
      <c r="F24" s="1057"/>
      <c r="G24" s="1058">
        <v>54058</v>
      </c>
      <c r="H24" s="1059">
        <v>48099</v>
      </c>
      <c r="I24" s="1058">
        <v>92981</v>
      </c>
      <c r="J24" s="1057">
        <v>5965</v>
      </c>
      <c r="K24" s="1059">
        <f t="shared" si="0"/>
        <v>201103</v>
      </c>
      <c r="L24" s="1057"/>
      <c r="M24" s="1058">
        <v>1814</v>
      </c>
      <c r="N24" s="1058">
        <v>0</v>
      </c>
      <c r="O24" s="1057">
        <v>9422</v>
      </c>
      <c r="P24" s="1059">
        <f t="shared" si="1"/>
        <v>11236</v>
      </c>
      <c r="Q24" s="1057"/>
      <c r="R24" s="1058">
        <v>97330</v>
      </c>
      <c r="S24" s="1057">
        <v>-1562</v>
      </c>
      <c r="T24" s="1060">
        <v>95768</v>
      </c>
    </row>
    <row r="25" spans="1:20" x14ac:dyDescent="0.25">
      <c r="A25" s="1054">
        <v>90151</v>
      </c>
      <c r="B25" s="1055" t="s">
        <v>3984</v>
      </c>
      <c r="C25" s="1056">
        <v>9.7000000000000003E-6</v>
      </c>
      <c r="D25" s="1056">
        <v>9.9000000000000001E-6</v>
      </c>
      <c r="E25" s="1057">
        <v>23012</v>
      </c>
      <c r="F25" s="1057"/>
      <c r="G25" s="1058">
        <v>3550</v>
      </c>
      <c r="H25" s="1059">
        <v>3159</v>
      </c>
      <c r="I25" s="1058">
        <v>6106</v>
      </c>
      <c r="J25" s="1057">
        <v>0</v>
      </c>
      <c r="K25" s="1059">
        <f t="shared" si="0"/>
        <v>12815</v>
      </c>
      <c r="L25" s="1057"/>
      <c r="M25" s="1058">
        <v>119</v>
      </c>
      <c r="N25" s="1058">
        <v>0</v>
      </c>
      <c r="O25" s="1057">
        <v>2941</v>
      </c>
      <c r="P25" s="1059">
        <f t="shared" si="1"/>
        <v>3060</v>
      </c>
      <c r="Q25" s="1057"/>
      <c r="R25" s="1058">
        <v>6392</v>
      </c>
      <c r="S25" s="1057">
        <v>-1416</v>
      </c>
      <c r="T25" s="1060">
        <v>4976</v>
      </c>
    </row>
    <row r="26" spans="1:20" x14ac:dyDescent="0.25">
      <c r="A26" s="1054">
        <v>90161</v>
      </c>
      <c r="B26" s="1055" t="s">
        <v>3985</v>
      </c>
      <c r="C26" s="1056">
        <v>4.3999999999999999E-5</v>
      </c>
      <c r="D26" s="1056">
        <v>3.4199999999999998E-5</v>
      </c>
      <c r="E26" s="1057">
        <v>104383</v>
      </c>
      <c r="F26" s="1057"/>
      <c r="G26" s="1058">
        <v>16104</v>
      </c>
      <c r="H26" s="1059">
        <v>14329</v>
      </c>
      <c r="I26" s="1058">
        <v>27699</v>
      </c>
      <c r="J26" s="1057">
        <v>4975</v>
      </c>
      <c r="K26" s="1059">
        <f t="shared" si="0"/>
        <v>63107</v>
      </c>
      <c r="L26" s="1057"/>
      <c r="M26" s="1058">
        <v>540</v>
      </c>
      <c r="N26" s="1058">
        <v>0</v>
      </c>
      <c r="O26" s="1057">
        <v>347</v>
      </c>
      <c r="P26" s="1059">
        <f t="shared" si="1"/>
        <v>887</v>
      </c>
      <c r="Q26" s="1057"/>
      <c r="R26" s="1058">
        <v>28995</v>
      </c>
      <c r="S26" s="1057">
        <v>2254</v>
      </c>
      <c r="T26" s="1060">
        <v>31249</v>
      </c>
    </row>
    <row r="27" spans="1:20" x14ac:dyDescent="0.25">
      <c r="A27" s="1054">
        <v>90201</v>
      </c>
      <c r="B27" s="1055" t="s">
        <v>2595</v>
      </c>
      <c r="C27" s="1056">
        <v>1.1705999999999999E-3</v>
      </c>
      <c r="D27" s="1056">
        <v>1.2126999999999999E-3</v>
      </c>
      <c r="E27" s="1057">
        <v>2777064</v>
      </c>
      <c r="F27" s="1057"/>
      <c r="G27" s="1058">
        <v>428435</v>
      </c>
      <c r="H27" s="1059">
        <v>381209</v>
      </c>
      <c r="I27" s="1058">
        <v>736925</v>
      </c>
      <c r="J27" s="1057">
        <v>2854</v>
      </c>
      <c r="K27" s="1059">
        <f t="shared" si="0"/>
        <v>1549423</v>
      </c>
      <c r="L27" s="1057"/>
      <c r="M27" s="1058">
        <v>14376</v>
      </c>
      <c r="N27" s="1058">
        <v>0</v>
      </c>
      <c r="O27" s="1057">
        <v>52999</v>
      </c>
      <c r="P27" s="1059">
        <f t="shared" si="1"/>
        <v>67375</v>
      </c>
      <c r="Q27" s="1057"/>
      <c r="R27" s="1058">
        <v>771394</v>
      </c>
      <c r="S27" s="1057">
        <v>18200</v>
      </c>
      <c r="T27" s="1060">
        <v>789594</v>
      </c>
    </row>
    <row r="28" spans="1:20" x14ac:dyDescent="0.25">
      <c r="A28" s="1054">
        <v>90203</v>
      </c>
      <c r="B28" s="1055" t="s">
        <v>2596</v>
      </c>
      <c r="C28" s="1056">
        <v>1.9909999999999999E-4</v>
      </c>
      <c r="D28" s="1056">
        <v>1.994E-4</v>
      </c>
      <c r="E28" s="1057">
        <v>472333</v>
      </c>
      <c r="F28" s="1057"/>
      <c r="G28" s="1058">
        <v>72870</v>
      </c>
      <c r="H28" s="1059">
        <v>64837</v>
      </c>
      <c r="I28" s="1058">
        <v>125339</v>
      </c>
      <c r="J28" s="1057">
        <v>4091</v>
      </c>
      <c r="K28" s="1059">
        <f t="shared" si="0"/>
        <v>267137</v>
      </c>
      <c r="L28" s="1057"/>
      <c r="M28" s="1058">
        <v>2445</v>
      </c>
      <c r="N28" s="1058">
        <v>0</v>
      </c>
      <c r="O28" s="1057">
        <v>29936</v>
      </c>
      <c r="P28" s="1059">
        <f t="shared" si="1"/>
        <v>32381</v>
      </c>
      <c r="Q28" s="1057"/>
      <c r="R28" s="1058">
        <v>131202</v>
      </c>
      <c r="S28" s="1057">
        <v>-17176</v>
      </c>
      <c r="T28" s="1060">
        <v>114026</v>
      </c>
    </row>
    <row r="29" spans="1:20" x14ac:dyDescent="0.25">
      <c r="A29" s="1054">
        <v>90205</v>
      </c>
      <c r="B29" s="1055" t="s">
        <v>2597</v>
      </c>
      <c r="C29" s="1056">
        <v>3.2499999999999997E-5</v>
      </c>
      <c r="D29" s="1056">
        <v>3.0000000000000001E-5</v>
      </c>
      <c r="E29" s="1057">
        <v>77101</v>
      </c>
      <c r="F29" s="1057"/>
      <c r="G29" s="1058">
        <v>11895</v>
      </c>
      <c r="H29" s="1059">
        <v>10583</v>
      </c>
      <c r="I29" s="1058">
        <v>20460</v>
      </c>
      <c r="J29" s="1057">
        <v>2535</v>
      </c>
      <c r="K29" s="1059">
        <f t="shared" si="0"/>
        <v>45473</v>
      </c>
      <c r="L29" s="1057"/>
      <c r="M29" s="1058">
        <v>399</v>
      </c>
      <c r="N29" s="1058">
        <v>0</v>
      </c>
      <c r="O29" s="1057">
        <v>1911</v>
      </c>
      <c r="P29" s="1059">
        <f t="shared" si="1"/>
        <v>2310</v>
      </c>
      <c r="Q29" s="1057"/>
      <c r="R29" s="1058">
        <v>21417</v>
      </c>
      <c r="S29" s="1057">
        <v>484</v>
      </c>
      <c r="T29" s="1060">
        <v>21901</v>
      </c>
    </row>
    <row r="30" spans="1:20" x14ac:dyDescent="0.25">
      <c r="A30" s="1054">
        <v>90206</v>
      </c>
      <c r="B30" s="1055" t="s">
        <v>2598</v>
      </c>
      <c r="C30" s="1056">
        <v>4.1950000000000001E-4</v>
      </c>
      <c r="D30" s="1056">
        <v>4.2069999999999998E-4</v>
      </c>
      <c r="E30" s="1057">
        <v>995197</v>
      </c>
      <c r="F30" s="1057"/>
      <c r="G30" s="1058">
        <v>153535</v>
      </c>
      <c r="H30" s="1059">
        <v>136611</v>
      </c>
      <c r="I30" s="1058">
        <v>264087</v>
      </c>
      <c r="J30" s="1057">
        <v>0</v>
      </c>
      <c r="K30" s="1059">
        <f t="shared" si="0"/>
        <v>554233</v>
      </c>
      <c r="L30" s="1057"/>
      <c r="M30" s="1058">
        <v>5152</v>
      </c>
      <c r="N30" s="1058">
        <v>0</v>
      </c>
      <c r="O30" s="1057">
        <v>23372</v>
      </c>
      <c r="P30" s="1059">
        <f t="shared" si="1"/>
        <v>28524</v>
      </c>
      <c r="Q30" s="1057"/>
      <c r="R30" s="1058">
        <v>276439</v>
      </c>
      <c r="S30" s="1057">
        <v>-212</v>
      </c>
      <c r="T30" s="1060">
        <v>276227</v>
      </c>
    </row>
    <row r="31" spans="1:20" x14ac:dyDescent="0.25">
      <c r="A31" s="1054">
        <v>90211</v>
      </c>
      <c r="B31" s="1055" t="s">
        <v>3986</v>
      </c>
      <c r="C31" s="1056">
        <v>1.5330000000000001E-4</v>
      </c>
      <c r="D31" s="1056">
        <v>1.4799999999999999E-4</v>
      </c>
      <c r="E31" s="1057">
        <v>363680</v>
      </c>
      <c r="F31" s="1057"/>
      <c r="G31" s="1058">
        <v>56107</v>
      </c>
      <c r="H31" s="1059">
        <v>49922</v>
      </c>
      <c r="I31" s="1058">
        <v>96507</v>
      </c>
      <c r="J31" s="1057">
        <v>7134</v>
      </c>
      <c r="K31" s="1059">
        <f t="shared" si="0"/>
        <v>209670</v>
      </c>
      <c r="L31" s="1057"/>
      <c r="M31" s="1058">
        <v>1883</v>
      </c>
      <c r="N31" s="1058">
        <v>0</v>
      </c>
      <c r="O31" s="1057">
        <v>9218</v>
      </c>
      <c r="P31" s="1059">
        <f t="shared" si="1"/>
        <v>11101</v>
      </c>
      <c r="Q31" s="1057"/>
      <c r="R31" s="1058">
        <v>101021</v>
      </c>
      <c r="S31" s="1057">
        <v>-4342</v>
      </c>
      <c r="T31" s="1060">
        <v>96679</v>
      </c>
    </row>
    <row r="32" spans="1:20" x14ac:dyDescent="0.25">
      <c r="A32" s="1054">
        <v>90301</v>
      </c>
      <c r="B32" s="1055" t="s">
        <v>2600</v>
      </c>
      <c r="C32" s="1056">
        <v>7.0640000000000004E-4</v>
      </c>
      <c r="D32" s="1056">
        <v>6.7040000000000003E-4</v>
      </c>
      <c r="E32" s="1057">
        <v>1675822</v>
      </c>
      <c r="F32" s="1057"/>
      <c r="G32" s="1058">
        <v>258540</v>
      </c>
      <c r="H32" s="1059">
        <v>230041</v>
      </c>
      <c r="I32" s="1058">
        <v>444699</v>
      </c>
      <c r="J32" s="1057">
        <v>1945</v>
      </c>
      <c r="K32" s="1059">
        <f t="shared" si="0"/>
        <v>935225</v>
      </c>
      <c r="L32" s="1057"/>
      <c r="M32" s="1058">
        <v>8675</v>
      </c>
      <c r="N32" s="1058">
        <v>0</v>
      </c>
      <c r="O32" s="1057">
        <v>11529</v>
      </c>
      <c r="P32" s="1059">
        <f t="shared" si="1"/>
        <v>20204</v>
      </c>
      <c r="Q32" s="1057"/>
      <c r="R32" s="1058">
        <v>465499</v>
      </c>
      <c r="S32" s="1057">
        <v>-7033</v>
      </c>
      <c r="T32" s="1060">
        <v>458466</v>
      </c>
    </row>
    <row r="33" spans="1:20" x14ac:dyDescent="0.25">
      <c r="A33" s="1054">
        <v>90305</v>
      </c>
      <c r="B33" s="1055" t="s">
        <v>2601</v>
      </c>
      <c r="C33" s="1056">
        <v>1.4909999999999999E-4</v>
      </c>
      <c r="D33" s="1056">
        <v>1.617E-4</v>
      </c>
      <c r="E33" s="1057">
        <v>353716</v>
      </c>
      <c r="F33" s="1057"/>
      <c r="G33" s="1058">
        <v>54570</v>
      </c>
      <c r="H33" s="1059">
        <v>48554</v>
      </c>
      <c r="I33" s="1058">
        <v>93863</v>
      </c>
      <c r="J33" s="1057">
        <v>12323</v>
      </c>
      <c r="K33" s="1059">
        <f t="shared" si="0"/>
        <v>209310</v>
      </c>
      <c r="L33" s="1057"/>
      <c r="M33" s="1058">
        <v>1831</v>
      </c>
      <c r="N33" s="1058">
        <v>0</v>
      </c>
      <c r="O33" s="1057">
        <v>0</v>
      </c>
      <c r="P33" s="1059">
        <f t="shared" si="1"/>
        <v>1831</v>
      </c>
      <c r="Q33" s="1057"/>
      <c r="R33" s="1058">
        <v>98253</v>
      </c>
      <c r="S33" s="1057">
        <v>10409</v>
      </c>
      <c r="T33" s="1060">
        <v>108662</v>
      </c>
    </row>
    <row r="34" spans="1:20" x14ac:dyDescent="0.25">
      <c r="A34" s="1054">
        <v>90307</v>
      </c>
      <c r="B34" s="1055" t="s">
        <v>3987</v>
      </c>
      <c r="C34" s="1056">
        <v>6.6000000000000003E-6</v>
      </c>
      <c r="D34" s="1056">
        <v>7.7999999999999999E-6</v>
      </c>
      <c r="E34" s="1057">
        <v>15657</v>
      </c>
      <c r="F34" s="1057"/>
      <c r="G34" s="1058">
        <v>2416</v>
      </c>
      <c r="H34" s="1059">
        <v>2149</v>
      </c>
      <c r="I34" s="1058">
        <v>4155</v>
      </c>
      <c r="J34" s="1057">
        <v>447</v>
      </c>
      <c r="K34" s="1059">
        <f t="shared" si="0"/>
        <v>9167</v>
      </c>
      <c r="L34" s="1057"/>
      <c r="M34" s="1058">
        <v>81</v>
      </c>
      <c r="N34" s="1058">
        <v>0</v>
      </c>
      <c r="O34" s="1057">
        <v>32</v>
      </c>
      <c r="P34" s="1059">
        <f t="shared" si="1"/>
        <v>113</v>
      </c>
      <c r="Q34" s="1057"/>
      <c r="R34" s="1058">
        <v>4349</v>
      </c>
      <c r="S34" s="1057">
        <v>151</v>
      </c>
      <c r="T34" s="1060">
        <v>4500</v>
      </c>
    </row>
    <row r="35" spans="1:20" x14ac:dyDescent="0.25">
      <c r="A35" s="1054">
        <v>90401</v>
      </c>
      <c r="B35" s="1055" t="s">
        <v>2603</v>
      </c>
      <c r="C35" s="1056">
        <v>1.2583E-3</v>
      </c>
      <c r="D35" s="1056">
        <v>1.3270999999999999E-3</v>
      </c>
      <c r="E35" s="1057">
        <v>2985118</v>
      </c>
      <c r="F35" s="1057"/>
      <c r="G35" s="1058">
        <v>460533</v>
      </c>
      <c r="H35" s="1059">
        <v>409768</v>
      </c>
      <c r="I35" s="1058">
        <v>792135</v>
      </c>
      <c r="J35" s="1057">
        <v>17301</v>
      </c>
      <c r="K35" s="1059">
        <f t="shared" si="0"/>
        <v>1679737</v>
      </c>
      <c r="L35" s="1057"/>
      <c r="M35" s="1058">
        <v>15453</v>
      </c>
      <c r="N35" s="1058">
        <v>0</v>
      </c>
      <c r="O35" s="1057">
        <v>18146</v>
      </c>
      <c r="P35" s="1059">
        <f t="shared" si="1"/>
        <v>33599</v>
      </c>
      <c r="Q35" s="1057"/>
      <c r="R35" s="1058">
        <v>829186</v>
      </c>
      <c r="S35" s="1057">
        <v>21476</v>
      </c>
      <c r="T35" s="1060">
        <v>850662</v>
      </c>
    </row>
    <row r="36" spans="1:20" x14ac:dyDescent="0.25">
      <c r="A36" s="1054">
        <v>90411</v>
      </c>
      <c r="B36" s="1055" t="s">
        <v>3988</v>
      </c>
      <c r="C36" s="1056">
        <v>3.5110000000000002E-4</v>
      </c>
      <c r="D36" s="1056">
        <v>3.5100000000000002E-4</v>
      </c>
      <c r="E36" s="1057">
        <v>832929</v>
      </c>
      <c r="F36" s="1057"/>
      <c r="G36" s="1058">
        <v>128501</v>
      </c>
      <c r="H36" s="1059">
        <v>114336</v>
      </c>
      <c r="I36" s="1058">
        <v>221027</v>
      </c>
      <c r="J36" s="1057">
        <v>0</v>
      </c>
      <c r="K36" s="1059">
        <f t="shared" si="0"/>
        <v>463864</v>
      </c>
      <c r="L36" s="1057"/>
      <c r="M36" s="1058">
        <v>4312</v>
      </c>
      <c r="N36" s="1058">
        <v>0</v>
      </c>
      <c r="O36" s="1057">
        <v>35756</v>
      </c>
      <c r="P36" s="1059">
        <f t="shared" si="1"/>
        <v>40068</v>
      </c>
      <c r="Q36" s="1057"/>
      <c r="R36" s="1058">
        <v>231365</v>
      </c>
      <c r="S36" s="1057">
        <v>-18400</v>
      </c>
      <c r="T36" s="1060">
        <v>212965</v>
      </c>
    </row>
    <row r="37" spans="1:20" x14ac:dyDescent="0.25">
      <c r="A37" s="1054">
        <v>90413</v>
      </c>
      <c r="B37" s="1055" t="s">
        <v>2605</v>
      </c>
      <c r="C37" s="1056">
        <v>3.4700000000000003E-5</v>
      </c>
      <c r="D37" s="1056">
        <v>3.4600000000000001E-5</v>
      </c>
      <c r="E37" s="1057">
        <v>82320</v>
      </c>
      <c r="F37" s="1057"/>
      <c r="G37" s="1058">
        <v>12700</v>
      </c>
      <c r="H37" s="1059">
        <v>11300</v>
      </c>
      <c r="I37" s="1058">
        <v>21845</v>
      </c>
      <c r="J37" s="1057">
        <v>4037</v>
      </c>
      <c r="K37" s="1059">
        <f t="shared" si="0"/>
        <v>49882</v>
      </c>
      <c r="L37" s="1057"/>
      <c r="M37" s="1058">
        <v>426</v>
      </c>
      <c r="N37" s="1058">
        <v>0</v>
      </c>
      <c r="O37" s="1057">
        <v>687</v>
      </c>
      <c r="P37" s="1059">
        <f t="shared" si="1"/>
        <v>1113</v>
      </c>
      <c r="Q37" s="1057"/>
      <c r="R37" s="1058">
        <v>22866</v>
      </c>
      <c r="S37" s="1057">
        <v>3839</v>
      </c>
      <c r="T37" s="1060">
        <v>26705</v>
      </c>
    </row>
    <row r="38" spans="1:20" x14ac:dyDescent="0.25">
      <c r="A38" s="1054">
        <v>90417</v>
      </c>
      <c r="B38" s="1055" t="s">
        <v>2606</v>
      </c>
      <c r="C38" s="1056">
        <v>1.19E-5</v>
      </c>
      <c r="D38" s="1056">
        <v>1.17E-5</v>
      </c>
      <c r="E38" s="1057">
        <v>28231</v>
      </c>
      <c r="F38" s="1057"/>
      <c r="G38" s="1058">
        <v>4355</v>
      </c>
      <c r="H38" s="1059">
        <v>3875</v>
      </c>
      <c r="I38" s="1058">
        <v>7491</v>
      </c>
      <c r="J38" s="1057">
        <v>4872</v>
      </c>
      <c r="K38" s="1059">
        <f t="shared" si="0"/>
        <v>20593</v>
      </c>
      <c r="L38" s="1057"/>
      <c r="M38" s="1058">
        <v>146</v>
      </c>
      <c r="N38" s="1058">
        <v>0</v>
      </c>
      <c r="O38" s="1057">
        <v>0</v>
      </c>
      <c r="P38" s="1059">
        <f t="shared" si="1"/>
        <v>146</v>
      </c>
      <c r="Q38" s="1057"/>
      <c r="R38" s="1058">
        <v>7842</v>
      </c>
      <c r="S38" s="1057">
        <v>1871</v>
      </c>
      <c r="T38" s="1060">
        <v>9713</v>
      </c>
    </row>
    <row r="39" spans="1:20" x14ac:dyDescent="0.25">
      <c r="A39" s="1054">
        <v>90421</v>
      </c>
      <c r="B39" s="1055" t="s">
        <v>3989</v>
      </c>
      <c r="C39" s="1056">
        <v>2.09E-5</v>
      </c>
      <c r="D39" s="1056">
        <v>2.19E-5</v>
      </c>
      <c r="E39" s="1057">
        <v>49582</v>
      </c>
      <c r="F39" s="1057"/>
      <c r="G39" s="1058">
        <v>7649</v>
      </c>
      <c r="H39" s="1059">
        <v>6806</v>
      </c>
      <c r="I39" s="1058">
        <v>13157</v>
      </c>
      <c r="J39" s="1057">
        <v>0</v>
      </c>
      <c r="K39" s="1059">
        <f t="shared" si="0"/>
        <v>27612</v>
      </c>
      <c r="L39" s="1057"/>
      <c r="M39" s="1058">
        <v>257</v>
      </c>
      <c r="N39" s="1058">
        <v>0</v>
      </c>
      <c r="O39" s="1057">
        <v>4614</v>
      </c>
      <c r="P39" s="1059">
        <f t="shared" si="1"/>
        <v>4871</v>
      </c>
      <c r="Q39" s="1057"/>
      <c r="R39" s="1058">
        <v>13773</v>
      </c>
      <c r="S39" s="1057">
        <v>-2235</v>
      </c>
      <c r="T39" s="1060">
        <v>11538</v>
      </c>
    </row>
    <row r="40" spans="1:20" x14ac:dyDescent="0.25">
      <c r="A40" s="1054">
        <v>90431</v>
      </c>
      <c r="B40" s="1055" t="s">
        <v>3990</v>
      </c>
      <c r="C40" s="1056">
        <v>4.5099999999999998E-5</v>
      </c>
      <c r="D40" s="1056">
        <v>4.8300000000000002E-5</v>
      </c>
      <c r="E40" s="1057">
        <v>106993</v>
      </c>
      <c r="F40" s="1057"/>
      <c r="G40" s="1058">
        <v>16506</v>
      </c>
      <c r="H40" s="1059">
        <v>14687</v>
      </c>
      <c r="I40" s="1058">
        <v>28392</v>
      </c>
      <c r="J40" s="1057">
        <v>4577</v>
      </c>
      <c r="K40" s="1059">
        <f t="shared" si="0"/>
        <v>64162</v>
      </c>
      <c r="L40" s="1057"/>
      <c r="M40" s="1058">
        <v>554</v>
      </c>
      <c r="N40" s="1058">
        <v>0</v>
      </c>
      <c r="O40" s="1057">
        <v>2267</v>
      </c>
      <c r="P40" s="1059">
        <f t="shared" si="1"/>
        <v>2821</v>
      </c>
      <c r="Q40" s="1057"/>
      <c r="R40" s="1058">
        <v>29720</v>
      </c>
      <c r="S40" s="1057">
        <v>3281</v>
      </c>
      <c r="T40" s="1060">
        <v>33001</v>
      </c>
    </row>
    <row r="41" spans="1:20" x14ac:dyDescent="0.25">
      <c r="A41" s="1054">
        <v>90441</v>
      </c>
      <c r="B41" s="1055" t="s">
        <v>3991</v>
      </c>
      <c r="C41" s="1056">
        <v>7.5000000000000002E-6</v>
      </c>
      <c r="D41" s="1056">
        <v>8.3999999999999992E-6</v>
      </c>
      <c r="E41" s="1057">
        <v>17793</v>
      </c>
      <c r="F41" s="1057" t="s">
        <v>778</v>
      </c>
      <c r="G41" s="1058">
        <v>2745</v>
      </c>
      <c r="H41" s="1059">
        <v>2443</v>
      </c>
      <c r="I41" s="1058">
        <v>4721</v>
      </c>
      <c r="J41" s="1057">
        <v>827</v>
      </c>
      <c r="K41" s="1059">
        <f t="shared" si="0"/>
        <v>10736</v>
      </c>
      <c r="L41" s="1057"/>
      <c r="M41" s="1058">
        <v>92</v>
      </c>
      <c r="N41" s="1058">
        <v>0</v>
      </c>
      <c r="O41" s="1057">
        <v>58</v>
      </c>
      <c r="P41" s="1059">
        <f t="shared" si="1"/>
        <v>150</v>
      </c>
      <c r="Q41" s="1057"/>
      <c r="R41" s="1058">
        <v>4942</v>
      </c>
      <c r="S41" s="1057">
        <v>771</v>
      </c>
      <c r="T41" s="1060">
        <v>5713</v>
      </c>
    </row>
    <row r="42" spans="1:20" x14ac:dyDescent="0.25">
      <c r="A42" s="1054">
        <v>90451</v>
      </c>
      <c r="B42" s="1055" t="s">
        <v>3992</v>
      </c>
      <c r="C42" s="1056">
        <v>2.05E-5</v>
      </c>
      <c r="D42" s="1056">
        <v>1.6699999999999999E-5</v>
      </c>
      <c r="E42" s="1057">
        <v>48633</v>
      </c>
      <c r="F42" s="1057" t="s">
        <v>778</v>
      </c>
      <c r="G42" s="1058">
        <v>7503</v>
      </c>
      <c r="H42" s="1059">
        <v>6676</v>
      </c>
      <c r="I42" s="1058">
        <v>12905</v>
      </c>
      <c r="J42" s="1057">
        <v>3881</v>
      </c>
      <c r="K42" s="1059">
        <f t="shared" si="0"/>
        <v>30965</v>
      </c>
      <c r="L42" s="1057"/>
      <c r="M42" s="1058">
        <v>252</v>
      </c>
      <c r="N42" s="1058">
        <v>0</v>
      </c>
      <c r="O42" s="1057">
        <v>623</v>
      </c>
      <c r="P42" s="1059">
        <f t="shared" si="1"/>
        <v>875</v>
      </c>
      <c r="Q42" s="1057"/>
      <c r="R42" s="1058">
        <v>13509</v>
      </c>
      <c r="S42" s="1057">
        <v>1281</v>
      </c>
      <c r="T42" s="1060">
        <v>14790</v>
      </c>
    </row>
    <row r="43" spans="1:20" x14ac:dyDescent="0.25">
      <c r="A43" s="1054">
        <v>90461</v>
      </c>
      <c r="B43" s="1055" t="s">
        <v>3993</v>
      </c>
      <c r="C43" s="1056">
        <v>5.5999999999999997E-6</v>
      </c>
      <c r="D43" s="1056">
        <v>7.4000000000000003E-6</v>
      </c>
      <c r="E43" s="1057">
        <v>13285</v>
      </c>
      <c r="F43" s="1057" t="s">
        <v>778</v>
      </c>
      <c r="G43" s="1058">
        <v>2050</v>
      </c>
      <c r="H43" s="1059">
        <v>1823</v>
      </c>
      <c r="I43" s="1058">
        <v>3525</v>
      </c>
      <c r="J43" s="1057">
        <v>1470</v>
      </c>
      <c r="K43" s="1059">
        <f t="shared" si="0"/>
        <v>8868</v>
      </c>
      <c r="L43" s="1057"/>
      <c r="M43" s="1058">
        <v>69</v>
      </c>
      <c r="N43" s="1058">
        <v>0</v>
      </c>
      <c r="O43" s="1057">
        <v>4983</v>
      </c>
      <c r="P43" s="1059">
        <f t="shared" si="1"/>
        <v>5052</v>
      </c>
      <c r="Q43" s="1057"/>
      <c r="R43" s="1058">
        <v>3690</v>
      </c>
      <c r="S43" s="1057">
        <v>-968</v>
      </c>
      <c r="T43" s="1060">
        <v>2722</v>
      </c>
    </row>
    <row r="44" spans="1:20" x14ac:dyDescent="0.25">
      <c r="A44" s="1054">
        <v>90501</v>
      </c>
      <c r="B44" s="1055" t="s">
        <v>2612</v>
      </c>
      <c r="C44" s="1056">
        <v>1.3675E-3</v>
      </c>
      <c r="D44" s="1056">
        <v>1.4176E-3</v>
      </c>
      <c r="E44" s="1057">
        <v>3244178</v>
      </c>
      <c r="F44" s="1057" t="s">
        <v>778</v>
      </c>
      <c r="G44" s="1058">
        <v>500500</v>
      </c>
      <c r="H44" s="1059">
        <v>445329</v>
      </c>
      <c r="I44" s="1058">
        <v>860880</v>
      </c>
      <c r="J44" s="1057">
        <v>26910</v>
      </c>
      <c r="K44" s="1059">
        <f t="shared" si="0"/>
        <v>1833619</v>
      </c>
      <c r="L44" s="1057"/>
      <c r="M44" s="1058">
        <v>16794</v>
      </c>
      <c r="N44" s="1058">
        <v>0</v>
      </c>
      <c r="O44" s="1057">
        <v>5948</v>
      </c>
      <c r="P44" s="1059">
        <f t="shared" si="1"/>
        <v>22742</v>
      </c>
      <c r="Q44" s="1057"/>
      <c r="R44" s="1058">
        <v>901146</v>
      </c>
      <c r="S44" s="1057">
        <v>25526</v>
      </c>
      <c r="T44" s="1060">
        <v>926672</v>
      </c>
    </row>
    <row r="45" spans="1:20" x14ac:dyDescent="0.25">
      <c r="A45" s="1054">
        <v>90507</v>
      </c>
      <c r="B45" s="1055" t="s">
        <v>1207</v>
      </c>
      <c r="C45" s="1056">
        <v>6.3999999999999997E-6</v>
      </c>
      <c r="D45" s="1056">
        <v>6.6000000000000003E-6</v>
      </c>
      <c r="E45" s="1057">
        <v>15183</v>
      </c>
      <c r="F45" s="1057" t="s">
        <v>778</v>
      </c>
      <c r="G45" s="1058">
        <v>2342</v>
      </c>
      <c r="H45" s="1059">
        <v>2084</v>
      </c>
      <c r="I45" s="1058">
        <v>4029</v>
      </c>
      <c r="J45" s="1057">
        <v>13580</v>
      </c>
      <c r="K45" s="1059">
        <f t="shared" si="0"/>
        <v>22035</v>
      </c>
      <c r="L45" s="1057"/>
      <c r="M45" s="1058">
        <v>79</v>
      </c>
      <c r="N45" s="1058">
        <v>0</v>
      </c>
      <c r="O45" s="1057">
        <v>0</v>
      </c>
      <c r="P45" s="1059">
        <f t="shared" si="1"/>
        <v>79</v>
      </c>
      <c r="Q45" s="1057"/>
      <c r="R45" s="1058">
        <v>4217</v>
      </c>
      <c r="S45" s="1057">
        <v>5652</v>
      </c>
      <c r="T45" s="1060">
        <v>9869</v>
      </c>
    </row>
    <row r="46" spans="1:20" x14ac:dyDescent="0.25">
      <c r="A46" s="1054">
        <v>90511</v>
      </c>
      <c r="B46" s="1055" t="s">
        <v>3994</v>
      </c>
      <c r="C46" s="1056">
        <v>8.25E-5</v>
      </c>
      <c r="D46" s="1056">
        <v>8.7000000000000001E-5</v>
      </c>
      <c r="E46" s="1057">
        <v>195718</v>
      </c>
      <c r="F46" s="1057" t="s">
        <v>778</v>
      </c>
      <c r="G46" s="1058">
        <v>30195</v>
      </c>
      <c r="H46" s="1059">
        <v>26866</v>
      </c>
      <c r="I46" s="1058">
        <v>51936</v>
      </c>
      <c r="J46" s="1057">
        <v>16195</v>
      </c>
      <c r="K46" s="1059">
        <f t="shared" si="0"/>
        <v>125192</v>
      </c>
      <c r="L46" s="1057"/>
      <c r="M46" s="1058">
        <v>1013</v>
      </c>
      <c r="N46" s="1058">
        <v>0</v>
      </c>
      <c r="O46" s="1057">
        <v>0</v>
      </c>
      <c r="P46" s="1059">
        <f t="shared" si="1"/>
        <v>1013</v>
      </c>
      <c r="Q46" s="1057"/>
      <c r="R46" s="1058">
        <v>54365</v>
      </c>
      <c r="S46" s="1057">
        <v>8520</v>
      </c>
      <c r="T46" s="1060">
        <v>62885</v>
      </c>
    </row>
    <row r="47" spans="1:20" x14ac:dyDescent="0.25">
      <c r="A47" s="1054">
        <v>90521</v>
      </c>
      <c r="B47" s="1055" t="s">
        <v>3995</v>
      </c>
      <c r="C47" s="1056">
        <v>1.281E-4</v>
      </c>
      <c r="D47" s="1056">
        <v>1.3880000000000001E-4</v>
      </c>
      <c r="E47" s="1057">
        <v>303897</v>
      </c>
      <c r="F47" s="1057" t="s">
        <v>778</v>
      </c>
      <c r="G47" s="1058">
        <v>46884</v>
      </c>
      <c r="H47" s="1059">
        <v>41717</v>
      </c>
      <c r="I47" s="1058">
        <v>80643</v>
      </c>
      <c r="J47" s="1057">
        <v>0</v>
      </c>
      <c r="K47" s="1059">
        <f t="shared" si="0"/>
        <v>169244</v>
      </c>
      <c r="L47" s="1057"/>
      <c r="M47" s="1058">
        <v>1573</v>
      </c>
      <c r="N47" s="1058">
        <v>0</v>
      </c>
      <c r="O47" s="1057">
        <v>24197</v>
      </c>
      <c r="P47" s="1059">
        <f t="shared" si="1"/>
        <v>25770</v>
      </c>
      <c r="Q47" s="1057"/>
      <c r="R47" s="1058">
        <v>84414</v>
      </c>
      <c r="S47" s="1057">
        <v>-10337</v>
      </c>
      <c r="T47" s="1060">
        <v>74077</v>
      </c>
    </row>
    <row r="48" spans="1:20" x14ac:dyDescent="0.25">
      <c r="A48" s="1054">
        <v>90601</v>
      </c>
      <c r="B48" s="1055" t="s">
        <v>2615</v>
      </c>
      <c r="C48" s="1056">
        <v>1.1383999999999999E-3</v>
      </c>
      <c r="D48" s="1056">
        <v>1.1888000000000001E-3</v>
      </c>
      <c r="E48" s="1057">
        <v>2700674</v>
      </c>
      <c r="F48" s="1057" t="s">
        <v>778</v>
      </c>
      <c r="G48" s="1058">
        <v>416650</v>
      </c>
      <c r="H48" s="1059">
        <v>370722</v>
      </c>
      <c r="I48" s="1058">
        <v>716655</v>
      </c>
      <c r="J48" s="1057">
        <v>5621</v>
      </c>
      <c r="K48" s="1059">
        <f t="shared" si="0"/>
        <v>1509648</v>
      </c>
      <c r="L48" s="1057"/>
      <c r="M48" s="1058">
        <v>13981</v>
      </c>
      <c r="N48" s="1058">
        <v>0</v>
      </c>
      <c r="O48" s="1057">
        <v>38880</v>
      </c>
      <c r="P48" s="1059">
        <f t="shared" si="1"/>
        <v>52861</v>
      </c>
      <c r="Q48" s="1057"/>
      <c r="R48" s="1058">
        <v>750175</v>
      </c>
      <c r="S48" s="1057">
        <v>1751</v>
      </c>
      <c r="T48" s="1060">
        <v>751926</v>
      </c>
    </row>
    <row r="49" spans="1:20" x14ac:dyDescent="0.25">
      <c r="A49" s="1054">
        <v>90602</v>
      </c>
      <c r="B49" s="1055" t="s">
        <v>2122</v>
      </c>
      <c r="C49" s="1056">
        <v>6.3100000000000002E-5</v>
      </c>
      <c r="D49" s="1056">
        <v>6.3899999999999995E-5</v>
      </c>
      <c r="E49" s="1057">
        <v>149695</v>
      </c>
      <c r="F49" s="1057" t="s">
        <v>778</v>
      </c>
      <c r="G49" s="1058">
        <v>23094</v>
      </c>
      <c r="H49" s="1059">
        <v>20549</v>
      </c>
      <c r="I49" s="1058">
        <v>39723</v>
      </c>
      <c r="J49" s="1057">
        <v>34569</v>
      </c>
      <c r="K49" s="1059">
        <f t="shared" si="0"/>
        <v>117935</v>
      </c>
      <c r="L49" s="1057"/>
      <c r="M49" s="1058">
        <v>775</v>
      </c>
      <c r="N49" s="1058">
        <v>0</v>
      </c>
      <c r="O49" s="1057">
        <v>0</v>
      </c>
      <c r="P49" s="1059">
        <f t="shared" si="1"/>
        <v>775</v>
      </c>
      <c r="Q49" s="1057"/>
      <c r="R49" s="1058">
        <v>41581</v>
      </c>
      <c r="S49" s="1057">
        <v>16640</v>
      </c>
      <c r="T49" s="1060">
        <v>58221</v>
      </c>
    </row>
    <row r="50" spans="1:20" x14ac:dyDescent="0.25">
      <c r="A50" s="1054">
        <v>90605</v>
      </c>
      <c r="B50" s="1055" t="s">
        <v>2616</v>
      </c>
      <c r="C50" s="1056">
        <v>3.9199999999999997E-5</v>
      </c>
      <c r="D50" s="1056">
        <v>4.1999999999999998E-5</v>
      </c>
      <c r="E50" s="1057">
        <v>92996</v>
      </c>
      <c r="F50" s="1057" t="s">
        <v>778</v>
      </c>
      <c r="G50" s="1058">
        <v>14347</v>
      </c>
      <c r="H50" s="1059">
        <v>12765</v>
      </c>
      <c r="I50" s="1058">
        <v>24677</v>
      </c>
      <c r="J50" s="1057">
        <v>14565</v>
      </c>
      <c r="K50" s="1059">
        <f t="shared" si="0"/>
        <v>66354</v>
      </c>
      <c r="L50" s="1057"/>
      <c r="M50" s="1058">
        <v>481</v>
      </c>
      <c r="N50" s="1058">
        <v>0</v>
      </c>
      <c r="O50" s="1057">
        <v>0</v>
      </c>
      <c r="P50" s="1059">
        <f t="shared" si="1"/>
        <v>481</v>
      </c>
      <c r="Q50" s="1057"/>
      <c r="R50" s="1058">
        <v>25832</v>
      </c>
      <c r="S50" s="1057">
        <v>6805</v>
      </c>
      <c r="T50" s="1060">
        <v>32637</v>
      </c>
    </row>
    <row r="51" spans="1:20" x14ac:dyDescent="0.25">
      <c r="A51" s="1054">
        <v>90611</v>
      </c>
      <c r="B51" s="1055" t="s">
        <v>3996</v>
      </c>
      <c r="C51" s="1056">
        <v>1.4009999999999999E-4</v>
      </c>
      <c r="D51" s="1056">
        <v>1.4880000000000001E-4</v>
      </c>
      <c r="E51" s="1057">
        <v>332365</v>
      </c>
      <c r="F51" s="1057" t="s">
        <v>778</v>
      </c>
      <c r="G51" s="1058">
        <v>51276</v>
      </c>
      <c r="H51" s="1059">
        <v>45624</v>
      </c>
      <c r="I51" s="1058">
        <v>88197</v>
      </c>
      <c r="J51" s="1057">
        <v>0</v>
      </c>
      <c r="K51" s="1059">
        <f t="shared" si="0"/>
        <v>185097</v>
      </c>
      <c r="L51" s="1057"/>
      <c r="M51" s="1058">
        <v>1721</v>
      </c>
      <c r="N51" s="1058">
        <v>0</v>
      </c>
      <c r="O51" s="1057">
        <v>20888</v>
      </c>
      <c r="P51" s="1059">
        <f t="shared" si="1"/>
        <v>22609</v>
      </c>
      <c r="Q51" s="1057"/>
      <c r="R51" s="1058">
        <v>92322</v>
      </c>
      <c r="S51" s="1057">
        <v>-5234</v>
      </c>
      <c r="T51" s="1060">
        <v>87088</v>
      </c>
    </row>
    <row r="52" spans="1:20" x14ac:dyDescent="0.25">
      <c r="A52" s="1054">
        <v>90617</v>
      </c>
      <c r="B52" s="1055" t="s">
        <v>2618</v>
      </c>
      <c r="C52" s="1056">
        <v>2.72E-5</v>
      </c>
      <c r="D52" s="1056">
        <v>2.5999999999999998E-5</v>
      </c>
      <c r="E52" s="1057">
        <v>64528</v>
      </c>
      <c r="F52" s="1057" t="s">
        <v>778</v>
      </c>
      <c r="G52" s="1058">
        <v>9955</v>
      </c>
      <c r="H52" s="1059">
        <v>8857</v>
      </c>
      <c r="I52" s="1058">
        <v>17123</v>
      </c>
      <c r="J52" s="1057">
        <v>5515</v>
      </c>
      <c r="K52" s="1059">
        <f t="shared" si="0"/>
        <v>41450</v>
      </c>
      <c r="L52" s="1057"/>
      <c r="M52" s="1058">
        <v>334</v>
      </c>
      <c r="N52" s="1058">
        <v>0</v>
      </c>
      <c r="O52" s="1057">
        <v>0</v>
      </c>
      <c r="P52" s="1059">
        <f t="shared" si="1"/>
        <v>334</v>
      </c>
      <c r="Q52" s="1057"/>
      <c r="R52" s="1058">
        <v>17924</v>
      </c>
      <c r="S52" s="1057">
        <v>4552</v>
      </c>
      <c r="T52" s="1060">
        <v>22476</v>
      </c>
    </row>
    <row r="53" spans="1:20" x14ac:dyDescent="0.25">
      <c r="A53" s="1054">
        <v>90621</v>
      </c>
      <c r="B53" s="1055" t="s">
        <v>3997</v>
      </c>
      <c r="C53" s="1056">
        <v>6.5699999999999998E-5</v>
      </c>
      <c r="D53" s="1056">
        <v>6.3999999999999997E-5</v>
      </c>
      <c r="E53" s="1057">
        <v>155863</v>
      </c>
      <c r="F53" s="1057" t="s">
        <v>778</v>
      </c>
      <c r="G53" s="1058">
        <v>24046</v>
      </c>
      <c r="H53" s="1059">
        <v>21396</v>
      </c>
      <c r="I53" s="1058">
        <v>41360</v>
      </c>
      <c r="J53" s="1057">
        <v>0</v>
      </c>
      <c r="K53" s="1059">
        <f t="shared" si="0"/>
        <v>86802</v>
      </c>
      <c r="L53" s="1057"/>
      <c r="M53" s="1058">
        <v>807</v>
      </c>
      <c r="N53" s="1058">
        <v>0</v>
      </c>
      <c r="O53" s="1057">
        <v>15822</v>
      </c>
      <c r="P53" s="1059">
        <f t="shared" si="1"/>
        <v>16629</v>
      </c>
      <c r="Q53" s="1057"/>
      <c r="R53" s="1058">
        <v>43295</v>
      </c>
      <c r="S53" s="1057">
        <v>-6033</v>
      </c>
      <c r="T53" s="1060">
        <v>37262</v>
      </c>
    </row>
    <row r="54" spans="1:20" x14ac:dyDescent="0.25">
      <c r="A54" s="1054">
        <v>90631</v>
      </c>
      <c r="B54" s="1055" t="s">
        <v>3998</v>
      </c>
      <c r="C54" s="1056">
        <v>3.7120000000000002E-4</v>
      </c>
      <c r="D54" s="1056">
        <v>3.9560000000000002E-4</v>
      </c>
      <c r="E54" s="1057">
        <v>880613</v>
      </c>
      <c r="F54" s="1057" t="s">
        <v>778</v>
      </c>
      <c r="G54" s="1058">
        <v>135858</v>
      </c>
      <c r="H54" s="1059">
        <v>120882</v>
      </c>
      <c r="I54" s="1058">
        <v>233681</v>
      </c>
      <c r="J54" s="1057">
        <v>12101</v>
      </c>
      <c r="K54" s="1059">
        <f t="shared" si="0"/>
        <v>502522</v>
      </c>
      <c r="L54" s="1057"/>
      <c r="M54" s="1058">
        <v>4559</v>
      </c>
      <c r="N54" s="1058">
        <v>0</v>
      </c>
      <c r="O54" s="1057">
        <v>18351</v>
      </c>
      <c r="P54" s="1059">
        <f t="shared" si="1"/>
        <v>22910</v>
      </c>
      <c r="Q54" s="1057"/>
      <c r="R54" s="1058">
        <v>244611</v>
      </c>
      <c r="S54" s="1057">
        <v>-4506</v>
      </c>
      <c r="T54" s="1060">
        <v>240105</v>
      </c>
    </row>
    <row r="55" spans="1:20" x14ac:dyDescent="0.25">
      <c r="A55" s="1054">
        <v>90641</v>
      </c>
      <c r="B55" s="1055" t="s">
        <v>3999</v>
      </c>
      <c r="C55" s="1056">
        <v>1.2999999999999999E-5</v>
      </c>
      <c r="D55" s="1056">
        <v>1.38E-5</v>
      </c>
      <c r="E55" s="1057">
        <v>30840</v>
      </c>
      <c r="F55" s="1057" t="s">
        <v>778</v>
      </c>
      <c r="G55" s="1058">
        <v>4758</v>
      </c>
      <c r="H55" s="1059">
        <v>4233</v>
      </c>
      <c r="I55" s="1058">
        <v>8184</v>
      </c>
      <c r="J55" s="1057">
        <v>250</v>
      </c>
      <c r="K55" s="1059">
        <f t="shared" si="0"/>
        <v>17425</v>
      </c>
      <c r="L55" s="1057"/>
      <c r="M55" s="1058">
        <v>160</v>
      </c>
      <c r="N55" s="1058">
        <v>0</v>
      </c>
      <c r="O55" s="1057">
        <v>254</v>
      </c>
      <c r="P55" s="1059">
        <f t="shared" si="1"/>
        <v>414</v>
      </c>
      <c r="Q55" s="1057"/>
      <c r="R55" s="1058">
        <v>8567</v>
      </c>
      <c r="S55" s="1057">
        <v>-102</v>
      </c>
      <c r="T55" s="1060">
        <v>8465</v>
      </c>
    </row>
    <row r="56" spans="1:20" x14ac:dyDescent="0.25">
      <c r="A56" s="1054">
        <v>90651</v>
      </c>
      <c r="B56" s="1055" t="s">
        <v>4000</v>
      </c>
      <c r="C56" s="1056">
        <v>1.064E-4</v>
      </c>
      <c r="D56" s="1056">
        <v>1E-4</v>
      </c>
      <c r="E56" s="1057">
        <v>252417</v>
      </c>
      <c r="F56" s="1057" t="s">
        <v>778</v>
      </c>
      <c r="G56" s="1058">
        <v>38942</v>
      </c>
      <c r="H56" s="1059">
        <v>34650</v>
      </c>
      <c r="I56" s="1058">
        <v>66982</v>
      </c>
      <c r="J56" s="1057">
        <v>100554</v>
      </c>
      <c r="K56" s="1059">
        <f t="shared" si="0"/>
        <v>241128</v>
      </c>
      <c r="L56" s="1057"/>
      <c r="M56" s="1058">
        <v>1307</v>
      </c>
      <c r="N56" s="1058">
        <v>0</v>
      </c>
      <c r="O56" s="1057">
        <v>0</v>
      </c>
      <c r="P56" s="1059">
        <f t="shared" si="1"/>
        <v>1307</v>
      </c>
      <c r="Q56" s="1057"/>
      <c r="R56" s="1058">
        <v>70115</v>
      </c>
      <c r="S56" s="1057">
        <v>36979</v>
      </c>
      <c r="T56" s="1060">
        <v>107094</v>
      </c>
    </row>
    <row r="57" spans="1:20" x14ac:dyDescent="0.25">
      <c r="A57" s="1054">
        <v>90701</v>
      </c>
      <c r="B57" s="1055" t="s">
        <v>3579</v>
      </c>
      <c r="C57" s="1056">
        <v>2.6327999999999998E-3</v>
      </c>
      <c r="D57" s="1056">
        <v>2.6581E-3</v>
      </c>
      <c r="E57" s="1057">
        <v>6245902</v>
      </c>
      <c r="F57" s="1057" t="s">
        <v>778</v>
      </c>
      <c r="G57" s="1058">
        <v>963594</v>
      </c>
      <c r="H57" s="1059">
        <v>857376</v>
      </c>
      <c r="I57" s="1058">
        <v>1657421</v>
      </c>
      <c r="J57" s="1057">
        <v>84751</v>
      </c>
      <c r="K57" s="1059">
        <f t="shared" si="0"/>
        <v>3563142</v>
      </c>
      <c r="L57" s="1057"/>
      <c r="M57" s="1058">
        <v>32333</v>
      </c>
      <c r="N57" s="1058">
        <v>0</v>
      </c>
      <c r="O57" s="1057">
        <v>109908</v>
      </c>
      <c r="P57" s="1059">
        <f t="shared" si="1"/>
        <v>142241</v>
      </c>
      <c r="Q57" s="1057"/>
      <c r="R57" s="1058">
        <v>1734944</v>
      </c>
      <c r="S57" s="1057">
        <v>11083</v>
      </c>
      <c r="T57" s="1060">
        <v>1746027</v>
      </c>
    </row>
    <row r="58" spans="1:20" x14ac:dyDescent="0.25">
      <c r="A58" s="1054">
        <v>90704</v>
      </c>
      <c r="B58" s="1055" t="s">
        <v>2624</v>
      </c>
      <c r="C58" s="1056">
        <v>3.4100000000000002E-5</v>
      </c>
      <c r="D58" s="1056">
        <v>3.3300000000000003E-5</v>
      </c>
      <c r="E58" s="1057">
        <v>80897</v>
      </c>
      <c r="F58" s="1057" t="s">
        <v>778</v>
      </c>
      <c r="G58" s="1058">
        <v>12480</v>
      </c>
      <c r="H58" s="1059">
        <v>11105</v>
      </c>
      <c r="I58" s="1058">
        <v>21467</v>
      </c>
      <c r="J58" s="1057">
        <v>17851</v>
      </c>
      <c r="K58" s="1059">
        <f t="shared" si="0"/>
        <v>62903</v>
      </c>
      <c r="L58" s="1057"/>
      <c r="M58" s="1058">
        <v>419</v>
      </c>
      <c r="N58" s="1058">
        <v>0</v>
      </c>
      <c r="O58" s="1057">
        <v>0</v>
      </c>
      <c r="P58" s="1059">
        <f t="shared" si="1"/>
        <v>419</v>
      </c>
      <c r="Q58" s="1057"/>
      <c r="R58" s="1058">
        <v>22471</v>
      </c>
      <c r="S58" s="1057">
        <v>7847</v>
      </c>
      <c r="T58" s="1060">
        <v>30318</v>
      </c>
    </row>
    <row r="59" spans="1:20" x14ac:dyDescent="0.25">
      <c r="A59" s="1054">
        <v>90705</v>
      </c>
      <c r="B59" s="1055" t="s">
        <v>2625</v>
      </c>
      <c r="C59" s="1056">
        <v>3.6000000000000001E-5</v>
      </c>
      <c r="D59" s="1056">
        <v>5.3000000000000001E-5</v>
      </c>
      <c r="E59" s="1057">
        <v>85404</v>
      </c>
      <c r="F59" s="1057" t="s">
        <v>778</v>
      </c>
      <c r="G59" s="1058">
        <v>13176</v>
      </c>
      <c r="H59" s="1059">
        <v>11723</v>
      </c>
      <c r="I59" s="1058">
        <v>22663</v>
      </c>
      <c r="J59" s="1057">
        <v>12180</v>
      </c>
      <c r="K59" s="1059">
        <f t="shared" si="0"/>
        <v>59742</v>
      </c>
      <c r="L59" s="1057"/>
      <c r="M59" s="1058">
        <v>442</v>
      </c>
      <c r="N59" s="1058">
        <v>0</v>
      </c>
      <c r="O59" s="1057">
        <v>7440</v>
      </c>
      <c r="P59" s="1059">
        <f t="shared" si="1"/>
        <v>7882</v>
      </c>
      <c r="Q59" s="1057"/>
      <c r="R59" s="1058">
        <v>23723</v>
      </c>
      <c r="S59" s="1057">
        <v>4327</v>
      </c>
      <c r="T59" s="1060">
        <v>28050</v>
      </c>
    </row>
    <row r="60" spans="1:20" x14ac:dyDescent="0.25">
      <c r="A60" s="1054">
        <v>90709</v>
      </c>
      <c r="B60" s="1055" t="s">
        <v>2626</v>
      </c>
      <c r="C60" s="1056">
        <v>1.683E-4</v>
      </c>
      <c r="D60" s="1056">
        <v>1.2650000000000001E-4</v>
      </c>
      <c r="E60" s="1057">
        <v>399265</v>
      </c>
      <c r="F60" s="1057" t="s">
        <v>778</v>
      </c>
      <c r="G60" s="1058">
        <v>61597</v>
      </c>
      <c r="H60" s="1059">
        <v>54807</v>
      </c>
      <c r="I60" s="1058">
        <v>105950</v>
      </c>
      <c r="J60" s="1057">
        <v>39082</v>
      </c>
      <c r="K60" s="1059">
        <f t="shared" si="0"/>
        <v>261436</v>
      </c>
      <c r="L60" s="1057"/>
      <c r="M60" s="1058">
        <v>2067</v>
      </c>
      <c r="N60" s="1058">
        <v>0</v>
      </c>
      <c r="O60" s="1057">
        <v>28001</v>
      </c>
      <c r="P60" s="1059">
        <f t="shared" si="1"/>
        <v>30068</v>
      </c>
      <c r="Q60" s="1057"/>
      <c r="R60" s="1058">
        <v>110905</v>
      </c>
      <c r="S60" s="1057">
        <v>346</v>
      </c>
      <c r="T60" s="1060">
        <v>111251</v>
      </c>
    </row>
    <row r="61" spans="1:20" x14ac:dyDescent="0.25">
      <c r="A61" s="1054">
        <v>90711</v>
      </c>
      <c r="B61" s="1055" t="s">
        <v>2627</v>
      </c>
      <c r="C61" s="1056">
        <v>1.6165000000000001E-3</v>
      </c>
      <c r="D61" s="1056">
        <v>1.6877000000000001E-3</v>
      </c>
      <c r="E61" s="1057">
        <v>3834891</v>
      </c>
      <c r="F61" s="1057" t="s">
        <v>778</v>
      </c>
      <c r="G61" s="1058">
        <v>591633</v>
      </c>
      <c r="H61" s="1059">
        <v>526416</v>
      </c>
      <c r="I61" s="1058">
        <v>1017632</v>
      </c>
      <c r="J61" s="1057">
        <v>0</v>
      </c>
      <c r="K61" s="1059">
        <f t="shared" si="0"/>
        <v>2135681</v>
      </c>
      <c r="L61" s="1057"/>
      <c r="M61" s="1058">
        <v>19852</v>
      </c>
      <c r="N61" s="1058">
        <v>0</v>
      </c>
      <c r="O61" s="1057">
        <v>152515</v>
      </c>
      <c r="P61" s="1059">
        <f t="shared" si="1"/>
        <v>172367</v>
      </c>
      <c r="Q61" s="1057"/>
      <c r="R61" s="1058">
        <v>1065230</v>
      </c>
      <c r="S61" s="1057">
        <v>-83743</v>
      </c>
      <c r="T61" s="1060">
        <v>981487</v>
      </c>
    </row>
    <row r="62" spans="1:20" x14ac:dyDescent="0.25">
      <c r="A62" s="1054">
        <v>90721</v>
      </c>
      <c r="B62" s="1055" t="s">
        <v>4001</v>
      </c>
      <c r="C62" s="1056">
        <v>2.8200000000000001E-5</v>
      </c>
      <c r="D62" s="1056">
        <v>2.8600000000000001E-5</v>
      </c>
      <c r="E62" s="1057">
        <v>66900</v>
      </c>
      <c r="F62" s="1057" t="s">
        <v>778</v>
      </c>
      <c r="G62" s="1058">
        <v>10321</v>
      </c>
      <c r="H62" s="1059">
        <v>9183</v>
      </c>
      <c r="I62" s="1058">
        <v>17753</v>
      </c>
      <c r="J62" s="1057">
        <v>792</v>
      </c>
      <c r="K62" s="1059">
        <f t="shared" si="0"/>
        <v>38049</v>
      </c>
      <c r="L62" s="1057"/>
      <c r="M62" s="1058">
        <v>346</v>
      </c>
      <c r="N62" s="1058">
        <v>0</v>
      </c>
      <c r="O62" s="1057">
        <v>3624</v>
      </c>
      <c r="P62" s="1059">
        <f t="shared" si="1"/>
        <v>3970</v>
      </c>
      <c r="Q62" s="1057"/>
      <c r="R62" s="1058">
        <v>18583</v>
      </c>
      <c r="S62" s="1057">
        <v>1108</v>
      </c>
      <c r="T62" s="1060">
        <v>19691</v>
      </c>
    </row>
    <row r="63" spans="1:20" x14ac:dyDescent="0.25">
      <c r="A63" s="1054">
        <v>90731</v>
      </c>
      <c r="B63" s="1055" t="s">
        <v>4002</v>
      </c>
      <c r="C63" s="1056">
        <v>1.4919999999999999E-4</v>
      </c>
      <c r="D63" s="1056">
        <v>1.741E-4</v>
      </c>
      <c r="E63" s="1057">
        <v>353953</v>
      </c>
      <c r="F63" s="1057" t="s">
        <v>778</v>
      </c>
      <c r="G63" s="1058">
        <v>54607</v>
      </c>
      <c r="H63" s="1059">
        <v>48587</v>
      </c>
      <c r="I63" s="1058">
        <v>93926</v>
      </c>
      <c r="J63" s="1057">
        <v>0</v>
      </c>
      <c r="K63" s="1059">
        <f t="shared" si="0"/>
        <v>197120</v>
      </c>
      <c r="L63" s="1057"/>
      <c r="M63" s="1058">
        <v>1832</v>
      </c>
      <c r="N63" s="1058">
        <v>0</v>
      </c>
      <c r="O63" s="1057">
        <v>24103</v>
      </c>
      <c r="P63" s="1059">
        <f t="shared" si="1"/>
        <v>25935</v>
      </c>
      <c r="Q63" s="1057"/>
      <c r="R63" s="1058">
        <v>98319</v>
      </c>
      <c r="S63" s="1057">
        <v>-10239</v>
      </c>
      <c r="T63" s="1060">
        <v>88080</v>
      </c>
    </row>
    <row r="64" spans="1:20" x14ac:dyDescent="0.25">
      <c r="A64" s="1054">
        <v>90741</v>
      </c>
      <c r="B64" s="1055" t="s">
        <v>4003</v>
      </c>
      <c r="C64" s="1056">
        <v>1.52E-5</v>
      </c>
      <c r="D64" s="1056">
        <v>9.0999999999999993E-6</v>
      </c>
      <c r="E64" s="1057">
        <v>36060</v>
      </c>
      <c r="F64" s="1057" t="s">
        <v>778</v>
      </c>
      <c r="G64" s="1058">
        <v>5563</v>
      </c>
      <c r="H64" s="1059">
        <v>4950</v>
      </c>
      <c r="I64" s="1058">
        <v>9569</v>
      </c>
      <c r="J64" s="1057">
        <v>5141</v>
      </c>
      <c r="K64" s="1059">
        <f t="shared" si="0"/>
        <v>25223</v>
      </c>
      <c r="L64" s="1057"/>
      <c r="M64" s="1058">
        <v>187</v>
      </c>
      <c r="N64" s="1058">
        <v>0</v>
      </c>
      <c r="O64" s="1057">
        <v>155</v>
      </c>
      <c r="P64" s="1059">
        <f t="shared" si="1"/>
        <v>342</v>
      </c>
      <c r="Q64" s="1057"/>
      <c r="R64" s="1058">
        <v>10016</v>
      </c>
      <c r="S64" s="1057">
        <v>1246</v>
      </c>
      <c r="T64" s="1060">
        <v>11262</v>
      </c>
    </row>
    <row r="65" spans="1:20" x14ac:dyDescent="0.25">
      <c r="A65" s="1054">
        <v>90751</v>
      </c>
      <c r="B65" s="1055" t="s">
        <v>4004</v>
      </c>
      <c r="C65" s="1056">
        <v>7.9499999999999994E-5</v>
      </c>
      <c r="D65" s="1056">
        <v>6.8700000000000003E-5</v>
      </c>
      <c r="E65" s="1057">
        <v>188601</v>
      </c>
      <c r="F65" s="1057" t="s">
        <v>778</v>
      </c>
      <c r="G65" s="1058">
        <v>29097</v>
      </c>
      <c r="H65" s="1059">
        <v>25890</v>
      </c>
      <c r="I65" s="1058">
        <v>50047</v>
      </c>
      <c r="J65" s="1057">
        <v>3763</v>
      </c>
      <c r="K65" s="1059">
        <f t="shared" si="0"/>
        <v>108797</v>
      </c>
      <c r="L65" s="1057"/>
      <c r="M65" s="1058">
        <v>976</v>
      </c>
      <c r="N65" s="1058">
        <v>0</v>
      </c>
      <c r="O65" s="1057">
        <v>810</v>
      </c>
      <c r="P65" s="1059">
        <f t="shared" si="1"/>
        <v>1786</v>
      </c>
      <c r="Q65" s="1057"/>
      <c r="R65" s="1058">
        <v>52388</v>
      </c>
      <c r="S65" s="1057">
        <v>3994</v>
      </c>
      <c r="T65" s="1060">
        <v>56382</v>
      </c>
    </row>
    <row r="66" spans="1:20" x14ac:dyDescent="0.25">
      <c r="A66" s="1054">
        <v>90801</v>
      </c>
      <c r="B66" s="1055" t="s">
        <v>2632</v>
      </c>
      <c r="C66" s="1056">
        <v>1.338E-3</v>
      </c>
      <c r="D66" s="1056">
        <v>1.3064000000000001E-3</v>
      </c>
      <c r="E66" s="1057">
        <v>3174194</v>
      </c>
      <c r="F66" s="1057" t="s">
        <v>778</v>
      </c>
      <c r="G66" s="1058">
        <v>489703</v>
      </c>
      <c r="H66" s="1059">
        <v>435722</v>
      </c>
      <c r="I66" s="1058">
        <v>842308</v>
      </c>
      <c r="J66" s="1057">
        <v>86295</v>
      </c>
      <c r="K66" s="1059">
        <f t="shared" si="0"/>
        <v>1854028</v>
      </c>
      <c r="L66" s="1057"/>
      <c r="M66" s="1058">
        <v>16432</v>
      </c>
      <c r="N66" s="1058">
        <v>0</v>
      </c>
      <c r="O66" s="1057">
        <v>50464</v>
      </c>
      <c r="P66" s="1059">
        <f t="shared" si="1"/>
        <v>66896</v>
      </c>
      <c r="Q66" s="1057"/>
      <c r="R66" s="1058">
        <v>881706</v>
      </c>
      <c r="S66" s="1057">
        <v>52732</v>
      </c>
      <c r="T66" s="1060">
        <v>934438</v>
      </c>
    </row>
    <row r="67" spans="1:20" x14ac:dyDescent="0.25">
      <c r="A67" s="1054">
        <v>90804</v>
      </c>
      <c r="B67" s="1055" t="s">
        <v>2633</v>
      </c>
      <c r="C67" s="1056">
        <v>6.0000000000000002E-6</v>
      </c>
      <c r="D67" s="1056">
        <v>6.1999999999999999E-6</v>
      </c>
      <c r="E67" s="1057">
        <v>14234</v>
      </c>
      <c r="F67" s="1057" t="s">
        <v>778</v>
      </c>
      <c r="G67" s="1058">
        <v>2196</v>
      </c>
      <c r="H67" s="1059">
        <v>1954</v>
      </c>
      <c r="I67" s="1058">
        <v>3777</v>
      </c>
      <c r="J67" s="1057">
        <v>574</v>
      </c>
      <c r="K67" s="1059">
        <f t="shared" si="0"/>
        <v>8501</v>
      </c>
      <c r="L67" s="1057"/>
      <c r="M67" s="1058">
        <v>74</v>
      </c>
      <c r="N67" s="1058">
        <v>0</v>
      </c>
      <c r="O67" s="1057">
        <v>215</v>
      </c>
      <c r="P67" s="1059">
        <f t="shared" si="1"/>
        <v>289</v>
      </c>
      <c r="Q67" s="1057"/>
      <c r="R67" s="1058">
        <v>3954</v>
      </c>
      <c r="S67" s="1057">
        <v>834</v>
      </c>
      <c r="T67" s="1060">
        <v>4788</v>
      </c>
    </row>
    <row r="68" spans="1:20" x14ac:dyDescent="0.25">
      <c r="A68" s="1054">
        <v>90805</v>
      </c>
      <c r="B68" s="1055" t="s">
        <v>2634</v>
      </c>
      <c r="C68" s="1056">
        <v>6.6600000000000006E-5</v>
      </c>
      <c r="D68" s="1056">
        <v>5.1900000000000001E-5</v>
      </c>
      <c r="E68" s="1057">
        <v>157998</v>
      </c>
      <c r="F68" s="1057" t="s">
        <v>778</v>
      </c>
      <c r="G68" s="1058">
        <v>24375</v>
      </c>
      <c r="H68" s="1059">
        <v>21688</v>
      </c>
      <c r="I68" s="1058">
        <v>41927</v>
      </c>
      <c r="J68" s="1057">
        <v>29750</v>
      </c>
      <c r="K68" s="1059">
        <f t="shared" si="0"/>
        <v>117740</v>
      </c>
      <c r="L68" s="1057"/>
      <c r="M68" s="1058">
        <v>818</v>
      </c>
      <c r="N68" s="1058">
        <v>0</v>
      </c>
      <c r="O68" s="1057">
        <v>0</v>
      </c>
      <c r="P68" s="1059">
        <f t="shared" si="1"/>
        <v>818</v>
      </c>
      <c r="Q68" s="1057"/>
      <c r="R68" s="1058">
        <v>43888</v>
      </c>
      <c r="S68" s="1057">
        <v>13705</v>
      </c>
      <c r="T68" s="1060">
        <v>57593</v>
      </c>
    </row>
    <row r="69" spans="1:20" x14ac:dyDescent="0.25">
      <c r="A69" s="1054">
        <v>90808</v>
      </c>
      <c r="B69" s="1055" t="s">
        <v>2635</v>
      </c>
      <c r="C69" s="1056">
        <v>1.0119999999999999E-4</v>
      </c>
      <c r="D69" s="1056">
        <v>1.131E-4</v>
      </c>
      <c r="E69" s="1057">
        <v>240081</v>
      </c>
      <c r="F69" s="1057" t="s">
        <v>778</v>
      </c>
      <c r="G69" s="1058">
        <v>37039</v>
      </c>
      <c r="H69" s="1059">
        <v>32956</v>
      </c>
      <c r="I69" s="1058">
        <v>63708</v>
      </c>
      <c r="J69" s="1057">
        <v>3985</v>
      </c>
      <c r="K69" s="1059">
        <f t="shared" si="0"/>
        <v>137688</v>
      </c>
      <c r="L69" s="1057"/>
      <c r="M69" s="1058">
        <v>1243</v>
      </c>
      <c r="N69" s="1058">
        <v>0</v>
      </c>
      <c r="O69" s="1057">
        <v>1338</v>
      </c>
      <c r="P69" s="1059">
        <f t="shared" si="1"/>
        <v>2581</v>
      </c>
      <c r="Q69" s="1057"/>
      <c r="R69" s="1058">
        <v>66688</v>
      </c>
      <c r="S69" s="1057">
        <v>662</v>
      </c>
      <c r="T69" s="1060">
        <v>67350</v>
      </c>
    </row>
    <row r="70" spans="1:20" x14ac:dyDescent="0.25">
      <c r="A70" s="1054">
        <v>90811</v>
      </c>
      <c r="B70" s="1055" t="s">
        <v>4005</v>
      </c>
      <c r="C70" s="1056">
        <v>3.6199999999999999E-5</v>
      </c>
      <c r="D70" s="1056">
        <v>3.3599999999999997E-5</v>
      </c>
      <c r="E70" s="1057">
        <v>85879</v>
      </c>
      <c r="F70" s="1057" t="s">
        <v>778</v>
      </c>
      <c r="G70" s="1058">
        <v>13249</v>
      </c>
      <c r="H70" s="1059">
        <v>11789</v>
      </c>
      <c r="I70" s="1058">
        <v>22789</v>
      </c>
      <c r="J70" s="1057">
        <v>0</v>
      </c>
      <c r="K70" s="1059">
        <f t="shared" si="0"/>
        <v>47827</v>
      </c>
      <c r="L70" s="1057"/>
      <c r="M70" s="1058">
        <v>445</v>
      </c>
      <c r="N70" s="1058">
        <v>0</v>
      </c>
      <c r="O70" s="1057">
        <v>9224</v>
      </c>
      <c r="P70" s="1059">
        <f t="shared" si="1"/>
        <v>9669</v>
      </c>
      <c r="Q70" s="1057"/>
      <c r="R70" s="1058">
        <v>23855</v>
      </c>
      <c r="S70" s="1057">
        <v>-2702</v>
      </c>
      <c r="T70" s="1060">
        <v>21153</v>
      </c>
    </row>
    <row r="71" spans="1:20" x14ac:dyDescent="0.25">
      <c r="A71" s="1054">
        <v>90812</v>
      </c>
      <c r="B71" s="1055" t="s">
        <v>4006</v>
      </c>
      <c r="C71" s="1056">
        <v>2.2489999999999999E-4</v>
      </c>
      <c r="D71" s="1056">
        <v>2.2900000000000001E-4</v>
      </c>
      <c r="E71" s="1057">
        <v>533540</v>
      </c>
      <c r="F71" s="1057" t="s">
        <v>778</v>
      </c>
      <c r="G71" s="1058">
        <v>82313</v>
      </c>
      <c r="H71" s="1059">
        <v>73239</v>
      </c>
      <c r="I71" s="1058">
        <v>141581</v>
      </c>
      <c r="J71" s="1057">
        <v>8319</v>
      </c>
      <c r="K71" s="1059">
        <f t="shared" ref="K71:K135" si="2">G71+H71+I71+J71</f>
        <v>305452</v>
      </c>
      <c r="L71" s="1057"/>
      <c r="M71" s="1058">
        <v>2762</v>
      </c>
      <c r="N71" s="1058">
        <v>0</v>
      </c>
      <c r="O71" s="1057">
        <v>11401</v>
      </c>
      <c r="P71" s="1059">
        <f t="shared" ref="P71:P135" si="3">M71+N71+O71</f>
        <v>14163</v>
      </c>
      <c r="Q71" s="1057"/>
      <c r="R71" s="1058">
        <v>148203</v>
      </c>
      <c r="S71" s="1057">
        <v>1945</v>
      </c>
      <c r="T71" s="1060">
        <v>150148</v>
      </c>
    </row>
    <row r="72" spans="1:20" x14ac:dyDescent="0.25">
      <c r="A72" s="1054">
        <v>90813</v>
      </c>
      <c r="B72" s="1055" t="s">
        <v>4007</v>
      </c>
      <c r="C72" s="1056">
        <v>5.0000000000000004E-6</v>
      </c>
      <c r="D72" s="1056">
        <v>5.3000000000000001E-6</v>
      </c>
      <c r="E72" s="1057">
        <v>11862</v>
      </c>
      <c r="F72" s="1057" t="s">
        <v>778</v>
      </c>
      <c r="G72" s="1058">
        <v>1830</v>
      </c>
      <c r="H72" s="1059">
        <v>1628</v>
      </c>
      <c r="I72" s="1058">
        <v>3148</v>
      </c>
      <c r="J72" s="1057">
        <v>0</v>
      </c>
      <c r="K72" s="1059">
        <f t="shared" si="2"/>
        <v>6606</v>
      </c>
      <c r="L72" s="1057"/>
      <c r="M72" s="1058">
        <v>61</v>
      </c>
      <c r="N72" s="1058">
        <v>0</v>
      </c>
      <c r="O72" s="1057">
        <v>1028</v>
      </c>
      <c r="P72" s="1059">
        <f t="shared" si="3"/>
        <v>1089</v>
      </c>
      <c r="Q72" s="1057"/>
      <c r="R72" s="1058">
        <v>3295</v>
      </c>
      <c r="S72" s="1057">
        <v>-607</v>
      </c>
      <c r="T72" s="1060">
        <v>2688</v>
      </c>
    </row>
    <row r="73" spans="1:20" x14ac:dyDescent="0.25">
      <c r="A73" s="1054">
        <v>90861</v>
      </c>
      <c r="B73" s="1055" t="s">
        <v>4008</v>
      </c>
      <c r="C73" s="1056">
        <v>7.7999999999999999E-6</v>
      </c>
      <c r="D73" s="1056">
        <v>4.1999999999999996E-6</v>
      </c>
      <c r="E73" s="1057">
        <v>18504</v>
      </c>
      <c r="F73" s="1057" t="s">
        <v>778</v>
      </c>
      <c r="G73" s="1058">
        <v>2855</v>
      </c>
      <c r="H73" s="1059">
        <v>2540</v>
      </c>
      <c r="I73" s="1058">
        <v>4910</v>
      </c>
      <c r="J73" s="1057">
        <v>6531</v>
      </c>
      <c r="K73" s="1059">
        <f t="shared" si="2"/>
        <v>16836</v>
      </c>
      <c r="L73" s="1057"/>
      <c r="M73" s="1058">
        <v>96</v>
      </c>
      <c r="N73" s="1058">
        <v>0</v>
      </c>
      <c r="O73" s="1057">
        <v>0</v>
      </c>
      <c r="P73" s="1059">
        <f t="shared" si="3"/>
        <v>96</v>
      </c>
      <c r="Q73" s="1057"/>
      <c r="R73" s="1058">
        <v>5140</v>
      </c>
      <c r="S73" s="1057">
        <v>1362</v>
      </c>
      <c r="T73" s="1060">
        <v>6502</v>
      </c>
    </row>
    <row r="74" spans="1:20" x14ac:dyDescent="0.25">
      <c r="A74" s="1054">
        <v>90901</v>
      </c>
      <c r="B74" s="1055" t="s">
        <v>2640</v>
      </c>
      <c r="C74" s="1056">
        <v>2.1440000000000001E-3</v>
      </c>
      <c r="D74" s="1056">
        <v>2.1814999999999998E-3</v>
      </c>
      <c r="E74" s="1057">
        <v>5086301</v>
      </c>
      <c r="F74" s="1057" t="s">
        <v>778</v>
      </c>
      <c r="G74" s="1058">
        <v>784695</v>
      </c>
      <c r="H74" s="1059">
        <v>698198</v>
      </c>
      <c r="I74" s="1058">
        <v>1349708</v>
      </c>
      <c r="J74" s="1057">
        <v>13390</v>
      </c>
      <c r="K74" s="1059">
        <f t="shared" si="2"/>
        <v>2845991</v>
      </c>
      <c r="L74" s="1057"/>
      <c r="M74" s="1058">
        <v>26330</v>
      </c>
      <c r="N74" s="1058">
        <v>0</v>
      </c>
      <c r="O74" s="1057">
        <v>28266</v>
      </c>
      <c r="P74" s="1059">
        <f t="shared" si="3"/>
        <v>54596</v>
      </c>
      <c r="Q74" s="1057"/>
      <c r="R74" s="1058">
        <v>1412838</v>
      </c>
      <c r="S74" s="1057">
        <v>-7333</v>
      </c>
      <c r="T74" s="1060">
        <v>1405505</v>
      </c>
    </row>
    <row r="75" spans="1:20" x14ac:dyDescent="0.25">
      <c r="A75" s="1054">
        <v>90911</v>
      </c>
      <c r="B75" s="1055" t="s">
        <v>4009</v>
      </c>
      <c r="C75" s="1056">
        <v>4.037E-4</v>
      </c>
      <c r="D75" s="1056">
        <v>3.9780000000000002E-4</v>
      </c>
      <c r="E75" s="1057">
        <v>957714</v>
      </c>
      <c r="F75" s="1057" t="s">
        <v>778</v>
      </c>
      <c r="G75" s="1058">
        <v>147753</v>
      </c>
      <c r="H75" s="1059">
        <v>131466</v>
      </c>
      <c r="I75" s="1058">
        <v>254140</v>
      </c>
      <c r="J75" s="1057">
        <v>5104</v>
      </c>
      <c r="K75" s="1059">
        <f t="shared" si="2"/>
        <v>538463</v>
      </c>
      <c r="L75" s="1057"/>
      <c r="M75" s="1058">
        <v>4958</v>
      </c>
      <c r="N75" s="1058">
        <v>0</v>
      </c>
      <c r="O75" s="1057">
        <v>27769</v>
      </c>
      <c r="P75" s="1059">
        <f t="shared" si="3"/>
        <v>32727</v>
      </c>
      <c r="Q75" s="1057"/>
      <c r="R75" s="1058">
        <v>266027</v>
      </c>
      <c r="S75" s="1057">
        <v>-22253</v>
      </c>
      <c r="T75" s="1060">
        <v>243774</v>
      </c>
    </row>
    <row r="76" spans="1:20" x14ac:dyDescent="0.25">
      <c r="A76" s="1054">
        <v>90917</v>
      </c>
      <c r="B76" s="1055" t="s">
        <v>2642</v>
      </c>
      <c r="C76" s="1056">
        <v>1.1800000000000001E-5</v>
      </c>
      <c r="D76" s="1056">
        <v>1.4399999999999999E-5</v>
      </c>
      <c r="E76" s="1057">
        <v>27994</v>
      </c>
      <c r="F76" s="1057" t="s">
        <v>187</v>
      </c>
      <c r="G76" s="1058">
        <v>4319</v>
      </c>
      <c r="H76" s="1059">
        <v>3843</v>
      </c>
      <c r="I76" s="1058">
        <v>7428</v>
      </c>
      <c r="J76" s="1057">
        <v>910</v>
      </c>
      <c r="K76" s="1059">
        <f t="shared" si="2"/>
        <v>16500</v>
      </c>
      <c r="L76" s="1057"/>
      <c r="M76" s="1058">
        <v>145</v>
      </c>
      <c r="N76" s="1058">
        <v>0</v>
      </c>
      <c r="O76" s="1057">
        <v>1772</v>
      </c>
      <c r="P76" s="1059">
        <f t="shared" si="3"/>
        <v>1917</v>
      </c>
      <c r="Q76" s="1057"/>
      <c r="R76" s="1058">
        <v>7776</v>
      </c>
      <c r="S76" s="1057">
        <v>-363</v>
      </c>
      <c r="T76" s="1060">
        <v>7413</v>
      </c>
    </row>
    <row r="77" spans="1:20" x14ac:dyDescent="0.25">
      <c r="A77" s="1054">
        <v>90918</v>
      </c>
      <c r="B77" s="1055" t="s">
        <v>2643</v>
      </c>
      <c r="C77" s="1056">
        <v>1.13E-5</v>
      </c>
      <c r="D77" s="1056">
        <v>1.19E-5</v>
      </c>
      <c r="E77" s="1057">
        <v>26807</v>
      </c>
      <c r="F77" s="1057" t="s">
        <v>187</v>
      </c>
      <c r="G77" s="1058">
        <v>4136</v>
      </c>
      <c r="H77" s="1059">
        <v>3680</v>
      </c>
      <c r="I77" s="1058">
        <v>7114</v>
      </c>
      <c r="J77" s="1057">
        <v>0</v>
      </c>
      <c r="K77" s="1059">
        <f t="shared" si="2"/>
        <v>14930</v>
      </c>
      <c r="L77" s="1057"/>
      <c r="M77" s="1058">
        <v>139</v>
      </c>
      <c r="N77" s="1058">
        <v>0</v>
      </c>
      <c r="O77" s="1057">
        <v>2292</v>
      </c>
      <c r="P77" s="1059">
        <f t="shared" si="3"/>
        <v>2431</v>
      </c>
      <c r="Q77" s="1057"/>
      <c r="R77" s="1058">
        <v>7446</v>
      </c>
      <c r="S77" s="1057">
        <v>-1290</v>
      </c>
      <c r="T77" s="1060">
        <v>6156</v>
      </c>
    </row>
    <row r="78" spans="1:20" x14ac:dyDescent="0.25">
      <c r="A78" s="1054">
        <v>90921</v>
      </c>
      <c r="B78" s="1055" t="s">
        <v>4010</v>
      </c>
      <c r="C78" s="1056">
        <v>1.2789999999999999E-4</v>
      </c>
      <c r="D78" s="1056">
        <v>1.2970000000000001E-4</v>
      </c>
      <c r="E78" s="1057">
        <v>303423</v>
      </c>
      <c r="F78" s="1057" t="s">
        <v>187</v>
      </c>
      <c r="G78" s="1058">
        <v>46811</v>
      </c>
      <c r="H78" s="1059">
        <v>41651</v>
      </c>
      <c r="I78" s="1058">
        <v>80517</v>
      </c>
      <c r="J78" s="1057">
        <v>22540</v>
      </c>
      <c r="K78" s="1059">
        <f t="shared" si="2"/>
        <v>191519</v>
      </c>
      <c r="L78" s="1057"/>
      <c r="M78" s="1058">
        <v>1571</v>
      </c>
      <c r="N78" s="1058">
        <v>0</v>
      </c>
      <c r="O78" s="1057">
        <v>4483</v>
      </c>
      <c r="P78" s="1059">
        <f t="shared" si="3"/>
        <v>6054</v>
      </c>
      <c r="Q78" s="1057"/>
      <c r="R78" s="1058">
        <v>84283</v>
      </c>
      <c r="S78" s="1057">
        <v>4862</v>
      </c>
      <c r="T78" s="1060">
        <v>89145</v>
      </c>
    </row>
    <row r="79" spans="1:20" x14ac:dyDescent="0.25">
      <c r="A79" s="1054">
        <v>90931</v>
      </c>
      <c r="B79" s="1055" t="s">
        <v>4011</v>
      </c>
      <c r="C79" s="1056">
        <v>3.8099999999999998E-5</v>
      </c>
      <c r="D79" s="1056">
        <v>4.07E-5</v>
      </c>
      <c r="E79" s="1057">
        <v>90386</v>
      </c>
      <c r="F79" s="1057" t="s">
        <v>187</v>
      </c>
      <c r="G79" s="1058">
        <v>13944</v>
      </c>
      <c r="H79" s="1059">
        <v>12407</v>
      </c>
      <c r="I79" s="1058">
        <v>23985</v>
      </c>
      <c r="J79" s="1057">
        <v>1061</v>
      </c>
      <c r="K79" s="1059">
        <f t="shared" si="2"/>
        <v>51397</v>
      </c>
      <c r="L79" s="1057"/>
      <c r="M79" s="1058">
        <v>468</v>
      </c>
      <c r="N79" s="1058">
        <v>0</v>
      </c>
      <c r="O79" s="1057">
        <v>13836</v>
      </c>
      <c r="P79" s="1059">
        <f t="shared" si="3"/>
        <v>14304</v>
      </c>
      <c r="Q79" s="1057"/>
      <c r="R79" s="1058">
        <v>25107</v>
      </c>
      <c r="S79" s="1057">
        <v>-2235</v>
      </c>
      <c r="T79" s="1060">
        <v>22872</v>
      </c>
    </row>
    <row r="80" spans="1:20" x14ac:dyDescent="0.25">
      <c r="A80" s="1054">
        <v>90941</v>
      </c>
      <c r="B80" s="1055" t="s">
        <v>4012</v>
      </c>
      <c r="C80" s="1056">
        <v>8.2000000000000001E-5</v>
      </c>
      <c r="D80" s="1056">
        <v>7.0300000000000001E-5</v>
      </c>
      <c r="E80" s="1057">
        <v>194532</v>
      </c>
      <c r="F80" s="1057" t="s">
        <v>187</v>
      </c>
      <c r="G80" s="1058">
        <v>30012</v>
      </c>
      <c r="H80" s="1059">
        <v>26704</v>
      </c>
      <c r="I80" s="1058">
        <v>51621</v>
      </c>
      <c r="J80" s="1057">
        <v>8606</v>
      </c>
      <c r="K80" s="1059">
        <f t="shared" si="2"/>
        <v>116943</v>
      </c>
      <c r="L80" s="1057"/>
      <c r="M80" s="1058">
        <v>1007</v>
      </c>
      <c r="N80" s="1058">
        <v>0</v>
      </c>
      <c r="O80" s="1057">
        <v>10455</v>
      </c>
      <c r="P80" s="1059">
        <f t="shared" si="3"/>
        <v>11462</v>
      </c>
      <c r="Q80" s="1057"/>
      <c r="R80" s="1058">
        <v>54036</v>
      </c>
      <c r="S80" s="1057">
        <v>-3109</v>
      </c>
      <c r="T80" s="1060">
        <v>50927</v>
      </c>
    </row>
    <row r="81" spans="1:20" x14ac:dyDescent="0.25">
      <c r="A81" s="1054">
        <v>91001</v>
      </c>
      <c r="B81" s="1055" t="s">
        <v>2647</v>
      </c>
      <c r="C81" s="1056">
        <v>6.6366999999999997E-3</v>
      </c>
      <c r="D81" s="1056">
        <v>6.6703999999999999E-3</v>
      </c>
      <c r="E81" s="1057">
        <v>15744522</v>
      </c>
      <c r="F81" s="1057" t="s">
        <v>187</v>
      </c>
      <c r="G81" s="1058">
        <v>2429006</v>
      </c>
      <c r="H81" s="1059">
        <v>2161254</v>
      </c>
      <c r="I81" s="1058">
        <v>4177988</v>
      </c>
      <c r="J81" s="1057">
        <v>0</v>
      </c>
      <c r="K81" s="1059">
        <f t="shared" si="2"/>
        <v>8768248</v>
      </c>
      <c r="L81" s="1057"/>
      <c r="M81" s="1058">
        <v>81505</v>
      </c>
      <c r="N81" s="1058">
        <v>0</v>
      </c>
      <c r="O81" s="1057">
        <v>332799</v>
      </c>
      <c r="P81" s="1059">
        <f t="shared" si="3"/>
        <v>414304</v>
      </c>
      <c r="Q81" s="1057"/>
      <c r="R81" s="1058">
        <v>4373406</v>
      </c>
      <c r="S81" s="1057">
        <v>-87933</v>
      </c>
      <c r="T81" s="1060">
        <v>4285473</v>
      </c>
    </row>
    <row r="82" spans="1:20" x14ac:dyDescent="0.25">
      <c r="A82" s="1054">
        <v>91002</v>
      </c>
      <c r="B82" s="1055" t="s">
        <v>4013</v>
      </c>
      <c r="C82" s="1056">
        <v>9.4410000000000002E-4</v>
      </c>
      <c r="D82" s="1056">
        <v>6.8860000000000004E-4</v>
      </c>
      <c r="E82" s="1057">
        <v>2239728</v>
      </c>
      <c r="F82" s="1057" t="s">
        <v>187</v>
      </c>
      <c r="G82" s="1058">
        <v>345537</v>
      </c>
      <c r="H82" s="1059">
        <v>307448</v>
      </c>
      <c r="I82" s="1058">
        <v>594337</v>
      </c>
      <c r="J82" s="1057">
        <v>166396</v>
      </c>
      <c r="K82" s="1059">
        <f t="shared" si="2"/>
        <v>1413718</v>
      </c>
      <c r="L82" s="1057"/>
      <c r="M82" s="1058">
        <v>11594</v>
      </c>
      <c r="N82" s="1058">
        <v>0</v>
      </c>
      <c r="O82" s="1057">
        <v>27902</v>
      </c>
      <c r="P82" s="1059">
        <f t="shared" si="3"/>
        <v>39496</v>
      </c>
      <c r="Q82" s="1057"/>
      <c r="R82" s="1058">
        <v>622136</v>
      </c>
      <c r="S82" s="1057">
        <v>25830</v>
      </c>
      <c r="T82" s="1060">
        <v>647966</v>
      </c>
    </row>
    <row r="83" spans="1:20" x14ac:dyDescent="0.25">
      <c r="A83" s="1054">
        <v>91003</v>
      </c>
      <c r="B83" s="1055" t="s">
        <v>2649</v>
      </c>
      <c r="C83" s="1056">
        <v>5.354E-4</v>
      </c>
      <c r="D83" s="1056">
        <v>5.7260000000000004E-4</v>
      </c>
      <c r="E83" s="1057">
        <v>1270152</v>
      </c>
      <c r="F83" s="1057" t="s">
        <v>187</v>
      </c>
      <c r="G83" s="1058">
        <v>195954</v>
      </c>
      <c r="H83" s="1059">
        <v>174354</v>
      </c>
      <c r="I83" s="1058">
        <v>337049</v>
      </c>
      <c r="J83" s="1057">
        <v>10600</v>
      </c>
      <c r="K83" s="1059">
        <f t="shared" si="2"/>
        <v>717957</v>
      </c>
      <c r="L83" s="1057"/>
      <c r="M83" s="1058">
        <v>6575</v>
      </c>
      <c r="N83" s="1058">
        <v>0</v>
      </c>
      <c r="O83" s="1057">
        <v>38265</v>
      </c>
      <c r="P83" s="1059">
        <f t="shared" si="3"/>
        <v>44840</v>
      </c>
      <c r="Q83" s="1057"/>
      <c r="R83" s="1058">
        <v>352814</v>
      </c>
      <c r="S83" s="1057">
        <v>2232</v>
      </c>
      <c r="T83" s="1060">
        <v>355046</v>
      </c>
    </row>
    <row r="84" spans="1:20" x14ac:dyDescent="0.25">
      <c r="A84" s="1054">
        <v>91004</v>
      </c>
      <c r="B84" s="1055" t="s">
        <v>2650</v>
      </c>
      <c r="C84" s="1056">
        <v>3.6600000000000002E-5</v>
      </c>
      <c r="D84" s="1056">
        <v>2.58E-5</v>
      </c>
      <c r="E84" s="1057">
        <v>86828</v>
      </c>
      <c r="F84" s="1057" t="s">
        <v>187</v>
      </c>
      <c r="G84" s="1058">
        <v>13395</v>
      </c>
      <c r="H84" s="1059">
        <v>11919</v>
      </c>
      <c r="I84" s="1058">
        <v>23041</v>
      </c>
      <c r="J84" s="1057">
        <v>15071</v>
      </c>
      <c r="K84" s="1059">
        <f t="shared" si="2"/>
        <v>63426</v>
      </c>
      <c r="L84" s="1057"/>
      <c r="M84" s="1058">
        <v>449</v>
      </c>
      <c r="N84" s="1058">
        <v>0</v>
      </c>
      <c r="O84" s="1057">
        <v>0</v>
      </c>
      <c r="P84" s="1059">
        <f t="shared" si="3"/>
        <v>449</v>
      </c>
      <c r="Q84" s="1057"/>
      <c r="R84" s="1058">
        <v>24118</v>
      </c>
      <c r="S84" s="1057">
        <v>6104</v>
      </c>
      <c r="T84" s="1060">
        <v>30222</v>
      </c>
    </row>
    <row r="85" spans="1:20" x14ac:dyDescent="0.25">
      <c r="A85" s="1054">
        <v>91006</v>
      </c>
      <c r="B85" s="1055" t="s">
        <v>2651</v>
      </c>
      <c r="C85" s="1056">
        <v>1.0660999999999999E-3</v>
      </c>
      <c r="D85" s="1056">
        <v>1.0317E-3</v>
      </c>
      <c r="E85" s="1057">
        <v>2529154</v>
      </c>
      <c r="F85" s="1057" t="s">
        <v>187</v>
      </c>
      <c r="G85" s="1058">
        <v>390188</v>
      </c>
      <c r="H85" s="1059">
        <v>347177</v>
      </c>
      <c r="I85" s="1058">
        <v>671140</v>
      </c>
      <c r="J85" s="1057">
        <v>7631</v>
      </c>
      <c r="K85" s="1059">
        <f t="shared" si="2"/>
        <v>1416136</v>
      </c>
      <c r="L85" s="1057"/>
      <c r="M85" s="1058">
        <v>13093</v>
      </c>
      <c r="N85" s="1058">
        <v>0</v>
      </c>
      <c r="O85" s="1057">
        <v>29301</v>
      </c>
      <c r="P85" s="1059">
        <f t="shared" si="3"/>
        <v>42394</v>
      </c>
      <c r="Q85" s="1057"/>
      <c r="R85" s="1058">
        <v>702531</v>
      </c>
      <c r="S85" s="1057">
        <v>-205</v>
      </c>
      <c r="T85" s="1060">
        <v>702326</v>
      </c>
    </row>
    <row r="86" spans="1:20" x14ac:dyDescent="0.25">
      <c r="A86" s="1054">
        <v>91007</v>
      </c>
      <c r="B86" s="1055" t="s">
        <v>2652</v>
      </c>
      <c r="C86" s="1056">
        <v>8.4999999999999999E-6</v>
      </c>
      <c r="D86" s="1056">
        <v>9.5000000000000005E-6</v>
      </c>
      <c r="E86" s="1057">
        <v>20165</v>
      </c>
      <c r="F86" s="1057" t="s">
        <v>187</v>
      </c>
      <c r="G86" s="1058">
        <v>3111</v>
      </c>
      <c r="H86" s="1059">
        <v>2768</v>
      </c>
      <c r="I86" s="1058">
        <v>5351</v>
      </c>
      <c r="J86" s="1057">
        <v>4888</v>
      </c>
      <c r="K86" s="1059">
        <f t="shared" si="2"/>
        <v>16118</v>
      </c>
      <c r="L86" s="1057"/>
      <c r="M86" s="1058">
        <v>104</v>
      </c>
      <c r="N86" s="1058">
        <v>0</v>
      </c>
      <c r="O86" s="1057">
        <v>0</v>
      </c>
      <c r="P86" s="1059">
        <f t="shared" si="3"/>
        <v>104</v>
      </c>
      <c r="Q86" s="1057"/>
      <c r="R86" s="1058">
        <v>5601</v>
      </c>
      <c r="S86" s="1057">
        <v>2173</v>
      </c>
      <c r="T86" s="1060">
        <v>7774</v>
      </c>
    </row>
    <row r="87" spans="1:20" x14ac:dyDescent="0.25">
      <c r="A87" s="1054">
        <v>91008</v>
      </c>
      <c r="B87" s="1055" t="s">
        <v>2653</v>
      </c>
      <c r="C87" s="1056">
        <v>1.3909999999999999E-4</v>
      </c>
      <c r="D87" s="1056">
        <v>1.236E-4</v>
      </c>
      <c r="E87" s="1057">
        <v>329993</v>
      </c>
      <c r="F87" s="1057" t="s">
        <v>187</v>
      </c>
      <c r="G87" s="1058">
        <v>50910</v>
      </c>
      <c r="H87" s="1059">
        <v>45298</v>
      </c>
      <c r="I87" s="1058">
        <v>87567</v>
      </c>
      <c r="J87" s="1057">
        <v>36233</v>
      </c>
      <c r="K87" s="1059">
        <f t="shared" si="2"/>
        <v>220008</v>
      </c>
      <c r="L87" s="1057"/>
      <c r="M87" s="1058">
        <v>1708</v>
      </c>
      <c r="N87" s="1058">
        <v>0</v>
      </c>
      <c r="O87" s="1057">
        <v>0</v>
      </c>
      <c r="P87" s="1059">
        <f t="shared" si="3"/>
        <v>1708</v>
      </c>
      <c r="Q87" s="1057"/>
      <c r="R87" s="1058">
        <v>91663</v>
      </c>
      <c r="S87" s="1057">
        <v>21688</v>
      </c>
      <c r="T87" s="1060">
        <v>113351</v>
      </c>
    </row>
    <row r="88" spans="1:20" x14ac:dyDescent="0.25">
      <c r="A88" s="1054">
        <v>91009</v>
      </c>
      <c r="B88" s="1055" t="s">
        <v>2654</v>
      </c>
      <c r="C88" s="1056">
        <v>1.59E-5</v>
      </c>
      <c r="D88" s="1056">
        <v>1.7499999999999998E-5</v>
      </c>
      <c r="E88" s="1057">
        <v>37720</v>
      </c>
      <c r="F88" s="1057" t="s">
        <v>187</v>
      </c>
      <c r="G88" s="1058">
        <v>5819</v>
      </c>
      <c r="H88" s="1059">
        <v>5178</v>
      </c>
      <c r="I88" s="1058">
        <v>10009</v>
      </c>
      <c r="J88" s="1057">
        <v>5304</v>
      </c>
      <c r="K88" s="1059">
        <f t="shared" si="2"/>
        <v>26310</v>
      </c>
      <c r="L88" s="1057"/>
      <c r="M88" s="1058">
        <v>195</v>
      </c>
      <c r="N88" s="1058">
        <v>0</v>
      </c>
      <c r="O88" s="1057">
        <v>1101</v>
      </c>
      <c r="P88" s="1059">
        <f t="shared" si="3"/>
        <v>1296</v>
      </c>
      <c r="Q88" s="1057"/>
      <c r="R88" s="1058">
        <v>10478</v>
      </c>
      <c r="S88" s="1057">
        <v>660</v>
      </c>
      <c r="T88" s="1060">
        <v>11138</v>
      </c>
    </row>
    <row r="89" spans="1:20" x14ac:dyDescent="0.25">
      <c r="A89" s="1054">
        <v>91010</v>
      </c>
      <c r="B89" s="1055" t="s">
        <v>4014</v>
      </c>
      <c r="C89" s="1056">
        <v>5.8699999999999997E-5</v>
      </c>
      <c r="D89" s="1056">
        <v>7.0099999999999996E-5</v>
      </c>
      <c r="E89" s="1057">
        <v>139256</v>
      </c>
      <c r="F89" s="1057" t="s">
        <v>187</v>
      </c>
      <c r="G89" s="1058">
        <v>21484</v>
      </c>
      <c r="H89" s="1059">
        <v>19115</v>
      </c>
      <c r="I89" s="1058">
        <v>36953</v>
      </c>
      <c r="J89" s="1057">
        <v>2787</v>
      </c>
      <c r="K89" s="1059">
        <f t="shared" si="2"/>
        <v>80339</v>
      </c>
      <c r="L89" s="1057"/>
      <c r="M89" s="1058">
        <v>721</v>
      </c>
      <c r="N89" s="1058">
        <v>0</v>
      </c>
      <c r="O89" s="1057">
        <v>6905</v>
      </c>
      <c r="P89" s="1059">
        <f t="shared" si="3"/>
        <v>7626</v>
      </c>
      <c r="Q89" s="1057"/>
      <c r="R89" s="1058">
        <v>38682</v>
      </c>
      <c r="S89" s="1057">
        <v>3034</v>
      </c>
      <c r="T89" s="1060">
        <v>41716</v>
      </c>
    </row>
    <row r="90" spans="1:20" x14ac:dyDescent="0.25">
      <c r="A90" s="1054">
        <v>91011</v>
      </c>
      <c r="B90" s="1055" t="s">
        <v>2656</v>
      </c>
      <c r="C90" s="1056">
        <v>3.6509999999999998E-4</v>
      </c>
      <c r="D90" s="1056">
        <v>3.5760000000000002E-4</v>
      </c>
      <c r="E90" s="1057">
        <v>866142</v>
      </c>
      <c r="F90" s="1057" t="s">
        <v>187</v>
      </c>
      <c r="G90" s="1058">
        <v>133625</v>
      </c>
      <c r="H90" s="1059">
        <v>118896</v>
      </c>
      <c r="I90" s="1058">
        <v>229841</v>
      </c>
      <c r="J90" s="1057">
        <v>27536</v>
      </c>
      <c r="K90" s="1059">
        <f t="shared" si="2"/>
        <v>509898</v>
      </c>
      <c r="L90" s="1057"/>
      <c r="M90" s="1058">
        <v>4484</v>
      </c>
      <c r="N90" s="1058">
        <v>0</v>
      </c>
      <c r="O90" s="1057">
        <v>1497</v>
      </c>
      <c r="P90" s="1059">
        <f t="shared" si="3"/>
        <v>5981</v>
      </c>
      <c r="Q90" s="1057"/>
      <c r="R90" s="1058">
        <v>240591</v>
      </c>
      <c r="S90" s="1057">
        <v>15734</v>
      </c>
      <c r="T90" s="1060">
        <v>256325</v>
      </c>
    </row>
    <row r="91" spans="1:20" x14ac:dyDescent="0.25">
      <c r="A91" s="1054">
        <v>91012</v>
      </c>
      <c r="B91" s="1055" t="s">
        <v>2657</v>
      </c>
      <c r="C91" s="1056">
        <v>1.42E-5</v>
      </c>
      <c r="D91" s="1056">
        <v>1.9300000000000002E-5</v>
      </c>
      <c r="E91" s="1057">
        <v>33687</v>
      </c>
      <c r="F91" s="1057" t="s">
        <v>187</v>
      </c>
      <c r="G91" s="1058">
        <v>5197</v>
      </c>
      <c r="H91" s="1059">
        <v>4624</v>
      </c>
      <c r="I91" s="1058">
        <v>8939</v>
      </c>
      <c r="J91" s="1057">
        <v>3786</v>
      </c>
      <c r="K91" s="1059">
        <f t="shared" si="2"/>
        <v>22546</v>
      </c>
      <c r="L91" s="1057"/>
      <c r="M91" s="1058">
        <v>174</v>
      </c>
      <c r="N91" s="1058">
        <v>0</v>
      </c>
      <c r="O91" s="1057">
        <v>3306</v>
      </c>
      <c r="P91" s="1059">
        <f t="shared" si="3"/>
        <v>3480</v>
      </c>
      <c r="Q91" s="1057"/>
      <c r="R91" s="1058">
        <v>9357</v>
      </c>
      <c r="S91" s="1057">
        <v>-1418</v>
      </c>
      <c r="T91" s="1060">
        <v>7939</v>
      </c>
    </row>
    <row r="92" spans="1:20" x14ac:dyDescent="0.25">
      <c r="A92" s="1054">
        <v>91013</v>
      </c>
      <c r="B92" s="1055" t="s">
        <v>2658</v>
      </c>
      <c r="C92" s="1056">
        <v>1.9899999999999999E-5</v>
      </c>
      <c r="D92" s="1056">
        <v>2.34E-5</v>
      </c>
      <c r="E92" s="1057">
        <v>47210</v>
      </c>
      <c r="F92" s="1057" t="s">
        <v>187</v>
      </c>
      <c r="G92" s="1058">
        <v>7283</v>
      </c>
      <c r="H92" s="1059">
        <v>6481</v>
      </c>
      <c r="I92" s="1058">
        <v>12528</v>
      </c>
      <c r="J92" s="1057">
        <v>39132</v>
      </c>
      <c r="K92" s="1059">
        <f t="shared" si="2"/>
        <v>65424</v>
      </c>
      <c r="L92" s="1057"/>
      <c r="M92" s="1058">
        <v>244</v>
      </c>
      <c r="N92" s="1058">
        <v>0</v>
      </c>
      <c r="O92" s="1057">
        <v>0</v>
      </c>
      <c r="P92" s="1059">
        <f t="shared" si="3"/>
        <v>244</v>
      </c>
      <c r="Q92" s="1057"/>
      <c r="R92" s="1058">
        <v>13114</v>
      </c>
      <c r="S92" s="1057">
        <v>13739</v>
      </c>
      <c r="T92" s="1060">
        <v>26853</v>
      </c>
    </row>
    <row r="93" spans="1:20" x14ac:dyDescent="0.25">
      <c r="A93" s="1054">
        <v>91014</v>
      </c>
      <c r="B93" s="1055" t="s">
        <v>4015</v>
      </c>
      <c r="C93" s="1056">
        <v>2.02E-4</v>
      </c>
      <c r="D93" s="1056">
        <v>2.22E-4</v>
      </c>
      <c r="E93" s="1057">
        <v>479213</v>
      </c>
      <c r="F93" s="1057" t="s">
        <v>187</v>
      </c>
      <c r="G93" s="1058">
        <v>73931</v>
      </c>
      <c r="H93" s="1059">
        <v>65782</v>
      </c>
      <c r="I93" s="1058">
        <v>127165</v>
      </c>
      <c r="J93" s="1057">
        <v>986</v>
      </c>
      <c r="K93" s="1059">
        <f t="shared" si="2"/>
        <v>267864</v>
      </c>
      <c r="L93" s="1057"/>
      <c r="M93" s="1058">
        <v>2481</v>
      </c>
      <c r="N93" s="1058">
        <v>0</v>
      </c>
      <c r="O93" s="1057">
        <v>19420</v>
      </c>
      <c r="P93" s="1059">
        <f t="shared" si="3"/>
        <v>21901</v>
      </c>
      <c r="Q93" s="1057"/>
      <c r="R93" s="1058">
        <v>133113</v>
      </c>
      <c r="S93" s="1057">
        <v>-9738</v>
      </c>
      <c r="T93" s="1060">
        <v>123375</v>
      </c>
    </row>
    <row r="94" spans="1:20" x14ac:dyDescent="0.25">
      <c r="A94" s="1054">
        <v>91015</v>
      </c>
      <c r="B94" s="1055" t="s">
        <v>3876</v>
      </c>
      <c r="C94" s="1056">
        <v>1.9400000000000001E-5</v>
      </c>
      <c r="D94" s="1056">
        <v>0</v>
      </c>
      <c r="E94" s="1057">
        <v>46023</v>
      </c>
      <c r="F94" s="1057" t="s">
        <v>187</v>
      </c>
      <c r="G94" s="1058">
        <v>7100</v>
      </c>
      <c r="H94" s="1059">
        <v>6317</v>
      </c>
      <c r="I94" s="1058">
        <v>12213</v>
      </c>
      <c r="J94" s="1057">
        <v>20258</v>
      </c>
      <c r="K94" s="1059">
        <f t="shared" si="2"/>
        <v>45888</v>
      </c>
      <c r="L94" s="1057"/>
      <c r="M94" s="1058">
        <v>238</v>
      </c>
      <c r="N94" s="1058">
        <v>0</v>
      </c>
      <c r="O94" s="1057">
        <v>0</v>
      </c>
      <c r="P94" s="1059">
        <f t="shared" si="3"/>
        <v>238</v>
      </c>
      <c r="Q94" s="1057"/>
      <c r="R94" s="1058">
        <v>12784</v>
      </c>
      <c r="S94" s="1057">
        <v>5064</v>
      </c>
      <c r="T94" s="1060">
        <v>17848</v>
      </c>
    </row>
    <row r="95" spans="1:20" x14ac:dyDescent="0.25">
      <c r="A95" s="1054">
        <v>91017</v>
      </c>
      <c r="B95" s="1055" t="s">
        <v>2660</v>
      </c>
      <c r="C95" s="1056">
        <v>2.3499999999999999E-5</v>
      </c>
      <c r="D95" s="1056">
        <v>2.4300000000000001E-5</v>
      </c>
      <c r="E95" s="1057">
        <v>55750</v>
      </c>
      <c r="F95" s="1057" t="s">
        <v>187</v>
      </c>
      <c r="G95" s="1058">
        <v>8601</v>
      </c>
      <c r="H95" s="1059">
        <v>7653</v>
      </c>
      <c r="I95" s="1058">
        <v>14794</v>
      </c>
      <c r="J95" s="1057">
        <v>6947</v>
      </c>
      <c r="K95" s="1059">
        <f t="shared" si="2"/>
        <v>37995</v>
      </c>
      <c r="L95" s="1057"/>
      <c r="M95" s="1058">
        <v>289</v>
      </c>
      <c r="N95" s="1058">
        <v>0</v>
      </c>
      <c r="O95" s="1057">
        <v>0</v>
      </c>
      <c r="P95" s="1059">
        <f t="shared" si="3"/>
        <v>289</v>
      </c>
      <c r="Q95" s="1057"/>
      <c r="R95" s="1058">
        <v>15486</v>
      </c>
      <c r="S95" s="1057">
        <v>4203</v>
      </c>
      <c r="T95" s="1060">
        <v>19689</v>
      </c>
    </row>
    <row r="96" spans="1:20" x14ac:dyDescent="0.25">
      <c r="A96" s="1054">
        <v>91020</v>
      </c>
      <c r="B96" s="1055" t="s">
        <v>4016</v>
      </c>
      <c r="C96" s="1056">
        <v>2.9200000000000002E-5</v>
      </c>
      <c r="D96" s="1056">
        <v>2.27E-5</v>
      </c>
      <c r="E96" s="1057">
        <v>69272</v>
      </c>
      <c r="F96" s="1057" t="s">
        <v>187</v>
      </c>
      <c r="G96" s="1058">
        <v>10687</v>
      </c>
      <c r="H96" s="1059">
        <v>9509</v>
      </c>
      <c r="I96" s="1058">
        <v>18382</v>
      </c>
      <c r="J96" s="1057">
        <v>6791</v>
      </c>
      <c r="K96" s="1059">
        <f t="shared" si="2"/>
        <v>45369</v>
      </c>
      <c r="L96" s="1057"/>
      <c r="M96" s="1058">
        <v>359</v>
      </c>
      <c r="N96" s="1058">
        <v>0</v>
      </c>
      <c r="O96" s="1057">
        <v>170</v>
      </c>
      <c r="P96" s="1059">
        <f t="shared" si="3"/>
        <v>529</v>
      </c>
      <c r="Q96" s="1057"/>
      <c r="R96" s="1058">
        <v>19242</v>
      </c>
      <c r="S96" s="1057">
        <v>2303</v>
      </c>
      <c r="T96" s="1060">
        <v>21545</v>
      </c>
    </row>
    <row r="97" spans="1:20" x14ac:dyDescent="0.25">
      <c r="A97" s="1054">
        <v>91021</v>
      </c>
      <c r="B97" s="1055" t="s">
        <v>4017</v>
      </c>
      <c r="C97" s="1056">
        <v>8.8009999999999998E-4</v>
      </c>
      <c r="D97" s="1056">
        <v>8.6450000000000003E-4</v>
      </c>
      <c r="E97" s="1057">
        <v>2087898</v>
      </c>
      <c r="F97" s="1057" t="s">
        <v>187</v>
      </c>
      <c r="G97" s="1058">
        <v>322113</v>
      </c>
      <c r="H97" s="1059">
        <v>286606</v>
      </c>
      <c r="I97" s="1058">
        <v>554048</v>
      </c>
      <c r="J97" s="1057">
        <v>16435</v>
      </c>
      <c r="K97" s="1059">
        <f t="shared" si="2"/>
        <v>1179202</v>
      </c>
      <c r="L97" s="1057"/>
      <c r="M97" s="1058">
        <v>10809</v>
      </c>
      <c r="N97" s="1058">
        <v>0</v>
      </c>
      <c r="O97" s="1057">
        <v>34261</v>
      </c>
      <c r="P97" s="1059">
        <f t="shared" si="3"/>
        <v>45070</v>
      </c>
      <c r="Q97" s="1057"/>
      <c r="R97" s="1058">
        <v>579962</v>
      </c>
      <c r="S97" s="1057">
        <v>-44308</v>
      </c>
      <c r="T97" s="1060">
        <v>535654</v>
      </c>
    </row>
    <row r="98" spans="1:20" x14ac:dyDescent="0.25">
      <c r="A98" s="1054">
        <v>91024</v>
      </c>
      <c r="B98" s="1055" t="s">
        <v>4018</v>
      </c>
      <c r="C98" s="1056">
        <v>9.3800000000000003E-5</v>
      </c>
      <c r="D98" s="1056">
        <v>7.2999999999999999E-5</v>
      </c>
      <c r="E98" s="1057">
        <v>222526</v>
      </c>
      <c r="F98" s="1057" t="s">
        <v>187</v>
      </c>
      <c r="G98" s="1058">
        <v>34330</v>
      </c>
      <c r="H98" s="1059">
        <v>30546</v>
      </c>
      <c r="I98" s="1058">
        <v>59050</v>
      </c>
      <c r="J98" s="1057">
        <v>29168</v>
      </c>
      <c r="K98" s="1059">
        <f t="shared" si="2"/>
        <v>153094</v>
      </c>
      <c r="L98" s="1057"/>
      <c r="M98" s="1058">
        <v>1152</v>
      </c>
      <c r="N98" s="1058">
        <v>0</v>
      </c>
      <c r="O98" s="1057">
        <v>0</v>
      </c>
      <c r="P98" s="1059">
        <f t="shared" si="3"/>
        <v>1152</v>
      </c>
      <c r="Q98" s="1057"/>
      <c r="R98" s="1058">
        <v>61812</v>
      </c>
      <c r="S98" s="1057">
        <v>14801</v>
      </c>
      <c r="T98" s="1060">
        <v>76613</v>
      </c>
    </row>
    <row r="99" spans="1:20" x14ac:dyDescent="0.25">
      <c r="A99" s="1054">
        <v>91026</v>
      </c>
      <c r="B99" s="1055" t="s">
        <v>4019</v>
      </c>
      <c r="C99" s="1056">
        <v>4.5599999999999997E-5</v>
      </c>
      <c r="D99" s="1056">
        <v>4.18E-5</v>
      </c>
      <c r="E99" s="1057">
        <v>108179</v>
      </c>
      <c r="F99" s="1057" t="s">
        <v>187</v>
      </c>
      <c r="G99" s="1058">
        <v>16689</v>
      </c>
      <c r="H99" s="1059">
        <v>14849</v>
      </c>
      <c r="I99" s="1058">
        <v>28706</v>
      </c>
      <c r="J99" s="1057">
        <v>42442</v>
      </c>
      <c r="K99" s="1059">
        <f t="shared" si="2"/>
        <v>102686</v>
      </c>
      <c r="L99" s="1057"/>
      <c r="M99" s="1058">
        <v>560</v>
      </c>
      <c r="N99" s="1058">
        <v>0</v>
      </c>
      <c r="O99" s="1057">
        <v>0</v>
      </c>
      <c r="P99" s="1059">
        <f t="shared" si="3"/>
        <v>560</v>
      </c>
      <c r="Q99" s="1057"/>
      <c r="R99" s="1058">
        <v>30049</v>
      </c>
      <c r="S99" s="1057">
        <v>17241</v>
      </c>
      <c r="T99" s="1060">
        <v>47290</v>
      </c>
    </row>
    <row r="100" spans="1:20" x14ac:dyDescent="0.25">
      <c r="A100" s="1054">
        <v>91027</v>
      </c>
      <c r="B100" s="1055" t="s">
        <v>2664</v>
      </c>
      <c r="C100" s="1056">
        <v>1.6699999999999999E-5</v>
      </c>
      <c r="D100" s="1056">
        <v>1.4E-5</v>
      </c>
      <c r="E100" s="1057">
        <v>39618</v>
      </c>
      <c r="F100" s="1057" t="s">
        <v>187</v>
      </c>
      <c r="G100" s="1058">
        <v>6112</v>
      </c>
      <c r="H100" s="1059">
        <v>5439</v>
      </c>
      <c r="I100" s="1058">
        <v>10513</v>
      </c>
      <c r="J100" s="1057">
        <v>16743</v>
      </c>
      <c r="K100" s="1059">
        <f t="shared" si="2"/>
        <v>38807</v>
      </c>
      <c r="L100" s="1057"/>
      <c r="M100" s="1058">
        <v>205</v>
      </c>
      <c r="N100" s="1058">
        <v>0</v>
      </c>
      <c r="O100" s="1057">
        <v>0</v>
      </c>
      <c r="P100" s="1059">
        <f t="shared" si="3"/>
        <v>205</v>
      </c>
      <c r="Q100" s="1057"/>
      <c r="R100" s="1058">
        <v>11005</v>
      </c>
      <c r="S100" s="1057">
        <v>8336</v>
      </c>
      <c r="T100" s="1060">
        <v>19341</v>
      </c>
    </row>
    <row r="101" spans="1:20" x14ac:dyDescent="0.25">
      <c r="A101" s="1054">
        <v>91032</v>
      </c>
      <c r="B101" s="1055" t="s">
        <v>4020</v>
      </c>
      <c r="C101" s="1056">
        <v>1.6399999999999999E-5</v>
      </c>
      <c r="D101" s="1056">
        <v>1.8E-5</v>
      </c>
      <c r="E101" s="1057">
        <v>38906</v>
      </c>
      <c r="F101" s="1057" t="s">
        <v>187</v>
      </c>
      <c r="G101" s="1058">
        <v>6002</v>
      </c>
      <c r="H101" s="1059">
        <v>5341</v>
      </c>
      <c r="I101" s="1058">
        <v>10324</v>
      </c>
      <c r="J101" s="1057">
        <v>16497</v>
      </c>
      <c r="K101" s="1059">
        <f t="shared" si="2"/>
        <v>38164</v>
      </c>
      <c r="L101" s="1057"/>
      <c r="M101" s="1058">
        <v>201</v>
      </c>
      <c r="N101" s="1058">
        <v>0</v>
      </c>
      <c r="O101" s="1057">
        <v>0</v>
      </c>
      <c r="P101" s="1059">
        <f t="shared" si="3"/>
        <v>201</v>
      </c>
      <c r="Q101" s="1057"/>
      <c r="R101" s="1058">
        <v>10807</v>
      </c>
      <c r="S101" s="1057">
        <v>8433</v>
      </c>
      <c r="T101" s="1060">
        <v>19240</v>
      </c>
    </row>
    <row r="102" spans="1:20" x14ac:dyDescent="0.25">
      <c r="A102" s="1054">
        <v>91041</v>
      </c>
      <c r="B102" s="1055" t="s">
        <v>4021</v>
      </c>
      <c r="C102" s="1056">
        <v>4.373E-4</v>
      </c>
      <c r="D102" s="1056">
        <v>4.0400000000000001E-4</v>
      </c>
      <c r="E102" s="1057">
        <v>1037425</v>
      </c>
      <c r="F102" s="1057" t="s">
        <v>187</v>
      </c>
      <c r="G102" s="1058">
        <v>160050</v>
      </c>
      <c r="H102" s="1059">
        <v>142408</v>
      </c>
      <c r="I102" s="1058">
        <v>275293</v>
      </c>
      <c r="J102" s="1057">
        <v>0</v>
      </c>
      <c r="K102" s="1059">
        <f t="shared" si="2"/>
        <v>577751</v>
      </c>
      <c r="L102" s="1057"/>
      <c r="M102" s="1058">
        <v>5370</v>
      </c>
      <c r="N102" s="1058">
        <v>0</v>
      </c>
      <c r="O102" s="1057">
        <v>74844</v>
      </c>
      <c r="P102" s="1059">
        <f t="shared" si="3"/>
        <v>80214</v>
      </c>
      <c r="Q102" s="1057"/>
      <c r="R102" s="1058">
        <v>288169</v>
      </c>
      <c r="S102" s="1057">
        <v>-40195</v>
      </c>
      <c r="T102" s="1060">
        <v>247974</v>
      </c>
    </row>
    <row r="103" spans="1:20" x14ac:dyDescent="0.25">
      <c r="A103" s="1054">
        <v>91042</v>
      </c>
      <c r="B103" s="1055" t="s">
        <v>2667</v>
      </c>
      <c r="C103" s="1056">
        <v>2.6630000000000002E-4</v>
      </c>
      <c r="D103" s="1056">
        <v>2.3360000000000001E-4</v>
      </c>
      <c r="E103" s="1057">
        <v>631755</v>
      </c>
      <c r="F103" s="1057" t="s">
        <v>187</v>
      </c>
      <c r="G103" s="1058">
        <v>97465</v>
      </c>
      <c r="H103" s="1059">
        <v>86722</v>
      </c>
      <c r="I103" s="1058">
        <v>167643</v>
      </c>
      <c r="J103" s="1057">
        <v>20600</v>
      </c>
      <c r="K103" s="1059">
        <f t="shared" si="2"/>
        <v>372430</v>
      </c>
      <c r="L103" s="1057"/>
      <c r="M103" s="1058">
        <v>3270</v>
      </c>
      <c r="N103" s="1058">
        <v>0</v>
      </c>
      <c r="O103" s="1057">
        <v>4544</v>
      </c>
      <c r="P103" s="1059">
        <f t="shared" si="3"/>
        <v>7814</v>
      </c>
      <c r="Q103" s="1057"/>
      <c r="R103" s="1058">
        <v>175485</v>
      </c>
      <c r="S103" s="1057">
        <v>3567</v>
      </c>
      <c r="T103" s="1060">
        <v>179052</v>
      </c>
    </row>
    <row r="104" spans="1:20" x14ac:dyDescent="0.25">
      <c r="A104" s="1054">
        <v>91047</v>
      </c>
      <c r="B104" s="1055" t="s">
        <v>4022</v>
      </c>
      <c r="C104" s="1056">
        <v>1.24E-5</v>
      </c>
      <c r="D104" s="1056">
        <v>1.31E-5</v>
      </c>
      <c r="E104" s="1057">
        <v>29417</v>
      </c>
      <c r="F104" s="1057" t="s">
        <v>187</v>
      </c>
      <c r="G104" s="1058">
        <v>4538</v>
      </c>
      <c r="H104" s="1059">
        <v>4038</v>
      </c>
      <c r="I104" s="1058">
        <v>7806</v>
      </c>
      <c r="J104" s="1057">
        <v>22020</v>
      </c>
      <c r="K104" s="1059">
        <f t="shared" si="2"/>
        <v>38402</v>
      </c>
      <c r="L104" s="1057"/>
      <c r="M104" s="1058">
        <v>152</v>
      </c>
      <c r="N104" s="1058">
        <v>0</v>
      </c>
      <c r="O104" s="1057">
        <v>0</v>
      </c>
      <c r="P104" s="1059">
        <f t="shared" si="3"/>
        <v>152</v>
      </c>
      <c r="Q104" s="1057"/>
      <c r="R104" s="1058">
        <v>8171</v>
      </c>
      <c r="S104" s="1057">
        <v>9821</v>
      </c>
      <c r="T104" s="1060">
        <v>17992</v>
      </c>
    </row>
    <row r="105" spans="1:20" x14ac:dyDescent="0.25">
      <c r="A105" s="1054">
        <v>91051</v>
      </c>
      <c r="B105" s="1055" t="s">
        <v>4023</v>
      </c>
      <c r="C105" s="1056">
        <v>6.7999999999999999E-5</v>
      </c>
      <c r="D105" s="1056">
        <v>6.6400000000000001E-5</v>
      </c>
      <c r="E105" s="1057">
        <v>161319</v>
      </c>
      <c r="F105" s="1057" t="s">
        <v>187</v>
      </c>
      <c r="G105" s="1058">
        <v>24888</v>
      </c>
      <c r="H105" s="1059">
        <v>22144</v>
      </c>
      <c r="I105" s="1058">
        <v>42808</v>
      </c>
      <c r="J105" s="1057">
        <v>1891</v>
      </c>
      <c r="K105" s="1059">
        <f t="shared" si="2"/>
        <v>91731</v>
      </c>
      <c r="L105" s="1057"/>
      <c r="M105" s="1058">
        <v>835</v>
      </c>
      <c r="N105" s="1058">
        <v>0</v>
      </c>
      <c r="O105" s="1057">
        <v>5967</v>
      </c>
      <c r="P105" s="1059">
        <f t="shared" si="3"/>
        <v>6802</v>
      </c>
      <c r="Q105" s="1057"/>
      <c r="R105" s="1058">
        <v>44810</v>
      </c>
      <c r="S105" s="1057">
        <v>-1282</v>
      </c>
      <c r="T105" s="1060">
        <v>43528</v>
      </c>
    </row>
    <row r="106" spans="1:20" x14ac:dyDescent="0.25">
      <c r="A106" s="1054">
        <v>91057</v>
      </c>
      <c r="B106" s="1055" t="s">
        <v>2670</v>
      </c>
      <c r="C106" s="1056">
        <v>1.3699999999999999E-5</v>
      </c>
      <c r="D106" s="1056">
        <v>1.4399999999999999E-5</v>
      </c>
      <c r="E106" s="1057">
        <v>32501</v>
      </c>
      <c r="F106" s="1057" t="s">
        <v>187</v>
      </c>
      <c r="G106" s="1058">
        <v>5014</v>
      </c>
      <c r="H106" s="1059">
        <v>4461</v>
      </c>
      <c r="I106" s="1058">
        <v>8625</v>
      </c>
      <c r="J106" s="1057">
        <v>6313</v>
      </c>
      <c r="K106" s="1059">
        <f t="shared" si="2"/>
        <v>24413</v>
      </c>
      <c r="L106" s="1057"/>
      <c r="M106" s="1058">
        <v>168</v>
      </c>
      <c r="N106" s="1058">
        <v>0</v>
      </c>
      <c r="O106" s="1057">
        <v>0</v>
      </c>
      <c r="P106" s="1059">
        <f t="shared" si="3"/>
        <v>168</v>
      </c>
      <c r="Q106" s="1057"/>
      <c r="R106" s="1058">
        <v>9028</v>
      </c>
      <c r="S106" s="1057">
        <v>2864</v>
      </c>
      <c r="T106" s="1060">
        <v>11892</v>
      </c>
    </row>
    <row r="107" spans="1:20" x14ac:dyDescent="0.25">
      <c r="A107" s="1054">
        <v>91061</v>
      </c>
      <c r="B107" s="1055" t="s">
        <v>4024</v>
      </c>
      <c r="C107" s="1056">
        <v>3.657E-4</v>
      </c>
      <c r="D107" s="1056">
        <v>4.104E-4</v>
      </c>
      <c r="E107" s="1057">
        <v>867565</v>
      </c>
      <c r="F107" s="1057" t="s">
        <v>187</v>
      </c>
      <c r="G107" s="1058">
        <v>133845</v>
      </c>
      <c r="H107" s="1059">
        <v>119091</v>
      </c>
      <c r="I107" s="1058">
        <v>230218</v>
      </c>
      <c r="J107" s="1057">
        <v>13475</v>
      </c>
      <c r="K107" s="1059">
        <f t="shared" si="2"/>
        <v>496629</v>
      </c>
      <c r="L107" s="1057"/>
      <c r="M107" s="1058">
        <v>4491</v>
      </c>
      <c r="N107" s="1058">
        <v>0</v>
      </c>
      <c r="O107" s="1057">
        <v>35188</v>
      </c>
      <c r="P107" s="1059">
        <f t="shared" si="3"/>
        <v>39679</v>
      </c>
      <c r="Q107" s="1057"/>
      <c r="R107" s="1058">
        <v>240986</v>
      </c>
      <c r="S107" s="1057">
        <v>-19918</v>
      </c>
      <c r="T107" s="1060">
        <v>221068</v>
      </c>
    </row>
    <row r="108" spans="1:20" x14ac:dyDescent="0.25">
      <c r="A108" s="1054">
        <v>91067</v>
      </c>
      <c r="B108" s="1055" t="s">
        <v>2672</v>
      </c>
      <c r="C108" s="1056">
        <v>1.6900000000000001E-5</v>
      </c>
      <c r="D108" s="1056">
        <v>1.5699999999999999E-5</v>
      </c>
      <c r="E108" s="1057">
        <v>40093</v>
      </c>
      <c r="F108" s="1057" t="s">
        <v>187</v>
      </c>
      <c r="G108" s="1058">
        <v>6185</v>
      </c>
      <c r="H108" s="1059">
        <v>5503</v>
      </c>
      <c r="I108" s="1058">
        <v>10639</v>
      </c>
      <c r="J108" s="1057">
        <v>2715</v>
      </c>
      <c r="K108" s="1059">
        <f t="shared" si="2"/>
        <v>25042</v>
      </c>
      <c r="L108" s="1057"/>
      <c r="M108" s="1058">
        <v>208</v>
      </c>
      <c r="N108" s="1058">
        <v>0</v>
      </c>
      <c r="O108" s="1057">
        <v>305</v>
      </c>
      <c r="P108" s="1059">
        <f t="shared" si="3"/>
        <v>513</v>
      </c>
      <c r="Q108" s="1057"/>
      <c r="R108" s="1058">
        <v>11137</v>
      </c>
      <c r="S108" s="1057">
        <v>1543</v>
      </c>
      <c r="T108" s="1060">
        <v>12680</v>
      </c>
    </row>
    <row r="109" spans="1:20" x14ac:dyDescent="0.25">
      <c r="A109" s="1054">
        <v>91071</v>
      </c>
      <c r="B109" s="1055" t="s">
        <v>2673</v>
      </c>
      <c r="C109" s="1056">
        <v>2.354E-4</v>
      </c>
      <c r="D109" s="1056">
        <v>2.2770000000000001E-4</v>
      </c>
      <c r="E109" s="1057">
        <v>558449</v>
      </c>
      <c r="F109" s="1057" t="s">
        <v>187</v>
      </c>
      <c r="G109" s="1058">
        <v>86155</v>
      </c>
      <c r="H109" s="1059">
        <v>76659</v>
      </c>
      <c r="I109" s="1058">
        <v>148191</v>
      </c>
      <c r="J109" s="1057">
        <v>0</v>
      </c>
      <c r="K109" s="1059">
        <f t="shared" si="2"/>
        <v>311005</v>
      </c>
      <c r="L109" s="1057"/>
      <c r="M109" s="1058">
        <v>2891</v>
      </c>
      <c r="N109" s="1058">
        <v>0</v>
      </c>
      <c r="O109" s="1057">
        <v>17112</v>
      </c>
      <c r="P109" s="1059">
        <f t="shared" si="3"/>
        <v>20003</v>
      </c>
      <c r="Q109" s="1057"/>
      <c r="R109" s="1058">
        <v>155122</v>
      </c>
      <c r="S109" s="1057">
        <v>2083</v>
      </c>
      <c r="T109" s="1060">
        <v>157205</v>
      </c>
    </row>
    <row r="110" spans="1:20" x14ac:dyDescent="0.25">
      <c r="A110" s="1054">
        <v>91077</v>
      </c>
      <c r="B110" s="1055" t="s">
        <v>2674</v>
      </c>
      <c r="C110" s="1056">
        <v>3.1E-6</v>
      </c>
      <c r="D110" s="1056">
        <v>3.5999999999999998E-6</v>
      </c>
      <c r="E110" s="1057">
        <v>7354</v>
      </c>
      <c r="F110" s="1057" t="s">
        <v>187</v>
      </c>
      <c r="G110" s="1058">
        <v>1135</v>
      </c>
      <c r="H110" s="1059">
        <v>1009</v>
      </c>
      <c r="I110" s="1058">
        <v>1952</v>
      </c>
      <c r="J110" s="1057">
        <v>1928</v>
      </c>
      <c r="K110" s="1059">
        <f t="shared" si="2"/>
        <v>6024</v>
      </c>
      <c r="L110" s="1057"/>
      <c r="M110" s="1058">
        <v>38</v>
      </c>
      <c r="N110" s="1058">
        <v>0</v>
      </c>
      <c r="O110" s="1057">
        <v>0</v>
      </c>
      <c r="P110" s="1059">
        <f t="shared" si="3"/>
        <v>38</v>
      </c>
      <c r="Q110" s="1057"/>
      <c r="R110" s="1058">
        <v>2043</v>
      </c>
      <c r="S110" s="1057">
        <v>728</v>
      </c>
      <c r="T110" s="1060">
        <v>2771</v>
      </c>
    </row>
    <row r="111" spans="1:20" x14ac:dyDescent="0.25">
      <c r="A111" s="1054">
        <v>91081</v>
      </c>
      <c r="B111" s="1055" t="s">
        <v>4025</v>
      </c>
      <c r="C111" s="1056">
        <v>3.8870000000000002E-4</v>
      </c>
      <c r="D111" s="1056">
        <v>3.6240000000000003E-4</v>
      </c>
      <c r="E111" s="1057">
        <v>922129</v>
      </c>
      <c r="F111" s="1057" t="s">
        <v>187</v>
      </c>
      <c r="G111" s="1058">
        <v>142263</v>
      </c>
      <c r="H111" s="1059">
        <v>126581</v>
      </c>
      <c r="I111" s="1058">
        <v>244698</v>
      </c>
      <c r="J111" s="1057">
        <v>20151</v>
      </c>
      <c r="K111" s="1059">
        <f t="shared" si="2"/>
        <v>533693</v>
      </c>
      <c r="L111" s="1057"/>
      <c r="M111" s="1058">
        <v>4774</v>
      </c>
      <c r="N111" s="1058">
        <v>0</v>
      </c>
      <c r="O111" s="1057">
        <v>0</v>
      </c>
      <c r="P111" s="1059">
        <f t="shared" si="3"/>
        <v>4774</v>
      </c>
      <c r="Q111" s="1057"/>
      <c r="R111" s="1058">
        <v>256143</v>
      </c>
      <c r="S111" s="1057">
        <v>-8184</v>
      </c>
      <c r="T111" s="1060">
        <v>247959</v>
      </c>
    </row>
    <row r="112" spans="1:20" x14ac:dyDescent="0.25">
      <c r="A112" s="1054">
        <v>91091</v>
      </c>
      <c r="B112" s="1055" t="s">
        <v>4026</v>
      </c>
      <c r="C112" s="1056">
        <v>5.0319999999999998E-4</v>
      </c>
      <c r="D112" s="1056">
        <v>5.3790000000000001E-4</v>
      </c>
      <c r="E112" s="1057">
        <v>1193762</v>
      </c>
      <c r="F112" s="1057" t="s">
        <v>187</v>
      </c>
      <c r="G112" s="1058">
        <v>184169</v>
      </c>
      <c r="H112" s="1059">
        <v>163868</v>
      </c>
      <c r="I112" s="1058">
        <v>316778</v>
      </c>
      <c r="J112" s="1057">
        <v>0</v>
      </c>
      <c r="K112" s="1059">
        <f t="shared" si="2"/>
        <v>664815</v>
      </c>
      <c r="L112" s="1057"/>
      <c r="M112" s="1058">
        <v>6180</v>
      </c>
      <c r="N112" s="1058">
        <v>0</v>
      </c>
      <c r="O112" s="1057">
        <v>63597</v>
      </c>
      <c r="P112" s="1059">
        <f t="shared" si="3"/>
        <v>69777</v>
      </c>
      <c r="Q112" s="1057"/>
      <c r="R112" s="1058">
        <v>331595</v>
      </c>
      <c r="S112" s="1057">
        <v>-37735</v>
      </c>
      <c r="T112" s="1060">
        <v>293860</v>
      </c>
    </row>
    <row r="113" spans="1:20" x14ac:dyDescent="0.25">
      <c r="A113" s="1054">
        <v>91101</v>
      </c>
      <c r="B113" s="1055" t="s">
        <v>2677</v>
      </c>
      <c r="C113" s="1056">
        <v>1.3608800000000001E-2</v>
      </c>
      <c r="D113" s="1056">
        <v>1.35581E-2</v>
      </c>
      <c r="E113" s="1057">
        <v>32284728</v>
      </c>
      <c r="F113" s="1057" t="s">
        <v>187</v>
      </c>
      <c r="G113" s="1058">
        <v>4980766</v>
      </c>
      <c r="H113" s="1059">
        <v>4431733</v>
      </c>
      <c r="I113" s="1058">
        <v>8567121</v>
      </c>
      <c r="J113" s="1057">
        <v>153266</v>
      </c>
      <c r="K113" s="1059">
        <f t="shared" si="2"/>
        <v>18132886</v>
      </c>
      <c r="L113" s="1057"/>
      <c r="M113" s="1058">
        <v>167130</v>
      </c>
      <c r="N113" s="1058">
        <v>0</v>
      </c>
      <c r="O113" s="1057">
        <v>611807</v>
      </c>
      <c r="P113" s="1059">
        <f t="shared" si="3"/>
        <v>778937</v>
      </c>
      <c r="Q113" s="1057"/>
      <c r="R113" s="1058">
        <v>8967832</v>
      </c>
      <c r="S113" s="1057">
        <v>97540</v>
      </c>
      <c r="T113" s="1060">
        <v>9065372</v>
      </c>
    </row>
    <row r="114" spans="1:20" x14ac:dyDescent="0.25">
      <c r="A114" s="1054">
        <v>91102</v>
      </c>
      <c r="B114" s="1055" t="s">
        <v>2678</v>
      </c>
      <c r="C114" s="1056">
        <v>3.2509999999999999E-4</v>
      </c>
      <c r="D114" s="1056">
        <v>3.2919999999999998E-4</v>
      </c>
      <c r="E114" s="1057">
        <v>771248</v>
      </c>
      <c r="F114" s="1057" t="s">
        <v>187</v>
      </c>
      <c r="G114" s="1058">
        <v>118985</v>
      </c>
      <c r="H114" s="1059">
        <v>105870</v>
      </c>
      <c r="I114" s="1058">
        <v>204660</v>
      </c>
      <c r="J114" s="1057">
        <v>24895</v>
      </c>
      <c r="K114" s="1059">
        <f t="shared" si="2"/>
        <v>454410</v>
      </c>
      <c r="L114" s="1057"/>
      <c r="M114" s="1058">
        <v>3993</v>
      </c>
      <c r="N114" s="1058">
        <v>0</v>
      </c>
      <c r="O114" s="1057">
        <v>16541</v>
      </c>
      <c r="P114" s="1059">
        <f t="shared" si="3"/>
        <v>20534</v>
      </c>
      <c r="Q114" s="1057"/>
      <c r="R114" s="1058">
        <v>214232</v>
      </c>
      <c r="S114" s="1057">
        <v>-8634</v>
      </c>
      <c r="T114" s="1060">
        <v>205598</v>
      </c>
    </row>
    <row r="115" spans="1:20" x14ac:dyDescent="0.25">
      <c r="A115" s="1054">
        <v>91104</v>
      </c>
      <c r="B115" s="1055" t="s">
        <v>2679</v>
      </c>
      <c r="C115" s="1056">
        <v>6.9999999999999999E-6</v>
      </c>
      <c r="D115" s="1056">
        <v>7.9000000000000006E-6</v>
      </c>
      <c r="E115" s="1057">
        <v>16606</v>
      </c>
      <c r="F115" s="1057" t="s">
        <v>187</v>
      </c>
      <c r="G115" s="1058">
        <v>2562</v>
      </c>
      <c r="H115" s="1059">
        <v>2279</v>
      </c>
      <c r="I115" s="1058">
        <v>4407</v>
      </c>
      <c r="J115" s="1057">
        <v>4377</v>
      </c>
      <c r="K115" s="1059">
        <f t="shared" si="2"/>
        <v>13625</v>
      </c>
      <c r="L115" s="1057"/>
      <c r="M115" s="1058">
        <v>86</v>
      </c>
      <c r="N115" s="1058">
        <v>0</v>
      </c>
      <c r="O115" s="1057">
        <v>0</v>
      </c>
      <c r="P115" s="1059">
        <f t="shared" si="3"/>
        <v>86</v>
      </c>
      <c r="Q115" s="1057"/>
      <c r="R115" s="1058">
        <v>4613</v>
      </c>
      <c r="S115" s="1057">
        <v>1311</v>
      </c>
      <c r="T115" s="1060">
        <v>5924</v>
      </c>
    </row>
    <row r="116" spans="1:20" x14ac:dyDescent="0.25">
      <c r="A116" s="1054">
        <v>91107</v>
      </c>
      <c r="B116" s="1055" t="s">
        <v>3580</v>
      </c>
      <c r="C116" s="1056">
        <v>5.8999999999999998E-5</v>
      </c>
      <c r="D116" s="1056">
        <v>7.08E-5</v>
      </c>
      <c r="E116" s="1057">
        <v>139968</v>
      </c>
      <c r="F116" s="1057" t="s">
        <v>187</v>
      </c>
      <c r="G116" s="1058">
        <v>21594</v>
      </c>
      <c r="H116" s="1059">
        <v>19214</v>
      </c>
      <c r="I116" s="1058">
        <v>37142</v>
      </c>
      <c r="J116" s="1057">
        <v>7995</v>
      </c>
      <c r="K116" s="1059">
        <f t="shared" si="2"/>
        <v>85945</v>
      </c>
      <c r="L116" s="1057"/>
      <c r="M116" s="1058">
        <v>725</v>
      </c>
      <c r="N116" s="1058">
        <v>0</v>
      </c>
      <c r="O116" s="1057">
        <v>3010</v>
      </c>
      <c r="P116" s="1059">
        <f t="shared" si="3"/>
        <v>3735</v>
      </c>
      <c r="Q116" s="1057"/>
      <c r="R116" s="1058">
        <v>38879</v>
      </c>
      <c r="S116" s="1057">
        <v>4395</v>
      </c>
      <c r="T116" s="1060">
        <v>43274</v>
      </c>
    </row>
    <row r="117" spans="1:20" x14ac:dyDescent="0.25">
      <c r="A117" s="1054">
        <v>91108</v>
      </c>
      <c r="B117" s="1055" t="s">
        <v>2681</v>
      </c>
      <c r="C117" s="1056">
        <v>1.2019000000000001E-3</v>
      </c>
      <c r="D117" s="1056">
        <v>1.2413999999999999E-3</v>
      </c>
      <c r="E117" s="1057">
        <v>2851318</v>
      </c>
      <c r="F117" s="1057" t="s">
        <v>187</v>
      </c>
      <c r="G117" s="1058">
        <v>439891</v>
      </c>
      <c r="H117" s="1059">
        <v>391401</v>
      </c>
      <c r="I117" s="1058">
        <v>756630</v>
      </c>
      <c r="J117" s="1057">
        <v>64196</v>
      </c>
      <c r="K117" s="1059">
        <f t="shared" si="2"/>
        <v>1652118</v>
      </c>
      <c r="L117" s="1057"/>
      <c r="M117" s="1058">
        <v>14761</v>
      </c>
      <c r="N117" s="1058">
        <v>0</v>
      </c>
      <c r="O117" s="1057">
        <v>0</v>
      </c>
      <c r="P117" s="1059">
        <f t="shared" si="3"/>
        <v>14761</v>
      </c>
      <c r="Q117" s="1057"/>
      <c r="R117" s="1058">
        <v>792020</v>
      </c>
      <c r="S117" s="1057">
        <v>40803</v>
      </c>
      <c r="T117" s="1060">
        <v>832823</v>
      </c>
    </row>
    <row r="118" spans="1:20" x14ac:dyDescent="0.25">
      <c r="A118" s="1054">
        <v>91109</v>
      </c>
      <c r="B118" s="1055" t="s">
        <v>2682</v>
      </c>
      <c r="C118" s="1056">
        <v>1E-4</v>
      </c>
      <c r="D118" s="1056">
        <v>9.9599999999999995E-5</v>
      </c>
      <c r="E118" s="1057">
        <v>237234</v>
      </c>
      <c r="F118" s="1057" t="s">
        <v>187</v>
      </c>
      <c r="G118" s="1058">
        <v>36600</v>
      </c>
      <c r="H118" s="1059">
        <v>32565</v>
      </c>
      <c r="I118" s="1058">
        <v>62953</v>
      </c>
      <c r="J118" s="1057">
        <v>7411</v>
      </c>
      <c r="K118" s="1059">
        <f t="shared" si="2"/>
        <v>139529</v>
      </c>
      <c r="L118" s="1057"/>
      <c r="M118" s="1058">
        <v>1228</v>
      </c>
      <c r="N118" s="1058">
        <v>0</v>
      </c>
      <c r="O118" s="1057">
        <v>235</v>
      </c>
      <c r="P118" s="1059">
        <f t="shared" si="3"/>
        <v>1463</v>
      </c>
      <c r="Q118" s="1057"/>
      <c r="R118" s="1058">
        <v>65897</v>
      </c>
      <c r="S118" s="1057">
        <v>2068</v>
      </c>
      <c r="T118" s="1060">
        <v>67965</v>
      </c>
    </row>
    <row r="119" spans="1:20" x14ac:dyDescent="0.25">
      <c r="A119" s="1054">
        <v>91111</v>
      </c>
      <c r="B119" s="1055" t="s">
        <v>4027</v>
      </c>
      <c r="C119" s="1056">
        <v>2.3499999999999999E-4</v>
      </c>
      <c r="D119" s="1056">
        <v>2.2719999999999999E-4</v>
      </c>
      <c r="E119" s="1057">
        <v>557500</v>
      </c>
      <c r="F119" s="1057" t="s">
        <v>187</v>
      </c>
      <c r="G119" s="1058">
        <v>86009</v>
      </c>
      <c r="H119" s="1059">
        <v>76528</v>
      </c>
      <c r="I119" s="1058">
        <v>147939</v>
      </c>
      <c r="J119" s="1057">
        <v>19329</v>
      </c>
      <c r="K119" s="1059">
        <f t="shared" si="2"/>
        <v>329805</v>
      </c>
      <c r="L119" s="1057"/>
      <c r="M119" s="1058">
        <v>2886</v>
      </c>
      <c r="N119" s="1058">
        <v>0</v>
      </c>
      <c r="O119" s="1057">
        <v>0</v>
      </c>
      <c r="P119" s="1059">
        <f t="shared" si="3"/>
        <v>2886</v>
      </c>
      <c r="Q119" s="1057"/>
      <c r="R119" s="1058">
        <v>154859</v>
      </c>
      <c r="S119" s="1057">
        <v>11947</v>
      </c>
      <c r="T119" s="1060">
        <v>166806</v>
      </c>
    </row>
    <row r="120" spans="1:20" x14ac:dyDescent="0.25">
      <c r="A120" s="1054">
        <v>91119</v>
      </c>
      <c r="B120" s="1055" t="s">
        <v>1279</v>
      </c>
      <c r="C120" s="1056">
        <v>0</v>
      </c>
      <c r="D120" s="1056">
        <v>0</v>
      </c>
      <c r="E120" s="1057">
        <v>0</v>
      </c>
      <c r="F120" s="1057" t="s">
        <v>187</v>
      </c>
      <c r="G120" s="1058">
        <v>0</v>
      </c>
      <c r="H120" s="1059">
        <v>0</v>
      </c>
      <c r="I120" s="1058">
        <v>0</v>
      </c>
      <c r="J120" s="1057">
        <v>0</v>
      </c>
      <c r="K120" s="1059">
        <f t="shared" si="2"/>
        <v>0</v>
      </c>
      <c r="L120" s="1057"/>
      <c r="M120" s="1058">
        <v>0</v>
      </c>
      <c r="N120" s="1058">
        <v>0</v>
      </c>
      <c r="O120" s="1057">
        <v>0</v>
      </c>
      <c r="P120" s="1059">
        <f t="shared" si="3"/>
        <v>0</v>
      </c>
      <c r="Q120" s="1057"/>
      <c r="R120" s="1058">
        <v>0</v>
      </c>
      <c r="S120" s="1057">
        <v>-321091</v>
      </c>
      <c r="T120" s="1060">
        <v>-321091</v>
      </c>
    </row>
    <row r="121" spans="1:20" x14ac:dyDescent="0.25">
      <c r="A121" s="1054">
        <v>91120</v>
      </c>
      <c r="B121" s="1055" t="s">
        <v>2684</v>
      </c>
      <c r="C121" s="1056">
        <v>1.2679999999999999E-4</v>
      </c>
      <c r="D121" s="1056">
        <v>1.3019999999999999E-4</v>
      </c>
      <c r="E121" s="1057">
        <v>300813</v>
      </c>
      <c r="F121" s="1057" t="s">
        <v>187</v>
      </c>
      <c r="G121" s="1058">
        <v>46408</v>
      </c>
      <c r="H121" s="1059">
        <v>41293</v>
      </c>
      <c r="I121" s="1058">
        <v>79824</v>
      </c>
      <c r="J121" s="1057">
        <v>0</v>
      </c>
      <c r="K121" s="1059">
        <f t="shared" si="2"/>
        <v>167525</v>
      </c>
      <c r="L121" s="1057"/>
      <c r="M121" s="1058">
        <v>1557</v>
      </c>
      <c r="N121" s="1058">
        <v>0</v>
      </c>
      <c r="O121" s="1057">
        <v>20743</v>
      </c>
      <c r="P121" s="1059">
        <f t="shared" si="3"/>
        <v>22300</v>
      </c>
      <c r="Q121" s="1057"/>
      <c r="R121" s="1058">
        <v>83558</v>
      </c>
      <c r="S121" s="1057">
        <v>-14819</v>
      </c>
      <c r="T121" s="1060">
        <v>68739</v>
      </c>
    </row>
    <row r="122" spans="1:20" x14ac:dyDescent="0.25">
      <c r="A122" s="1054">
        <v>91121</v>
      </c>
      <c r="B122" s="1055" t="s">
        <v>2685</v>
      </c>
      <c r="C122" s="1056">
        <v>1.02925E-2</v>
      </c>
      <c r="D122" s="1056">
        <v>9.9927999999999996E-3</v>
      </c>
      <c r="E122" s="1057">
        <v>24417330</v>
      </c>
      <c r="F122" s="1057" t="s">
        <v>187</v>
      </c>
      <c r="G122" s="1058">
        <v>3767014</v>
      </c>
      <c r="H122" s="1059">
        <v>3351774</v>
      </c>
      <c r="I122" s="1058">
        <v>6479417</v>
      </c>
      <c r="J122" s="1057">
        <v>0</v>
      </c>
      <c r="K122" s="1059">
        <f t="shared" si="2"/>
        <v>13598205</v>
      </c>
      <c r="L122" s="1057"/>
      <c r="M122" s="1058">
        <v>126402</v>
      </c>
      <c r="N122" s="1058">
        <v>0</v>
      </c>
      <c r="O122" s="1057">
        <v>408831</v>
      </c>
      <c r="P122" s="1059">
        <f t="shared" si="3"/>
        <v>535233</v>
      </c>
      <c r="Q122" s="1057"/>
      <c r="R122" s="1058">
        <v>6782480</v>
      </c>
      <c r="S122" s="1057">
        <v>-342903</v>
      </c>
      <c r="T122" s="1060">
        <v>6439577</v>
      </c>
    </row>
    <row r="123" spans="1:20" x14ac:dyDescent="0.25">
      <c r="A123" s="1054">
        <v>91127</v>
      </c>
      <c r="B123" s="1055" t="s">
        <v>2686</v>
      </c>
      <c r="C123" s="1056">
        <v>2.8370000000000001E-4</v>
      </c>
      <c r="D123" s="1056">
        <v>2.6879999999999997E-4</v>
      </c>
      <c r="E123" s="1057">
        <v>673033</v>
      </c>
      <c r="F123" s="1057" t="s">
        <v>187</v>
      </c>
      <c r="G123" s="1058">
        <v>103833</v>
      </c>
      <c r="H123" s="1059">
        <v>92387</v>
      </c>
      <c r="I123" s="1058">
        <v>178597</v>
      </c>
      <c r="J123" s="1057">
        <v>49510</v>
      </c>
      <c r="K123" s="1059">
        <f t="shared" si="2"/>
        <v>424327</v>
      </c>
      <c r="L123" s="1057"/>
      <c r="M123" s="1058">
        <v>3484</v>
      </c>
      <c r="N123" s="1058">
        <v>0</v>
      </c>
      <c r="O123" s="1057">
        <v>0</v>
      </c>
      <c r="P123" s="1059">
        <f t="shared" si="3"/>
        <v>3484</v>
      </c>
      <c r="Q123" s="1057"/>
      <c r="R123" s="1058">
        <v>186951</v>
      </c>
      <c r="S123" s="1057">
        <v>31849</v>
      </c>
      <c r="T123" s="1060">
        <v>218800</v>
      </c>
    </row>
    <row r="124" spans="1:20" x14ac:dyDescent="0.25">
      <c r="A124" s="1054">
        <v>91128</v>
      </c>
      <c r="B124" s="1055" t="s">
        <v>2687</v>
      </c>
      <c r="C124" s="1056">
        <v>5.1060000000000005E-4</v>
      </c>
      <c r="D124" s="1056">
        <v>5.2380000000000005E-4</v>
      </c>
      <c r="E124" s="1057">
        <v>1211318</v>
      </c>
      <c r="F124" s="1057" t="s">
        <v>187</v>
      </c>
      <c r="G124" s="1058">
        <v>186878</v>
      </c>
      <c r="H124" s="1059">
        <v>166278</v>
      </c>
      <c r="I124" s="1058">
        <v>321437</v>
      </c>
      <c r="J124" s="1057">
        <v>9519</v>
      </c>
      <c r="K124" s="1059">
        <f t="shared" si="2"/>
        <v>684112</v>
      </c>
      <c r="L124" s="1057"/>
      <c r="M124" s="1058">
        <v>6271</v>
      </c>
      <c r="N124" s="1058">
        <v>0</v>
      </c>
      <c r="O124" s="1057">
        <v>11235</v>
      </c>
      <c r="P124" s="1059">
        <f t="shared" si="3"/>
        <v>17506</v>
      </c>
      <c r="Q124" s="1057"/>
      <c r="R124" s="1058">
        <v>336472</v>
      </c>
      <c r="S124" s="1057">
        <v>-3424</v>
      </c>
      <c r="T124" s="1060">
        <v>333048</v>
      </c>
    </row>
    <row r="125" spans="1:20" x14ac:dyDescent="0.25">
      <c r="A125" s="1054">
        <v>91138</v>
      </c>
      <c r="B125" s="1055" t="s">
        <v>2688</v>
      </c>
      <c r="C125" s="1056">
        <v>4.8819999999999999E-4</v>
      </c>
      <c r="D125" s="1056">
        <v>6.2629999999999999E-4</v>
      </c>
      <c r="E125" s="1057">
        <v>1158177</v>
      </c>
      <c r="F125" s="1057" t="s">
        <v>187</v>
      </c>
      <c r="G125" s="1058">
        <v>178679</v>
      </c>
      <c r="H125" s="1059">
        <v>158983</v>
      </c>
      <c r="I125" s="1058">
        <v>307336</v>
      </c>
      <c r="J125" s="1057">
        <v>0</v>
      </c>
      <c r="K125" s="1059">
        <f t="shared" si="2"/>
        <v>644998</v>
      </c>
      <c r="L125" s="1057"/>
      <c r="M125" s="1058">
        <v>5996</v>
      </c>
      <c r="N125" s="1058">
        <v>0</v>
      </c>
      <c r="O125" s="1057">
        <v>212777</v>
      </c>
      <c r="P125" s="1059">
        <f t="shared" si="3"/>
        <v>218773</v>
      </c>
      <c r="Q125" s="1057"/>
      <c r="R125" s="1058">
        <v>321711</v>
      </c>
      <c r="S125" s="1057">
        <v>-81735</v>
      </c>
      <c r="T125" s="1060">
        <v>239976</v>
      </c>
    </row>
    <row r="126" spans="1:20" x14ac:dyDescent="0.25">
      <c r="A126" s="1054">
        <v>91141</v>
      </c>
      <c r="B126" s="1055" t="s">
        <v>4028</v>
      </c>
      <c r="C126" s="1056">
        <v>5.5960000000000005E-4</v>
      </c>
      <c r="D126" s="1056">
        <v>5.7569999999999995E-4</v>
      </c>
      <c r="E126" s="1057">
        <v>1327563</v>
      </c>
      <c r="F126" s="1057" t="s">
        <v>187</v>
      </c>
      <c r="G126" s="1058">
        <v>204811</v>
      </c>
      <c r="H126" s="1059">
        <v>182235</v>
      </c>
      <c r="I126" s="1058">
        <v>352284</v>
      </c>
      <c r="J126" s="1057">
        <v>0</v>
      </c>
      <c r="K126" s="1059">
        <f t="shared" si="2"/>
        <v>739330</v>
      </c>
      <c r="L126" s="1057"/>
      <c r="M126" s="1058">
        <v>6872</v>
      </c>
      <c r="N126" s="1058">
        <v>0</v>
      </c>
      <c r="O126" s="1057">
        <v>65730</v>
      </c>
      <c r="P126" s="1059">
        <f t="shared" si="3"/>
        <v>72602</v>
      </c>
      <c r="Q126" s="1057"/>
      <c r="R126" s="1058">
        <v>368761</v>
      </c>
      <c r="S126" s="1057">
        <v>-43880</v>
      </c>
      <c r="T126" s="1060">
        <v>324881</v>
      </c>
    </row>
    <row r="127" spans="1:20" x14ac:dyDescent="0.25">
      <c r="A127" s="1054">
        <v>91147</v>
      </c>
      <c r="B127" s="1055" t="s">
        <v>2690</v>
      </c>
      <c r="C127" s="1056">
        <v>2.87E-5</v>
      </c>
      <c r="D127" s="1056">
        <v>2.6699999999999998E-5</v>
      </c>
      <c r="E127" s="1057">
        <v>68086</v>
      </c>
      <c r="F127" s="1057" t="s">
        <v>187</v>
      </c>
      <c r="G127" s="1058">
        <v>10504</v>
      </c>
      <c r="H127" s="1059">
        <v>9346</v>
      </c>
      <c r="I127" s="1058">
        <v>18067</v>
      </c>
      <c r="J127" s="1057">
        <v>5905</v>
      </c>
      <c r="K127" s="1059">
        <f t="shared" si="2"/>
        <v>43822</v>
      </c>
      <c r="L127" s="1057"/>
      <c r="M127" s="1058">
        <v>352</v>
      </c>
      <c r="N127" s="1058">
        <v>0</v>
      </c>
      <c r="O127" s="1057">
        <v>0</v>
      </c>
      <c r="P127" s="1059">
        <f t="shared" si="3"/>
        <v>352</v>
      </c>
      <c r="Q127" s="1057"/>
      <c r="R127" s="1058">
        <v>18913</v>
      </c>
      <c r="S127" s="1057">
        <v>4757</v>
      </c>
      <c r="T127" s="1060">
        <v>23670</v>
      </c>
    </row>
    <row r="128" spans="1:20" x14ac:dyDescent="0.25">
      <c r="A128" s="1054">
        <v>91151</v>
      </c>
      <c r="B128" s="1055" t="s">
        <v>4029</v>
      </c>
      <c r="C128" s="1056">
        <v>6.2589999999999998E-4</v>
      </c>
      <c r="D128" s="1056">
        <v>6.3409999999999996E-4</v>
      </c>
      <c r="E128" s="1057">
        <v>1484849</v>
      </c>
      <c r="F128" s="1057" t="s">
        <v>187</v>
      </c>
      <c r="G128" s="1058">
        <v>229077</v>
      </c>
      <c r="H128" s="1059">
        <v>203826</v>
      </c>
      <c r="I128" s="1058">
        <v>394022</v>
      </c>
      <c r="J128" s="1057">
        <v>3112</v>
      </c>
      <c r="K128" s="1059">
        <f t="shared" si="2"/>
        <v>830037</v>
      </c>
      <c r="L128" s="1057"/>
      <c r="M128" s="1058">
        <v>7687</v>
      </c>
      <c r="N128" s="1058">
        <v>0</v>
      </c>
      <c r="O128" s="1057">
        <v>68725</v>
      </c>
      <c r="P128" s="1059">
        <f t="shared" si="3"/>
        <v>76412</v>
      </c>
      <c r="Q128" s="1057"/>
      <c r="R128" s="1058">
        <v>412451</v>
      </c>
      <c r="S128" s="1057">
        <v>-24854</v>
      </c>
      <c r="T128" s="1060">
        <v>387597</v>
      </c>
    </row>
    <row r="129" spans="1:20" x14ac:dyDescent="0.25">
      <c r="A129" s="1054">
        <v>91154</v>
      </c>
      <c r="B129" s="1055" t="s">
        <v>2692</v>
      </c>
      <c r="C129" s="1056">
        <v>2.41E-5</v>
      </c>
      <c r="D129" s="1056">
        <v>2.6299999999999999E-5</v>
      </c>
      <c r="E129" s="1057">
        <v>57173</v>
      </c>
      <c r="F129" s="1057" t="s">
        <v>187</v>
      </c>
      <c r="G129" s="1058">
        <v>8821</v>
      </c>
      <c r="H129" s="1059">
        <v>7848</v>
      </c>
      <c r="I129" s="1058">
        <v>15172</v>
      </c>
      <c r="J129" s="1057">
        <v>4369</v>
      </c>
      <c r="K129" s="1059">
        <f t="shared" si="2"/>
        <v>36210</v>
      </c>
      <c r="L129" s="1057"/>
      <c r="M129" s="1058">
        <v>296</v>
      </c>
      <c r="N129" s="1058">
        <v>0</v>
      </c>
      <c r="O129" s="1057">
        <v>2182</v>
      </c>
      <c r="P129" s="1059">
        <f t="shared" si="3"/>
        <v>2478</v>
      </c>
      <c r="Q129" s="1057"/>
      <c r="R129" s="1058">
        <v>15881</v>
      </c>
      <c r="S129" s="1057">
        <v>2411</v>
      </c>
      <c r="T129" s="1060">
        <v>18292</v>
      </c>
    </row>
    <row r="130" spans="1:20" x14ac:dyDescent="0.25">
      <c r="A130" s="1054">
        <v>91161</v>
      </c>
      <c r="B130" s="1055" t="s">
        <v>4030</v>
      </c>
      <c r="C130" s="1056">
        <v>7.9699999999999999E-5</v>
      </c>
      <c r="D130" s="1056">
        <v>9.2600000000000001E-5</v>
      </c>
      <c r="E130" s="1057">
        <v>189076</v>
      </c>
      <c r="F130" s="1057" t="s">
        <v>187</v>
      </c>
      <c r="G130" s="1058">
        <v>29170</v>
      </c>
      <c r="H130" s="1059">
        <v>25954</v>
      </c>
      <c r="I130" s="1058">
        <v>50173</v>
      </c>
      <c r="J130" s="1057">
        <v>2466</v>
      </c>
      <c r="K130" s="1059">
        <f t="shared" si="2"/>
        <v>107763</v>
      </c>
      <c r="L130" s="1057"/>
      <c r="M130" s="1058">
        <v>979</v>
      </c>
      <c r="N130" s="1058">
        <v>0</v>
      </c>
      <c r="O130" s="1057">
        <v>9902</v>
      </c>
      <c r="P130" s="1059">
        <f t="shared" si="3"/>
        <v>10881</v>
      </c>
      <c r="Q130" s="1057"/>
      <c r="R130" s="1058">
        <v>52520</v>
      </c>
      <c r="S130" s="1057">
        <v>-1236</v>
      </c>
      <c r="T130" s="1060">
        <v>51284</v>
      </c>
    </row>
    <row r="131" spans="1:20" x14ac:dyDescent="0.25">
      <c r="A131" s="1054">
        <v>91171</v>
      </c>
      <c r="B131" s="1055" t="s">
        <v>4031</v>
      </c>
      <c r="C131" s="1056">
        <v>2.3790000000000001E-4</v>
      </c>
      <c r="D131" s="1056">
        <v>1.95E-4</v>
      </c>
      <c r="E131" s="1057">
        <v>564380</v>
      </c>
      <c r="F131" s="1057" t="s">
        <v>187</v>
      </c>
      <c r="G131" s="1058">
        <v>87070</v>
      </c>
      <c r="H131" s="1059">
        <v>77473</v>
      </c>
      <c r="I131" s="1058">
        <v>149765</v>
      </c>
      <c r="J131" s="1057">
        <v>24306</v>
      </c>
      <c r="K131" s="1059">
        <f t="shared" si="2"/>
        <v>338614</v>
      </c>
      <c r="L131" s="1057"/>
      <c r="M131" s="1058">
        <v>2922</v>
      </c>
      <c r="N131" s="1058">
        <v>0</v>
      </c>
      <c r="O131" s="1057">
        <v>36666</v>
      </c>
      <c r="P131" s="1059">
        <f t="shared" si="3"/>
        <v>39588</v>
      </c>
      <c r="Q131" s="1057"/>
      <c r="R131" s="1058">
        <v>156770</v>
      </c>
      <c r="S131" s="1057">
        <v>-15275</v>
      </c>
      <c r="T131" s="1060">
        <v>141495</v>
      </c>
    </row>
    <row r="132" spans="1:20" x14ac:dyDescent="0.25">
      <c r="A132" s="1054">
        <v>91201</v>
      </c>
      <c r="B132" s="1055" t="s">
        <v>2695</v>
      </c>
      <c r="C132" s="1056">
        <v>2.2587000000000002E-3</v>
      </c>
      <c r="D132" s="1056">
        <v>2.2878E-3</v>
      </c>
      <c r="E132" s="1057">
        <v>5358409</v>
      </c>
      <c r="F132" s="1057" t="s">
        <v>187</v>
      </c>
      <c r="G132" s="1058">
        <v>826675</v>
      </c>
      <c r="H132" s="1059">
        <v>735550</v>
      </c>
      <c r="I132" s="1058">
        <v>1421915</v>
      </c>
      <c r="J132" s="1057">
        <v>15312</v>
      </c>
      <c r="K132" s="1059">
        <f t="shared" si="2"/>
        <v>2999452</v>
      </c>
      <c r="L132" s="1057"/>
      <c r="M132" s="1058">
        <v>27739</v>
      </c>
      <c r="N132" s="1058">
        <v>0</v>
      </c>
      <c r="O132" s="1057">
        <v>131332</v>
      </c>
      <c r="P132" s="1059">
        <f t="shared" si="3"/>
        <v>159071</v>
      </c>
      <c r="Q132" s="1057"/>
      <c r="R132" s="1058">
        <v>1488422</v>
      </c>
      <c r="S132" s="1057">
        <v>-15775</v>
      </c>
      <c r="T132" s="1060">
        <v>1472647</v>
      </c>
    </row>
    <row r="133" spans="1:20" x14ac:dyDescent="0.25">
      <c r="A133" s="1054">
        <v>91202</v>
      </c>
      <c r="B133" s="1055" t="s">
        <v>2696</v>
      </c>
      <c r="C133" s="1056">
        <v>1.9579999999999999E-4</v>
      </c>
      <c r="D133" s="1056">
        <v>1.9330000000000001E-4</v>
      </c>
      <c r="E133" s="1057">
        <v>464505</v>
      </c>
      <c r="F133" s="1057" t="s">
        <v>187</v>
      </c>
      <c r="G133" s="1058">
        <v>71662</v>
      </c>
      <c r="H133" s="1059">
        <v>63762</v>
      </c>
      <c r="I133" s="1058">
        <v>123262</v>
      </c>
      <c r="J133" s="1057">
        <v>19480</v>
      </c>
      <c r="K133" s="1059">
        <f t="shared" si="2"/>
        <v>278166</v>
      </c>
      <c r="L133" s="1057"/>
      <c r="M133" s="1058">
        <v>2405</v>
      </c>
      <c r="N133" s="1058">
        <v>0</v>
      </c>
      <c r="O133" s="1057">
        <v>0</v>
      </c>
      <c r="P133" s="1059">
        <f t="shared" si="3"/>
        <v>2405</v>
      </c>
      <c r="Q133" s="1057"/>
      <c r="R133" s="1058">
        <v>129027</v>
      </c>
      <c r="S133" s="1057">
        <v>13312</v>
      </c>
      <c r="T133" s="1060">
        <v>142339</v>
      </c>
    </row>
    <row r="134" spans="1:20" x14ac:dyDescent="0.25">
      <c r="A134" s="1054">
        <v>91203</v>
      </c>
      <c r="B134" s="1055" t="s">
        <v>2697</v>
      </c>
      <c r="C134" s="1056">
        <v>2.3000000000000001E-4</v>
      </c>
      <c r="D134" s="1056">
        <v>2.1939999999999999E-4</v>
      </c>
      <c r="E134" s="1057">
        <v>545639</v>
      </c>
      <c r="F134" s="1057" t="s">
        <v>187</v>
      </c>
      <c r="G134" s="1058">
        <v>84179</v>
      </c>
      <c r="H134" s="1059">
        <v>74900</v>
      </c>
      <c r="I134" s="1058">
        <v>144791</v>
      </c>
      <c r="J134" s="1057">
        <v>39994</v>
      </c>
      <c r="K134" s="1059">
        <f t="shared" si="2"/>
        <v>343864</v>
      </c>
      <c r="L134" s="1057"/>
      <c r="M134" s="1058">
        <v>2825</v>
      </c>
      <c r="N134" s="1058">
        <v>0</v>
      </c>
      <c r="O134" s="1057">
        <v>0</v>
      </c>
      <c r="P134" s="1059">
        <f t="shared" si="3"/>
        <v>2825</v>
      </c>
      <c r="Q134" s="1057"/>
      <c r="R134" s="1058">
        <v>151564</v>
      </c>
      <c r="S134" s="1057">
        <v>19261</v>
      </c>
      <c r="T134" s="1060">
        <v>170825</v>
      </c>
    </row>
    <row r="135" spans="1:20" x14ac:dyDescent="0.25">
      <c r="A135" s="1054">
        <v>91206</v>
      </c>
      <c r="B135" s="1055" t="s">
        <v>2698</v>
      </c>
      <c r="C135" s="1056">
        <v>9.0660000000000003E-4</v>
      </c>
      <c r="D135" s="1056">
        <v>8.6450000000000003E-4</v>
      </c>
      <c r="E135" s="1057">
        <v>2150765</v>
      </c>
      <c r="F135" s="1057" t="s">
        <v>187</v>
      </c>
      <c r="G135" s="1058">
        <v>331812</v>
      </c>
      <c r="H135" s="1059">
        <v>295237</v>
      </c>
      <c r="I135" s="1058">
        <v>570730</v>
      </c>
      <c r="J135" s="1057">
        <v>45439</v>
      </c>
      <c r="K135" s="1059">
        <f t="shared" si="2"/>
        <v>1243218</v>
      </c>
      <c r="L135" s="1057"/>
      <c r="M135" s="1058">
        <v>11134</v>
      </c>
      <c r="N135" s="1058">
        <v>0</v>
      </c>
      <c r="O135" s="1057">
        <v>736</v>
      </c>
      <c r="P135" s="1059">
        <f t="shared" si="3"/>
        <v>11870</v>
      </c>
      <c r="Q135" s="1057"/>
      <c r="R135" s="1058">
        <v>597425</v>
      </c>
      <c r="S135" s="1057">
        <v>22732</v>
      </c>
      <c r="T135" s="1060">
        <v>620157</v>
      </c>
    </row>
    <row r="136" spans="1:20" x14ac:dyDescent="0.25">
      <c r="A136" s="1054">
        <v>91208</v>
      </c>
      <c r="B136" s="1055" t="s">
        <v>2699</v>
      </c>
      <c r="C136" s="1056">
        <v>1.3200000000000001E-5</v>
      </c>
      <c r="D136" s="1056">
        <v>1.42E-5</v>
      </c>
      <c r="E136" s="1057">
        <v>31315</v>
      </c>
      <c r="F136" s="1057" t="s">
        <v>187</v>
      </c>
      <c r="G136" s="1058">
        <v>4831</v>
      </c>
      <c r="H136" s="1059">
        <v>4299</v>
      </c>
      <c r="I136" s="1058">
        <v>8310</v>
      </c>
      <c r="J136" s="1057">
        <v>529</v>
      </c>
      <c r="K136" s="1059">
        <f t="shared" ref="K136:K199" si="4">G136+H136+I136+J136</f>
        <v>17969</v>
      </c>
      <c r="L136" s="1057"/>
      <c r="M136" s="1058">
        <v>162</v>
      </c>
      <c r="N136" s="1058">
        <v>0</v>
      </c>
      <c r="O136" s="1057">
        <v>522</v>
      </c>
      <c r="P136" s="1059">
        <f t="shared" ref="P136:P199" si="5">M136+N136+O136</f>
        <v>684</v>
      </c>
      <c r="Q136" s="1057"/>
      <c r="R136" s="1058">
        <v>8698</v>
      </c>
      <c r="S136" s="1057">
        <v>3299</v>
      </c>
      <c r="T136" s="1060">
        <v>11997</v>
      </c>
    </row>
    <row r="137" spans="1:20" x14ac:dyDescent="0.25">
      <c r="A137" s="1054">
        <v>91211</v>
      </c>
      <c r="B137" s="1055" t="s">
        <v>4032</v>
      </c>
      <c r="C137" s="1056">
        <v>4.526E-4</v>
      </c>
      <c r="D137" s="1056">
        <v>4.5530000000000001E-4</v>
      </c>
      <c r="E137" s="1057">
        <v>1073722</v>
      </c>
      <c r="F137" s="1057" t="s">
        <v>187</v>
      </c>
      <c r="G137" s="1058">
        <v>165650</v>
      </c>
      <c r="H137" s="1059">
        <v>147390</v>
      </c>
      <c r="I137" s="1058">
        <v>284924</v>
      </c>
      <c r="J137" s="1057">
        <v>3586</v>
      </c>
      <c r="K137" s="1059">
        <f t="shared" si="4"/>
        <v>601550</v>
      </c>
      <c r="L137" s="1057"/>
      <c r="M137" s="1058">
        <v>5558</v>
      </c>
      <c r="N137" s="1058">
        <v>0</v>
      </c>
      <c r="O137" s="1057">
        <v>16402</v>
      </c>
      <c r="P137" s="1059">
        <f t="shared" si="5"/>
        <v>21960</v>
      </c>
      <c r="Q137" s="1057"/>
      <c r="R137" s="1058">
        <v>298251</v>
      </c>
      <c r="S137" s="1057">
        <v>-2389</v>
      </c>
      <c r="T137" s="1060">
        <v>295862</v>
      </c>
    </row>
    <row r="138" spans="1:20" x14ac:dyDescent="0.25">
      <c r="A138" s="1054">
        <v>91213</v>
      </c>
      <c r="B138" s="1055" t="s">
        <v>2701</v>
      </c>
      <c r="C138" s="1056">
        <v>2.4700000000000001E-5</v>
      </c>
      <c r="D138" s="1056">
        <v>3.2499999999999997E-5</v>
      </c>
      <c r="E138" s="1057">
        <v>58597</v>
      </c>
      <c r="F138" s="1057" t="s">
        <v>187</v>
      </c>
      <c r="G138" s="1058">
        <v>9040</v>
      </c>
      <c r="H138" s="1059">
        <v>8043</v>
      </c>
      <c r="I138" s="1058">
        <v>15549</v>
      </c>
      <c r="J138" s="1057">
        <v>0</v>
      </c>
      <c r="K138" s="1059">
        <f t="shared" si="4"/>
        <v>32632</v>
      </c>
      <c r="L138" s="1057"/>
      <c r="M138" s="1058">
        <v>303</v>
      </c>
      <c r="N138" s="1058">
        <v>0</v>
      </c>
      <c r="O138" s="1057">
        <v>10895</v>
      </c>
      <c r="P138" s="1059">
        <f t="shared" si="5"/>
        <v>11198</v>
      </c>
      <c r="Q138" s="1057"/>
      <c r="R138" s="1058">
        <v>16277</v>
      </c>
      <c r="S138" s="1057">
        <v>-4124</v>
      </c>
      <c r="T138" s="1060">
        <v>12153</v>
      </c>
    </row>
    <row r="139" spans="1:20" x14ac:dyDescent="0.25">
      <c r="A139" s="1054">
        <v>91214</v>
      </c>
      <c r="B139" s="1055" t="s">
        <v>4033</v>
      </c>
      <c r="C139" s="1056">
        <v>3.0499999999999999E-5</v>
      </c>
      <c r="D139" s="1056">
        <v>2.9300000000000001E-5</v>
      </c>
      <c r="E139" s="1057">
        <v>72356</v>
      </c>
      <c r="F139" s="1057" t="s">
        <v>187</v>
      </c>
      <c r="G139" s="1058">
        <v>11163</v>
      </c>
      <c r="H139" s="1059">
        <v>9932</v>
      </c>
      <c r="I139" s="1058">
        <v>19201</v>
      </c>
      <c r="J139" s="1057">
        <v>530</v>
      </c>
      <c r="K139" s="1059">
        <f t="shared" si="4"/>
        <v>40826</v>
      </c>
      <c r="L139" s="1057"/>
      <c r="M139" s="1058">
        <v>375</v>
      </c>
      <c r="N139" s="1058">
        <v>0</v>
      </c>
      <c r="O139" s="1057">
        <v>4250</v>
      </c>
      <c r="P139" s="1059">
        <f t="shared" si="5"/>
        <v>4625</v>
      </c>
      <c r="Q139" s="1057"/>
      <c r="R139" s="1058">
        <v>20099</v>
      </c>
      <c r="S139" s="1057">
        <v>-694</v>
      </c>
      <c r="T139" s="1060">
        <v>19405</v>
      </c>
    </row>
    <row r="140" spans="1:20" x14ac:dyDescent="0.25">
      <c r="A140" s="1054">
        <v>91217</v>
      </c>
      <c r="B140" s="1055" t="s">
        <v>2703</v>
      </c>
      <c r="C140" s="1056">
        <v>1.77E-5</v>
      </c>
      <c r="D140" s="1056">
        <v>2.8799999999999999E-5</v>
      </c>
      <c r="E140" s="1057">
        <v>41990</v>
      </c>
      <c r="F140" s="1057" t="s">
        <v>187</v>
      </c>
      <c r="G140" s="1058">
        <v>6478</v>
      </c>
      <c r="H140" s="1059">
        <v>5764</v>
      </c>
      <c r="I140" s="1058">
        <v>11143</v>
      </c>
      <c r="J140" s="1057">
        <v>6480</v>
      </c>
      <c r="K140" s="1059">
        <f t="shared" si="4"/>
        <v>29865</v>
      </c>
      <c r="L140" s="1057"/>
      <c r="M140" s="1058">
        <v>217</v>
      </c>
      <c r="N140" s="1058">
        <v>0</v>
      </c>
      <c r="O140" s="1057">
        <v>3242</v>
      </c>
      <c r="P140" s="1059">
        <f t="shared" si="5"/>
        <v>3459</v>
      </c>
      <c r="Q140" s="1057"/>
      <c r="R140" s="1058">
        <v>11664</v>
      </c>
      <c r="S140" s="1057">
        <v>3494</v>
      </c>
      <c r="T140" s="1060">
        <v>15158</v>
      </c>
    </row>
    <row r="141" spans="1:20" x14ac:dyDescent="0.25">
      <c r="A141" s="1054">
        <v>91221</v>
      </c>
      <c r="B141" s="1055" t="s">
        <v>4034</v>
      </c>
      <c r="C141" s="1056">
        <v>1.2329999999999999E-4</v>
      </c>
      <c r="D141" s="1056">
        <v>1.3359999999999999E-4</v>
      </c>
      <c r="E141" s="1057">
        <v>292510</v>
      </c>
      <c r="F141" s="1057" t="s">
        <v>187</v>
      </c>
      <c r="G141" s="1058">
        <v>45127</v>
      </c>
      <c r="H141" s="1059">
        <v>40153</v>
      </c>
      <c r="I141" s="1058">
        <v>77621</v>
      </c>
      <c r="J141" s="1057">
        <v>981</v>
      </c>
      <c r="K141" s="1059">
        <f t="shared" si="4"/>
        <v>163882</v>
      </c>
      <c r="L141" s="1057"/>
      <c r="M141" s="1058">
        <v>1514</v>
      </c>
      <c r="N141" s="1058">
        <v>0</v>
      </c>
      <c r="O141" s="1057">
        <v>13939</v>
      </c>
      <c r="P141" s="1059">
        <f t="shared" si="5"/>
        <v>15453</v>
      </c>
      <c r="Q141" s="1057"/>
      <c r="R141" s="1058">
        <v>81251</v>
      </c>
      <c r="S141" s="1057">
        <v>-1021</v>
      </c>
      <c r="T141" s="1060">
        <v>80230</v>
      </c>
    </row>
    <row r="142" spans="1:20" x14ac:dyDescent="0.25">
      <c r="A142" s="1054">
        <v>91231</v>
      </c>
      <c r="B142" s="1055" t="s">
        <v>2705</v>
      </c>
      <c r="C142" s="1056">
        <v>1.8527000000000001E-3</v>
      </c>
      <c r="D142" s="1056">
        <v>1.8856000000000001E-3</v>
      </c>
      <c r="E142" s="1057">
        <v>4395238</v>
      </c>
      <c r="F142" s="1057" t="s">
        <v>187</v>
      </c>
      <c r="G142" s="1058">
        <v>678081</v>
      </c>
      <c r="H142" s="1059">
        <v>603336</v>
      </c>
      <c r="I142" s="1058">
        <v>1166327</v>
      </c>
      <c r="J142" s="1057">
        <v>0</v>
      </c>
      <c r="K142" s="1059">
        <f t="shared" si="4"/>
        <v>2447744</v>
      </c>
      <c r="L142" s="1057"/>
      <c r="M142" s="1058">
        <v>22753</v>
      </c>
      <c r="N142" s="1058">
        <v>0</v>
      </c>
      <c r="O142" s="1057">
        <v>112717</v>
      </c>
      <c r="P142" s="1059">
        <f t="shared" si="5"/>
        <v>135470</v>
      </c>
      <c r="Q142" s="1057"/>
      <c r="R142" s="1058">
        <v>1220879</v>
      </c>
      <c r="S142" s="1057">
        <v>-37802</v>
      </c>
      <c r="T142" s="1060">
        <v>1183077</v>
      </c>
    </row>
    <row r="143" spans="1:20" x14ac:dyDescent="0.25">
      <c r="A143" s="1054">
        <v>91233</v>
      </c>
      <c r="B143" s="1055" t="s">
        <v>2706</v>
      </c>
      <c r="C143" s="1056">
        <v>5.3499999999999999E-5</v>
      </c>
      <c r="D143" s="1056">
        <v>5.8100000000000003E-5</v>
      </c>
      <c r="E143" s="1057">
        <v>126920</v>
      </c>
      <c r="F143" s="1057" t="s">
        <v>187</v>
      </c>
      <c r="G143" s="1058">
        <v>19581</v>
      </c>
      <c r="H143" s="1059">
        <v>17422</v>
      </c>
      <c r="I143" s="1058">
        <v>33680</v>
      </c>
      <c r="J143" s="1057">
        <v>5224</v>
      </c>
      <c r="K143" s="1059">
        <f t="shared" si="4"/>
        <v>75907</v>
      </c>
      <c r="L143" s="1057"/>
      <c r="M143" s="1058">
        <v>657</v>
      </c>
      <c r="N143" s="1058">
        <v>0</v>
      </c>
      <c r="O143" s="1057">
        <v>6405</v>
      </c>
      <c r="P143" s="1059">
        <f t="shared" si="5"/>
        <v>7062</v>
      </c>
      <c r="Q143" s="1057"/>
      <c r="R143" s="1058">
        <v>35255</v>
      </c>
      <c r="S143" s="1057">
        <v>2697</v>
      </c>
      <c r="T143" s="1060">
        <v>37952</v>
      </c>
    </row>
    <row r="144" spans="1:20" x14ac:dyDescent="0.25">
      <c r="A144" s="1054">
        <v>91241</v>
      </c>
      <c r="B144" s="1055" t="s">
        <v>4035</v>
      </c>
      <c r="C144" s="1056">
        <v>4.3099999999999997E-5</v>
      </c>
      <c r="D144" s="1056">
        <v>3.5500000000000002E-5</v>
      </c>
      <c r="E144" s="1057">
        <v>102248</v>
      </c>
      <c r="F144" s="1057" t="s">
        <v>187</v>
      </c>
      <c r="G144" s="1058">
        <v>15774</v>
      </c>
      <c r="H144" s="1059">
        <v>14035</v>
      </c>
      <c r="I144" s="1058">
        <v>27133</v>
      </c>
      <c r="J144" s="1057">
        <v>11777</v>
      </c>
      <c r="K144" s="1059">
        <f t="shared" si="4"/>
        <v>68719</v>
      </c>
      <c r="L144" s="1057"/>
      <c r="M144" s="1058">
        <v>529</v>
      </c>
      <c r="N144" s="1058">
        <v>0</v>
      </c>
      <c r="O144" s="1057">
        <v>1842</v>
      </c>
      <c r="P144" s="1059">
        <f t="shared" si="5"/>
        <v>2371</v>
      </c>
      <c r="Q144" s="1057"/>
      <c r="R144" s="1058">
        <v>28402</v>
      </c>
      <c r="S144" s="1057">
        <v>394</v>
      </c>
      <c r="T144" s="1060">
        <v>28796</v>
      </c>
    </row>
    <row r="145" spans="1:20" x14ac:dyDescent="0.25">
      <c r="A145" s="1054">
        <v>91251</v>
      </c>
      <c r="B145" s="1055" t="s">
        <v>4036</v>
      </c>
      <c r="C145" s="1056">
        <v>2.9499999999999999E-5</v>
      </c>
      <c r="D145" s="1056">
        <v>1.9899999999999999E-5</v>
      </c>
      <c r="E145" s="1057">
        <v>69984</v>
      </c>
      <c r="F145" s="1057" t="s">
        <v>187</v>
      </c>
      <c r="G145" s="1058">
        <v>10797</v>
      </c>
      <c r="H145" s="1059">
        <v>9607</v>
      </c>
      <c r="I145" s="1058">
        <v>18571</v>
      </c>
      <c r="J145" s="1057">
        <v>9082</v>
      </c>
      <c r="K145" s="1059">
        <f t="shared" si="4"/>
        <v>48057</v>
      </c>
      <c r="L145" s="1057"/>
      <c r="M145" s="1058">
        <v>362</v>
      </c>
      <c r="N145" s="1058">
        <v>0</v>
      </c>
      <c r="O145" s="1057">
        <v>2515</v>
      </c>
      <c r="P145" s="1059">
        <f t="shared" si="5"/>
        <v>2877</v>
      </c>
      <c r="Q145" s="1057"/>
      <c r="R145" s="1058">
        <v>19440</v>
      </c>
      <c r="S145" s="1057">
        <v>3588</v>
      </c>
      <c r="T145" s="1060">
        <v>23028</v>
      </c>
    </row>
    <row r="146" spans="1:20" x14ac:dyDescent="0.25">
      <c r="A146" s="1054">
        <v>91261</v>
      </c>
      <c r="B146" s="1055" t="s">
        <v>4037</v>
      </c>
      <c r="C146" s="1056">
        <v>1.06E-5</v>
      </c>
      <c r="D146" s="1056">
        <v>1.03E-5</v>
      </c>
      <c r="E146" s="1057">
        <v>25147</v>
      </c>
      <c r="F146" s="1057" t="s">
        <v>187</v>
      </c>
      <c r="G146" s="1058">
        <v>3880</v>
      </c>
      <c r="H146" s="1059">
        <v>3452</v>
      </c>
      <c r="I146" s="1058">
        <v>6673</v>
      </c>
      <c r="J146" s="1057">
        <v>939</v>
      </c>
      <c r="K146" s="1059">
        <f t="shared" si="4"/>
        <v>14944</v>
      </c>
      <c r="L146" s="1057"/>
      <c r="M146" s="1058">
        <v>130</v>
      </c>
      <c r="N146" s="1058">
        <v>0</v>
      </c>
      <c r="O146" s="1057">
        <v>0</v>
      </c>
      <c r="P146" s="1059">
        <f t="shared" si="5"/>
        <v>130</v>
      </c>
      <c r="Q146" s="1057"/>
      <c r="R146" s="1058">
        <v>6985</v>
      </c>
      <c r="S146" s="1057">
        <v>848</v>
      </c>
      <c r="T146" s="1060">
        <v>7833</v>
      </c>
    </row>
    <row r="147" spans="1:20" x14ac:dyDescent="0.25">
      <c r="A147" s="1054">
        <v>91301</v>
      </c>
      <c r="B147" s="1055" t="s">
        <v>2710</v>
      </c>
      <c r="C147" s="1056">
        <v>7.7812000000000003E-3</v>
      </c>
      <c r="D147" s="1056">
        <v>7.6985999999999999E-3</v>
      </c>
      <c r="E147" s="1057">
        <v>18459668</v>
      </c>
      <c r="F147" s="1057" t="s">
        <v>187</v>
      </c>
      <c r="G147" s="1058">
        <v>2847888</v>
      </c>
      <c r="H147" s="1059">
        <v>2533963</v>
      </c>
      <c r="I147" s="1058">
        <v>4898483</v>
      </c>
      <c r="J147" s="1057">
        <v>12950</v>
      </c>
      <c r="K147" s="1059">
        <f t="shared" si="4"/>
        <v>10293284</v>
      </c>
      <c r="L147" s="1057"/>
      <c r="M147" s="1058">
        <v>95561</v>
      </c>
      <c r="N147" s="1058">
        <v>0</v>
      </c>
      <c r="O147" s="1057">
        <v>224172</v>
      </c>
      <c r="P147" s="1059">
        <f t="shared" si="5"/>
        <v>319733</v>
      </c>
      <c r="Q147" s="1057"/>
      <c r="R147" s="1058">
        <v>5127601</v>
      </c>
      <c r="S147" s="1057">
        <v>-118489</v>
      </c>
      <c r="T147" s="1060">
        <v>5009112</v>
      </c>
    </row>
    <row r="148" spans="1:20" x14ac:dyDescent="0.25">
      <c r="A148" s="1061">
        <v>91302</v>
      </c>
      <c r="B148" s="1055" t="s">
        <v>4038</v>
      </c>
      <c r="C148" s="1056">
        <v>5.4440000000000001E-4</v>
      </c>
      <c r="D148" s="1056">
        <v>6.0300000000000002E-4</v>
      </c>
      <c r="E148" s="1057">
        <v>1291503</v>
      </c>
      <c r="F148" s="1057" t="s">
        <v>187</v>
      </c>
      <c r="G148" s="1058">
        <v>199248</v>
      </c>
      <c r="H148" s="1059">
        <v>177285</v>
      </c>
      <c r="I148" s="1058">
        <v>342715</v>
      </c>
      <c r="J148" s="1057">
        <v>12855</v>
      </c>
      <c r="K148" s="1059">
        <f t="shared" si="4"/>
        <v>732103</v>
      </c>
      <c r="L148" s="1057"/>
      <c r="M148" s="1058">
        <v>6686</v>
      </c>
      <c r="N148" s="1058">
        <v>0</v>
      </c>
      <c r="O148" s="1057">
        <v>55205</v>
      </c>
      <c r="P148" s="1059">
        <f t="shared" si="5"/>
        <v>61891</v>
      </c>
      <c r="Q148" s="1057"/>
      <c r="R148" s="1058">
        <v>358745</v>
      </c>
      <c r="S148" s="1057">
        <v>5826</v>
      </c>
      <c r="T148" s="1060">
        <v>364571</v>
      </c>
    </row>
    <row r="149" spans="1:20" x14ac:dyDescent="0.25">
      <c r="A149" s="1061">
        <v>91306</v>
      </c>
      <c r="B149" s="1055" t="s">
        <v>4039</v>
      </c>
      <c r="C149" s="1056">
        <v>1.8347000000000001E-3</v>
      </c>
      <c r="D149" s="1056">
        <v>1.6412E-3</v>
      </c>
      <c r="E149" s="1057">
        <v>4352536</v>
      </c>
      <c r="F149" s="1057" t="s">
        <v>187</v>
      </c>
      <c r="G149" s="1058">
        <v>671493</v>
      </c>
      <c r="H149" s="1059">
        <v>597473</v>
      </c>
      <c r="I149" s="1058">
        <v>1154995</v>
      </c>
      <c r="J149" s="1057">
        <v>204148</v>
      </c>
      <c r="K149" s="1059">
        <f t="shared" si="4"/>
        <v>2628109</v>
      </c>
      <c r="L149" s="1057"/>
      <c r="M149" s="1058">
        <v>22532</v>
      </c>
      <c r="N149" s="1058">
        <v>0</v>
      </c>
      <c r="O149" s="1057">
        <v>5325</v>
      </c>
      <c r="P149" s="1059">
        <f t="shared" si="5"/>
        <v>27857</v>
      </c>
      <c r="Q149" s="1057"/>
      <c r="R149" s="1058">
        <v>1209018</v>
      </c>
      <c r="S149" s="1057">
        <v>96839</v>
      </c>
      <c r="T149" s="1060">
        <v>1305857</v>
      </c>
    </row>
    <row r="150" spans="1:20" x14ac:dyDescent="0.25">
      <c r="A150" s="1061">
        <v>91308</v>
      </c>
      <c r="B150" s="1055" t="s">
        <v>2713</v>
      </c>
      <c r="C150" s="1056">
        <v>1.7149999999999999E-4</v>
      </c>
      <c r="D150" s="1056">
        <v>1.8009999999999999E-4</v>
      </c>
      <c r="E150" s="1057">
        <v>406857</v>
      </c>
      <c r="F150" s="1057" t="s">
        <v>187</v>
      </c>
      <c r="G150" s="1058">
        <v>62768</v>
      </c>
      <c r="H150" s="1059">
        <v>55849</v>
      </c>
      <c r="I150" s="1058">
        <v>107964</v>
      </c>
      <c r="J150" s="1057">
        <v>117</v>
      </c>
      <c r="K150" s="1059">
        <f t="shared" si="4"/>
        <v>226698</v>
      </c>
      <c r="L150" s="1057"/>
      <c r="M150" s="1058">
        <v>2106</v>
      </c>
      <c r="N150" s="1058">
        <v>0</v>
      </c>
      <c r="O150" s="1057">
        <v>22928</v>
      </c>
      <c r="P150" s="1059">
        <f t="shared" si="5"/>
        <v>25034</v>
      </c>
      <c r="Q150" s="1057"/>
      <c r="R150" s="1058">
        <v>113014</v>
      </c>
      <c r="S150" s="1057">
        <v>-5660</v>
      </c>
      <c r="T150" s="1060">
        <v>107354</v>
      </c>
    </row>
    <row r="151" spans="1:20" x14ac:dyDescent="0.25">
      <c r="A151" s="1054">
        <v>91311</v>
      </c>
      <c r="B151" s="1055" t="s">
        <v>2714</v>
      </c>
      <c r="C151" s="1056">
        <v>7.7199E-3</v>
      </c>
      <c r="D151" s="1056">
        <v>7.6685E-3</v>
      </c>
      <c r="E151" s="1057">
        <v>18314243</v>
      </c>
      <c r="F151" s="1057" t="s">
        <v>187</v>
      </c>
      <c r="G151" s="1058">
        <v>2825453</v>
      </c>
      <c r="H151" s="1059">
        <v>2514000</v>
      </c>
      <c r="I151" s="1058">
        <v>4859893</v>
      </c>
      <c r="J151" s="1057">
        <v>35298</v>
      </c>
      <c r="K151" s="1059">
        <f t="shared" si="4"/>
        <v>10234644</v>
      </c>
      <c r="L151" s="1057"/>
      <c r="M151" s="1058">
        <v>94808</v>
      </c>
      <c r="N151" s="1058">
        <v>0</v>
      </c>
      <c r="O151" s="1057">
        <v>364413</v>
      </c>
      <c r="P151" s="1059">
        <f t="shared" si="5"/>
        <v>459221</v>
      </c>
      <c r="Q151" s="1057"/>
      <c r="R151" s="1058">
        <v>5087206</v>
      </c>
      <c r="S151" s="1057">
        <v>-205799</v>
      </c>
      <c r="T151" s="1060">
        <v>4881407</v>
      </c>
    </row>
    <row r="152" spans="1:20" x14ac:dyDescent="0.25">
      <c r="A152" s="1054">
        <v>91317</v>
      </c>
      <c r="B152" s="1055" t="s">
        <v>2715</v>
      </c>
      <c r="C152" s="1056">
        <v>1.004E-4</v>
      </c>
      <c r="D152" s="1056">
        <v>1.016E-4</v>
      </c>
      <c r="E152" s="1057">
        <v>238183</v>
      </c>
      <c r="F152" s="1057" t="s">
        <v>187</v>
      </c>
      <c r="G152" s="1058">
        <v>36746</v>
      </c>
      <c r="H152" s="1059">
        <v>32696</v>
      </c>
      <c r="I152" s="1058">
        <v>63205</v>
      </c>
      <c r="J152" s="1057">
        <v>13218</v>
      </c>
      <c r="K152" s="1059">
        <f t="shared" si="4"/>
        <v>145865</v>
      </c>
      <c r="L152" s="1057"/>
      <c r="M152" s="1058">
        <v>1233</v>
      </c>
      <c r="N152" s="1058">
        <v>0</v>
      </c>
      <c r="O152" s="1057">
        <v>602</v>
      </c>
      <c r="P152" s="1059">
        <f t="shared" si="5"/>
        <v>1835</v>
      </c>
      <c r="Q152" s="1057"/>
      <c r="R152" s="1058">
        <v>66161</v>
      </c>
      <c r="S152" s="1057">
        <v>3844</v>
      </c>
      <c r="T152" s="1060">
        <v>70005</v>
      </c>
    </row>
    <row r="153" spans="1:20" x14ac:dyDescent="0.25">
      <c r="A153" s="1054">
        <v>91321</v>
      </c>
      <c r="B153" s="1055" t="s">
        <v>4040</v>
      </c>
      <c r="C153" s="1056">
        <v>4.5899999999999998E-5</v>
      </c>
      <c r="D153" s="1056">
        <v>4.2799999999999997E-5</v>
      </c>
      <c r="E153" s="1057">
        <v>108890</v>
      </c>
      <c r="F153" s="1057" t="s">
        <v>187</v>
      </c>
      <c r="G153" s="1058">
        <v>16799</v>
      </c>
      <c r="H153" s="1059">
        <v>14947</v>
      </c>
      <c r="I153" s="1058">
        <v>28895</v>
      </c>
      <c r="J153" s="1057">
        <v>34886</v>
      </c>
      <c r="K153" s="1059">
        <f t="shared" si="4"/>
        <v>95527</v>
      </c>
      <c r="L153" s="1057"/>
      <c r="M153" s="1058">
        <v>564</v>
      </c>
      <c r="N153" s="1058">
        <v>0</v>
      </c>
      <c r="O153" s="1057">
        <v>1694</v>
      </c>
      <c r="P153" s="1059">
        <f t="shared" si="5"/>
        <v>2258</v>
      </c>
      <c r="Q153" s="1057"/>
      <c r="R153" s="1058">
        <v>30247</v>
      </c>
      <c r="S153" s="1057">
        <v>8780</v>
      </c>
      <c r="T153" s="1060">
        <v>39027</v>
      </c>
    </row>
    <row r="154" spans="1:20" x14ac:dyDescent="0.25">
      <c r="A154" s="1054">
        <v>91327</v>
      </c>
      <c r="B154" s="1055" t="s">
        <v>2717</v>
      </c>
      <c r="C154" s="1056">
        <v>7.7000000000000008E-6</v>
      </c>
      <c r="D154" s="1056">
        <v>8.1999999999999994E-6</v>
      </c>
      <c r="E154" s="1057">
        <v>18267</v>
      </c>
      <c r="F154" s="1057" t="s">
        <v>187</v>
      </c>
      <c r="G154" s="1058">
        <v>2818</v>
      </c>
      <c r="H154" s="1059">
        <v>2507</v>
      </c>
      <c r="I154" s="1058">
        <v>4847</v>
      </c>
      <c r="J154" s="1057">
        <v>526</v>
      </c>
      <c r="K154" s="1059">
        <f t="shared" si="4"/>
        <v>10698</v>
      </c>
      <c r="L154" s="1057"/>
      <c r="M154" s="1058">
        <v>95</v>
      </c>
      <c r="N154" s="1058">
        <v>0</v>
      </c>
      <c r="O154" s="1057">
        <v>1045</v>
      </c>
      <c r="P154" s="1059">
        <f t="shared" si="5"/>
        <v>1140</v>
      </c>
      <c r="Q154" s="1057"/>
      <c r="R154" s="1058">
        <v>5074</v>
      </c>
      <c r="S154" s="1057">
        <v>-349</v>
      </c>
      <c r="T154" s="1060">
        <v>4725</v>
      </c>
    </row>
    <row r="155" spans="1:20" x14ac:dyDescent="0.25">
      <c r="A155" s="1054">
        <v>91331</v>
      </c>
      <c r="B155" s="1055" t="s">
        <v>2718</v>
      </c>
      <c r="C155" s="1056">
        <v>3.0000000000000001E-3</v>
      </c>
      <c r="D155" s="1056">
        <v>3.0033E-3</v>
      </c>
      <c r="E155" s="1057">
        <v>7117026</v>
      </c>
      <c r="F155" s="1057" t="s">
        <v>187</v>
      </c>
      <c r="G155" s="1058">
        <v>1097988</v>
      </c>
      <c r="H155" s="1059">
        <v>976956</v>
      </c>
      <c r="I155" s="1058">
        <v>1888584</v>
      </c>
      <c r="J155" s="1057">
        <v>0</v>
      </c>
      <c r="K155" s="1059">
        <f t="shared" si="4"/>
        <v>3963528</v>
      </c>
      <c r="L155" s="1057"/>
      <c r="M155" s="1058">
        <v>36843</v>
      </c>
      <c r="N155" s="1058">
        <v>0</v>
      </c>
      <c r="O155" s="1057">
        <v>309037</v>
      </c>
      <c r="P155" s="1059">
        <f t="shared" si="5"/>
        <v>345880</v>
      </c>
      <c r="Q155" s="1057"/>
      <c r="R155" s="1058">
        <v>1976919</v>
      </c>
      <c r="S155" s="1057">
        <v>-211269</v>
      </c>
      <c r="T155" s="1060">
        <v>1765650</v>
      </c>
    </row>
    <row r="156" spans="1:20" x14ac:dyDescent="0.25">
      <c r="A156" s="1054">
        <v>91341</v>
      </c>
      <c r="B156" s="1055" t="s">
        <v>4041</v>
      </c>
      <c r="C156" s="1056">
        <v>2.44E-5</v>
      </c>
      <c r="D156" s="1056">
        <v>2.51E-5</v>
      </c>
      <c r="E156" s="1057">
        <v>57885</v>
      </c>
      <c r="F156" s="1057" t="s">
        <v>187</v>
      </c>
      <c r="G156" s="1058">
        <v>8930</v>
      </c>
      <c r="H156" s="1059">
        <v>7946</v>
      </c>
      <c r="I156" s="1058">
        <v>15360</v>
      </c>
      <c r="J156" s="1057">
        <v>5509</v>
      </c>
      <c r="K156" s="1059">
        <f t="shared" si="4"/>
        <v>37745</v>
      </c>
      <c r="L156" s="1057"/>
      <c r="M156" s="1058">
        <v>300</v>
      </c>
      <c r="N156" s="1058">
        <v>0</v>
      </c>
      <c r="O156" s="1057">
        <v>1144</v>
      </c>
      <c r="P156" s="1059">
        <f t="shared" si="5"/>
        <v>1444</v>
      </c>
      <c r="Q156" s="1057"/>
      <c r="R156" s="1058">
        <v>16079</v>
      </c>
      <c r="S156" s="1057">
        <v>1311</v>
      </c>
      <c r="T156" s="1060">
        <v>17390</v>
      </c>
    </row>
    <row r="157" spans="1:20" x14ac:dyDescent="0.25">
      <c r="A157" s="1054">
        <v>91401</v>
      </c>
      <c r="B157" s="1055" t="s">
        <v>2720</v>
      </c>
      <c r="C157" s="1056">
        <v>3.5492000000000002E-3</v>
      </c>
      <c r="D157" s="1056">
        <v>3.5885000000000001E-3</v>
      </c>
      <c r="E157" s="1057">
        <v>8419916</v>
      </c>
      <c r="F157" s="1057" t="s">
        <v>187</v>
      </c>
      <c r="G157" s="1058">
        <v>1298993</v>
      </c>
      <c r="H157" s="1059">
        <v>1155804</v>
      </c>
      <c r="I157" s="1058">
        <v>2234321</v>
      </c>
      <c r="J157" s="1057">
        <v>4118</v>
      </c>
      <c r="K157" s="1059">
        <f t="shared" si="4"/>
        <v>4693236</v>
      </c>
      <c r="L157" s="1057"/>
      <c r="M157" s="1058">
        <v>43588</v>
      </c>
      <c r="N157" s="1058">
        <v>0</v>
      </c>
      <c r="O157" s="1057">
        <v>191268</v>
      </c>
      <c r="P157" s="1059">
        <f t="shared" si="5"/>
        <v>234856</v>
      </c>
      <c r="Q157" s="1057"/>
      <c r="R157" s="1058">
        <v>2338827</v>
      </c>
      <c r="S157" s="1057">
        <v>-44473</v>
      </c>
      <c r="T157" s="1060">
        <v>2294354</v>
      </c>
    </row>
    <row r="158" spans="1:20" x14ac:dyDescent="0.25">
      <c r="A158" s="1054">
        <v>91411</v>
      </c>
      <c r="B158" s="1055" t="s">
        <v>4042</v>
      </c>
      <c r="C158" s="1056">
        <v>3.8479999999999997E-4</v>
      </c>
      <c r="D158" s="1056">
        <v>3.7829999999999998E-4</v>
      </c>
      <c r="E158" s="1057">
        <v>912877</v>
      </c>
      <c r="F158" s="1057" t="s">
        <v>187</v>
      </c>
      <c r="G158" s="1058">
        <v>140835</v>
      </c>
      <c r="H158" s="1059">
        <v>125311</v>
      </c>
      <c r="I158" s="1058">
        <v>242242</v>
      </c>
      <c r="J158" s="1057">
        <v>20796</v>
      </c>
      <c r="K158" s="1059">
        <f t="shared" si="4"/>
        <v>529184</v>
      </c>
      <c r="L158" s="1057"/>
      <c r="M158" s="1058">
        <v>4726</v>
      </c>
      <c r="N158" s="1058">
        <v>0</v>
      </c>
      <c r="O158" s="1057">
        <v>0</v>
      </c>
      <c r="P158" s="1059">
        <f t="shared" si="5"/>
        <v>4726</v>
      </c>
      <c r="Q158" s="1057"/>
      <c r="R158" s="1058">
        <v>253573</v>
      </c>
      <c r="S158" s="1057">
        <v>8126</v>
      </c>
      <c r="T158" s="1060">
        <v>261699</v>
      </c>
    </row>
    <row r="159" spans="1:20" x14ac:dyDescent="0.25">
      <c r="A159" s="1054">
        <v>91417</v>
      </c>
      <c r="B159" s="1055" t="s">
        <v>2722</v>
      </c>
      <c r="C159" s="1056">
        <v>8.3999999999999992E-6</v>
      </c>
      <c r="D159" s="1056">
        <v>9.3000000000000007E-6</v>
      </c>
      <c r="E159" s="1057">
        <v>19928</v>
      </c>
      <c r="F159" s="1057" t="s">
        <v>187</v>
      </c>
      <c r="G159" s="1058">
        <v>3074</v>
      </c>
      <c r="H159" s="1059">
        <v>2735</v>
      </c>
      <c r="I159" s="1058">
        <v>5288</v>
      </c>
      <c r="J159" s="1057">
        <v>1077</v>
      </c>
      <c r="K159" s="1059">
        <f t="shared" si="4"/>
        <v>12174</v>
      </c>
      <c r="L159" s="1057"/>
      <c r="M159" s="1058">
        <v>103</v>
      </c>
      <c r="N159" s="1058">
        <v>0</v>
      </c>
      <c r="O159" s="1057">
        <v>0</v>
      </c>
      <c r="P159" s="1059">
        <f t="shared" si="5"/>
        <v>103</v>
      </c>
      <c r="Q159" s="1057"/>
      <c r="R159" s="1058">
        <v>5535</v>
      </c>
      <c r="S159" s="1057">
        <v>1921</v>
      </c>
      <c r="T159" s="1060">
        <v>7456</v>
      </c>
    </row>
    <row r="160" spans="1:20" x14ac:dyDescent="0.25">
      <c r="A160" s="1054">
        <v>91421</v>
      </c>
      <c r="B160" s="1055" t="s">
        <v>4043</v>
      </c>
      <c r="C160" s="1056">
        <v>7.2299999999999996E-5</v>
      </c>
      <c r="D160" s="1056">
        <v>6.9499999999999995E-5</v>
      </c>
      <c r="E160" s="1057">
        <v>171520</v>
      </c>
      <c r="F160" s="1057" t="s">
        <v>187</v>
      </c>
      <c r="G160" s="1058">
        <v>26462</v>
      </c>
      <c r="H160" s="1059">
        <v>23545</v>
      </c>
      <c r="I160" s="1058">
        <v>45515</v>
      </c>
      <c r="J160" s="1057">
        <v>7066</v>
      </c>
      <c r="K160" s="1059">
        <f t="shared" si="4"/>
        <v>102588</v>
      </c>
      <c r="L160" s="1057"/>
      <c r="M160" s="1058">
        <v>888</v>
      </c>
      <c r="N160" s="1058">
        <v>0</v>
      </c>
      <c r="O160" s="1057">
        <v>1453</v>
      </c>
      <c r="P160" s="1059">
        <f t="shared" si="5"/>
        <v>2341</v>
      </c>
      <c r="Q160" s="1057"/>
      <c r="R160" s="1058">
        <v>47644</v>
      </c>
      <c r="S160" s="1057">
        <v>1546</v>
      </c>
      <c r="T160" s="1060">
        <v>49190</v>
      </c>
    </row>
    <row r="161" spans="1:20" x14ac:dyDescent="0.25">
      <c r="A161" s="1054">
        <v>91423</v>
      </c>
      <c r="B161" s="1055" t="s">
        <v>2724</v>
      </c>
      <c r="C161" s="1056">
        <v>4.88E-5</v>
      </c>
      <c r="D161" s="1056">
        <v>5.38E-5</v>
      </c>
      <c r="E161" s="1057">
        <v>115770</v>
      </c>
      <c r="F161" s="1057" t="s">
        <v>187</v>
      </c>
      <c r="G161" s="1058">
        <v>17861</v>
      </c>
      <c r="H161" s="1059">
        <v>15892</v>
      </c>
      <c r="I161" s="1058">
        <v>30721</v>
      </c>
      <c r="J161" s="1057">
        <v>8202</v>
      </c>
      <c r="K161" s="1059">
        <f t="shared" si="4"/>
        <v>72676</v>
      </c>
      <c r="L161" s="1057"/>
      <c r="M161" s="1058">
        <v>599</v>
      </c>
      <c r="N161" s="1058">
        <v>0</v>
      </c>
      <c r="O161" s="1057">
        <v>6851</v>
      </c>
      <c r="P161" s="1059">
        <f t="shared" si="5"/>
        <v>7450</v>
      </c>
      <c r="Q161" s="1057"/>
      <c r="R161" s="1058">
        <v>32158</v>
      </c>
      <c r="S161" s="1057">
        <v>1514</v>
      </c>
      <c r="T161" s="1060">
        <v>33672</v>
      </c>
    </row>
    <row r="162" spans="1:20" x14ac:dyDescent="0.25">
      <c r="A162" s="1054">
        <v>91431</v>
      </c>
      <c r="B162" s="1055" t="s">
        <v>4044</v>
      </c>
      <c r="C162" s="1056">
        <v>1.6229999999999999E-4</v>
      </c>
      <c r="D162" s="1056">
        <v>1.562E-4</v>
      </c>
      <c r="E162" s="1057">
        <v>385031</v>
      </c>
      <c r="F162" s="1057" t="s">
        <v>187</v>
      </c>
      <c r="G162" s="1058">
        <v>59401</v>
      </c>
      <c r="H162" s="1059">
        <v>52853</v>
      </c>
      <c r="I162" s="1058">
        <v>102172</v>
      </c>
      <c r="J162" s="1057">
        <v>24735</v>
      </c>
      <c r="K162" s="1059">
        <f t="shared" si="4"/>
        <v>239161</v>
      </c>
      <c r="L162" s="1057"/>
      <c r="M162" s="1058">
        <v>1993</v>
      </c>
      <c r="N162" s="1058">
        <v>0</v>
      </c>
      <c r="O162" s="1057">
        <v>1035</v>
      </c>
      <c r="P162" s="1059">
        <f t="shared" si="5"/>
        <v>3028</v>
      </c>
      <c r="Q162" s="1057"/>
      <c r="R162" s="1058">
        <v>106951</v>
      </c>
      <c r="S162" s="1057">
        <v>6979</v>
      </c>
      <c r="T162" s="1060">
        <v>113930</v>
      </c>
    </row>
    <row r="163" spans="1:20" x14ac:dyDescent="0.25">
      <c r="A163" s="1054">
        <v>91441</v>
      </c>
      <c r="B163" s="1055" t="s">
        <v>4045</v>
      </c>
      <c r="C163" s="1056">
        <v>9.4680000000000003E-4</v>
      </c>
      <c r="D163" s="1056">
        <v>9.5140000000000003E-4</v>
      </c>
      <c r="E163" s="1057">
        <v>2246133</v>
      </c>
      <c r="F163" s="1057" t="s">
        <v>187</v>
      </c>
      <c r="G163" s="1058">
        <v>346525</v>
      </c>
      <c r="H163" s="1059">
        <v>308327</v>
      </c>
      <c r="I163" s="1058">
        <v>596037</v>
      </c>
      <c r="J163" s="1057">
        <v>35215</v>
      </c>
      <c r="K163" s="1059">
        <f t="shared" si="4"/>
        <v>1286104</v>
      </c>
      <c r="L163" s="1057"/>
      <c r="M163" s="1058">
        <v>11628</v>
      </c>
      <c r="N163" s="1058">
        <v>0</v>
      </c>
      <c r="O163" s="1057">
        <v>145358</v>
      </c>
      <c r="P163" s="1059">
        <f t="shared" si="5"/>
        <v>156986</v>
      </c>
      <c r="Q163" s="1057"/>
      <c r="R163" s="1058">
        <v>623916</v>
      </c>
      <c r="S163" s="1057">
        <v>-63164</v>
      </c>
      <c r="T163" s="1060">
        <v>560752</v>
      </c>
    </row>
    <row r="164" spans="1:20" x14ac:dyDescent="0.25">
      <c r="A164" s="1054">
        <v>91451</v>
      </c>
      <c r="B164" s="1055" t="s">
        <v>2727</v>
      </c>
      <c r="C164" s="1056">
        <v>1.4832000000000001E-3</v>
      </c>
      <c r="D164" s="1056">
        <v>1.4760000000000001E-3</v>
      </c>
      <c r="E164" s="1057">
        <v>3518658</v>
      </c>
      <c r="F164" s="1057" t="s">
        <v>187</v>
      </c>
      <c r="G164" s="1058">
        <v>542845</v>
      </c>
      <c r="H164" s="1059">
        <v>483007</v>
      </c>
      <c r="I164" s="1058">
        <v>933716</v>
      </c>
      <c r="J164" s="1057">
        <v>0</v>
      </c>
      <c r="K164" s="1059">
        <f t="shared" si="4"/>
        <v>1959568</v>
      </c>
      <c r="L164" s="1057"/>
      <c r="M164" s="1058">
        <v>18215</v>
      </c>
      <c r="N164" s="1058">
        <v>0</v>
      </c>
      <c r="O164" s="1057">
        <v>115272</v>
      </c>
      <c r="P164" s="1059">
        <f t="shared" si="5"/>
        <v>133487</v>
      </c>
      <c r="Q164" s="1057"/>
      <c r="R164" s="1058">
        <v>977389</v>
      </c>
      <c r="S164" s="1057">
        <v>-84871</v>
      </c>
      <c r="T164" s="1060">
        <v>892518</v>
      </c>
    </row>
    <row r="165" spans="1:20" x14ac:dyDescent="0.25">
      <c r="A165" s="1054">
        <v>91457</v>
      </c>
      <c r="B165" s="1055" t="s">
        <v>2728</v>
      </c>
      <c r="C165" s="1056">
        <v>2.2099999999999998E-5</v>
      </c>
      <c r="D165" s="1056">
        <v>2.23E-5</v>
      </c>
      <c r="E165" s="1057">
        <v>52429</v>
      </c>
      <c r="F165" s="1057" t="s">
        <v>187</v>
      </c>
      <c r="G165" s="1058">
        <v>8089</v>
      </c>
      <c r="H165" s="1059">
        <v>7197</v>
      </c>
      <c r="I165" s="1058">
        <v>13913</v>
      </c>
      <c r="J165" s="1057">
        <v>34989</v>
      </c>
      <c r="K165" s="1059">
        <f t="shared" si="4"/>
        <v>64188</v>
      </c>
      <c r="L165" s="1057"/>
      <c r="M165" s="1058">
        <v>271</v>
      </c>
      <c r="N165" s="1058">
        <v>0</v>
      </c>
      <c r="O165" s="1057">
        <v>0</v>
      </c>
      <c r="P165" s="1059">
        <f t="shared" si="5"/>
        <v>271</v>
      </c>
      <c r="Q165" s="1057"/>
      <c r="R165" s="1058">
        <v>14563</v>
      </c>
      <c r="S165" s="1057">
        <v>14690</v>
      </c>
      <c r="T165" s="1060">
        <v>29253</v>
      </c>
    </row>
    <row r="166" spans="1:20" x14ac:dyDescent="0.25">
      <c r="A166" s="1054">
        <v>91461</v>
      </c>
      <c r="B166" s="1055" t="s">
        <v>4046</v>
      </c>
      <c r="C166" s="1056">
        <v>9.5999999999999996E-6</v>
      </c>
      <c r="D166" s="1056">
        <v>9.3999999999999998E-6</v>
      </c>
      <c r="E166" s="1057">
        <v>22774</v>
      </c>
      <c r="F166" s="1057" t="s">
        <v>187</v>
      </c>
      <c r="G166" s="1058">
        <v>3514</v>
      </c>
      <c r="H166" s="1059">
        <v>3126</v>
      </c>
      <c r="I166" s="1058">
        <v>6043</v>
      </c>
      <c r="J166" s="1057">
        <v>951</v>
      </c>
      <c r="K166" s="1059">
        <f t="shared" si="4"/>
        <v>13634</v>
      </c>
      <c r="L166" s="1057"/>
      <c r="M166" s="1058">
        <v>118</v>
      </c>
      <c r="N166" s="1058">
        <v>0</v>
      </c>
      <c r="O166" s="1057">
        <v>1594</v>
      </c>
      <c r="P166" s="1059">
        <f t="shared" si="5"/>
        <v>1712</v>
      </c>
      <c r="Q166" s="1057"/>
      <c r="R166" s="1058">
        <v>6326</v>
      </c>
      <c r="S166" s="1057">
        <v>664</v>
      </c>
      <c r="T166" s="1060">
        <v>6990</v>
      </c>
    </row>
    <row r="167" spans="1:20" x14ac:dyDescent="0.25">
      <c r="A167" s="1054">
        <v>91501</v>
      </c>
      <c r="B167" s="1055" t="s">
        <v>2730</v>
      </c>
      <c r="C167" s="1056">
        <v>4.6460000000000002E-4</v>
      </c>
      <c r="D167" s="1056">
        <v>4.9700000000000005E-4</v>
      </c>
      <c r="E167" s="1057">
        <v>1102190</v>
      </c>
      <c r="F167" s="1057" t="s">
        <v>187</v>
      </c>
      <c r="G167" s="1058">
        <v>170042</v>
      </c>
      <c r="H167" s="1059">
        <v>151298</v>
      </c>
      <c r="I167" s="1058">
        <v>292479</v>
      </c>
      <c r="J167" s="1057">
        <v>7231</v>
      </c>
      <c r="K167" s="1059">
        <f t="shared" si="4"/>
        <v>621050</v>
      </c>
      <c r="L167" s="1057"/>
      <c r="M167" s="1058">
        <v>5706</v>
      </c>
      <c r="N167" s="1058">
        <v>0</v>
      </c>
      <c r="O167" s="1057">
        <v>20696</v>
      </c>
      <c r="P167" s="1059">
        <f t="shared" si="5"/>
        <v>26402</v>
      </c>
      <c r="Q167" s="1057"/>
      <c r="R167" s="1058">
        <v>306159</v>
      </c>
      <c r="S167" s="1057">
        <v>11595</v>
      </c>
      <c r="T167" s="1060">
        <v>317754</v>
      </c>
    </row>
    <row r="168" spans="1:20" x14ac:dyDescent="0.25">
      <c r="A168" s="1054">
        <v>91504</v>
      </c>
      <c r="B168" s="1055" t="s">
        <v>2731</v>
      </c>
      <c r="C168" s="1056">
        <v>9.7999999999999993E-6</v>
      </c>
      <c r="D168" s="1056">
        <v>9.7000000000000003E-6</v>
      </c>
      <c r="E168" s="1057">
        <v>23249</v>
      </c>
      <c r="F168" s="1057" t="s">
        <v>187</v>
      </c>
      <c r="G168" s="1058">
        <v>3587</v>
      </c>
      <c r="H168" s="1059">
        <v>3191</v>
      </c>
      <c r="I168" s="1058">
        <v>6169</v>
      </c>
      <c r="J168" s="1057">
        <v>4807</v>
      </c>
      <c r="K168" s="1059">
        <f t="shared" si="4"/>
        <v>17754</v>
      </c>
      <c r="L168" s="1057"/>
      <c r="M168" s="1058">
        <v>120</v>
      </c>
      <c r="N168" s="1058">
        <v>0</v>
      </c>
      <c r="O168" s="1057">
        <v>0</v>
      </c>
      <c r="P168" s="1059">
        <f t="shared" si="5"/>
        <v>120</v>
      </c>
      <c r="Q168" s="1057"/>
      <c r="R168" s="1058">
        <v>6458</v>
      </c>
      <c r="S168" s="1057">
        <v>3045</v>
      </c>
      <c r="T168" s="1060">
        <v>9503</v>
      </c>
    </row>
    <row r="169" spans="1:20" x14ac:dyDescent="0.25">
      <c r="A169" s="1054">
        <v>91601</v>
      </c>
      <c r="B169" s="1055" t="s">
        <v>2732</v>
      </c>
      <c r="C169" s="1056">
        <v>2.7648E-3</v>
      </c>
      <c r="D169" s="1056">
        <v>2.8040000000000001E-3</v>
      </c>
      <c r="E169" s="1057">
        <v>6559051</v>
      </c>
      <c r="F169" s="1057" t="s">
        <v>187</v>
      </c>
      <c r="G169" s="1058">
        <v>1011906</v>
      </c>
      <c r="H169" s="1059">
        <v>900363</v>
      </c>
      <c r="I169" s="1058">
        <v>1740519</v>
      </c>
      <c r="J169" s="1057">
        <v>84439</v>
      </c>
      <c r="K169" s="1059">
        <f t="shared" si="4"/>
        <v>3737227</v>
      </c>
      <c r="L169" s="1057"/>
      <c r="M169" s="1058">
        <v>33955</v>
      </c>
      <c r="N169" s="1058">
        <v>0</v>
      </c>
      <c r="O169" s="1057">
        <v>30275</v>
      </c>
      <c r="P169" s="1059">
        <f t="shared" si="5"/>
        <v>64230</v>
      </c>
      <c r="Q169" s="1057"/>
      <c r="R169" s="1058">
        <v>1821929</v>
      </c>
      <c r="S169" s="1057">
        <v>76277</v>
      </c>
      <c r="T169" s="1060">
        <v>1898206</v>
      </c>
    </row>
    <row r="170" spans="1:20" x14ac:dyDescent="0.25">
      <c r="A170" s="1054">
        <v>91604</v>
      </c>
      <c r="B170" s="1055" t="s">
        <v>2733</v>
      </c>
      <c r="C170" s="1056">
        <v>8.5000000000000006E-5</v>
      </c>
      <c r="D170" s="1056">
        <v>8.8499999999999996E-5</v>
      </c>
      <c r="E170" s="1057">
        <v>201649</v>
      </c>
      <c r="F170" s="1057" t="s">
        <v>187</v>
      </c>
      <c r="G170" s="1058">
        <v>31110</v>
      </c>
      <c r="H170" s="1059">
        <v>27680</v>
      </c>
      <c r="I170" s="1058">
        <v>53510</v>
      </c>
      <c r="J170" s="1057">
        <v>22196</v>
      </c>
      <c r="K170" s="1059">
        <f t="shared" si="4"/>
        <v>134496</v>
      </c>
      <c r="L170" s="1057"/>
      <c r="M170" s="1058">
        <v>1044</v>
      </c>
      <c r="N170" s="1058">
        <v>0</v>
      </c>
      <c r="O170" s="1057">
        <v>0</v>
      </c>
      <c r="P170" s="1059">
        <f t="shared" si="5"/>
        <v>1044</v>
      </c>
      <c r="Q170" s="1057"/>
      <c r="R170" s="1058">
        <v>56013</v>
      </c>
      <c r="S170" s="1057">
        <v>9895</v>
      </c>
      <c r="T170" s="1060">
        <v>65908</v>
      </c>
    </row>
    <row r="171" spans="1:20" x14ac:dyDescent="0.25">
      <c r="A171" s="1054">
        <v>91608</v>
      </c>
      <c r="B171" s="1055" t="s">
        <v>2734</v>
      </c>
      <c r="C171" s="1056">
        <v>1.5909999999999999E-4</v>
      </c>
      <c r="D171" s="1056">
        <v>1.5349999999999999E-4</v>
      </c>
      <c r="E171" s="1057">
        <v>377440</v>
      </c>
      <c r="F171" s="1057" t="s">
        <v>187</v>
      </c>
      <c r="G171" s="1058">
        <v>58230</v>
      </c>
      <c r="H171" s="1059">
        <v>51811</v>
      </c>
      <c r="I171" s="1058">
        <v>100158</v>
      </c>
      <c r="J171" s="1057">
        <v>1169</v>
      </c>
      <c r="K171" s="1059">
        <f t="shared" si="4"/>
        <v>211368</v>
      </c>
      <c r="L171" s="1057"/>
      <c r="M171" s="1058">
        <v>1954</v>
      </c>
      <c r="N171" s="1058">
        <v>0</v>
      </c>
      <c r="O171" s="1057">
        <v>30984</v>
      </c>
      <c r="P171" s="1059">
        <f t="shared" si="5"/>
        <v>32938</v>
      </c>
      <c r="Q171" s="1057"/>
      <c r="R171" s="1058">
        <v>104843</v>
      </c>
      <c r="S171" s="1057">
        <v>-16992</v>
      </c>
      <c r="T171" s="1060">
        <v>87851</v>
      </c>
    </row>
    <row r="172" spans="1:20" x14ac:dyDescent="0.25">
      <c r="A172" s="1054">
        <v>91611</v>
      </c>
      <c r="B172" s="1055" t="s">
        <v>4047</v>
      </c>
      <c r="C172" s="1056">
        <v>1.4744000000000001E-3</v>
      </c>
      <c r="D172" s="1056">
        <v>1.4708E-3</v>
      </c>
      <c r="E172" s="1057">
        <v>3497781</v>
      </c>
      <c r="F172" s="1057" t="s">
        <v>187</v>
      </c>
      <c r="G172" s="1058">
        <v>539625</v>
      </c>
      <c r="H172" s="1059">
        <v>480141</v>
      </c>
      <c r="I172" s="1058">
        <v>928176</v>
      </c>
      <c r="J172" s="1057">
        <v>2046</v>
      </c>
      <c r="K172" s="1059">
        <f t="shared" si="4"/>
        <v>1949988</v>
      </c>
      <c r="L172" s="1057"/>
      <c r="M172" s="1058">
        <v>18107</v>
      </c>
      <c r="N172" s="1058">
        <v>0</v>
      </c>
      <c r="O172" s="1057">
        <v>121302</v>
      </c>
      <c r="P172" s="1059">
        <f t="shared" si="5"/>
        <v>139409</v>
      </c>
      <c r="Q172" s="1057"/>
      <c r="R172" s="1058">
        <v>971590</v>
      </c>
      <c r="S172" s="1057">
        <v>-18398</v>
      </c>
      <c r="T172" s="1060">
        <v>953192</v>
      </c>
    </row>
    <row r="173" spans="1:20" x14ac:dyDescent="0.25">
      <c r="A173" s="1054">
        <v>91621</v>
      </c>
      <c r="B173" s="1055" t="s">
        <v>4048</v>
      </c>
      <c r="C173" s="1056">
        <v>2.6800000000000001E-4</v>
      </c>
      <c r="D173" s="1056">
        <v>2.7050000000000002E-4</v>
      </c>
      <c r="E173" s="1057">
        <v>635788</v>
      </c>
      <c r="F173" s="1057" t="s">
        <v>187</v>
      </c>
      <c r="G173" s="1058">
        <v>98087</v>
      </c>
      <c r="H173" s="1059">
        <v>87275</v>
      </c>
      <c r="I173" s="1058">
        <v>168714</v>
      </c>
      <c r="J173" s="1057">
        <v>5973</v>
      </c>
      <c r="K173" s="1059">
        <f t="shared" si="4"/>
        <v>360049</v>
      </c>
      <c r="L173" s="1057"/>
      <c r="M173" s="1058">
        <v>3291</v>
      </c>
      <c r="N173" s="1058">
        <v>0</v>
      </c>
      <c r="O173" s="1057">
        <v>10529</v>
      </c>
      <c r="P173" s="1059">
        <f t="shared" si="5"/>
        <v>13820</v>
      </c>
      <c r="Q173" s="1057"/>
      <c r="R173" s="1058">
        <v>176605</v>
      </c>
      <c r="S173" s="1057">
        <v>-5908</v>
      </c>
      <c r="T173" s="1060">
        <v>170697</v>
      </c>
    </row>
    <row r="174" spans="1:20" x14ac:dyDescent="0.25">
      <c r="A174" s="1054">
        <v>91631</v>
      </c>
      <c r="B174" s="1055" t="s">
        <v>4049</v>
      </c>
      <c r="C174" s="1056">
        <v>5.509E-4</v>
      </c>
      <c r="D174" s="1056">
        <v>5.2249999999999996E-4</v>
      </c>
      <c r="E174" s="1057">
        <v>1306923</v>
      </c>
      <c r="F174" s="1057" t="s">
        <v>187</v>
      </c>
      <c r="G174" s="1058">
        <v>201627</v>
      </c>
      <c r="H174" s="1059">
        <v>179401</v>
      </c>
      <c r="I174" s="1058">
        <v>346807</v>
      </c>
      <c r="J174" s="1057">
        <v>0</v>
      </c>
      <c r="K174" s="1059">
        <f t="shared" si="4"/>
        <v>727835</v>
      </c>
      <c r="L174" s="1057"/>
      <c r="M174" s="1058">
        <v>6766</v>
      </c>
      <c r="N174" s="1058">
        <v>0</v>
      </c>
      <c r="O174" s="1057">
        <v>39359</v>
      </c>
      <c r="P174" s="1059">
        <f t="shared" si="5"/>
        <v>46125</v>
      </c>
      <c r="Q174" s="1057"/>
      <c r="R174" s="1058">
        <v>363028</v>
      </c>
      <c r="S174" s="1057">
        <v>-17688</v>
      </c>
      <c r="T174" s="1060">
        <v>345340</v>
      </c>
    </row>
    <row r="175" spans="1:20" x14ac:dyDescent="0.25">
      <c r="A175" s="1054">
        <v>91633</v>
      </c>
      <c r="B175" s="1055" t="s">
        <v>4050</v>
      </c>
      <c r="C175" s="1056">
        <v>1.8600000000000001E-5</v>
      </c>
      <c r="D175" s="1056">
        <v>2.51E-5</v>
      </c>
      <c r="E175" s="1057">
        <v>44126</v>
      </c>
      <c r="F175" s="1057" t="s">
        <v>187</v>
      </c>
      <c r="G175" s="1058">
        <v>6808</v>
      </c>
      <c r="H175" s="1059">
        <v>6058</v>
      </c>
      <c r="I175" s="1058">
        <v>11709</v>
      </c>
      <c r="J175" s="1057">
        <v>1031</v>
      </c>
      <c r="K175" s="1059">
        <f t="shared" si="4"/>
        <v>25606</v>
      </c>
      <c r="L175" s="1057"/>
      <c r="M175" s="1058">
        <v>228</v>
      </c>
      <c r="N175" s="1058">
        <v>0</v>
      </c>
      <c r="O175" s="1057">
        <v>5120</v>
      </c>
      <c r="P175" s="1059">
        <f t="shared" si="5"/>
        <v>5348</v>
      </c>
      <c r="Q175" s="1057"/>
      <c r="R175" s="1058">
        <v>12257</v>
      </c>
      <c r="S175" s="1057">
        <v>-2305</v>
      </c>
      <c r="T175" s="1060">
        <v>9952</v>
      </c>
    </row>
    <row r="176" spans="1:20" x14ac:dyDescent="0.25">
      <c r="A176" s="1054">
        <v>91641</v>
      </c>
      <c r="B176" s="1055" t="s">
        <v>4051</v>
      </c>
      <c r="C176" s="1056">
        <v>2.652E-4</v>
      </c>
      <c r="D176" s="1056">
        <v>3.1139999999999998E-4</v>
      </c>
      <c r="E176" s="1057">
        <v>629145</v>
      </c>
      <c r="F176" s="1057" t="s">
        <v>187</v>
      </c>
      <c r="G176" s="1058">
        <v>97062</v>
      </c>
      <c r="H176" s="1059">
        <v>86363</v>
      </c>
      <c r="I176" s="1058">
        <v>166951</v>
      </c>
      <c r="J176" s="1057">
        <v>0</v>
      </c>
      <c r="K176" s="1059">
        <f t="shared" si="4"/>
        <v>350376</v>
      </c>
      <c r="L176" s="1057"/>
      <c r="M176" s="1058">
        <v>3257</v>
      </c>
      <c r="N176" s="1058">
        <v>0</v>
      </c>
      <c r="O176" s="1057">
        <v>74135</v>
      </c>
      <c r="P176" s="1059">
        <f t="shared" si="5"/>
        <v>77392</v>
      </c>
      <c r="Q176" s="1057"/>
      <c r="R176" s="1058">
        <v>174760</v>
      </c>
      <c r="S176" s="1057">
        <v>-37016</v>
      </c>
      <c r="T176" s="1060">
        <v>137744</v>
      </c>
    </row>
    <row r="177" spans="1:20" x14ac:dyDescent="0.25">
      <c r="A177" s="1054">
        <v>91651</v>
      </c>
      <c r="B177" s="1055" t="s">
        <v>4052</v>
      </c>
      <c r="C177" s="1056">
        <v>4.73E-4</v>
      </c>
      <c r="D177" s="1056">
        <v>4.4440000000000001E-4</v>
      </c>
      <c r="E177" s="1057">
        <v>1122118</v>
      </c>
      <c r="F177" s="1057" t="s">
        <v>187</v>
      </c>
      <c r="G177" s="1058">
        <v>173116</v>
      </c>
      <c r="H177" s="1059">
        <v>154033</v>
      </c>
      <c r="I177" s="1058">
        <v>297767</v>
      </c>
      <c r="J177" s="1057">
        <v>25871</v>
      </c>
      <c r="K177" s="1059">
        <f t="shared" si="4"/>
        <v>650787</v>
      </c>
      <c r="L177" s="1057"/>
      <c r="M177" s="1058">
        <v>5809</v>
      </c>
      <c r="N177" s="1058">
        <v>0</v>
      </c>
      <c r="O177" s="1057">
        <v>18310</v>
      </c>
      <c r="P177" s="1059">
        <f t="shared" si="5"/>
        <v>24119</v>
      </c>
      <c r="Q177" s="1057"/>
      <c r="R177" s="1058">
        <v>311694</v>
      </c>
      <c r="S177" s="1057">
        <v>-5917</v>
      </c>
      <c r="T177" s="1060">
        <v>305777</v>
      </c>
    </row>
    <row r="178" spans="1:20" x14ac:dyDescent="0.25">
      <c r="A178" s="1054">
        <v>91661</v>
      </c>
      <c r="B178" s="1055" t="s">
        <v>4053</v>
      </c>
      <c r="C178" s="1056">
        <v>1.8259999999999999E-4</v>
      </c>
      <c r="D178" s="1056">
        <v>1.673E-4</v>
      </c>
      <c r="E178" s="1057">
        <v>433190</v>
      </c>
      <c r="F178" s="1057" t="s">
        <v>187</v>
      </c>
      <c r="G178" s="1058">
        <v>66831</v>
      </c>
      <c r="H178" s="1059">
        <v>59464</v>
      </c>
      <c r="I178" s="1058">
        <v>114952</v>
      </c>
      <c r="J178" s="1057">
        <v>0</v>
      </c>
      <c r="K178" s="1059">
        <f t="shared" si="4"/>
        <v>241247</v>
      </c>
      <c r="L178" s="1057"/>
      <c r="M178" s="1058">
        <v>2243</v>
      </c>
      <c r="N178" s="1058">
        <v>0</v>
      </c>
      <c r="O178" s="1057">
        <v>36351</v>
      </c>
      <c r="P178" s="1059">
        <f t="shared" si="5"/>
        <v>38594</v>
      </c>
      <c r="Q178" s="1057"/>
      <c r="R178" s="1058">
        <v>120328</v>
      </c>
      <c r="S178" s="1057">
        <v>-17938</v>
      </c>
      <c r="T178" s="1060">
        <v>102390</v>
      </c>
    </row>
    <row r="179" spans="1:20" x14ac:dyDescent="0.25">
      <c r="A179" s="1054">
        <v>91671</v>
      </c>
      <c r="B179" s="1055" t="s">
        <v>4054</v>
      </c>
      <c r="C179" s="1056">
        <v>1.132E-4</v>
      </c>
      <c r="D179" s="1056">
        <v>9.6700000000000006E-5</v>
      </c>
      <c r="E179" s="1057">
        <v>268549</v>
      </c>
      <c r="F179" s="1057" t="s">
        <v>187</v>
      </c>
      <c r="G179" s="1058">
        <v>41431</v>
      </c>
      <c r="H179" s="1059">
        <v>36864</v>
      </c>
      <c r="I179" s="1058">
        <v>71263</v>
      </c>
      <c r="J179" s="1057">
        <v>10756</v>
      </c>
      <c r="K179" s="1059">
        <f t="shared" si="4"/>
        <v>160314</v>
      </c>
      <c r="L179" s="1057"/>
      <c r="M179" s="1058">
        <v>1390</v>
      </c>
      <c r="N179" s="1058">
        <v>0</v>
      </c>
      <c r="O179" s="1057">
        <v>898</v>
      </c>
      <c r="P179" s="1059">
        <f t="shared" si="5"/>
        <v>2288</v>
      </c>
      <c r="Q179" s="1057"/>
      <c r="R179" s="1058">
        <v>74596</v>
      </c>
      <c r="S179" s="1057">
        <v>7037</v>
      </c>
      <c r="T179" s="1060">
        <v>81633</v>
      </c>
    </row>
    <row r="180" spans="1:20" x14ac:dyDescent="0.25">
      <c r="A180" s="1054">
        <v>91681</v>
      </c>
      <c r="B180" s="1055" t="s">
        <v>4055</v>
      </c>
      <c r="C180" s="1056">
        <v>4.6460000000000002E-4</v>
      </c>
      <c r="D180" s="1056">
        <v>4.728E-4</v>
      </c>
      <c r="E180" s="1057">
        <v>1102190</v>
      </c>
      <c r="F180" s="1057" t="s">
        <v>187</v>
      </c>
      <c r="G180" s="1058">
        <v>170042</v>
      </c>
      <c r="H180" s="1059">
        <v>151298</v>
      </c>
      <c r="I180" s="1058">
        <v>292479</v>
      </c>
      <c r="J180" s="1057">
        <v>312404</v>
      </c>
      <c r="K180" s="1059">
        <f t="shared" si="4"/>
        <v>926223</v>
      </c>
      <c r="L180" s="1057"/>
      <c r="M180" s="1058">
        <v>5706</v>
      </c>
      <c r="N180" s="1058">
        <v>0</v>
      </c>
      <c r="O180" s="1057">
        <v>0</v>
      </c>
      <c r="P180" s="1059">
        <f t="shared" si="5"/>
        <v>5706</v>
      </c>
      <c r="Q180" s="1057"/>
      <c r="R180" s="1058">
        <v>306159</v>
      </c>
      <c r="S180" s="1057">
        <v>122769</v>
      </c>
      <c r="T180" s="1060">
        <v>428928</v>
      </c>
    </row>
    <row r="181" spans="1:20" x14ac:dyDescent="0.25">
      <c r="A181" s="1054">
        <v>91691</v>
      </c>
      <c r="B181" s="1055" t="s">
        <v>4056</v>
      </c>
      <c r="C181" s="1056">
        <v>2.26E-5</v>
      </c>
      <c r="D181" s="1056">
        <v>2.3200000000000001E-5</v>
      </c>
      <c r="E181" s="1057">
        <v>53615</v>
      </c>
      <c r="F181" s="1057" t="s">
        <v>187</v>
      </c>
      <c r="G181" s="1058">
        <v>8272</v>
      </c>
      <c r="H181" s="1059">
        <v>7360</v>
      </c>
      <c r="I181" s="1058">
        <v>14227</v>
      </c>
      <c r="J181" s="1057">
        <v>1115</v>
      </c>
      <c r="K181" s="1059">
        <f t="shared" si="4"/>
        <v>30974</v>
      </c>
      <c r="L181" s="1057"/>
      <c r="M181" s="1058">
        <v>278</v>
      </c>
      <c r="N181" s="1058">
        <v>0</v>
      </c>
      <c r="O181" s="1057">
        <v>1387</v>
      </c>
      <c r="P181" s="1059">
        <f t="shared" si="5"/>
        <v>1665</v>
      </c>
      <c r="Q181" s="1057"/>
      <c r="R181" s="1058">
        <v>14893</v>
      </c>
      <c r="S181" s="1057">
        <v>30</v>
      </c>
      <c r="T181" s="1060">
        <v>14923</v>
      </c>
    </row>
    <row r="182" spans="1:20" x14ac:dyDescent="0.25">
      <c r="A182" s="1054">
        <v>91701</v>
      </c>
      <c r="B182" s="1055" t="s">
        <v>2745</v>
      </c>
      <c r="C182" s="1056">
        <v>1.2348999999999999E-3</v>
      </c>
      <c r="D182" s="1056">
        <v>1.2451999999999999E-3</v>
      </c>
      <c r="E182" s="1057">
        <v>2929605</v>
      </c>
      <c r="F182" s="1057" t="s">
        <v>187</v>
      </c>
      <c r="G182" s="1058">
        <v>451968</v>
      </c>
      <c r="H182" s="1059">
        <v>402148</v>
      </c>
      <c r="I182" s="1058">
        <v>777404</v>
      </c>
      <c r="J182" s="1057">
        <v>70220</v>
      </c>
      <c r="K182" s="1059">
        <f t="shared" si="4"/>
        <v>1701740</v>
      </c>
      <c r="L182" s="1057"/>
      <c r="M182" s="1058">
        <v>15166</v>
      </c>
      <c r="N182" s="1058">
        <v>0</v>
      </c>
      <c r="O182" s="1057">
        <v>39266</v>
      </c>
      <c r="P182" s="1059">
        <f t="shared" si="5"/>
        <v>54432</v>
      </c>
      <c r="Q182" s="1057"/>
      <c r="R182" s="1058">
        <v>813766</v>
      </c>
      <c r="S182" s="1057">
        <v>8978</v>
      </c>
      <c r="T182" s="1060">
        <v>822744</v>
      </c>
    </row>
    <row r="183" spans="1:20" x14ac:dyDescent="0.25">
      <c r="A183" s="1054">
        <v>91704</v>
      </c>
      <c r="B183" s="1055" t="s">
        <v>2746</v>
      </c>
      <c r="C183" s="1056">
        <v>1.73E-5</v>
      </c>
      <c r="D183" s="1056">
        <v>1.73E-5</v>
      </c>
      <c r="E183" s="1057">
        <v>41042</v>
      </c>
      <c r="F183" s="1057" t="s">
        <v>187</v>
      </c>
      <c r="G183" s="1058">
        <v>6332</v>
      </c>
      <c r="H183" s="1059">
        <v>5634</v>
      </c>
      <c r="I183" s="1058">
        <v>10891</v>
      </c>
      <c r="J183" s="1057">
        <v>560</v>
      </c>
      <c r="K183" s="1059">
        <f t="shared" si="4"/>
        <v>23417</v>
      </c>
      <c r="L183" s="1057"/>
      <c r="M183" s="1058">
        <v>212</v>
      </c>
      <c r="N183" s="1058">
        <v>0</v>
      </c>
      <c r="O183" s="1057">
        <v>0</v>
      </c>
      <c r="P183" s="1059">
        <f t="shared" si="5"/>
        <v>212</v>
      </c>
      <c r="Q183" s="1057"/>
      <c r="R183" s="1058">
        <v>11400</v>
      </c>
      <c r="S183" s="1057">
        <v>666</v>
      </c>
      <c r="T183" s="1060">
        <v>12066</v>
      </c>
    </row>
    <row r="184" spans="1:20" x14ac:dyDescent="0.25">
      <c r="A184" s="1054">
        <v>91706</v>
      </c>
      <c r="B184" s="1055" t="s">
        <v>2747</v>
      </c>
      <c r="C184" s="1056">
        <v>2.2139999999999999E-4</v>
      </c>
      <c r="D184" s="1056">
        <v>2.4340000000000001E-4</v>
      </c>
      <c r="E184" s="1057">
        <v>525237</v>
      </c>
      <c r="F184" s="1057" t="s">
        <v>187</v>
      </c>
      <c r="G184" s="1058">
        <v>81032</v>
      </c>
      <c r="H184" s="1059">
        <v>72099</v>
      </c>
      <c r="I184" s="1058">
        <v>139377</v>
      </c>
      <c r="J184" s="1057">
        <v>37061</v>
      </c>
      <c r="K184" s="1059">
        <f t="shared" si="4"/>
        <v>329569</v>
      </c>
      <c r="L184" s="1057"/>
      <c r="M184" s="1058">
        <v>2719</v>
      </c>
      <c r="N184" s="1058">
        <v>0</v>
      </c>
      <c r="O184" s="1057">
        <v>1775</v>
      </c>
      <c r="P184" s="1059">
        <f t="shared" si="5"/>
        <v>4494</v>
      </c>
      <c r="Q184" s="1057"/>
      <c r="R184" s="1058">
        <v>145897</v>
      </c>
      <c r="S184" s="1057">
        <v>3534</v>
      </c>
      <c r="T184" s="1060">
        <v>149431</v>
      </c>
    </row>
    <row r="185" spans="1:20" x14ac:dyDescent="0.25">
      <c r="A185" s="1054">
        <v>91719</v>
      </c>
      <c r="B185" s="1055" t="s">
        <v>4057</v>
      </c>
      <c r="C185" s="1056">
        <v>5.6799999999999998E-5</v>
      </c>
      <c r="D185" s="1056">
        <v>4.9700000000000002E-5</v>
      </c>
      <c r="E185" s="1057">
        <v>134749</v>
      </c>
      <c r="F185" s="1057" t="s">
        <v>187</v>
      </c>
      <c r="G185" s="1058">
        <v>20789</v>
      </c>
      <c r="H185" s="1059">
        <v>18497</v>
      </c>
      <c r="I185" s="1058">
        <v>35757</v>
      </c>
      <c r="J185" s="1057">
        <v>2513</v>
      </c>
      <c r="K185" s="1059">
        <f t="shared" si="4"/>
        <v>77556</v>
      </c>
      <c r="L185" s="1057"/>
      <c r="M185" s="1058">
        <v>698</v>
      </c>
      <c r="N185" s="1058">
        <v>0</v>
      </c>
      <c r="O185" s="1057">
        <v>2058</v>
      </c>
      <c r="P185" s="1059">
        <f t="shared" si="5"/>
        <v>2756</v>
      </c>
      <c r="Q185" s="1057"/>
      <c r="R185" s="1058">
        <v>37430</v>
      </c>
      <c r="S185" s="1057">
        <v>186</v>
      </c>
      <c r="T185" s="1060">
        <v>37616</v>
      </c>
    </row>
    <row r="186" spans="1:20" x14ac:dyDescent="0.25">
      <c r="A186" s="1054">
        <v>91801</v>
      </c>
      <c r="B186" s="1055" t="s">
        <v>2749</v>
      </c>
      <c r="C186" s="1056">
        <v>7.9632999999999995E-3</v>
      </c>
      <c r="D186" s="1056">
        <v>8.0961000000000002E-3</v>
      </c>
      <c r="E186" s="1057">
        <v>18891671</v>
      </c>
      <c r="F186" s="1057" t="s">
        <v>187</v>
      </c>
      <c r="G186" s="1058">
        <v>2914536</v>
      </c>
      <c r="H186" s="1059">
        <v>2593265</v>
      </c>
      <c r="I186" s="1058">
        <v>5013120</v>
      </c>
      <c r="J186" s="1057">
        <v>0</v>
      </c>
      <c r="K186" s="1059">
        <f t="shared" si="4"/>
        <v>10520921</v>
      </c>
      <c r="L186" s="1057"/>
      <c r="M186" s="1058">
        <v>97797</v>
      </c>
      <c r="N186" s="1058">
        <v>0</v>
      </c>
      <c r="O186" s="1057">
        <v>291905</v>
      </c>
      <c r="P186" s="1059">
        <f t="shared" si="5"/>
        <v>389702</v>
      </c>
      <c r="Q186" s="1057"/>
      <c r="R186" s="1058">
        <v>5247600</v>
      </c>
      <c r="S186" s="1057">
        <v>-120864</v>
      </c>
      <c r="T186" s="1060">
        <v>5126736</v>
      </c>
    </row>
    <row r="187" spans="1:20" x14ac:dyDescent="0.25">
      <c r="A187" s="1054">
        <v>91804</v>
      </c>
      <c r="B187" s="1055" t="s">
        <v>2750</v>
      </c>
      <c r="C187" s="1056">
        <v>1.4770000000000001E-4</v>
      </c>
      <c r="D187" s="1056">
        <v>1.3439999999999999E-4</v>
      </c>
      <c r="E187" s="1057">
        <v>350395</v>
      </c>
      <c r="F187" s="1057" t="s">
        <v>187</v>
      </c>
      <c r="G187" s="1058">
        <v>54058</v>
      </c>
      <c r="H187" s="1059">
        <v>48099</v>
      </c>
      <c r="I187" s="1058">
        <v>92981</v>
      </c>
      <c r="J187" s="1057">
        <v>68194</v>
      </c>
      <c r="K187" s="1059">
        <f t="shared" si="4"/>
        <v>263332</v>
      </c>
      <c r="L187" s="1057"/>
      <c r="M187" s="1058">
        <v>1814</v>
      </c>
      <c r="N187" s="1058">
        <v>0</v>
      </c>
      <c r="O187" s="1057">
        <v>0</v>
      </c>
      <c r="P187" s="1059">
        <f t="shared" si="5"/>
        <v>1814</v>
      </c>
      <c r="Q187" s="1057"/>
      <c r="R187" s="1058">
        <v>97330</v>
      </c>
      <c r="S187" s="1057">
        <v>32579</v>
      </c>
      <c r="T187" s="1060">
        <v>129909</v>
      </c>
    </row>
    <row r="188" spans="1:20" x14ac:dyDescent="0.25">
      <c r="A188" s="1054">
        <v>91811</v>
      </c>
      <c r="B188" s="1055" t="s">
        <v>2751</v>
      </c>
      <c r="C188" s="1056">
        <v>4.4413999999999999E-3</v>
      </c>
      <c r="D188" s="1056">
        <v>4.5555999999999999E-3</v>
      </c>
      <c r="E188" s="1057">
        <v>10536520</v>
      </c>
      <c r="F188" s="1057" t="s">
        <v>187</v>
      </c>
      <c r="G188" s="1058">
        <v>1625535</v>
      </c>
      <c r="H188" s="1059">
        <v>1446350</v>
      </c>
      <c r="I188" s="1058">
        <v>2795986</v>
      </c>
      <c r="J188" s="1057">
        <v>0</v>
      </c>
      <c r="K188" s="1059">
        <f t="shared" si="4"/>
        <v>5867871</v>
      </c>
      <c r="L188" s="1057"/>
      <c r="M188" s="1058">
        <v>54545</v>
      </c>
      <c r="N188" s="1058">
        <v>0</v>
      </c>
      <c r="O188" s="1057">
        <v>497047</v>
      </c>
      <c r="P188" s="1059">
        <f t="shared" si="5"/>
        <v>551592</v>
      </c>
      <c r="Q188" s="1057"/>
      <c r="R188" s="1058">
        <v>2926763</v>
      </c>
      <c r="S188" s="1057">
        <v>-241160</v>
      </c>
      <c r="T188" s="1060">
        <v>2685603</v>
      </c>
    </row>
    <row r="189" spans="1:20" x14ac:dyDescent="0.25">
      <c r="A189" s="1054">
        <v>91812</v>
      </c>
      <c r="B189" s="1055" t="s">
        <v>4058</v>
      </c>
      <c r="C189" s="1056">
        <v>5.3600000000000002E-5</v>
      </c>
      <c r="D189" s="1056">
        <v>5.0800000000000002E-5</v>
      </c>
      <c r="E189" s="1057">
        <v>127158</v>
      </c>
      <c r="F189" s="1057" t="s">
        <v>187</v>
      </c>
      <c r="G189" s="1058">
        <v>19617</v>
      </c>
      <c r="H189" s="1059">
        <v>17455</v>
      </c>
      <c r="I189" s="1058">
        <v>33743</v>
      </c>
      <c r="J189" s="1057">
        <v>9789</v>
      </c>
      <c r="K189" s="1059">
        <f t="shared" si="4"/>
        <v>80604</v>
      </c>
      <c r="L189" s="1057"/>
      <c r="M189" s="1058">
        <v>658</v>
      </c>
      <c r="N189" s="1058">
        <v>0</v>
      </c>
      <c r="O189" s="1057">
        <v>2033</v>
      </c>
      <c r="P189" s="1059">
        <f t="shared" si="5"/>
        <v>2691</v>
      </c>
      <c r="Q189" s="1057"/>
      <c r="R189" s="1058">
        <v>35321</v>
      </c>
      <c r="S189" s="1057">
        <v>5503</v>
      </c>
      <c r="T189" s="1060">
        <v>40824</v>
      </c>
    </row>
    <row r="190" spans="1:20" x14ac:dyDescent="0.25">
      <c r="A190" s="1054">
        <v>91813</v>
      </c>
      <c r="B190" s="1055" t="s">
        <v>2753</v>
      </c>
      <c r="C190" s="1056">
        <v>8.1299999999999997E-5</v>
      </c>
      <c r="D190" s="1056">
        <v>8.6100000000000006E-5</v>
      </c>
      <c r="E190" s="1057">
        <v>192871</v>
      </c>
      <c r="F190" s="1057" t="s">
        <v>187</v>
      </c>
      <c r="G190" s="1058">
        <v>29755</v>
      </c>
      <c r="H190" s="1059">
        <v>26476</v>
      </c>
      <c r="I190" s="1058">
        <v>51181</v>
      </c>
      <c r="J190" s="1057">
        <v>5758</v>
      </c>
      <c r="K190" s="1059">
        <f t="shared" si="4"/>
        <v>113170</v>
      </c>
      <c r="L190" s="1057"/>
      <c r="M190" s="1058">
        <v>998</v>
      </c>
      <c r="N190" s="1058">
        <v>0</v>
      </c>
      <c r="O190" s="1057">
        <v>10114</v>
      </c>
      <c r="P190" s="1059">
        <f t="shared" si="5"/>
        <v>11112</v>
      </c>
      <c r="Q190" s="1057"/>
      <c r="R190" s="1058">
        <v>53575</v>
      </c>
      <c r="S190" s="1057">
        <v>-606</v>
      </c>
      <c r="T190" s="1060">
        <v>52969</v>
      </c>
    </row>
    <row r="191" spans="1:20" x14ac:dyDescent="0.25">
      <c r="A191" s="1054">
        <v>91818</v>
      </c>
      <c r="B191" s="1055" t="s">
        <v>2754</v>
      </c>
      <c r="C191" s="1056">
        <v>3.9429999999999999E-4</v>
      </c>
      <c r="D191" s="1056">
        <v>4.0079999999999998E-4</v>
      </c>
      <c r="E191" s="1057">
        <v>935414</v>
      </c>
      <c r="F191" s="1057" t="s">
        <v>187</v>
      </c>
      <c r="G191" s="1058">
        <v>144312</v>
      </c>
      <c r="H191" s="1059">
        <v>128404</v>
      </c>
      <c r="I191" s="1058">
        <v>248223</v>
      </c>
      <c r="J191" s="1057">
        <v>524689</v>
      </c>
      <c r="K191" s="1059">
        <f t="shared" si="4"/>
        <v>1045628</v>
      </c>
      <c r="L191" s="1057"/>
      <c r="M191" s="1058">
        <v>4842</v>
      </c>
      <c r="N191" s="1058">
        <v>0</v>
      </c>
      <c r="O191" s="1057">
        <v>0</v>
      </c>
      <c r="P191" s="1059">
        <f t="shared" si="5"/>
        <v>4842</v>
      </c>
      <c r="Q191" s="1057"/>
      <c r="R191" s="1058">
        <v>259833</v>
      </c>
      <c r="S191" s="1057">
        <v>209067</v>
      </c>
      <c r="T191" s="1060">
        <v>468900</v>
      </c>
    </row>
    <row r="192" spans="1:20" x14ac:dyDescent="0.25">
      <c r="A192" s="1054">
        <v>91819</v>
      </c>
      <c r="B192" s="1055" t="s">
        <v>2755</v>
      </c>
      <c r="C192" s="1056">
        <v>3.0469999999999998E-4</v>
      </c>
      <c r="D192" s="1056">
        <v>2.8489999999999999E-4</v>
      </c>
      <c r="E192" s="1057">
        <v>722853</v>
      </c>
      <c r="F192" s="1057" t="s">
        <v>187</v>
      </c>
      <c r="G192" s="1058">
        <v>111519</v>
      </c>
      <c r="H192" s="1059">
        <v>99226</v>
      </c>
      <c r="I192" s="1058">
        <v>191817</v>
      </c>
      <c r="J192" s="1057">
        <v>26641</v>
      </c>
      <c r="K192" s="1059">
        <f t="shared" si="4"/>
        <v>429203</v>
      </c>
      <c r="L192" s="1057"/>
      <c r="M192" s="1058">
        <v>3742</v>
      </c>
      <c r="N192" s="1058">
        <v>0</v>
      </c>
      <c r="O192" s="1057">
        <v>4590</v>
      </c>
      <c r="P192" s="1059">
        <f t="shared" si="5"/>
        <v>8332</v>
      </c>
      <c r="Q192" s="1057"/>
      <c r="R192" s="1058">
        <v>200789</v>
      </c>
      <c r="S192" s="1057">
        <v>10326</v>
      </c>
      <c r="T192" s="1060">
        <v>211115</v>
      </c>
    </row>
    <row r="193" spans="1:20" x14ac:dyDescent="0.25">
      <c r="A193" s="1054">
        <v>91821</v>
      </c>
      <c r="B193" s="1055" t="s">
        <v>2756</v>
      </c>
      <c r="C193" s="1056">
        <v>1.671E-4</v>
      </c>
      <c r="D193" s="1056">
        <v>1.7330000000000001E-4</v>
      </c>
      <c r="E193" s="1057">
        <v>396418</v>
      </c>
      <c r="F193" s="1057" t="s">
        <v>187</v>
      </c>
      <c r="G193" s="1058">
        <v>61158</v>
      </c>
      <c r="H193" s="1059">
        <v>54416</v>
      </c>
      <c r="I193" s="1058">
        <v>105194</v>
      </c>
      <c r="J193" s="1057">
        <v>487</v>
      </c>
      <c r="K193" s="1059">
        <f t="shared" si="4"/>
        <v>221255</v>
      </c>
      <c r="L193" s="1057"/>
      <c r="M193" s="1058">
        <v>2052</v>
      </c>
      <c r="N193" s="1058">
        <v>0</v>
      </c>
      <c r="O193" s="1057">
        <v>9930</v>
      </c>
      <c r="P193" s="1059">
        <f t="shared" si="5"/>
        <v>11982</v>
      </c>
      <c r="Q193" s="1057"/>
      <c r="R193" s="1058">
        <v>110114</v>
      </c>
      <c r="S193" s="1057">
        <v>-745</v>
      </c>
      <c r="T193" s="1060">
        <v>109369</v>
      </c>
    </row>
    <row r="194" spans="1:20" x14ac:dyDescent="0.25">
      <c r="A194" s="1054">
        <v>91831</v>
      </c>
      <c r="B194" s="1055" t="s">
        <v>4059</v>
      </c>
      <c r="C194" s="1056">
        <v>3.7740000000000001E-4</v>
      </c>
      <c r="D194" s="1056">
        <v>3.366E-4</v>
      </c>
      <c r="E194" s="1057">
        <v>895322</v>
      </c>
      <c r="F194" s="1057" t="s">
        <v>187</v>
      </c>
      <c r="G194" s="1058">
        <v>138127</v>
      </c>
      <c r="H194" s="1059">
        <v>122901</v>
      </c>
      <c r="I194" s="1058">
        <v>237584</v>
      </c>
      <c r="J194" s="1057">
        <v>17106</v>
      </c>
      <c r="K194" s="1059">
        <f t="shared" si="4"/>
        <v>515718</v>
      </c>
      <c r="L194" s="1057"/>
      <c r="M194" s="1058">
        <v>4635</v>
      </c>
      <c r="N194" s="1058">
        <v>0</v>
      </c>
      <c r="O194" s="1057">
        <v>9431</v>
      </c>
      <c r="P194" s="1059">
        <f t="shared" si="5"/>
        <v>14066</v>
      </c>
      <c r="Q194" s="1057"/>
      <c r="R194" s="1058">
        <v>248696</v>
      </c>
      <c r="S194" s="1057">
        <v>3967</v>
      </c>
      <c r="T194" s="1060">
        <v>252663</v>
      </c>
    </row>
    <row r="195" spans="1:20" x14ac:dyDescent="0.25">
      <c r="A195" s="1054">
        <v>91841</v>
      </c>
      <c r="B195" s="1055" t="s">
        <v>4060</v>
      </c>
      <c r="C195" s="1056">
        <v>2.6479999999999999E-4</v>
      </c>
      <c r="D195" s="1056">
        <v>2.5339999999999998E-4</v>
      </c>
      <c r="E195" s="1057">
        <v>628196</v>
      </c>
      <c r="F195" s="1057" t="s">
        <v>187</v>
      </c>
      <c r="G195" s="1058">
        <v>96916</v>
      </c>
      <c r="H195" s="1059">
        <v>86233</v>
      </c>
      <c r="I195" s="1058">
        <v>166699</v>
      </c>
      <c r="J195" s="1057">
        <v>5951</v>
      </c>
      <c r="K195" s="1059">
        <f t="shared" si="4"/>
        <v>355799</v>
      </c>
      <c r="L195" s="1057"/>
      <c r="M195" s="1058">
        <v>3252</v>
      </c>
      <c r="N195" s="1058">
        <v>0</v>
      </c>
      <c r="O195" s="1057">
        <v>4615</v>
      </c>
      <c r="P195" s="1059">
        <f t="shared" si="5"/>
        <v>7867</v>
      </c>
      <c r="Q195" s="1057"/>
      <c r="R195" s="1058">
        <v>174496</v>
      </c>
      <c r="S195" s="1057">
        <v>-8503</v>
      </c>
      <c r="T195" s="1060">
        <v>165993</v>
      </c>
    </row>
    <row r="196" spans="1:20" x14ac:dyDescent="0.25">
      <c r="A196" s="1054">
        <v>91851</v>
      </c>
      <c r="B196" s="1055" t="s">
        <v>4061</v>
      </c>
      <c r="C196" s="1056">
        <v>7.3039999999999997E-4</v>
      </c>
      <c r="D196" s="1056">
        <v>7.4910000000000005E-4</v>
      </c>
      <c r="E196" s="1057">
        <v>1732759</v>
      </c>
      <c r="F196" s="1057" t="s">
        <v>187</v>
      </c>
      <c r="G196" s="1058">
        <v>267323</v>
      </c>
      <c r="H196" s="1059">
        <v>237856</v>
      </c>
      <c r="I196" s="1058">
        <v>459807</v>
      </c>
      <c r="J196" s="1057">
        <v>4093</v>
      </c>
      <c r="K196" s="1059">
        <f t="shared" si="4"/>
        <v>969079</v>
      </c>
      <c r="L196" s="1057"/>
      <c r="M196" s="1058">
        <v>8970</v>
      </c>
      <c r="N196" s="1058">
        <v>0</v>
      </c>
      <c r="O196" s="1057">
        <v>35449</v>
      </c>
      <c r="P196" s="1059">
        <f t="shared" si="5"/>
        <v>44419</v>
      </c>
      <c r="Q196" s="1057"/>
      <c r="R196" s="1058">
        <v>481314</v>
      </c>
      <c r="S196" s="1057">
        <v>-15851</v>
      </c>
      <c r="T196" s="1060">
        <v>465463</v>
      </c>
    </row>
    <row r="197" spans="1:20" x14ac:dyDescent="0.25">
      <c r="A197" s="1054">
        <v>91861</v>
      </c>
      <c r="B197" s="1055" t="s">
        <v>4062</v>
      </c>
      <c r="C197" s="1056">
        <v>1.1800000000000001E-5</v>
      </c>
      <c r="D197" s="1056">
        <v>1.9700000000000001E-5</v>
      </c>
      <c r="E197" s="1057">
        <v>27994</v>
      </c>
      <c r="F197" s="1057" t="s">
        <v>187</v>
      </c>
      <c r="G197" s="1058">
        <v>4319</v>
      </c>
      <c r="H197" s="1059">
        <v>3843</v>
      </c>
      <c r="I197" s="1058">
        <v>7428</v>
      </c>
      <c r="J197" s="1057">
        <v>1009</v>
      </c>
      <c r="K197" s="1059">
        <f t="shared" si="4"/>
        <v>16599</v>
      </c>
      <c r="L197" s="1057"/>
      <c r="M197" s="1058">
        <v>145</v>
      </c>
      <c r="N197" s="1058">
        <v>0</v>
      </c>
      <c r="O197" s="1057">
        <v>5115</v>
      </c>
      <c r="P197" s="1059">
        <f t="shared" si="5"/>
        <v>5260</v>
      </c>
      <c r="Q197" s="1057"/>
      <c r="R197" s="1058">
        <v>7776</v>
      </c>
      <c r="S197" s="1057">
        <v>-408</v>
      </c>
      <c r="T197" s="1060">
        <v>7368</v>
      </c>
    </row>
    <row r="198" spans="1:20" x14ac:dyDescent="0.25">
      <c r="A198" s="1054">
        <v>91871</v>
      </c>
      <c r="B198" s="1055" t="s">
        <v>2761</v>
      </c>
      <c r="C198" s="1056">
        <v>1.3219E-3</v>
      </c>
      <c r="D198" s="1056">
        <v>1.3319E-3</v>
      </c>
      <c r="E198" s="1057">
        <v>3135999</v>
      </c>
      <c r="F198" s="1057" t="s">
        <v>187</v>
      </c>
      <c r="G198" s="1058">
        <v>483810</v>
      </c>
      <c r="H198" s="1059">
        <v>430480</v>
      </c>
      <c r="I198" s="1058">
        <v>832173</v>
      </c>
      <c r="J198" s="1057">
        <v>16903</v>
      </c>
      <c r="K198" s="1059">
        <f t="shared" si="4"/>
        <v>1763366</v>
      </c>
      <c r="L198" s="1057"/>
      <c r="M198" s="1058">
        <v>16234</v>
      </c>
      <c r="N198" s="1058">
        <v>0</v>
      </c>
      <c r="O198" s="1057">
        <v>71958</v>
      </c>
      <c r="P198" s="1059">
        <f t="shared" si="5"/>
        <v>88192</v>
      </c>
      <c r="Q198" s="1057"/>
      <c r="R198" s="1058">
        <v>871096</v>
      </c>
      <c r="S198" s="1057">
        <v>-36895</v>
      </c>
      <c r="T198" s="1060">
        <v>834201</v>
      </c>
    </row>
    <row r="199" spans="1:20" x14ac:dyDescent="0.25">
      <c r="A199" s="1054">
        <v>91881</v>
      </c>
      <c r="B199" s="1055" t="s">
        <v>4063</v>
      </c>
      <c r="C199" s="1056">
        <v>8.1000000000000004E-6</v>
      </c>
      <c r="D199" s="1056">
        <v>9.3000000000000007E-6</v>
      </c>
      <c r="E199" s="1057">
        <v>19216</v>
      </c>
      <c r="F199" s="1057" t="s">
        <v>187</v>
      </c>
      <c r="G199" s="1058">
        <v>2965</v>
      </c>
      <c r="H199" s="1059">
        <v>2638</v>
      </c>
      <c r="I199" s="1058">
        <v>5099</v>
      </c>
      <c r="J199" s="1057">
        <v>917</v>
      </c>
      <c r="K199" s="1059">
        <f t="shared" si="4"/>
        <v>11619</v>
      </c>
      <c r="L199" s="1057"/>
      <c r="M199" s="1058">
        <v>99</v>
      </c>
      <c r="N199" s="1058">
        <v>0</v>
      </c>
      <c r="O199" s="1057">
        <v>2944</v>
      </c>
      <c r="P199" s="1059">
        <f t="shared" si="5"/>
        <v>3043</v>
      </c>
      <c r="Q199" s="1057"/>
      <c r="R199" s="1058">
        <v>5338</v>
      </c>
      <c r="S199" s="1057">
        <v>-5564</v>
      </c>
      <c r="T199" s="1060">
        <v>-226</v>
      </c>
    </row>
    <row r="200" spans="1:20" x14ac:dyDescent="0.25">
      <c r="A200" s="1054">
        <v>91901</v>
      </c>
      <c r="B200" s="1055" t="s">
        <v>2763</v>
      </c>
      <c r="C200" s="1056">
        <v>3.6922000000000001E-3</v>
      </c>
      <c r="D200" s="1056">
        <v>3.6706999999999998E-3</v>
      </c>
      <c r="E200" s="1057">
        <v>8759161</v>
      </c>
      <c r="F200" s="1057" t="s">
        <v>187</v>
      </c>
      <c r="G200" s="1058">
        <v>1351330</v>
      </c>
      <c r="H200" s="1059">
        <v>1202373</v>
      </c>
      <c r="I200" s="1058">
        <v>2324343</v>
      </c>
      <c r="J200" s="1057">
        <v>32174</v>
      </c>
      <c r="K200" s="1059">
        <f t="shared" ref="K200:K267" si="6">G200+H200+I200+J200</f>
        <v>4910220</v>
      </c>
      <c r="L200" s="1057"/>
      <c r="M200" s="1058">
        <v>45344</v>
      </c>
      <c r="N200" s="1058">
        <v>0</v>
      </c>
      <c r="O200" s="1057">
        <v>47401</v>
      </c>
      <c r="P200" s="1059">
        <f t="shared" ref="P200:P267" si="7">M200+N200+O200</f>
        <v>92745</v>
      </c>
      <c r="Q200" s="1057"/>
      <c r="R200" s="1058">
        <v>2433060</v>
      </c>
      <c r="S200" s="1057">
        <v>44660</v>
      </c>
      <c r="T200" s="1060">
        <v>2477720</v>
      </c>
    </row>
    <row r="201" spans="1:20" x14ac:dyDescent="0.25">
      <c r="A201" s="1054">
        <v>91903</v>
      </c>
      <c r="B201" s="1055" t="s">
        <v>4064</v>
      </c>
      <c r="C201" s="1056">
        <v>8.8000000000000004E-6</v>
      </c>
      <c r="D201" s="1056">
        <v>8.6999999999999997E-6</v>
      </c>
      <c r="E201" s="1057">
        <v>20877</v>
      </c>
      <c r="F201" s="1057" t="s">
        <v>187</v>
      </c>
      <c r="G201" s="1058">
        <v>3221</v>
      </c>
      <c r="H201" s="1059">
        <v>2866</v>
      </c>
      <c r="I201" s="1058">
        <v>5540</v>
      </c>
      <c r="J201" s="1057">
        <v>3278</v>
      </c>
      <c r="K201" s="1059">
        <f t="shared" si="6"/>
        <v>14905</v>
      </c>
      <c r="L201" s="1057"/>
      <c r="M201" s="1058">
        <v>108</v>
      </c>
      <c r="N201" s="1058">
        <v>0</v>
      </c>
      <c r="O201" s="1057">
        <v>0</v>
      </c>
      <c r="P201" s="1059">
        <f t="shared" si="7"/>
        <v>108</v>
      </c>
      <c r="Q201" s="1057"/>
      <c r="R201" s="1058">
        <v>5799</v>
      </c>
      <c r="S201" s="1057">
        <v>-1932</v>
      </c>
      <c r="T201" s="1060">
        <v>3867</v>
      </c>
    </row>
    <row r="202" spans="1:20" x14ac:dyDescent="0.25">
      <c r="A202" s="1054">
        <v>91904</v>
      </c>
      <c r="B202" s="1055" t="s">
        <v>2765</v>
      </c>
      <c r="C202" s="1056">
        <v>3.1399999999999998E-5</v>
      </c>
      <c r="D202" s="1056">
        <v>3.3399999999999999E-5</v>
      </c>
      <c r="E202" s="1057">
        <v>74492</v>
      </c>
      <c r="F202" s="1057" t="s">
        <v>187</v>
      </c>
      <c r="G202" s="1058">
        <v>11492</v>
      </c>
      <c r="H202" s="1059">
        <v>10225</v>
      </c>
      <c r="I202" s="1058">
        <v>19767</v>
      </c>
      <c r="J202" s="1057">
        <v>6870</v>
      </c>
      <c r="K202" s="1059">
        <f t="shared" si="6"/>
        <v>48354</v>
      </c>
      <c r="L202" s="1057"/>
      <c r="M202" s="1058">
        <v>386</v>
      </c>
      <c r="N202" s="1058">
        <v>0</v>
      </c>
      <c r="O202" s="1057">
        <v>434</v>
      </c>
      <c r="P202" s="1059">
        <f t="shared" si="7"/>
        <v>820</v>
      </c>
      <c r="Q202" s="1057"/>
      <c r="R202" s="1058">
        <v>20692</v>
      </c>
      <c r="S202" s="1057">
        <v>4213</v>
      </c>
      <c r="T202" s="1060">
        <v>24905</v>
      </c>
    </row>
    <row r="203" spans="1:20" x14ac:dyDescent="0.25">
      <c r="A203" s="1054">
        <v>91908</v>
      </c>
      <c r="B203" s="1055" t="s">
        <v>2766</v>
      </c>
      <c r="C203" s="1056">
        <v>1.5299999999999999E-5</v>
      </c>
      <c r="D203" s="1056">
        <v>1.6900000000000001E-5</v>
      </c>
      <c r="E203" s="1057">
        <v>36297</v>
      </c>
      <c r="F203" s="1057" t="s">
        <v>187</v>
      </c>
      <c r="G203" s="1058">
        <v>5600</v>
      </c>
      <c r="H203" s="1059">
        <v>4983</v>
      </c>
      <c r="I203" s="1058">
        <v>9632</v>
      </c>
      <c r="J203" s="1057">
        <v>106</v>
      </c>
      <c r="K203" s="1059">
        <f t="shared" si="6"/>
        <v>20321</v>
      </c>
      <c r="L203" s="1057"/>
      <c r="M203" s="1058">
        <v>188</v>
      </c>
      <c r="N203" s="1058">
        <v>0</v>
      </c>
      <c r="O203" s="1057">
        <v>4660</v>
      </c>
      <c r="P203" s="1059">
        <f t="shared" si="7"/>
        <v>4848</v>
      </c>
      <c r="Q203" s="1057"/>
      <c r="R203" s="1058">
        <v>10082</v>
      </c>
      <c r="S203" s="1057">
        <v>-814</v>
      </c>
      <c r="T203" s="1060">
        <v>9268</v>
      </c>
    </row>
    <row r="204" spans="1:20" x14ac:dyDescent="0.25">
      <c r="A204" s="1054">
        <v>91911</v>
      </c>
      <c r="B204" s="1055" t="s">
        <v>4065</v>
      </c>
      <c r="C204" s="1056">
        <v>4.8529999999999998E-4</v>
      </c>
      <c r="D204" s="1056">
        <v>4.5580000000000002E-4</v>
      </c>
      <c r="E204" s="1057">
        <v>1151298</v>
      </c>
      <c r="F204" s="1057" t="s">
        <v>187</v>
      </c>
      <c r="G204" s="1058">
        <v>177618</v>
      </c>
      <c r="H204" s="1059">
        <v>158038</v>
      </c>
      <c r="I204" s="1058">
        <v>305510</v>
      </c>
      <c r="J204" s="1057">
        <v>25824</v>
      </c>
      <c r="K204" s="1059">
        <f t="shared" si="6"/>
        <v>666990</v>
      </c>
      <c r="L204" s="1057"/>
      <c r="M204" s="1058">
        <v>5960</v>
      </c>
      <c r="N204" s="1058">
        <v>0</v>
      </c>
      <c r="O204" s="1057">
        <v>1556</v>
      </c>
      <c r="P204" s="1059">
        <f t="shared" si="7"/>
        <v>7516</v>
      </c>
      <c r="Q204" s="1057"/>
      <c r="R204" s="1058">
        <v>319800</v>
      </c>
      <c r="S204" s="1057">
        <v>4709</v>
      </c>
      <c r="T204" s="1060">
        <v>324509</v>
      </c>
    </row>
    <row r="205" spans="1:20" x14ac:dyDescent="0.25">
      <c r="A205" s="1054">
        <v>91917</v>
      </c>
      <c r="B205" s="1055" t="s">
        <v>2768</v>
      </c>
      <c r="C205" s="1056">
        <v>1.04E-5</v>
      </c>
      <c r="D205" s="1056">
        <v>1.22E-5</v>
      </c>
      <c r="E205" s="1057">
        <v>24672</v>
      </c>
      <c r="F205" s="1057" t="s">
        <v>187</v>
      </c>
      <c r="G205" s="1058">
        <v>3806</v>
      </c>
      <c r="H205" s="1059">
        <v>3387</v>
      </c>
      <c r="I205" s="1058">
        <v>6547</v>
      </c>
      <c r="J205" s="1057">
        <v>521</v>
      </c>
      <c r="K205" s="1059">
        <f t="shared" si="6"/>
        <v>14261</v>
      </c>
      <c r="L205" s="1057"/>
      <c r="M205" s="1058">
        <v>128</v>
      </c>
      <c r="N205" s="1058">
        <v>0</v>
      </c>
      <c r="O205" s="1057">
        <v>233</v>
      </c>
      <c r="P205" s="1059">
        <f t="shared" si="7"/>
        <v>361</v>
      </c>
      <c r="Q205" s="1057"/>
      <c r="R205" s="1058">
        <v>6853</v>
      </c>
      <c r="S205" s="1057">
        <v>175</v>
      </c>
      <c r="T205" s="1060">
        <v>7028</v>
      </c>
    </row>
    <row r="206" spans="1:20" x14ac:dyDescent="0.25">
      <c r="A206" s="1054">
        <v>91921</v>
      </c>
      <c r="B206" s="1055" t="s">
        <v>4066</v>
      </c>
      <c r="C206" s="1056">
        <v>3.5619999999999998E-4</v>
      </c>
      <c r="D206" s="1056">
        <v>3.769E-4</v>
      </c>
      <c r="E206" s="1057">
        <v>845028</v>
      </c>
      <c r="F206" s="1057" t="s">
        <v>187</v>
      </c>
      <c r="G206" s="1058">
        <v>130368</v>
      </c>
      <c r="H206" s="1059">
        <v>115997</v>
      </c>
      <c r="I206" s="1058">
        <v>224238</v>
      </c>
      <c r="J206" s="1057">
        <v>0</v>
      </c>
      <c r="K206" s="1059">
        <f t="shared" si="6"/>
        <v>470603</v>
      </c>
      <c r="L206" s="1057"/>
      <c r="M206" s="1058">
        <v>4374</v>
      </c>
      <c r="N206" s="1058">
        <v>0</v>
      </c>
      <c r="O206" s="1057">
        <v>26775</v>
      </c>
      <c r="P206" s="1059">
        <f t="shared" si="7"/>
        <v>31149</v>
      </c>
      <c r="Q206" s="1057"/>
      <c r="R206" s="1058">
        <v>234726</v>
      </c>
      <c r="S206" s="1057">
        <v>-10664</v>
      </c>
      <c r="T206" s="1060">
        <v>224062</v>
      </c>
    </row>
    <row r="207" spans="1:20" x14ac:dyDescent="0.25">
      <c r="A207" s="1054">
        <v>92001</v>
      </c>
      <c r="B207" s="1055" t="s">
        <v>2770</v>
      </c>
      <c r="C207" s="1056">
        <v>1.8332999999999999E-3</v>
      </c>
      <c r="D207" s="1056">
        <v>1.8143E-3</v>
      </c>
      <c r="E207" s="1057">
        <v>4349215</v>
      </c>
      <c r="F207" s="1057" t="s">
        <v>187</v>
      </c>
      <c r="G207" s="1058">
        <v>670980</v>
      </c>
      <c r="H207" s="1059">
        <v>597017</v>
      </c>
      <c r="I207" s="1058">
        <v>1154114</v>
      </c>
      <c r="J207" s="1057">
        <v>30924</v>
      </c>
      <c r="K207" s="1059">
        <f t="shared" si="6"/>
        <v>2453035</v>
      </c>
      <c r="L207" s="1057"/>
      <c r="M207" s="1058">
        <v>22515</v>
      </c>
      <c r="N207" s="1058">
        <v>0</v>
      </c>
      <c r="O207" s="1057">
        <v>112538</v>
      </c>
      <c r="P207" s="1059">
        <f t="shared" si="7"/>
        <v>135053</v>
      </c>
      <c r="Q207" s="1057"/>
      <c r="R207" s="1058">
        <v>1208095</v>
      </c>
      <c r="S207" s="1057">
        <v>-45166</v>
      </c>
      <c r="T207" s="1060">
        <v>1162929</v>
      </c>
    </row>
    <row r="208" spans="1:20" x14ac:dyDescent="0.25">
      <c r="A208" s="1054">
        <v>92005</v>
      </c>
      <c r="B208" s="1055" t="s">
        <v>2771</v>
      </c>
      <c r="C208" s="1056">
        <v>4.2700000000000001E-5</v>
      </c>
      <c r="D208" s="1056">
        <v>4.1399999999999997E-5</v>
      </c>
      <c r="E208" s="1057">
        <v>101299</v>
      </c>
      <c r="F208" s="1057" t="s">
        <v>187</v>
      </c>
      <c r="G208" s="1058">
        <v>15628</v>
      </c>
      <c r="H208" s="1059">
        <v>13906</v>
      </c>
      <c r="I208" s="1058">
        <v>26881</v>
      </c>
      <c r="J208" s="1057">
        <v>4118</v>
      </c>
      <c r="K208" s="1059">
        <f t="shared" si="6"/>
        <v>60533</v>
      </c>
      <c r="L208" s="1057"/>
      <c r="M208" s="1058">
        <v>524</v>
      </c>
      <c r="N208" s="1058">
        <v>0</v>
      </c>
      <c r="O208" s="1057">
        <v>1571</v>
      </c>
      <c r="P208" s="1059">
        <f t="shared" si="7"/>
        <v>2095</v>
      </c>
      <c r="Q208" s="1057"/>
      <c r="R208" s="1058">
        <v>28138</v>
      </c>
      <c r="S208" s="1057">
        <v>1018</v>
      </c>
      <c r="T208" s="1060">
        <v>29156</v>
      </c>
    </row>
    <row r="209" spans="1:20" x14ac:dyDescent="0.25">
      <c r="A209" s="1054">
        <v>92011</v>
      </c>
      <c r="B209" s="1055" t="s">
        <v>4067</v>
      </c>
      <c r="C209" s="1056">
        <v>1.916E-4</v>
      </c>
      <c r="D209" s="1056">
        <v>2.0049999999999999E-4</v>
      </c>
      <c r="E209" s="1057">
        <v>454541</v>
      </c>
      <c r="F209" s="1057" t="s">
        <v>187</v>
      </c>
      <c r="G209" s="1058">
        <v>70125</v>
      </c>
      <c r="H209" s="1059">
        <v>62395</v>
      </c>
      <c r="I209" s="1058">
        <v>120618</v>
      </c>
      <c r="J209" s="1057">
        <v>7900</v>
      </c>
      <c r="K209" s="1059">
        <f t="shared" si="6"/>
        <v>261038</v>
      </c>
      <c r="L209" s="1057"/>
      <c r="M209" s="1058">
        <v>2353</v>
      </c>
      <c r="N209" s="1058">
        <v>0</v>
      </c>
      <c r="O209" s="1057">
        <v>5785</v>
      </c>
      <c r="P209" s="1059">
        <f t="shared" si="7"/>
        <v>8138</v>
      </c>
      <c r="Q209" s="1057"/>
      <c r="R209" s="1058">
        <v>126259</v>
      </c>
      <c r="S209" s="1057">
        <v>8269</v>
      </c>
      <c r="T209" s="1060">
        <v>134528</v>
      </c>
    </row>
    <row r="210" spans="1:20" x14ac:dyDescent="0.25">
      <c r="A210" s="1054">
        <v>92017</v>
      </c>
      <c r="B210" s="1055" t="s">
        <v>2773</v>
      </c>
      <c r="C210" s="1056">
        <v>3.3200000000000001E-5</v>
      </c>
      <c r="D210" s="1056">
        <v>3.4199999999999998E-5</v>
      </c>
      <c r="E210" s="1057">
        <v>78762</v>
      </c>
      <c r="F210" s="1057" t="s">
        <v>187</v>
      </c>
      <c r="G210" s="1058">
        <v>12151</v>
      </c>
      <c r="H210" s="1059">
        <v>10811</v>
      </c>
      <c r="I210" s="1058">
        <v>20900</v>
      </c>
      <c r="J210" s="1057">
        <v>1396</v>
      </c>
      <c r="K210" s="1059">
        <f t="shared" si="6"/>
        <v>45258</v>
      </c>
      <c r="L210" s="1057"/>
      <c r="M210" s="1058">
        <v>408</v>
      </c>
      <c r="N210" s="1058">
        <v>0</v>
      </c>
      <c r="O210" s="1057">
        <v>361</v>
      </c>
      <c r="P210" s="1059">
        <f t="shared" si="7"/>
        <v>769</v>
      </c>
      <c r="Q210" s="1057"/>
      <c r="R210" s="1058">
        <v>21878</v>
      </c>
      <c r="S210" s="1057">
        <v>-415</v>
      </c>
      <c r="T210" s="1060">
        <v>21463</v>
      </c>
    </row>
    <row r="211" spans="1:20" x14ac:dyDescent="0.25">
      <c r="A211" s="1054">
        <v>92021</v>
      </c>
      <c r="B211" s="1055" t="s">
        <v>4068</v>
      </c>
      <c r="C211" s="1056">
        <v>1.451E-4</v>
      </c>
      <c r="D211" s="1056">
        <v>1.5779999999999999E-4</v>
      </c>
      <c r="E211" s="1057">
        <v>344227</v>
      </c>
      <c r="F211" s="1057" t="s">
        <v>187</v>
      </c>
      <c r="G211" s="1058">
        <v>53106</v>
      </c>
      <c r="H211" s="1059">
        <v>47253</v>
      </c>
      <c r="I211" s="1058">
        <v>91345</v>
      </c>
      <c r="J211" s="1057">
        <v>20876</v>
      </c>
      <c r="K211" s="1059">
        <f t="shared" si="6"/>
        <v>212580</v>
      </c>
      <c r="L211" s="1057"/>
      <c r="M211" s="1058">
        <v>1782</v>
      </c>
      <c r="N211" s="1058">
        <v>0</v>
      </c>
      <c r="O211" s="1057">
        <v>23774</v>
      </c>
      <c r="P211" s="1059">
        <f t="shared" si="7"/>
        <v>25556</v>
      </c>
      <c r="Q211" s="1057"/>
      <c r="R211" s="1058">
        <v>95617</v>
      </c>
      <c r="S211" s="1057">
        <v>-3302</v>
      </c>
      <c r="T211" s="1060">
        <v>92315</v>
      </c>
    </row>
    <row r="212" spans="1:20" x14ac:dyDescent="0.25">
      <c r="A212" s="1054">
        <v>92101</v>
      </c>
      <c r="B212" s="1055" t="s">
        <v>2775</v>
      </c>
      <c r="C212" s="1056">
        <v>8.183E-4</v>
      </c>
      <c r="D212" s="1056">
        <v>8.5209999999999995E-4</v>
      </c>
      <c r="E212" s="1057">
        <v>1941287</v>
      </c>
      <c r="F212" s="1057" t="s">
        <v>187</v>
      </c>
      <c r="G212" s="1058">
        <v>299495</v>
      </c>
      <c r="H212" s="1059">
        <v>266481</v>
      </c>
      <c r="I212" s="1058">
        <v>515143</v>
      </c>
      <c r="J212" s="1057">
        <v>575</v>
      </c>
      <c r="K212" s="1059">
        <f t="shared" si="6"/>
        <v>1081694</v>
      </c>
      <c r="L212" s="1057"/>
      <c r="M212" s="1058">
        <v>10050</v>
      </c>
      <c r="N212" s="1058">
        <v>0</v>
      </c>
      <c r="O212" s="1057">
        <v>80217</v>
      </c>
      <c r="P212" s="1059">
        <f t="shared" si="7"/>
        <v>90267</v>
      </c>
      <c r="Q212" s="1057"/>
      <c r="R212" s="1058">
        <v>539238</v>
      </c>
      <c r="S212" s="1057">
        <v>-19299</v>
      </c>
      <c r="T212" s="1060">
        <v>519939</v>
      </c>
    </row>
    <row r="213" spans="1:20" x14ac:dyDescent="0.25">
      <c r="A213" s="1054">
        <v>92104</v>
      </c>
      <c r="B213" s="1055" t="s">
        <v>2776</v>
      </c>
      <c r="C213" s="1056">
        <v>8.3999999999999992E-6</v>
      </c>
      <c r="D213" s="1056">
        <v>8.6000000000000007E-6</v>
      </c>
      <c r="E213" s="1057">
        <v>19928</v>
      </c>
      <c r="F213" s="1057" t="s">
        <v>187</v>
      </c>
      <c r="G213" s="1058">
        <v>3074</v>
      </c>
      <c r="H213" s="1059">
        <v>2735</v>
      </c>
      <c r="I213" s="1058">
        <v>5288</v>
      </c>
      <c r="J213" s="1057">
        <v>2394</v>
      </c>
      <c r="K213" s="1059">
        <f t="shared" si="6"/>
        <v>13491</v>
      </c>
      <c r="L213" s="1057"/>
      <c r="M213" s="1058">
        <v>103</v>
      </c>
      <c r="N213" s="1058">
        <v>0</v>
      </c>
      <c r="O213" s="1057">
        <v>0</v>
      </c>
      <c r="P213" s="1059">
        <f t="shared" si="7"/>
        <v>103</v>
      </c>
      <c r="Q213" s="1057"/>
      <c r="R213" s="1058">
        <v>5535</v>
      </c>
      <c r="S213" s="1057">
        <v>2056</v>
      </c>
      <c r="T213" s="1060">
        <v>7591</v>
      </c>
    </row>
    <row r="214" spans="1:20" x14ac:dyDescent="0.25">
      <c r="A214" s="1054">
        <v>92109</v>
      </c>
      <c r="B214" s="1055" t="s">
        <v>2777</v>
      </c>
      <c r="C214" s="1056">
        <v>1.7239999999999999E-4</v>
      </c>
      <c r="D214" s="1056">
        <v>1.8809999999999999E-4</v>
      </c>
      <c r="E214" s="1057">
        <v>408992</v>
      </c>
      <c r="F214" s="1057" t="s">
        <v>187</v>
      </c>
      <c r="G214" s="1058">
        <v>63098</v>
      </c>
      <c r="H214" s="1059">
        <v>56142</v>
      </c>
      <c r="I214" s="1058">
        <v>108531</v>
      </c>
      <c r="J214" s="1057">
        <v>547</v>
      </c>
      <c r="K214" s="1059">
        <f t="shared" si="6"/>
        <v>228318</v>
      </c>
      <c r="L214" s="1057"/>
      <c r="M214" s="1058">
        <v>2117</v>
      </c>
      <c r="N214" s="1058">
        <v>0</v>
      </c>
      <c r="O214" s="1057">
        <v>19072</v>
      </c>
      <c r="P214" s="1059">
        <f t="shared" si="7"/>
        <v>21189</v>
      </c>
      <c r="Q214" s="1057"/>
      <c r="R214" s="1058">
        <v>113607</v>
      </c>
      <c r="S214" s="1057">
        <v>-8757</v>
      </c>
      <c r="T214" s="1060">
        <v>104850</v>
      </c>
    </row>
    <row r="215" spans="1:20" x14ac:dyDescent="0.25">
      <c r="A215" s="1054">
        <v>92111</v>
      </c>
      <c r="B215" s="1055" t="s">
        <v>4069</v>
      </c>
      <c r="C215" s="1056">
        <v>5.2209999999999995E-4</v>
      </c>
      <c r="D215" s="1056">
        <v>5.0460000000000001E-4</v>
      </c>
      <c r="E215" s="1057">
        <v>1238600</v>
      </c>
      <c r="F215" s="1057" t="s">
        <v>187</v>
      </c>
      <c r="G215" s="1058">
        <v>191087</v>
      </c>
      <c r="H215" s="1059">
        <v>170023</v>
      </c>
      <c r="I215" s="1058">
        <v>328677</v>
      </c>
      <c r="J215" s="1057">
        <v>4892</v>
      </c>
      <c r="K215" s="1059">
        <f t="shared" si="6"/>
        <v>694679</v>
      </c>
      <c r="L215" s="1057"/>
      <c r="M215" s="1058">
        <v>6412</v>
      </c>
      <c r="N215" s="1058">
        <v>0</v>
      </c>
      <c r="O215" s="1057">
        <v>8630</v>
      </c>
      <c r="P215" s="1059">
        <f t="shared" si="7"/>
        <v>15042</v>
      </c>
      <c r="Q215" s="1057"/>
      <c r="R215" s="1058">
        <v>344050</v>
      </c>
      <c r="S215" s="1057">
        <v>2737</v>
      </c>
      <c r="T215" s="1060">
        <v>346787</v>
      </c>
    </row>
    <row r="216" spans="1:20" x14ac:dyDescent="0.25">
      <c r="A216" s="1054">
        <v>92113</v>
      </c>
      <c r="B216" s="1055" t="s">
        <v>4070</v>
      </c>
      <c r="C216" s="1056">
        <v>1.56E-5</v>
      </c>
      <c r="D216" s="1056">
        <v>1.4399999999999999E-5</v>
      </c>
      <c r="E216" s="1057">
        <v>37009</v>
      </c>
      <c r="F216" s="1057" t="s">
        <v>187</v>
      </c>
      <c r="G216" s="1058">
        <v>5710</v>
      </c>
      <c r="H216" s="1059">
        <v>5080</v>
      </c>
      <c r="I216" s="1058">
        <v>9821</v>
      </c>
      <c r="J216" s="1057">
        <v>14622</v>
      </c>
      <c r="K216" s="1059">
        <f t="shared" si="6"/>
        <v>35233</v>
      </c>
      <c r="L216" s="1057"/>
      <c r="M216" s="1058">
        <v>192</v>
      </c>
      <c r="N216" s="1058">
        <v>0</v>
      </c>
      <c r="O216" s="1057">
        <v>1633</v>
      </c>
      <c r="P216" s="1059">
        <f t="shared" si="7"/>
        <v>1825</v>
      </c>
      <c r="Q216" s="1057"/>
      <c r="R216" s="1058">
        <v>10280</v>
      </c>
      <c r="S216" s="1057">
        <v>8352</v>
      </c>
      <c r="T216" s="1060">
        <v>18632</v>
      </c>
    </row>
    <row r="217" spans="1:20" x14ac:dyDescent="0.25">
      <c r="A217" s="1054">
        <v>92201</v>
      </c>
      <c r="B217" s="1055" t="s">
        <v>2780</v>
      </c>
      <c r="C217" s="1056">
        <v>9.1100000000000003E-4</v>
      </c>
      <c r="D217" s="1056">
        <v>9.3389999999999999E-4</v>
      </c>
      <c r="E217" s="1057">
        <v>2161204</v>
      </c>
      <c r="F217" s="1057" t="s">
        <v>187</v>
      </c>
      <c r="G217" s="1058">
        <v>333422</v>
      </c>
      <c r="H217" s="1059">
        <v>296669</v>
      </c>
      <c r="I217" s="1058">
        <v>573500</v>
      </c>
      <c r="J217" s="1057">
        <v>13246</v>
      </c>
      <c r="K217" s="1059">
        <f t="shared" si="6"/>
        <v>1216837</v>
      </c>
      <c r="L217" s="1057"/>
      <c r="M217" s="1058">
        <v>11188</v>
      </c>
      <c r="N217" s="1058">
        <v>0</v>
      </c>
      <c r="O217" s="1057">
        <v>32516</v>
      </c>
      <c r="P217" s="1059">
        <f t="shared" si="7"/>
        <v>43704</v>
      </c>
      <c r="Q217" s="1057"/>
      <c r="R217" s="1058">
        <v>600324</v>
      </c>
      <c r="S217" s="1057">
        <v>12990</v>
      </c>
      <c r="T217" s="1060">
        <v>613314</v>
      </c>
    </row>
    <row r="218" spans="1:20" x14ac:dyDescent="0.25">
      <c r="A218" s="1054">
        <v>92214</v>
      </c>
      <c r="B218" s="1062" t="s">
        <v>4071</v>
      </c>
      <c r="C218" s="1056">
        <v>1.9000000000000001E-5</v>
      </c>
      <c r="D218" s="1056">
        <v>0</v>
      </c>
      <c r="E218" s="1057">
        <v>45074</v>
      </c>
      <c r="F218" s="1057" t="s">
        <v>187</v>
      </c>
      <c r="G218" s="1058">
        <v>6954</v>
      </c>
      <c r="H218" s="1059">
        <v>6187</v>
      </c>
      <c r="I218" s="1058">
        <v>11961</v>
      </c>
      <c r="J218" s="1057">
        <v>14011</v>
      </c>
      <c r="K218" s="1059">
        <f t="shared" si="6"/>
        <v>39113</v>
      </c>
      <c r="L218" s="1057"/>
      <c r="M218" s="1058">
        <v>233</v>
      </c>
      <c r="N218" s="1058">
        <v>0</v>
      </c>
      <c r="O218" s="1057">
        <v>0</v>
      </c>
      <c r="P218" s="1059">
        <f t="shared" si="7"/>
        <v>233</v>
      </c>
      <c r="Q218" s="1057"/>
      <c r="R218" s="1058">
        <v>12520</v>
      </c>
      <c r="S218" s="1057">
        <v>3503</v>
      </c>
      <c r="T218" s="1060">
        <v>16023</v>
      </c>
    </row>
    <row r="219" spans="1:20" x14ac:dyDescent="0.25">
      <c r="A219" s="1054">
        <v>92301</v>
      </c>
      <c r="B219" s="1055" t="s">
        <v>2781</v>
      </c>
      <c r="C219" s="1056">
        <v>5.1875999999999997E-3</v>
      </c>
      <c r="D219" s="1056">
        <v>5.2129999999999998E-3</v>
      </c>
      <c r="E219" s="1057">
        <v>12306761</v>
      </c>
      <c r="F219" s="1057" t="s">
        <v>187</v>
      </c>
      <c r="G219" s="1058">
        <v>1898641</v>
      </c>
      <c r="H219" s="1059">
        <v>1689353</v>
      </c>
      <c r="I219" s="1058">
        <v>3265739</v>
      </c>
      <c r="J219" s="1057">
        <v>65564</v>
      </c>
      <c r="K219" s="1059">
        <f t="shared" si="6"/>
        <v>6919297</v>
      </c>
      <c r="L219" s="1057"/>
      <c r="M219" s="1058">
        <v>63709</v>
      </c>
      <c r="N219" s="1058">
        <v>0</v>
      </c>
      <c r="O219" s="1057">
        <v>24051</v>
      </c>
      <c r="P219" s="1059">
        <f t="shared" si="7"/>
        <v>87760</v>
      </c>
      <c r="Q219" s="1057"/>
      <c r="R219" s="1058">
        <v>3418488</v>
      </c>
      <c r="S219" s="1057">
        <v>16356</v>
      </c>
      <c r="T219" s="1060">
        <v>3434844</v>
      </c>
    </row>
    <row r="220" spans="1:20" x14ac:dyDescent="0.25">
      <c r="A220" s="1054">
        <v>92302</v>
      </c>
      <c r="B220" s="1055" t="s">
        <v>3582</v>
      </c>
      <c r="C220" s="1056">
        <v>3.2410000000000002E-4</v>
      </c>
      <c r="D220" s="1056">
        <v>2.9740000000000002E-4</v>
      </c>
      <c r="E220" s="1057">
        <v>768876</v>
      </c>
      <c r="F220" s="1057" t="s">
        <v>187</v>
      </c>
      <c r="G220" s="1058">
        <v>118619</v>
      </c>
      <c r="H220" s="1059">
        <v>105543</v>
      </c>
      <c r="I220" s="1058">
        <v>204030</v>
      </c>
      <c r="J220" s="1057">
        <v>6461</v>
      </c>
      <c r="K220" s="1059">
        <f t="shared" si="6"/>
        <v>434653</v>
      </c>
      <c r="L220" s="1057"/>
      <c r="M220" s="1058">
        <v>3980</v>
      </c>
      <c r="N220" s="1058">
        <v>0</v>
      </c>
      <c r="O220" s="1057">
        <v>18923</v>
      </c>
      <c r="P220" s="1059">
        <f t="shared" si="7"/>
        <v>22903</v>
      </c>
      <c r="Q220" s="1057"/>
      <c r="R220" s="1058">
        <v>213573</v>
      </c>
      <c r="S220" s="1057">
        <v>-8101</v>
      </c>
      <c r="T220" s="1060">
        <v>205472</v>
      </c>
    </row>
    <row r="221" spans="1:20" x14ac:dyDescent="0.25">
      <c r="A221" s="1054">
        <v>92311</v>
      </c>
      <c r="B221" s="1055" t="s">
        <v>2783</v>
      </c>
      <c r="C221" s="1056">
        <v>2.2258999999999998E-3</v>
      </c>
      <c r="D221" s="1056">
        <v>2.2504999999999999E-3</v>
      </c>
      <c r="E221" s="1057">
        <v>5280596</v>
      </c>
      <c r="F221" s="1057" t="s">
        <v>187</v>
      </c>
      <c r="G221" s="1058">
        <v>814670</v>
      </c>
      <c r="H221" s="1059">
        <v>724869</v>
      </c>
      <c r="I221" s="1058">
        <v>1401266</v>
      </c>
      <c r="J221" s="1057">
        <v>6268</v>
      </c>
      <c r="K221" s="1059">
        <f t="shared" si="6"/>
        <v>2947073</v>
      </c>
      <c r="L221" s="1057"/>
      <c r="M221" s="1058">
        <v>27336</v>
      </c>
      <c r="N221" s="1058">
        <v>0</v>
      </c>
      <c r="O221" s="1057">
        <v>77605</v>
      </c>
      <c r="P221" s="1059">
        <f t="shared" si="7"/>
        <v>104941</v>
      </c>
      <c r="Q221" s="1057"/>
      <c r="R221" s="1058">
        <v>1466808</v>
      </c>
      <c r="S221" s="1057">
        <v>-51715</v>
      </c>
      <c r="T221" s="1060">
        <v>1415093</v>
      </c>
    </row>
    <row r="222" spans="1:20" x14ac:dyDescent="0.25">
      <c r="A222" s="1054">
        <v>92317</v>
      </c>
      <c r="B222" s="1055" t="s">
        <v>2784</v>
      </c>
      <c r="C222" s="1056">
        <v>2.1800000000000001E-5</v>
      </c>
      <c r="D222" s="1056">
        <v>2.94E-5</v>
      </c>
      <c r="E222" s="1057">
        <v>51717</v>
      </c>
      <c r="F222" s="1057" t="s">
        <v>187</v>
      </c>
      <c r="G222" s="1058">
        <v>7979</v>
      </c>
      <c r="H222" s="1059">
        <v>7099</v>
      </c>
      <c r="I222" s="1058">
        <v>13724</v>
      </c>
      <c r="J222" s="1057">
        <v>13785</v>
      </c>
      <c r="K222" s="1059">
        <f t="shared" si="6"/>
        <v>42587</v>
      </c>
      <c r="L222" s="1057"/>
      <c r="M222" s="1058">
        <v>268</v>
      </c>
      <c r="N222" s="1058">
        <v>0</v>
      </c>
      <c r="O222" s="1057">
        <v>0</v>
      </c>
      <c r="P222" s="1059">
        <f t="shared" si="7"/>
        <v>268</v>
      </c>
      <c r="Q222" s="1057"/>
      <c r="R222" s="1058">
        <v>14366</v>
      </c>
      <c r="S222" s="1057">
        <v>7302</v>
      </c>
      <c r="T222" s="1060">
        <v>21668</v>
      </c>
    </row>
    <row r="223" spans="1:20" x14ac:dyDescent="0.25">
      <c r="A223" s="1054">
        <v>92321</v>
      </c>
      <c r="B223" s="1055" t="s">
        <v>2785</v>
      </c>
      <c r="C223" s="1056">
        <v>1.2386000000000001E-3</v>
      </c>
      <c r="D223" s="1056">
        <v>1.1773E-3</v>
      </c>
      <c r="E223" s="1057">
        <v>2938383</v>
      </c>
      <c r="F223" s="1057" t="s">
        <v>187</v>
      </c>
      <c r="G223" s="1058">
        <v>453323</v>
      </c>
      <c r="H223" s="1059">
        <v>403353</v>
      </c>
      <c r="I223" s="1058">
        <v>779733</v>
      </c>
      <c r="J223" s="1057">
        <v>50947</v>
      </c>
      <c r="K223" s="1059">
        <f t="shared" si="6"/>
        <v>1687356</v>
      </c>
      <c r="L223" s="1057"/>
      <c r="M223" s="1058">
        <v>15211</v>
      </c>
      <c r="N223" s="1058">
        <v>0</v>
      </c>
      <c r="O223" s="1057">
        <v>15403</v>
      </c>
      <c r="P223" s="1059">
        <f t="shared" si="7"/>
        <v>30614</v>
      </c>
      <c r="Q223" s="1057"/>
      <c r="R223" s="1058">
        <v>816204</v>
      </c>
      <c r="S223" s="1057">
        <v>30637</v>
      </c>
      <c r="T223" s="1060">
        <v>846841</v>
      </c>
    </row>
    <row r="224" spans="1:20" x14ac:dyDescent="0.25">
      <c r="A224" s="1054">
        <v>92327</v>
      </c>
      <c r="B224" s="1055" t="s">
        <v>2786</v>
      </c>
      <c r="C224" s="1056">
        <v>6.8000000000000001E-6</v>
      </c>
      <c r="D224" s="1056">
        <v>5.6999999999999996E-6</v>
      </c>
      <c r="E224" s="1057">
        <v>16132</v>
      </c>
      <c r="F224" s="1057" t="s">
        <v>187</v>
      </c>
      <c r="G224" s="1058">
        <v>2489</v>
      </c>
      <c r="H224" s="1059">
        <v>2215</v>
      </c>
      <c r="I224" s="1058">
        <v>4281</v>
      </c>
      <c r="J224" s="1057">
        <v>5548</v>
      </c>
      <c r="K224" s="1059">
        <f t="shared" si="6"/>
        <v>14533</v>
      </c>
      <c r="L224" s="1057"/>
      <c r="M224" s="1058">
        <v>84</v>
      </c>
      <c r="N224" s="1058">
        <v>0</v>
      </c>
      <c r="O224" s="1057">
        <v>0</v>
      </c>
      <c r="P224" s="1059">
        <f t="shared" si="7"/>
        <v>84</v>
      </c>
      <c r="Q224" s="1057"/>
      <c r="R224" s="1058">
        <v>4481</v>
      </c>
      <c r="S224" s="1057">
        <v>2080</v>
      </c>
      <c r="T224" s="1060">
        <v>6561</v>
      </c>
    </row>
    <row r="225" spans="1:20" x14ac:dyDescent="0.25">
      <c r="A225" s="1054">
        <v>92331</v>
      </c>
      <c r="B225" s="1055" t="s">
        <v>4072</v>
      </c>
      <c r="C225" s="1056">
        <v>1.315E-4</v>
      </c>
      <c r="D225" s="1056">
        <v>1.3970000000000001E-4</v>
      </c>
      <c r="E225" s="1057">
        <v>311963</v>
      </c>
      <c r="F225" s="1057" t="s">
        <v>187</v>
      </c>
      <c r="G225" s="1058">
        <v>48128</v>
      </c>
      <c r="H225" s="1059">
        <v>42823</v>
      </c>
      <c r="I225" s="1058">
        <v>82783</v>
      </c>
      <c r="J225" s="1057">
        <v>427</v>
      </c>
      <c r="K225" s="1059">
        <f t="shared" si="6"/>
        <v>174161</v>
      </c>
      <c r="L225" s="1057"/>
      <c r="M225" s="1058">
        <v>1615</v>
      </c>
      <c r="N225" s="1058">
        <v>0</v>
      </c>
      <c r="O225" s="1057">
        <v>9509</v>
      </c>
      <c r="P225" s="1059">
        <f t="shared" si="7"/>
        <v>11124</v>
      </c>
      <c r="Q225" s="1057"/>
      <c r="R225" s="1058">
        <v>86655</v>
      </c>
      <c r="S225" s="1057">
        <v>-1856</v>
      </c>
      <c r="T225" s="1060">
        <v>84799</v>
      </c>
    </row>
    <row r="226" spans="1:20" x14ac:dyDescent="0.25">
      <c r="A226" s="1054">
        <v>92341</v>
      </c>
      <c r="B226" s="1055" t="s">
        <v>4073</v>
      </c>
      <c r="C226" s="1056">
        <v>9.2E-6</v>
      </c>
      <c r="D226" s="1056">
        <v>9.7999999999999993E-6</v>
      </c>
      <c r="E226" s="1057">
        <v>21826</v>
      </c>
      <c r="F226" s="1057" t="s">
        <v>187</v>
      </c>
      <c r="G226" s="1058">
        <v>3367</v>
      </c>
      <c r="H226" s="1059">
        <v>2996</v>
      </c>
      <c r="I226" s="1058">
        <v>5792</v>
      </c>
      <c r="J226" s="1057">
        <v>297</v>
      </c>
      <c r="K226" s="1059">
        <f t="shared" si="6"/>
        <v>12452</v>
      </c>
      <c r="L226" s="1057"/>
      <c r="M226" s="1058">
        <v>113</v>
      </c>
      <c r="N226" s="1058">
        <v>0</v>
      </c>
      <c r="O226" s="1057">
        <v>2308</v>
      </c>
      <c r="P226" s="1059">
        <f t="shared" si="7"/>
        <v>2421</v>
      </c>
      <c r="Q226" s="1057"/>
      <c r="R226" s="1058">
        <v>6063</v>
      </c>
      <c r="S226" s="1057">
        <v>-1214</v>
      </c>
      <c r="T226" s="1060">
        <v>4849</v>
      </c>
    </row>
    <row r="227" spans="1:20" x14ac:dyDescent="0.25">
      <c r="A227" s="1054">
        <v>92351</v>
      </c>
      <c r="B227" s="1055" t="s">
        <v>4074</v>
      </c>
      <c r="C227" s="1056">
        <v>1.9400000000000001E-5</v>
      </c>
      <c r="D227" s="1056">
        <v>1.8600000000000001E-5</v>
      </c>
      <c r="E227" s="1057">
        <v>46023</v>
      </c>
      <c r="F227" s="1057" t="s">
        <v>187</v>
      </c>
      <c r="G227" s="1058">
        <v>7100</v>
      </c>
      <c r="H227" s="1059">
        <v>6317</v>
      </c>
      <c r="I227" s="1058">
        <v>12213</v>
      </c>
      <c r="J227" s="1057">
        <v>3336</v>
      </c>
      <c r="K227" s="1059">
        <f t="shared" si="6"/>
        <v>28966</v>
      </c>
      <c r="L227" s="1057"/>
      <c r="M227" s="1058">
        <v>238</v>
      </c>
      <c r="N227" s="1058">
        <v>0</v>
      </c>
      <c r="O227" s="1057">
        <v>2532</v>
      </c>
      <c r="P227" s="1059">
        <f t="shared" si="7"/>
        <v>2770</v>
      </c>
      <c r="Q227" s="1057"/>
      <c r="R227" s="1058">
        <v>12784</v>
      </c>
      <c r="S227" s="1057">
        <v>-213</v>
      </c>
      <c r="T227" s="1060">
        <v>12571</v>
      </c>
    </row>
    <row r="228" spans="1:20" x14ac:dyDescent="0.25">
      <c r="A228" s="1054">
        <v>92401</v>
      </c>
      <c r="B228" s="1055" t="s">
        <v>2790</v>
      </c>
      <c r="C228" s="1056">
        <v>2.4808E-3</v>
      </c>
      <c r="D228" s="1056">
        <v>2.6890999999999998E-3</v>
      </c>
      <c r="E228" s="1057">
        <v>5885306</v>
      </c>
      <c r="F228" s="1057" t="s">
        <v>187</v>
      </c>
      <c r="G228" s="1058">
        <v>907963</v>
      </c>
      <c r="H228" s="1059">
        <v>807877</v>
      </c>
      <c r="I228" s="1058">
        <v>1561733</v>
      </c>
      <c r="J228" s="1057">
        <v>14194</v>
      </c>
      <c r="K228" s="1059">
        <f t="shared" si="6"/>
        <v>3291767</v>
      </c>
      <c r="L228" s="1057"/>
      <c r="M228" s="1058">
        <v>30467</v>
      </c>
      <c r="N228" s="1058">
        <v>0</v>
      </c>
      <c r="O228" s="1057">
        <v>55822</v>
      </c>
      <c r="P228" s="1059">
        <f t="shared" si="7"/>
        <v>86289</v>
      </c>
      <c r="Q228" s="1057"/>
      <c r="R228" s="1058">
        <v>1634780</v>
      </c>
      <c r="S228" s="1057">
        <v>5281</v>
      </c>
      <c r="T228" s="1060">
        <v>1640061</v>
      </c>
    </row>
    <row r="229" spans="1:20" x14ac:dyDescent="0.25">
      <c r="A229" s="1054">
        <v>92403</v>
      </c>
      <c r="B229" s="1055" t="s">
        <v>2791</v>
      </c>
      <c r="C229" s="1056">
        <v>1.0200000000000001E-5</v>
      </c>
      <c r="D229" s="1056">
        <v>1.11E-5</v>
      </c>
      <c r="E229" s="1057">
        <v>24198</v>
      </c>
      <c r="F229" s="1057" t="s">
        <v>187</v>
      </c>
      <c r="G229" s="1058">
        <v>3733</v>
      </c>
      <c r="H229" s="1059">
        <v>3321</v>
      </c>
      <c r="I229" s="1058">
        <v>6421</v>
      </c>
      <c r="J229" s="1057">
        <v>1611</v>
      </c>
      <c r="K229" s="1059">
        <f t="shared" si="6"/>
        <v>15086</v>
      </c>
      <c r="L229" s="1057"/>
      <c r="M229" s="1058">
        <v>125</v>
      </c>
      <c r="N229" s="1058">
        <v>0</v>
      </c>
      <c r="O229" s="1057">
        <v>851</v>
      </c>
      <c r="P229" s="1059">
        <f t="shared" si="7"/>
        <v>976</v>
      </c>
      <c r="Q229" s="1057"/>
      <c r="R229" s="1058">
        <v>6722</v>
      </c>
      <c r="S229" s="1057">
        <v>220</v>
      </c>
      <c r="T229" s="1060">
        <v>6942</v>
      </c>
    </row>
    <row r="230" spans="1:20" x14ac:dyDescent="0.25">
      <c r="A230" s="1054">
        <v>92411</v>
      </c>
      <c r="B230" s="1055" t="s">
        <v>2792</v>
      </c>
      <c r="C230" s="1056">
        <v>4.4569999999999999E-4</v>
      </c>
      <c r="D230" s="1056">
        <v>5.0469999999999996E-4</v>
      </c>
      <c r="E230" s="1057">
        <v>1057353</v>
      </c>
      <c r="F230" s="1057" t="s">
        <v>187</v>
      </c>
      <c r="G230" s="1058">
        <v>163124</v>
      </c>
      <c r="H230" s="1059">
        <v>145143</v>
      </c>
      <c r="I230" s="1058">
        <v>280581</v>
      </c>
      <c r="J230" s="1057">
        <v>165</v>
      </c>
      <c r="K230" s="1059">
        <f t="shared" si="6"/>
        <v>589013</v>
      </c>
      <c r="L230" s="1057"/>
      <c r="M230" s="1058">
        <v>5474</v>
      </c>
      <c r="N230" s="1058">
        <v>0</v>
      </c>
      <c r="O230" s="1057">
        <v>72580</v>
      </c>
      <c r="P230" s="1059">
        <f t="shared" si="7"/>
        <v>78054</v>
      </c>
      <c r="Q230" s="1057"/>
      <c r="R230" s="1058">
        <v>293704</v>
      </c>
      <c r="S230" s="1057">
        <v>-29467</v>
      </c>
      <c r="T230" s="1060">
        <v>264237</v>
      </c>
    </row>
    <row r="231" spans="1:20" x14ac:dyDescent="0.25">
      <c r="A231" s="1054">
        <v>92414</v>
      </c>
      <c r="B231" s="1055" t="s">
        <v>4075</v>
      </c>
      <c r="C231" s="1056">
        <v>0</v>
      </c>
      <c r="D231" s="1056">
        <v>0</v>
      </c>
      <c r="E231" s="1057">
        <v>0</v>
      </c>
      <c r="F231" s="1057" t="s">
        <v>187</v>
      </c>
      <c r="G231" s="1058">
        <v>0</v>
      </c>
      <c r="H231" s="1059">
        <v>0</v>
      </c>
      <c r="I231" s="1058">
        <v>0</v>
      </c>
      <c r="J231" s="1057">
        <v>0</v>
      </c>
      <c r="K231" s="1059">
        <f t="shared" si="6"/>
        <v>0</v>
      </c>
      <c r="L231" s="1057"/>
      <c r="M231" s="1058">
        <v>0</v>
      </c>
      <c r="N231" s="1058">
        <v>0</v>
      </c>
      <c r="O231" s="1057">
        <v>3269</v>
      </c>
      <c r="P231" s="1059">
        <f t="shared" si="7"/>
        <v>3269</v>
      </c>
      <c r="Q231" s="1057"/>
      <c r="R231" s="1058">
        <v>0</v>
      </c>
      <c r="S231" s="1057">
        <v>-2443</v>
      </c>
      <c r="T231" s="1060">
        <v>-2443</v>
      </c>
    </row>
    <row r="232" spans="1:20" x14ac:dyDescent="0.25">
      <c r="A232" s="1054">
        <v>92417</v>
      </c>
      <c r="B232" s="1055" t="s">
        <v>2793</v>
      </c>
      <c r="C232" s="1056">
        <v>1.8600000000000001E-5</v>
      </c>
      <c r="D232" s="1056">
        <v>1.8300000000000001E-5</v>
      </c>
      <c r="E232" s="1057">
        <v>44126</v>
      </c>
      <c r="F232" s="1057" t="s">
        <v>187</v>
      </c>
      <c r="G232" s="1058">
        <v>6808</v>
      </c>
      <c r="H232" s="1059">
        <v>6058</v>
      </c>
      <c r="I232" s="1058">
        <v>11709</v>
      </c>
      <c r="J232" s="1057">
        <v>0</v>
      </c>
      <c r="K232" s="1059">
        <f t="shared" si="6"/>
        <v>24575</v>
      </c>
      <c r="L232" s="1057"/>
      <c r="M232" s="1058">
        <v>228</v>
      </c>
      <c r="N232" s="1058">
        <v>0</v>
      </c>
      <c r="O232" s="1057">
        <v>3682</v>
      </c>
      <c r="P232" s="1059">
        <f t="shared" si="7"/>
        <v>3910</v>
      </c>
      <c r="Q232" s="1057"/>
      <c r="R232" s="1058">
        <v>12257</v>
      </c>
      <c r="S232" s="1057">
        <v>-1356</v>
      </c>
      <c r="T232" s="1060">
        <v>10901</v>
      </c>
    </row>
    <row r="233" spans="1:20" x14ac:dyDescent="0.25">
      <c r="A233" s="1054">
        <v>92421</v>
      </c>
      <c r="B233" s="1055" t="s">
        <v>4076</v>
      </c>
      <c r="C233" s="1056">
        <v>8.6999999999999997E-6</v>
      </c>
      <c r="D233" s="1056">
        <v>8.8000000000000004E-6</v>
      </c>
      <c r="E233" s="1057">
        <v>20639</v>
      </c>
      <c r="F233" s="1057" t="s">
        <v>187</v>
      </c>
      <c r="G233" s="1058">
        <v>3184</v>
      </c>
      <c r="H233" s="1059">
        <v>2833</v>
      </c>
      <c r="I233" s="1058">
        <v>5477</v>
      </c>
      <c r="J233" s="1057">
        <v>6193</v>
      </c>
      <c r="K233" s="1059">
        <f t="shared" si="6"/>
        <v>17687</v>
      </c>
      <c r="L233" s="1057"/>
      <c r="M233" s="1058">
        <v>107</v>
      </c>
      <c r="N233" s="1058">
        <v>0</v>
      </c>
      <c r="O233" s="1057">
        <v>746</v>
      </c>
      <c r="P233" s="1059">
        <f t="shared" si="7"/>
        <v>853</v>
      </c>
      <c r="Q233" s="1057"/>
      <c r="R233" s="1058">
        <v>5733</v>
      </c>
      <c r="S233" s="1057">
        <v>1925</v>
      </c>
      <c r="T233" s="1060">
        <v>7658</v>
      </c>
    </row>
    <row r="234" spans="1:20" x14ac:dyDescent="0.25">
      <c r="A234" s="1054">
        <v>92427</v>
      </c>
      <c r="B234" s="1055" t="s">
        <v>2795</v>
      </c>
      <c r="C234" s="1056">
        <v>1.9999999999999999E-6</v>
      </c>
      <c r="D234" s="1056">
        <v>3.9999999999999998E-7</v>
      </c>
      <c r="E234" s="1057">
        <v>4745</v>
      </c>
      <c r="F234" s="1057" t="s">
        <v>187</v>
      </c>
      <c r="G234" s="1058">
        <v>732</v>
      </c>
      <c r="H234" s="1059">
        <v>651</v>
      </c>
      <c r="I234" s="1058">
        <v>1259</v>
      </c>
      <c r="J234" s="1057">
        <v>2874</v>
      </c>
      <c r="K234" s="1059">
        <f t="shared" si="6"/>
        <v>5516</v>
      </c>
      <c r="L234" s="1057"/>
      <c r="M234" s="1058">
        <v>25</v>
      </c>
      <c r="N234" s="1058">
        <v>0</v>
      </c>
      <c r="O234" s="1057">
        <v>0</v>
      </c>
      <c r="P234" s="1059">
        <f t="shared" si="7"/>
        <v>25</v>
      </c>
      <c r="Q234" s="1057"/>
      <c r="R234" s="1058">
        <v>1318</v>
      </c>
      <c r="S234" s="1057">
        <v>1269</v>
      </c>
      <c r="T234" s="1060">
        <v>2587</v>
      </c>
    </row>
    <row r="235" spans="1:20" x14ac:dyDescent="0.25">
      <c r="A235" s="1054">
        <v>92431</v>
      </c>
      <c r="B235" s="1055" t="s">
        <v>4077</v>
      </c>
      <c r="C235" s="1056">
        <v>2.1999999999999999E-5</v>
      </c>
      <c r="D235" s="1056">
        <v>3.0800000000000003E-5</v>
      </c>
      <c r="E235" s="1057">
        <v>52192</v>
      </c>
      <c r="F235" s="1057" t="s">
        <v>187</v>
      </c>
      <c r="G235" s="1058">
        <v>8052</v>
      </c>
      <c r="H235" s="1059">
        <v>7164</v>
      </c>
      <c r="I235" s="1058">
        <v>13850</v>
      </c>
      <c r="J235" s="1057">
        <v>12947</v>
      </c>
      <c r="K235" s="1059">
        <f t="shared" si="6"/>
        <v>42013</v>
      </c>
      <c r="L235" s="1057"/>
      <c r="M235" s="1058">
        <v>270</v>
      </c>
      <c r="N235" s="1058">
        <v>0</v>
      </c>
      <c r="O235" s="1057">
        <v>3712</v>
      </c>
      <c r="P235" s="1059">
        <f t="shared" si="7"/>
        <v>3982</v>
      </c>
      <c r="Q235" s="1057"/>
      <c r="R235" s="1058">
        <v>14497</v>
      </c>
      <c r="S235" s="1057">
        <v>3732</v>
      </c>
      <c r="T235" s="1060">
        <v>18229</v>
      </c>
    </row>
    <row r="236" spans="1:20" x14ac:dyDescent="0.25">
      <c r="A236" s="1054">
        <v>92441</v>
      </c>
      <c r="B236" s="1055" t="s">
        <v>4078</v>
      </c>
      <c r="C236" s="1056">
        <v>1.002E-4</v>
      </c>
      <c r="D236" s="1056">
        <v>7.7999999999999999E-5</v>
      </c>
      <c r="E236" s="1057">
        <v>237709</v>
      </c>
      <c r="F236" s="1057" t="s">
        <v>187</v>
      </c>
      <c r="G236" s="1058">
        <v>36673</v>
      </c>
      <c r="H236" s="1059">
        <v>32630</v>
      </c>
      <c r="I236" s="1058">
        <v>63079</v>
      </c>
      <c r="J236" s="1057">
        <v>15338</v>
      </c>
      <c r="K236" s="1059">
        <f t="shared" si="6"/>
        <v>147720</v>
      </c>
      <c r="L236" s="1057"/>
      <c r="M236" s="1058">
        <v>1231</v>
      </c>
      <c r="N236" s="1058">
        <v>0</v>
      </c>
      <c r="O236" s="1057">
        <v>8352</v>
      </c>
      <c r="P236" s="1059">
        <f t="shared" si="7"/>
        <v>9583</v>
      </c>
      <c r="Q236" s="1057"/>
      <c r="R236" s="1058">
        <v>66029</v>
      </c>
      <c r="S236" s="1057">
        <v>-3122</v>
      </c>
      <c r="T236" s="1060">
        <v>62907</v>
      </c>
    </row>
    <row r="237" spans="1:20" x14ac:dyDescent="0.25">
      <c r="A237" s="1054">
        <v>92444</v>
      </c>
      <c r="B237" s="1055" t="s">
        <v>2798</v>
      </c>
      <c r="C237" s="1056">
        <v>1.7E-6</v>
      </c>
      <c r="D237" s="1056">
        <v>1.7999999999999999E-6</v>
      </c>
      <c r="E237" s="1057">
        <v>4033</v>
      </c>
      <c r="F237" s="1057" t="s">
        <v>187</v>
      </c>
      <c r="G237" s="1058">
        <v>622</v>
      </c>
      <c r="H237" s="1059">
        <v>553</v>
      </c>
      <c r="I237" s="1058">
        <v>1070</v>
      </c>
      <c r="J237" s="1057">
        <v>3193</v>
      </c>
      <c r="K237" s="1059">
        <f t="shared" si="6"/>
        <v>5438</v>
      </c>
      <c r="L237" s="1057"/>
      <c r="M237" s="1058">
        <v>21</v>
      </c>
      <c r="N237" s="1058">
        <v>0</v>
      </c>
      <c r="O237" s="1057">
        <v>0</v>
      </c>
      <c r="P237" s="1059">
        <f t="shared" si="7"/>
        <v>21</v>
      </c>
      <c r="Q237" s="1057"/>
      <c r="R237" s="1058">
        <v>1120</v>
      </c>
      <c r="S237" s="1057">
        <v>1642</v>
      </c>
      <c r="T237" s="1060">
        <v>2762</v>
      </c>
    </row>
    <row r="238" spans="1:20" x14ac:dyDescent="0.25">
      <c r="A238" s="1054">
        <v>92451</v>
      </c>
      <c r="B238" s="1055" t="s">
        <v>4079</v>
      </c>
      <c r="C238" s="1056">
        <v>1.2650000000000001E-4</v>
      </c>
      <c r="D238" s="1056">
        <v>1.3070000000000001E-4</v>
      </c>
      <c r="E238" s="1057">
        <v>300101</v>
      </c>
      <c r="F238" s="1057" t="s">
        <v>187</v>
      </c>
      <c r="G238" s="1058">
        <v>46298</v>
      </c>
      <c r="H238" s="1059">
        <v>41195</v>
      </c>
      <c r="I238" s="1058">
        <v>79635</v>
      </c>
      <c r="J238" s="1057">
        <v>28275</v>
      </c>
      <c r="K238" s="1059">
        <f t="shared" si="6"/>
        <v>195403</v>
      </c>
      <c r="L238" s="1057"/>
      <c r="M238" s="1058">
        <v>1554</v>
      </c>
      <c r="N238" s="1058">
        <v>0</v>
      </c>
      <c r="O238" s="1057">
        <v>0</v>
      </c>
      <c r="P238" s="1059">
        <f t="shared" si="7"/>
        <v>1554</v>
      </c>
      <c r="Q238" s="1057"/>
      <c r="R238" s="1058">
        <v>83360</v>
      </c>
      <c r="S238" s="1057">
        <v>15181</v>
      </c>
      <c r="T238" s="1060">
        <v>98541</v>
      </c>
    </row>
    <row r="239" spans="1:20" x14ac:dyDescent="0.25">
      <c r="A239" s="1054">
        <v>92461</v>
      </c>
      <c r="B239" s="1055" t="s">
        <v>4080</v>
      </c>
      <c r="C239" s="1056">
        <v>6.7500000000000001E-5</v>
      </c>
      <c r="D239" s="1056">
        <v>7.1099999999999994E-5</v>
      </c>
      <c r="E239" s="1057">
        <v>160133</v>
      </c>
      <c r="F239" s="1057" t="s">
        <v>187</v>
      </c>
      <c r="G239" s="1058">
        <v>24705</v>
      </c>
      <c r="H239" s="1059">
        <v>21982</v>
      </c>
      <c r="I239" s="1058">
        <v>42493</v>
      </c>
      <c r="J239" s="1057">
        <v>14437</v>
      </c>
      <c r="K239" s="1059">
        <f t="shared" si="6"/>
        <v>103617</v>
      </c>
      <c r="L239" s="1057"/>
      <c r="M239" s="1058">
        <v>829</v>
      </c>
      <c r="N239" s="1058">
        <v>0</v>
      </c>
      <c r="O239" s="1057">
        <v>2116</v>
      </c>
      <c r="P239" s="1059">
        <f t="shared" si="7"/>
        <v>2945</v>
      </c>
      <c r="Q239" s="1057"/>
      <c r="R239" s="1058">
        <v>44481</v>
      </c>
      <c r="S239" s="1057">
        <v>2527</v>
      </c>
      <c r="T239" s="1060">
        <v>47008</v>
      </c>
    </row>
    <row r="240" spans="1:20" x14ac:dyDescent="0.25">
      <c r="A240" s="1054">
        <v>92501</v>
      </c>
      <c r="B240" s="1055" t="s">
        <v>2801</v>
      </c>
      <c r="C240" s="1056">
        <v>3.7823000000000002E-3</v>
      </c>
      <c r="D240" s="1056">
        <v>3.8252E-3</v>
      </c>
      <c r="E240" s="1057">
        <v>8972909</v>
      </c>
      <c r="F240" s="1057" t="s">
        <v>187</v>
      </c>
      <c r="G240" s="1058">
        <v>1384307</v>
      </c>
      <c r="H240" s="1059">
        <v>1231713</v>
      </c>
      <c r="I240" s="1058">
        <v>2381064</v>
      </c>
      <c r="J240" s="1057">
        <v>177147</v>
      </c>
      <c r="K240" s="1059">
        <f t="shared" si="6"/>
        <v>5174231</v>
      </c>
      <c r="L240" s="1057"/>
      <c r="M240" s="1058">
        <v>46450</v>
      </c>
      <c r="N240" s="1058">
        <v>0</v>
      </c>
      <c r="O240" s="1057">
        <v>4069</v>
      </c>
      <c r="P240" s="1059">
        <f t="shared" si="7"/>
        <v>50519</v>
      </c>
      <c r="Q240" s="1057"/>
      <c r="R240" s="1058">
        <v>2492434</v>
      </c>
      <c r="S240" s="1057">
        <v>67545</v>
      </c>
      <c r="T240" s="1060">
        <v>2559979</v>
      </c>
    </row>
    <row r="241" spans="1:21" x14ac:dyDescent="0.25">
      <c r="A241" s="1054">
        <v>92502</v>
      </c>
      <c r="B241" s="1055" t="s">
        <v>2802</v>
      </c>
      <c r="C241" s="1056">
        <v>2.5700000000000001E-5</v>
      </c>
      <c r="D241" s="1056">
        <v>2.7500000000000001E-5</v>
      </c>
      <c r="E241" s="1057">
        <v>60969</v>
      </c>
      <c r="F241" s="1057" t="s">
        <v>187</v>
      </c>
      <c r="G241" s="1058">
        <v>9406</v>
      </c>
      <c r="H241" s="1059">
        <v>8369</v>
      </c>
      <c r="I241" s="1058">
        <v>16179</v>
      </c>
      <c r="J241" s="1057">
        <v>3432</v>
      </c>
      <c r="K241" s="1059">
        <f t="shared" si="6"/>
        <v>37386</v>
      </c>
      <c r="L241" s="1057"/>
      <c r="M241" s="1058">
        <v>316</v>
      </c>
      <c r="N241" s="1058">
        <v>0</v>
      </c>
      <c r="O241" s="1057">
        <v>803</v>
      </c>
      <c r="P241" s="1059">
        <f t="shared" si="7"/>
        <v>1119</v>
      </c>
      <c r="Q241" s="1057"/>
      <c r="R241" s="1058">
        <v>16936</v>
      </c>
      <c r="S241" s="1057">
        <v>200</v>
      </c>
      <c r="T241" s="1060">
        <v>17136</v>
      </c>
    </row>
    <row r="242" spans="1:21" x14ac:dyDescent="0.25">
      <c r="A242" s="1054">
        <v>92504</v>
      </c>
      <c r="B242" s="1055" t="s">
        <v>2803</v>
      </c>
      <c r="C242" s="1056">
        <v>7.86E-5</v>
      </c>
      <c r="D242" s="1056">
        <v>8.4300000000000003E-5</v>
      </c>
      <c r="E242" s="1057">
        <v>186466</v>
      </c>
      <c r="F242" s="1057" t="s">
        <v>187</v>
      </c>
      <c r="G242" s="1058">
        <v>28767</v>
      </c>
      <c r="H242" s="1059">
        <v>25596</v>
      </c>
      <c r="I242" s="1058">
        <v>49481</v>
      </c>
      <c r="J242" s="1057">
        <v>24679</v>
      </c>
      <c r="K242" s="1059">
        <f t="shared" si="6"/>
        <v>128523</v>
      </c>
      <c r="L242" s="1057"/>
      <c r="M242" s="1058">
        <v>965</v>
      </c>
      <c r="N242" s="1058">
        <v>0</v>
      </c>
      <c r="O242" s="1057">
        <v>0</v>
      </c>
      <c r="P242" s="1059">
        <f t="shared" si="7"/>
        <v>965</v>
      </c>
      <c r="Q242" s="1057"/>
      <c r="R242" s="1058">
        <v>51795</v>
      </c>
      <c r="S242" s="1057">
        <v>11445</v>
      </c>
      <c r="T242" s="1060">
        <v>63240</v>
      </c>
    </row>
    <row r="243" spans="1:21" x14ac:dyDescent="0.25">
      <c r="A243" s="1054">
        <v>92505</v>
      </c>
      <c r="B243" s="1055" t="s">
        <v>2804</v>
      </c>
      <c r="C243" s="1056">
        <v>1.8330000000000001E-4</v>
      </c>
      <c r="D243" s="1056">
        <v>1.9239999999999999E-4</v>
      </c>
      <c r="E243" s="1057">
        <v>434850</v>
      </c>
      <c r="F243" s="1057" t="s">
        <v>187</v>
      </c>
      <c r="G243" s="1058">
        <v>67087</v>
      </c>
      <c r="H243" s="1059">
        <v>59692</v>
      </c>
      <c r="I243" s="1058">
        <v>115392</v>
      </c>
      <c r="J243" s="1057">
        <v>59838</v>
      </c>
      <c r="K243" s="1059">
        <f t="shared" si="6"/>
        <v>302009</v>
      </c>
      <c r="L243" s="1057"/>
      <c r="M243" s="1058">
        <v>2251</v>
      </c>
      <c r="N243" s="1058">
        <v>0</v>
      </c>
      <c r="O243" s="1057">
        <v>0</v>
      </c>
      <c r="P243" s="1059">
        <f t="shared" si="7"/>
        <v>2251</v>
      </c>
      <c r="Q243" s="1057"/>
      <c r="R243" s="1058">
        <v>120790</v>
      </c>
      <c r="S243" s="1057">
        <v>29276</v>
      </c>
      <c r="T243" s="1060">
        <v>150066</v>
      </c>
    </row>
    <row r="244" spans="1:21" x14ac:dyDescent="0.25">
      <c r="A244" s="1054">
        <v>92506</v>
      </c>
      <c r="B244" s="1055" t="s">
        <v>2805</v>
      </c>
      <c r="C244" s="1056">
        <v>6.05E-5</v>
      </c>
      <c r="D244" s="1056">
        <v>4.7500000000000003E-5</v>
      </c>
      <c r="E244" s="1057">
        <v>143527</v>
      </c>
      <c r="F244" s="1057" t="s">
        <v>187</v>
      </c>
      <c r="G244" s="1058">
        <v>22143</v>
      </c>
      <c r="H244" s="1059">
        <v>19702</v>
      </c>
      <c r="I244" s="1058">
        <v>38086</v>
      </c>
      <c r="J244" s="1057">
        <v>23804</v>
      </c>
      <c r="K244" s="1059">
        <f t="shared" si="6"/>
        <v>103735</v>
      </c>
      <c r="L244" s="1057"/>
      <c r="M244" s="1058">
        <v>743</v>
      </c>
      <c r="N244" s="1058">
        <v>0</v>
      </c>
      <c r="O244" s="1057">
        <v>0</v>
      </c>
      <c r="P244" s="1059">
        <f t="shared" si="7"/>
        <v>743</v>
      </c>
      <c r="Q244" s="1057"/>
      <c r="R244" s="1058">
        <v>39868</v>
      </c>
      <c r="S244" s="1057">
        <v>10713</v>
      </c>
      <c r="T244" s="1060">
        <v>50581</v>
      </c>
    </row>
    <row r="245" spans="1:21" x14ac:dyDescent="0.25">
      <c r="A245" s="1054">
        <v>92507</v>
      </c>
      <c r="B245" s="1055" t="s">
        <v>2806</v>
      </c>
      <c r="C245" s="1056">
        <v>9.2800000000000006E-5</v>
      </c>
      <c r="D245" s="1056">
        <v>9.5699999999999995E-5</v>
      </c>
      <c r="E245" s="1057">
        <v>220153</v>
      </c>
      <c r="F245" s="1057" t="s">
        <v>187</v>
      </c>
      <c r="G245" s="1058">
        <v>33964</v>
      </c>
      <c r="H245" s="1059">
        <v>30220</v>
      </c>
      <c r="I245" s="1058">
        <v>58420</v>
      </c>
      <c r="J245" s="1057">
        <v>7696</v>
      </c>
      <c r="K245" s="1059">
        <f t="shared" si="6"/>
        <v>130300</v>
      </c>
      <c r="L245" s="1057"/>
      <c r="M245" s="1058">
        <v>1140</v>
      </c>
      <c r="N245" s="1058">
        <v>0</v>
      </c>
      <c r="O245" s="1057">
        <v>13640</v>
      </c>
      <c r="P245" s="1059">
        <f t="shared" si="7"/>
        <v>14780</v>
      </c>
      <c r="Q245" s="1057"/>
      <c r="R245" s="1058">
        <v>61153</v>
      </c>
      <c r="S245" s="1057">
        <v>-7333</v>
      </c>
      <c r="T245" s="1060">
        <v>53820</v>
      </c>
    </row>
    <row r="246" spans="1:21" x14ac:dyDescent="0.25">
      <c r="A246" s="1054">
        <v>92508</v>
      </c>
      <c r="B246" s="1055" t="s">
        <v>4081</v>
      </c>
      <c r="C246" s="1056">
        <v>3.076E-4</v>
      </c>
      <c r="D246" s="1056">
        <v>3.1E-4</v>
      </c>
      <c r="E246" s="1057">
        <v>729732</v>
      </c>
      <c r="F246" s="1057" t="s">
        <v>187</v>
      </c>
      <c r="G246" s="1058">
        <v>112580</v>
      </c>
      <c r="H246" s="1059">
        <v>100171</v>
      </c>
      <c r="I246" s="1058">
        <v>193643</v>
      </c>
      <c r="J246" s="1057">
        <v>7720</v>
      </c>
      <c r="K246" s="1059">
        <f t="shared" si="6"/>
        <v>414114</v>
      </c>
      <c r="L246" s="1057"/>
      <c r="M246" s="1058">
        <v>3778</v>
      </c>
      <c r="N246" s="1058">
        <v>0</v>
      </c>
      <c r="O246" s="1057">
        <v>915</v>
      </c>
      <c r="P246" s="1059">
        <f t="shared" si="7"/>
        <v>4693</v>
      </c>
      <c r="Q246" s="1057"/>
      <c r="R246" s="1058">
        <v>202700</v>
      </c>
      <c r="S246" s="1057">
        <v>4814</v>
      </c>
      <c r="T246" s="1060">
        <v>207514</v>
      </c>
    </row>
    <row r="247" spans="1:21" x14ac:dyDescent="0.25">
      <c r="A247" s="1054">
        <v>92511</v>
      </c>
      <c r="B247" s="1055" t="s">
        <v>2809</v>
      </c>
      <c r="C247" s="1056">
        <v>3.3249999999999998E-3</v>
      </c>
      <c r="D247" s="1056">
        <v>3.3240000000000001E-3</v>
      </c>
      <c r="E247" s="1057">
        <v>7888037</v>
      </c>
      <c r="F247" s="1057" t="s">
        <v>187</v>
      </c>
      <c r="G247" s="1058">
        <v>1216937</v>
      </c>
      <c r="H247" s="1059">
        <v>1082793</v>
      </c>
      <c r="I247" s="1058">
        <v>2093181</v>
      </c>
      <c r="J247" s="1057">
        <v>11784</v>
      </c>
      <c r="K247" s="1059">
        <f t="shared" si="6"/>
        <v>4404695</v>
      </c>
      <c r="L247" s="1057"/>
      <c r="M247" s="1058">
        <v>40834</v>
      </c>
      <c r="N247" s="1058">
        <v>0</v>
      </c>
      <c r="O247" s="1057">
        <v>152525</v>
      </c>
      <c r="P247" s="1059">
        <f t="shared" si="7"/>
        <v>193359</v>
      </c>
      <c r="Q247" s="1057"/>
      <c r="R247" s="1058">
        <v>2191085</v>
      </c>
      <c r="S247" s="1057">
        <v>-70016</v>
      </c>
      <c r="T247" s="1060">
        <v>2121069</v>
      </c>
    </row>
    <row r="248" spans="1:21" x14ac:dyDescent="0.25">
      <c r="A248" s="1054" t="s">
        <v>4082</v>
      </c>
      <c r="B248" s="1055" t="s">
        <v>4083</v>
      </c>
      <c r="C248" s="1056">
        <v>0</v>
      </c>
      <c r="D248" s="1056">
        <v>0</v>
      </c>
      <c r="E248" s="1057">
        <v>0</v>
      </c>
      <c r="F248" s="1057" t="s">
        <v>187</v>
      </c>
      <c r="G248" s="1058">
        <v>0</v>
      </c>
      <c r="H248" s="1059">
        <v>0</v>
      </c>
      <c r="I248" s="1058">
        <v>0</v>
      </c>
      <c r="J248" s="1057">
        <v>25219</v>
      </c>
      <c r="K248" s="1059">
        <f>G248+H248+I248+J248</f>
        <v>25219</v>
      </c>
      <c r="L248" s="1057"/>
      <c r="M248" s="1058">
        <v>0</v>
      </c>
      <c r="N248" s="1058">
        <v>0</v>
      </c>
      <c r="O248" s="1057">
        <v>448900</v>
      </c>
      <c r="P248" s="1059">
        <f>M248+N248+O248</f>
        <v>448900</v>
      </c>
      <c r="Q248" s="1057"/>
      <c r="R248" s="1058">
        <v>0</v>
      </c>
      <c r="S248" s="1057">
        <v>-104030</v>
      </c>
      <c r="T248" s="1060">
        <v>-104030</v>
      </c>
      <c r="U248" s="1060"/>
    </row>
    <row r="249" spans="1:21" x14ac:dyDescent="0.25">
      <c r="A249" s="1054" t="s">
        <v>4084</v>
      </c>
      <c r="B249" s="1055" t="s">
        <v>4085</v>
      </c>
      <c r="C249" s="1056">
        <v>0</v>
      </c>
      <c r="D249" s="1056">
        <v>0</v>
      </c>
      <c r="E249" s="1057">
        <v>0</v>
      </c>
      <c r="F249" s="1057" t="s">
        <v>187</v>
      </c>
      <c r="G249" s="1058">
        <v>0</v>
      </c>
      <c r="H249" s="1059">
        <v>0</v>
      </c>
      <c r="I249" s="1058">
        <v>0</v>
      </c>
      <c r="J249" s="1057">
        <v>8188</v>
      </c>
      <c r="K249" s="1059">
        <f>G249+H249+I249+J249</f>
        <v>8188</v>
      </c>
      <c r="L249" s="1057"/>
      <c r="M249" s="1058">
        <v>0</v>
      </c>
      <c r="N249" s="1058">
        <v>0</v>
      </c>
      <c r="O249" s="1057">
        <v>564201</v>
      </c>
      <c r="P249" s="1059">
        <f>M249+N249+O249</f>
        <v>564201</v>
      </c>
      <c r="Q249" s="1057"/>
      <c r="R249" s="1058">
        <v>0</v>
      </c>
      <c r="S249" s="1057">
        <v>-224458</v>
      </c>
      <c r="T249" s="1060">
        <v>-224458</v>
      </c>
    </row>
    <row r="250" spans="1:21" x14ac:dyDescent="0.25">
      <c r="A250" s="1054" t="s">
        <v>4086</v>
      </c>
      <c r="B250" s="1055" t="s">
        <v>2810</v>
      </c>
      <c r="C250" s="1056">
        <v>3.9129000000000004E-3</v>
      </c>
      <c r="D250" s="1056">
        <v>4.0328999999999999E-3</v>
      </c>
      <c r="E250" s="1057">
        <v>9282737</v>
      </c>
      <c r="F250" s="1057" t="s">
        <v>187</v>
      </c>
      <c r="G250" s="1058">
        <v>1432106</v>
      </c>
      <c r="H250" s="1059">
        <v>1274244</v>
      </c>
      <c r="I250" s="1058">
        <v>2463280</v>
      </c>
      <c r="J250" s="1057">
        <v>963519</v>
      </c>
      <c r="K250" s="1059">
        <f t="shared" si="6"/>
        <v>6133149</v>
      </c>
      <c r="L250" s="1057"/>
      <c r="M250" s="1058">
        <v>48054</v>
      </c>
      <c r="N250" s="1058">
        <v>0</v>
      </c>
      <c r="O250" s="1057">
        <v>288340</v>
      </c>
      <c r="P250" s="1059">
        <f t="shared" si="7"/>
        <v>336394</v>
      </c>
      <c r="Q250" s="1057"/>
      <c r="R250" s="1058">
        <v>2578495</v>
      </c>
      <c r="S250" s="1057">
        <v>439276</v>
      </c>
      <c r="T250" s="1060">
        <v>3017771</v>
      </c>
    </row>
    <row r="251" spans="1:21" x14ac:dyDescent="0.25">
      <c r="A251" s="1054">
        <v>92513</v>
      </c>
      <c r="B251" s="1055" t="s">
        <v>4087</v>
      </c>
      <c r="C251" s="1056">
        <f>SUM(C248:C250)</f>
        <v>3.9129000000000004E-3</v>
      </c>
      <c r="D251" s="1056">
        <f t="shared" ref="D251:K251" si="8">SUM(D248:D250)</f>
        <v>4.0328999999999999E-3</v>
      </c>
      <c r="E251" s="1057">
        <f t="shared" si="8"/>
        <v>9282737</v>
      </c>
      <c r="F251" s="1057"/>
      <c r="G251" s="1058">
        <f t="shared" si="8"/>
        <v>1432106</v>
      </c>
      <c r="H251" s="1059">
        <f t="shared" si="8"/>
        <v>1274244</v>
      </c>
      <c r="I251" s="1058">
        <f t="shared" si="8"/>
        <v>2463280</v>
      </c>
      <c r="J251" s="1057">
        <f t="shared" si="8"/>
        <v>996926</v>
      </c>
      <c r="K251" s="1059">
        <f t="shared" si="8"/>
        <v>6166556</v>
      </c>
      <c r="L251" s="1057"/>
      <c r="M251" s="1058">
        <f t="shared" ref="M251:P251" si="9">SUM(M248:M250)</f>
        <v>48054</v>
      </c>
      <c r="N251" s="1058">
        <f t="shared" si="9"/>
        <v>0</v>
      </c>
      <c r="O251" s="1057">
        <f t="shared" si="9"/>
        <v>1301441</v>
      </c>
      <c r="P251" s="1059">
        <f t="shared" si="9"/>
        <v>1349495</v>
      </c>
      <c r="Q251" s="1057"/>
      <c r="R251" s="1058">
        <f t="shared" ref="R251:T251" si="10">SUM(R248:R250)</f>
        <v>2578495</v>
      </c>
      <c r="S251" s="1057">
        <f t="shared" si="10"/>
        <v>110788</v>
      </c>
      <c r="T251" s="1060">
        <f t="shared" si="10"/>
        <v>2689283</v>
      </c>
    </row>
    <row r="252" spans="1:21" x14ac:dyDescent="0.25">
      <c r="A252" s="1054">
        <v>92521</v>
      </c>
      <c r="B252" s="1055" t="s">
        <v>4088</v>
      </c>
      <c r="C252" s="1056">
        <v>8.6799999999999996E-5</v>
      </c>
      <c r="D252" s="1056">
        <v>8.6899999999999998E-5</v>
      </c>
      <c r="E252" s="1057">
        <v>205919</v>
      </c>
      <c r="F252" s="1057" t="s">
        <v>187</v>
      </c>
      <c r="G252" s="1058">
        <v>31768</v>
      </c>
      <c r="H252" s="1059">
        <v>28267</v>
      </c>
      <c r="I252" s="1058">
        <v>54643</v>
      </c>
      <c r="J252" s="1057">
        <v>1428</v>
      </c>
      <c r="K252" s="1059">
        <f t="shared" si="6"/>
        <v>116106</v>
      </c>
      <c r="L252" s="1057"/>
      <c r="M252" s="1058">
        <v>1066</v>
      </c>
      <c r="N252" s="1058">
        <v>0</v>
      </c>
      <c r="O252" s="1057">
        <v>8085</v>
      </c>
      <c r="P252" s="1059">
        <f t="shared" si="7"/>
        <v>9151</v>
      </c>
      <c r="Q252" s="1057"/>
      <c r="R252" s="1058">
        <v>57199</v>
      </c>
      <c r="S252" s="1057">
        <v>-2979</v>
      </c>
      <c r="T252" s="1060">
        <v>54220</v>
      </c>
    </row>
    <row r="253" spans="1:21" x14ac:dyDescent="0.25">
      <c r="A253" s="1054">
        <v>92531</v>
      </c>
      <c r="B253" s="1055" t="s">
        <v>2812</v>
      </c>
      <c r="C253" s="1056">
        <v>8.4360000000000001E-4</v>
      </c>
      <c r="D253" s="1056">
        <v>8.6490000000000004E-4</v>
      </c>
      <c r="E253" s="1057">
        <v>2001308</v>
      </c>
      <c r="F253" s="1057" t="s">
        <v>187</v>
      </c>
      <c r="G253" s="1058">
        <v>308754</v>
      </c>
      <c r="H253" s="1059">
        <v>274720</v>
      </c>
      <c r="I253" s="1058">
        <v>531070</v>
      </c>
      <c r="J253" s="1057">
        <v>0</v>
      </c>
      <c r="K253" s="1059">
        <f t="shared" si="6"/>
        <v>1114544</v>
      </c>
      <c r="L253" s="1057"/>
      <c r="M253" s="1058">
        <v>10360</v>
      </c>
      <c r="N253" s="1058">
        <v>0</v>
      </c>
      <c r="O253" s="1057">
        <v>111598</v>
      </c>
      <c r="P253" s="1059">
        <f t="shared" si="7"/>
        <v>121958</v>
      </c>
      <c r="Q253" s="1057"/>
      <c r="R253" s="1058">
        <v>555910</v>
      </c>
      <c r="S253" s="1057">
        <v>-73390</v>
      </c>
      <c r="T253" s="1060">
        <v>482520</v>
      </c>
    </row>
    <row r="254" spans="1:21" x14ac:dyDescent="0.25">
      <c r="A254" s="1054">
        <v>92541</v>
      </c>
      <c r="B254" s="1055" t="s">
        <v>4089</v>
      </c>
      <c r="C254" s="1056">
        <v>1.2459999999999999E-4</v>
      </c>
      <c r="D254" s="1056">
        <v>1.4469999999999999E-4</v>
      </c>
      <c r="E254" s="1057">
        <v>295594</v>
      </c>
      <c r="F254" s="1057" t="s">
        <v>187</v>
      </c>
      <c r="G254" s="1058">
        <v>45603</v>
      </c>
      <c r="H254" s="1059">
        <v>40576</v>
      </c>
      <c r="I254" s="1058">
        <v>78439</v>
      </c>
      <c r="J254" s="1057">
        <v>2741</v>
      </c>
      <c r="K254" s="1059">
        <f t="shared" si="6"/>
        <v>167359</v>
      </c>
      <c r="L254" s="1057"/>
      <c r="M254" s="1058">
        <v>1530</v>
      </c>
      <c r="N254" s="1058">
        <v>0</v>
      </c>
      <c r="O254" s="1057">
        <v>19775</v>
      </c>
      <c r="P254" s="1059">
        <f t="shared" si="7"/>
        <v>21305</v>
      </c>
      <c r="Q254" s="1057"/>
      <c r="R254" s="1058">
        <v>82108</v>
      </c>
      <c r="S254" s="1057">
        <v>-1772</v>
      </c>
      <c r="T254" s="1060">
        <v>80336</v>
      </c>
    </row>
    <row r="255" spans="1:21" x14ac:dyDescent="0.25">
      <c r="A255" s="1054">
        <v>92551</v>
      </c>
      <c r="B255" s="1055" t="s">
        <v>4090</v>
      </c>
      <c r="C255" s="1056">
        <v>4.3399999999999998E-5</v>
      </c>
      <c r="D255" s="1056">
        <v>5.3300000000000001E-5</v>
      </c>
      <c r="E255" s="1057">
        <v>102960</v>
      </c>
      <c r="F255" s="1057" t="s">
        <v>187</v>
      </c>
      <c r="G255" s="1058">
        <v>15884</v>
      </c>
      <c r="H255" s="1059">
        <v>14134</v>
      </c>
      <c r="I255" s="1058">
        <v>27322</v>
      </c>
      <c r="J255" s="1057">
        <v>3097</v>
      </c>
      <c r="K255" s="1059">
        <f t="shared" si="6"/>
        <v>60437</v>
      </c>
      <c r="L255" s="1057"/>
      <c r="M255" s="1058">
        <v>533</v>
      </c>
      <c r="N255" s="1058">
        <v>0</v>
      </c>
      <c r="O255" s="1057">
        <v>11920</v>
      </c>
      <c r="P255" s="1059">
        <f t="shared" si="7"/>
        <v>12453</v>
      </c>
      <c r="Q255" s="1057"/>
      <c r="R255" s="1058">
        <v>28599</v>
      </c>
      <c r="S255" s="1057">
        <v>-841</v>
      </c>
      <c r="T255" s="1060">
        <v>27758</v>
      </c>
    </row>
    <row r="256" spans="1:21" x14ac:dyDescent="0.25">
      <c r="A256" s="1054">
        <v>92561</v>
      </c>
      <c r="B256" s="1055" t="s">
        <v>4091</v>
      </c>
      <c r="C256" s="1056">
        <v>2.1399999999999998E-5</v>
      </c>
      <c r="D256" s="1056">
        <v>2.2200000000000001E-5</v>
      </c>
      <c r="E256" s="1057">
        <v>50768</v>
      </c>
      <c r="F256" s="1057" t="s">
        <v>187</v>
      </c>
      <c r="G256" s="1058">
        <v>7832</v>
      </c>
      <c r="H256" s="1059">
        <v>6969</v>
      </c>
      <c r="I256" s="1058">
        <v>13472</v>
      </c>
      <c r="J256" s="1057">
        <v>2739</v>
      </c>
      <c r="K256" s="1059">
        <f t="shared" si="6"/>
        <v>31012</v>
      </c>
      <c r="L256" s="1057"/>
      <c r="M256" s="1058">
        <v>263</v>
      </c>
      <c r="N256" s="1058">
        <v>0</v>
      </c>
      <c r="O256" s="1057">
        <v>135</v>
      </c>
      <c r="P256" s="1059">
        <f t="shared" si="7"/>
        <v>398</v>
      </c>
      <c r="Q256" s="1057"/>
      <c r="R256" s="1058">
        <v>14102</v>
      </c>
      <c r="S256" s="1057">
        <v>2596</v>
      </c>
      <c r="T256" s="1060">
        <v>16698</v>
      </c>
    </row>
    <row r="257" spans="1:20" x14ac:dyDescent="0.25">
      <c r="A257" s="1054">
        <v>92571</v>
      </c>
      <c r="B257" s="1055" t="s">
        <v>4092</v>
      </c>
      <c r="C257" s="1056">
        <v>8.1000000000000004E-6</v>
      </c>
      <c r="D257" s="1056">
        <v>1.01E-5</v>
      </c>
      <c r="E257" s="1057">
        <v>19216</v>
      </c>
      <c r="F257" s="1057" t="s">
        <v>187</v>
      </c>
      <c r="G257" s="1058">
        <v>2965</v>
      </c>
      <c r="H257" s="1059">
        <v>2638</v>
      </c>
      <c r="I257" s="1058">
        <v>5099</v>
      </c>
      <c r="J257" s="1057">
        <v>7660</v>
      </c>
      <c r="K257" s="1059">
        <f t="shared" si="6"/>
        <v>18362</v>
      </c>
      <c r="L257" s="1057"/>
      <c r="M257" s="1058">
        <v>99</v>
      </c>
      <c r="N257" s="1058">
        <v>0</v>
      </c>
      <c r="O257" s="1057">
        <v>0</v>
      </c>
      <c r="P257" s="1059">
        <f t="shared" si="7"/>
        <v>99</v>
      </c>
      <c r="Q257" s="1057"/>
      <c r="R257" s="1058">
        <v>5338</v>
      </c>
      <c r="S257" s="1057">
        <v>2958</v>
      </c>
      <c r="T257" s="1060">
        <v>8296</v>
      </c>
    </row>
    <row r="258" spans="1:20" x14ac:dyDescent="0.25">
      <c r="A258" s="1054">
        <v>92601</v>
      </c>
      <c r="B258" s="1055" t="s">
        <v>2817</v>
      </c>
      <c r="C258" s="1056">
        <v>1.34308E-2</v>
      </c>
      <c r="D258" s="1056">
        <v>1.51874E-2</v>
      </c>
      <c r="E258" s="1057">
        <v>31862451</v>
      </c>
      <c r="F258" s="1057" t="s">
        <v>187</v>
      </c>
      <c r="G258" s="1058">
        <v>4915619</v>
      </c>
      <c r="H258" s="1059">
        <v>4373767</v>
      </c>
      <c r="I258" s="1058">
        <v>8455065</v>
      </c>
      <c r="J258" s="1057">
        <v>12367</v>
      </c>
      <c r="K258" s="1059">
        <f t="shared" si="6"/>
        <v>17756818</v>
      </c>
      <c r="L258" s="1057"/>
      <c r="M258" s="1058">
        <v>164944</v>
      </c>
      <c r="N258" s="1058">
        <v>0</v>
      </c>
      <c r="O258" s="1057">
        <v>1190672</v>
      </c>
      <c r="P258" s="1059">
        <f t="shared" si="7"/>
        <v>1355616</v>
      </c>
      <c r="Q258" s="1057"/>
      <c r="R258" s="1058">
        <v>8850535</v>
      </c>
      <c r="S258" s="1057">
        <v>-178107</v>
      </c>
      <c r="T258" s="1060">
        <v>8672428</v>
      </c>
    </row>
    <row r="259" spans="1:20" x14ac:dyDescent="0.25">
      <c r="A259" s="1054">
        <v>92602</v>
      </c>
      <c r="B259" s="1055" t="s">
        <v>2818</v>
      </c>
      <c r="C259" s="1056">
        <v>6.3999999999999997E-6</v>
      </c>
      <c r="D259" s="1056">
        <v>8.3000000000000002E-6</v>
      </c>
      <c r="E259" s="1057">
        <v>15183</v>
      </c>
      <c r="F259" s="1057" t="s">
        <v>187</v>
      </c>
      <c r="G259" s="1058">
        <v>2342</v>
      </c>
      <c r="H259" s="1059">
        <v>2084</v>
      </c>
      <c r="I259" s="1058">
        <v>4029</v>
      </c>
      <c r="J259" s="1057">
        <v>0</v>
      </c>
      <c r="K259" s="1059">
        <f t="shared" si="6"/>
        <v>8455</v>
      </c>
      <c r="L259" s="1057"/>
      <c r="M259" s="1058">
        <v>79</v>
      </c>
      <c r="N259" s="1058">
        <v>0</v>
      </c>
      <c r="O259" s="1057">
        <v>2377</v>
      </c>
      <c r="P259" s="1059">
        <f t="shared" si="7"/>
        <v>2456</v>
      </c>
      <c r="Q259" s="1057"/>
      <c r="R259" s="1058">
        <v>4217</v>
      </c>
      <c r="S259" s="1057">
        <v>-578</v>
      </c>
      <c r="T259" s="1060">
        <v>3639</v>
      </c>
    </row>
    <row r="260" spans="1:20" x14ac:dyDescent="0.25">
      <c r="A260" s="1054">
        <v>92604</v>
      </c>
      <c r="B260" s="1055" t="s">
        <v>2819</v>
      </c>
      <c r="C260" s="1056">
        <v>3.3560000000000003E-4</v>
      </c>
      <c r="D260" s="1056">
        <v>3.4099999999999999E-4</v>
      </c>
      <c r="E260" s="1057">
        <v>796158</v>
      </c>
      <c r="F260" s="1057" t="s">
        <v>187</v>
      </c>
      <c r="G260" s="1058">
        <v>122828</v>
      </c>
      <c r="H260" s="1059">
        <v>109289</v>
      </c>
      <c r="I260" s="1058">
        <v>211270</v>
      </c>
      <c r="J260" s="1057">
        <v>48811</v>
      </c>
      <c r="K260" s="1059">
        <f t="shared" si="6"/>
        <v>492198</v>
      </c>
      <c r="L260" s="1057"/>
      <c r="M260" s="1058">
        <v>4122</v>
      </c>
      <c r="N260" s="1058">
        <v>0</v>
      </c>
      <c r="O260" s="1057">
        <v>0</v>
      </c>
      <c r="P260" s="1059">
        <f t="shared" si="7"/>
        <v>4122</v>
      </c>
      <c r="Q260" s="1057"/>
      <c r="R260" s="1058">
        <v>221151</v>
      </c>
      <c r="S260" s="1057">
        <v>28864</v>
      </c>
      <c r="T260" s="1060">
        <v>250015</v>
      </c>
    </row>
    <row r="261" spans="1:20" x14ac:dyDescent="0.25">
      <c r="A261" s="1054">
        <v>92607</v>
      </c>
      <c r="B261" s="1055" t="s">
        <v>2820</v>
      </c>
      <c r="C261" s="1056">
        <v>6.1699999999999995E-5</v>
      </c>
      <c r="D261" s="1056">
        <v>6.6400000000000001E-5</v>
      </c>
      <c r="E261" s="1057">
        <v>146374</v>
      </c>
      <c r="F261" s="1057" t="s">
        <v>187</v>
      </c>
      <c r="G261" s="1058">
        <v>22582</v>
      </c>
      <c r="H261" s="1059">
        <v>20093</v>
      </c>
      <c r="I261" s="1058">
        <v>38842</v>
      </c>
      <c r="J261" s="1057">
        <v>9704</v>
      </c>
      <c r="K261" s="1059">
        <f t="shared" si="6"/>
        <v>91221</v>
      </c>
      <c r="L261" s="1057"/>
      <c r="M261" s="1058">
        <v>758</v>
      </c>
      <c r="N261" s="1058">
        <v>0</v>
      </c>
      <c r="O261" s="1057">
        <v>0</v>
      </c>
      <c r="P261" s="1059">
        <f t="shared" si="7"/>
        <v>758</v>
      </c>
      <c r="Q261" s="1057"/>
      <c r="R261" s="1058">
        <v>40659</v>
      </c>
      <c r="S261" s="1057">
        <v>6018</v>
      </c>
      <c r="T261" s="1060">
        <v>46677</v>
      </c>
    </row>
    <row r="262" spans="1:20" x14ac:dyDescent="0.25">
      <c r="A262" s="1054">
        <v>92608</v>
      </c>
      <c r="B262" s="1055" t="s">
        <v>2821</v>
      </c>
      <c r="C262" s="1056">
        <v>0</v>
      </c>
      <c r="D262" s="1056">
        <v>0</v>
      </c>
      <c r="E262" s="1057">
        <v>0</v>
      </c>
      <c r="F262" s="1057" t="s">
        <v>187</v>
      </c>
      <c r="G262" s="1058">
        <v>0</v>
      </c>
      <c r="H262" s="1059">
        <v>0</v>
      </c>
      <c r="I262" s="1058">
        <v>0</v>
      </c>
      <c r="J262" s="1057">
        <v>0</v>
      </c>
      <c r="K262" s="1059">
        <f t="shared" si="6"/>
        <v>0</v>
      </c>
      <c r="L262" s="1057"/>
      <c r="M262" s="1058">
        <v>0</v>
      </c>
      <c r="N262" s="1058">
        <v>0</v>
      </c>
      <c r="O262" s="1057">
        <v>752</v>
      </c>
      <c r="P262" s="1059">
        <f t="shared" si="7"/>
        <v>752</v>
      </c>
      <c r="Q262" s="1057"/>
      <c r="R262" s="1058">
        <v>0</v>
      </c>
      <c r="S262" s="1057">
        <v>-69182</v>
      </c>
      <c r="T262" s="1060">
        <v>-69182</v>
      </c>
    </row>
    <row r="263" spans="1:20" x14ac:dyDescent="0.25">
      <c r="A263" s="1054">
        <v>92611</v>
      </c>
      <c r="B263" s="1055" t="s">
        <v>2822</v>
      </c>
      <c r="C263" s="1056">
        <v>1.26649E-2</v>
      </c>
      <c r="D263" s="1056">
        <v>1.3080899999999999E-2</v>
      </c>
      <c r="E263" s="1057">
        <v>30045474</v>
      </c>
      <c r="F263" s="1057" t="s">
        <v>187</v>
      </c>
      <c r="G263" s="1058">
        <v>4635303</v>
      </c>
      <c r="H263" s="1059">
        <v>4124350</v>
      </c>
      <c r="I263" s="1058">
        <v>7972909</v>
      </c>
      <c r="J263" s="1057">
        <v>0</v>
      </c>
      <c r="K263" s="1059">
        <f t="shared" si="6"/>
        <v>16732562</v>
      </c>
      <c r="L263" s="1057"/>
      <c r="M263" s="1058">
        <v>155538</v>
      </c>
      <c r="N263" s="1058">
        <v>0</v>
      </c>
      <c r="O263" s="1057">
        <v>1208188</v>
      </c>
      <c r="P263" s="1059">
        <f t="shared" si="7"/>
        <v>1363726</v>
      </c>
      <c r="Q263" s="1057"/>
      <c r="R263" s="1058">
        <v>8345827</v>
      </c>
      <c r="S263" s="1057">
        <v>-451976</v>
      </c>
      <c r="T263" s="1060">
        <v>7893851</v>
      </c>
    </row>
    <row r="264" spans="1:20" x14ac:dyDescent="0.25">
      <c r="A264" s="1054">
        <v>92613</v>
      </c>
      <c r="B264" s="1055" t="s">
        <v>4093</v>
      </c>
      <c r="C264" s="1056">
        <v>2.3599999999999999E-4</v>
      </c>
      <c r="D264" s="1056">
        <v>2.6439999999999998E-4</v>
      </c>
      <c r="E264" s="1057">
        <v>559873</v>
      </c>
      <c r="F264" s="1057" t="s">
        <v>187</v>
      </c>
      <c r="G264" s="1058">
        <v>86375</v>
      </c>
      <c r="H264" s="1059">
        <v>76854</v>
      </c>
      <c r="I264" s="1058">
        <v>148569</v>
      </c>
      <c r="J264" s="1057">
        <v>42032</v>
      </c>
      <c r="K264" s="1059">
        <f t="shared" si="6"/>
        <v>353830</v>
      </c>
      <c r="L264" s="1057"/>
      <c r="M264" s="1058">
        <v>2898</v>
      </c>
      <c r="N264" s="1058">
        <v>0</v>
      </c>
      <c r="O264" s="1057">
        <v>1086</v>
      </c>
      <c r="P264" s="1059">
        <f t="shared" si="7"/>
        <v>3984</v>
      </c>
      <c r="Q264" s="1057"/>
      <c r="R264" s="1058">
        <v>155518</v>
      </c>
      <c r="S264" s="1057">
        <v>41245</v>
      </c>
      <c r="T264" s="1060">
        <v>196763</v>
      </c>
    </row>
    <row r="265" spans="1:20" x14ac:dyDescent="0.25">
      <c r="A265" s="1054">
        <v>92614</v>
      </c>
      <c r="B265" s="1055" t="s">
        <v>2824</v>
      </c>
      <c r="C265" s="1056">
        <v>5.5757000000000003E-3</v>
      </c>
      <c r="D265" s="1056">
        <v>5.7273000000000003E-3</v>
      </c>
      <c r="E265" s="1057">
        <v>13227467</v>
      </c>
      <c r="F265" s="1057" t="s">
        <v>187</v>
      </c>
      <c r="G265" s="1058">
        <v>2040684</v>
      </c>
      <c r="H265" s="1059">
        <v>1815737</v>
      </c>
      <c r="I265" s="1058">
        <v>3510059</v>
      </c>
      <c r="J265" s="1057">
        <v>4152143</v>
      </c>
      <c r="K265" s="1059">
        <f t="shared" si="6"/>
        <v>11518623</v>
      </c>
      <c r="L265" s="1057"/>
      <c r="M265" s="1058">
        <v>68475</v>
      </c>
      <c r="N265" s="1058">
        <v>0</v>
      </c>
      <c r="O265" s="1057">
        <v>0</v>
      </c>
      <c r="P265" s="1059">
        <f t="shared" si="7"/>
        <v>68475</v>
      </c>
      <c r="Q265" s="1057"/>
      <c r="R265" s="1058">
        <v>3674236</v>
      </c>
      <c r="S265" s="1057">
        <v>1829865</v>
      </c>
      <c r="T265" s="1060">
        <v>5504101</v>
      </c>
    </row>
    <row r="266" spans="1:20" x14ac:dyDescent="0.25">
      <c r="A266" s="1054">
        <v>92621</v>
      </c>
      <c r="B266" s="1055" t="s">
        <v>4094</v>
      </c>
      <c r="C266" s="1056">
        <v>2.4600000000000002E-5</v>
      </c>
      <c r="D266" s="1056">
        <v>2.72E-5</v>
      </c>
      <c r="E266" s="1057">
        <v>58360</v>
      </c>
      <c r="F266" s="1057" t="s">
        <v>187</v>
      </c>
      <c r="G266" s="1058">
        <v>9004</v>
      </c>
      <c r="H266" s="1059">
        <v>8011</v>
      </c>
      <c r="I266" s="1058">
        <v>15486</v>
      </c>
      <c r="J266" s="1057">
        <v>393</v>
      </c>
      <c r="K266" s="1059">
        <f t="shared" si="6"/>
        <v>32894</v>
      </c>
      <c r="L266" s="1057"/>
      <c r="M266" s="1058">
        <v>302</v>
      </c>
      <c r="N266" s="1058">
        <v>0</v>
      </c>
      <c r="O266" s="1057">
        <v>4712</v>
      </c>
      <c r="P266" s="1059">
        <f t="shared" si="7"/>
        <v>5014</v>
      </c>
      <c r="Q266" s="1057"/>
      <c r="R266" s="1058">
        <v>16211</v>
      </c>
      <c r="S266" s="1057">
        <v>-2140</v>
      </c>
      <c r="T266" s="1060">
        <v>14071</v>
      </c>
    </row>
    <row r="267" spans="1:20" x14ac:dyDescent="0.25">
      <c r="A267" s="1054">
        <v>92631</v>
      </c>
      <c r="B267" s="1055" t="s">
        <v>4095</v>
      </c>
      <c r="C267" s="1056">
        <v>9.0030000000000004E-4</v>
      </c>
      <c r="D267" s="1056">
        <v>9.2710000000000004E-4</v>
      </c>
      <c r="E267" s="1057">
        <v>2135820</v>
      </c>
      <c r="F267" s="1057" t="s">
        <v>187</v>
      </c>
      <c r="G267" s="1058">
        <v>329506</v>
      </c>
      <c r="H267" s="1059">
        <v>293184</v>
      </c>
      <c r="I267" s="1058">
        <v>566764</v>
      </c>
      <c r="J267" s="1057">
        <v>0</v>
      </c>
      <c r="K267" s="1059">
        <f t="shared" si="6"/>
        <v>1189454</v>
      </c>
      <c r="L267" s="1057"/>
      <c r="M267" s="1058">
        <v>11057</v>
      </c>
      <c r="N267" s="1058">
        <v>0</v>
      </c>
      <c r="O267" s="1057">
        <v>135840</v>
      </c>
      <c r="P267" s="1059">
        <f t="shared" si="7"/>
        <v>146897</v>
      </c>
      <c r="Q267" s="1057"/>
      <c r="R267" s="1058">
        <v>593273</v>
      </c>
      <c r="S267" s="1057">
        <v>-59375</v>
      </c>
      <c r="T267" s="1060">
        <v>533898</v>
      </c>
    </row>
    <row r="268" spans="1:20" x14ac:dyDescent="0.25">
      <c r="A268" s="1054">
        <v>92641</v>
      </c>
      <c r="B268" s="1055" t="s">
        <v>4096</v>
      </c>
      <c r="C268" s="1056">
        <v>9.7000000000000003E-6</v>
      </c>
      <c r="D268" s="1056">
        <v>1.0200000000000001E-5</v>
      </c>
      <c r="E268" s="1057">
        <v>23012</v>
      </c>
      <c r="F268" s="1057" t="s">
        <v>187</v>
      </c>
      <c r="G268" s="1058">
        <v>3550</v>
      </c>
      <c r="H268" s="1059">
        <v>3159</v>
      </c>
      <c r="I268" s="1058">
        <v>6106</v>
      </c>
      <c r="J268" s="1057">
        <v>2866</v>
      </c>
      <c r="K268" s="1059">
        <f t="shared" ref="K268:K331" si="11">G268+H268+I268+J268</f>
        <v>15681</v>
      </c>
      <c r="L268" s="1057"/>
      <c r="M268" s="1058">
        <v>119</v>
      </c>
      <c r="N268" s="1058">
        <v>0</v>
      </c>
      <c r="O268" s="1057">
        <v>0</v>
      </c>
      <c r="P268" s="1059">
        <f t="shared" ref="P268:P331" si="12">M268+N268+O268</f>
        <v>119</v>
      </c>
      <c r="Q268" s="1057"/>
      <c r="R268" s="1058">
        <v>6392</v>
      </c>
      <c r="S268" s="1057">
        <v>543</v>
      </c>
      <c r="T268" s="1060">
        <v>6935</v>
      </c>
    </row>
    <row r="269" spans="1:20" x14ac:dyDescent="0.25">
      <c r="A269" s="1054">
        <v>92651</v>
      </c>
      <c r="B269" s="1055" t="s">
        <v>4097</v>
      </c>
      <c r="C269" s="1056">
        <v>4.4000000000000002E-6</v>
      </c>
      <c r="D269" s="1056">
        <v>2.6000000000000001E-6</v>
      </c>
      <c r="E269" s="1057">
        <v>10438</v>
      </c>
      <c r="F269" s="1057" t="s">
        <v>187</v>
      </c>
      <c r="G269" s="1058">
        <v>1610</v>
      </c>
      <c r="H269" s="1059">
        <v>1433</v>
      </c>
      <c r="I269" s="1058">
        <v>2770</v>
      </c>
      <c r="J269" s="1057">
        <v>3690</v>
      </c>
      <c r="K269" s="1059">
        <f t="shared" si="11"/>
        <v>9503</v>
      </c>
      <c r="L269" s="1057"/>
      <c r="M269" s="1058">
        <v>54</v>
      </c>
      <c r="N269" s="1058">
        <v>0</v>
      </c>
      <c r="O269" s="1057">
        <v>0</v>
      </c>
      <c r="P269" s="1059">
        <f t="shared" si="12"/>
        <v>54</v>
      </c>
      <c r="Q269" s="1057"/>
      <c r="R269" s="1058">
        <v>2899</v>
      </c>
      <c r="S269" s="1057">
        <v>1740</v>
      </c>
      <c r="T269" s="1060">
        <v>4639</v>
      </c>
    </row>
    <row r="270" spans="1:20" x14ac:dyDescent="0.25">
      <c r="A270" s="1054">
        <v>92661</v>
      </c>
      <c r="B270" s="1055" t="s">
        <v>4098</v>
      </c>
      <c r="C270" s="1056">
        <v>6.334E-4</v>
      </c>
      <c r="D270" s="1056">
        <v>6.9999999999999999E-4</v>
      </c>
      <c r="E270" s="1057">
        <v>1502641</v>
      </c>
      <c r="F270" s="1057" t="s">
        <v>187</v>
      </c>
      <c r="G270" s="1058">
        <v>231822</v>
      </c>
      <c r="H270" s="1059">
        <v>206268</v>
      </c>
      <c r="I270" s="1058">
        <v>398743</v>
      </c>
      <c r="J270" s="1057">
        <v>441125</v>
      </c>
      <c r="K270" s="1059">
        <f t="shared" si="11"/>
        <v>1277958</v>
      </c>
      <c r="L270" s="1057"/>
      <c r="M270" s="1058">
        <v>7779</v>
      </c>
      <c r="N270" s="1058">
        <v>0</v>
      </c>
      <c r="O270" s="1057">
        <v>0</v>
      </c>
      <c r="P270" s="1059">
        <f t="shared" si="12"/>
        <v>7779</v>
      </c>
      <c r="Q270" s="1057"/>
      <c r="R270" s="1058">
        <v>417393</v>
      </c>
      <c r="S270" s="1057">
        <v>165863</v>
      </c>
      <c r="T270" s="1060">
        <v>583256</v>
      </c>
    </row>
    <row r="271" spans="1:20" x14ac:dyDescent="0.25">
      <c r="A271" s="1054">
        <v>92671</v>
      </c>
      <c r="B271" s="1055" t="s">
        <v>4099</v>
      </c>
      <c r="C271" s="1056">
        <v>2.3999999999999999E-6</v>
      </c>
      <c r="D271" s="1056">
        <v>2.6000000000000001E-6</v>
      </c>
      <c r="E271" s="1057">
        <v>5694</v>
      </c>
      <c r="F271" s="1057" t="s">
        <v>187</v>
      </c>
      <c r="G271" s="1058">
        <v>878</v>
      </c>
      <c r="H271" s="1059">
        <v>781</v>
      </c>
      <c r="I271" s="1058">
        <v>1511</v>
      </c>
      <c r="J271" s="1057">
        <v>7284</v>
      </c>
      <c r="K271" s="1059">
        <f t="shared" si="11"/>
        <v>10454</v>
      </c>
      <c r="L271" s="1057"/>
      <c r="M271" s="1058">
        <v>29</v>
      </c>
      <c r="N271" s="1058">
        <v>0</v>
      </c>
      <c r="O271" s="1057">
        <v>0</v>
      </c>
      <c r="P271" s="1059">
        <f t="shared" si="12"/>
        <v>29</v>
      </c>
      <c r="Q271" s="1057"/>
      <c r="R271" s="1058">
        <v>1582</v>
      </c>
      <c r="S271" s="1057">
        <v>3016</v>
      </c>
      <c r="T271" s="1060">
        <v>4598</v>
      </c>
    </row>
    <row r="272" spans="1:20" x14ac:dyDescent="0.25">
      <c r="A272" s="1054">
        <v>92681</v>
      </c>
      <c r="B272" s="1055" t="s">
        <v>4100</v>
      </c>
      <c r="C272" s="1056">
        <v>1.1800000000000001E-5</v>
      </c>
      <c r="D272" s="1056">
        <v>1.17E-5</v>
      </c>
      <c r="E272" s="1057">
        <v>27994</v>
      </c>
      <c r="F272" s="1057" t="s">
        <v>187</v>
      </c>
      <c r="G272" s="1058">
        <v>4319</v>
      </c>
      <c r="H272" s="1059">
        <v>3843</v>
      </c>
      <c r="I272" s="1058">
        <v>7428</v>
      </c>
      <c r="J272" s="1057">
        <v>13847</v>
      </c>
      <c r="K272" s="1059">
        <f t="shared" si="11"/>
        <v>29437</v>
      </c>
      <c r="L272" s="1057"/>
      <c r="M272" s="1058">
        <v>145</v>
      </c>
      <c r="N272" s="1058">
        <v>0</v>
      </c>
      <c r="O272" s="1057">
        <v>0</v>
      </c>
      <c r="P272" s="1059">
        <f t="shared" si="12"/>
        <v>145</v>
      </c>
      <c r="Q272" s="1057"/>
      <c r="R272" s="1058">
        <v>7776</v>
      </c>
      <c r="S272" s="1057">
        <v>6248</v>
      </c>
      <c r="T272" s="1060">
        <v>14024</v>
      </c>
    </row>
    <row r="273" spans="1:20" x14ac:dyDescent="0.25">
      <c r="A273" s="1054">
        <v>92701</v>
      </c>
      <c r="B273" s="1055" t="s">
        <v>2832</v>
      </c>
      <c r="C273" s="1056">
        <v>2.8871000000000001E-3</v>
      </c>
      <c r="D273" s="1056">
        <v>3.0777000000000001E-3</v>
      </c>
      <c r="E273" s="1057">
        <v>6849189</v>
      </c>
      <c r="F273" s="1057" t="s">
        <v>187</v>
      </c>
      <c r="G273" s="1058">
        <v>1056667</v>
      </c>
      <c r="H273" s="1059">
        <v>940190</v>
      </c>
      <c r="I273" s="1058">
        <v>1817510</v>
      </c>
      <c r="J273" s="1057">
        <v>35473</v>
      </c>
      <c r="K273" s="1059">
        <f t="shared" si="11"/>
        <v>3849840</v>
      </c>
      <c r="L273" s="1057"/>
      <c r="M273" s="1058">
        <v>35456</v>
      </c>
      <c r="N273" s="1058">
        <v>0</v>
      </c>
      <c r="O273" s="1057">
        <v>155267</v>
      </c>
      <c r="P273" s="1059">
        <f t="shared" si="12"/>
        <v>190723</v>
      </c>
      <c r="Q273" s="1057"/>
      <c r="R273" s="1058">
        <v>1902521</v>
      </c>
      <c r="S273" s="1057">
        <v>-62476</v>
      </c>
      <c r="T273" s="1060">
        <v>1840045</v>
      </c>
    </row>
    <row r="274" spans="1:20" x14ac:dyDescent="0.25">
      <c r="A274" s="1054">
        <v>92704</v>
      </c>
      <c r="B274" s="1055" t="s">
        <v>2833</v>
      </c>
      <c r="C274" s="1056">
        <v>3.9400000000000002E-5</v>
      </c>
      <c r="D274" s="1056">
        <v>4.1600000000000002E-5</v>
      </c>
      <c r="E274" s="1057">
        <v>93470</v>
      </c>
      <c r="F274" s="1057" t="s">
        <v>187</v>
      </c>
      <c r="G274" s="1058">
        <v>14420</v>
      </c>
      <c r="H274" s="1059">
        <v>12831</v>
      </c>
      <c r="I274" s="1058">
        <v>24803</v>
      </c>
      <c r="J274" s="1057">
        <v>703</v>
      </c>
      <c r="K274" s="1059">
        <f t="shared" si="11"/>
        <v>52757</v>
      </c>
      <c r="L274" s="1057"/>
      <c r="M274" s="1058">
        <v>484</v>
      </c>
      <c r="N274" s="1058">
        <v>0</v>
      </c>
      <c r="O274" s="1057">
        <v>5422</v>
      </c>
      <c r="P274" s="1059">
        <f t="shared" si="12"/>
        <v>5906</v>
      </c>
      <c r="Q274" s="1057"/>
      <c r="R274" s="1058">
        <v>25964</v>
      </c>
      <c r="S274" s="1057">
        <v>-1035</v>
      </c>
      <c r="T274" s="1060">
        <v>24929</v>
      </c>
    </row>
    <row r="275" spans="1:20" x14ac:dyDescent="0.25">
      <c r="A275" s="1054">
        <v>92801</v>
      </c>
      <c r="B275" s="1055" t="s">
        <v>2834</v>
      </c>
      <c r="C275" s="1056">
        <v>5.2335999999999997E-3</v>
      </c>
      <c r="D275" s="1056">
        <v>5.0951E-3</v>
      </c>
      <c r="E275" s="1057">
        <v>12415889</v>
      </c>
      <c r="F275" s="1057" t="s">
        <v>187</v>
      </c>
      <c r="G275" s="1058">
        <v>1915477</v>
      </c>
      <c r="H275" s="1059">
        <v>1704333</v>
      </c>
      <c r="I275" s="1058">
        <v>3294698</v>
      </c>
      <c r="J275" s="1057">
        <v>237901</v>
      </c>
      <c r="K275" s="1059">
        <f t="shared" si="11"/>
        <v>7152409</v>
      </c>
      <c r="L275" s="1057"/>
      <c r="M275" s="1058">
        <v>64274</v>
      </c>
      <c r="N275" s="1058">
        <v>0</v>
      </c>
      <c r="O275" s="1057">
        <v>0</v>
      </c>
      <c r="P275" s="1059">
        <f t="shared" si="12"/>
        <v>64274</v>
      </c>
      <c r="Q275" s="1057"/>
      <c r="R275" s="1058">
        <v>3448801</v>
      </c>
      <c r="S275" s="1057">
        <v>122866</v>
      </c>
      <c r="T275" s="1060">
        <v>3571667</v>
      </c>
    </row>
    <row r="276" spans="1:20" x14ac:dyDescent="0.25">
      <c r="A276" s="1054">
        <v>92802</v>
      </c>
      <c r="B276" s="1055" t="s">
        <v>2835</v>
      </c>
      <c r="C276" s="1056">
        <v>1.2799999999999999E-4</v>
      </c>
      <c r="D276" s="1056">
        <v>1.2970000000000001E-4</v>
      </c>
      <c r="E276" s="1057">
        <v>303660</v>
      </c>
      <c r="F276" s="1057" t="s">
        <v>187</v>
      </c>
      <c r="G276" s="1058">
        <v>46847</v>
      </c>
      <c r="H276" s="1059">
        <v>41684</v>
      </c>
      <c r="I276" s="1058">
        <v>80580</v>
      </c>
      <c r="J276" s="1057">
        <v>0</v>
      </c>
      <c r="K276" s="1059">
        <f t="shared" si="11"/>
        <v>169111</v>
      </c>
      <c r="L276" s="1057"/>
      <c r="M276" s="1058">
        <v>1572</v>
      </c>
      <c r="N276" s="1058">
        <v>0</v>
      </c>
      <c r="O276" s="1057">
        <v>15754</v>
      </c>
      <c r="P276" s="1059">
        <f t="shared" si="12"/>
        <v>17326</v>
      </c>
      <c r="Q276" s="1057"/>
      <c r="R276" s="1058">
        <v>84349</v>
      </c>
      <c r="S276" s="1057">
        <v>-8217</v>
      </c>
      <c r="T276" s="1060">
        <v>76132</v>
      </c>
    </row>
    <row r="277" spans="1:20" x14ac:dyDescent="0.25">
      <c r="A277" s="1054">
        <v>92804</v>
      </c>
      <c r="B277" s="1055" t="s">
        <v>2836</v>
      </c>
      <c r="C277" s="1056">
        <v>1.4990000000000001E-4</v>
      </c>
      <c r="D277" s="1056">
        <v>1.36E-4</v>
      </c>
      <c r="E277" s="1057">
        <v>355614</v>
      </c>
      <c r="F277" s="1057" t="s">
        <v>187</v>
      </c>
      <c r="G277" s="1058">
        <v>54863</v>
      </c>
      <c r="H277" s="1059">
        <v>48815</v>
      </c>
      <c r="I277" s="1058">
        <v>94366</v>
      </c>
      <c r="J277" s="1057">
        <v>9289</v>
      </c>
      <c r="K277" s="1059">
        <f t="shared" si="11"/>
        <v>207333</v>
      </c>
      <c r="L277" s="1057"/>
      <c r="M277" s="1058">
        <v>1841</v>
      </c>
      <c r="N277" s="1058">
        <v>0</v>
      </c>
      <c r="O277" s="1057">
        <v>8327</v>
      </c>
      <c r="P277" s="1059">
        <f t="shared" si="12"/>
        <v>10168</v>
      </c>
      <c r="Q277" s="1057"/>
      <c r="R277" s="1058">
        <v>98780</v>
      </c>
      <c r="S277" s="1057">
        <v>967</v>
      </c>
      <c r="T277" s="1060">
        <v>99747</v>
      </c>
    </row>
    <row r="278" spans="1:20" x14ac:dyDescent="0.25">
      <c r="A278" s="1054">
        <v>92811</v>
      </c>
      <c r="B278" s="1055" t="s">
        <v>4101</v>
      </c>
      <c r="C278" s="1056">
        <v>9.6909999999999997E-4</v>
      </c>
      <c r="D278" s="1056">
        <v>1.0036000000000001E-3</v>
      </c>
      <c r="E278" s="1057">
        <v>2299037</v>
      </c>
      <c r="F278" s="1057" t="s">
        <v>187</v>
      </c>
      <c r="G278" s="1058">
        <v>354687</v>
      </c>
      <c r="H278" s="1059">
        <v>315589</v>
      </c>
      <c r="I278" s="1058">
        <v>610076</v>
      </c>
      <c r="J278" s="1057">
        <v>0</v>
      </c>
      <c r="K278" s="1059">
        <f t="shared" si="11"/>
        <v>1280352</v>
      </c>
      <c r="L278" s="1057"/>
      <c r="M278" s="1058">
        <v>11902</v>
      </c>
      <c r="N278" s="1058">
        <v>0</v>
      </c>
      <c r="O278" s="1057">
        <v>69119</v>
      </c>
      <c r="P278" s="1059">
        <f t="shared" si="12"/>
        <v>81021</v>
      </c>
      <c r="Q278" s="1057"/>
      <c r="R278" s="1058">
        <v>638611</v>
      </c>
      <c r="S278" s="1057">
        <v>-41669</v>
      </c>
      <c r="T278" s="1060">
        <v>596942</v>
      </c>
    </row>
    <row r="279" spans="1:20" x14ac:dyDescent="0.25">
      <c r="A279" s="1054">
        <v>92821</v>
      </c>
      <c r="B279" s="1055" t="s">
        <v>4102</v>
      </c>
      <c r="C279" s="1056">
        <v>1.0001999999999999E-3</v>
      </c>
      <c r="D279" s="1056">
        <v>9.9400000000000009E-4</v>
      </c>
      <c r="E279" s="1057">
        <v>2372816</v>
      </c>
      <c r="F279" s="1057" t="s">
        <v>187</v>
      </c>
      <c r="G279" s="1058">
        <v>366069</v>
      </c>
      <c r="H279" s="1059">
        <v>325717</v>
      </c>
      <c r="I279" s="1058">
        <v>629654</v>
      </c>
      <c r="J279" s="1057">
        <v>28694</v>
      </c>
      <c r="K279" s="1059">
        <f t="shared" si="11"/>
        <v>1350134</v>
      </c>
      <c r="L279" s="1057"/>
      <c r="M279" s="1058">
        <v>12283</v>
      </c>
      <c r="N279" s="1058">
        <v>0</v>
      </c>
      <c r="O279" s="1057">
        <v>0</v>
      </c>
      <c r="P279" s="1059">
        <f t="shared" si="12"/>
        <v>12283</v>
      </c>
      <c r="Q279" s="1057"/>
      <c r="R279" s="1058">
        <v>659105</v>
      </c>
      <c r="S279" s="1057">
        <v>14053</v>
      </c>
      <c r="T279" s="1060">
        <v>673158</v>
      </c>
    </row>
    <row r="280" spans="1:20" x14ac:dyDescent="0.25">
      <c r="A280" s="1054">
        <v>92831</v>
      </c>
      <c r="B280" s="1055" t="s">
        <v>4103</v>
      </c>
      <c r="C280" s="1056">
        <v>2.3580000000000001E-4</v>
      </c>
      <c r="D280" s="1056">
        <v>2.1829999999999999E-4</v>
      </c>
      <c r="E280" s="1057">
        <v>559398</v>
      </c>
      <c r="F280" s="1057" t="s">
        <v>187</v>
      </c>
      <c r="G280" s="1058">
        <v>86302</v>
      </c>
      <c r="H280" s="1059">
        <v>76789</v>
      </c>
      <c r="I280" s="1058">
        <v>148443</v>
      </c>
      <c r="J280" s="1057">
        <v>36641</v>
      </c>
      <c r="K280" s="1059">
        <f t="shared" si="11"/>
        <v>348175</v>
      </c>
      <c r="L280" s="1057"/>
      <c r="M280" s="1058">
        <v>2896</v>
      </c>
      <c r="N280" s="1058">
        <v>0</v>
      </c>
      <c r="O280" s="1057">
        <v>1618</v>
      </c>
      <c r="P280" s="1059">
        <f t="shared" si="12"/>
        <v>4514</v>
      </c>
      <c r="Q280" s="1057"/>
      <c r="R280" s="1058">
        <v>155386</v>
      </c>
      <c r="S280" s="1057">
        <v>16332</v>
      </c>
      <c r="T280" s="1060">
        <v>171718</v>
      </c>
    </row>
    <row r="281" spans="1:20" x14ac:dyDescent="0.25">
      <c r="A281" s="1054">
        <v>92841</v>
      </c>
      <c r="B281" s="1055" t="s">
        <v>4104</v>
      </c>
      <c r="C281" s="1056">
        <v>2.5769999999999998E-4</v>
      </c>
      <c r="D281" s="1056">
        <v>2.7809999999999998E-4</v>
      </c>
      <c r="E281" s="1057">
        <v>611353</v>
      </c>
      <c r="F281" s="1057" t="s">
        <v>187</v>
      </c>
      <c r="G281" s="1058">
        <v>94317</v>
      </c>
      <c r="H281" s="1059">
        <v>83921</v>
      </c>
      <c r="I281" s="1058">
        <v>162229</v>
      </c>
      <c r="J281" s="1057">
        <v>0</v>
      </c>
      <c r="K281" s="1059">
        <f t="shared" si="11"/>
        <v>340467</v>
      </c>
      <c r="L281" s="1057"/>
      <c r="M281" s="1058">
        <v>3165</v>
      </c>
      <c r="N281" s="1058">
        <v>0</v>
      </c>
      <c r="O281" s="1057">
        <v>24975</v>
      </c>
      <c r="P281" s="1059">
        <f t="shared" si="12"/>
        <v>28140</v>
      </c>
      <c r="Q281" s="1057"/>
      <c r="R281" s="1058">
        <v>169817</v>
      </c>
      <c r="S281" s="1057">
        <v>-1626</v>
      </c>
      <c r="T281" s="1060">
        <v>168191</v>
      </c>
    </row>
    <row r="282" spans="1:20" x14ac:dyDescent="0.25">
      <c r="A282" s="1054">
        <v>92851</v>
      </c>
      <c r="B282" s="1055" t="s">
        <v>4105</v>
      </c>
      <c r="C282" s="1056">
        <v>4.3899999999999999E-4</v>
      </c>
      <c r="D282" s="1056">
        <v>4.6079999999999998E-4</v>
      </c>
      <c r="E282" s="1057">
        <v>1041458</v>
      </c>
      <c r="F282" s="1057" t="s">
        <v>187</v>
      </c>
      <c r="G282" s="1058">
        <v>160672</v>
      </c>
      <c r="H282" s="1059">
        <v>142961</v>
      </c>
      <c r="I282" s="1058">
        <v>276363</v>
      </c>
      <c r="J282" s="1057">
        <v>0</v>
      </c>
      <c r="K282" s="1059">
        <f t="shared" si="11"/>
        <v>579996</v>
      </c>
      <c r="L282" s="1057"/>
      <c r="M282" s="1058">
        <v>5391</v>
      </c>
      <c r="N282" s="1058">
        <v>0</v>
      </c>
      <c r="O282" s="1057">
        <v>61052</v>
      </c>
      <c r="P282" s="1059">
        <f t="shared" si="12"/>
        <v>66443</v>
      </c>
      <c r="Q282" s="1057"/>
      <c r="R282" s="1058">
        <v>289289</v>
      </c>
      <c r="S282" s="1057">
        <v>-43806</v>
      </c>
      <c r="T282" s="1060">
        <v>245483</v>
      </c>
    </row>
    <row r="283" spans="1:20" x14ac:dyDescent="0.25">
      <c r="A283" s="1054">
        <v>92861</v>
      </c>
      <c r="B283" s="1055" t="s">
        <v>4106</v>
      </c>
      <c r="C283" s="1056">
        <v>3.7629999999999999E-4</v>
      </c>
      <c r="D283" s="1056">
        <v>3.6010000000000003E-4</v>
      </c>
      <c r="E283" s="1057">
        <v>892712</v>
      </c>
      <c r="F283" s="1057" t="s">
        <v>187</v>
      </c>
      <c r="G283" s="1058">
        <v>137724</v>
      </c>
      <c r="H283" s="1059">
        <v>122543</v>
      </c>
      <c r="I283" s="1058">
        <v>236891</v>
      </c>
      <c r="J283" s="1057">
        <v>0</v>
      </c>
      <c r="K283" s="1059">
        <f t="shared" si="11"/>
        <v>497158</v>
      </c>
      <c r="L283" s="1057"/>
      <c r="M283" s="1058">
        <v>4621</v>
      </c>
      <c r="N283" s="1058">
        <v>0</v>
      </c>
      <c r="O283" s="1057">
        <v>73406</v>
      </c>
      <c r="P283" s="1059">
        <f t="shared" si="12"/>
        <v>78027</v>
      </c>
      <c r="Q283" s="1057"/>
      <c r="R283" s="1058">
        <v>247972</v>
      </c>
      <c r="S283" s="1057">
        <v>-43591</v>
      </c>
      <c r="T283" s="1060">
        <v>204381</v>
      </c>
    </row>
    <row r="284" spans="1:20" x14ac:dyDescent="0.25">
      <c r="A284" s="1054">
        <v>92901</v>
      </c>
      <c r="B284" s="1055" t="s">
        <v>2843</v>
      </c>
      <c r="C284" s="1056">
        <v>5.4257999999999997E-3</v>
      </c>
      <c r="D284" s="1056">
        <v>5.5082999999999998E-3</v>
      </c>
      <c r="E284" s="1057">
        <v>12871853</v>
      </c>
      <c r="F284" s="1057" t="s">
        <v>187</v>
      </c>
      <c r="G284" s="1058">
        <v>1985821</v>
      </c>
      <c r="H284" s="1059">
        <v>1766922</v>
      </c>
      <c r="I284" s="1058">
        <v>3415693</v>
      </c>
      <c r="J284" s="1057">
        <v>22983</v>
      </c>
      <c r="K284" s="1059">
        <f t="shared" si="11"/>
        <v>7191419</v>
      </c>
      <c r="L284" s="1057"/>
      <c r="M284" s="1058">
        <v>66634</v>
      </c>
      <c r="N284" s="1058">
        <v>0</v>
      </c>
      <c r="O284" s="1057">
        <v>91593</v>
      </c>
      <c r="P284" s="1059">
        <f t="shared" si="12"/>
        <v>158227</v>
      </c>
      <c r="Q284" s="1057"/>
      <c r="R284" s="1058">
        <v>3575456</v>
      </c>
      <c r="S284" s="1057">
        <v>5628</v>
      </c>
      <c r="T284" s="1060">
        <v>3581084</v>
      </c>
    </row>
    <row r="285" spans="1:20" x14ac:dyDescent="0.25">
      <c r="A285" s="1054">
        <v>92911</v>
      </c>
      <c r="B285" s="1055" t="s">
        <v>2844</v>
      </c>
      <c r="C285" s="1056">
        <v>1.9322E-3</v>
      </c>
      <c r="D285" s="1056">
        <v>1.9548999999999999E-3</v>
      </c>
      <c r="E285" s="1057">
        <v>4583839</v>
      </c>
      <c r="F285" s="1057" t="s">
        <v>187</v>
      </c>
      <c r="G285" s="1058">
        <v>707177</v>
      </c>
      <c r="H285" s="1059">
        <v>629224</v>
      </c>
      <c r="I285" s="1058">
        <v>1216374</v>
      </c>
      <c r="J285" s="1057">
        <v>39110</v>
      </c>
      <c r="K285" s="1059">
        <f t="shared" si="11"/>
        <v>2591885</v>
      </c>
      <c r="L285" s="1057"/>
      <c r="M285" s="1058">
        <v>23729</v>
      </c>
      <c r="N285" s="1058">
        <v>0</v>
      </c>
      <c r="O285" s="1057">
        <v>51551</v>
      </c>
      <c r="P285" s="1059">
        <f t="shared" si="12"/>
        <v>75280</v>
      </c>
      <c r="Q285" s="1057"/>
      <c r="R285" s="1058">
        <v>1273268</v>
      </c>
      <c r="S285" s="1057">
        <v>-50417</v>
      </c>
      <c r="T285" s="1060">
        <v>1222851</v>
      </c>
    </row>
    <row r="286" spans="1:20" x14ac:dyDescent="0.25">
      <c r="A286" s="1054">
        <v>92913</v>
      </c>
      <c r="B286" s="1055" t="s">
        <v>2845</v>
      </c>
      <c r="C286" s="1056">
        <v>2.1500000000000001E-5</v>
      </c>
      <c r="D286" s="1056">
        <v>2.1999999999999999E-5</v>
      </c>
      <c r="E286" s="1057">
        <v>51005</v>
      </c>
      <c r="F286" s="1057" t="s">
        <v>187</v>
      </c>
      <c r="G286" s="1058">
        <v>7869</v>
      </c>
      <c r="H286" s="1059">
        <v>7001</v>
      </c>
      <c r="I286" s="1058">
        <v>13535</v>
      </c>
      <c r="J286" s="1057">
        <v>88672</v>
      </c>
      <c r="K286" s="1059">
        <f t="shared" si="11"/>
        <v>117077</v>
      </c>
      <c r="L286" s="1057"/>
      <c r="M286" s="1058">
        <v>264</v>
      </c>
      <c r="N286" s="1058">
        <v>0</v>
      </c>
      <c r="O286" s="1057">
        <v>0</v>
      </c>
      <c r="P286" s="1059">
        <f t="shared" si="12"/>
        <v>264</v>
      </c>
      <c r="Q286" s="1057"/>
      <c r="R286" s="1058">
        <v>14168</v>
      </c>
      <c r="S286" s="1057">
        <v>34736</v>
      </c>
      <c r="T286" s="1060">
        <v>48904</v>
      </c>
    </row>
    <row r="287" spans="1:20" x14ac:dyDescent="0.25">
      <c r="A287" s="1054">
        <v>92914</v>
      </c>
      <c r="B287" s="1055" t="s">
        <v>3583</v>
      </c>
      <c r="C287" s="1056">
        <v>2.4899999999999999E-5</v>
      </c>
      <c r="D287" s="1056">
        <v>2.8900000000000001E-5</v>
      </c>
      <c r="E287" s="1057">
        <v>59071</v>
      </c>
      <c r="F287" s="1057" t="s">
        <v>187</v>
      </c>
      <c r="G287" s="1058">
        <v>9113</v>
      </c>
      <c r="H287" s="1059">
        <v>8109</v>
      </c>
      <c r="I287" s="1058">
        <v>15675</v>
      </c>
      <c r="J287" s="1057">
        <v>12880</v>
      </c>
      <c r="K287" s="1059">
        <f t="shared" si="11"/>
        <v>45777</v>
      </c>
      <c r="L287" s="1057"/>
      <c r="M287" s="1058">
        <v>306</v>
      </c>
      <c r="N287" s="1058">
        <v>0</v>
      </c>
      <c r="O287" s="1057">
        <v>1246</v>
      </c>
      <c r="P287" s="1059">
        <f t="shared" si="12"/>
        <v>1552</v>
      </c>
      <c r="Q287" s="1057"/>
      <c r="R287" s="1058">
        <v>16408</v>
      </c>
      <c r="S287" s="1057">
        <v>3981</v>
      </c>
      <c r="T287" s="1060">
        <v>20389</v>
      </c>
    </row>
    <row r="288" spans="1:20" x14ac:dyDescent="0.25">
      <c r="A288" s="1054">
        <v>92917</v>
      </c>
      <c r="B288" s="1055" t="s">
        <v>2846</v>
      </c>
      <c r="C288" s="1056">
        <v>1.6099999999999998E-5</v>
      </c>
      <c r="D288" s="1056">
        <v>1.4800000000000001E-5</v>
      </c>
      <c r="E288" s="1057">
        <v>38195</v>
      </c>
      <c r="F288" s="1057" t="s">
        <v>187</v>
      </c>
      <c r="G288" s="1058">
        <v>5893</v>
      </c>
      <c r="H288" s="1059">
        <v>5243</v>
      </c>
      <c r="I288" s="1058">
        <v>10135</v>
      </c>
      <c r="J288" s="1057">
        <v>14400</v>
      </c>
      <c r="K288" s="1059">
        <f t="shared" si="11"/>
        <v>35671</v>
      </c>
      <c r="L288" s="1057"/>
      <c r="M288" s="1058">
        <v>198</v>
      </c>
      <c r="N288" s="1058">
        <v>0</v>
      </c>
      <c r="O288" s="1057">
        <v>0</v>
      </c>
      <c r="P288" s="1059">
        <f t="shared" si="12"/>
        <v>198</v>
      </c>
      <c r="Q288" s="1057"/>
      <c r="R288" s="1058">
        <v>10609</v>
      </c>
      <c r="S288" s="1057">
        <v>8201</v>
      </c>
      <c r="T288" s="1060">
        <v>18810</v>
      </c>
    </row>
    <row r="289" spans="1:20" x14ac:dyDescent="0.25">
      <c r="A289" s="1054">
        <v>92921</v>
      </c>
      <c r="B289" s="1055" t="s">
        <v>4107</v>
      </c>
      <c r="C289" s="1056">
        <v>9.2499999999999999E-5</v>
      </c>
      <c r="D289" s="1056">
        <v>7.4400000000000006E-5</v>
      </c>
      <c r="E289" s="1057">
        <v>219442</v>
      </c>
      <c r="F289" s="1057" t="s">
        <v>187</v>
      </c>
      <c r="G289" s="1058">
        <v>33855</v>
      </c>
      <c r="H289" s="1059">
        <v>30123</v>
      </c>
      <c r="I289" s="1058">
        <v>58231</v>
      </c>
      <c r="J289" s="1057">
        <v>24651</v>
      </c>
      <c r="K289" s="1059">
        <f t="shared" si="11"/>
        <v>146860</v>
      </c>
      <c r="L289" s="1057"/>
      <c r="M289" s="1058">
        <v>1136</v>
      </c>
      <c r="N289" s="1058">
        <v>0</v>
      </c>
      <c r="O289" s="1057">
        <v>1659</v>
      </c>
      <c r="P289" s="1059">
        <f t="shared" si="12"/>
        <v>2795</v>
      </c>
      <c r="Q289" s="1057"/>
      <c r="R289" s="1058">
        <v>60955</v>
      </c>
      <c r="S289" s="1057">
        <v>819</v>
      </c>
      <c r="T289" s="1060">
        <v>61774</v>
      </c>
    </row>
    <row r="290" spans="1:20" x14ac:dyDescent="0.25">
      <c r="A290" s="1054">
        <v>92931</v>
      </c>
      <c r="B290" s="1055" t="s">
        <v>2848</v>
      </c>
      <c r="C290" s="1056">
        <v>2.4600999999999998E-3</v>
      </c>
      <c r="D290" s="1056">
        <v>2.3996E-3</v>
      </c>
      <c r="E290" s="1057">
        <v>5836199</v>
      </c>
      <c r="F290" s="1057" t="s">
        <v>187</v>
      </c>
      <c r="G290" s="1058">
        <v>900387</v>
      </c>
      <c r="H290" s="1059">
        <v>801137</v>
      </c>
      <c r="I290" s="1058">
        <v>1548702</v>
      </c>
      <c r="J290" s="1057">
        <v>28206</v>
      </c>
      <c r="K290" s="1059">
        <f t="shared" si="11"/>
        <v>3278432</v>
      </c>
      <c r="L290" s="1057"/>
      <c r="M290" s="1058">
        <v>30212</v>
      </c>
      <c r="N290" s="1058">
        <v>0</v>
      </c>
      <c r="O290" s="1057">
        <v>98782</v>
      </c>
      <c r="P290" s="1059">
        <f t="shared" si="12"/>
        <v>128994</v>
      </c>
      <c r="Q290" s="1057"/>
      <c r="R290" s="1058">
        <v>1621139</v>
      </c>
      <c r="S290" s="1057">
        <v>-34302</v>
      </c>
      <c r="T290" s="1060">
        <v>1586837</v>
      </c>
    </row>
    <row r="291" spans="1:20" x14ac:dyDescent="0.25">
      <c r="A291" s="1054">
        <v>92941</v>
      </c>
      <c r="B291" s="1055" t="s">
        <v>4108</v>
      </c>
      <c r="C291" s="1056">
        <v>4.3000000000000003E-6</v>
      </c>
      <c r="D291" s="1056">
        <v>1.2300000000000001E-5</v>
      </c>
      <c r="E291" s="1057">
        <v>10201</v>
      </c>
      <c r="F291" s="1057" t="s">
        <v>187</v>
      </c>
      <c r="G291" s="1058">
        <v>1574</v>
      </c>
      <c r="H291" s="1059">
        <v>1400</v>
      </c>
      <c r="I291" s="1058">
        <v>2707</v>
      </c>
      <c r="J291" s="1057">
        <v>3011</v>
      </c>
      <c r="K291" s="1059">
        <f t="shared" si="11"/>
        <v>8692</v>
      </c>
      <c r="L291" s="1057"/>
      <c r="M291" s="1058">
        <v>53</v>
      </c>
      <c r="N291" s="1058">
        <v>0</v>
      </c>
      <c r="O291" s="1057">
        <v>4092</v>
      </c>
      <c r="P291" s="1059">
        <f t="shared" si="12"/>
        <v>4145</v>
      </c>
      <c r="Q291" s="1057"/>
      <c r="R291" s="1058">
        <v>2834</v>
      </c>
      <c r="S291" s="1057">
        <v>2468</v>
      </c>
      <c r="T291" s="1060">
        <v>5302</v>
      </c>
    </row>
    <row r="292" spans="1:20" x14ac:dyDescent="0.25">
      <c r="A292" s="1054">
        <v>93001</v>
      </c>
      <c r="B292" s="1055" t="s">
        <v>2849</v>
      </c>
      <c r="C292" s="1056">
        <v>2.2772000000000001E-3</v>
      </c>
      <c r="D292" s="1056">
        <v>2.2227000000000002E-3</v>
      </c>
      <c r="E292" s="1057">
        <v>5402297</v>
      </c>
      <c r="F292" s="1057" t="s">
        <v>187</v>
      </c>
      <c r="G292" s="1058">
        <v>833446</v>
      </c>
      <c r="H292" s="1059">
        <v>741575</v>
      </c>
      <c r="I292" s="1058">
        <v>1433561</v>
      </c>
      <c r="J292" s="1057">
        <v>14691</v>
      </c>
      <c r="K292" s="1059">
        <f t="shared" si="11"/>
        <v>3023273</v>
      </c>
      <c r="L292" s="1057"/>
      <c r="M292" s="1058">
        <v>27966</v>
      </c>
      <c r="N292" s="1058">
        <v>0</v>
      </c>
      <c r="O292" s="1057">
        <v>61962</v>
      </c>
      <c r="P292" s="1059">
        <f t="shared" si="12"/>
        <v>89928</v>
      </c>
      <c r="Q292" s="1057"/>
      <c r="R292" s="1058">
        <v>1500613</v>
      </c>
      <c r="S292" s="1057">
        <v>-54280</v>
      </c>
      <c r="T292" s="1060">
        <v>1446333</v>
      </c>
    </row>
    <row r="293" spans="1:20" x14ac:dyDescent="0.25">
      <c r="A293" s="1054">
        <v>93009</v>
      </c>
      <c r="B293" s="1055" t="s">
        <v>2850</v>
      </c>
      <c r="C293" s="1056">
        <v>1.38E-5</v>
      </c>
      <c r="D293" s="1056">
        <v>1.47E-5</v>
      </c>
      <c r="E293" s="1057">
        <v>32738</v>
      </c>
      <c r="F293" s="1057" t="s">
        <v>187</v>
      </c>
      <c r="G293" s="1058">
        <v>5051</v>
      </c>
      <c r="H293" s="1059">
        <v>4494</v>
      </c>
      <c r="I293" s="1058">
        <v>8687</v>
      </c>
      <c r="J293" s="1057">
        <v>0</v>
      </c>
      <c r="K293" s="1059">
        <f t="shared" si="11"/>
        <v>18232</v>
      </c>
      <c r="L293" s="1057"/>
      <c r="M293" s="1058">
        <v>169</v>
      </c>
      <c r="N293" s="1058">
        <v>0</v>
      </c>
      <c r="O293" s="1057">
        <v>3798</v>
      </c>
      <c r="P293" s="1059">
        <f t="shared" si="12"/>
        <v>3967</v>
      </c>
      <c r="Q293" s="1057"/>
      <c r="R293" s="1058">
        <v>9094</v>
      </c>
      <c r="S293" s="1057">
        <v>-2270</v>
      </c>
      <c r="T293" s="1060">
        <v>6824</v>
      </c>
    </row>
    <row r="294" spans="1:20" x14ac:dyDescent="0.25">
      <c r="A294" s="1054">
        <v>93011</v>
      </c>
      <c r="B294" s="1055" t="s">
        <v>4109</v>
      </c>
      <c r="C294" s="1056">
        <v>2.7599999999999999E-4</v>
      </c>
      <c r="D294" s="1056">
        <v>2.2699999999999999E-4</v>
      </c>
      <c r="E294" s="1057">
        <v>654766</v>
      </c>
      <c r="F294" s="1057" t="s">
        <v>187</v>
      </c>
      <c r="G294" s="1058">
        <v>101015</v>
      </c>
      <c r="H294" s="1058">
        <v>89880</v>
      </c>
      <c r="I294" s="1058">
        <v>173750</v>
      </c>
      <c r="J294" s="1057">
        <v>51648</v>
      </c>
      <c r="K294" s="1058">
        <f t="shared" si="11"/>
        <v>416293</v>
      </c>
      <c r="L294" s="1057"/>
      <c r="M294" s="1058">
        <v>3390</v>
      </c>
      <c r="N294" s="1058">
        <v>0</v>
      </c>
      <c r="O294" s="1057">
        <v>10320</v>
      </c>
      <c r="P294" s="1058">
        <f t="shared" si="12"/>
        <v>13710</v>
      </c>
      <c r="Q294" s="1057"/>
      <c r="R294" s="1058">
        <v>181877</v>
      </c>
      <c r="S294" s="1057">
        <v>8885</v>
      </c>
      <c r="T294" s="1060">
        <v>190762</v>
      </c>
    </row>
    <row r="295" spans="1:20" x14ac:dyDescent="0.25">
      <c r="A295" s="1054">
        <v>93021</v>
      </c>
      <c r="B295" s="1055" t="s">
        <v>4110</v>
      </c>
      <c r="C295" s="1056">
        <v>3.3399999999999999E-5</v>
      </c>
      <c r="D295" s="1056">
        <v>3.4199999999999998E-5</v>
      </c>
      <c r="E295" s="1057">
        <v>79236</v>
      </c>
      <c r="F295" s="1057" t="s">
        <v>187</v>
      </c>
      <c r="G295" s="1058">
        <v>12224</v>
      </c>
      <c r="H295" s="1059">
        <v>10877</v>
      </c>
      <c r="I295" s="1058">
        <v>21026</v>
      </c>
      <c r="J295" s="1057">
        <v>1795</v>
      </c>
      <c r="K295" s="1059">
        <f t="shared" si="11"/>
        <v>45922</v>
      </c>
      <c r="L295" s="1057"/>
      <c r="M295" s="1058">
        <v>410</v>
      </c>
      <c r="N295" s="1058">
        <v>0</v>
      </c>
      <c r="O295" s="1057">
        <v>5715</v>
      </c>
      <c r="P295" s="1059">
        <f t="shared" si="12"/>
        <v>6125</v>
      </c>
      <c r="Q295" s="1057"/>
      <c r="R295" s="1058">
        <v>22010</v>
      </c>
      <c r="S295" s="1057">
        <v>-366</v>
      </c>
      <c r="T295" s="1060">
        <v>21644</v>
      </c>
    </row>
    <row r="296" spans="1:20" x14ac:dyDescent="0.25">
      <c r="A296" s="1054">
        <v>93027</v>
      </c>
      <c r="B296" s="1055" t="s">
        <v>2853</v>
      </c>
      <c r="C296" s="1056">
        <v>1.5E-5</v>
      </c>
      <c r="D296" s="1056">
        <v>1.6699999999999999E-5</v>
      </c>
      <c r="E296" s="1057">
        <v>35585</v>
      </c>
      <c r="F296" s="1057" t="s">
        <v>187</v>
      </c>
      <c r="G296" s="1058">
        <v>5490</v>
      </c>
      <c r="H296" s="1059">
        <v>4885</v>
      </c>
      <c r="I296" s="1058">
        <v>9443</v>
      </c>
      <c r="J296" s="1057">
        <v>796</v>
      </c>
      <c r="K296" s="1059">
        <f t="shared" si="11"/>
        <v>20614</v>
      </c>
      <c r="L296" s="1057"/>
      <c r="M296" s="1058">
        <v>184</v>
      </c>
      <c r="N296" s="1058">
        <v>0</v>
      </c>
      <c r="O296" s="1057">
        <v>2296</v>
      </c>
      <c r="P296" s="1059">
        <f t="shared" si="12"/>
        <v>2480</v>
      </c>
      <c r="Q296" s="1057"/>
      <c r="R296" s="1058">
        <v>9885</v>
      </c>
      <c r="S296" s="1057">
        <v>-833</v>
      </c>
      <c r="T296" s="1060">
        <v>9052</v>
      </c>
    </row>
    <row r="297" spans="1:20" x14ac:dyDescent="0.25">
      <c r="A297" s="1054">
        <v>93031</v>
      </c>
      <c r="B297" s="1055" t="s">
        <v>4111</v>
      </c>
      <c r="C297" s="1056">
        <v>1.26E-5</v>
      </c>
      <c r="D297" s="1056">
        <v>2.1699999999999999E-5</v>
      </c>
      <c r="E297" s="1057">
        <v>29892</v>
      </c>
      <c r="F297" s="1057" t="s">
        <v>187</v>
      </c>
      <c r="G297" s="1058">
        <v>4612</v>
      </c>
      <c r="H297" s="1059">
        <v>4103</v>
      </c>
      <c r="I297" s="1058">
        <v>7932</v>
      </c>
      <c r="J297" s="1057">
        <v>20350</v>
      </c>
      <c r="K297" s="1059">
        <f t="shared" si="11"/>
        <v>36997</v>
      </c>
      <c r="L297" s="1057"/>
      <c r="M297" s="1058">
        <v>155</v>
      </c>
      <c r="N297" s="1058">
        <v>0</v>
      </c>
      <c r="O297" s="1057">
        <v>0</v>
      </c>
      <c r="P297" s="1059">
        <f t="shared" si="12"/>
        <v>155</v>
      </c>
      <c r="Q297" s="1057"/>
      <c r="R297" s="1058">
        <v>8303</v>
      </c>
      <c r="S297" s="1057">
        <v>7768</v>
      </c>
      <c r="T297" s="1060">
        <v>16071</v>
      </c>
    </row>
    <row r="298" spans="1:20" x14ac:dyDescent="0.25">
      <c r="A298" s="1054">
        <v>93101</v>
      </c>
      <c r="B298" s="1055" t="s">
        <v>2855</v>
      </c>
      <c r="C298" s="1056">
        <v>3.2376000000000002E-3</v>
      </c>
      <c r="D298" s="1056">
        <v>3.5159000000000002E-3</v>
      </c>
      <c r="E298" s="1057">
        <v>7680694</v>
      </c>
      <c r="F298" s="1057" t="s">
        <v>187</v>
      </c>
      <c r="G298" s="1058">
        <v>1184949</v>
      </c>
      <c r="H298" s="1059">
        <v>1054330</v>
      </c>
      <c r="I298" s="1058">
        <v>2038160</v>
      </c>
      <c r="J298" s="1057">
        <v>36350</v>
      </c>
      <c r="K298" s="1059">
        <f t="shared" si="11"/>
        <v>4313789</v>
      </c>
      <c r="L298" s="1057"/>
      <c r="M298" s="1058">
        <v>39761</v>
      </c>
      <c r="N298" s="1058">
        <v>0</v>
      </c>
      <c r="O298" s="1057">
        <v>306148</v>
      </c>
      <c r="P298" s="1059">
        <f t="shared" si="12"/>
        <v>345909</v>
      </c>
      <c r="Q298" s="1057"/>
      <c r="R298" s="1058">
        <v>2133491</v>
      </c>
      <c r="S298" s="1057">
        <v>-15838</v>
      </c>
      <c r="T298" s="1060">
        <v>2117653</v>
      </c>
    </row>
    <row r="299" spans="1:20" x14ac:dyDescent="0.25">
      <c r="A299" s="1054">
        <v>93103</v>
      </c>
      <c r="B299" s="1055" t="s">
        <v>2123</v>
      </c>
      <c r="C299" s="1056">
        <v>1.6699999999999999E-5</v>
      </c>
      <c r="D299" s="1056">
        <v>1.7099999999999999E-5</v>
      </c>
      <c r="E299" s="1057">
        <v>39618</v>
      </c>
      <c r="F299" s="1057" t="s">
        <v>187</v>
      </c>
      <c r="G299" s="1058">
        <v>6112</v>
      </c>
      <c r="H299" s="1059">
        <v>5439</v>
      </c>
      <c r="I299" s="1058">
        <v>10513</v>
      </c>
      <c r="J299" s="1057">
        <v>4185</v>
      </c>
      <c r="K299" s="1059">
        <f t="shared" si="11"/>
        <v>26249</v>
      </c>
      <c r="L299" s="1057"/>
      <c r="M299" s="1058">
        <v>205</v>
      </c>
      <c r="N299" s="1058">
        <v>0</v>
      </c>
      <c r="O299" s="1057">
        <v>3362</v>
      </c>
      <c r="P299" s="1059">
        <f t="shared" si="12"/>
        <v>3567</v>
      </c>
      <c r="Q299" s="1057"/>
      <c r="R299" s="1058">
        <v>11005</v>
      </c>
      <c r="S299" s="1057">
        <v>1580</v>
      </c>
      <c r="T299" s="1060">
        <v>12585</v>
      </c>
    </row>
    <row r="300" spans="1:20" x14ac:dyDescent="0.25">
      <c r="A300" s="1054">
        <v>93108</v>
      </c>
      <c r="B300" s="1055" t="s">
        <v>2856</v>
      </c>
      <c r="C300" s="1056">
        <v>2.4109999999999999E-3</v>
      </c>
      <c r="D300" s="1056">
        <v>2.6624999999999999E-3</v>
      </c>
      <c r="E300" s="1057">
        <v>5719717</v>
      </c>
      <c r="F300" s="1057" t="s">
        <v>187</v>
      </c>
      <c r="G300" s="1058">
        <v>882416</v>
      </c>
      <c r="H300" s="1059">
        <v>785147</v>
      </c>
      <c r="I300" s="1058">
        <v>1517792</v>
      </c>
      <c r="J300" s="1057">
        <v>86396</v>
      </c>
      <c r="K300" s="1059">
        <f t="shared" si="11"/>
        <v>3271751</v>
      </c>
      <c r="L300" s="1057"/>
      <c r="M300" s="1058">
        <v>29609</v>
      </c>
      <c r="N300" s="1058">
        <v>0</v>
      </c>
      <c r="O300" s="1057">
        <v>181635</v>
      </c>
      <c r="P300" s="1059">
        <f t="shared" si="12"/>
        <v>211244</v>
      </c>
      <c r="Q300" s="1057"/>
      <c r="R300" s="1058">
        <v>1588784</v>
      </c>
      <c r="S300" s="1057">
        <v>143056</v>
      </c>
      <c r="T300" s="1060">
        <v>1731840</v>
      </c>
    </row>
    <row r="301" spans="1:20" x14ac:dyDescent="0.25">
      <c r="A301" s="1054">
        <v>93111</v>
      </c>
      <c r="B301" s="1055" t="s">
        <v>4112</v>
      </c>
      <c r="C301" s="1056">
        <v>6.1500000000000004E-5</v>
      </c>
      <c r="D301" s="1056">
        <v>5.8499999999999999E-5</v>
      </c>
      <c r="E301" s="1057">
        <v>145899</v>
      </c>
      <c r="F301" s="1057" t="s">
        <v>187</v>
      </c>
      <c r="G301" s="1058">
        <v>22509</v>
      </c>
      <c r="H301" s="1059">
        <v>20027</v>
      </c>
      <c r="I301" s="1058">
        <v>38716</v>
      </c>
      <c r="J301" s="1057">
        <v>609</v>
      </c>
      <c r="K301" s="1059">
        <f t="shared" si="11"/>
        <v>81861</v>
      </c>
      <c r="L301" s="1057"/>
      <c r="M301" s="1058">
        <v>755</v>
      </c>
      <c r="N301" s="1058">
        <v>0</v>
      </c>
      <c r="O301" s="1057">
        <v>9926</v>
      </c>
      <c r="P301" s="1059">
        <f t="shared" si="12"/>
        <v>10681</v>
      </c>
      <c r="Q301" s="1057"/>
      <c r="R301" s="1058">
        <v>40527</v>
      </c>
      <c r="S301" s="1057">
        <v>-5384</v>
      </c>
      <c r="T301" s="1060">
        <v>35143</v>
      </c>
    </row>
    <row r="302" spans="1:20" x14ac:dyDescent="0.25">
      <c r="A302" s="1054">
        <v>93121</v>
      </c>
      <c r="B302" s="1055" t="s">
        <v>4113</v>
      </c>
      <c r="C302" s="1056">
        <v>5.3300000000000001E-5</v>
      </c>
      <c r="D302" s="1056">
        <v>6.2299999999999996E-5</v>
      </c>
      <c r="E302" s="1057">
        <v>126446</v>
      </c>
      <c r="F302" s="1057" t="s">
        <v>187</v>
      </c>
      <c r="G302" s="1058">
        <v>19508</v>
      </c>
      <c r="H302" s="1059">
        <v>17358</v>
      </c>
      <c r="I302" s="1058">
        <v>33554</v>
      </c>
      <c r="J302" s="1057">
        <v>1532</v>
      </c>
      <c r="K302" s="1059">
        <f t="shared" si="11"/>
        <v>71952</v>
      </c>
      <c r="L302" s="1057"/>
      <c r="M302" s="1058">
        <v>655</v>
      </c>
      <c r="N302" s="1058">
        <v>0</v>
      </c>
      <c r="O302" s="1057">
        <v>7485</v>
      </c>
      <c r="P302" s="1059">
        <f t="shared" si="12"/>
        <v>8140</v>
      </c>
      <c r="Q302" s="1057"/>
      <c r="R302" s="1058">
        <v>35123</v>
      </c>
      <c r="S302" s="1057">
        <v>-4157</v>
      </c>
      <c r="T302" s="1060">
        <v>30966</v>
      </c>
    </row>
    <row r="303" spans="1:20" x14ac:dyDescent="0.25">
      <c r="A303" s="1054">
        <v>93127</v>
      </c>
      <c r="B303" s="1055" t="s">
        <v>2859</v>
      </c>
      <c r="C303" s="1056">
        <v>6.8000000000000001E-6</v>
      </c>
      <c r="D303" s="1056">
        <v>6.9E-6</v>
      </c>
      <c r="E303" s="1057">
        <v>16132</v>
      </c>
      <c r="F303" s="1057" t="s">
        <v>187</v>
      </c>
      <c r="G303" s="1058">
        <v>2489</v>
      </c>
      <c r="H303" s="1059">
        <v>2215</v>
      </c>
      <c r="I303" s="1058">
        <v>4281</v>
      </c>
      <c r="J303" s="1057">
        <v>93</v>
      </c>
      <c r="K303" s="1059">
        <f t="shared" si="11"/>
        <v>9078</v>
      </c>
      <c r="L303" s="1057"/>
      <c r="M303" s="1058">
        <v>84</v>
      </c>
      <c r="N303" s="1058">
        <v>0</v>
      </c>
      <c r="O303" s="1057">
        <v>482</v>
      </c>
      <c r="P303" s="1059">
        <f t="shared" si="12"/>
        <v>566</v>
      </c>
      <c r="Q303" s="1057"/>
      <c r="R303" s="1058">
        <v>4481</v>
      </c>
      <c r="S303" s="1057">
        <v>-405</v>
      </c>
      <c r="T303" s="1060">
        <v>4076</v>
      </c>
    </row>
    <row r="304" spans="1:20" x14ac:dyDescent="0.25">
      <c r="A304" s="1054">
        <v>93131</v>
      </c>
      <c r="B304" s="1055" t="s">
        <v>4114</v>
      </c>
      <c r="C304" s="1056">
        <v>2.0129999999999999E-4</v>
      </c>
      <c r="D304" s="1056">
        <v>2.218E-4</v>
      </c>
      <c r="E304" s="1057">
        <v>477552</v>
      </c>
      <c r="F304" s="1057" t="s">
        <v>187</v>
      </c>
      <c r="G304" s="1058">
        <v>73675</v>
      </c>
      <c r="H304" s="1059">
        <v>65554</v>
      </c>
      <c r="I304" s="1058">
        <v>126724</v>
      </c>
      <c r="J304" s="1057">
        <v>2495</v>
      </c>
      <c r="K304" s="1059">
        <f t="shared" si="11"/>
        <v>268448</v>
      </c>
      <c r="L304" s="1057"/>
      <c r="M304" s="1058">
        <v>2472</v>
      </c>
      <c r="N304" s="1058">
        <v>0</v>
      </c>
      <c r="O304" s="1057">
        <v>34365</v>
      </c>
      <c r="P304" s="1059">
        <f t="shared" si="12"/>
        <v>36837</v>
      </c>
      <c r="Q304" s="1057"/>
      <c r="R304" s="1058">
        <v>132651</v>
      </c>
      <c r="S304" s="1057">
        <v>-5155</v>
      </c>
      <c r="T304" s="1060">
        <v>127496</v>
      </c>
    </row>
    <row r="305" spans="1:20" x14ac:dyDescent="0.25">
      <c r="A305" s="1054">
        <v>93137</v>
      </c>
      <c r="B305" s="1055" t="s">
        <v>2861</v>
      </c>
      <c r="C305" s="1056">
        <v>4.7999999999999998E-6</v>
      </c>
      <c r="D305" s="1056">
        <v>3.3000000000000002E-6</v>
      </c>
      <c r="E305" s="1057">
        <v>11387</v>
      </c>
      <c r="F305" s="1057" t="s">
        <v>187</v>
      </c>
      <c r="G305" s="1058">
        <v>1757</v>
      </c>
      <c r="H305" s="1059">
        <v>1563</v>
      </c>
      <c r="I305" s="1058">
        <v>3022</v>
      </c>
      <c r="J305" s="1057">
        <v>3426</v>
      </c>
      <c r="K305" s="1059">
        <f t="shared" si="11"/>
        <v>9768</v>
      </c>
      <c r="L305" s="1057"/>
      <c r="M305" s="1058">
        <v>59</v>
      </c>
      <c r="N305" s="1058">
        <v>0</v>
      </c>
      <c r="O305" s="1057">
        <v>0</v>
      </c>
      <c r="P305" s="1059">
        <f t="shared" si="12"/>
        <v>59</v>
      </c>
      <c r="Q305" s="1057"/>
      <c r="R305" s="1058">
        <v>3163</v>
      </c>
      <c r="S305" s="1057">
        <v>1228</v>
      </c>
      <c r="T305" s="1060">
        <v>4391</v>
      </c>
    </row>
    <row r="306" spans="1:20" x14ac:dyDescent="0.25">
      <c r="A306" s="1054">
        <v>93141</v>
      </c>
      <c r="B306" s="1055" t="s">
        <v>4115</v>
      </c>
      <c r="C306" s="1056">
        <v>3.2299999999999999E-5</v>
      </c>
      <c r="D306" s="1056">
        <v>4.1100000000000003E-5</v>
      </c>
      <c r="E306" s="1057">
        <v>76627</v>
      </c>
      <c r="F306" s="1057" t="s">
        <v>187</v>
      </c>
      <c r="G306" s="1058">
        <v>11822</v>
      </c>
      <c r="H306" s="1059">
        <v>10519</v>
      </c>
      <c r="I306" s="1058">
        <v>20334</v>
      </c>
      <c r="J306" s="1057">
        <v>0</v>
      </c>
      <c r="K306" s="1059">
        <f t="shared" si="11"/>
        <v>42675</v>
      </c>
      <c r="L306" s="1057"/>
      <c r="M306" s="1058">
        <v>397</v>
      </c>
      <c r="N306" s="1058">
        <v>0</v>
      </c>
      <c r="O306" s="1057">
        <v>11022</v>
      </c>
      <c r="P306" s="1059">
        <f t="shared" si="12"/>
        <v>11419</v>
      </c>
      <c r="Q306" s="1057"/>
      <c r="R306" s="1058">
        <v>21285</v>
      </c>
      <c r="S306" s="1057">
        <v>-1889</v>
      </c>
      <c r="T306" s="1060">
        <v>19396</v>
      </c>
    </row>
    <row r="307" spans="1:20" x14ac:dyDescent="0.25">
      <c r="A307" s="1054">
        <v>93151</v>
      </c>
      <c r="B307" s="1055" t="s">
        <v>4116</v>
      </c>
      <c r="C307" s="1056">
        <v>3.2410000000000002E-4</v>
      </c>
      <c r="D307" s="1056">
        <v>3.4279999999999998E-4</v>
      </c>
      <c r="E307" s="1057">
        <v>768876</v>
      </c>
      <c r="F307" s="1057" t="s">
        <v>187</v>
      </c>
      <c r="G307" s="1058">
        <v>118619</v>
      </c>
      <c r="H307" s="1059">
        <v>105543</v>
      </c>
      <c r="I307" s="1058">
        <v>204030</v>
      </c>
      <c r="J307" s="1057">
        <v>1711</v>
      </c>
      <c r="K307" s="1059">
        <f t="shared" si="11"/>
        <v>429903</v>
      </c>
      <c r="L307" s="1057"/>
      <c r="M307" s="1058">
        <v>3980</v>
      </c>
      <c r="N307" s="1058">
        <v>0</v>
      </c>
      <c r="O307" s="1057">
        <v>25198</v>
      </c>
      <c r="P307" s="1059">
        <f t="shared" si="12"/>
        <v>29178</v>
      </c>
      <c r="Q307" s="1057"/>
      <c r="R307" s="1058">
        <v>213573</v>
      </c>
      <c r="S307" s="1057">
        <v>-7249</v>
      </c>
      <c r="T307" s="1060">
        <v>206324</v>
      </c>
    </row>
    <row r="308" spans="1:20" x14ac:dyDescent="0.25">
      <c r="A308" s="1054">
        <v>93157</v>
      </c>
      <c r="B308" s="1055" t="s">
        <v>2864</v>
      </c>
      <c r="C308" s="1056">
        <v>3.4999999999999999E-6</v>
      </c>
      <c r="D308" s="1056">
        <v>3.5999999999999998E-6</v>
      </c>
      <c r="E308" s="1057">
        <v>8303</v>
      </c>
      <c r="F308" s="1057" t="s">
        <v>187</v>
      </c>
      <c r="G308" s="1058">
        <v>1281</v>
      </c>
      <c r="H308" s="1059">
        <v>1140</v>
      </c>
      <c r="I308" s="1058">
        <v>2203</v>
      </c>
      <c r="J308" s="1057">
        <v>7990</v>
      </c>
      <c r="K308" s="1059">
        <f t="shared" si="11"/>
        <v>12614</v>
      </c>
      <c r="L308" s="1057"/>
      <c r="M308" s="1058">
        <v>43</v>
      </c>
      <c r="N308" s="1058">
        <v>0</v>
      </c>
      <c r="O308" s="1057">
        <v>152</v>
      </c>
      <c r="P308" s="1059">
        <f t="shared" si="12"/>
        <v>195</v>
      </c>
      <c r="Q308" s="1057"/>
      <c r="R308" s="1058">
        <v>2306</v>
      </c>
      <c r="S308" s="1057">
        <v>3773</v>
      </c>
      <c r="T308" s="1060">
        <v>6079</v>
      </c>
    </row>
    <row r="309" spans="1:20" x14ac:dyDescent="0.25">
      <c r="A309" s="1054">
        <v>93161</v>
      </c>
      <c r="B309" s="1055" t="s">
        <v>4117</v>
      </c>
      <c r="C309" s="1056">
        <v>1.105E-4</v>
      </c>
      <c r="D309" s="1056">
        <v>1.038E-4</v>
      </c>
      <c r="E309" s="1057">
        <v>262144</v>
      </c>
      <c r="F309" s="1057" t="s">
        <v>187</v>
      </c>
      <c r="G309" s="1058">
        <v>40443</v>
      </c>
      <c r="H309" s="1059">
        <v>35984</v>
      </c>
      <c r="I309" s="1058">
        <v>69563</v>
      </c>
      <c r="J309" s="1057">
        <v>25987</v>
      </c>
      <c r="K309" s="1059">
        <f t="shared" si="11"/>
        <v>171977</v>
      </c>
      <c r="L309" s="1057"/>
      <c r="M309" s="1058">
        <v>1357</v>
      </c>
      <c r="N309" s="1058">
        <v>0</v>
      </c>
      <c r="O309" s="1057">
        <v>0</v>
      </c>
      <c r="P309" s="1059">
        <f t="shared" si="12"/>
        <v>1357</v>
      </c>
      <c r="Q309" s="1057"/>
      <c r="R309" s="1058">
        <v>72817</v>
      </c>
      <c r="S309" s="1057">
        <v>13692</v>
      </c>
      <c r="T309" s="1060">
        <v>86509</v>
      </c>
    </row>
    <row r="310" spans="1:20" x14ac:dyDescent="0.25">
      <c r="A310" s="1054">
        <v>93171</v>
      </c>
      <c r="B310" s="1055" t="s">
        <v>4118</v>
      </c>
      <c r="C310" s="1056">
        <v>2.7E-6</v>
      </c>
      <c r="D310" s="1056">
        <v>5.2000000000000002E-6</v>
      </c>
      <c r="E310" s="1057">
        <v>6405</v>
      </c>
      <c r="F310" s="1057" t="s">
        <v>187</v>
      </c>
      <c r="G310" s="1058">
        <v>988</v>
      </c>
      <c r="H310" s="1059">
        <v>879</v>
      </c>
      <c r="I310" s="1058">
        <v>1700</v>
      </c>
      <c r="J310" s="1057">
        <v>1171</v>
      </c>
      <c r="K310" s="1059">
        <f t="shared" si="11"/>
        <v>4738</v>
      </c>
      <c r="L310" s="1057"/>
      <c r="M310" s="1058">
        <v>33</v>
      </c>
      <c r="N310" s="1058">
        <v>0</v>
      </c>
      <c r="O310" s="1057">
        <v>987</v>
      </c>
      <c r="P310" s="1059">
        <f t="shared" si="12"/>
        <v>1020</v>
      </c>
      <c r="Q310" s="1057"/>
      <c r="R310" s="1058">
        <v>1779</v>
      </c>
      <c r="S310" s="1057">
        <v>542</v>
      </c>
      <c r="T310" s="1060">
        <v>2321</v>
      </c>
    </row>
    <row r="311" spans="1:20" x14ac:dyDescent="0.25">
      <c r="A311" s="1054">
        <v>93181</v>
      </c>
      <c r="B311" s="1055" t="s">
        <v>4119</v>
      </c>
      <c r="C311" s="1056">
        <v>1.1E-5</v>
      </c>
      <c r="D311" s="1056">
        <v>1.13E-5</v>
      </c>
      <c r="E311" s="1057">
        <v>26096</v>
      </c>
      <c r="F311" s="1057" t="s">
        <v>187</v>
      </c>
      <c r="G311" s="1058">
        <v>4026</v>
      </c>
      <c r="H311" s="1059">
        <v>3582</v>
      </c>
      <c r="I311" s="1058">
        <v>6925</v>
      </c>
      <c r="J311" s="1057">
        <v>457</v>
      </c>
      <c r="K311" s="1059">
        <f t="shared" si="11"/>
        <v>14990</v>
      </c>
      <c r="L311" s="1057"/>
      <c r="M311" s="1058">
        <v>135</v>
      </c>
      <c r="N311" s="1058">
        <v>0</v>
      </c>
      <c r="O311" s="1057">
        <v>12</v>
      </c>
      <c r="P311" s="1059">
        <f t="shared" si="12"/>
        <v>147</v>
      </c>
      <c r="Q311" s="1057"/>
      <c r="R311" s="1058">
        <v>7249</v>
      </c>
      <c r="S311" s="1057">
        <v>435</v>
      </c>
      <c r="T311" s="1060">
        <v>7684</v>
      </c>
    </row>
    <row r="312" spans="1:20" x14ac:dyDescent="0.25">
      <c r="A312" s="1054">
        <v>93191</v>
      </c>
      <c r="B312" s="1055" t="s">
        <v>4120</v>
      </c>
      <c r="C312" s="1056">
        <v>2.2500000000000001E-5</v>
      </c>
      <c r="D312" s="1056">
        <v>2.4600000000000002E-5</v>
      </c>
      <c r="E312" s="1057">
        <v>53378</v>
      </c>
      <c r="F312" s="1057" t="s">
        <v>187</v>
      </c>
      <c r="G312" s="1058">
        <v>8235</v>
      </c>
      <c r="H312" s="1059">
        <v>7328</v>
      </c>
      <c r="I312" s="1058">
        <v>14164</v>
      </c>
      <c r="J312" s="1057">
        <v>3738</v>
      </c>
      <c r="K312" s="1059">
        <f t="shared" si="11"/>
        <v>33465</v>
      </c>
      <c r="L312" s="1057"/>
      <c r="M312" s="1058">
        <v>276</v>
      </c>
      <c r="N312" s="1058">
        <v>0</v>
      </c>
      <c r="O312" s="1057">
        <v>1346</v>
      </c>
      <c r="P312" s="1059">
        <f t="shared" si="12"/>
        <v>1622</v>
      </c>
      <c r="Q312" s="1057"/>
      <c r="R312" s="1058">
        <v>14827</v>
      </c>
      <c r="S312" s="1057">
        <v>577</v>
      </c>
      <c r="T312" s="1060">
        <v>15404</v>
      </c>
    </row>
    <row r="313" spans="1:20" x14ac:dyDescent="0.25">
      <c r="A313" s="1054">
        <v>93201</v>
      </c>
      <c r="B313" s="1055" t="s">
        <v>2869</v>
      </c>
      <c r="C313" s="1056">
        <v>1.5763099999999999E-2</v>
      </c>
      <c r="D313" s="1056">
        <v>1.5517E-2</v>
      </c>
      <c r="E313" s="1057">
        <v>37395464</v>
      </c>
      <c r="F313" s="1057" t="s">
        <v>187</v>
      </c>
      <c r="G313" s="1058">
        <v>5769232</v>
      </c>
      <c r="H313" s="1059">
        <v>5133286</v>
      </c>
      <c r="I313" s="1058">
        <v>9923313</v>
      </c>
      <c r="J313" s="1057">
        <v>597239</v>
      </c>
      <c r="K313" s="1059">
        <f t="shared" si="11"/>
        <v>21423070</v>
      </c>
      <c r="L313" s="1057"/>
      <c r="M313" s="1058">
        <v>193587</v>
      </c>
      <c r="N313" s="1058">
        <v>0</v>
      </c>
      <c r="O313" s="1057">
        <v>154811</v>
      </c>
      <c r="P313" s="1059">
        <f t="shared" si="12"/>
        <v>348398</v>
      </c>
      <c r="Q313" s="1057"/>
      <c r="R313" s="1058">
        <v>10387457</v>
      </c>
      <c r="S313" s="1057">
        <v>455365</v>
      </c>
      <c r="T313" s="1060">
        <v>10842822</v>
      </c>
    </row>
    <row r="314" spans="1:20" x14ac:dyDescent="0.25">
      <c r="A314" s="1054">
        <v>93202</v>
      </c>
      <c r="B314" s="1055" t="s">
        <v>2870</v>
      </c>
      <c r="C314" s="1056">
        <v>0</v>
      </c>
      <c r="D314" s="1056">
        <v>0</v>
      </c>
      <c r="E314" s="1057">
        <v>0</v>
      </c>
      <c r="F314" s="1057" t="s">
        <v>187</v>
      </c>
      <c r="G314" s="1058">
        <v>0</v>
      </c>
      <c r="H314" s="1059">
        <v>0</v>
      </c>
      <c r="I314" s="1058">
        <v>0</v>
      </c>
      <c r="J314" s="1057">
        <v>0</v>
      </c>
      <c r="K314" s="1059">
        <f t="shared" si="11"/>
        <v>0</v>
      </c>
      <c r="L314" s="1057"/>
      <c r="M314" s="1058">
        <v>0</v>
      </c>
      <c r="N314" s="1058">
        <v>0</v>
      </c>
      <c r="O314" s="1057">
        <v>103181</v>
      </c>
      <c r="P314" s="1059">
        <f t="shared" si="12"/>
        <v>103181</v>
      </c>
      <c r="Q314" s="1057"/>
      <c r="R314" s="1058">
        <v>0</v>
      </c>
      <c r="S314" s="1057">
        <v>-109337</v>
      </c>
      <c r="T314" s="1060">
        <v>-109337</v>
      </c>
    </row>
    <row r="315" spans="1:20" x14ac:dyDescent="0.25">
      <c r="A315" s="1054">
        <v>93204</v>
      </c>
      <c r="B315" s="1055" t="s">
        <v>2871</v>
      </c>
      <c r="C315" s="1056">
        <v>3.28E-4</v>
      </c>
      <c r="D315" s="1056">
        <v>3.0279999999999999E-4</v>
      </c>
      <c r="E315" s="1057">
        <v>778128</v>
      </c>
      <c r="F315" s="1057" t="s">
        <v>187</v>
      </c>
      <c r="G315" s="1058">
        <v>120047</v>
      </c>
      <c r="H315" s="1059">
        <v>106813</v>
      </c>
      <c r="I315" s="1058">
        <v>206485</v>
      </c>
      <c r="J315" s="1057">
        <v>42387</v>
      </c>
      <c r="K315" s="1059">
        <f t="shared" si="11"/>
        <v>475732</v>
      </c>
      <c r="L315" s="1057"/>
      <c r="M315" s="1058">
        <v>4028</v>
      </c>
      <c r="N315" s="1058">
        <v>0</v>
      </c>
      <c r="O315" s="1057">
        <v>3051</v>
      </c>
      <c r="P315" s="1059">
        <f t="shared" si="12"/>
        <v>7079</v>
      </c>
      <c r="Q315" s="1057"/>
      <c r="R315" s="1058">
        <v>216143</v>
      </c>
      <c r="S315" s="1057">
        <v>7193</v>
      </c>
      <c r="T315" s="1060">
        <v>223336</v>
      </c>
    </row>
    <row r="316" spans="1:20" x14ac:dyDescent="0.25">
      <c r="A316" s="1054">
        <v>93209</v>
      </c>
      <c r="B316" s="1055" t="s">
        <v>2872</v>
      </c>
      <c r="C316" s="1056">
        <v>5.1598E-3</v>
      </c>
      <c r="D316" s="1056">
        <v>4.6693999999999998E-3</v>
      </c>
      <c r="E316" s="1057">
        <v>12240810</v>
      </c>
      <c r="F316" s="1057" t="s">
        <v>187</v>
      </c>
      <c r="G316" s="1058">
        <v>1888466</v>
      </c>
      <c r="H316" s="1059">
        <v>1680299</v>
      </c>
      <c r="I316" s="1058">
        <v>3248239</v>
      </c>
      <c r="J316" s="1057">
        <v>484024</v>
      </c>
      <c r="K316" s="1059">
        <f t="shared" si="11"/>
        <v>7301028</v>
      </c>
      <c r="L316" s="1057"/>
      <c r="M316" s="1058">
        <v>63368</v>
      </c>
      <c r="N316" s="1058">
        <v>0</v>
      </c>
      <c r="O316" s="1057">
        <v>0</v>
      </c>
      <c r="P316" s="1059">
        <f t="shared" si="12"/>
        <v>63368</v>
      </c>
      <c r="Q316" s="1057"/>
      <c r="R316" s="1058">
        <v>3400169</v>
      </c>
      <c r="S316" s="1057">
        <v>595668</v>
      </c>
      <c r="T316" s="1060">
        <v>3995837</v>
      </c>
    </row>
    <row r="317" spans="1:20" x14ac:dyDescent="0.25">
      <c r="A317" s="1054">
        <v>93211</v>
      </c>
      <c r="B317" s="1055" t="s">
        <v>2873</v>
      </c>
      <c r="C317" s="1056">
        <v>2.1090299999999999E-2</v>
      </c>
      <c r="D317" s="1056">
        <v>2.0374099999999999E-2</v>
      </c>
      <c r="E317" s="1057">
        <v>50033404</v>
      </c>
      <c r="F317" s="1057" t="s">
        <v>187</v>
      </c>
      <c r="G317" s="1058">
        <v>7718965</v>
      </c>
      <c r="H317" s="1059">
        <v>6868098</v>
      </c>
      <c r="I317" s="1058">
        <v>13276934</v>
      </c>
      <c r="J317" s="1057">
        <v>418893</v>
      </c>
      <c r="K317" s="1059">
        <f t="shared" si="11"/>
        <v>28282890</v>
      </c>
      <c r="L317" s="1057"/>
      <c r="M317" s="1058">
        <v>259010</v>
      </c>
      <c r="N317" s="1058">
        <v>0</v>
      </c>
      <c r="O317" s="1057">
        <v>485736</v>
      </c>
      <c r="P317" s="1059">
        <f t="shared" si="12"/>
        <v>744746</v>
      </c>
      <c r="Q317" s="1057"/>
      <c r="R317" s="1058">
        <v>13897938</v>
      </c>
      <c r="S317" s="1057">
        <v>-400564</v>
      </c>
      <c r="T317" s="1060">
        <v>13497374</v>
      </c>
    </row>
    <row r="318" spans="1:20" x14ac:dyDescent="0.25">
      <c r="A318" s="1054">
        <v>93212</v>
      </c>
      <c r="B318" s="1055" t="s">
        <v>2874</v>
      </c>
      <c r="C318" s="1056">
        <v>2.7540000000000003E-4</v>
      </c>
      <c r="D318" s="1056">
        <v>2.2130000000000001E-4</v>
      </c>
      <c r="E318" s="1057">
        <v>653343</v>
      </c>
      <c r="F318" s="1057" t="s">
        <v>187</v>
      </c>
      <c r="G318" s="1058">
        <v>100795</v>
      </c>
      <c r="H318" s="1059">
        <v>89685</v>
      </c>
      <c r="I318" s="1058">
        <v>173372</v>
      </c>
      <c r="J318" s="1057">
        <v>231765</v>
      </c>
      <c r="K318" s="1059">
        <f t="shared" si="11"/>
        <v>595617</v>
      </c>
      <c r="L318" s="1057"/>
      <c r="M318" s="1058">
        <v>3382</v>
      </c>
      <c r="N318" s="1058">
        <v>0</v>
      </c>
      <c r="O318" s="1057">
        <v>0</v>
      </c>
      <c r="P318" s="1059">
        <f t="shared" si="12"/>
        <v>3382</v>
      </c>
      <c r="Q318" s="1057"/>
      <c r="R318" s="1058">
        <v>181481</v>
      </c>
      <c r="S318" s="1057">
        <v>85113</v>
      </c>
      <c r="T318" s="1060">
        <v>266594</v>
      </c>
    </row>
    <row r="319" spans="1:20" x14ac:dyDescent="0.25">
      <c r="A319" s="1054">
        <v>93219</v>
      </c>
      <c r="B319" s="1055" t="s">
        <v>2875</v>
      </c>
      <c r="C319" s="1056">
        <v>2.5329999999999998E-4</v>
      </c>
      <c r="D319" s="1056">
        <v>2.6289999999999999E-4</v>
      </c>
      <c r="E319" s="1057">
        <v>600914</v>
      </c>
      <c r="F319" s="1057" t="s">
        <v>187</v>
      </c>
      <c r="G319" s="1058">
        <v>92707</v>
      </c>
      <c r="H319" s="1059">
        <v>82487</v>
      </c>
      <c r="I319" s="1058">
        <v>159459</v>
      </c>
      <c r="J319" s="1057">
        <v>16940</v>
      </c>
      <c r="K319" s="1059">
        <f t="shared" si="11"/>
        <v>351593</v>
      </c>
      <c r="L319" s="1057"/>
      <c r="M319" s="1058">
        <v>3111</v>
      </c>
      <c r="N319" s="1058">
        <v>0</v>
      </c>
      <c r="O319" s="1057">
        <v>7235</v>
      </c>
      <c r="P319" s="1059">
        <f t="shared" si="12"/>
        <v>10346</v>
      </c>
      <c r="Q319" s="1057"/>
      <c r="R319" s="1058">
        <v>166918</v>
      </c>
      <c r="S319" s="1057">
        <v>841</v>
      </c>
      <c r="T319" s="1060">
        <v>167759</v>
      </c>
    </row>
    <row r="320" spans="1:20" x14ac:dyDescent="0.25">
      <c r="A320" s="1054">
        <v>93301</v>
      </c>
      <c r="B320" s="1055" t="s">
        <v>2876</v>
      </c>
      <c r="C320" s="1056">
        <v>2.3299000000000002E-3</v>
      </c>
      <c r="D320" s="1056">
        <v>2.5243000000000002E-3</v>
      </c>
      <c r="E320" s="1057">
        <v>5527320</v>
      </c>
      <c r="F320" s="1057" t="s">
        <v>187</v>
      </c>
      <c r="G320" s="1058">
        <v>852734</v>
      </c>
      <c r="H320" s="1059">
        <v>758737</v>
      </c>
      <c r="I320" s="1058">
        <v>1466737</v>
      </c>
      <c r="J320" s="1057">
        <v>30807</v>
      </c>
      <c r="K320" s="1059">
        <f t="shared" si="11"/>
        <v>3109015</v>
      </c>
      <c r="L320" s="1057"/>
      <c r="M320" s="1058">
        <v>28614</v>
      </c>
      <c r="N320" s="1058">
        <v>0</v>
      </c>
      <c r="O320" s="1057">
        <v>198572</v>
      </c>
      <c r="P320" s="1059">
        <f t="shared" si="12"/>
        <v>227186</v>
      </c>
      <c r="Q320" s="1057"/>
      <c r="R320" s="1058">
        <v>1535341</v>
      </c>
      <c r="S320" s="1057">
        <v>-62950</v>
      </c>
      <c r="T320" s="1060">
        <v>1472391</v>
      </c>
    </row>
    <row r="321" spans="1:20" x14ac:dyDescent="0.25">
      <c r="A321" s="1054">
        <v>93304</v>
      </c>
      <c r="B321" s="1055" t="s">
        <v>2877</v>
      </c>
      <c r="C321" s="1056">
        <v>3.3399999999999999E-5</v>
      </c>
      <c r="D321" s="1056">
        <v>3.0300000000000001E-5</v>
      </c>
      <c r="E321" s="1057">
        <v>79236</v>
      </c>
      <c r="F321" s="1057" t="s">
        <v>187</v>
      </c>
      <c r="G321" s="1058">
        <v>12224</v>
      </c>
      <c r="H321" s="1059">
        <v>10877</v>
      </c>
      <c r="I321" s="1058">
        <v>21026</v>
      </c>
      <c r="J321" s="1057">
        <v>10139</v>
      </c>
      <c r="K321" s="1059">
        <f t="shared" si="11"/>
        <v>54266</v>
      </c>
      <c r="L321" s="1057"/>
      <c r="M321" s="1058">
        <v>410</v>
      </c>
      <c r="N321" s="1058">
        <v>0</v>
      </c>
      <c r="O321" s="1057">
        <v>0</v>
      </c>
      <c r="P321" s="1059">
        <f t="shared" si="12"/>
        <v>410</v>
      </c>
      <c r="Q321" s="1057"/>
      <c r="R321" s="1058">
        <v>22010</v>
      </c>
      <c r="S321" s="1057">
        <v>6577</v>
      </c>
      <c r="T321" s="1060">
        <v>28587</v>
      </c>
    </row>
    <row r="322" spans="1:20" x14ac:dyDescent="0.25">
      <c r="A322" s="1054">
        <v>93305</v>
      </c>
      <c r="B322" s="1055" t="s">
        <v>2878</v>
      </c>
      <c r="C322" s="1056">
        <v>4.4799999999999998E-5</v>
      </c>
      <c r="D322" s="1056">
        <v>4.6999999999999997E-5</v>
      </c>
      <c r="E322" s="1057">
        <v>106281</v>
      </c>
      <c r="F322" s="1057" t="s">
        <v>187</v>
      </c>
      <c r="G322" s="1058">
        <v>16397</v>
      </c>
      <c r="H322" s="1059">
        <v>14590</v>
      </c>
      <c r="I322" s="1058">
        <v>28203</v>
      </c>
      <c r="J322" s="1057">
        <v>0</v>
      </c>
      <c r="K322" s="1059">
        <f t="shared" si="11"/>
        <v>59190</v>
      </c>
      <c r="L322" s="1057"/>
      <c r="M322" s="1058">
        <v>550</v>
      </c>
      <c r="N322" s="1058">
        <v>0</v>
      </c>
      <c r="O322" s="1057">
        <v>6061</v>
      </c>
      <c r="P322" s="1059">
        <f t="shared" si="12"/>
        <v>6611</v>
      </c>
      <c r="Q322" s="1057"/>
      <c r="R322" s="1058">
        <v>29522</v>
      </c>
      <c r="S322" s="1057">
        <v>-2514</v>
      </c>
      <c r="T322" s="1060">
        <v>27008</v>
      </c>
    </row>
    <row r="323" spans="1:20" x14ac:dyDescent="0.25">
      <c r="A323" s="1054">
        <v>93309</v>
      </c>
      <c r="B323" s="1055" t="s">
        <v>2879</v>
      </c>
      <c r="C323" s="1056">
        <v>1.6430000000000001E-4</v>
      </c>
      <c r="D323" s="1056">
        <v>1.63E-4</v>
      </c>
      <c r="E323" s="1057">
        <v>389776</v>
      </c>
      <c r="F323" s="1057" t="s">
        <v>187</v>
      </c>
      <c r="G323" s="1058">
        <v>60133</v>
      </c>
      <c r="H323" s="1059">
        <v>53504</v>
      </c>
      <c r="I323" s="1058">
        <v>103431</v>
      </c>
      <c r="J323" s="1057">
        <v>30559</v>
      </c>
      <c r="K323" s="1059">
        <f t="shared" si="11"/>
        <v>247627</v>
      </c>
      <c r="L323" s="1057"/>
      <c r="M323" s="1058">
        <v>2018</v>
      </c>
      <c r="N323" s="1058">
        <v>0</v>
      </c>
      <c r="O323" s="1057">
        <v>0</v>
      </c>
      <c r="P323" s="1059">
        <f t="shared" si="12"/>
        <v>2018</v>
      </c>
      <c r="Q323" s="1057"/>
      <c r="R323" s="1058">
        <v>108269</v>
      </c>
      <c r="S323" s="1057">
        <v>11215</v>
      </c>
      <c r="T323" s="1060">
        <v>119484</v>
      </c>
    </row>
    <row r="324" spans="1:20" x14ac:dyDescent="0.25">
      <c r="A324" s="1054">
        <v>93311</v>
      </c>
      <c r="B324" s="1055" t="s">
        <v>4121</v>
      </c>
      <c r="C324" s="1056">
        <v>1.2439E-3</v>
      </c>
      <c r="D324" s="1056">
        <v>1.1665E-3</v>
      </c>
      <c r="E324" s="1057">
        <v>2950956</v>
      </c>
      <c r="F324" s="1057" t="s">
        <v>187</v>
      </c>
      <c r="G324" s="1058">
        <v>455262</v>
      </c>
      <c r="H324" s="1059">
        <v>405079</v>
      </c>
      <c r="I324" s="1058">
        <v>783070</v>
      </c>
      <c r="J324" s="1057">
        <v>22773</v>
      </c>
      <c r="K324" s="1059">
        <f t="shared" si="11"/>
        <v>1666184</v>
      </c>
      <c r="L324" s="1057"/>
      <c r="M324" s="1058">
        <v>15276</v>
      </c>
      <c r="N324" s="1058">
        <v>0</v>
      </c>
      <c r="O324" s="1057">
        <v>45734</v>
      </c>
      <c r="P324" s="1059">
        <f t="shared" si="12"/>
        <v>61010</v>
      </c>
      <c r="Q324" s="1057"/>
      <c r="R324" s="1058">
        <v>819697</v>
      </c>
      <c r="S324" s="1057">
        <v>-32212</v>
      </c>
      <c r="T324" s="1060">
        <v>787485</v>
      </c>
    </row>
    <row r="325" spans="1:20" x14ac:dyDescent="0.25">
      <c r="A325" s="1054">
        <v>93317</v>
      </c>
      <c r="B325" s="1055" t="s">
        <v>2881</v>
      </c>
      <c r="C325" s="1056">
        <v>4.8300000000000002E-5</v>
      </c>
      <c r="D325" s="1056">
        <v>5.0099999999999998E-5</v>
      </c>
      <c r="E325" s="1057">
        <v>114584</v>
      </c>
      <c r="F325" s="1057" t="s">
        <v>187</v>
      </c>
      <c r="G325" s="1058">
        <v>17678</v>
      </c>
      <c r="H325" s="1059">
        <v>15729</v>
      </c>
      <c r="I325" s="1058">
        <v>30406</v>
      </c>
      <c r="J325" s="1057">
        <v>550</v>
      </c>
      <c r="K325" s="1059">
        <f t="shared" si="11"/>
        <v>64363</v>
      </c>
      <c r="L325" s="1057"/>
      <c r="M325" s="1058">
        <v>593</v>
      </c>
      <c r="N325" s="1058">
        <v>0</v>
      </c>
      <c r="O325" s="1057">
        <v>2758</v>
      </c>
      <c r="P325" s="1059">
        <f t="shared" si="12"/>
        <v>3351</v>
      </c>
      <c r="Q325" s="1057"/>
      <c r="R325" s="1058">
        <v>31828</v>
      </c>
      <c r="S325" s="1057">
        <v>-711</v>
      </c>
      <c r="T325" s="1060">
        <v>31117</v>
      </c>
    </row>
    <row r="326" spans="1:20" x14ac:dyDescent="0.25">
      <c r="A326" s="1054">
        <v>93321</v>
      </c>
      <c r="B326" s="1055" t="s">
        <v>2882</v>
      </c>
      <c r="C326" s="1056">
        <v>7.0657000000000003E-3</v>
      </c>
      <c r="D326" s="1056">
        <v>7.3600000000000002E-3</v>
      </c>
      <c r="E326" s="1057">
        <v>16762257</v>
      </c>
      <c r="F326" s="1057" t="s">
        <v>187</v>
      </c>
      <c r="G326" s="1058">
        <v>2586018</v>
      </c>
      <c r="H326" s="1059">
        <v>2300960</v>
      </c>
      <c r="I326" s="1058">
        <v>4448056</v>
      </c>
      <c r="J326" s="1057">
        <v>0</v>
      </c>
      <c r="K326" s="1059">
        <f t="shared" si="11"/>
        <v>9335034</v>
      </c>
      <c r="L326" s="1057"/>
      <c r="M326" s="1058">
        <v>86774</v>
      </c>
      <c r="N326" s="1058">
        <v>0</v>
      </c>
      <c r="O326" s="1057">
        <v>623798</v>
      </c>
      <c r="P326" s="1059">
        <f t="shared" si="12"/>
        <v>710572</v>
      </c>
      <c r="Q326" s="1057"/>
      <c r="R326" s="1058">
        <v>4656106</v>
      </c>
      <c r="S326" s="1057">
        <v>-396274</v>
      </c>
      <c r="T326" s="1060">
        <v>4259832</v>
      </c>
    </row>
    <row r="327" spans="1:20" x14ac:dyDescent="0.25">
      <c r="A327" s="1054">
        <v>93323</v>
      </c>
      <c r="B327" s="1055" t="s">
        <v>2883</v>
      </c>
      <c r="C327" s="1056">
        <v>1.9300000000000002E-5</v>
      </c>
      <c r="D327" s="1056">
        <v>2.19E-5</v>
      </c>
      <c r="E327" s="1057">
        <v>45786</v>
      </c>
      <c r="F327" s="1057" t="s">
        <v>187</v>
      </c>
      <c r="G327" s="1058">
        <v>7064</v>
      </c>
      <c r="H327" s="1059">
        <v>6286</v>
      </c>
      <c r="I327" s="1058">
        <v>12150</v>
      </c>
      <c r="J327" s="1057">
        <v>5709</v>
      </c>
      <c r="K327" s="1059">
        <f t="shared" si="11"/>
        <v>31209</v>
      </c>
      <c r="L327" s="1057"/>
      <c r="M327" s="1058">
        <v>237</v>
      </c>
      <c r="N327" s="1058">
        <v>0</v>
      </c>
      <c r="O327" s="1057">
        <v>2583</v>
      </c>
      <c r="P327" s="1059">
        <f t="shared" si="12"/>
        <v>2820</v>
      </c>
      <c r="Q327" s="1057"/>
      <c r="R327" s="1058">
        <v>12718</v>
      </c>
      <c r="S327" s="1057">
        <v>2046</v>
      </c>
      <c r="T327" s="1060">
        <v>14764</v>
      </c>
    </row>
    <row r="328" spans="1:20" x14ac:dyDescent="0.25">
      <c r="A328" s="1054">
        <v>93331</v>
      </c>
      <c r="B328" s="1055" t="s">
        <v>4122</v>
      </c>
      <c r="C328" s="1056">
        <v>1.22E-4</v>
      </c>
      <c r="D328" s="1056">
        <v>1.208E-4</v>
      </c>
      <c r="E328" s="1057">
        <v>289426</v>
      </c>
      <c r="F328" s="1057" t="s">
        <v>187</v>
      </c>
      <c r="G328" s="1058">
        <v>44652</v>
      </c>
      <c r="H328" s="1059">
        <v>39730</v>
      </c>
      <c r="I328" s="1058">
        <v>76802</v>
      </c>
      <c r="J328" s="1057">
        <v>5671</v>
      </c>
      <c r="K328" s="1059">
        <f t="shared" si="11"/>
        <v>166855</v>
      </c>
      <c r="L328" s="1057"/>
      <c r="M328" s="1058">
        <v>1498</v>
      </c>
      <c r="N328" s="1058">
        <v>0</v>
      </c>
      <c r="O328" s="1057">
        <v>6870</v>
      </c>
      <c r="P328" s="1059">
        <f t="shared" si="12"/>
        <v>8368</v>
      </c>
      <c r="Q328" s="1057"/>
      <c r="R328" s="1058">
        <v>80395</v>
      </c>
      <c r="S328" s="1057">
        <v>-1201</v>
      </c>
      <c r="T328" s="1060">
        <v>79194</v>
      </c>
    </row>
    <row r="329" spans="1:20" x14ac:dyDescent="0.25">
      <c r="A329" s="1054">
        <v>93333</v>
      </c>
      <c r="B329" s="1055" t="s">
        <v>2885</v>
      </c>
      <c r="C329" s="1056">
        <v>1.685E-4</v>
      </c>
      <c r="D329" s="1056">
        <v>1.796E-4</v>
      </c>
      <c r="E329" s="1057">
        <v>399740</v>
      </c>
      <c r="F329" s="1057" t="s">
        <v>187</v>
      </c>
      <c r="G329" s="1058">
        <v>61670</v>
      </c>
      <c r="H329" s="1059">
        <v>54872</v>
      </c>
      <c r="I329" s="1058">
        <v>106075</v>
      </c>
      <c r="J329" s="1057">
        <v>128475</v>
      </c>
      <c r="K329" s="1059">
        <f t="shared" si="11"/>
        <v>351092</v>
      </c>
      <c r="L329" s="1057"/>
      <c r="M329" s="1058">
        <v>2069</v>
      </c>
      <c r="N329" s="1058">
        <v>0</v>
      </c>
      <c r="O329" s="1057">
        <v>0</v>
      </c>
      <c r="P329" s="1059">
        <f t="shared" si="12"/>
        <v>2069</v>
      </c>
      <c r="Q329" s="1057"/>
      <c r="R329" s="1058">
        <v>111037</v>
      </c>
      <c r="S329" s="1057">
        <v>76738</v>
      </c>
      <c r="T329" s="1060">
        <v>187775</v>
      </c>
    </row>
    <row r="330" spans="1:20" x14ac:dyDescent="0.25">
      <c r="A330" s="1054">
        <v>93341</v>
      </c>
      <c r="B330" s="1055" t="s">
        <v>4123</v>
      </c>
      <c r="C330" s="1056">
        <v>2.7500000000000001E-5</v>
      </c>
      <c r="D330" s="1056">
        <v>2.34E-5</v>
      </c>
      <c r="E330" s="1057">
        <v>65239</v>
      </c>
      <c r="F330" s="1057" t="s">
        <v>187</v>
      </c>
      <c r="G330" s="1058">
        <v>10065</v>
      </c>
      <c r="H330" s="1059">
        <v>8955</v>
      </c>
      <c r="I330" s="1058">
        <v>17312</v>
      </c>
      <c r="J330" s="1057">
        <v>4514</v>
      </c>
      <c r="K330" s="1059">
        <f t="shared" si="11"/>
        <v>40846</v>
      </c>
      <c r="L330" s="1057"/>
      <c r="M330" s="1058">
        <v>338</v>
      </c>
      <c r="N330" s="1058">
        <v>0</v>
      </c>
      <c r="O330" s="1057">
        <v>647</v>
      </c>
      <c r="P330" s="1059">
        <f t="shared" si="12"/>
        <v>985</v>
      </c>
      <c r="Q330" s="1057"/>
      <c r="R330" s="1058">
        <v>18122</v>
      </c>
      <c r="S330" s="1057">
        <v>1598</v>
      </c>
      <c r="T330" s="1060">
        <v>19720</v>
      </c>
    </row>
    <row r="331" spans="1:20" x14ac:dyDescent="0.25">
      <c r="A331" s="1054">
        <v>93351</v>
      </c>
      <c r="B331" s="1055" t="s">
        <v>4124</v>
      </c>
      <c r="C331" s="1056">
        <v>1.7600000000000001E-5</v>
      </c>
      <c r="D331" s="1056">
        <v>3.4E-5</v>
      </c>
      <c r="E331" s="1057">
        <v>41753</v>
      </c>
      <c r="F331" s="1057" t="s">
        <v>187</v>
      </c>
      <c r="G331" s="1058">
        <v>6442</v>
      </c>
      <c r="H331" s="1059">
        <v>5731</v>
      </c>
      <c r="I331" s="1058">
        <v>11080</v>
      </c>
      <c r="J331" s="1057">
        <v>13531</v>
      </c>
      <c r="K331" s="1059">
        <f t="shared" si="11"/>
        <v>36784</v>
      </c>
      <c r="L331" s="1057"/>
      <c r="M331" s="1058">
        <v>216</v>
      </c>
      <c r="N331" s="1058">
        <v>0</v>
      </c>
      <c r="O331" s="1057">
        <v>12460</v>
      </c>
      <c r="P331" s="1059">
        <f t="shared" si="12"/>
        <v>12676</v>
      </c>
      <c r="Q331" s="1057"/>
      <c r="R331" s="1058">
        <v>11598</v>
      </c>
      <c r="S331" s="1057">
        <v>228</v>
      </c>
      <c r="T331" s="1060">
        <v>11826</v>
      </c>
    </row>
    <row r="332" spans="1:20" x14ac:dyDescent="0.25">
      <c r="A332" s="1054">
        <v>93401</v>
      </c>
      <c r="B332" s="1055" t="s">
        <v>2888</v>
      </c>
      <c r="C332" s="1056">
        <v>1.40187E-2</v>
      </c>
      <c r="D332" s="1056">
        <v>1.3834900000000001E-2</v>
      </c>
      <c r="E332" s="1057">
        <v>33257151</v>
      </c>
      <c r="F332" s="1057" t="s">
        <v>187</v>
      </c>
      <c r="G332" s="1058">
        <v>5130788</v>
      </c>
      <c r="H332" s="1059">
        <v>4565217</v>
      </c>
      <c r="I332" s="1058">
        <v>8825164</v>
      </c>
      <c r="J332" s="1057">
        <v>179357</v>
      </c>
      <c r="K332" s="1059">
        <f t="shared" ref="K332:K396" si="13">G332+H332+I332+J332</f>
        <v>18700526</v>
      </c>
      <c r="L332" s="1057"/>
      <c r="M332" s="1058">
        <v>172164</v>
      </c>
      <c r="N332" s="1058">
        <v>0</v>
      </c>
      <c r="O332" s="1057">
        <v>63750</v>
      </c>
      <c r="P332" s="1059">
        <f t="shared" ref="P332:P396" si="14">M332+N332+O332</f>
        <v>235914</v>
      </c>
      <c r="Q332" s="1057"/>
      <c r="R332" s="1058">
        <v>9237945</v>
      </c>
      <c r="S332" s="1057">
        <v>-44240</v>
      </c>
      <c r="T332" s="1060">
        <v>9193705</v>
      </c>
    </row>
    <row r="333" spans="1:20" x14ac:dyDescent="0.25">
      <c r="A333" s="1054">
        <v>93402</v>
      </c>
      <c r="B333" s="1055" t="s">
        <v>2889</v>
      </c>
      <c r="C333" s="1056">
        <v>9.6399999999999999E-5</v>
      </c>
      <c r="D333" s="1056">
        <v>9.8800000000000003E-5</v>
      </c>
      <c r="E333" s="1057">
        <v>228694</v>
      </c>
      <c r="F333" s="1057" t="s">
        <v>187</v>
      </c>
      <c r="G333" s="1058">
        <v>35282</v>
      </c>
      <c r="H333" s="1059">
        <v>31393</v>
      </c>
      <c r="I333" s="1058">
        <v>60686</v>
      </c>
      <c r="J333" s="1057">
        <v>1484</v>
      </c>
      <c r="K333" s="1059">
        <f t="shared" si="13"/>
        <v>128845</v>
      </c>
      <c r="L333" s="1057"/>
      <c r="M333" s="1058">
        <v>1184</v>
      </c>
      <c r="N333" s="1058">
        <v>0</v>
      </c>
      <c r="O333" s="1057">
        <v>10261</v>
      </c>
      <c r="P333" s="1059">
        <f t="shared" si="14"/>
        <v>11445</v>
      </c>
      <c r="Q333" s="1057"/>
      <c r="R333" s="1058">
        <v>63525</v>
      </c>
      <c r="S333" s="1057">
        <v>1040</v>
      </c>
      <c r="T333" s="1060">
        <v>64565</v>
      </c>
    </row>
    <row r="334" spans="1:20" x14ac:dyDescent="0.25">
      <c r="A334" s="1054">
        <v>93406</v>
      </c>
      <c r="B334" s="1055" t="s">
        <v>2890</v>
      </c>
      <c r="C334" s="1056">
        <v>5.0830000000000005E-4</v>
      </c>
      <c r="D334" s="1056">
        <v>6.5059999999999998E-4</v>
      </c>
      <c r="E334" s="1057">
        <v>1205861</v>
      </c>
      <c r="F334" s="1057" t="s">
        <v>187</v>
      </c>
      <c r="G334" s="1058">
        <v>186036</v>
      </c>
      <c r="H334" s="1059">
        <v>165529</v>
      </c>
      <c r="I334" s="1058">
        <v>319989</v>
      </c>
      <c r="J334" s="1057">
        <v>7137</v>
      </c>
      <c r="K334" s="1059">
        <f t="shared" si="13"/>
        <v>678691</v>
      </c>
      <c r="L334" s="1057"/>
      <c r="M334" s="1058">
        <v>6242</v>
      </c>
      <c r="N334" s="1058">
        <v>0</v>
      </c>
      <c r="O334" s="1057">
        <v>129835</v>
      </c>
      <c r="P334" s="1059">
        <f t="shared" si="14"/>
        <v>136077</v>
      </c>
      <c r="Q334" s="1057"/>
      <c r="R334" s="1058">
        <v>334956</v>
      </c>
      <c r="S334" s="1057">
        <v>-16548</v>
      </c>
      <c r="T334" s="1060">
        <v>318408</v>
      </c>
    </row>
    <row r="335" spans="1:20" x14ac:dyDescent="0.25">
      <c r="A335" s="1054">
        <v>93408</v>
      </c>
      <c r="B335" s="1055" t="s">
        <v>2891</v>
      </c>
      <c r="C335" s="1056">
        <v>0</v>
      </c>
      <c r="D335" s="1056">
        <v>0</v>
      </c>
      <c r="E335" s="1057">
        <v>0</v>
      </c>
      <c r="F335" s="1057" t="s">
        <v>187</v>
      </c>
      <c r="G335" s="1058">
        <v>0</v>
      </c>
      <c r="H335" s="1059">
        <v>0</v>
      </c>
      <c r="I335" s="1058">
        <v>0</v>
      </c>
      <c r="J335" s="1057">
        <v>26519</v>
      </c>
      <c r="K335" s="1059">
        <f t="shared" si="13"/>
        <v>26519</v>
      </c>
      <c r="L335" s="1057"/>
      <c r="M335" s="1058">
        <v>0</v>
      </c>
      <c r="N335" s="1058">
        <v>0</v>
      </c>
      <c r="O335" s="1057">
        <v>1164660</v>
      </c>
      <c r="P335" s="1059">
        <f t="shared" si="14"/>
        <v>1164660</v>
      </c>
      <c r="Q335" s="1057"/>
      <c r="R335" s="1058">
        <v>0</v>
      </c>
      <c r="S335" s="1057">
        <v>-293308</v>
      </c>
      <c r="T335" s="1060">
        <v>-293308</v>
      </c>
    </row>
    <row r="336" spans="1:20" x14ac:dyDescent="0.25">
      <c r="A336" s="1054">
        <v>93411</v>
      </c>
      <c r="B336" s="1055" t="s">
        <v>2892</v>
      </c>
      <c r="C336" s="1056">
        <v>1.8113199999999999E-2</v>
      </c>
      <c r="D336" s="1056">
        <v>1.7454999999999998E-2</v>
      </c>
      <c r="E336" s="1057">
        <v>42970705</v>
      </c>
      <c r="F336" s="1057" t="s">
        <v>187</v>
      </c>
      <c r="G336" s="1058">
        <v>6629359</v>
      </c>
      <c r="H336" s="1059">
        <v>5898600</v>
      </c>
      <c r="I336" s="1058">
        <v>11402767</v>
      </c>
      <c r="J336" s="1057">
        <v>739661</v>
      </c>
      <c r="K336" s="1059">
        <f t="shared" si="13"/>
        <v>24670387</v>
      </c>
      <c r="L336" s="1057"/>
      <c r="M336" s="1058">
        <v>222448</v>
      </c>
      <c r="N336" s="1058">
        <v>0</v>
      </c>
      <c r="O336" s="1057">
        <v>227877</v>
      </c>
      <c r="P336" s="1059">
        <f t="shared" si="14"/>
        <v>450325</v>
      </c>
      <c r="Q336" s="1057"/>
      <c r="R336" s="1058">
        <v>11936110</v>
      </c>
      <c r="S336" s="1057">
        <v>-166296</v>
      </c>
      <c r="T336" s="1060">
        <v>11769814</v>
      </c>
    </row>
    <row r="337" spans="1:20" x14ac:dyDescent="0.25">
      <c r="A337" s="1054">
        <v>93413</v>
      </c>
      <c r="B337" s="1055" t="s">
        <v>2893</v>
      </c>
      <c r="C337" s="1056">
        <v>7.1969999999999998E-4</v>
      </c>
      <c r="D337" s="1056">
        <v>7.7070000000000003E-4</v>
      </c>
      <c r="E337" s="1057">
        <v>1707375</v>
      </c>
      <c r="F337" s="1057" t="s">
        <v>187</v>
      </c>
      <c r="G337" s="1058">
        <v>263407</v>
      </c>
      <c r="H337" s="1059">
        <v>234372</v>
      </c>
      <c r="I337" s="1058">
        <v>453071</v>
      </c>
      <c r="J337" s="1057">
        <v>0</v>
      </c>
      <c r="K337" s="1059">
        <f t="shared" si="13"/>
        <v>950850</v>
      </c>
      <c r="L337" s="1057"/>
      <c r="M337" s="1058">
        <v>8839</v>
      </c>
      <c r="N337" s="1058">
        <v>0</v>
      </c>
      <c r="O337" s="1057">
        <v>32288</v>
      </c>
      <c r="P337" s="1059">
        <f t="shared" si="14"/>
        <v>41127</v>
      </c>
      <c r="Q337" s="1057"/>
      <c r="R337" s="1058">
        <v>474263</v>
      </c>
      <c r="S337" s="1057">
        <v>-21077</v>
      </c>
      <c r="T337" s="1060">
        <v>453186</v>
      </c>
    </row>
    <row r="338" spans="1:20" x14ac:dyDescent="0.25">
      <c r="A338" s="1054">
        <v>93417</v>
      </c>
      <c r="B338" s="1055" t="s">
        <v>2894</v>
      </c>
      <c r="C338" s="1056">
        <v>3.279E-4</v>
      </c>
      <c r="D338" s="1056">
        <v>3.4430000000000002E-4</v>
      </c>
      <c r="E338" s="1057">
        <v>777891</v>
      </c>
      <c r="F338" s="1057" t="s">
        <v>187</v>
      </c>
      <c r="G338" s="1058">
        <v>120010</v>
      </c>
      <c r="H338" s="1059">
        <v>106782</v>
      </c>
      <c r="I338" s="1058">
        <v>206422</v>
      </c>
      <c r="J338" s="1057">
        <v>10888</v>
      </c>
      <c r="K338" s="1059">
        <f t="shared" si="13"/>
        <v>444102</v>
      </c>
      <c r="L338" s="1057"/>
      <c r="M338" s="1058">
        <v>4027</v>
      </c>
      <c r="N338" s="1058">
        <v>0</v>
      </c>
      <c r="O338" s="1057">
        <v>24803</v>
      </c>
      <c r="P338" s="1059">
        <f t="shared" si="14"/>
        <v>28830</v>
      </c>
      <c r="Q338" s="1057"/>
      <c r="R338" s="1058">
        <v>216077</v>
      </c>
      <c r="S338" s="1057">
        <v>8121</v>
      </c>
      <c r="T338" s="1060">
        <v>224198</v>
      </c>
    </row>
    <row r="339" spans="1:20" x14ac:dyDescent="0.25">
      <c r="A339" s="1054">
        <v>93421</v>
      </c>
      <c r="B339" s="1055" t="s">
        <v>4125</v>
      </c>
      <c r="C339" s="1056">
        <v>2.1354999999999998E-3</v>
      </c>
      <c r="D339" s="1056">
        <v>2.1294999999999999E-3</v>
      </c>
      <c r="E339" s="1057">
        <v>5066136</v>
      </c>
      <c r="F339" s="1057" t="s">
        <v>187</v>
      </c>
      <c r="G339" s="1058">
        <v>781584</v>
      </c>
      <c r="H339" s="1059">
        <v>695430</v>
      </c>
      <c r="I339" s="1058">
        <v>1344357</v>
      </c>
      <c r="J339" s="1057">
        <v>0</v>
      </c>
      <c r="K339" s="1059">
        <f t="shared" si="13"/>
        <v>2821371</v>
      </c>
      <c r="L339" s="1057"/>
      <c r="M339" s="1058">
        <v>26226</v>
      </c>
      <c r="N339" s="1058">
        <v>0</v>
      </c>
      <c r="O339" s="1057">
        <v>215571</v>
      </c>
      <c r="P339" s="1059">
        <f t="shared" si="14"/>
        <v>241797</v>
      </c>
      <c r="Q339" s="1057"/>
      <c r="R339" s="1058">
        <v>1407237</v>
      </c>
      <c r="S339" s="1057">
        <v>-143206</v>
      </c>
      <c r="T339" s="1060">
        <v>1264031</v>
      </c>
    </row>
    <row r="340" spans="1:20" x14ac:dyDescent="0.25">
      <c r="A340" s="1054">
        <v>93431</v>
      </c>
      <c r="B340" s="1055" t="s">
        <v>4126</v>
      </c>
      <c r="C340" s="1056">
        <v>1.393E-4</v>
      </c>
      <c r="D340" s="1056">
        <v>1.2689999999999999E-4</v>
      </c>
      <c r="E340" s="1057">
        <v>330467</v>
      </c>
      <c r="F340" s="1057" t="s">
        <v>187</v>
      </c>
      <c r="G340" s="1058">
        <v>50983</v>
      </c>
      <c r="H340" s="1059">
        <v>45363</v>
      </c>
      <c r="I340" s="1058">
        <v>87693</v>
      </c>
      <c r="J340" s="1057">
        <v>17651</v>
      </c>
      <c r="K340" s="1059">
        <f t="shared" si="13"/>
        <v>201690</v>
      </c>
      <c r="L340" s="1057"/>
      <c r="M340" s="1058">
        <v>1711</v>
      </c>
      <c r="N340" s="1058">
        <v>0</v>
      </c>
      <c r="O340" s="1057">
        <v>3344</v>
      </c>
      <c r="P340" s="1059">
        <f t="shared" si="14"/>
        <v>5055</v>
      </c>
      <c r="Q340" s="1057"/>
      <c r="R340" s="1058">
        <v>91795</v>
      </c>
      <c r="S340" s="1057">
        <v>3930</v>
      </c>
      <c r="T340" s="1060">
        <v>95725</v>
      </c>
    </row>
    <row r="341" spans="1:20" x14ac:dyDescent="0.25">
      <c r="A341" s="1054">
        <v>93441</v>
      </c>
      <c r="B341" s="1055" t="s">
        <v>4127</v>
      </c>
      <c r="C341" s="1056">
        <v>1.651E-4</v>
      </c>
      <c r="D341" s="1056">
        <v>1.54E-4</v>
      </c>
      <c r="E341" s="1057">
        <v>391674</v>
      </c>
      <c r="F341" s="1057" t="s">
        <v>187</v>
      </c>
      <c r="G341" s="1058">
        <v>60426</v>
      </c>
      <c r="H341" s="1059">
        <v>53765</v>
      </c>
      <c r="I341" s="1058">
        <v>103935</v>
      </c>
      <c r="J341" s="1057">
        <v>21962</v>
      </c>
      <c r="K341" s="1059">
        <f t="shared" si="13"/>
        <v>240088</v>
      </c>
      <c r="L341" s="1057"/>
      <c r="M341" s="1058">
        <v>2028</v>
      </c>
      <c r="N341" s="1058">
        <v>0</v>
      </c>
      <c r="O341" s="1057">
        <v>0</v>
      </c>
      <c r="P341" s="1059">
        <f t="shared" si="14"/>
        <v>2028</v>
      </c>
      <c r="Q341" s="1057"/>
      <c r="R341" s="1058">
        <v>108796</v>
      </c>
      <c r="S341" s="1057">
        <v>16238</v>
      </c>
      <c r="T341" s="1060">
        <v>125034</v>
      </c>
    </row>
    <row r="342" spans="1:20" x14ac:dyDescent="0.25">
      <c r="A342" s="1054">
        <v>93442</v>
      </c>
      <c r="B342" s="1055" t="s">
        <v>2898</v>
      </c>
      <c r="C342" s="1056">
        <v>1.5139999999999999E-4</v>
      </c>
      <c r="D342" s="1056">
        <v>1.505E-4</v>
      </c>
      <c r="E342" s="1057">
        <v>359173</v>
      </c>
      <c r="F342" s="1057" t="s">
        <v>187</v>
      </c>
      <c r="G342" s="1058">
        <v>55412</v>
      </c>
      <c r="H342" s="1059">
        <v>49304</v>
      </c>
      <c r="I342" s="1058">
        <v>95311</v>
      </c>
      <c r="J342" s="1057">
        <v>2596</v>
      </c>
      <c r="K342" s="1059">
        <f t="shared" si="13"/>
        <v>202623</v>
      </c>
      <c r="L342" s="1057"/>
      <c r="M342" s="1058">
        <v>1859</v>
      </c>
      <c r="N342" s="1058">
        <v>0</v>
      </c>
      <c r="O342" s="1057">
        <v>18150</v>
      </c>
      <c r="P342" s="1059">
        <f t="shared" si="14"/>
        <v>20009</v>
      </c>
      <c r="Q342" s="1057"/>
      <c r="R342" s="1058">
        <v>99769</v>
      </c>
      <c r="S342" s="1057">
        <v>-7850</v>
      </c>
      <c r="T342" s="1060">
        <v>91919</v>
      </c>
    </row>
    <row r="343" spans="1:20" x14ac:dyDescent="0.25">
      <c r="A343" s="1054">
        <v>93451</v>
      </c>
      <c r="B343" s="1055" t="s">
        <v>4128</v>
      </c>
      <c r="C343" s="1056">
        <v>7.9599999999999997E-5</v>
      </c>
      <c r="D343" s="1056">
        <v>7.0900000000000002E-5</v>
      </c>
      <c r="E343" s="1057">
        <v>188838</v>
      </c>
      <c r="F343" s="1057" t="s">
        <v>187</v>
      </c>
      <c r="G343" s="1058">
        <v>29133</v>
      </c>
      <c r="H343" s="1059">
        <v>25922</v>
      </c>
      <c r="I343" s="1058">
        <v>50110</v>
      </c>
      <c r="J343" s="1057">
        <v>21182</v>
      </c>
      <c r="K343" s="1059">
        <f t="shared" si="13"/>
        <v>126347</v>
      </c>
      <c r="L343" s="1057"/>
      <c r="M343" s="1058">
        <v>978</v>
      </c>
      <c r="N343" s="1058">
        <v>0</v>
      </c>
      <c r="O343" s="1057">
        <v>0</v>
      </c>
      <c r="P343" s="1059">
        <f t="shared" si="14"/>
        <v>978</v>
      </c>
      <c r="Q343" s="1057"/>
      <c r="R343" s="1058">
        <v>52454</v>
      </c>
      <c r="S343" s="1057">
        <v>8104</v>
      </c>
      <c r="T343" s="1060">
        <v>60558</v>
      </c>
    </row>
    <row r="344" spans="1:20" x14ac:dyDescent="0.25">
      <c r="A344" s="1054">
        <v>93461</v>
      </c>
      <c r="B344" s="1055" t="s">
        <v>4129</v>
      </c>
      <c r="C344" s="1056">
        <v>1.6200000000000001E-5</v>
      </c>
      <c r="D344" s="1056">
        <v>1.66E-5</v>
      </c>
      <c r="E344" s="1057">
        <v>38432</v>
      </c>
      <c r="F344" s="1057" t="s">
        <v>187</v>
      </c>
      <c r="G344" s="1058">
        <v>5929</v>
      </c>
      <c r="H344" s="1059">
        <v>5275</v>
      </c>
      <c r="I344" s="1058">
        <v>10198</v>
      </c>
      <c r="J344" s="1057">
        <v>707</v>
      </c>
      <c r="K344" s="1059">
        <f t="shared" si="13"/>
        <v>22109</v>
      </c>
      <c r="L344" s="1057"/>
      <c r="M344" s="1058">
        <v>199</v>
      </c>
      <c r="N344" s="1058">
        <v>0</v>
      </c>
      <c r="O344" s="1057">
        <v>0</v>
      </c>
      <c r="P344" s="1059">
        <f t="shared" si="14"/>
        <v>199</v>
      </c>
      <c r="Q344" s="1057"/>
      <c r="R344" s="1058">
        <v>10675</v>
      </c>
      <c r="S344" s="1057">
        <v>351</v>
      </c>
      <c r="T344" s="1060">
        <v>11026</v>
      </c>
    </row>
    <row r="345" spans="1:20" x14ac:dyDescent="0.25">
      <c r="A345" s="1054">
        <v>93471</v>
      </c>
      <c r="B345" s="1055" t="s">
        <v>4130</v>
      </c>
      <c r="C345" s="1056">
        <v>1.15E-5</v>
      </c>
      <c r="D345" s="1056">
        <v>1.31E-5</v>
      </c>
      <c r="E345" s="1057">
        <v>27282</v>
      </c>
      <c r="F345" s="1057" t="s">
        <v>187</v>
      </c>
      <c r="G345" s="1058">
        <v>4209</v>
      </c>
      <c r="H345" s="1059">
        <v>3745</v>
      </c>
      <c r="I345" s="1058">
        <v>7240</v>
      </c>
      <c r="J345" s="1057">
        <v>4442</v>
      </c>
      <c r="K345" s="1059">
        <f t="shared" si="13"/>
        <v>19636</v>
      </c>
      <c r="L345" s="1057"/>
      <c r="M345" s="1058">
        <v>141</v>
      </c>
      <c r="N345" s="1058">
        <v>0</v>
      </c>
      <c r="O345" s="1057">
        <v>0</v>
      </c>
      <c r="P345" s="1059">
        <f t="shared" si="14"/>
        <v>141</v>
      </c>
      <c r="Q345" s="1057"/>
      <c r="R345" s="1058">
        <v>7578</v>
      </c>
      <c r="S345" s="1057">
        <v>1610</v>
      </c>
      <c r="T345" s="1060">
        <v>9188</v>
      </c>
    </row>
    <row r="346" spans="1:20" x14ac:dyDescent="0.25">
      <c r="A346" s="1054">
        <v>93501</v>
      </c>
      <c r="B346" s="1055" t="s">
        <v>2902</v>
      </c>
      <c r="C346" s="1056">
        <v>3.6803000000000001E-3</v>
      </c>
      <c r="D346" s="1056">
        <v>3.6113999999999999E-3</v>
      </c>
      <c r="E346" s="1057">
        <v>8730930</v>
      </c>
      <c r="F346" s="1057" t="s">
        <v>187</v>
      </c>
      <c r="G346" s="1058">
        <v>1346975</v>
      </c>
      <c r="H346" s="1059">
        <v>1198497</v>
      </c>
      <c r="I346" s="1058">
        <v>2316852</v>
      </c>
      <c r="J346" s="1057">
        <v>177586</v>
      </c>
      <c r="K346" s="1059">
        <f t="shared" si="13"/>
        <v>5039910</v>
      </c>
      <c r="L346" s="1057"/>
      <c r="M346" s="1058">
        <v>45198</v>
      </c>
      <c r="N346" s="1058">
        <v>0</v>
      </c>
      <c r="O346" s="1057">
        <v>37454</v>
      </c>
      <c r="P346" s="1059">
        <f t="shared" si="14"/>
        <v>82652</v>
      </c>
      <c r="Q346" s="1057"/>
      <c r="R346" s="1058">
        <v>2425218</v>
      </c>
      <c r="S346" s="1057">
        <v>100778</v>
      </c>
      <c r="T346" s="1060">
        <v>2525996</v>
      </c>
    </row>
    <row r="347" spans="1:20" x14ac:dyDescent="0.25">
      <c r="A347" s="1054">
        <v>93511</v>
      </c>
      <c r="B347" s="1055" t="s">
        <v>4131</v>
      </c>
      <c r="C347" s="1056">
        <v>8.8800000000000004E-5</v>
      </c>
      <c r="D347" s="1056">
        <v>8.8300000000000005E-5</v>
      </c>
      <c r="E347" s="1057">
        <v>210664</v>
      </c>
      <c r="F347" s="1057" t="s">
        <v>187</v>
      </c>
      <c r="G347" s="1058">
        <v>32500</v>
      </c>
      <c r="H347" s="1059">
        <v>28917</v>
      </c>
      <c r="I347" s="1058">
        <v>55902</v>
      </c>
      <c r="J347" s="1057">
        <v>5601</v>
      </c>
      <c r="K347" s="1059">
        <f t="shared" si="13"/>
        <v>122920</v>
      </c>
      <c r="L347" s="1057"/>
      <c r="M347" s="1058">
        <v>1091</v>
      </c>
      <c r="N347" s="1058">
        <v>0</v>
      </c>
      <c r="O347" s="1057">
        <v>8503</v>
      </c>
      <c r="P347" s="1059">
        <f t="shared" si="14"/>
        <v>9594</v>
      </c>
      <c r="Q347" s="1057"/>
      <c r="R347" s="1058">
        <v>58517</v>
      </c>
      <c r="S347" s="1057">
        <v>-1309</v>
      </c>
      <c r="T347" s="1060">
        <v>57208</v>
      </c>
    </row>
    <row r="348" spans="1:20" x14ac:dyDescent="0.25">
      <c r="A348" s="1054">
        <v>93517</v>
      </c>
      <c r="B348" s="1055" t="s">
        <v>2904</v>
      </c>
      <c r="C348" s="1056">
        <v>5.0000000000000004E-6</v>
      </c>
      <c r="D348" s="1056">
        <v>6.0000000000000002E-6</v>
      </c>
      <c r="E348" s="1057">
        <v>11862</v>
      </c>
      <c r="F348" s="1057" t="s">
        <v>187</v>
      </c>
      <c r="G348" s="1058">
        <v>1830</v>
      </c>
      <c r="H348" s="1059">
        <v>1628</v>
      </c>
      <c r="I348" s="1058">
        <v>3148</v>
      </c>
      <c r="J348" s="1057">
        <v>2812</v>
      </c>
      <c r="K348" s="1059">
        <f t="shared" si="13"/>
        <v>9418</v>
      </c>
      <c r="L348" s="1057"/>
      <c r="M348" s="1058">
        <v>61</v>
      </c>
      <c r="N348" s="1058">
        <v>0</v>
      </c>
      <c r="O348" s="1057">
        <v>0</v>
      </c>
      <c r="P348" s="1059">
        <f t="shared" si="14"/>
        <v>61</v>
      </c>
      <c r="Q348" s="1057"/>
      <c r="R348" s="1058">
        <v>3295</v>
      </c>
      <c r="S348" s="1057">
        <v>1016</v>
      </c>
      <c r="T348" s="1060">
        <v>4311</v>
      </c>
    </row>
    <row r="349" spans="1:20" x14ac:dyDescent="0.25">
      <c r="A349" s="1054">
        <v>93521</v>
      </c>
      <c r="B349" s="1055" t="s">
        <v>4132</v>
      </c>
      <c r="C349" s="1056">
        <v>4.639E-4</v>
      </c>
      <c r="D349" s="1056">
        <v>4.5649999999999998E-4</v>
      </c>
      <c r="E349" s="1057">
        <v>1100529</v>
      </c>
      <c r="F349" s="1057" t="s">
        <v>187</v>
      </c>
      <c r="G349" s="1058">
        <v>169786</v>
      </c>
      <c r="H349" s="1059">
        <v>151070</v>
      </c>
      <c r="I349" s="1058">
        <v>292038</v>
      </c>
      <c r="J349" s="1057">
        <v>6931</v>
      </c>
      <c r="K349" s="1059">
        <f t="shared" si="13"/>
        <v>619825</v>
      </c>
      <c r="L349" s="1057"/>
      <c r="M349" s="1058">
        <v>5697</v>
      </c>
      <c r="N349" s="1058">
        <v>0</v>
      </c>
      <c r="O349" s="1057">
        <v>52279</v>
      </c>
      <c r="P349" s="1059">
        <f t="shared" si="14"/>
        <v>57976</v>
      </c>
      <c r="Q349" s="1057"/>
      <c r="R349" s="1058">
        <v>305698</v>
      </c>
      <c r="S349" s="1057">
        <v>-19233</v>
      </c>
      <c r="T349" s="1060">
        <v>286465</v>
      </c>
    </row>
    <row r="350" spans="1:20" x14ac:dyDescent="0.25">
      <c r="A350" s="1054">
        <v>93527</v>
      </c>
      <c r="B350" s="1055" t="s">
        <v>2906</v>
      </c>
      <c r="C350" s="1056">
        <v>1.2799999999999999E-5</v>
      </c>
      <c r="D350" s="1056">
        <v>1.2099999999999999E-5</v>
      </c>
      <c r="E350" s="1057">
        <v>30366</v>
      </c>
      <c r="F350" s="1057" t="s">
        <v>187</v>
      </c>
      <c r="G350" s="1058">
        <v>4685</v>
      </c>
      <c r="H350" s="1059">
        <v>4168</v>
      </c>
      <c r="I350" s="1058">
        <v>8058</v>
      </c>
      <c r="J350" s="1057">
        <v>13477</v>
      </c>
      <c r="K350" s="1059">
        <f t="shared" si="13"/>
        <v>30388</v>
      </c>
      <c r="L350" s="1057"/>
      <c r="M350" s="1058">
        <v>157</v>
      </c>
      <c r="N350" s="1058">
        <v>0</v>
      </c>
      <c r="O350" s="1057">
        <v>0</v>
      </c>
      <c r="P350" s="1059">
        <f t="shared" si="14"/>
        <v>157</v>
      </c>
      <c r="Q350" s="1057"/>
      <c r="R350" s="1058">
        <v>8435</v>
      </c>
      <c r="S350" s="1057">
        <v>6937</v>
      </c>
      <c r="T350" s="1060">
        <v>15372</v>
      </c>
    </row>
    <row r="351" spans="1:20" x14ac:dyDescent="0.25">
      <c r="A351" s="1054">
        <v>93531</v>
      </c>
      <c r="B351" s="1055" t="s">
        <v>4133</v>
      </c>
      <c r="C351" s="1056">
        <v>3.0700000000000001E-5</v>
      </c>
      <c r="D351" s="1056">
        <v>1.7E-5</v>
      </c>
      <c r="E351" s="1057">
        <v>72831</v>
      </c>
      <c r="F351" s="1057" t="s">
        <v>187</v>
      </c>
      <c r="G351" s="1058">
        <v>11236</v>
      </c>
      <c r="H351" s="1059">
        <v>9997</v>
      </c>
      <c r="I351" s="1058">
        <v>19327</v>
      </c>
      <c r="J351" s="1057">
        <v>7722</v>
      </c>
      <c r="K351" s="1059">
        <f t="shared" si="13"/>
        <v>48282</v>
      </c>
      <c r="L351" s="1057"/>
      <c r="M351" s="1058">
        <v>377</v>
      </c>
      <c r="N351" s="1058">
        <v>0</v>
      </c>
      <c r="O351" s="1057">
        <v>1264</v>
      </c>
      <c r="P351" s="1059">
        <f t="shared" si="14"/>
        <v>1641</v>
      </c>
      <c r="Q351" s="1057"/>
      <c r="R351" s="1058">
        <v>20230</v>
      </c>
      <c r="S351" s="1057">
        <v>601</v>
      </c>
      <c r="T351" s="1060">
        <v>20831</v>
      </c>
    </row>
    <row r="352" spans="1:20" x14ac:dyDescent="0.25">
      <c r="A352" s="1054">
        <v>93537</v>
      </c>
      <c r="B352" s="1055" t="s">
        <v>4134</v>
      </c>
      <c r="C352" s="1056">
        <v>1.1E-5</v>
      </c>
      <c r="D352" s="1056">
        <v>1.1199999999999999E-5</v>
      </c>
      <c r="E352" s="1057">
        <v>26096</v>
      </c>
      <c r="F352" s="1057" t="s">
        <v>187</v>
      </c>
      <c r="G352" s="1058">
        <v>4026</v>
      </c>
      <c r="H352" s="1059">
        <v>3582</v>
      </c>
      <c r="I352" s="1058">
        <v>6925</v>
      </c>
      <c r="J352" s="1057">
        <v>0</v>
      </c>
      <c r="K352" s="1059">
        <f t="shared" si="13"/>
        <v>14533</v>
      </c>
      <c r="L352" s="1057"/>
      <c r="M352" s="1058">
        <v>135</v>
      </c>
      <c r="N352" s="1058">
        <v>0</v>
      </c>
      <c r="O352" s="1057">
        <v>2378</v>
      </c>
      <c r="P352" s="1059">
        <f t="shared" si="14"/>
        <v>2513</v>
      </c>
      <c r="Q352" s="1057"/>
      <c r="R352" s="1058">
        <v>7249</v>
      </c>
      <c r="S352" s="1057">
        <v>-840</v>
      </c>
      <c r="T352" s="1060">
        <v>6409</v>
      </c>
    </row>
    <row r="353" spans="1:20" x14ac:dyDescent="0.25">
      <c r="A353" s="1054">
        <v>93541</v>
      </c>
      <c r="B353" s="1055" t="s">
        <v>4135</v>
      </c>
      <c r="C353" s="1056">
        <v>8.9800000000000001E-5</v>
      </c>
      <c r="D353" s="1056">
        <v>1.0560000000000001E-4</v>
      </c>
      <c r="E353" s="1057">
        <v>213036</v>
      </c>
      <c r="F353" s="1057" t="s">
        <v>187</v>
      </c>
      <c r="G353" s="1058">
        <v>32866</v>
      </c>
      <c r="H353" s="1059">
        <v>29244</v>
      </c>
      <c r="I353" s="1058">
        <v>56532</v>
      </c>
      <c r="J353" s="1057">
        <v>226</v>
      </c>
      <c r="K353" s="1059">
        <f t="shared" si="13"/>
        <v>118868</v>
      </c>
      <c r="L353" s="1057"/>
      <c r="M353" s="1058">
        <v>1103</v>
      </c>
      <c r="N353" s="1058">
        <v>0</v>
      </c>
      <c r="O353" s="1057">
        <v>5147</v>
      </c>
      <c r="P353" s="1059">
        <f t="shared" si="14"/>
        <v>6250</v>
      </c>
      <c r="Q353" s="1057"/>
      <c r="R353" s="1058">
        <v>59176</v>
      </c>
      <c r="S353" s="1057">
        <v>2777</v>
      </c>
      <c r="T353" s="1060">
        <v>61953</v>
      </c>
    </row>
    <row r="354" spans="1:20" x14ac:dyDescent="0.25">
      <c r="A354" s="1054">
        <v>93601</v>
      </c>
      <c r="B354" s="1055" t="s">
        <v>2910</v>
      </c>
      <c r="C354" s="1056">
        <v>1.11494E-2</v>
      </c>
      <c r="D354" s="1056">
        <v>1.0721400000000001E-2</v>
      </c>
      <c r="E354" s="1057">
        <v>26450190</v>
      </c>
      <c r="F354" s="1057" t="s">
        <v>187</v>
      </c>
      <c r="G354" s="1058">
        <v>4080636</v>
      </c>
      <c r="H354" s="1059">
        <v>3630824</v>
      </c>
      <c r="I354" s="1058">
        <v>7018859</v>
      </c>
      <c r="J354" s="1057">
        <v>430627</v>
      </c>
      <c r="K354" s="1059">
        <f t="shared" si="13"/>
        <v>15160946</v>
      </c>
      <c r="L354" s="1057"/>
      <c r="M354" s="1058">
        <v>136926</v>
      </c>
      <c r="N354" s="1058">
        <v>0</v>
      </c>
      <c r="O354" s="1057">
        <v>172766</v>
      </c>
      <c r="P354" s="1059">
        <f t="shared" si="14"/>
        <v>309692</v>
      </c>
      <c r="Q354" s="1057"/>
      <c r="R354" s="1058">
        <v>7347154</v>
      </c>
      <c r="S354" s="1057">
        <v>9789</v>
      </c>
      <c r="T354" s="1060">
        <v>7356943</v>
      </c>
    </row>
    <row r="355" spans="1:20" x14ac:dyDescent="0.25">
      <c r="A355" s="1054">
        <v>93602</v>
      </c>
      <c r="B355" s="1055" t="s">
        <v>4136</v>
      </c>
      <c r="C355" s="1056">
        <v>1.8340000000000001E-4</v>
      </c>
      <c r="D355" s="1056">
        <v>1.7540000000000001E-4</v>
      </c>
      <c r="E355" s="1057">
        <v>435088</v>
      </c>
      <c r="F355" s="1057" t="s">
        <v>187</v>
      </c>
      <c r="G355" s="1058">
        <v>67124</v>
      </c>
      <c r="H355" s="1059">
        <v>59724</v>
      </c>
      <c r="I355" s="1058">
        <v>115455</v>
      </c>
      <c r="J355" s="1057">
        <v>10138</v>
      </c>
      <c r="K355" s="1059">
        <f t="shared" si="13"/>
        <v>252441</v>
      </c>
      <c r="L355" s="1057"/>
      <c r="M355" s="1058">
        <v>2252</v>
      </c>
      <c r="N355" s="1058">
        <v>0</v>
      </c>
      <c r="O355" s="1057">
        <v>6076</v>
      </c>
      <c r="P355" s="1059">
        <f t="shared" si="14"/>
        <v>8328</v>
      </c>
      <c r="Q355" s="1057"/>
      <c r="R355" s="1058">
        <v>120856</v>
      </c>
      <c r="S355" s="1057">
        <v>-1090</v>
      </c>
      <c r="T355" s="1060">
        <v>119766</v>
      </c>
    </row>
    <row r="356" spans="1:20" x14ac:dyDescent="0.25">
      <c r="A356" s="1054">
        <v>93604</v>
      </c>
      <c r="B356" s="1062" t="s">
        <v>4137</v>
      </c>
      <c r="C356" s="1056">
        <v>2.0100000000000001E-5</v>
      </c>
      <c r="D356" s="1056">
        <v>0</v>
      </c>
      <c r="E356" s="1057">
        <v>47684</v>
      </c>
      <c r="F356" s="1057" t="s">
        <v>187</v>
      </c>
      <c r="G356" s="1058">
        <v>7357</v>
      </c>
      <c r="H356" s="1059">
        <v>6545</v>
      </c>
      <c r="I356" s="1058">
        <v>12654</v>
      </c>
      <c r="J356" s="1057">
        <v>19602</v>
      </c>
      <c r="K356" s="1059">
        <f t="shared" si="13"/>
        <v>46158</v>
      </c>
      <c r="L356" s="1057"/>
      <c r="M356" s="1058">
        <v>247</v>
      </c>
      <c r="N356" s="1058">
        <v>0</v>
      </c>
      <c r="O356" s="1057">
        <v>0</v>
      </c>
      <c r="P356" s="1059">
        <f t="shared" si="14"/>
        <v>247</v>
      </c>
      <c r="Q356" s="1057"/>
      <c r="R356" s="1058">
        <v>13245</v>
      </c>
      <c r="S356" s="1057">
        <v>4900</v>
      </c>
      <c r="T356" s="1060">
        <v>18145</v>
      </c>
    </row>
    <row r="357" spans="1:20" x14ac:dyDescent="0.25">
      <c r="A357" s="1054">
        <v>93609</v>
      </c>
      <c r="B357" s="1055" t="s">
        <v>2912</v>
      </c>
      <c r="C357" s="1056">
        <v>3.9097000000000003E-3</v>
      </c>
      <c r="D357" s="1056">
        <v>3.7629999999999999E-3</v>
      </c>
      <c r="E357" s="1057">
        <v>9275146</v>
      </c>
      <c r="F357" s="1057" t="s">
        <v>187</v>
      </c>
      <c r="G357" s="1058">
        <v>1430935</v>
      </c>
      <c r="H357" s="1059">
        <v>1273202</v>
      </c>
      <c r="I357" s="1058">
        <v>2461266</v>
      </c>
      <c r="J357" s="1057">
        <v>502120</v>
      </c>
      <c r="K357" s="1059">
        <f t="shared" si="13"/>
        <v>5667523</v>
      </c>
      <c r="L357" s="1057"/>
      <c r="M357" s="1058">
        <v>48015</v>
      </c>
      <c r="N357" s="1058">
        <v>0</v>
      </c>
      <c r="O357" s="1057">
        <v>0</v>
      </c>
      <c r="P357" s="1059">
        <f t="shared" si="14"/>
        <v>48015</v>
      </c>
      <c r="Q357" s="1057"/>
      <c r="R357" s="1058">
        <v>2576387</v>
      </c>
      <c r="S357" s="1057">
        <v>367709</v>
      </c>
      <c r="T357" s="1060">
        <v>2944096</v>
      </c>
    </row>
    <row r="358" spans="1:20" x14ac:dyDescent="0.25">
      <c r="A358" s="1054">
        <v>93610</v>
      </c>
      <c r="B358" s="1055" t="s">
        <v>4138</v>
      </c>
      <c r="C358" s="1056">
        <v>1.5500000000000001E-5</v>
      </c>
      <c r="D358" s="1056">
        <v>1.33E-5</v>
      </c>
      <c r="E358" s="1057">
        <v>36771</v>
      </c>
      <c r="F358" s="1057" t="s">
        <v>187</v>
      </c>
      <c r="G358" s="1058">
        <v>5673</v>
      </c>
      <c r="H358" s="1059">
        <v>5047</v>
      </c>
      <c r="I358" s="1058">
        <v>9758</v>
      </c>
      <c r="J358" s="1057">
        <v>4558</v>
      </c>
      <c r="K358" s="1059">
        <f t="shared" si="13"/>
        <v>25036</v>
      </c>
      <c r="L358" s="1057"/>
      <c r="M358" s="1058">
        <v>190</v>
      </c>
      <c r="N358" s="1058">
        <v>0</v>
      </c>
      <c r="O358" s="1057">
        <v>2193</v>
      </c>
      <c r="P358" s="1059">
        <f t="shared" si="14"/>
        <v>2383</v>
      </c>
      <c r="Q358" s="1057"/>
      <c r="R358" s="1058">
        <v>10214</v>
      </c>
      <c r="S358" s="1057">
        <v>1404</v>
      </c>
      <c r="T358" s="1060">
        <v>11618</v>
      </c>
    </row>
    <row r="359" spans="1:20" x14ac:dyDescent="0.25">
      <c r="A359" s="1054">
        <v>93611</v>
      </c>
      <c r="B359" s="1055" t="s">
        <v>2914</v>
      </c>
      <c r="C359" s="1056">
        <v>6.9170000000000004E-3</v>
      </c>
      <c r="D359" s="1056">
        <v>6.9544000000000003E-3</v>
      </c>
      <c r="E359" s="1057">
        <v>16409490</v>
      </c>
      <c r="F359" s="1057" t="s">
        <v>187</v>
      </c>
      <c r="G359" s="1058">
        <v>2531594</v>
      </c>
      <c r="H359" s="1059">
        <v>2252535</v>
      </c>
      <c r="I359" s="1058">
        <v>4354445</v>
      </c>
      <c r="J359" s="1057">
        <v>45861</v>
      </c>
      <c r="K359" s="1059">
        <f t="shared" si="13"/>
        <v>9184435</v>
      </c>
      <c r="L359" s="1057"/>
      <c r="M359" s="1058">
        <v>84948</v>
      </c>
      <c r="N359" s="1058">
        <v>0</v>
      </c>
      <c r="O359" s="1057">
        <v>74749</v>
      </c>
      <c r="P359" s="1059">
        <f t="shared" si="14"/>
        <v>159697</v>
      </c>
      <c r="Q359" s="1057"/>
      <c r="R359" s="1058">
        <v>4558116</v>
      </c>
      <c r="S359" s="1057">
        <v>-105909</v>
      </c>
      <c r="T359" s="1060">
        <v>4452207</v>
      </c>
    </row>
    <row r="360" spans="1:20" x14ac:dyDescent="0.25">
      <c r="A360" s="1054">
        <v>93617</v>
      </c>
      <c r="B360" s="1055" t="s">
        <v>2915</v>
      </c>
      <c r="C360" s="1056">
        <v>8.7499999999999999E-5</v>
      </c>
      <c r="D360" s="1056">
        <v>8.2799999999999993E-5</v>
      </c>
      <c r="E360" s="1057">
        <v>207580</v>
      </c>
      <c r="F360" s="1057" t="s">
        <v>187</v>
      </c>
      <c r="G360" s="1058">
        <v>32025</v>
      </c>
      <c r="H360" s="1059">
        <v>28494</v>
      </c>
      <c r="I360" s="1058">
        <v>55084</v>
      </c>
      <c r="J360" s="1057">
        <v>21712</v>
      </c>
      <c r="K360" s="1059">
        <f t="shared" si="13"/>
        <v>137315</v>
      </c>
      <c r="L360" s="1057"/>
      <c r="M360" s="1058">
        <v>1075</v>
      </c>
      <c r="N360" s="1058">
        <v>0</v>
      </c>
      <c r="O360" s="1057">
        <v>0</v>
      </c>
      <c r="P360" s="1059">
        <f t="shared" si="14"/>
        <v>1075</v>
      </c>
      <c r="Q360" s="1057"/>
      <c r="R360" s="1058">
        <v>57660</v>
      </c>
      <c r="S360" s="1057">
        <v>13203</v>
      </c>
      <c r="T360" s="1060">
        <v>70863</v>
      </c>
    </row>
    <row r="361" spans="1:20" x14ac:dyDescent="0.25">
      <c r="A361" s="1054">
        <v>93618</v>
      </c>
      <c r="B361" s="1055" t="s">
        <v>2916</v>
      </c>
      <c r="C361" s="1056">
        <v>1.03E-5</v>
      </c>
      <c r="D361" s="1056">
        <v>1.11E-5</v>
      </c>
      <c r="E361" s="1057">
        <v>24435</v>
      </c>
      <c r="F361" s="1057" t="s">
        <v>187</v>
      </c>
      <c r="G361" s="1058">
        <v>3770</v>
      </c>
      <c r="H361" s="1059">
        <v>3354</v>
      </c>
      <c r="I361" s="1058">
        <v>6484</v>
      </c>
      <c r="J361" s="1057">
        <v>36884</v>
      </c>
      <c r="K361" s="1059">
        <f t="shared" si="13"/>
        <v>50492</v>
      </c>
      <c r="L361" s="1057"/>
      <c r="M361" s="1058">
        <v>126</v>
      </c>
      <c r="N361" s="1058">
        <v>0</v>
      </c>
      <c r="O361" s="1057">
        <v>0</v>
      </c>
      <c r="P361" s="1059">
        <f t="shared" si="14"/>
        <v>126</v>
      </c>
      <c r="Q361" s="1057"/>
      <c r="R361" s="1058">
        <v>6787</v>
      </c>
      <c r="S361" s="1057">
        <v>16035</v>
      </c>
      <c r="T361" s="1060">
        <v>22822</v>
      </c>
    </row>
    <row r="362" spans="1:20" x14ac:dyDescent="0.25">
      <c r="A362" s="1054">
        <v>93621</v>
      </c>
      <c r="B362" s="1055" t="s">
        <v>2917</v>
      </c>
      <c r="C362" s="1056">
        <v>1.0273000000000001E-3</v>
      </c>
      <c r="D362" s="1056">
        <v>9.5719999999999996E-4</v>
      </c>
      <c r="E362" s="1057">
        <v>2437107</v>
      </c>
      <c r="F362" s="1057" t="s">
        <v>187</v>
      </c>
      <c r="G362" s="1058">
        <v>375988</v>
      </c>
      <c r="H362" s="1059">
        <v>334542</v>
      </c>
      <c r="I362" s="1058">
        <v>646714</v>
      </c>
      <c r="J362" s="1057">
        <v>51082</v>
      </c>
      <c r="K362" s="1059">
        <f t="shared" si="13"/>
        <v>1408326</v>
      </c>
      <c r="L362" s="1057"/>
      <c r="M362" s="1058">
        <v>12616</v>
      </c>
      <c r="N362" s="1058">
        <v>0</v>
      </c>
      <c r="O362" s="1057">
        <v>41250</v>
      </c>
      <c r="P362" s="1059">
        <f t="shared" si="14"/>
        <v>53866</v>
      </c>
      <c r="Q362" s="1057"/>
      <c r="R362" s="1058">
        <v>676963</v>
      </c>
      <c r="S362" s="1057">
        <v>-22728</v>
      </c>
      <c r="T362" s="1060">
        <v>654235</v>
      </c>
    </row>
    <row r="363" spans="1:20" x14ac:dyDescent="0.25">
      <c r="A363" s="1054">
        <v>93623</v>
      </c>
      <c r="B363" s="1055" t="s">
        <v>2918</v>
      </c>
      <c r="C363" s="1056">
        <v>1.2E-5</v>
      </c>
      <c r="D363" s="1056">
        <v>1.2799999999999999E-5</v>
      </c>
      <c r="E363" s="1057">
        <v>28468</v>
      </c>
      <c r="F363" s="1057" t="s">
        <v>187</v>
      </c>
      <c r="G363" s="1058">
        <v>4392</v>
      </c>
      <c r="H363" s="1059">
        <v>3908</v>
      </c>
      <c r="I363" s="1058">
        <v>7554</v>
      </c>
      <c r="J363" s="1057">
        <v>5015</v>
      </c>
      <c r="K363" s="1059">
        <f t="shared" si="13"/>
        <v>20869</v>
      </c>
      <c r="L363" s="1057"/>
      <c r="M363" s="1058">
        <v>147</v>
      </c>
      <c r="N363" s="1058">
        <v>0</v>
      </c>
      <c r="O363" s="1057">
        <v>0</v>
      </c>
      <c r="P363" s="1059">
        <f t="shared" si="14"/>
        <v>147</v>
      </c>
      <c r="Q363" s="1057"/>
      <c r="R363" s="1058">
        <v>7908</v>
      </c>
      <c r="S363" s="1057">
        <v>2264</v>
      </c>
      <c r="T363" s="1060">
        <v>10172</v>
      </c>
    </row>
    <row r="364" spans="1:20" x14ac:dyDescent="0.25">
      <c r="A364" s="1054">
        <v>93631</v>
      </c>
      <c r="B364" s="1055" t="s">
        <v>4139</v>
      </c>
      <c r="C364" s="1056">
        <v>2.232E-4</v>
      </c>
      <c r="D364" s="1056">
        <v>2.252E-4</v>
      </c>
      <c r="E364" s="1057">
        <v>529507</v>
      </c>
      <c r="F364" s="1057" t="s">
        <v>187</v>
      </c>
      <c r="G364" s="1058">
        <v>81690</v>
      </c>
      <c r="H364" s="1059">
        <v>72685</v>
      </c>
      <c r="I364" s="1058">
        <v>140511</v>
      </c>
      <c r="J364" s="1057">
        <v>0</v>
      </c>
      <c r="K364" s="1059">
        <f t="shared" si="13"/>
        <v>294886</v>
      </c>
      <c r="L364" s="1057"/>
      <c r="M364" s="1058">
        <v>2741</v>
      </c>
      <c r="N364" s="1058">
        <v>0</v>
      </c>
      <c r="O364" s="1057">
        <v>17227</v>
      </c>
      <c r="P364" s="1059">
        <f t="shared" si="14"/>
        <v>19968</v>
      </c>
      <c r="Q364" s="1057"/>
      <c r="R364" s="1058">
        <v>147083</v>
      </c>
      <c r="S364" s="1057">
        <v>-8056</v>
      </c>
      <c r="T364" s="1060">
        <v>139027</v>
      </c>
    </row>
    <row r="365" spans="1:20" x14ac:dyDescent="0.25">
      <c r="A365" s="1054">
        <v>93641</v>
      </c>
      <c r="B365" s="1055" t="s">
        <v>2920</v>
      </c>
      <c r="C365" s="1056">
        <v>3.724E-4</v>
      </c>
      <c r="D365" s="1056">
        <v>4.0450000000000002E-4</v>
      </c>
      <c r="E365" s="1057">
        <v>883460</v>
      </c>
      <c r="F365" s="1057" t="s">
        <v>187</v>
      </c>
      <c r="G365" s="1058">
        <v>136297</v>
      </c>
      <c r="H365" s="1059">
        <v>121273</v>
      </c>
      <c r="I365" s="1058">
        <v>234436</v>
      </c>
      <c r="J365" s="1057">
        <v>6510</v>
      </c>
      <c r="K365" s="1059">
        <f t="shared" si="13"/>
        <v>498516</v>
      </c>
      <c r="L365" s="1057"/>
      <c r="M365" s="1058">
        <v>4573</v>
      </c>
      <c r="N365" s="1058">
        <v>0</v>
      </c>
      <c r="O365" s="1057">
        <v>10470</v>
      </c>
      <c r="P365" s="1059">
        <f t="shared" si="14"/>
        <v>15043</v>
      </c>
      <c r="Q365" s="1057"/>
      <c r="R365" s="1058">
        <v>245402</v>
      </c>
      <c r="S365" s="1057">
        <v>4214</v>
      </c>
      <c r="T365" s="1060">
        <v>249616</v>
      </c>
    </row>
    <row r="366" spans="1:20" x14ac:dyDescent="0.25">
      <c r="A366" s="1054">
        <v>93647</v>
      </c>
      <c r="B366" s="1055" t="s">
        <v>2921</v>
      </c>
      <c r="C366" s="1056">
        <v>6.1E-6</v>
      </c>
      <c r="D366" s="1056">
        <v>6.0000000000000002E-6</v>
      </c>
      <c r="E366" s="1057">
        <v>14471</v>
      </c>
      <c r="F366" s="1057" t="s">
        <v>187</v>
      </c>
      <c r="G366" s="1058">
        <v>2233</v>
      </c>
      <c r="H366" s="1059">
        <v>1987</v>
      </c>
      <c r="I366" s="1058">
        <v>3840</v>
      </c>
      <c r="J366" s="1057">
        <v>12946</v>
      </c>
      <c r="K366" s="1059">
        <f t="shared" si="13"/>
        <v>21006</v>
      </c>
      <c r="L366" s="1057"/>
      <c r="M366" s="1058">
        <v>75</v>
      </c>
      <c r="N366" s="1058">
        <v>0</v>
      </c>
      <c r="O366" s="1057">
        <v>0</v>
      </c>
      <c r="P366" s="1059">
        <f t="shared" si="14"/>
        <v>75</v>
      </c>
      <c r="Q366" s="1057"/>
      <c r="R366" s="1058">
        <v>4020</v>
      </c>
      <c r="S366" s="1057">
        <v>6024</v>
      </c>
      <c r="T366" s="1060">
        <v>10044</v>
      </c>
    </row>
    <row r="367" spans="1:20" x14ac:dyDescent="0.25">
      <c r="A367" s="1054">
        <v>93651</v>
      </c>
      <c r="B367" s="1055" t="s">
        <v>4140</v>
      </c>
      <c r="C367" s="1056">
        <v>4.507E-4</v>
      </c>
      <c r="D367" s="1056">
        <v>4.3800000000000002E-4</v>
      </c>
      <c r="E367" s="1057">
        <v>1069215</v>
      </c>
      <c r="F367" s="1057" t="s">
        <v>187</v>
      </c>
      <c r="G367" s="1058">
        <v>164954</v>
      </c>
      <c r="H367" s="1059">
        <v>146771</v>
      </c>
      <c r="I367" s="1058">
        <v>283728</v>
      </c>
      <c r="J367" s="1057">
        <v>2626</v>
      </c>
      <c r="K367" s="1059">
        <f t="shared" si="13"/>
        <v>598079</v>
      </c>
      <c r="L367" s="1057"/>
      <c r="M367" s="1058">
        <v>5535</v>
      </c>
      <c r="N367" s="1058">
        <v>0</v>
      </c>
      <c r="O367" s="1057">
        <v>13366</v>
      </c>
      <c r="P367" s="1059">
        <f t="shared" si="14"/>
        <v>18901</v>
      </c>
      <c r="Q367" s="1057"/>
      <c r="R367" s="1058">
        <v>296999</v>
      </c>
      <c r="S367" s="1057">
        <v>-2560</v>
      </c>
      <c r="T367" s="1060">
        <v>294439</v>
      </c>
    </row>
    <row r="368" spans="1:20" x14ac:dyDescent="0.25">
      <c r="A368" s="1054">
        <v>93661</v>
      </c>
      <c r="B368" s="1055" t="s">
        <v>2923</v>
      </c>
      <c r="C368" s="1056">
        <v>1.4449999999999999E-4</v>
      </c>
      <c r="D368" s="1056">
        <v>1.3410000000000001E-4</v>
      </c>
      <c r="E368" s="1057">
        <v>342803</v>
      </c>
      <c r="F368" s="1057" t="s">
        <v>187</v>
      </c>
      <c r="G368" s="1058">
        <v>52886</v>
      </c>
      <c r="H368" s="1059">
        <v>47056</v>
      </c>
      <c r="I368" s="1058">
        <v>90967</v>
      </c>
      <c r="J368" s="1057">
        <v>11364</v>
      </c>
      <c r="K368" s="1059">
        <f t="shared" si="13"/>
        <v>202273</v>
      </c>
      <c r="L368" s="1057"/>
      <c r="M368" s="1058">
        <v>1775</v>
      </c>
      <c r="N368" s="1058">
        <v>0</v>
      </c>
      <c r="O368" s="1057">
        <v>0</v>
      </c>
      <c r="P368" s="1059">
        <f t="shared" si="14"/>
        <v>1775</v>
      </c>
      <c r="Q368" s="1057"/>
      <c r="R368" s="1058">
        <v>95222</v>
      </c>
      <c r="S368" s="1057">
        <v>5935</v>
      </c>
      <c r="T368" s="1060">
        <v>101157</v>
      </c>
    </row>
    <row r="369" spans="1:20" x14ac:dyDescent="0.25">
      <c r="A369" s="1054">
        <v>93671</v>
      </c>
      <c r="B369" s="1055" t="s">
        <v>2924</v>
      </c>
      <c r="C369" s="1056">
        <v>3.3950000000000001E-4</v>
      </c>
      <c r="D369" s="1056">
        <v>3.5530000000000002E-4</v>
      </c>
      <c r="E369" s="1057">
        <v>805410</v>
      </c>
      <c r="F369" s="1057" t="s">
        <v>187</v>
      </c>
      <c r="G369" s="1058">
        <v>124256</v>
      </c>
      <c r="H369" s="1059">
        <v>110559</v>
      </c>
      <c r="I369" s="1058">
        <v>213725</v>
      </c>
      <c r="J369" s="1057">
        <v>15579</v>
      </c>
      <c r="K369" s="1059">
        <f t="shared" si="13"/>
        <v>464119</v>
      </c>
      <c r="L369" s="1057"/>
      <c r="M369" s="1058">
        <v>4169</v>
      </c>
      <c r="N369" s="1058">
        <v>0</v>
      </c>
      <c r="O369" s="1057">
        <v>2038</v>
      </c>
      <c r="P369" s="1059">
        <f t="shared" si="14"/>
        <v>6207</v>
      </c>
      <c r="Q369" s="1057"/>
      <c r="R369" s="1058">
        <v>223721</v>
      </c>
      <c r="S369" s="1057">
        <v>29805</v>
      </c>
      <c r="T369" s="1060">
        <v>253526</v>
      </c>
    </row>
    <row r="370" spans="1:20" x14ac:dyDescent="0.25">
      <c r="A370" s="1054">
        <v>93677</v>
      </c>
      <c r="B370" s="1055" t="s">
        <v>1522</v>
      </c>
      <c r="C370" s="1056">
        <v>0</v>
      </c>
      <c r="D370" s="1056">
        <v>0</v>
      </c>
      <c r="E370" s="1057">
        <v>0</v>
      </c>
      <c r="F370" s="1057" t="s">
        <v>187</v>
      </c>
      <c r="G370" s="1058">
        <v>0</v>
      </c>
      <c r="H370" s="1059">
        <v>0</v>
      </c>
      <c r="I370" s="1058">
        <v>0</v>
      </c>
      <c r="J370" s="1057">
        <v>0</v>
      </c>
      <c r="K370" s="1059">
        <f t="shared" si="13"/>
        <v>0</v>
      </c>
      <c r="L370" s="1057"/>
      <c r="M370" s="1058">
        <v>0</v>
      </c>
      <c r="N370" s="1058">
        <v>0</v>
      </c>
      <c r="O370" s="1057">
        <v>0</v>
      </c>
      <c r="P370" s="1059">
        <f t="shared" si="14"/>
        <v>0</v>
      </c>
      <c r="Q370" s="1057"/>
      <c r="R370" s="1058">
        <v>0</v>
      </c>
      <c r="S370" s="1057">
        <v>-718</v>
      </c>
      <c r="T370" s="1060">
        <v>-718</v>
      </c>
    </row>
    <row r="371" spans="1:20" x14ac:dyDescent="0.25">
      <c r="A371" s="1054">
        <v>93681</v>
      </c>
      <c r="B371" s="1055" t="s">
        <v>4141</v>
      </c>
      <c r="C371" s="1056">
        <v>1.211E-4</v>
      </c>
      <c r="D371" s="1056">
        <v>1.1179999999999999E-4</v>
      </c>
      <c r="E371" s="1057">
        <v>287291</v>
      </c>
      <c r="F371" s="1057" t="s">
        <v>187</v>
      </c>
      <c r="G371" s="1058">
        <v>44322</v>
      </c>
      <c r="H371" s="1059">
        <v>39436</v>
      </c>
      <c r="I371" s="1058">
        <v>76236</v>
      </c>
      <c r="J371" s="1057">
        <v>6600</v>
      </c>
      <c r="K371" s="1059">
        <f t="shared" si="13"/>
        <v>166594</v>
      </c>
      <c r="L371" s="1057"/>
      <c r="M371" s="1058">
        <v>1487</v>
      </c>
      <c r="N371" s="1058">
        <v>0</v>
      </c>
      <c r="O371" s="1057">
        <v>6023</v>
      </c>
      <c r="P371" s="1059">
        <f t="shared" si="14"/>
        <v>7510</v>
      </c>
      <c r="Q371" s="1057"/>
      <c r="R371" s="1058">
        <v>79802</v>
      </c>
      <c r="S371" s="1057">
        <v>-4842</v>
      </c>
      <c r="T371" s="1060">
        <v>74960</v>
      </c>
    </row>
    <row r="372" spans="1:20" x14ac:dyDescent="0.25">
      <c r="A372" s="1054">
        <v>93691</v>
      </c>
      <c r="B372" s="1055" t="s">
        <v>2926</v>
      </c>
      <c r="C372" s="1056">
        <v>1.0357999999999999E-3</v>
      </c>
      <c r="D372" s="1056">
        <v>1.0858E-3</v>
      </c>
      <c r="E372" s="1057">
        <v>2457272</v>
      </c>
      <c r="F372" s="1057" t="s">
        <v>187</v>
      </c>
      <c r="G372" s="1058">
        <v>379099</v>
      </c>
      <c r="H372" s="1059">
        <v>337310</v>
      </c>
      <c r="I372" s="1058">
        <v>652065</v>
      </c>
      <c r="J372" s="1057">
        <v>0</v>
      </c>
      <c r="K372" s="1059">
        <f t="shared" si="13"/>
        <v>1368474</v>
      </c>
      <c r="L372" s="1057"/>
      <c r="M372" s="1058">
        <v>12721</v>
      </c>
      <c r="N372" s="1058">
        <v>0</v>
      </c>
      <c r="O372" s="1057">
        <v>115243</v>
      </c>
      <c r="P372" s="1059">
        <f t="shared" si="14"/>
        <v>127964</v>
      </c>
      <c r="Q372" s="1057"/>
      <c r="R372" s="1058">
        <v>682564</v>
      </c>
      <c r="S372" s="1057">
        <v>-52906</v>
      </c>
      <c r="T372" s="1060">
        <v>629658</v>
      </c>
    </row>
    <row r="373" spans="1:20" x14ac:dyDescent="0.25">
      <c r="A373" s="1054">
        <v>93701</v>
      </c>
      <c r="B373" s="1055" t="s">
        <v>3584</v>
      </c>
      <c r="C373" s="1056">
        <v>4.6779999999999999E-4</v>
      </c>
      <c r="D373" s="1056">
        <v>4.5800000000000002E-4</v>
      </c>
      <c r="E373" s="1057">
        <v>1109782</v>
      </c>
      <c r="F373" s="1057" t="s">
        <v>187</v>
      </c>
      <c r="G373" s="1058">
        <v>171213</v>
      </c>
      <c r="H373" s="1059">
        <v>152340</v>
      </c>
      <c r="I373" s="1058">
        <v>294493</v>
      </c>
      <c r="J373" s="1057">
        <v>2163</v>
      </c>
      <c r="K373" s="1059">
        <f t="shared" si="13"/>
        <v>620209</v>
      </c>
      <c r="L373" s="1057"/>
      <c r="M373" s="1058">
        <v>5745</v>
      </c>
      <c r="N373" s="1058">
        <v>0</v>
      </c>
      <c r="O373" s="1057">
        <v>13331</v>
      </c>
      <c r="P373" s="1059">
        <f t="shared" si="14"/>
        <v>19076</v>
      </c>
      <c r="Q373" s="1057"/>
      <c r="R373" s="1058">
        <v>308268</v>
      </c>
      <c r="S373" s="1057">
        <v>304</v>
      </c>
      <c r="T373" s="1060">
        <v>308572</v>
      </c>
    </row>
    <row r="374" spans="1:20" x14ac:dyDescent="0.25">
      <c r="A374" s="1054">
        <v>93704</v>
      </c>
      <c r="B374" s="1055" t="s">
        <v>2928</v>
      </c>
      <c r="C374" s="1056">
        <v>2.7E-6</v>
      </c>
      <c r="D374" s="1056">
        <v>3.0000000000000001E-6</v>
      </c>
      <c r="E374" s="1057">
        <v>6405</v>
      </c>
      <c r="F374" s="1057" t="s">
        <v>187</v>
      </c>
      <c r="G374" s="1058">
        <v>988</v>
      </c>
      <c r="H374" s="1059">
        <v>879</v>
      </c>
      <c r="I374" s="1058">
        <v>1700</v>
      </c>
      <c r="J374" s="1057">
        <v>747</v>
      </c>
      <c r="K374" s="1059">
        <f t="shared" si="13"/>
        <v>4314</v>
      </c>
      <c r="L374" s="1057"/>
      <c r="M374" s="1058">
        <v>33</v>
      </c>
      <c r="N374" s="1058">
        <v>0</v>
      </c>
      <c r="O374" s="1057">
        <v>0</v>
      </c>
      <c r="P374" s="1059">
        <f t="shared" si="14"/>
        <v>33</v>
      </c>
      <c r="Q374" s="1057"/>
      <c r="R374" s="1058">
        <v>1779</v>
      </c>
      <c r="S374" s="1057">
        <v>224</v>
      </c>
      <c r="T374" s="1060">
        <v>2003</v>
      </c>
    </row>
    <row r="375" spans="1:20" x14ac:dyDescent="0.25">
      <c r="A375" s="1054">
        <v>93801</v>
      </c>
      <c r="B375" s="1055" t="s">
        <v>2929</v>
      </c>
      <c r="C375" s="1056">
        <v>4.3570000000000002E-4</v>
      </c>
      <c r="D375" s="1056">
        <v>4.7889999999999999E-4</v>
      </c>
      <c r="E375" s="1057">
        <v>1033629</v>
      </c>
      <c r="F375" s="1057" t="s">
        <v>187</v>
      </c>
      <c r="G375" s="1058">
        <v>159464</v>
      </c>
      <c r="H375" s="1059">
        <v>141886</v>
      </c>
      <c r="I375" s="1058">
        <v>274285</v>
      </c>
      <c r="J375" s="1057">
        <v>70779</v>
      </c>
      <c r="K375" s="1059">
        <f t="shared" si="13"/>
        <v>646414</v>
      </c>
      <c r="L375" s="1057"/>
      <c r="M375" s="1058">
        <v>5351</v>
      </c>
      <c r="N375" s="1058">
        <v>0</v>
      </c>
      <c r="O375" s="1057">
        <v>76863</v>
      </c>
      <c r="P375" s="1059">
        <f t="shared" si="14"/>
        <v>82214</v>
      </c>
      <c r="Q375" s="1057"/>
      <c r="R375" s="1058">
        <v>287115</v>
      </c>
      <c r="S375" s="1057">
        <v>18841</v>
      </c>
      <c r="T375" s="1060">
        <v>305956</v>
      </c>
    </row>
    <row r="376" spans="1:20" x14ac:dyDescent="0.25">
      <c r="A376" s="1054">
        <v>93803</v>
      </c>
      <c r="B376" s="1055" t="s">
        <v>2930</v>
      </c>
      <c r="C376" s="1056">
        <v>1.122E-4</v>
      </c>
      <c r="D376" s="1056">
        <v>1.1900000000000001E-4</v>
      </c>
      <c r="E376" s="1057">
        <v>266177</v>
      </c>
      <c r="F376" s="1057" t="s">
        <v>187</v>
      </c>
      <c r="G376" s="1058">
        <v>41065</v>
      </c>
      <c r="H376" s="1059">
        <v>36538</v>
      </c>
      <c r="I376" s="1058">
        <v>70633</v>
      </c>
      <c r="J376" s="1057">
        <v>0</v>
      </c>
      <c r="K376" s="1059">
        <f t="shared" si="13"/>
        <v>148236</v>
      </c>
      <c r="L376" s="1057"/>
      <c r="M376" s="1058">
        <v>1378</v>
      </c>
      <c r="N376" s="1058">
        <v>0</v>
      </c>
      <c r="O376" s="1057">
        <v>35149</v>
      </c>
      <c r="P376" s="1059">
        <f t="shared" si="14"/>
        <v>36527</v>
      </c>
      <c r="Q376" s="1057"/>
      <c r="R376" s="1058">
        <v>73937</v>
      </c>
      <c r="S376" s="1057">
        <v>-19959</v>
      </c>
      <c r="T376" s="1060">
        <v>53978</v>
      </c>
    </row>
    <row r="377" spans="1:20" x14ac:dyDescent="0.25">
      <c r="A377" s="1054">
        <v>93806</v>
      </c>
      <c r="B377" s="1055" t="s">
        <v>2931</v>
      </c>
      <c r="C377" s="1056">
        <v>7.6100000000000007E-5</v>
      </c>
      <c r="D377" s="1056">
        <v>9.3900000000000006E-5</v>
      </c>
      <c r="E377" s="1057">
        <v>180535</v>
      </c>
      <c r="F377" s="1057" t="s">
        <v>187</v>
      </c>
      <c r="G377" s="1058">
        <v>27852</v>
      </c>
      <c r="H377" s="1059">
        <v>24782</v>
      </c>
      <c r="I377" s="1058">
        <v>47907</v>
      </c>
      <c r="J377" s="1057">
        <v>9616</v>
      </c>
      <c r="K377" s="1059">
        <f t="shared" si="13"/>
        <v>110157</v>
      </c>
      <c r="L377" s="1057"/>
      <c r="M377" s="1058">
        <v>935</v>
      </c>
      <c r="N377" s="1058">
        <v>0</v>
      </c>
      <c r="O377" s="1057">
        <v>8835</v>
      </c>
      <c r="P377" s="1059">
        <f t="shared" si="14"/>
        <v>9770</v>
      </c>
      <c r="Q377" s="1057"/>
      <c r="R377" s="1058">
        <v>50148</v>
      </c>
      <c r="S377" s="1057">
        <v>-8146</v>
      </c>
      <c r="T377" s="1060">
        <v>42002</v>
      </c>
    </row>
    <row r="378" spans="1:20" x14ac:dyDescent="0.25">
      <c r="A378" s="1054">
        <v>93821</v>
      </c>
      <c r="B378" s="1055" t="s">
        <v>4142</v>
      </c>
      <c r="C378" s="1056">
        <v>5.6799999999999998E-5</v>
      </c>
      <c r="D378" s="1056">
        <v>2.9899999999999998E-5</v>
      </c>
      <c r="E378" s="1057">
        <v>134749</v>
      </c>
      <c r="F378" s="1057" t="s">
        <v>187</v>
      </c>
      <c r="G378" s="1058">
        <v>20789</v>
      </c>
      <c r="H378" s="1059">
        <v>18497</v>
      </c>
      <c r="I378" s="1058">
        <v>35757</v>
      </c>
      <c r="J378" s="1057">
        <v>51463</v>
      </c>
      <c r="K378" s="1059">
        <f t="shared" si="13"/>
        <v>126506</v>
      </c>
      <c r="L378" s="1057"/>
      <c r="M378" s="1058">
        <v>698</v>
      </c>
      <c r="N378" s="1058">
        <v>0</v>
      </c>
      <c r="O378" s="1057">
        <v>258</v>
      </c>
      <c r="P378" s="1059">
        <f t="shared" si="14"/>
        <v>956</v>
      </c>
      <c r="Q378" s="1057"/>
      <c r="R378" s="1058">
        <v>37430</v>
      </c>
      <c r="S378" s="1057">
        <v>17809</v>
      </c>
      <c r="T378" s="1060">
        <v>55239</v>
      </c>
    </row>
    <row r="379" spans="1:20" x14ac:dyDescent="0.25">
      <c r="A379" s="1054">
        <v>93901</v>
      </c>
      <c r="B379" s="1055" t="s">
        <v>2933</v>
      </c>
      <c r="C379" s="1056">
        <v>1.7718E-3</v>
      </c>
      <c r="D379" s="1056">
        <v>1.7974E-3</v>
      </c>
      <c r="E379" s="1057">
        <v>4203316</v>
      </c>
      <c r="F379" s="1057" t="s">
        <v>187</v>
      </c>
      <c r="G379" s="1058">
        <v>648472</v>
      </c>
      <c r="H379" s="1059">
        <v>576990</v>
      </c>
      <c r="I379" s="1058">
        <v>1115398</v>
      </c>
      <c r="J379" s="1057">
        <v>112021</v>
      </c>
      <c r="K379" s="1059">
        <f t="shared" si="13"/>
        <v>2452881</v>
      </c>
      <c r="L379" s="1057"/>
      <c r="M379" s="1058">
        <v>21759</v>
      </c>
      <c r="N379" s="1058">
        <v>0</v>
      </c>
      <c r="O379" s="1057">
        <v>0</v>
      </c>
      <c r="P379" s="1059">
        <f t="shared" si="14"/>
        <v>21759</v>
      </c>
      <c r="Q379" s="1057"/>
      <c r="R379" s="1058">
        <v>1167568</v>
      </c>
      <c r="S379" s="1057">
        <v>46506</v>
      </c>
      <c r="T379" s="1060">
        <v>1214074</v>
      </c>
    </row>
    <row r="380" spans="1:20" x14ac:dyDescent="0.25">
      <c r="A380" s="1054">
        <v>93904</v>
      </c>
      <c r="B380" s="1055" t="s">
        <v>2934</v>
      </c>
      <c r="C380" s="1056">
        <v>3.3099999999999998E-5</v>
      </c>
      <c r="D380" s="1056">
        <v>3.0000000000000001E-5</v>
      </c>
      <c r="E380" s="1057">
        <v>78525</v>
      </c>
      <c r="F380" s="1057" t="s">
        <v>187</v>
      </c>
      <c r="G380" s="1058">
        <v>12114</v>
      </c>
      <c r="H380" s="1059">
        <v>10779</v>
      </c>
      <c r="I380" s="1058">
        <v>20837</v>
      </c>
      <c r="J380" s="1057">
        <v>12315</v>
      </c>
      <c r="K380" s="1059">
        <f t="shared" si="13"/>
        <v>56045</v>
      </c>
      <c r="L380" s="1057"/>
      <c r="M380" s="1058">
        <v>407</v>
      </c>
      <c r="N380" s="1058">
        <v>0</v>
      </c>
      <c r="O380" s="1057">
        <v>0</v>
      </c>
      <c r="P380" s="1059">
        <f t="shared" si="14"/>
        <v>407</v>
      </c>
      <c r="Q380" s="1057"/>
      <c r="R380" s="1058">
        <v>21812</v>
      </c>
      <c r="S380" s="1057">
        <v>4588</v>
      </c>
      <c r="T380" s="1060">
        <v>26400</v>
      </c>
    </row>
    <row r="381" spans="1:20" x14ac:dyDescent="0.25">
      <c r="A381" s="1054">
        <v>93906</v>
      </c>
      <c r="B381" s="1055" t="s">
        <v>2935</v>
      </c>
      <c r="C381" s="1056">
        <v>3.1683000000000002E-3</v>
      </c>
      <c r="D381" s="1056">
        <v>3.3882000000000001E-3</v>
      </c>
      <c r="E381" s="1057">
        <v>7516291</v>
      </c>
      <c r="F381" s="1057" t="s">
        <v>187</v>
      </c>
      <c r="G381" s="1058">
        <v>1159585</v>
      </c>
      <c r="H381" s="1059">
        <v>1031763</v>
      </c>
      <c r="I381" s="1058">
        <v>1994534</v>
      </c>
      <c r="J381" s="1057">
        <v>0</v>
      </c>
      <c r="K381" s="1059">
        <f t="shared" si="13"/>
        <v>4185882</v>
      </c>
      <c r="L381" s="1057"/>
      <c r="M381" s="1058">
        <v>38910</v>
      </c>
      <c r="N381" s="1058">
        <v>0</v>
      </c>
      <c r="O381" s="1057">
        <v>309182</v>
      </c>
      <c r="P381" s="1059">
        <f t="shared" si="14"/>
        <v>348092</v>
      </c>
      <c r="Q381" s="1057"/>
      <c r="R381" s="1058">
        <v>2087824</v>
      </c>
      <c r="S381" s="1057">
        <v>-113805</v>
      </c>
      <c r="T381" s="1060">
        <v>1974019</v>
      </c>
    </row>
    <row r="382" spans="1:20" x14ac:dyDescent="0.25">
      <c r="A382" s="1054">
        <v>93908</v>
      </c>
      <c r="B382" s="1055" t="s">
        <v>3585</v>
      </c>
      <c r="C382" s="1056">
        <v>4.6920000000000002E-4</v>
      </c>
      <c r="D382" s="1056">
        <v>5.1219999999999998E-4</v>
      </c>
      <c r="E382" s="1057">
        <v>1113103</v>
      </c>
      <c r="F382" s="1057" t="s">
        <v>187</v>
      </c>
      <c r="G382" s="1058">
        <v>171725</v>
      </c>
      <c r="H382" s="1059">
        <v>152796</v>
      </c>
      <c r="I382" s="1058">
        <v>295375</v>
      </c>
      <c r="J382" s="1057">
        <v>6110</v>
      </c>
      <c r="K382" s="1059">
        <f t="shared" si="13"/>
        <v>626006</v>
      </c>
      <c r="L382" s="1057"/>
      <c r="M382" s="1058">
        <v>5762</v>
      </c>
      <c r="N382" s="1058">
        <v>0</v>
      </c>
      <c r="O382" s="1057">
        <v>27396</v>
      </c>
      <c r="P382" s="1059">
        <f t="shared" si="14"/>
        <v>33158</v>
      </c>
      <c r="Q382" s="1057"/>
      <c r="R382" s="1058">
        <v>309190</v>
      </c>
      <c r="S382" s="1057">
        <v>-7217</v>
      </c>
      <c r="T382" s="1060">
        <v>301973</v>
      </c>
    </row>
    <row r="383" spans="1:20" x14ac:dyDescent="0.25">
      <c r="A383" s="1054">
        <v>93910</v>
      </c>
      <c r="B383" s="1055" t="s">
        <v>2937</v>
      </c>
      <c r="C383" s="1056">
        <v>2.5769999999999998E-4</v>
      </c>
      <c r="D383" s="1056">
        <v>2.786E-4</v>
      </c>
      <c r="E383" s="1057">
        <v>611353</v>
      </c>
      <c r="F383" s="1057" t="s">
        <v>187</v>
      </c>
      <c r="G383" s="1058">
        <v>94317</v>
      </c>
      <c r="H383" s="1059">
        <v>83921</v>
      </c>
      <c r="I383" s="1058">
        <v>162229</v>
      </c>
      <c r="J383" s="1057">
        <v>0</v>
      </c>
      <c r="K383" s="1059">
        <f t="shared" si="13"/>
        <v>340467</v>
      </c>
      <c r="L383" s="1057"/>
      <c r="M383" s="1058">
        <v>3165</v>
      </c>
      <c r="N383" s="1058">
        <v>0</v>
      </c>
      <c r="O383" s="1057">
        <v>35418</v>
      </c>
      <c r="P383" s="1059">
        <f t="shared" si="14"/>
        <v>38583</v>
      </c>
      <c r="Q383" s="1057"/>
      <c r="R383" s="1058">
        <v>169817</v>
      </c>
      <c r="S383" s="1057">
        <v>-18432</v>
      </c>
      <c r="T383" s="1060">
        <v>151385</v>
      </c>
    </row>
    <row r="384" spans="1:20" x14ac:dyDescent="0.25">
      <c r="A384" s="1054">
        <v>93911</v>
      </c>
      <c r="B384" s="1055" t="s">
        <v>2938</v>
      </c>
      <c r="C384" s="1056">
        <v>6.5010000000000003E-4</v>
      </c>
      <c r="D384" s="1056">
        <v>6.3429999999999997E-4</v>
      </c>
      <c r="E384" s="1057">
        <v>1542260</v>
      </c>
      <c r="F384" s="1057" t="s">
        <v>187</v>
      </c>
      <c r="G384" s="1058">
        <v>237934</v>
      </c>
      <c r="H384" s="1059">
        <v>211706</v>
      </c>
      <c r="I384" s="1058">
        <v>409256</v>
      </c>
      <c r="J384" s="1057">
        <v>18849</v>
      </c>
      <c r="K384" s="1059">
        <f t="shared" si="13"/>
        <v>877745</v>
      </c>
      <c r="L384" s="1057"/>
      <c r="M384" s="1058">
        <v>7984</v>
      </c>
      <c r="N384" s="1058">
        <v>0</v>
      </c>
      <c r="O384" s="1057">
        <v>38804</v>
      </c>
      <c r="P384" s="1059">
        <f t="shared" si="14"/>
        <v>46788</v>
      </c>
      <c r="Q384" s="1057"/>
      <c r="R384" s="1058">
        <v>428398</v>
      </c>
      <c r="S384" s="1057">
        <v>-3385</v>
      </c>
      <c r="T384" s="1060">
        <v>425013</v>
      </c>
    </row>
    <row r="385" spans="1:20" x14ac:dyDescent="0.25">
      <c r="A385" s="1054">
        <v>93913</v>
      </c>
      <c r="B385" s="1055" t="s">
        <v>2939</v>
      </c>
      <c r="C385" s="1056">
        <v>5.8799999999999999E-5</v>
      </c>
      <c r="D385" s="1056">
        <v>5.8799999999999999E-5</v>
      </c>
      <c r="E385" s="1057">
        <v>139494</v>
      </c>
      <c r="F385" s="1057" t="s">
        <v>187</v>
      </c>
      <c r="G385" s="1058">
        <v>21521</v>
      </c>
      <c r="H385" s="1059">
        <v>19148</v>
      </c>
      <c r="I385" s="1058">
        <v>37016</v>
      </c>
      <c r="J385" s="1057">
        <v>4809</v>
      </c>
      <c r="K385" s="1059">
        <f t="shared" si="13"/>
        <v>82494</v>
      </c>
      <c r="L385" s="1057"/>
      <c r="M385" s="1058">
        <v>722</v>
      </c>
      <c r="N385" s="1058">
        <v>0</v>
      </c>
      <c r="O385" s="1057">
        <v>526</v>
      </c>
      <c r="P385" s="1059">
        <f t="shared" si="14"/>
        <v>1248</v>
      </c>
      <c r="Q385" s="1057"/>
      <c r="R385" s="1058">
        <v>38748</v>
      </c>
      <c r="S385" s="1057">
        <v>1207</v>
      </c>
      <c r="T385" s="1060">
        <v>39955</v>
      </c>
    </row>
    <row r="386" spans="1:20" x14ac:dyDescent="0.25">
      <c r="A386" s="1054">
        <v>93914</v>
      </c>
      <c r="B386" s="1055" t="s">
        <v>4143</v>
      </c>
      <c r="C386" s="1056">
        <v>7.1999999999999997E-6</v>
      </c>
      <c r="D386" s="1056">
        <v>8.1000000000000004E-6</v>
      </c>
      <c r="E386" s="1057">
        <v>17081</v>
      </c>
      <c r="F386" s="1057" t="s">
        <v>187</v>
      </c>
      <c r="G386" s="1058">
        <v>2635</v>
      </c>
      <c r="H386" s="1059">
        <v>2345</v>
      </c>
      <c r="I386" s="1058">
        <v>4533</v>
      </c>
      <c r="J386" s="1057">
        <v>4000</v>
      </c>
      <c r="K386" s="1059">
        <f t="shared" si="13"/>
        <v>13513</v>
      </c>
      <c r="L386" s="1057"/>
      <c r="M386" s="1058">
        <v>88</v>
      </c>
      <c r="N386" s="1058">
        <v>0</v>
      </c>
      <c r="O386" s="1057">
        <v>0</v>
      </c>
      <c r="P386" s="1059">
        <f t="shared" si="14"/>
        <v>88</v>
      </c>
      <c r="Q386" s="1057"/>
      <c r="R386" s="1058">
        <v>4745</v>
      </c>
      <c r="S386" s="1057">
        <v>2002</v>
      </c>
      <c r="T386" s="1060">
        <v>6747</v>
      </c>
    </row>
    <row r="387" spans="1:20" x14ac:dyDescent="0.25">
      <c r="A387" s="1054">
        <v>93921</v>
      </c>
      <c r="B387" s="1055" t="s">
        <v>2941</v>
      </c>
      <c r="C387" s="1056">
        <v>2.8259999999999998E-4</v>
      </c>
      <c r="D387" s="1056">
        <v>2.9020000000000001E-4</v>
      </c>
      <c r="E387" s="1057">
        <v>670424</v>
      </c>
      <c r="F387" s="1057" t="s">
        <v>187</v>
      </c>
      <c r="G387" s="1058">
        <v>103430</v>
      </c>
      <c r="H387" s="1059">
        <v>92030</v>
      </c>
      <c r="I387" s="1058">
        <v>177905</v>
      </c>
      <c r="J387" s="1057">
        <v>8166</v>
      </c>
      <c r="K387" s="1059">
        <f t="shared" si="13"/>
        <v>381531</v>
      </c>
      <c r="L387" s="1057"/>
      <c r="M387" s="1058">
        <v>3471</v>
      </c>
      <c r="N387" s="1058">
        <v>0</v>
      </c>
      <c r="O387" s="1057">
        <v>9312</v>
      </c>
      <c r="P387" s="1059">
        <f t="shared" si="14"/>
        <v>12783</v>
      </c>
      <c r="Q387" s="1057"/>
      <c r="R387" s="1058">
        <v>186226</v>
      </c>
      <c r="S387" s="1057">
        <v>4786</v>
      </c>
      <c r="T387" s="1060">
        <v>191012</v>
      </c>
    </row>
    <row r="388" spans="1:20" x14ac:dyDescent="0.25">
      <c r="A388" s="1054">
        <v>93931</v>
      </c>
      <c r="B388" s="1055" t="s">
        <v>4144</v>
      </c>
      <c r="C388" s="1056">
        <v>5.4460000000000001E-4</v>
      </c>
      <c r="D388" s="1056">
        <v>5.0029999999999996E-4</v>
      </c>
      <c r="E388" s="1057">
        <v>1291977</v>
      </c>
      <c r="F388" s="1057" t="s">
        <v>187</v>
      </c>
      <c r="G388" s="1058">
        <v>199321</v>
      </c>
      <c r="H388" s="1059">
        <v>177350</v>
      </c>
      <c r="I388" s="1058">
        <v>342841</v>
      </c>
      <c r="J388" s="1057">
        <v>27595</v>
      </c>
      <c r="K388" s="1059">
        <f t="shared" si="13"/>
        <v>747107</v>
      </c>
      <c r="L388" s="1057"/>
      <c r="M388" s="1058">
        <v>6688</v>
      </c>
      <c r="N388" s="1058">
        <v>0</v>
      </c>
      <c r="O388" s="1057">
        <v>28225</v>
      </c>
      <c r="P388" s="1059">
        <f t="shared" si="14"/>
        <v>34913</v>
      </c>
      <c r="Q388" s="1057"/>
      <c r="R388" s="1058">
        <v>358877</v>
      </c>
      <c r="S388" s="1057">
        <v>80772</v>
      </c>
      <c r="T388" s="1060">
        <v>439649</v>
      </c>
    </row>
    <row r="389" spans="1:20" x14ac:dyDescent="0.25">
      <c r="A389" s="1054">
        <v>94001</v>
      </c>
      <c r="B389" s="1055" t="s">
        <v>2943</v>
      </c>
      <c r="C389" s="1056">
        <v>9.366E-4</v>
      </c>
      <c r="D389" s="1056">
        <v>9.209E-4</v>
      </c>
      <c r="E389" s="1057">
        <v>2221936</v>
      </c>
      <c r="F389" s="1057" t="s">
        <v>187</v>
      </c>
      <c r="G389" s="1058">
        <v>342792</v>
      </c>
      <c r="H389" s="1059">
        <v>305006</v>
      </c>
      <c r="I389" s="1058">
        <v>589616</v>
      </c>
      <c r="J389" s="1057">
        <v>45071</v>
      </c>
      <c r="K389" s="1059">
        <f t="shared" si="13"/>
        <v>1282485</v>
      </c>
      <c r="L389" s="1057"/>
      <c r="M389" s="1058">
        <v>11502</v>
      </c>
      <c r="N389" s="1058">
        <v>0</v>
      </c>
      <c r="O389" s="1057">
        <v>944</v>
      </c>
      <c r="P389" s="1059">
        <f t="shared" si="14"/>
        <v>12446</v>
      </c>
      <c r="Q389" s="1057"/>
      <c r="R389" s="1058">
        <v>617194</v>
      </c>
      <c r="S389" s="1057">
        <v>-8755</v>
      </c>
      <c r="T389" s="1060">
        <v>608439</v>
      </c>
    </row>
    <row r="390" spans="1:20" x14ac:dyDescent="0.25">
      <c r="A390" s="1054">
        <v>94002</v>
      </c>
      <c r="B390" s="1055" t="s">
        <v>2944</v>
      </c>
      <c r="C390" s="1056">
        <v>5.9000000000000003E-6</v>
      </c>
      <c r="D390" s="1056">
        <v>7.0999999999999998E-6</v>
      </c>
      <c r="E390" s="1057">
        <v>13997</v>
      </c>
      <c r="F390" s="1057" t="s">
        <v>187</v>
      </c>
      <c r="G390" s="1058">
        <v>2159</v>
      </c>
      <c r="H390" s="1059">
        <v>1921</v>
      </c>
      <c r="I390" s="1058">
        <v>3714</v>
      </c>
      <c r="J390" s="1057">
        <v>1637</v>
      </c>
      <c r="K390" s="1059">
        <f t="shared" si="13"/>
        <v>9431</v>
      </c>
      <c r="L390" s="1057"/>
      <c r="M390" s="1058">
        <v>72</v>
      </c>
      <c r="N390" s="1058">
        <v>0</v>
      </c>
      <c r="O390" s="1057">
        <v>0</v>
      </c>
      <c r="P390" s="1059">
        <f t="shared" si="14"/>
        <v>72</v>
      </c>
      <c r="Q390" s="1057"/>
      <c r="R390" s="1058">
        <v>3888</v>
      </c>
      <c r="S390" s="1057">
        <v>404</v>
      </c>
      <c r="T390" s="1060">
        <v>4292</v>
      </c>
    </row>
    <row r="391" spans="1:20" x14ac:dyDescent="0.25">
      <c r="A391" s="1054">
        <v>94004</v>
      </c>
      <c r="B391" s="1055" t="s">
        <v>2945</v>
      </c>
      <c r="C391" s="1056">
        <v>7.3000000000000004E-6</v>
      </c>
      <c r="D391" s="1056">
        <v>7.3000000000000004E-6</v>
      </c>
      <c r="E391" s="1057">
        <v>17318</v>
      </c>
      <c r="F391" s="1057" t="s">
        <v>187</v>
      </c>
      <c r="G391" s="1058">
        <v>2672</v>
      </c>
      <c r="H391" s="1059">
        <v>2377</v>
      </c>
      <c r="I391" s="1058">
        <v>4596</v>
      </c>
      <c r="J391" s="1057">
        <v>4289</v>
      </c>
      <c r="K391" s="1059">
        <f t="shared" si="13"/>
        <v>13934</v>
      </c>
      <c r="L391" s="1057"/>
      <c r="M391" s="1058">
        <v>90</v>
      </c>
      <c r="N391" s="1058">
        <v>0</v>
      </c>
      <c r="O391" s="1057">
        <v>35</v>
      </c>
      <c r="P391" s="1059">
        <f t="shared" si="14"/>
        <v>125</v>
      </c>
      <c r="Q391" s="1057"/>
      <c r="R391" s="1058">
        <v>4811</v>
      </c>
      <c r="S391" s="1057">
        <v>918</v>
      </c>
      <c r="T391" s="1060">
        <v>5729</v>
      </c>
    </row>
    <row r="392" spans="1:20" x14ac:dyDescent="0.25">
      <c r="A392" s="1054">
        <v>94005</v>
      </c>
      <c r="B392" s="1055" t="s">
        <v>2946</v>
      </c>
      <c r="C392" s="1056">
        <v>4.6999999999999999E-6</v>
      </c>
      <c r="D392" s="1056">
        <v>0</v>
      </c>
      <c r="E392" s="1057">
        <v>11150</v>
      </c>
      <c r="F392" s="1057" t="s">
        <v>187</v>
      </c>
      <c r="G392" s="1058">
        <v>1720</v>
      </c>
      <c r="H392" s="1059">
        <v>1531</v>
      </c>
      <c r="I392" s="1058">
        <v>2959</v>
      </c>
      <c r="J392" s="1057">
        <v>3483</v>
      </c>
      <c r="K392" s="1059">
        <f t="shared" si="13"/>
        <v>9693</v>
      </c>
      <c r="L392" s="1057"/>
      <c r="M392" s="1058">
        <v>58</v>
      </c>
      <c r="N392" s="1058">
        <v>0</v>
      </c>
      <c r="O392" s="1057">
        <v>3881</v>
      </c>
      <c r="P392" s="1059">
        <f t="shared" si="14"/>
        <v>3939</v>
      </c>
      <c r="Q392" s="1057"/>
      <c r="R392" s="1058">
        <v>3097</v>
      </c>
      <c r="S392" s="1057">
        <v>-1112</v>
      </c>
      <c r="T392" s="1060">
        <v>1985</v>
      </c>
    </row>
    <row r="393" spans="1:20" x14ac:dyDescent="0.25">
      <c r="A393" s="1054">
        <v>94011</v>
      </c>
      <c r="B393" s="1055" t="s">
        <v>4145</v>
      </c>
      <c r="C393" s="1056">
        <v>2.8399999999999999E-5</v>
      </c>
      <c r="D393" s="1056">
        <v>2.3600000000000001E-5</v>
      </c>
      <c r="E393" s="1057">
        <v>67375</v>
      </c>
      <c r="F393" s="1057" t="s">
        <v>187</v>
      </c>
      <c r="G393" s="1058">
        <v>10394</v>
      </c>
      <c r="H393" s="1059">
        <v>9249</v>
      </c>
      <c r="I393" s="1058">
        <v>17879</v>
      </c>
      <c r="J393" s="1057">
        <v>3892</v>
      </c>
      <c r="K393" s="1059">
        <f t="shared" si="13"/>
        <v>41414</v>
      </c>
      <c r="L393" s="1057"/>
      <c r="M393" s="1058">
        <v>349</v>
      </c>
      <c r="N393" s="1058">
        <v>0</v>
      </c>
      <c r="O393" s="1057">
        <v>2020</v>
      </c>
      <c r="P393" s="1059">
        <f t="shared" si="14"/>
        <v>2369</v>
      </c>
      <c r="Q393" s="1057"/>
      <c r="R393" s="1058">
        <v>18715</v>
      </c>
      <c r="S393" s="1057">
        <v>438</v>
      </c>
      <c r="T393" s="1060">
        <v>19153</v>
      </c>
    </row>
    <row r="394" spans="1:20" x14ac:dyDescent="0.25">
      <c r="A394" s="1054">
        <v>94021</v>
      </c>
      <c r="B394" s="1055" t="s">
        <v>4146</v>
      </c>
      <c r="C394" s="1056">
        <v>8.8800000000000004E-5</v>
      </c>
      <c r="D394" s="1056">
        <v>9.3399999999999993E-5</v>
      </c>
      <c r="E394" s="1057">
        <v>210664</v>
      </c>
      <c r="F394" s="1057" t="s">
        <v>187</v>
      </c>
      <c r="G394" s="1058">
        <v>32500</v>
      </c>
      <c r="H394" s="1059">
        <v>28917</v>
      </c>
      <c r="I394" s="1058">
        <v>55902</v>
      </c>
      <c r="J394" s="1057">
        <v>11919</v>
      </c>
      <c r="K394" s="1059">
        <f t="shared" si="13"/>
        <v>129238</v>
      </c>
      <c r="L394" s="1057"/>
      <c r="M394" s="1058">
        <v>1091</v>
      </c>
      <c r="N394" s="1058">
        <v>0</v>
      </c>
      <c r="O394" s="1057">
        <v>0</v>
      </c>
      <c r="P394" s="1059">
        <f t="shared" si="14"/>
        <v>1091</v>
      </c>
      <c r="Q394" s="1057"/>
      <c r="R394" s="1058">
        <v>58517</v>
      </c>
      <c r="S394" s="1057">
        <v>8639</v>
      </c>
      <c r="T394" s="1060">
        <v>67156</v>
      </c>
    </row>
    <row r="395" spans="1:20" x14ac:dyDescent="0.25">
      <c r="A395" s="1054">
        <v>94031</v>
      </c>
      <c r="B395" s="1055" t="s">
        <v>4147</v>
      </c>
      <c r="C395" s="1056">
        <v>4.8999999999999997E-6</v>
      </c>
      <c r="D395" s="1056">
        <v>5.4E-6</v>
      </c>
      <c r="E395" s="1057">
        <v>11624</v>
      </c>
      <c r="F395" s="1057" t="s">
        <v>187</v>
      </c>
      <c r="G395" s="1058">
        <v>1793</v>
      </c>
      <c r="H395" s="1059">
        <v>1596</v>
      </c>
      <c r="I395" s="1058">
        <v>3085</v>
      </c>
      <c r="J395" s="1057">
        <v>7753</v>
      </c>
      <c r="K395" s="1059">
        <f t="shared" si="13"/>
        <v>14227</v>
      </c>
      <c r="L395" s="1057"/>
      <c r="M395" s="1058">
        <v>60</v>
      </c>
      <c r="N395" s="1058">
        <v>0</v>
      </c>
      <c r="O395" s="1057">
        <v>0</v>
      </c>
      <c r="P395" s="1059">
        <f t="shared" si="14"/>
        <v>60</v>
      </c>
      <c r="Q395" s="1057"/>
      <c r="R395" s="1058">
        <v>3229</v>
      </c>
      <c r="S395" s="1057">
        <v>3678</v>
      </c>
      <c r="T395" s="1060">
        <v>6907</v>
      </c>
    </row>
    <row r="396" spans="1:20" x14ac:dyDescent="0.25">
      <c r="A396" s="1054">
        <v>94101</v>
      </c>
      <c r="B396" s="1055" t="s">
        <v>2950</v>
      </c>
      <c r="C396" s="1056">
        <v>1.8137199999999999E-2</v>
      </c>
      <c r="D396" s="1056">
        <v>1.8321799999999999E-2</v>
      </c>
      <c r="E396" s="1057">
        <v>43027641</v>
      </c>
      <c r="F396" s="1057" t="s">
        <v>187</v>
      </c>
      <c r="G396" s="1058">
        <v>6638143</v>
      </c>
      <c r="H396" s="1059">
        <v>5906416</v>
      </c>
      <c r="I396" s="1058">
        <v>11417875</v>
      </c>
      <c r="J396" s="1057">
        <v>156015</v>
      </c>
      <c r="K396" s="1059">
        <f t="shared" si="13"/>
        <v>24118449</v>
      </c>
      <c r="L396" s="1057"/>
      <c r="M396" s="1058">
        <v>222743</v>
      </c>
      <c r="N396" s="1058">
        <v>0</v>
      </c>
      <c r="O396" s="1057">
        <v>304690</v>
      </c>
      <c r="P396" s="1059">
        <f t="shared" si="14"/>
        <v>527433</v>
      </c>
      <c r="Q396" s="1057"/>
      <c r="R396" s="1058">
        <v>11951925</v>
      </c>
      <c r="S396" s="1057">
        <v>-259645</v>
      </c>
      <c r="T396" s="1060">
        <v>11692280</v>
      </c>
    </row>
    <row r="397" spans="1:20" x14ac:dyDescent="0.25">
      <c r="A397" s="1054">
        <v>94102</v>
      </c>
      <c r="B397" s="1055" t="s">
        <v>2951</v>
      </c>
      <c r="C397" s="1056">
        <v>2.8909999999999998E-4</v>
      </c>
      <c r="D397" s="1056">
        <v>2.965E-4</v>
      </c>
      <c r="E397" s="1057">
        <v>685844</v>
      </c>
      <c r="F397" s="1057" t="s">
        <v>187</v>
      </c>
      <c r="G397" s="1058">
        <v>105809</v>
      </c>
      <c r="H397" s="1059">
        <v>94146</v>
      </c>
      <c r="I397" s="1058">
        <v>181997</v>
      </c>
      <c r="J397" s="1057">
        <v>0</v>
      </c>
      <c r="K397" s="1059">
        <f t="shared" ref="K397:K460" si="15">G397+H397+I397+J397</f>
        <v>381952</v>
      </c>
      <c r="L397" s="1057"/>
      <c r="M397" s="1058">
        <v>3550</v>
      </c>
      <c r="N397" s="1058">
        <v>0</v>
      </c>
      <c r="O397" s="1057">
        <v>53559</v>
      </c>
      <c r="P397" s="1059">
        <f t="shared" ref="P397:P460" si="16">M397+N397+O397</f>
        <v>57109</v>
      </c>
      <c r="Q397" s="1057"/>
      <c r="R397" s="1058">
        <v>190509</v>
      </c>
      <c r="S397" s="1057">
        <v>-18988</v>
      </c>
      <c r="T397" s="1060">
        <v>171521</v>
      </c>
    </row>
    <row r="398" spans="1:20" x14ac:dyDescent="0.25">
      <c r="A398" s="1054">
        <v>94108</v>
      </c>
      <c r="B398" s="1055" t="s">
        <v>2952</v>
      </c>
      <c r="C398" s="1056">
        <v>3.8549999999999999E-4</v>
      </c>
      <c r="D398" s="1056">
        <v>3.1389999999999999E-4</v>
      </c>
      <c r="E398" s="1057">
        <v>914538</v>
      </c>
      <c r="F398" s="1057" t="s">
        <v>187</v>
      </c>
      <c r="G398" s="1058">
        <v>141091</v>
      </c>
      <c r="H398" s="1059">
        <v>125539</v>
      </c>
      <c r="I398" s="1058">
        <v>242683</v>
      </c>
      <c r="J398" s="1057">
        <v>13586</v>
      </c>
      <c r="K398" s="1059">
        <f t="shared" si="15"/>
        <v>522899</v>
      </c>
      <c r="L398" s="1057"/>
      <c r="M398" s="1058">
        <v>4734</v>
      </c>
      <c r="N398" s="1058">
        <v>0</v>
      </c>
      <c r="O398" s="1057">
        <v>61281</v>
      </c>
      <c r="P398" s="1059">
        <f t="shared" si="16"/>
        <v>66015</v>
      </c>
      <c r="Q398" s="1057"/>
      <c r="R398" s="1058">
        <v>254034</v>
      </c>
      <c r="S398" s="1057">
        <v>-43929</v>
      </c>
      <c r="T398" s="1060">
        <v>210105</v>
      </c>
    </row>
    <row r="399" spans="1:20" x14ac:dyDescent="0.25">
      <c r="A399" s="1054">
        <v>94109</v>
      </c>
      <c r="B399" s="1055" t="s">
        <v>2953</v>
      </c>
      <c r="C399" s="1056">
        <v>9.8200000000000002E-5</v>
      </c>
      <c r="D399" s="1056">
        <v>9.09E-5</v>
      </c>
      <c r="E399" s="1057">
        <v>232964</v>
      </c>
      <c r="F399" s="1057" t="s">
        <v>187</v>
      </c>
      <c r="G399" s="1058">
        <v>35941</v>
      </c>
      <c r="H399" s="1059">
        <v>31979</v>
      </c>
      <c r="I399" s="1058">
        <v>61820</v>
      </c>
      <c r="J399" s="1057">
        <v>0</v>
      </c>
      <c r="K399" s="1059">
        <f t="shared" si="15"/>
        <v>129740</v>
      </c>
      <c r="L399" s="1057"/>
      <c r="M399" s="1058">
        <v>1206</v>
      </c>
      <c r="N399" s="1058">
        <v>0</v>
      </c>
      <c r="O399" s="1057">
        <v>33379</v>
      </c>
      <c r="P399" s="1059">
        <f t="shared" si="16"/>
        <v>34585</v>
      </c>
      <c r="Q399" s="1057"/>
      <c r="R399" s="1058">
        <v>64711</v>
      </c>
      <c r="S399" s="1057">
        <v>-14342</v>
      </c>
      <c r="T399" s="1060">
        <v>50369</v>
      </c>
    </row>
    <row r="400" spans="1:20" x14ac:dyDescent="0.25">
      <c r="A400" s="1054">
        <v>94111</v>
      </c>
      <c r="B400" s="1055" t="s">
        <v>2954</v>
      </c>
      <c r="C400" s="1056">
        <v>2.4882899999999999E-2</v>
      </c>
      <c r="D400" s="1056">
        <v>2.5682300000000002E-2</v>
      </c>
      <c r="E400" s="1057">
        <v>59030749</v>
      </c>
      <c r="F400" s="1057" t="s">
        <v>187</v>
      </c>
      <c r="G400" s="1058">
        <v>9107042</v>
      </c>
      <c r="H400" s="1059">
        <v>8103166</v>
      </c>
      <c r="I400" s="1058">
        <v>15664482</v>
      </c>
      <c r="J400" s="1057">
        <v>0</v>
      </c>
      <c r="K400" s="1059">
        <f t="shared" si="15"/>
        <v>32874690</v>
      </c>
      <c r="L400" s="1057"/>
      <c r="M400" s="1058">
        <v>305587</v>
      </c>
      <c r="N400" s="1058">
        <v>0</v>
      </c>
      <c r="O400" s="1057">
        <v>1628449</v>
      </c>
      <c r="P400" s="1059">
        <f t="shared" si="16"/>
        <v>1934036</v>
      </c>
      <c r="Q400" s="1057"/>
      <c r="R400" s="1058">
        <v>16397159</v>
      </c>
      <c r="S400" s="1057">
        <v>-691916</v>
      </c>
      <c r="T400" s="1060">
        <v>15705243</v>
      </c>
    </row>
    <row r="401" spans="1:20" x14ac:dyDescent="0.25">
      <c r="A401" s="1054">
        <v>94112</v>
      </c>
      <c r="B401" s="1055" t="s">
        <v>4148</v>
      </c>
      <c r="C401" s="1056">
        <v>1.684E-4</v>
      </c>
      <c r="D401" s="1056">
        <v>1.6699999999999999E-4</v>
      </c>
      <c r="E401" s="1057">
        <v>399502</v>
      </c>
      <c r="F401" s="1057" t="s">
        <v>187</v>
      </c>
      <c r="G401" s="1058">
        <v>61634</v>
      </c>
      <c r="H401" s="1059">
        <v>54840</v>
      </c>
      <c r="I401" s="1058">
        <v>106013</v>
      </c>
      <c r="J401" s="1057">
        <v>0</v>
      </c>
      <c r="K401" s="1059">
        <f t="shared" si="15"/>
        <v>222487</v>
      </c>
      <c r="L401" s="1057"/>
      <c r="M401" s="1058">
        <v>2068</v>
      </c>
      <c r="N401" s="1058">
        <v>0</v>
      </c>
      <c r="O401" s="1057">
        <v>14012</v>
      </c>
      <c r="P401" s="1059">
        <f t="shared" si="16"/>
        <v>16080</v>
      </c>
      <c r="Q401" s="1057"/>
      <c r="R401" s="1058">
        <v>110971</v>
      </c>
      <c r="S401" s="1057">
        <v>-9395</v>
      </c>
      <c r="T401" s="1060">
        <v>101576</v>
      </c>
    </row>
    <row r="402" spans="1:20" x14ac:dyDescent="0.25">
      <c r="A402" s="1054">
        <v>94117</v>
      </c>
      <c r="B402" s="1055" t="s">
        <v>2956</v>
      </c>
      <c r="C402" s="1056">
        <v>3.5429999999999999E-4</v>
      </c>
      <c r="D402" s="1056">
        <v>3.9809999999999997E-4</v>
      </c>
      <c r="E402" s="1057">
        <v>840521</v>
      </c>
      <c r="F402" s="1057" t="s">
        <v>187</v>
      </c>
      <c r="G402" s="1058">
        <v>129672</v>
      </c>
      <c r="H402" s="1059">
        <v>115378</v>
      </c>
      <c r="I402" s="1058">
        <v>223042</v>
      </c>
      <c r="J402" s="1057">
        <v>3605</v>
      </c>
      <c r="K402" s="1059">
        <f t="shared" si="15"/>
        <v>471697</v>
      </c>
      <c r="L402" s="1057"/>
      <c r="M402" s="1058">
        <v>4351</v>
      </c>
      <c r="N402" s="1058">
        <v>0</v>
      </c>
      <c r="O402" s="1057">
        <v>34793</v>
      </c>
      <c r="P402" s="1059">
        <f t="shared" si="16"/>
        <v>39144</v>
      </c>
      <c r="Q402" s="1057"/>
      <c r="R402" s="1058">
        <v>233474</v>
      </c>
      <c r="S402" s="1057">
        <v>-6033</v>
      </c>
      <c r="T402" s="1060">
        <v>227441</v>
      </c>
    </row>
    <row r="403" spans="1:20" x14ac:dyDescent="0.25">
      <c r="A403" s="1054">
        <v>94118</v>
      </c>
      <c r="B403" s="1055" t="s">
        <v>2957</v>
      </c>
      <c r="C403" s="1056">
        <v>1.6009999999999999E-4</v>
      </c>
      <c r="D403" s="1056">
        <v>1.494E-4</v>
      </c>
      <c r="E403" s="1057">
        <v>379812</v>
      </c>
      <c r="F403" s="1057" t="s">
        <v>187</v>
      </c>
      <c r="G403" s="1058">
        <v>58596</v>
      </c>
      <c r="H403" s="1059">
        <v>52137</v>
      </c>
      <c r="I403" s="1058">
        <v>100787</v>
      </c>
      <c r="J403" s="1057">
        <v>0</v>
      </c>
      <c r="K403" s="1059">
        <f t="shared" si="15"/>
        <v>211520</v>
      </c>
      <c r="L403" s="1057"/>
      <c r="M403" s="1058">
        <v>1966</v>
      </c>
      <c r="N403" s="1058">
        <v>0</v>
      </c>
      <c r="O403" s="1057">
        <v>35288</v>
      </c>
      <c r="P403" s="1059">
        <f t="shared" si="16"/>
        <v>37254</v>
      </c>
      <c r="Q403" s="1057"/>
      <c r="R403" s="1058">
        <v>105502</v>
      </c>
      <c r="S403" s="1057">
        <v>-25547</v>
      </c>
      <c r="T403" s="1060">
        <v>79955</v>
      </c>
    </row>
    <row r="404" spans="1:20" x14ac:dyDescent="0.25">
      <c r="A404" s="1054">
        <v>94121</v>
      </c>
      <c r="B404" s="1055" t="s">
        <v>2958</v>
      </c>
      <c r="C404" s="1056">
        <v>1.1314299999999999E-2</v>
      </c>
      <c r="D404" s="1056">
        <v>1.1246000000000001E-2</v>
      </c>
      <c r="E404" s="1057">
        <v>26841389</v>
      </c>
      <c r="F404" s="1057" t="s">
        <v>187</v>
      </c>
      <c r="G404" s="1058">
        <v>4140989</v>
      </c>
      <c r="H404" s="1059">
        <v>3684524</v>
      </c>
      <c r="I404" s="1058">
        <v>7122669</v>
      </c>
      <c r="J404" s="1057">
        <v>178797</v>
      </c>
      <c r="K404" s="1059">
        <f t="shared" si="15"/>
        <v>15126979</v>
      </c>
      <c r="L404" s="1057"/>
      <c r="M404" s="1058">
        <v>138951</v>
      </c>
      <c r="N404" s="1058">
        <v>0</v>
      </c>
      <c r="O404" s="1057">
        <v>124923</v>
      </c>
      <c r="P404" s="1059">
        <f t="shared" si="16"/>
        <v>263874</v>
      </c>
      <c r="Q404" s="1057"/>
      <c r="R404" s="1058">
        <v>7455818</v>
      </c>
      <c r="S404" s="1057">
        <v>-92749</v>
      </c>
      <c r="T404" s="1060">
        <v>7363069</v>
      </c>
    </row>
    <row r="405" spans="1:20" x14ac:dyDescent="0.25">
      <c r="A405" s="1054">
        <v>94127</v>
      </c>
      <c r="B405" s="1055" t="s">
        <v>2959</v>
      </c>
      <c r="C405" s="1056">
        <v>1.5310000000000001E-4</v>
      </c>
      <c r="D405" s="1056">
        <v>1.7310000000000001E-4</v>
      </c>
      <c r="E405" s="1057">
        <v>363206</v>
      </c>
      <c r="F405" s="1057" t="s">
        <v>187</v>
      </c>
      <c r="G405" s="1058">
        <v>56034</v>
      </c>
      <c r="H405" s="1059">
        <v>49857</v>
      </c>
      <c r="I405" s="1058">
        <v>96381</v>
      </c>
      <c r="J405" s="1057">
        <v>5878</v>
      </c>
      <c r="K405" s="1059">
        <f t="shared" si="15"/>
        <v>208150</v>
      </c>
      <c r="L405" s="1057"/>
      <c r="M405" s="1058">
        <v>1880</v>
      </c>
      <c r="N405" s="1058">
        <v>0</v>
      </c>
      <c r="O405" s="1057">
        <v>12665</v>
      </c>
      <c r="P405" s="1059">
        <f t="shared" si="16"/>
        <v>14545</v>
      </c>
      <c r="Q405" s="1057"/>
      <c r="R405" s="1058">
        <v>100889</v>
      </c>
      <c r="S405" s="1057">
        <v>-521</v>
      </c>
      <c r="T405" s="1060">
        <v>100368</v>
      </c>
    </row>
    <row r="406" spans="1:20" x14ac:dyDescent="0.25">
      <c r="A406" s="1054">
        <v>94131</v>
      </c>
      <c r="B406" s="1055" t="s">
        <v>4149</v>
      </c>
      <c r="C406" s="1056">
        <v>2.039E-4</v>
      </c>
      <c r="D406" s="1056">
        <v>1.7479999999999999E-4</v>
      </c>
      <c r="E406" s="1057">
        <v>483721</v>
      </c>
      <c r="F406" s="1057" t="s">
        <v>187</v>
      </c>
      <c r="G406" s="1058">
        <v>74627</v>
      </c>
      <c r="H406" s="1059">
        <v>66401</v>
      </c>
      <c r="I406" s="1058">
        <v>128361</v>
      </c>
      <c r="J406" s="1057">
        <v>26135</v>
      </c>
      <c r="K406" s="1059">
        <f t="shared" si="15"/>
        <v>295524</v>
      </c>
      <c r="L406" s="1057"/>
      <c r="M406" s="1058">
        <v>2504</v>
      </c>
      <c r="N406" s="1058">
        <v>0</v>
      </c>
      <c r="O406" s="1057">
        <v>6379</v>
      </c>
      <c r="P406" s="1059">
        <f t="shared" si="16"/>
        <v>8883</v>
      </c>
      <c r="Q406" s="1057"/>
      <c r="R406" s="1058">
        <v>134365</v>
      </c>
      <c r="S406" s="1057">
        <v>5028</v>
      </c>
      <c r="T406" s="1060">
        <v>139393</v>
      </c>
    </row>
    <row r="407" spans="1:20" x14ac:dyDescent="0.25">
      <c r="A407" s="1054">
        <v>94151</v>
      </c>
      <c r="B407" s="1055" t="s">
        <v>4150</v>
      </c>
      <c r="C407" s="1056">
        <v>4.6470000000000002E-4</v>
      </c>
      <c r="D407" s="1056">
        <v>4.1590000000000003E-4</v>
      </c>
      <c r="E407" s="1057">
        <v>1102427</v>
      </c>
      <c r="F407" s="1057" t="s">
        <v>187</v>
      </c>
      <c r="G407" s="1058">
        <v>170078</v>
      </c>
      <c r="H407" s="1059">
        <v>151331</v>
      </c>
      <c r="I407" s="1058">
        <v>292542</v>
      </c>
      <c r="J407" s="1057">
        <v>12138</v>
      </c>
      <c r="K407" s="1059">
        <f t="shared" si="15"/>
        <v>626089</v>
      </c>
      <c r="L407" s="1057"/>
      <c r="M407" s="1058">
        <v>5707</v>
      </c>
      <c r="N407" s="1058">
        <v>0</v>
      </c>
      <c r="O407" s="1057">
        <v>23819</v>
      </c>
      <c r="P407" s="1059">
        <f t="shared" si="16"/>
        <v>29526</v>
      </c>
      <c r="Q407" s="1057"/>
      <c r="R407" s="1058">
        <v>306225</v>
      </c>
      <c r="S407" s="1057">
        <v>-9818</v>
      </c>
      <c r="T407" s="1060">
        <v>296407</v>
      </c>
    </row>
    <row r="408" spans="1:20" x14ac:dyDescent="0.25">
      <c r="A408" s="1054">
        <v>94157</v>
      </c>
      <c r="B408" s="1055" t="s">
        <v>2962</v>
      </c>
      <c r="C408" s="1056">
        <v>8.4999999999999999E-6</v>
      </c>
      <c r="D408" s="1056">
        <v>8.8999999999999995E-6</v>
      </c>
      <c r="E408" s="1057">
        <v>20165</v>
      </c>
      <c r="F408" s="1057" t="s">
        <v>187</v>
      </c>
      <c r="G408" s="1058">
        <v>3111</v>
      </c>
      <c r="H408" s="1059">
        <v>2768</v>
      </c>
      <c r="I408" s="1058">
        <v>5351</v>
      </c>
      <c r="J408" s="1057">
        <v>2192</v>
      </c>
      <c r="K408" s="1059">
        <f t="shared" si="15"/>
        <v>13422</v>
      </c>
      <c r="L408" s="1057"/>
      <c r="M408" s="1058">
        <v>104</v>
      </c>
      <c r="N408" s="1058">
        <v>0</v>
      </c>
      <c r="O408" s="1057">
        <v>0</v>
      </c>
      <c r="P408" s="1059">
        <f t="shared" si="16"/>
        <v>104</v>
      </c>
      <c r="Q408" s="1057"/>
      <c r="R408" s="1058">
        <v>5601</v>
      </c>
      <c r="S408" s="1057">
        <v>2203</v>
      </c>
      <c r="T408" s="1060">
        <v>7804</v>
      </c>
    </row>
    <row r="409" spans="1:20" x14ac:dyDescent="0.25">
      <c r="A409" s="1054">
        <v>94161</v>
      </c>
      <c r="B409" s="1055" t="s">
        <v>4151</v>
      </c>
      <c r="C409" s="1056">
        <v>3.4999999999999997E-5</v>
      </c>
      <c r="D409" s="1056">
        <v>5.1900000000000001E-5</v>
      </c>
      <c r="E409" s="1057">
        <v>83032</v>
      </c>
      <c r="F409" s="1057" t="s">
        <v>187</v>
      </c>
      <c r="G409" s="1058">
        <v>12810</v>
      </c>
      <c r="H409" s="1059">
        <v>11398</v>
      </c>
      <c r="I409" s="1058">
        <v>22033</v>
      </c>
      <c r="J409" s="1057">
        <v>2371</v>
      </c>
      <c r="K409" s="1059">
        <f t="shared" si="15"/>
        <v>48612</v>
      </c>
      <c r="L409" s="1057"/>
      <c r="M409" s="1058">
        <v>430</v>
      </c>
      <c r="N409" s="1058">
        <v>0</v>
      </c>
      <c r="O409" s="1057">
        <v>9815</v>
      </c>
      <c r="P409" s="1059">
        <f t="shared" si="16"/>
        <v>10245</v>
      </c>
      <c r="Q409" s="1057"/>
      <c r="R409" s="1058">
        <v>23064</v>
      </c>
      <c r="S409" s="1057">
        <v>432</v>
      </c>
      <c r="T409" s="1060">
        <v>23496</v>
      </c>
    </row>
    <row r="410" spans="1:20" x14ac:dyDescent="0.25">
      <c r="A410" s="1054">
        <v>94168</v>
      </c>
      <c r="B410" s="1055" t="s">
        <v>2964</v>
      </c>
      <c r="C410" s="1056">
        <v>5.0800000000000002E-5</v>
      </c>
      <c r="D410" s="1056">
        <v>2.5899999999999999E-5</v>
      </c>
      <c r="E410" s="1057">
        <v>120515</v>
      </c>
      <c r="F410" s="1057" t="s">
        <v>187</v>
      </c>
      <c r="G410" s="1058">
        <v>18593</v>
      </c>
      <c r="H410" s="1059">
        <v>16543</v>
      </c>
      <c r="I410" s="1058">
        <v>31980</v>
      </c>
      <c r="J410" s="1057">
        <v>15950</v>
      </c>
      <c r="K410" s="1059">
        <f t="shared" si="15"/>
        <v>83066</v>
      </c>
      <c r="L410" s="1057"/>
      <c r="M410" s="1058">
        <v>624</v>
      </c>
      <c r="N410" s="1058">
        <v>0</v>
      </c>
      <c r="O410" s="1057">
        <v>6240</v>
      </c>
      <c r="P410" s="1059">
        <f t="shared" si="16"/>
        <v>6864</v>
      </c>
      <c r="Q410" s="1057"/>
      <c r="R410" s="1058">
        <v>33476</v>
      </c>
      <c r="S410" s="1057">
        <v>-1436</v>
      </c>
      <c r="T410" s="1060">
        <v>32040</v>
      </c>
    </row>
    <row r="411" spans="1:20" x14ac:dyDescent="0.25">
      <c r="A411" s="1054">
        <v>94171</v>
      </c>
      <c r="B411" s="1055" t="s">
        <v>4152</v>
      </c>
      <c r="C411" s="1056">
        <v>7.9800000000000002E-5</v>
      </c>
      <c r="D411" s="1056">
        <v>6.9800000000000003E-5</v>
      </c>
      <c r="E411" s="1057">
        <v>189313</v>
      </c>
      <c r="F411" s="1057" t="s">
        <v>187</v>
      </c>
      <c r="G411" s="1058">
        <v>29206</v>
      </c>
      <c r="H411" s="1059">
        <v>25987</v>
      </c>
      <c r="I411" s="1058">
        <v>50236</v>
      </c>
      <c r="J411" s="1057">
        <v>8192</v>
      </c>
      <c r="K411" s="1059">
        <f t="shared" si="15"/>
        <v>113621</v>
      </c>
      <c r="L411" s="1057"/>
      <c r="M411" s="1058">
        <v>980</v>
      </c>
      <c r="N411" s="1058">
        <v>0</v>
      </c>
      <c r="O411" s="1057">
        <v>0</v>
      </c>
      <c r="P411" s="1059">
        <f t="shared" si="16"/>
        <v>980</v>
      </c>
      <c r="Q411" s="1057"/>
      <c r="R411" s="1058">
        <v>52586</v>
      </c>
      <c r="S411" s="1057">
        <v>3244</v>
      </c>
      <c r="T411" s="1060">
        <v>55830</v>
      </c>
    </row>
    <row r="412" spans="1:20" x14ac:dyDescent="0.25">
      <c r="A412" s="1054">
        <v>94172</v>
      </c>
      <c r="B412" s="1055" t="s">
        <v>2966</v>
      </c>
      <c r="C412" s="1056">
        <v>2.833E-4</v>
      </c>
      <c r="D412" s="1056">
        <v>2.6289999999999999E-4</v>
      </c>
      <c r="E412" s="1057">
        <v>672084</v>
      </c>
      <c r="F412" s="1057" t="s">
        <v>187</v>
      </c>
      <c r="G412" s="1058">
        <v>103687</v>
      </c>
      <c r="H412" s="1059">
        <v>92258</v>
      </c>
      <c r="I412" s="1058">
        <v>178345</v>
      </c>
      <c r="J412" s="1057">
        <v>0</v>
      </c>
      <c r="K412" s="1059">
        <f t="shared" si="15"/>
        <v>374290</v>
      </c>
      <c r="L412" s="1057"/>
      <c r="M412" s="1058">
        <v>3479</v>
      </c>
      <c r="N412" s="1058">
        <v>0</v>
      </c>
      <c r="O412" s="1057">
        <v>61943</v>
      </c>
      <c r="P412" s="1059">
        <f t="shared" si="16"/>
        <v>65422</v>
      </c>
      <c r="Q412" s="1057"/>
      <c r="R412" s="1058">
        <v>186687</v>
      </c>
      <c r="S412" s="1057">
        <v>-44260</v>
      </c>
      <c r="T412" s="1060">
        <v>142427</v>
      </c>
    </row>
    <row r="413" spans="1:20" x14ac:dyDescent="0.25">
      <c r="A413" s="1054">
        <v>94201</v>
      </c>
      <c r="B413" s="1055" t="s">
        <v>2967</v>
      </c>
      <c r="C413" s="1056">
        <v>3.2913999999999999E-3</v>
      </c>
      <c r="D413" s="1056">
        <v>3.3658999999999998E-3</v>
      </c>
      <c r="E413" s="1057">
        <v>7808326</v>
      </c>
      <c r="F413" s="1057" t="s">
        <v>187</v>
      </c>
      <c r="G413" s="1058">
        <v>1204639</v>
      </c>
      <c r="H413" s="1059">
        <v>1071851</v>
      </c>
      <c r="I413" s="1058">
        <v>2072028</v>
      </c>
      <c r="J413" s="1057">
        <v>19861</v>
      </c>
      <c r="K413" s="1059">
        <f t="shared" si="15"/>
        <v>4368379</v>
      </c>
      <c r="L413" s="1057"/>
      <c r="M413" s="1058">
        <v>40422</v>
      </c>
      <c r="N413" s="1058">
        <v>0</v>
      </c>
      <c r="O413" s="1057">
        <v>84937</v>
      </c>
      <c r="P413" s="1059">
        <f t="shared" si="16"/>
        <v>125359</v>
      </c>
      <c r="Q413" s="1057"/>
      <c r="R413" s="1058">
        <v>2168944</v>
      </c>
      <c r="S413" s="1057">
        <v>-9281</v>
      </c>
      <c r="T413" s="1060">
        <v>2159663</v>
      </c>
    </row>
    <row r="414" spans="1:20" x14ac:dyDescent="0.25">
      <c r="A414" s="1054">
        <v>94204</v>
      </c>
      <c r="B414" s="1055" t="s">
        <v>2968</v>
      </c>
      <c r="C414" s="1056">
        <v>2.73E-5</v>
      </c>
      <c r="D414" s="1056">
        <v>2.5899999999999999E-5</v>
      </c>
      <c r="E414" s="1057">
        <v>64765</v>
      </c>
      <c r="F414" s="1057" t="s">
        <v>187</v>
      </c>
      <c r="G414" s="1058">
        <v>9992</v>
      </c>
      <c r="H414" s="1059">
        <v>8890</v>
      </c>
      <c r="I414" s="1058">
        <v>17186</v>
      </c>
      <c r="J414" s="1057">
        <v>12296</v>
      </c>
      <c r="K414" s="1059">
        <f t="shared" si="15"/>
        <v>48364</v>
      </c>
      <c r="L414" s="1057"/>
      <c r="M414" s="1058">
        <v>335</v>
      </c>
      <c r="N414" s="1058">
        <v>0</v>
      </c>
      <c r="O414" s="1057">
        <v>0</v>
      </c>
      <c r="P414" s="1059">
        <f t="shared" si="16"/>
        <v>335</v>
      </c>
      <c r="Q414" s="1057"/>
      <c r="R414" s="1058">
        <v>17990</v>
      </c>
      <c r="S414" s="1057">
        <v>6257</v>
      </c>
      <c r="T414" s="1060">
        <v>24247</v>
      </c>
    </row>
    <row r="415" spans="1:20" x14ac:dyDescent="0.25">
      <c r="A415" s="1054">
        <v>94205</v>
      </c>
      <c r="B415" s="1055" t="s">
        <v>2969</v>
      </c>
      <c r="C415" s="1056">
        <v>1.8300000000000001E-5</v>
      </c>
      <c r="D415" s="1056">
        <v>2.0699999999999998E-5</v>
      </c>
      <c r="E415" s="1057">
        <v>43414</v>
      </c>
      <c r="F415" s="1057" t="s">
        <v>187</v>
      </c>
      <c r="G415" s="1058">
        <v>6698</v>
      </c>
      <c r="H415" s="1059">
        <v>5959</v>
      </c>
      <c r="I415" s="1058">
        <v>11520</v>
      </c>
      <c r="J415" s="1057">
        <v>1408</v>
      </c>
      <c r="K415" s="1059">
        <f t="shared" si="15"/>
        <v>25585</v>
      </c>
      <c r="L415" s="1057"/>
      <c r="M415" s="1058">
        <v>225</v>
      </c>
      <c r="N415" s="1058">
        <v>0</v>
      </c>
      <c r="O415" s="1057">
        <v>1277</v>
      </c>
      <c r="P415" s="1059">
        <f t="shared" si="16"/>
        <v>1502</v>
      </c>
      <c r="Q415" s="1057"/>
      <c r="R415" s="1058">
        <v>12059</v>
      </c>
      <c r="S415" s="1057">
        <v>-2857</v>
      </c>
      <c r="T415" s="1060">
        <v>9202</v>
      </c>
    </row>
    <row r="416" spans="1:20" x14ac:dyDescent="0.25">
      <c r="A416" s="1054">
        <v>94209</v>
      </c>
      <c r="B416" s="1055" t="s">
        <v>2970</v>
      </c>
      <c r="C416" s="1056">
        <v>3.1700000000000001E-4</v>
      </c>
      <c r="D416" s="1056">
        <v>3.4190000000000002E-4</v>
      </c>
      <c r="E416" s="1057">
        <v>752032</v>
      </c>
      <c r="F416" s="1057" t="s">
        <v>187</v>
      </c>
      <c r="G416" s="1058">
        <v>116021</v>
      </c>
      <c r="H416" s="1059">
        <v>103231</v>
      </c>
      <c r="I416" s="1058">
        <v>199560</v>
      </c>
      <c r="J416" s="1057">
        <v>11815</v>
      </c>
      <c r="K416" s="1059">
        <f t="shared" si="15"/>
        <v>430627</v>
      </c>
      <c r="L416" s="1057"/>
      <c r="M416" s="1058">
        <v>3893</v>
      </c>
      <c r="N416" s="1058">
        <v>0</v>
      </c>
      <c r="O416" s="1057">
        <v>21749</v>
      </c>
      <c r="P416" s="1059">
        <f t="shared" si="16"/>
        <v>25642</v>
      </c>
      <c r="Q416" s="1057"/>
      <c r="R416" s="1058">
        <v>208894</v>
      </c>
      <c r="S416" s="1057">
        <v>4832</v>
      </c>
      <c r="T416" s="1060">
        <v>213726</v>
      </c>
    </row>
    <row r="417" spans="1:20" x14ac:dyDescent="0.25">
      <c r="A417" s="1054">
        <v>94211</v>
      </c>
      <c r="B417" s="1055" t="s">
        <v>4153</v>
      </c>
      <c r="C417" s="1056">
        <v>1.615E-4</v>
      </c>
      <c r="D417" s="1056">
        <v>1.3660000000000001E-4</v>
      </c>
      <c r="E417" s="1057">
        <v>383133</v>
      </c>
      <c r="F417" s="1057" t="s">
        <v>187</v>
      </c>
      <c r="G417" s="1058">
        <v>59108</v>
      </c>
      <c r="H417" s="1059">
        <v>52593</v>
      </c>
      <c r="I417" s="1058">
        <v>101669</v>
      </c>
      <c r="J417" s="1057">
        <v>11603</v>
      </c>
      <c r="K417" s="1059">
        <f t="shared" si="15"/>
        <v>224973</v>
      </c>
      <c r="L417" s="1057"/>
      <c r="M417" s="1058">
        <v>1983</v>
      </c>
      <c r="N417" s="1058">
        <v>0</v>
      </c>
      <c r="O417" s="1057">
        <v>3873</v>
      </c>
      <c r="P417" s="1059">
        <f t="shared" si="16"/>
        <v>5856</v>
      </c>
      <c r="Q417" s="1057"/>
      <c r="R417" s="1058">
        <v>106424</v>
      </c>
      <c r="S417" s="1057">
        <v>-10032</v>
      </c>
      <c r="T417" s="1060">
        <v>96392</v>
      </c>
    </row>
    <row r="418" spans="1:20" x14ac:dyDescent="0.25">
      <c r="A418" s="1054">
        <v>94221</v>
      </c>
      <c r="B418" s="1055" t="s">
        <v>2972</v>
      </c>
      <c r="C418" s="1056">
        <v>1.0311999999999999E-3</v>
      </c>
      <c r="D418" s="1056">
        <v>1.0436E-3</v>
      </c>
      <c r="E418" s="1057">
        <v>2446359</v>
      </c>
      <c r="F418" s="1057" t="s">
        <v>187</v>
      </c>
      <c r="G418" s="1058">
        <v>377415</v>
      </c>
      <c r="H418" s="1059">
        <v>335812</v>
      </c>
      <c r="I418" s="1058">
        <v>649169</v>
      </c>
      <c r="J418" s="1057">
        <v>28711</v>
      </c>
      <c r="K418" s="1059">
        <f t="shared" si="15"/>
        <v>1391107</v>
      </c>
      <c r="L418" s="1057"/>
      <c r="M418" s="1058">
        <v>12664</v>
      </c>
      <c r="N418" s="1058">
        <v>0</v>
      </c>
      <c r="O418" s="1057">
        <v>85091</v>
      </c>
      <c r="P418" s="1059">
        <f t="shared" si="16"/>
        <v>97755</v>
      </c>
      <c r="Q418" s="1057"/>
      <c r="R418" s="1058">
        <v>679533</v>
      </c>
      <c r="S418" s="1057">
        <v>-30381</v>
      </c>
      <c r="T418" s="1060">
        <v>649152</v>
      </c>
    </row>
    <row r="419" spans="1:20" x14ac:dyDescent="0.25">
      <c r="A419" s="1054">
        <v>94231</v>
      </c>
      <c r="B419" s="1055" t="s">
        <v>4154</v>
      </c>
      <c r="C419" s="1056">
        <v>2.009E-4</v>
      </c>
      <c r="D419" s="1056">
        <v>2.2609999999999999E-4</v>
      </c>
      <c r="E419" s="1057">
        <v>476604</v>
      </c>
      <c r="F419" s="1057" t="s">
        <v>187</v>
      </c>
      <c r="G419" s="1058">
        <v>73529</v>
      </c>
      <c r="H419" s="1059">
        <v>65423</v>
      </c>
      <c r="I419" s="1058">
        <v>126472</v>
      </c>
      <c r="J419" s="1057">
        <v>6119</v>
      </c>
      <c r="K419" s="1059">
        <f t="shared" si="15"/>
        <v>271543</v>
      </c>
      <c r="L419" s="1057"/>
      <c r="M419" s="1058">
        <v>2467</v>
      </c>
      <c r="N419" s="1058">
        <v>0</v>
      </c>
      <c r="O419" s="1057">
        <v>26463</v>
      </c>
      <c r="P419" s="1059">
        <f t="shared" si="16"/>
        <v>28930</v>
      </c>
      <c r="Q419" s="1057"/>
      <c r="R419" s="1058">
        <v>132388</v>
      </c>
      <c r="S419" s="1057">
        <v>-8958</v>
      </c>
      <c r="T419" s="1060">
        <v>123430</v>
      </c>
    </row>
    <row r="420" spans="1:20" x14ac:dyDescent="0.25">
      <c r="A420" s="1054">
        <v>94241</v>
      </c>
      <c r="B420" s="1055" t="s">
        <v>4155</v>
      </c>
      <c r="C420" s="1056">
        <v>1.227E-4</v>
      </c>
      <c r="D420" s="1056">
        <v>1.2669999999999999E-4</v>
      </c>
      <c r="E420" s="1057">
        <v>291086</v>
      </c>
      <c r="F420" s="1057" t="s">
        <v>187</v>
      </c>
      <c r="G420" s="1058">
        <v>44908</v>
      </c>
      <c r="H420" s="1059">
        <v>39958</v>
      </c>
      <c r="I420" s="1058">
        <v>77243</v>
      </c>
      <c r="J420" s="1057">
        <v>19412</v>
      </c>
      <c r="K420" s="1059">
        <f t="shared" si="15"/>
        <v>181521</v>
      </c>
      <c r="L420" s="1057"/>
      <c r="M420" s="1058">
        <v>1507</v>
      </c>
      <c r="N420" s="1058">
        <v>0</v>
      </c>
      <c r="O420" s="1057">
        <v>7181</v>
      </c>
      <c r="P420" s="1059">
        <f t="shared" si="16"/>
        <v>8688</v>
      </c>
      <c r="Q420" s="1057"/>
      <c r="R420" s="1058">
        <v>80856</v>
      </c>
      <c r="S420" s="1057">
        <v>5128</v>
      </c>
      <c r="T420" s="1060">
        <v>85984</v>
      </c>
    </row>
    <row r="421" spans="1:20" x14ac:dyDescent="0.25">
      <c r="A421" s="1054">
        <v>94251</v>
      </c>
      <c r="B421" s="1055" t="s">
        <v>4156</v>
      </c>
      <c r="C421" s="1056">
        <v>1.59E-5</v>
      </c>
      <c r="D421" s="1056">
        <v>1.95E-5</v>
      </c>
      <c r="E421" s="1057">
        <v>37720</v>
      </c>
      <c r="F421" s="1057" t="s">
        <v>187</v>
      </c>
      <c r="G421" s="1058">
        <v>5819</v>
      </c>
      <c r="H421" s="1059">
        <v>5178</v>
      </c>
      <c r="I421" s="1058">
        <v>10009</v>
      </c>
      <c r="J421" s="1057">
        <v>2468</v>
      </c>
      <c r="K421" s="1059">
        <f t="shared" si="15"/>
        <v>23474</v>
      </c>
      <c r="L421" s="1057"/>
      <c r="M421" s="1058">
        <v>195</v>
      </c>
      <c r="N421" s="1058">
        <v>0</v>
      </c>
      <c r="O421" s="1057">
        <v>4449</v>
      </c>
      <c r="P421" s="1059">
        <f t="shared" si="16"/>
        <v>4644</v>
      </c>
      <c r="Q421" s="1057"/>
      <c r="R421" s="1058">
        <v>10478</v>
      </c>
      <c r="S421" s="1057">
        <v>-2557</v>
      </c>
      <c r="T421" s="1060">
        <v>7921</v>
      </c>
    </row>
    <row r="422" spans="1:20" x14ac:dyDescent="0.25">
      <c r="A422" s="1054">
        <v>94261</v>
      </c>
      <c r="B422" s="1055" t="s">
        <v>4157</v>
      </c>
      <c r="C422" s="1056">
        <v>3.6199999999999999E-5</v>
      </c>
      <c r="D422" s="1056">
        <v>3.9199999999999997E-5</v>
      </c>
      <c r="E422" s="1057">
        <v>85879</v>
      </c>
      <c r="F422" s="1057" t="s">
        <v>187</v>
      </c>
      <c r="G422" s="1058">
        <v>13249</v>
      </c>
      <c r="H422" s="1059">
        <v>11789</v>
      </c>
      <c r="I422" s="1058">
        <v>22789</v>
      </c>
      <c r="J422" s="1057">
        <v>10016</v>
      </c>
      <c r="K422" s="1059">
        <f t="shared" si="15"/>
        <v>57843</v>
      </c>
      <c r="L422" s="1057"/>
      <c r="M422" s="1058">
        <v>445</v>
      </c>
      <c r="N422" s="1058">
        <v>0</v>
      </c>
      <c r="O422" s="1057">
        <v>790</v>
      </c>
      <c r="P422" s="1059">
        <f t="shared" si="16"/>
        <v>1235</v>
      </c>
      <c r="Q422" s="1057"/>
      <c r="R422" s="1058">
        <v>23855</v>
      </c>
      <c r="S422" s="1057">
        <v>5304</v>
      </c>
      <c r="T422" s="1060">
        <v>29159</v>
      </c>
    </row>
    <row r="423" spans="1:20" x14ac:dyDescent="0.25">
      <c r="A423" s="1054">
        <v>94301</v>
      </c>
      <c r="B423" s="1055" t="s">
        <v>2977</v>
      </c>
      <c r="C423" s="1056">
        <v>6.3552000000000001E-3</v>
      </c>
      <c r="D423" s="1056">
        <v>6.2988999999999996E-3</v>
      </c>
      <c r="E423" s="1057">
        <v>15076708</v>
      </c>
      <c r="F423" s="1057" t="s">
        <v>187</v>
      </c>
      <c r="G423" s="1058">
        <v>2325978</v>
      </c>
      <c r="H423" s="1059">
        <v>2069584</v>
      </c>
      <c r="I423" s="1058">
        <v>4000776</v>
      </c>
      <c r="J423" s="1057">
        <v>62202</v>
      </c>
      <c r="K423" s="1059">
        <f t="shared" si="15"/>
        <v>8458540</v>
      </c>
      <c r="L423" s="1057"/>
      <c r="M423" s="1058">
        <v>78048</v>
      </c>
      <c r="N423" s="1058">
        <v>0</v>
      </c>
      <c r="O423" s="1057">
        <v>66635</v>
      </c>
      <c r="P423" s="1059">
        <f t="shared" si="16"/>
        <v>144683</v>
      </c>
      <c r="Q423" s="1057"/>
      <c r="R423" s="1058">
        <v>4187905</v>
      </c>
      <c r="S423" s="1057">
        <v>-21615</v>
      </c>
      <c r="T423" s="1060">
        <v>4166290</v>
      </c>
    </row>
    <row r="424" spans="1:20" x14ac:dyDescent="0.25">
      <c r="A424" s="1054">
        <v>94311</v>
      </c>
      <c r="B424" s="1055" t="s">
        <v>2978</v>
      </c>
      <c r="C424" s="1056">
        <v>7.4359999999999997E-4</v>
      </c>
      <c r="D424" s="1056">
        <v>7.8540000000000001E-4</v>
      </c>
      <c r="E424" s="1057">
        <v>1764074</v>
      </c>
      <c r="F424" s="1057" t="s">
        <v>187</v>
      </c>
      <c r="G424" s="1058">
        <v>272155</v>
      </c>
      <c r="H424" s="1059">
        <v>242155</v>
      </c>
      <c r="I424" s="1058">
        <v>468117</v>
      </c>
      <c r="J424" s="1057">
        <v>17528</v>
      </c>
      <c r="K424" s="1059">
        <f t="shared" si="15"/>
        <v>999955</v>
      </c>
      <c r="L424" s="1057"/>
      <c r="M424" s="1058">
        <v>9132</v>
      </c>
      <c r="N424" s="1058">
        <v>0</v>
      </c>
      <c r="O424" s="1057">
        <v>53855</v>
      </c>
      <c r="P424" s="1059">
        <f t="shared" si="16"/>
        <v>62987</v>
      </c>
      <c r="Q424" s="1057"/>
      <c r="R424" s="1058">
        <v>490012</v>
      </c>
      <c r="S424" s="1057">
        <v>-19332</v>
      </c>
      <c r="T424" s="1060">
        <v>470680</v>
      </c>
    </row>
    <row r="425" spans="1:20" x14ac:dyDescent="0.25">
      <c r="A425" s="1054">
        <v>94313</v>
      </c>
      <c r="B425" s="1055" t="s">
        <v>2979</v>
      </c>
      <c r="C425" s="1056">
        <v>2.1699999999999999E-5</v>
      </c>
      <c r="D425" s="1056">
        <v>1.8700000000000001E-5</v>
      </c>
      <c r="E425" s="1057">
        <v>51480</v>
      </c>
      <c r="F425" s="1057" t="s">
        <v>187</v>
      </c>
      <c r="G425" s="1058">
        <v>7942</v>
      </c>
      <c r="H425" s="1059">
        <v>7067</v>
      </c>
      <c r="I425" s="1058">
        <v>13661</v>
      </c>
      <c r="J425" s="1057">
        <v>9311</v>
      </c>
      <c r="K425" s="1059">
        <f t="shared" si="15"/>
        <v>37981</v>
      </c>
      <c r="L425" s="1057"/>
      <c r="M425" s="1058">
        <v>266</v>
      </c>
      <c r="N425" s="1058">
        <v>0</v>
      </c>
      <c r="O425" s="1057">
        <v>0</v>
      </c>
      <c r="P425" s="1059">
        <f t="shared" si="16"/>
        <v>266</v>
      </c>
      <c r="Q425" s="1057"/>
      <c r="R425" s="1058">
        <v>14300</v>
      </c>
      <c r="S425" s="1057">
        <v>4369</v>
      </c>
      <c r="T425" s="1060">
        <v>18669</v>
      </c>
    </row>
    <row r="426" spans="1:20" x14ac:dyDescent="0.25">
      <c r="A426" s="1054">
        <v>94317</v>
      </c>
      <c r="B426" s="1055" t="s">
        <v>2980</v>
      </c>
      <c r="C426" s="1056">
        <v>1.15E-5</v>
      </c>
      <c r="D426" s="1056">
        <v>1.2E-5</v>
      </c>
      <c r="E426" s="1057">
        <v>27282</v>
      </c>
      <c r="F426" s="1057" t="s">
        <v>187</v>
      </c>
      <c r="G426" s="1058">
        <v>4209</v>
      </c>
      <c r="H426" s="1059">
        <v>3745</v>
      </c>
      <c r="I426" s="1058">
        <v>7240</v>
      </c>
      <c r="J426" s="1057">
        <v>8256</v>
      </c>
      <c r="K426" s="1059">
        <f t="shared" si="15"/>
        <v>23450</v>
      </c>
      <c r="L426" s="1057"/>
      <c r="M426" s="1058">
        <v>141</v>
      </c>
      <c r="N426" s="1058">
        <v>0</v>
      </c>
      <c r="O426" s="1057">
        <v>0</v>
      </c>
      <c r="P426" s="1059">
        <f t="shared" si="16"/>
        <v>141</v>
      </c>
      <c r="Q426" s="1057"/>
      <c r="R426" s="1058">
        <v>7578</v>
      </c>
      <c r="S426" s="1057">
        <v>4052</v>
      </c>
      <c r="T426" s="1060">
        <v>11630</v>
      </c>
    </row>
    <row r="427" spans="1:20" x14ac:dyDescent="0.25">
      <c r="A427" s="1054">
        <v>94321</v>
      </c>
      <c r="B427" s="1055" t="s">
        <v>4158</v>
      </c>
      <c r="C427" s="1056">
        <v>2.8160000000000001E-4</v>
      </c>
      <c r="D427" s="1056">
        <v>2.7760000000000003E-4</v>
      </c>
      <c r="E427" s="1057">
        <v>668052</v>
      </c>
      <c r="F427" s="1057" t="s">
        <v>187</v>
      </c>
      <c r="G427" s="1058">
        <v>103064</v>
      </c>
      <c r="H427" s="1059">
        <v>91703</v>
      </c>
      <c r="I427" s="1058">
        <v>177275</v>
      </c>
      <c r="J427" s="1057">
        <v>0</v>
      </c>
      <c r="K427" s="1059">
        <f t="shared" si="15"/>
        <v>372042</v>
      </c>
      <c r="L427" s="1057"/>
      <c r="M427" s="1058">
        <v>3458</v>
      </c>
      <c r="N427" s="1058">
        <v>0</v>
      </c>
      <c r="O427" s="1057">
        <v>23408</v>
      </c>
      <c r="P427" s="1059">
        <f t="shared" si="16"/>
        <v>26866</v>
      </c>
      <c r="Q427" s="1057"/>
      <c r="R427" s="1058">
        <v>185567</v>
      </c>
      <c r="S427" s="1057">
        <v>-8371</v>
      </c>
      <c r="T427" s="1060">
        <v>177196</v>
      </c>
    </row>
    <row r="428" spans="1:20" x14ac:dyDescent="0.25">
      <c r="A428" s="1054">
        <v>94331</v>
      </c>
      <c r="B428" s="1055" t="s">
        <v>4159</v>
      </c>
      <c r="C428" s="1056">
        <v>1.6090000000000001E-4</v>
      </c>
      <c r="D428" s="1056">
        <v>1.3569999999999999E-4</v>
      </c>
      <c r="E428" s="1057">
        <v>381710</v>
      </c>
      <c r="F428" s="1057" t="s">
        <v>187</v>
      </c>
      <c r="G428" s="1058">
        <v>58889</v>
      </c>
      <c r="H428" s="1059">
        <v>52397</v>
      </c>
      <c r="I428" s="1058">
        <v>101291</v>
      </c>
      <c r="J428" s="1057">
        <v>20048</v>
      </c>
      <c r="K428" s="1059">
        <f t="shared" si="15"/>
        <v>232625</v>
      </c>
      <c r="L428" s="1057"/>
      <c r="M428" s="1058">
        <v>1976</v>
      </c>
      <c r="N428" s="1058">
        <v>0</v>
      </c>
      <c r="O428" s="1057">
        <v>7457</v>
      </c>
      <c r="P428" s="1059">
        <f t="shared" si="16"/>
        <v>9433</v>
      </c>
      <c r="Q428" s="1057"/>
      <c r="R428" s="1058">
        <v>106029</v>
      </c>
      <c r="S428" s="1057">
        <v>7534</v>
      </c>
      <c r="T428" s="1060">
        <v>113563</v>
      </c>
    </row>
    <row r="429" spans="1:20" x14ac:dyDescent="0.25">
      <c r="A429" s="1054">
        <v>94341</v>
      </c>
      <c r="B429" s="1055" t="s">
        <v>4160</v>
      </c>
      <c r="C429" s="1056">
        <v>8.3300000000000005E-5</v>
      </c>
      <c r="D429" s="1056">
        <v>9.4699999999999998E-5</v>
      </c>
      <c r="E429" s="1057">
        <v>197616</v>
      </c>
      <c r="F429" s="1057" t="s">
        <v>187</v>
      </c>
      <c r="G429" s="1058">
        <v>30487</v>
      </c>
      <c r="H429" s="1059">
        <v>27127</v>
      </c>
      <c r="I429" s="1058">
        <v>52440</v>
      </c>
      <c r="J429" s="1057">
        <v>4074</v>
      </c>
      <c r="K429" s="1059">
        <f t="shared" si="15"/>
        <v>114128</v>
      </c>
      <c r="L429" s="1057"/>
      <c r="M429" s="1058">
        <v>1023</v>
      </c>
      <c r="N429" s="1058">
        <v>0</v>
      </c>
      <c r="O429" s="1057">
        <v>12325</v>
      </c>
      <c r="P429" s="1059">
        <f t="shared" si="16"/>
        <v>13348</v>
      </c>
      <c r="Q429" s="1057"/>
      <c r="R429" s="1058">
        <v>54892</v>
      </c>
      <c r="S429" s="1057">
        <v>-4230</v>
      </c>
      <c r="T429" s="1060">
        <v>50662</v>
      </c>
    </row>
    <row r="430" spans="1:20" x14ac:dyDescent="0.25">
      <c r="A430" s="1054">
        <v>94347</v>
      </c>
      <c r="B430" s="1055" t="s">
        <v>4161</v>
      </c>
      <c r="C430" s="1056">
        <v>7.9999999999999996E-6</v>
      </c>
      <c r="D430" s="1056">
        <v>1.22E-5</v>
      </c>
      <c r="E430" s="1057">
        <v>18979</v>
      </c>
      <c r="F430" s="1057" t="s">
        <v>187</v>
      </c>
      <c r="G430" s="1058">
        <v>2928</v>
      </c>
      <c r="H430" s="1059">
        <v>2605</v>
      </c>
      <c r="I430" s="1058">
        <v>5036</v>
      </c>
      <c r="J430" s="1057">
        <v>2389</v>
      </c>
      <c r="K430" s="1059">
        <f t="shared" si="15"/>
        <v>12958</v>
      </c>
      <c r="L430" s="1057"/>
      <c r="M430" s="1058">
        <v>98</v>
      </c>
      <c r="N430" s="1058">
        <v>0</v>
      </c>
      <c r="O430" s="1057">
        <v>948</v>
      </c>
      <c r="P430" s="1059">
        <f t="shared" si="16"/>
        <v>1046</v>
      </c>
      <c r="Q430" s="1057"/>
      <c r="R430" s="1058">
        <v>5272</v>
      </c>
      <c r="S430" s="1057">
        <v>1646</v>
      </c>
      <c r="T430" s="1060">
        <v>6918</v>
      </c>
    </row>
    <row r="431" spans="1:20" x14ac:dyDescent="0.25">
      <c r="A431" s="1054">
        <v>94351</v>
      </c>
      <c r="B431" s="1055" t="s">
        <v>4162</v>
      </c>
      <c r="C431" s="1056">
        <v>2.477E-4</v>
      </c>
      <c r="D431" s="1056">
        <v>2.433E-4</v>
      </c>
      <c r="E431" s="1057">
        <v>587629</v>
      </c>
      <c r="F431" s="1057" t="s">
        <v>187</v>
      </c>
      <c r="G431" s="1058">
        <v>90657</v>
      </c>
      <c r="H431" s="1059">
        <v>80664</v>
      </c>
      <c r="I431" s="1058">
        <v>155934</v>
      </c>
      <c r="J431" s="1057">
        <v>716</v>
      </c>
      <c r="K431" s="1059">
        <f t="shared" si="15"/>
        <v>327971</v>
      </c>
      <c r="L431" s="1057"/>
      <c r="M431" s="1058">
        <v>3042</v>
      </c>
      <c r="N431" s="1058">
        <v>0</v>
      </c>
      <c r="O431" s="1057">
        <v>6580</v>
      </c>
      <c r="P431" s="1059">
        <f t="shared" si="16"/>
        <v>9622</v>
      </c>
      <c r="Q431" s="1057"/>
      <c r="R431" s="1058">
        <v>163228</v>
      </c>
      <c r="S431" s="1057">
        <v>-2766</v>
      </c>
      <c r="T431" s="1060">
        <v>160462</v>
      </c>
    </row>
    <row r="432" spans="1:20" x14ac:dyDescent="0.25">
      <c r="A432" s="1054">
        <v>94401</v>
      </c>
      <c r="B432" s="1055" t="s">
        <v>3586</v>
      </c>
      <c r="C432" s="1056">
        <v>3.2688999999999999E-3</v>
      </c>
      <c r="D432" s="1056">
        <v>3.2718000000000001E-3</v>
      </c>
      <c r="E432" s="1057">
        <v>7754949</v>
      </c>
      <c r="F432" s="1057" t="s">
        <v>187</v>
      </c>
      <c r="G432" s="1058">
        <v>1196404</v>
      </c>
      <c r="H432" s="1059">
        <v>1064524</v>
      </c>
      <c r="I432" s="1058">
        <v>2057864</v>
      </c>
      <c r="J432" s="1057">
        <v>19959</v>
      </c>
      <c r="K432" s="1059">
        <f t="shared" si="15"/>
        <v>4338751</v>
      </c>
      <c r="L432" s="1057"/>
      <c r="M432" s="1058">
        <v>40145</v>
      </c>
      <c r="N432" s="1058">
        <v>0</v>
      </c>
      <c r="O432" s="1057">
        <v>62594</v>
      </c>
      <c r="P432" s="1059">
        <f t="shared" si="16"/>
        <v>102739</v>
      </c>
      <c r="Q432" s="1057"/>
      <c r="R432" s="1058">
        <v>2154117</v>
      </c>
      <c r="S432" s="1057">
        <v>-9013</v>
      </c>
      <c r="T432" s="1060">
        <v>2145104</v>
      </c>
    </row>
    <row r="433" spans="1:20" x14ac:dyDescent="0.25">
      <c r="A433" s="1054">
        <v>94402</v>
      </c>
      <c r="B433" s="1055" t="s">
        <v>2987</v>
      </c>
      <c r="C433" s="1056">
        <v>0</v>
      </c>
      <c r="D433" s="1056">
        <v>0</v>
      </c>
      <c r="E433" s="1057">
        <v>0</v>
      </c>
      <c r="F433" s="1057" t="s">
        <v>187</v>
      </c>
      <c r="G433" s="1058">
        <v>0</v>
      </c>
      <c r="H433" s="1059">
        <v>0</v>
      </c>
      <c r="I433" s="1058">
        <v>0</v>
      </c>
      <c r="J433" s="1057">
        <v>0</v>
      </c>
      <c r="K433" s="1059">
        <f t="shared" si="15"/>
        <v>0</v>
      </c>
      <c r="L433" s="1057"/>
      <c r="M433" s="1058">
        <v>0</v>
      </c>
      <c r="N433" s="1058">
        <v>0</v>
      </c>
      <c r="O433" s="1057">
        <v>767649</v>
      </c>
      <c r="P433" s="1059">
        <f t="shared" si="16"/>
        <v>767649</v>
      </c>
      <c r="Q433" s="1057"/>
      <c r="R433" s="1058">
        <v>0</v>
      </c>
      <c r="S433" s="1057">
        <v>-1006718</v>
      </c>
      <c r="T433" s="1060">
        <v>-1006718</v>
      </c>
    </row>
    <row r="434" spans="1:20" x14ac:dyDescent="0.25">
      <c r="A434" s="1054">
        <v>94403</v>
      </c>
      <c r="B434" s="1055" t="s">
        <v>3587</v>
      </c>
      <c r="C434" s="1056">
        <v>3.1900000000000003E-5</v>
      </c>
      <c r="D434" s="1056">
        <v>2.2099999999999998E-5</v>
      </c>
      <c r="E434" s="1057">
        <v>75678</v>
      </c>
      <c r="F434" s="1057" t="s">
        <v>187</v>
      </c>
      <c r="G434" s="1058">
        <v>11675</v>
      </c>
      <c r="H434" s="1059">
        <v>10388</v>
      </c>
      <c r="I434" s="1058">
        <v>20082</v>
      </c>
      <c r="J434" s="1057">
        <v>18814</v>
      </c>
      <c r="K434" s="1059">
        <f t="shared" si="15"/>
        <v>60959</v>
      </c>
      <c r="L434" s="1057"/>
      <c r="M434" s="1058">
        <v>392</v>
      </c>
      <c r="N434" s="1058">
        <v>0</v>
      </c>
      <c r="O434" s="1057">
        <v>0</v>
      </c>
      <c r="P434" s="1059">
        <f t="shared" si="16"/>
        <v>392</v>
      </c>
      <c r="Q434" s="1057"/>
      <c r="R434" s="1058">
        <v>21021</v>
      </c>
      <c r="S434" s="1057">
        <v>5618</v>
      </c>
      <c r="T434" s="1060">
        <v>26639</v>
      </c>
    </row>
    <row r="435" spans="1:20" x14ac:dyDescent="0.25">
      <c r="A435" s="1054">
        <v>94408</v>
      </c>
      <c r="B435" s="1055" t="s">
        <v>2988</v>
      </c>
      <c r="C435" s="1056">
        <v>4.6E-5</v>
      </c>
      <c r="D435" s="1056">
        <v>4.2400000000000001E-5</v>
      </c>
      <c r="E435" s="1057">
        <v>109128</v>
      </c>
      <c r="F435" s="1057" t="s">
        <v>187</v>
      </c>
      <c r="G435" s="1058">
        <v>16836</v>
      </c>
      <c r="H435" s="1059">
        <v>14980</v>
      </c>
      <c r="I435" s="1058">
        <v>28958</v>
      </c>
      <c r="J435" s="1057">
        <v>4785</v>
      </c>
      <c r="K435" s="1059">
        <f t="shared" si="15"/>
        <v>65559</v>
      </c>
      <c r="L435" s="1057"/>
      <c r="M435" s="1058">
        <v>565</v>
      </c>
      <c r="N435" s="1058">
        <v>0</v>
      </c>
      <c r="O435" s="1057">
        <v>2759</v>
      </c>
      <c r="P435" s="1059">
        <f t="shared" si="16"/>
        <v>3324</v>
      </c>
      <c r="Q435" s="1057"/>
      <c r="R435" s="1058">
        <v>30313</v>
      </c>
      <c r="S435" s="1057">
        <v>129</v>
      </c>
      <c r="T435" s="1060">
        <v>30442</v>
      </c>
    </row>
    <row r="436" spans="1:20" x14ac:dyDescent="0.25">
      <c r="A436" s="1054">
        <v>94411</v>
      </c>
      <c r="B436" s="1055" t="s">
        <v>4163</v>
      </c>
      <c r="C436" s="1056">
        <v>1.2620000000000001E-3</v>
      </c>
      <c r="D436" s="1056">
        <v>1.2672E-3</v>
      </c>
      <c r="E436" s="1057">
        <v>2993896</v>
      </c>
      <c r="F436" s="1057" t="s">
        <v>187</v>
      </c>
      <c r="G436" s="1058">
        <v>461887</v>
      </c>
      <c r="H436" s="1059">
        <v>410973</v>
      </c>
      <c r="I436" s="1058">
        <v>794464</v>
      </c>
      <c r="J436" s="1057">
        <v>43913</v>
      </c>
      <c r="K436" s="1059">
        <f t="shared" si="15"/>
        <v>1711237</v>
      </c>
      <c r="L436" s="1057"/>
      <c r="M436" s="1058">
        <v>15499</v>
      </c>
      <c r="N436" s="1058">
        <v>0</v>
      </c>
      <c r="O436" s="1057">
        <v>31638</v>
      </c>
      <c r="P436" s="1059">
        <f t="shared" si="16"/>
        <v>47137</v>
      </c>
      <c r="Q436" s="1057"/>
      <c r="R436" s="1058">
        <v>831624</v>
      </c>
      <c r="S436" s="1057">
        <v>10868</v>
      </c>
      <c r="T436" s="1060">
        <v>842492</v>
      </c>
    </row>
    <row r="437" spans="1:20" x14ac:dyDescent="0.25">
      <c r="A437" s="1054">
        <v>94412</v>
      </c>
      <c r="B437" s="1055" t="s">
        <v>2990</v>
      </c>
      <c r="C437" s="1056">
        <v>1.5500000000000001E-5</v>
      </c>
      <c r="D437" s="1056">
        <v>1.5099999999999999E-5</v>
      </c>
      <c r="E437" s="1057">
        <v>36771</v>
      </c>
      <c r="F437" s="1057" t="s">
        <v>187</v>
      </c>
      <c r="G437" s="1058">
        <v>5673</v>
      </c>
      <c r="H437" s="1059">
        <v>5047</v>
      </c>
      <c r="I437" s="1058">
        <v>9758</v>
      </c>
      <c r="J437" s="1057">
        <v>12196</v>
      </c>
      <c r="K437" s="1059">
        <f t="shared" si="15"/>
        <v>32674</v>
      </c>
      <c r="L437" s="1057"/>
      <c r="M437" s="1058">
        <v>190</v>
      </c>
      <c r="N437" s="1058">
        <v>0</v>
      </c>
      <c r="O437" s="1057">
        <v>0</v>
      </c>
      <c r="P437" s="1059">
        <f t="shared" si="16"/>
        <v>190</v>
      </c>
      <c r="Q437" s="1057"/>
      <c r="R437" s="1058">
        <v>10214</v>
      </c>
      <c r="S437" s="1057">
        <v>7254</v>
      </c>
      <c r="T437" s="1060">
        <v>17468</v>
      </c>
    </row>
    <row r="438" spans="1:20" x14ac:dyDescent="0.25">
      <c r="A438" s="1054">
        <v>94421</v>
      </c>
      <c r="B438" s="1055" t="s">
        <v>4164</v>
      </c>
      <c r="C438" s="1056">
        <v>1.6080000000000001E-4</v>
      </c>
      <c r="D438" s="1056">
        <v>1.6679999999999999E-4</v>
      </c>
      <c r="E438" s="1057">
        <v>381473</v>
      </c>
      <c r="F438" s="1057" t="s">
        <v>187</v>
      </c>
      <c r="G438" s="1058">
        <v>58852</v>
      </c>
      <c r="H438" s="1059">
        <v>52365</v>
      </c>
      <c r="I438" s="1058">
        <v>101228</v>
      </c>
      <c r="J438" s="1057">
        <v>2434</v>
      </c>
      <c r="K438" s="1059">
        <f t="shared" si="15"/>
        <v>214879</v>
      </c>
      <c r="L438" s="1057"/>
      <c r="M438" s="1058">
        <v>1975</v>
      </c>
      <c r="N438" s="1058">
        <v>0</v>
      </c>
      <c r="O438" s="1057">
        <v>6283</v>
      </c>
      <c r="P438" s="1059">
        <f t="shared" si="16"/>
        <v>8258</v>
      </c>
      <c r="Q438" s="1057"/>
      <c r="R438" s="1058">
        <v>105963</v>
      </c>
      <c r="S438" s="1057">
        <v>-5086</v>
      </c>
      <c r="T438" s="1060">
        <v>100877</v>
      </c>
    </row>
    <row r="439" spans="1:20" x14ac:dyDescent="0.25">
      <c r="A439" s="1054">
        <v>94427</v>
      </c>
      <c r="B439" s="1055" t="s">
        <v>2992</v>
      </c>
      <c r="C439" s="1056">
        <v>1.63E-5</v>
      </c>
      <c r="D439" s="1056">
        <v>1.5699999999999999E-5</v>
      </c>
      <c r="E439" s="1057">
        <v>38669</v>
      </c>
      <c r="F439" s="1057" t="s">
        <v>187</v>
      </c>
      <c r="G439" s="1058">
        <v>5966</v>
      </c>
      <c r="H439" s="1059">
        <v>5308</v>
      </c>
      <c r="I439" s="1058">
        <v>10261</v>
      </c>
      <c r="J439" s="1057">
        <v>5569</v>
      </c>
      <c r="K439" s="1059">
        <f t="shared" si="15"/>
        <v>27104</v>
      </c>
      <c r="L439" s="1057"/>
      <c r="M439" s="1058">
        <v>200</v>
      </c>
      <c r="N439" s="1058">
        <v>0</v>
      </c>
      <c r="O439" s="1057">
        <v>246</v>
      </c>
      <c r="P439" s="1059">
        <f t="shared" si="16"/>
        <v>446</v>
      </c>
      <c r="Q439" s="1057"/>
      <c r="R439" s="1058">
        <v>10741</v>
      </c>
      <c r="S439" s="1057">
        <v>1607</v>
      </c>
      <c r="T439" s="1060">
        <v>12348</v>
      </c>
    </row>
    <row r="440" spans="1:20" x14ac:dyDescent="0.25">
      <c r="A440" s="1054">
        <v>94428</v>
      </c>
      <c r="B440" s="1055" t="s">
        <v>2993</v>
      </c>
      <c r="C440" s="1056">
        <v>7.2000000000000002E-5</v>
      </c>
      <c r="D440" s="1056">
        <v>6.5199999999999999E-5</v>
      </c>
      <c r="E440" s="1057">
        <v>170809</v>
      </c>
      <c r="F440" s="1057" t="s">
        <v>187</v>
      </c>
      <c r="G440" s="1058">
        <v>26352</v>
      </c>
      <c r="H440" s="1059">
        <v>23447</v>
      </c>
      <c r="I440" s="1058">
        <v>45326</v>
      </c>
      <c r="J440" s="1057">
        <v>7270</v>
      </c>
      <c r="K440" s="1059">
        <f t="shared" si="15"/>
        <v>102395</v>
      </c>
      <c r="L440" s="1057"/>
      <c r="M440" s="1058">
        <v>884</v>
      </c>
      <c r="N440" s="1058">
        <v>0</v>
      </c>
      <c r="O440" s="1057">
        <v>2510</v>
      </c>
      <c r="P440" s="1059">
        <f t="shared" si="16"/>
        <v>3394</v>
      </c>
      <c r="Q440" s="1057"/>
      <c r="R440" s="1058">
        <v>47446</v>
      </c>
      <c r="S440" s="1057">
        <v>1904</v>
      </c>
      <c r="T440" s="1060">
        <v>49350</v>
      </c>
    </row>
    <row r="441" spans="1:20" x14ac:dyDescent="0.25">
      <c r="A441" s="1054">
        <v>94431</v>
      </c>
      <c r="B441" s="1055" t="s">
        <v>4165</v>
      </c>
      <c r="C441" s="1056">
        <v>3.882E-4</v>
      </c>
      <c r="D441" s="1056">
        <v>4.2440000000000002E-4</v>
      </c>
      <c r="E441" s="1057">
        <v>920943</v>
      </c>
      <c r="F441" s="1057" t="s">
        <v>187</v>
      </c>
      <c r="G441" s="1058">
        <v>142080</v>
      </c>
      <c r="H441" s="1059">
        <v>126418</v>
      </c>
      <c r="I441" s="1058">
        <v>244383</v>
      </c>
      <c r="J441" s="1057">
        <v>207234</v>
      </c>
      <c r="K441" s="1059">
        <f t="shared" si="15"/>
        <v>720115</v>
      </c>
      <c r="L441" s="1057"/>
      <c r="M441" s="1058">
        <v>4767</v>
      </c>
      <c r="N441" s="1058">
        <v>0</v>
      </c>
      <c r="O441" s="1057">
        <v>0</v>
      </c>
      <c r="P441" s="1059">
        <f t="shared" si="16"/>
        <v>4767</v>
      </c>
      <c r="Q441" s="1057"/>
      <c r="R441" s="1058">
        <v>255813</v>
      </c>
      <c r="S441" s="1057">
        <v>84678</v>
      </c>
      <c r="T441" s="1060">
        <v>340491</v>
      </c>
    </row>
    <row r="442" spans="1:20" x14ac:dyDescent="0.25">
      <c r="A442" s="1054">
        <v>94437</v>
      </c>
      <c r="B442" s="1055" t="s">
        <v>2995</v>
      </c>
      <c r="C442" s="1056">
        <v>1.63E-5</v>
      </c>
      <c r="D442" s="1056">
        <v>1.5299999999999999E-5</v>
      </c>
      <c r="E442" s="1057">
        <v>38669</v>
      </c>
      <c r="F442" s="1057" t="s">
        <v>187</v>
      </c>
      <c r="G442" s="1058">
        <v>5966</v>
      </c>
      <c r="H442" s="1059">
        <v>5308</v>
      </c>
      <c r="I442" s="1058">
        <v>10261</v>
      </c>
      <c r="J442" s="1057">
        <v>13304</v>
      </c>
      <c r="K442" s="1059">
        <f t="shared" si="15"/>
        <v>34839</v>
      </c>
      <c r="L442" s="1057"/>
      <c r="M442" s="1058">
        <v>200</v>
      </c>
      <c r="N442" s="1058">
        <v>0</v>
      </c>
      <c r="O442" s="1057">
        <v>0</v>
      </c>
      <c r="P442" s="1059">
        <f t="shared" si="16"/>
        <v>200</v>
      </c>
      <c r="Q442" s="1057"/>
      <c r="R442" s="1058">
        <v>10741</v>
      </c>
      <c r="S442" s="1057">
        <v>6892</v>
      </c>
      <c r="T442" s="1060">
        <v>17633</v>
      </c>
    </row>
    <row r="443" spans="1:20" x14ac:dyDescent="0.25">
      <c r="A443" s="1054">
        <v>94501</v>
      </c>
      <c r="B443" s="1055" t="s">
        <v>2996</v>
      </c>
      <c r="C443" s="1056">
        <v>5.8639E-3</v>
      </c>
      <c r="D443" s="1056">
        <v>5.6991000000000003E-3</v>
      </c>
      <c r="E443" s="1057">
        <v>13911176</v>
      </c>
      <c r="F443" s="1057" t="s">
        <v>187</v>
      </c>
      <c r="G443" s="1058">
        <v>2146164</v>
      </c>
      <c r="H443" s="1059">
        <v>1909591</v>
      </c>
      <c r="I443" s="1058">
        <v>3691489</v>
      </c>
      <c r="J443" s="1057">
        <v>148578</v>
      </c>
      <c r="K443" s="1059">
        <f t="shared" si="15"/>
        <v>7895822</v>
      </c>
      <c r="L443" s="1057"/>
      <c r="M443" s="1058">
        <v>72015</v>
      </c>
      <c r="N443" s="1058">
        <v>0</v>
      </c>
      <c r="O443" s="1057">
        <v>8676</v>
      </c>
      <c r="P443" s="1059">
        <f t="shared" si="16"/>
        <v>80691</v>
      </c>
      <c r="Q443" s="1057"/>
      <c r="R443" s="1058">
        <v>3864152</v>
      </c>
      <c r="S443" s="1057">
        <v>125529</v>
      </c>
      <c r="T443" s="1060">
        <v>3989681</v>
      </c>
    </row>
    <row r="444" spans="1:20" x14ac:dyDescent="0.25">
      <c r="A444" s="1054">
        <v>94511</v>
      </c>
      <c r="B444" s="1055" t="s">
        <v>2997</v>
      </c>
      <c r="C444" s="1056">
        <v>1.9548999999999999E-3</v>
      </c>
      <c r="D444" s="1056">
        <v>1.8538999999999999E-3</v>
      </c>
      <c r="E444" s="1057">
        <v>4637691</v>
      </c>
      <c r="F444" s="1057" t="s">
        <v>187</v>
      </c>
      <c r="G444" s="1058">
        <v>715486</v>
      </c>
      <c r="H444" s="1059">
        <v>636617</v>
      </c>
      <c r="I444" s="1058">
        <v>1230664</v>
      </c>
      <c r="J444" s="1057">
        <v>90765</v>
      </c>
      <c r="K444" s="1059">
        <f t="shared" si="15"/>
        <v>2673532</v>
      </c>
      <c r="L444" s="1057"/>
      <c r="M444" s="1058">
        <v>24008</v>
      </c>
      <c r="N444" s="1058">
        <v>0</v>
      </c>
      <c r="O444" s="1057">
        <v>20572</v>
      </c>
      <c r="P444" s="1059">
        <f t="shared" si="16"/>
        <v>44580</v>
      </c>
      <c r="Q444" s="1057"/>
      <c r="R444" s="1058">
        <v>1288226</v>
      </c>
      <c r="S444" s="1057">
        <v>77659</v>
      </c>
      <c r="T444" s="1060">
        <v>1365885</v>
      </c>
    </row>
    <row r="445" spans="1:20" x14ac:dyDescent="0.25">
      <c r="A445" s="1054">
        <v>94512</v>
      </c>
      <c r="B445" s="1055" t="s">
        <v>2998</v>
      </c>
      <c r="C445" s="1056">
        <v>0</v>
      </c>
      <c r="D445" s="1056">
        <v>0</v>
      </c>
      <c r="E445" s="1057">
        <v>0</v>
      </c>
      <c r="F445" s="1057" t="s">
        <v>187</v>
      </c>
      <c r="G445" s="1058">
        <v>0</v>
      </c>
      <c r="H445" s="1059">
        <v>0</v>
      </c>
      <c r="I445" s="1058">
        <v>0</v>
      </c>
      <c r="J445" s="1057">
        <v>0</v>
      </c>
      <c r="K445" s="1059">
        <f t="shared" si="15"/>
        <v>0</v>
      </c>
      <c r="L445" s="1057"/>
      <c r="M445" s="1058">
        <v>0</v>
      </c>
      <c r="N445" s="1058">
        <v>0</v>
      </c>
      <c r="O445" s="1057">
        <v>59923</v>
      </c>
      <c r="P445" s="1059">
        <f t="shared" si="16"/>
        <v>59923</v>
      </c>
      <c r="Q445" s="1057"/>
      <c r="R445" s="1058">
        <v>0</v>
      </c>
      <c r="S445" s="1057">
        <v>-78657</v>
      </c>
      <c r="T445" s="1060">
        <v>-78657</v>
      </c>
    </row>
    <row r="446" spans="1:20" x14ac:dyDescent="0.25">
      <c r="A446" s="1054">
        <v>94517</v>
      </c>
      <c r="B446" s="1055" t="s">
        <v>2999</v>
      </c>
      <c r="C446" s="1056">
        <v>3.6199999999999999E-5</v>
      </c>
      <c r="D446" s="1056">
        <v>4.7599999999999998E-5</v>
      </c>
      <c r="E446" s="1057">
        <v>85879</v>
      </c>
      <c r="F446" s="1057" t="s">
        <v>187</v>
      </c>
      <c r="G446" s="1058">
        <v>13249</v>
      </c>
      <c r="H446" s="1059">
        <v>11789</v>
      </c>
      <c r="I446" s="1058">
        <v>22789</v>
      </c>
      <c r="J446" s="1057">
        <v>12828</v>
      </c>
      <c r="K446" s="1059">
        <f t="shared" si="15"/>
        <v>60655</v>
      </c>
      <c r="L446" s="1057"/>
      <c r="M446" s="1058">
        <v>445</v>
      </c>
      <c r="N446" s="1058">
        <v>0</v>
      </c>
      <c r="O446" s="1057">
        <v>0</v>
      </c>
      <c r="P446" s="1059">
        <f t="shared" si="16"/>
        <v>445</v>
      </c>
      <c r="Q446" s="1057"/>
      <c r="R446" s="1058">
        <v>23855</v>
      </c>
      <c r="S446" s="1057">
        <v>9761</v>
      </c>
      <c r="T446" s="1060">
        <v>33616</v>
      </c>
    </row>
    <row r="447" spans="1:20" x14ac:dyDescent="0.25">
      <c r="A447" s="1054">
        <v>94521</v>
      </c>
      <c r="B447" s="1055" t="s">
        <v>4166</v>
      </c>
      <c r="C447" s="1056">
        <v>1.5880000000000001E-4</v>
      </c>
      <c r="D447" s="1056">
        <v>1.517E-4</v>
      </c>
      <c r="E447" s="1057">
        <v>376728</v>
      </c>
      <c r="F447" s="1057" t="s">
        <v>187</v>
      </c>
      <c r="G447" s="1058">
        <v>58120</v>
      </c>
      <c r="H447" s="1059">
        <v>51714</v>
      </c>
      <c r="I447" s="1058">
        <v>99969</v>
      </c>
      <c r="J447" s="1057">
        <v>10090</v>
      </c>
      <c r="K447" s="1059">
        <f t="shared" si="15"/>
        <v>219893</v>
      </c>
      <c r="L447" s="1057"/>
      <c r="M447" s="1058">
        <v>1950</v>
      </c>
      <c r="N447" s="1058">
        <v>0</v>
      </c>
      <c r="O447" s="1057">
        <v>14325</v>
      </c>
      <c r="P447" s="1059">
        <f t="shared" si="16"/>
        <v>16275</v>
      </c>
      <c r="Q447" s="1057"/>
      <c r="R447" s="1058">
        <v>104645</v>
      </c>
      <c r="S447" s="1057">
        <v>-908</v>
      </c>
      <c r="T447" s="1060">
        <v>103737</v>
      </c>
    </row>
    <row r="448" spans="1:20" x14ac:dyDescent="0.25">
      <c r="A448" s="1054">
        <v>94527</v>
      </c>
      <c r="B448" s="1055" t="s">
        <v>3001</v>
      </c>
      <c r="C448" s="1056">
        <v>6.6000000000000003E-6</v>
      </c>
      <c r="D448" s="1056">
        <v>5.4E-6</v>
      </c>
      <c r="E448" s="1057">
        <v>15657</v>
      </c>
      <c r="F448" s="1057" t="s">
        <v>187</v>
      </c>
      <c r="G448" s="1058">
        <v>2416</v>
      </c>
      <c r="H448" s="1059">
        <v>2149</v>
      </c>
      <c r="I448" s="1058">
        <v>4155</v>
      </c>
      <c r="J448" s="1057">
        <v>803</v>
      </c>
      <c r="K448" s="1059">
        <f t="shared" si="15"/>
        <v>9523</v>
      </c>
      <c r="L448" s="1057"/>
      <c r="M448" s="1058">
        <v>81</v>
      </c>
      <c r="N448" s="1058">
        <v>0</v>
      </c>
      <c r="O448" s="1057">
        <v>2247</v>
      </c>
      <c r="P448" s="1059">
        <f t="shared" si="16"/>
        <v>2328</v>
      </c>
      <c r="Q448" s="1057"/>
      <c r="R448" s="1058">
        <v>4349</v>
      </c>
      <c r="S448" s="1057">
        <v>-787</v>
      </c>
      <c r="T448" s="1060">
        <v>3562</v>
      </c>
    </row>
    <row r="449" spans="1:20" x14ac:dyDescent="0.25">
      <c r="A449" s="1054">
        <v>94531</v>
      </c>
      <c r="B449" s="1055" t="s">
        <v>4167</v>
      </c>
      <c r="C449" s="1056">
        <v>1.4E-5</v>
      </c>
      <c r="D449" s="1056">
        <v>1.5E-5</v>
      </c>
      <c r="E449" s="1057">
        <v>33213</v>
      </c>
      <c r="F449" s="1057" t="s">
        <v>187</v>
      </c>
      <c r="G449" s="1058">
        <v>5124</v>
      </c>
      <c r="H449" s="1059">
        <v>4559</v>
      </c>
      <c r="I449" s="1058">
        <v>8813</v>
      </c>
      <c r="J449" s="1057">
        <v>7957</v>
      </c>
      <c r="K449" s="1059">
        <f t="shared" si="15"/>
        <v>26453</v>
      </c>
      <c r="L449" s="1057"/>
      <c r="M449" s="1058">
        <v>172</v>
      </c>
      <c r="N449" s="1058">
        <v>0</v>
      </c>
      <c r="O449" s="1057">
        <v>0</v>
      </c>
      <c r="P449" s="1059">
        <f t="shared" si="16"/>
        <v>172</v>
      </c>
      <c r="Q449" s="1057"/>
      <c r="R449" s="1058">
        <v>9226</v>
      </c>
      <c r="S449" s="1057">
        <v>3665</v>
      </c>
      <c r="T449" s="1060">
        <v>12891</v>
      </c>
    </row>
    <row r="450" spans="1:20" x14ac:dyDescent="0.25">
      <c r="A450" s="1054">
        <v>94532</v>
      </c>
      <c r="B450" s="1055" t="s">
        <v>3003</v>
      </c>
      <c r="C450" s="1056">
        <v>1.0280000000000001E-4</v>
      </c>
      <c r="D450" s="1056">
        <v>8.7800000000000006E-5</v>
      </c>
      <c r="E450" s="1057">
        <v>243877</v>
      </c>
      <c r="F450" s="1057" t="s">
        <v>187</v>
      </c>
      <c r="G450" s="1058">
        <v>37624</v>
      </c>
      <c r="H450" s="1059">
        <v>33477</v>
      </c>
      <c r="I450" s="1058">
        <v>64715</v>
      </c>
      <c r="J450" s="1057">
        <v>9560</v>
      </c>
      <c r="K450" s="1059">
        <f t="shared" si="15"/>
        <v>145376</v>
      </c>
      <c r="L450" s="1057"/>
      <c r="M450" s="1058">
        <v>1262</v>
      </c>
      <c r="N450" s="1058">
        <v>0</v>
      </c>
      <c r="O450" s="1057">
        <v>4871</v>
      </c>
      <c r="P450" s="1059">
        <f t="shared" si="16"/>
        <v>6133</v>
      </c>
      <c r="Q450" s="1057"/>
      <c r="R450" s="1058">
        <v>67742</v>
      </c>
      <c r="S450" s="1057">
        <v>-3107</v>
      </c>
      <c r="T450" s="1060">
        <v>64635</v>
      </c>
    </row>
    <row r="451" spans="1:20" x14ac:dyDescent="0.25">
      <c r="A451" s="1054">
        <v>94541</v>
      </c>
      <c r="B451" s="1055" t="s">
        <v>4168</v>
      </c>
      <c r="C451" s="1056">
        <v>2.8219999999999997E-4</v>
      </c>
      <c r="D451" s="1056">
        <v>2.9300000000000002E-4</v>
      </c>
      <c r="E451" s="1057">
        <v>669475</v>
      </c>
      <c r="F451" s="1057" t="s">
        <v>187</v>
      </c>
      <c r="G451" s="1058">
        <v>103284</v>
      </c>
      <c r="H451" s="1059">
        <v>91899</v>
      </c>
      <c r="I451" s="1058">
        <v>177653</v>
      </c>
      <c r="J451" s="1057">
        <v>0</v>
      </c>
      <c r="K451" s="1059">
        <f t="shared" si="15"/>
        <v>372836</v>
      </c>
      <c r="L451" s="1057"/>
      <c r="M451" s="1058">
        <v>3466</v>
      </c>
      <c r="N451" s="1058">
        <v>0</v>
      </c>
      <c r="O451" s="1057">
        <v>31668</v>
      </c>
      <c r="P451" s="1059">
        <f t="shared" si="16"/>
        <v>35134</v>
      </c>
      <c r="Q451" s="1057"/>
      <c r="R451" s="1058">
        <v>185962</v>
      </c>
      <c r="S451" s="1057">
        <v>-14289</v>
      </c>
      <c r="T451" s="1060">
        <v>171673</v>
      </c>
    </row>
    <row r="452" spans="1:20" x14ac:dyDescent="0.25">
      <c r="A452" s="1054">
        <v>94547</v>
      </c>
      <c r="B452" s="1055" t="s">
        <v>3005</v>
      </c>
      <c r="C452" s="1056">
        <v>1.01E-5</v>
      </c>
      <c r="D452" s="1056">
        <v>1.08E-5</v>
      </c>
      <c r="E452" s="1057">
        <v>23961</v>
      </c>
      <c r="F452" s="1057" t="s">
        <v>187</v>
      </c>
      <c r="G452" s="1058">
        <v>3697</v>
      </c>
      <c r="H452" s="1059">
        <v>3289</v>
      </c>
      <c r="I452" s="1058">
        <v>6358</v>
      </c>
      <c r="J452" s="1057">
        <v>4672</v>
      </c>
      <c r="K452" s="1059">
        <f t="shared" si="15"/>
        <v>18016</v>
      </c>
      <c r="L452" s="1057"/>
      <c r="M452" s="1058">
        <v>124</v>
      </c>
      <c r="N452" s="1058">
        <v>0</v>
      </c>
      <c r="O452" s="1057">
        <v>0</v>
      </c>
      <c r="P452" s="1059">
        <f t="shared" si="16"/>
        <v>124</v>
      </c>
      <c r="Q452" s="1057"/>
      <c r="R452" s="1058">
        <v>6656</v>
      </c>
      <c r="S452" s="1057">
        <v>1705</v>
      </c>
      <c r="T452" s="1060">
        <v>8361</v>
      </c>
    </row>
    <row r="453" spans="1:20" x14ac:dyDescent="0.25">
      <c r="A453" s="1054">
        <v>94551</v>
      </c>
      <c r="B453" s="1055" t="s">
        <v>4169</v>
      </c>
      <c r="C453" s="1056">
        <v>4.9200000000000003E-5</v>
      </c>
      <c r="D453" s="1056">
        <v>4.1900000000000002E-5</v>
      </c>
      <c r="E453" s="1057">
        <v>116719</v>
      </c>
      <c r="F453" s="1057" t="s">
        <v>187</v>
      </c>
      <c r="G453" s="1058">
        <v>18007</v>
      </c>
      <c r="H453" s="1059">
        <v>16022</v>
      </c>
      <c r="I453" s="1058">
        <v>30973</v>
      </c>
      <c r="J453" s="1057">
        <v>13168</v>
      </c>
      <c r="K453" s="1059">
        <f t="shared" si="15"/>
        <v>78170</v>
      </c>
      <c r="L453" s="1057"/>
      <c r="M453" s="1058">
        <v>604</v>
      </c>
      <c r="N453" s="1058">
        <v>0</v>
      </c>
      <c r="O453" s="1057">
        <v>710</v>
      </c>
      <c r="P453" s="1059">
        <f t="shared" si="16"/>
        <v>1314</v>
      </c>
      <c r="Q453" s="1057"/>
      <c r="R453" s="1058">
        <v>32421</v>
      </c>
      <c r="S453" s="1057">
        <v>5732</v>
      </c>
      <c r="T453" s="1060">
        <v>38153</v>
      </c>
    </row>
    <row r="454" spans="1:20" x14ac:dyDescent="0.25">
      <c r="A454" s="1054">
        <v>94601</v>
      </c>
      <c r="B454" s="1055" t="s">
        <v>3007</v>
      </c>
      <c r="C454" s="1056">
        <v>1.0712E-3</v>
      </c>
      <c r="D454" s="1056">
        <v>1.0602999999999999E-3</v>
      </c>
      <c r="E454" s="1057">
        <v>2541253</v>
      </c>
      <c r="F454" s="1057" t="s">
        <v>187</v>
      </c>
      <c r="G454" s="1058">
        <v>392055</v>
      </c>
      <c r="H454" s="1059">
        <v>348838</v>
      </c>
      <c r="I454" s="1058">
        <v>674350</v>
      </c>
      <c r="J454" s="1057">
        <v>72678</v>
      </c>
      <c r="K454" s="1059">
        <f t="shared" si="15"/>
        <v>1487921</v>
      </c>
      <c r="L454" s="1057"/>
      <c r="M454" s="1058">
        <v>13155</v>
      </c>
      <c r="N454" s="1058">
        <v>0</v>
      </c>
      <c r="O454" s="1057">
        <v>984</v>
      </c>
      <c r="P454" s="1059">
        <f t="shared" si="16"/>
        <v>14139</v>
      </c>
      <c r="Q454" s="1057"/>
      <c r="R454" s="1058">
        <v>705892</v>
      </c>
      <c r="S454" s="1057">
        <v>26134</v>
      </c>
      <c r="T454" s="1060">
        <v>732026</v>
      </c>
    </row>
    <row r="455" spans="1:20" x14ac:dyDescent="0.25">
      <c r="A455" s="1054">
        <v>94604</v>
      </c>
      <c r="B455" s="1055" t="s">
        <v>3008</v>
      </c>
      <c r="C455" s="1056">
        <v>2.7699999999999999E-5</v>
      </c>
      <c r="D455" s="1056">
        <v>2.62E-5</v>
      </c>
      <c r="E455" s="1057">
        <v>65714</v>
      </c>
      <c r="F455" s="1057" t="s">
        <v>187</v>
      </c>
      <c r="G455" s="1058">
        <v>10138</v>
      </c>
      <c r="H455" s="1059">
        <v>9021</v>
      </c>
      <c r="I455" s="1058">
        <v>17438</v>
      </c>
      <c r="J455" s="1057">
        <v>3578</v>
      </c>
      <c r="K455" s="1059">
        <f t="shared" si="15"/>
        <v>40175</v>
      </c>
      <c r="L455" s="1057"/>
      <c r="M455" s="1058">
        <v>340</v>
      </c>
      <c r="N455" s="1058">
        <v>0</v>
      </c>
      <c r="O455" s="1057">
        <v>0</v>
      </c>
      <c r="P455" s="1059">
        <f t="shared" si="16"/>
        <v>340</v>
      </c>
      <c r="Q455" s="1057"/>
      <c r="R455" s="1058">
        <v>18254</v>
      </c>
      <c r="S455" s="1057">
        <v>1154</v>
      </c>
      <c r="T455" s="1060">
        <v>19408</v>
      </c>
    </row>
    <row r="456" spans="1:20" x14ac:dyDescent="0.25">
      <c r="A456" s="1054">
        <v>94606</v>
      </c>
      <c r="B456" s="1055" t="s">
        <v>3009</v>
      </c>
      <c r="C456" s="1056">
        <v>1.9019999999999999E-4</v>
      </c>
      <c r="D456" s="1056">
        <v>2.3550000000000001E-4</v>
      </c>
      <c r="E456" s="1057">
        <v>451219</v>
      </c>
      <c r="F456" s="1057" t="s">
        <v>187</v>
      </c>
      <c r="G456" s="1058">
        <v>69612</v>
      </c>
      <c r="H456" s="1059">
        <v>61939</v>
      </c>
      <c r="I456" s="1058">
        <v>119736</v>
      </c>
      <c r="J456" s="1057">
        <v>0</v>
      </c>
      <c r="K456" s="1059">
        <f t="shared" si="15"/>
        <v>251287</v>
      </c>
      <c r="L456" s="1057"/>
      <c r="M456" s="1058">
        <v>2336</v>
      </c>
      <c r="N456" s="1058">
        <v>0</v>
      </c>
      <c r="O456" s="1057">
        <v>52852</v>
      </c>
      <c r="P456" s="1059">
        <f t="shared" si="16"/>
        <v>55188</v>
      </c>
      <c r="Q456" s="1057"/>
      <c r="R456" s="1058">
        <v>125337</v>
      </c>
      <c r="S456" s="1057">
        <v>-30387</v>
      </c>
      <c r="T456" s="1060">
        <v>94950</v>
      </c>
    </row>
    <row r="457" spans="1:20" x14ac:dyDescent="0.25">
      <c r="A457" s="1054">
        <v>94611</v>
      </c>
      <c r="B457" s="1055" t="s">
        <v>4170</v>
      </c>
      <c r="C457" s="1056">
        <v>3.5149999999999998E-4</v>
      </c>
      <c r="D457" s="1056">
        <v>3.6850000000000001E-4</v>
      </c>
      <c r="E457" s="1057">
        <v>833878</v>
      </c>
      <c r="F457" s="1057" t="s">
        <v>187</v>
      </c>
      <c r="G457" s="1058">
        <v>128648</v>
      </c>
      <c r="H457" s="1059">
        <v>114467</v>
      </c>
      <c r="I457" s="1058">
        <v>221279</v>
      </c>
      <c r="J457" s="1057">
        <v>1175</v>
      </c>
      <c r="K457" s="1059">
        <f t="shared" si="15"/>
        <v>465569</v>
      </c>
      <c r="L457" s="1057"/>
      <c r="M457" s="1058">
        <v>4317</v>
      </c>
      <c r="N457" s="1058">
        <v>0</v>
      </c>
      <c r="O457" s="1057">
        <v>24785</v>
      </c>
      <c r="P457" s="1059">
        <f t="shared" si="16"/>
        <v>29102</v>
      </c>
      <c r="Q457" s="1057"/>
      <c r="R457" s="1058">
        <v>231629</v>
      </c>
      <c r="S457" s="1057">
        <v>-9311</v>
      </c>
      <c r="T457" s="1060">
        <v>222318</v>
      </c>
    </row>
    <row r="458" spans="1:20" x14ac:dyDescent="0.25">
      <c r="A458" s="1054">
        <v>94621</v>
      </c>
      <c r="B458" s="1055" t="s">
        <v>4171</v>
      </c>
      <c r="C458" s="1056">
        <v>1.0450000000000001E-4</v>
      </c>
      <c r="D458" s="1056">
        <v>9.7600000000000001E-5</v>
      </c>
      <c r="E458" s="1057">
        <v>247910</v>
      </c>
      <c r="F458" s="1057" t="s">
        <v>187</v>
      </c>
      <c r="G458" s="1058">
        <v>38247</v>
      </c>
      <c r="H458" s="1059">
        <v>34031</v>
      </c>
      <c r="I458" s="1058">
        <v>65786</v>
      </c>
      <c r="J458" s="1057">
        <v>19728</v>
      </c>
      <c r="K458" s="1059">
        <f t="shared" si="15"/>
        <v>157792</v>
      </c>
      <c r="L458" s="1057"/>
      <c r="M458" s="1058">
        <v>1283</v>
      </c>
      <c r="N458" s="1058">
        <v>0</v>
      </c>
      <c r="O458" s="1057">
        <v>10114</v>
      </c>
      <c r="P458" s="1059">
        <f t="shared" si="16"/>
        <v>11397</v>
      </c>
      <c r="Q458" s="1057"/>
      <c r="R458" s="1058">
        <v>68863</v>
      </c>
      <c r="S458" s="1057">
        <v>3576</v>
      </c>
      <c r="T458" s="1060">
        <v>72439</v>
      </c>
    </row>
    <row r="459" spans="1:20" x14ac:dyDescent="0.25">
      <c r="A459" s="1054">
        <v>94631</v>
      </c>
      <c r="B459" s="1055" t="s">
        <v>4172</v>
      </c>
      <c r="C459" s="1056">
        <v>4.4799999999999998E-5</v>
      </c>
      <c r="D459" s="1056">
        <v>3.9100000000000002E-5</v>
      </c>
      <c r="E459" s="1057">
        <v>106281</v>
      </c>
      <c r="F459" s="1057" t="s">
        <v>187</v>
      </c>
      <c r="G459" s="1058">
        <v>16397</v>
      </c>
      <c r="H459" s="1059">
        <v>14590</v>
      </c>
      <c r="I459" s="1058">
        <v>28203</v>
      </c>
      <c r="J459" s="1057">
        <v>7035</v>
      </c>
      <c r="K459" s="1059">
        <f t="shared" si="15"/>
        <v>66225</v>
      </c>
      <c r="L459" s="1057"/>
      <c r="M459" s="1058">
        <v>550</v>
      </c>
      <c r="N459" s="1058">
        <v>0</v>
      </c>
      <c r="O459" s="1057">
        <v>0</v>
      </c>
      <c r="P459" s="1059">
        <f t="shared" si="16"/>
        <v>550</v>
      </c>
      <c r="Q459" s="1057"/>
      <c r="R459" s="1058">
        <v>29522</v>
      </c>
      <c r="S459" s="1057">
        <v>3256</v>
      </c>
      <c r="T459" s="1060">
        <v>32778</v>
      </c>
    </row>
    <row r="460" spans="1:20" x14ac:dyDescent="0.25">
      <c r="A460" s="1054">
        <v>94641</v>
      </c>
      <c r="B460" s="1055" t="s">
        <v>4173</v>
      </c>
      <c r="C460" s="1056">
        <v>3.5999999999999998E-6</v>
      </c>
      <c r="D460" s="1056">
        <v>3.8999999999999999E-6</v>
      </c>
      <c r="E460" s="1057">
        <v>8540</v>
      </c>
      <c r="F460" s="1057" t="s">
        <v>187</v>
      </c>
      <c r="G460" s="1058">
        <v>1318</v>
      </c>
      <c r="H460" s="1059">
        <v>1173</v>
      </c>
      <c r="I460" s="1058">
        <v>2266</v>
      </c>
      <c r="J460" s="1057">
        <v>5161</v>
      </c>
      <c r="K460" s="1059">
        <f t="shared" si="15"/>
        <v>9918</v>
      </c>
      <c r="L460" s="1057"/>
      <c r="M460" s="1058">
        <v>44</v>
      </c>
      <c r="N460" s="1058">
        <v>0</v>
      </c>
      <c r="O460" s="1057">
        <v>0</v>
      </c>
      <c r="P460" s="1059">
        <f t="shared" si="16"/>
        <v>44</v>
      </c>
      <c r="Q460" s="1057"/>
      <c r="R460" s="1058">
        <v>2372</v>
      </c>
      <c r="S460" s="1057">
        <v>2728</v>
      </c>
      <c r="T460" s="1060">
        <v>5100</v>
      </c>
    </row>
    <row r="461" spans="1:20" x14ac:dyDescent="0.25">
      <c r="A461" s="1054">
        <v>94701</v>
      </c>
      <c r="B461" s="1055" t="s">
        <v>3014</v>
      </c>
      <c r="C461" s="1056">
        <v>2.3993999999999999E-3</v>
      </c>
      <c r="D461" s="1056">
        <v>2.5446000000000002E-3</v>
      </c>
      <c r="E461" s="1057">
        <v>5692197</v>
      </c>
      <c r="F461" s="1057" t="s">
        <v>187</v>
      </c>
      <c r="G461" s="1058">
        <v>878171</v>
      </c>
      <c r="H461" s="1059">
        <v>781370</v>
      </c>
      <c r="I461" s="1058">
        <v>1510489</v>
      </c>
      <c r="J461" s="1057">
        <v>14859</v>
      </c>
      <c r="K461" s="1059">
        <f t="shared" ref="K461:K526" si="17">G461+H461+I461+J461</f>
        <v>3184889</v>
      </c>
      <c r="L461" s="1057"/>
      <c r="M461" s="1058">
        <v>29467</v>
      </c>
      <c r="N461" s="1058">
        <v>0</v>
      </c>
      <c r="O461" s="1057">
        <v>188404</v>
      </c>
      <c r="P461" s="1059">
        <f t="shared" ref="P461:P526" si="18">M461+N461+O461</f>
        <v>217871</v>
      </c>
      <c r="Q461" s="1057"/>
      <c r="R461" s="1058">
        <v>1581140</v>
      </c>
      <c r="S461" s="1057">
        <v>-32473</v>
      </c>
      <c r="T461" s="1060">
        <v>1548667</v>
      </c>
    </row>
    <row r="462" spans="1:20" x14ac:dyDescent="0.25">
      <c r="A462" s="1054">
        <v>94704</v>
      </c>
      <c r="B462" s="1055" t="s">
        <v>3015</v>
      </c>
      <c r="C462" s="1056">
        <v>1.63E-5</v>
      </c>
      <c r="D462" s="1056">
        <v>9.5000000000000005E-6</v>
      </c>
      <c r="E462" s="1057">
        <v>38669</v>
      </c>
      <c r="F462" s="1057" t="s">
        <v>187</v>
      </c>
      <c r="G462" s="1058">
        <v>5966</v>
      </c>
      <c r="H462" s="1059">
        <v>5308</v>
      </c>
      <c r="I462" s="1058">
        <v>10261</v>
      </c>
      <c r="J462" s="1057">
        <v>4937</v>
      </c>
      <c r="K462" s="1059">
        <f t="shared" si="17"/>
        <v>26472</v>
      </c>
      <c r="L462" s="1057"/>
      <c r="M462" s="1058">
        <v>200</v>
      </c>
      <c r="N462" s="1058">
        <v>0</v>
      </c>
      <c r="O462" s="1057">
        <v>69</v>
      </c>
      <c r="P462" s="1059">
        <f t="shared" si="18"/>
        <v>269</v>
      </c>
      <c r="Q462" s="1057"/>
      <c r="R462" s="1058">
        <v>10741</v>
      </c>
      <c r="S462" s="1057">
        <v>1269</v>
      </c>
      <c r="T462" s="1060">
        <v>12010</v>
      </c>
    </row>
    <row r="463" spans="1:20" x14ac:dyDescent="0.25">
      <c r="A463" s="1054">
        <v>94711</v>
      </c>
      <c r="B463" s="1055" t="s">
        <v>4174</v>
      </c>
      <c r="C463" s="1056">
        <v>3.3589999999999998E-4</v>
      </c>
      <c r="D463" s="1056">
        <v>3.3599999999999998E-4</v>
      </c>
      <c r="E463" s="1057">
        <v>796870</v>
      </c>
      <c r="F463" s="1057"/>
      <c r="G463" s="1058">
        <v>122938</v>
      </c>
      <c r="H463" s="1059">
        <v>109386</v>
      </c>
      <c r="I463" s="1058">
        <v>211458</v>
      </c>
      <c r="J463" s="1057">
        <v>6983</v>
      </c>
      <c r="K463" s="1059">
        <f t="shared" si="17"/>
        <v>450765</v>
      </c>
      <c r="L463" s="1057"/>
      <c r="M463" s="1058">
        <v>4125</v>
      </c>
      <c r="N463" s="1058">
        <v>0</v>
      </c>
      <c r="O463" s="1057">
        <v>2875</v>
      </c>
      <c r="P463" s="1059">
        <f t="shared" si="18"/>
        <v>7000</v>
      </c>
      <c r="Q463" s="1057"/>
      <c r="R463" s="1058">
        <v>221349</v>
      </c>
      <c r="S463" s="1057">
        <v>1908</v>
      </c>
      <c r="T463" s="1060">
        <v>223257</v>
      </c>
    </row>
    <row r="464" spans="1:20" x14ac:dyDescent="0.25">
      <c r="A464" s="1054">
        <v>94801</v>
      </c>
      <c r="B464" s="1055" t="s">
        <v>3017</v>
      </c>
      <c r="C464" s="1056">
        <v>6.7719999999999998E-4</v>
      </c>
      <c r="D464" s="1056">
        <v>7.2440000000000004E-4</v>
      </c>
      <c r="E464" s="1057">
        <v>1606550</v>
      </c>
      <c r="F464" s="1057"/>
      <c r="G464" s="1058">
        <v>247852</v>
      </c>
      <c r="H464" s="1059">
        <v>220532</v>
      </c>
      <c r="I464" s="1058">
        <v>426316</v>
      </c>
      <c r="J464" s="1057">
        <v>17822</v>
      </c>
      <c r="K464" s="1059">
        <f t="shared" si="17"/>
        <v>912522</v>
      </c>
      <c r="L464" s="1057"/>
      <c r="M464" s="1058">
        <v>8317</v>
      </c>
      <c r="N464" s="1058">
        <v>0</v>
      </c>
      <c r="O464" s="1057">
        <v>36966</v>
      </c>
      <c r="P464" s="1059">
        <f t="shared" si="18"/>
        <v>45283</v>
      </c>
      <c r="Q464" s="1057"/>
      <c r="R464" s="1058">
        <v>446257</v>
      </c>
      <c r="S464" s="1057">
        <v>12092</v>
      </c>
      <c r="T464" s="1060">
        <v>458349</v>
      </c>
    </row>
    <row r="465" spans="1:20" x14ac:dyDescent="0.25">
      <c r="A465" s="1054">
        <v>94804</v>
      </c>
      <c r="B465" s="1055" t="s">
        <v>3018</v>
      </c>
      <c r="C465" s="1056">
        <v>3.3000000000000002E-6</v>
      </c>
      <c r="D465" s="1056">
        <v>3.8E-6</v>
      </c>
      <c r="E465" s="1057">
        <v>7829</v>
      </c>
      <c r="F465" s="1057"/>
      <c r="G465" s="1058">
        <v>1208</v>
      </c>
      <c r="H465" s="1059">
        <v>1075</v>
      </c>
      <c r="I465" s="1058">
        <v>2077</v>
      </c>
      <c r="J465" s="1057">
        <v>1172</v>
      </c>
      <c r="K465" s="1059">
        <f t="shared" si="17"/>
        <v>5532</v>
      </c>
      <c r="L465" s="1057"/>
      <c r="M465" s="1058">
        <v>41</v>
      </c>
      <c r="N465" s="1058">
        <v>0</v>
      </c>
      <c r="O465" s="1057">
        <v>142</v>
      </c>
      <c r="P465" s="1059">
        <f t="shared" si="18"/>
        <v>183</v>
      </c>
      <c r="Q465" s="1057"/>
      <c r="R465" s="1058">
        <v>2175</v>
      </c>
      <c r="S465" s="1057">
        <v>2000</v>
      </c>
      <c r="T465" s="1060">
        <v>4175</v>
      </c>
    </row>
    <row r="466" spans="1:20" x14ac:dyDescent="0.25">
      <c r="A466" s="1054">
        <v>94812</v>
      </c>
      <c r="B466" s="1055" t="s">
        <v>3019</v>
      </c>
      <c r="C466" s="1056">
        <v>3.2100000000000001E-5</v>
      </c>
      <c r="D466" s="1056">
        <v>3.3000000000000003E-5</v>
      </c>
      <c r="E466" s="1057">
        <v>76152</v>
      </c>
      <c r="F466" s="1057" t="s">
        <v>187</v>
      </c>
      <c r="G466" s="1058">
        <v>11748</v>
      </c>
      <c r="H466" s="1059">
        <v>10453</v>
      </c>
      <c r="I466" s="1058">
        <v>20208</v>
      </c>
      <c r="J466" s="1057">
        <v>9807</v>
      </c>
      <c r="K466" s="1059">
        <f t="shared" si="17"/>
        <v>52216</v>
      </c>
      <c r="L466" s="1057"/>
      <c r="M466" s="1058">
        <v>394</v>
      </c>
      <c r="N466" s="1058">
        <v>0</v>
      </c>
      <c r="O466" s="1057">
        <v>0</v>
      </c>
      <c r="P466" s="1059">
        <f t="shared" si="18"/>
        <v>394</v>
      </c>
      <c r="Q466" s="1057"/>
      <c r="R466" s="1058">
        <v>21153</v>
      </c>
      <c r="S466" s="1057">
        <v>4887</v>
      </c>
      <c r="T466" s="1060">
        <v>26040</v>
      </c>
    </row>
    <row r="467" spans="1:20" x14ac:dyDescent="0.25">
      <c r="A467" s="1054">
        <v>94901</v>
      </c>
      <c r="B467" s="1055" t="s">
        <v>3020</v>
      </c>
      <c r="C467" s="1056">
        <v>7.1234000000000002E-3</v>
      </c>
      <c r="D467" s="1056">
        <v>6.7841999999999998E-3</v>
      </c>
      <c r="E467" s="1057">
        <v>16899141</v>
      </c>
      <c r="F467" s="1057" t="s">
        <v>187</v>
      </c>
      <c r="G467" s="1058">
        <v>2607136</v>
      </c>
      <c r="H467" s="1059">
        <v>2319750</v>
      </c>
      <c r="I467" s="1058">
        <v>4484380</v>
      </c>
      <c r="J467" s="1057">
        <v>225129</v>
      </c>
      <c r="K467" s="1059">
        <f t="shared" si="17"/>
        <v>9636395</v>
      </c>
      <c r="L467" s="1057"/>
      <c r="M467" s="1058">
        <v>87482</v>
      </c>
      <c r="N467" s="1058">
        <v>0</v>
      </c>
      <c r="O467" s="1057">
        <v>81221</v>
      </c>
      <c r="P467" s="1059">
        <f t="shared" si="18"/>
        <v>168703</v>
      </c>
      <c r="Q467" s="1057"/>
      <c r="R467" s="1058">
        <v>4694128</v>
      </c>
      <c r="S467" s="1057">
        <v>18634</v>
      </c>
      <c r="T467" s="1060">
        <v>4712762</v>
      </c>
    </row>
    <row r="468" spans="1:20" x14ac:dyDescent="0.25">
      <c r="A468" s="1054">
        <v>94908</v>
      </c>
      <c r="B468" s="1055" t="s">
        <v>3021</v>
      </c>
      <c r="C468" s="1056">
        <v>6.8000000000000001E-6</v>
      </c>
      <c r="D468" s="1056">
        <v>7.7000000000000008E-6</v>
      </c>
      <c r="E468" s="1057">
        <v>16132</v>
      </c>
      <c r="F468" s="1057" t="s">
        <v>187</v>
      </c>
      <c r="G468" s="1058">
        <v>2489</v>
      </c>
      <c r="H468" s="1059">
        <v>2215</v>
      </c>
      <c r="I468" s="1058">
        <v>4281</v>
      </c>
      <c r="J468" s="1057">
        <v>0</v>
      </c>
      <c r="K468" s="1059">
        <f t="shared" si="17"/>
        <v>8985</v>
      </c>
      <c r="L468" s="1057"/>
      <c r="M468" s="1058">
        <v>84</v>
      </c>
      <c r="N468" s="1058">
        <v>0</v>
      </c>
      <c r="O468" s="1057">
        <v>15303</v>
      </c>
      <c r="P468" s="1059">
        <f t="shared" si="18"/>
        <v>15387</v>
      </c>
      <c r="Q468" s="1057"/>
      <c r="R468" s="1058">
        <v>4481</v>
      </c>
      <c r="S468" s="1057">
        <v>-6873</v>
      </c>
      <c r="T468" s="1060">
        <v>-2392</v>
      </c>
    </row>
    <row r="469" spans="1:20" x14ac:dyDescent="0.25">
      <c r="A469" s="1054">
        <v>94911</v>
      </c>
      <c r="B469" s="1055" t="s">
        <v>3022</v>
      </c>
      <c r="C469" s="1056">
        <v>2.9845000000000002E-3</v>
      </c>
      <c r="D469" s="1056">
        <v>2.8311E-3</v>
      </c>
      <c r="E469" s="1057">
        <v>7080255</v>
      </c>
      <c r="F469" s="1057" t="s">
        <v>187</v>
      </c>
      <c r="G469" s="1058">
        <v>1092315</v>
      </c>
      <c r="H469" s="1059">
        <v>971909</v>
      </c>
      <c r="I469" s="1058">
        <v>1878826</v>
      </c>
      <c r="J469" s="1057">
        <v>119500</v>
      </c>
      <c r="K469" s="1059">
        <f t="shared" si="17"/>
        <v>4062550</v>
      </c>
      <c r="L469" s="1057"/>
      <c r="M469" s="1058">
        <v>36653</v>
      </c>
      <c r="N469" s="1058">
        <v>0</v>
      </c>
      <c r="O469" s="1057">
        <v>21376</v>
      </c>
      <c r="P469" s="1059">
        <f t="shared" si="18"/>
        <v>58029</v>
      </c>
      <c r="Q469" s="1057"/>
      <c r="R469" s="1058">
        <v>1966705</v>
      </c>
      <c r="S469" s="1057">
        <v>15404</v>
      </c>
      <c r="T469" s="1060">
        <v>1982109</v>
      </c>
    </row>
    <row r="470" spans="1:20" x14ac:dyDescent="0.25">
      <c r="A470" s="1054">
        <v>94917</v>
      </c>
      <c r="B470" s="1055" t="s">
        <v>3023</v>
      </c>
      <c r="C470" s="1056">
        <v>3.0899999999999999E-5</v>
      </c>
      <c r="D470" s="1056">
        <v>3.5099999999999999E-5</v>
      </c>
      <c r="E470" s="1057">
        <v>73305</v>
      </c>
      <c r="F470" s="1057" t="s">
        <v>187</v>
      </c>
      <c r="G470" s="1058">
        <v>11309</v>
      </c>
      <c r="H470" s="1059">
        <v>10063</v>
      </c>
      <c r="I470" s="1058">
        <v>19452</v>
      </c>
      <c r="J470" s="1057">
        <v>16632</v>
      </c>
      <c r="K470" s="1059">
        <f t="shared" si="17"/>
        <v>57456</v>
      </c>
      <c r="L470" s="1057"/>
      <c r="M470" s="1058">
        <v>379</v>
      </c>
      <c r="N470" s="1058">
        <v>0</v>
      </c>
      <c r="O470" s="1057">
        <v>0</v>
      </c>
      <c r="P470" s="1059">
        <f t="shared" si="18"/>
        <v>379</v>
      </c>
      <c r="Q470" s="1057"/>
      <c r="R470" s="1058">
        <v>20362</v>
      </c>
      <c r="S470" s="1057">
        <v>8881</v>
      </c>
      <c r="T470" s="1060">
        <v>29243</v>
      </c>
    </row>
    <row r="471" spans="1:20" x14ac:dyDescent="0.25">
      <c r="A471" s="1054">
        <v>94921</v>
      </c>
      <c r="B471" s="1055" t="s">
        <v>3024</v>
      </c>
      <c r="C471" s="1056">
        <v>3.9271000000000002E-3</v>
      </c>
      <c r="D471" s="1056">
        <v>3.9515000000000002E-3</v>
      </c>
      <c r="E471" s="1057">
        <v>9316424</v>
      </c>
      <c r="F471" s="1057" t="s">
        <v>187</v>
      </c>
      <c r="G471" s="1058">
        <v>1437303</v>
      </c>
      <c r="H471" s="1059">
        <v>1278868</v>
      </c>
      <c r="I471" s="1058">
        <v>2472219</v>
      </c>
      <c r="J471" s="1057">
        <v>14401</v>
      </c>
      <c r="K471" s="1059">
        <f t="shared" si="17"/>
        <v>5202791</v>
      </c>
      <c r="L471" s="1057"/>
      <c r="M471" s="1058">
        <v>48229</v>
      </c>
      <c r="N471" s="1058">
        <v>0</v>
      </c>
      <c r="O471" s="1057">
        <v>338996</v>
      </c>
      <c r="P471" s="1059">
        <f t="shared" si="18"/>
        <v>387225</v>
      </c>
      <c r="Q471" s="1057"/>
      <c r="R471" s="1058">
        <v>2587853</v>
      </c>
      <c r="S471" s="1057">
        <v>-186399</v>
      </c>
      <c r="T471" s="1060">
        <v>2401454</v>
      </c>
    </row>
    <row r="472" spans="1:20" x14ac:dyDescent="0.25">
      <c r="A472" s="1054">
        <v>94923</v>
      </c>
      <c r="B472" s="1055" t="s">
        <v>3025</v>
      </c>
      <c r="C472" s="1056">
        <v>2.9099999999999999E-5</v>
      </c>
      <c r="D472" s="1056">
        <v>3.0700000000000001E-5</v>
      </c>
      <c r="E472" s="1057">
        <v>69035</v>
      </c>
      <c r="F472" s="1057" t="s">
        <v>187</v>
      </c>
      <c r="G472" s="1058">
        <v>10650</v>
      </c>
      <c r="H472" s="1059">
        <v>9477</v>
      </c>
      <c r="I472" s="1058">
        <v>18319</v>
      </c>
      <c r="J472" s="1057">
        <v>4323</v>
      </c>
      <c r="K472" s="1059">
        <f t="shared" si="17"/>
        <v>42769</v>
      </c>
      <c r="L472" s="1057"/>
      <c r="M472" s="1058">
        <v>357</v>
      </c>
      <c r="N472" s="1058">
        <v>0</v>
      </c>
      <c r="O472" s="1057">
        <v>0</v>
      </c>
      <c r="P472" s="1059">
        <f t="shared" si="18"/>
        <v>357</v>
      </c>
      <c r="Q472" s="1057"/>
      <c r="R472" s="1058">
        <v>19176</v>
      </c>
      <c r="S472" s="1057">
        <v>1615</v>
      </c>
      <c r="T472" s="1060">
        <v>20791</v>
      </c>
    </row>
    <row r="473" spans="1:20" x14ac:dyDescent="0.25">
      <c r="A473" s="1054">
        <v>94927</v>
      </c>
      <c r="B473" s="1055" t="s">
        <v>3026</v>
      </c>
      <c r="C473" s="1056">
        <v>2.76E-5</v>
      </c>
      <c r="D473" s="1056">
        <v>3.0599999999999998E-5</v>
      </c>
      <c r="E473" s="1057">
        <v>65477</v>
      </c>
      <c r="F473" s="1057" t="s">
        <v>187</v>
      </c>
      <c r="G473" s="1058">
        <v>10101</v>
      </c>
      <c r="H473" s="1059">
        <v>8988</v>
      </c>
      <c r="I473" s="1058">
        <v>17375</v>
      </c>
      <c r="J473" s="1057">
        <v>4844</v>
      </c>
      <c r="K473" s="1059">
        <f t="shared" si="17"/>
        <v>41308</v>
      </c>
      <c r="L473" s="1057"/>
      <c r="M473" s="1058">
        <v>339</v>
      </c>
      <c r="N473" s="1058">
        <v>0</v>
      </c>
      <c r="O473" s="1057">
        <v>0</v>
      </c>
      <c r="P473" s="1059">
        <f t="shared" si="18"/>
        <v>339</v>
      </c>
      <c r="Q473" s="1057"/>
      <c r="R473" s="1058">
        <v>18188</v>
      </c>
      <c r="S473" s="1057">
        <v>1685</v>
      </c>
      <c r="T473" s="1060">
        <v>19873</v>
      </c>
    </row>
    <row r="474" spans="1:20" x14ac:dyDescent="0.25">
      <c r="A474" s="1054">
        <v>94931</v>
      </c>
      <c r="B474" s="1055" t="s">
        <v>4175</v>
      </c>
      <c r="C474" s="1056">
        <v>2.0350000000000001E-4</v>
      </c>
      <c r="D474" s="1056">
        <v>2.163E-4</v>
      </c>
      <c r="E474" s="1057">
        <v>482772</v>
      </c>
      <c r="F474" s="1057" t="s">
        <v>187</v>
      </c>
      <c r="G474" s="1058">
        <v>74480</v>
      </c>
      <c r="H474" s="1059">
        <v>66270</v>
      </c>
      <c r="I474" s="1058">
        <v>128109</v>
      </c>
      <c r="J474" s="1057">
        <v>716</v>
      </c>
      <c r="K474" s="1059">
        <f t="shared" si="17"/>
        <v>269575</v>
      </c>
      <c r="L474" s="1057"/>
      <c r="M474" s="1058">
        <v>2499</v>
      </c>
      <c r="N474" s="1058">
        <v>0</v>
      </c>
      <c r="O474" s="1057">
        <v>15634</v>
      </c>
      <c r="P474" s="1059">
        <f t="shared" si="18"/>
        <v>18133</v>
      </c>
      <c r="Q474" s="1057"/>
      <c r="R474" s="1058">
        <v>134101</v>
      </c>
      <c r="S474" s="1057">
        <v>-9864</v>
      </c>
      <c r="T474" s="1060">
        <v>124237</v>
      </c>
    </row>
    <row r="475" spans="1:20" x14ac:dyDescent="0.25">
      <c r="A475" s="1054">
        <v>94937</v>
      </c>
      <c r="B475" s="1062" t="s">
        <v>4176</v>
      </c>
      <c r="C475" s="1056">
        <v>0</v>
      </c>
      <c r="D475" s="1056">
        <v>0</v>
      </c>
      <c r="E475" s="1057">
        <v>0</v>
      </c>
      <c r="F475" s="1057" t="s">
        <v>187</v>
      </c>
      <c r="G475" s="1058">
        <v>0</v>
      </c>
      <c r="H475" s="1059">
        <v>0</v>
      </c>
      <c r="I475" s="1058">
        <v>0</v>
      </c>
      <c r="J475" s="1057">
        <v>0</v>
      </c>
      <c r="K475" s="1059"/>
      <c r="L475" s="1057"/>
      <c r="M475" s="1058">
        <v>0</v>
      </c>
      <c r="N475" s="1058">
        <v>0</v>
      </c>
      <c r="O475" s="1057">
        <v>0</v>
      </c>
      <c r="P475" s="1059"/>
      <c r="Q475" s="1057"/>
      <c r="R475" s="1058">
        <v>0</v>
      </c>
      <c r="S475" s="1057">
        <v>0</v>
      </c>
      <c r="T475" s="1060">
        <v>0</v>
      </c>
    </row>
    <row r="476" spans="1:20" x14ac:dyDescent="0.25">
      <c r="A476" s="1054">
        <v>94941</v>
      </c>
      <c r="B476" s="1055" t="s">
        <v>3028</v>
      </c>
      <c r="C476" s="1056">
        <v>5.4239999999999996E-4</v>
      </c>
      <c r="D476" s="1056">
        <v>5.7879999999999997E-4</v>
      </c>
      <c r="E476" s="1057">
        <v>1286758</v>
      </c>
      <c r="F476" s="1057" t="s">
        <v>187</v>
      </c>
      <c r="G476" s="1058">
        <v>198516</v>
      </c>
      <c r="H476" s="1059">
        <v>176633</v>
      </c>
      <c r="I476" s="1058">
        <v>341456</v>
      </c>
      <c r="J476" s="1057">
        <v>22905</v>
      </c>
      <c r="K476" s="1059">
        <f t="shared" si="17"/>
        <v>739510</v>
      </c>
      <c r="L476" s="1057"/>
      <c r="M476" s="1058">
        <v>6661</v>
      </c>
      <c r="N476" s="1058">
        <v>0</v>
      </c>
      <c r="O476" s="1057">
        <v>39327</v>
      </c>
      <c r="P476" s="1059">
        <f t="shared" si="18"/>
        <v>45988</v>
      </c>
      <c r="Q476" s="1057"/>
      <c r="R476" s="1058">
        <v>357427</v>
      </c>
      <c r="S476" s="1057">
        <v>36038</v>
      </c>
      <c r="T476" s="1060">
        <v>393465</v>
      </c>
    </row>
    <row r="477" spans="1:20" x14ac:dyDescent="0.25">
      <c r="A477" s="1054">
        <v>94947</v>
      </c>
      <c r="B477" s="1062" t="s">
        <v>4177</v>
      </c>
      <c r="C477" s="1056">
        <v>0</v>
      </c>
      <c r="D477" s="1056">
        <v>0</v>
      </c>
      <c r="E477" s="1057">
        <v>0</v>
      </c>
      <c r="F477" s="1057" t="s">
        <v>187</v>
      </c>
      <c r="G477" s="1058">
        <v>0</v>
      </c>
      <c r="H477" s="1059">
        <v>0</v>
      </c>
      <c r="I477" s="1058">
        <v>0</v>
      </c>
      <c r="J477" s="1057">
        <v>0</v>
      </c>
      <c r="K477" s="1059"/>
      <c r="L477" s="1057"/>
      <c r="M477" s="1058">
        <v>0</v>
      </c>
      <c r="N477" s="1058">
        <v>0</v>
      </c>
      <c r="O477" s="1057">
        <v>0</v>
      </c>
      <c r="P477" s="1059"/>
      <c r="Q477" s="1057"/>
      <c r="R477" s="1058">
        <v>0</v>
      </c>
      <c r="S477" s="1057">
        <v>0</v>
      </c>
      <c r="T477" s="1060">
        <v>0</v>
      </c>
    </row>
    <row r="478" spans="1:20" x14ac:dyDescent="0.25">
      <c r="A478" s="1054">
        <v>95001</v>
      </c>
      <c r="B478" s="1055" t="s">
        <v>3029</v>
      </c>
      <c r="C478" s="1056">
        <v>2.3002999999999999E-3</v>
      </c>
      <c r="D478" s="1056">
        <v>2.4867000000000001E-3</v>
      </c>
      <c r="E478" s="1057">
        <v>5457098</v>
      </c>
      <c r="F478" s="1057" t="s">
        <v>187</v>
      </c>
      <c r="G478" s="1058">
        <v>841901</v>
      </c>
      <c r="H478" s="1059">
        <v>749098</v>
      </c>
      <c r="I478" s="1058">
        <v>1448103</v>
      </c>
      <c r="J478" s="1057">
        <v>121208</v>
      </c>
      <c r="K478" s="1059">
        <f t="shared" si="17"/>
        <v>3160310</v>
      </c>
      <c r="L478" s="1057"/>
      <c r="M478" s="1058">
        <v>28250</v>
      </c>
      <c r="N478" s="1058">
        <v>0</v>
      </c>
      <c r="O478" s="1057">
        <v>49464</v>
      </c>
      <c r="P478" s="1059">
        <f t="shared" si="18"/>
        <v>77714</v>
      </c>
      <c r="Q478" s="1057"/>
      <c r="R478" s="1058">
        <v>1515836</v>
      </c>
      <c r="S478" s="1057">
        <v>39325</v>
      </c>
      <c r="T478" s="1060">
        <v>1555161</v>
      </c>
    </row>
    <row r="479" spans="1:20" x14ac:dyDescent="0.25">
      <c r="A479" s="1054">
        <v>95002</v>
      </c>
      <c r="B479" s="1055" t="s">
        <v>3030</v>
      </c>
      <c r="C479" s="1056">
        <v>1.8589999999999999E-4</v>
      </c>
      <c r="D479" s="1056">
        <v>1.907E-4</v>
      </c>
      <c r="E479" s="1057">
        <v>441018</v>
      </c>
      <c r="F479" s="1057" t="s">
        <v>187</v>
      </c>
      <c r="G479" s="1058">
        <v>68039</v>
      </c>
      <c r="H479" s="1059">
        <v>60538</v>
      </c>
      <c r="I479" s="1058">
        <v>117029</v>
      </c>
      <c r="J479" s="1057">
        <v>18706</v>
      </c>
      <c r="K479" s="1059">
        <f t="shared" si="17"/>
        <v>264312</v>
      </c>
      <c r="L479" s="1057"/>
      <c r="M479" s="1058">
        <v>2283</v>
      </c>
      <c r="N479" s="1058">
        <v>0</v>
      </c>
      <c r="O479" s="1057">
        <v>0</v>
      </c>
      <c r="P479" s="1059">
        <f t="shared" si="18"/>
        <v>2283</v>
      </c>
      <c r="Q479" s="1057"/>
      <c r="R479" s="1058">
        <v>122503</v>
      </c>
      <c r="S479" s="1057">
        <v>8615</v>
      </c>
      <c r="T479" s="1060">
        <v>131118</v>
      </c>
    </row>
    <row r="480" spans="1:20" x14ac:dyDescent="0.25">
      <c r="A480" s="1054">
        <v>95005</v>
      </c>
      <c r="B480" s="1055" t="s">
        <v>3031</v>
      </c>
      <c r="C480" s="1056">
        <v>2.131E-4</v>
      </c>
      <c r="D480" s="1056">
        <v>2.2949999999999999E-4</v>
      </c>
      <c r="E480" s="1057">
        <v>505546</v>
      </c>
      <c r="F480" s="1057" t="s">
        <v>187</v>
      </c>
      <c r="G480" s="1058">
        <v>77994</v>
      </c>
      <c r="H480" s="1059">
        <v>69397</v>
      </c>
      <c r="I480" s="1058">
        <v>134152</v>
      </c>
      <c r="J480" s="1057">
        <v>4292</v>
      </c>
      <c r="K480" s="1059">
        <f t="shared" si="17"/>
        <v>285835</v>
      </c>
      <c r="L480" s="1057"/>
      <c r="M480" s="1058">
        <v>2617</v>
      </c>
      <c r="N480" s="1058">
        <v>0</v>
      </c>
      <c r="O480" s="1057">
        <v>4029</v>
      </c>
      <c r="P480" s="1059">
        <f t="shared" si="18"/>
        <v>6646</v>
      </c>
      <c r="Q480" s="1057"/>
      <c r="R480" s="1058">
        <v>140427</v>
      </c>
      <c r="S480" s="1057">
        <v>8291</v>
      </c>
      <c r="T480" s="1060">
        <v>148718</v>
      </c>
    </row>
    <row r="481" spans="1:20" x14ac:dyDescent="0.25">
      <c r="A481" s="1054">
        <v>95008</v>
      </c>
      <c r="B481" s="1055" t="s">
        <v>3032</v>
      </c>
      <c r="C481" s="1056">
        <v>1.188E-4</v>
      </c>
      <c r="D481" s="1056">
        <v>1.1519999999999999E-4</v>
      </c>
      <c r="E481" s="1057">
        <v>281834</v>
      </c>
      <c r="F481" s="1057" t="s">
        <v>187</v>
      </c>
      <c r="G481" s="1058">
        <v>43480</v>
      </c>
      <c r="H481" s="1059">
        <v>38688</v>
      </c>
      <c r="I481" s="1058">
        <v>74788</v>
      </c>
      <c r="J481" s="1057">
        <v>18509</v>
      </c>
      <c r="K481" s="1059">
        <f t="shared" si="17"/>
        <v>175465</v>
      </c>
      <c r="L481" s="1057"/>
      <c r="M481" s="1058">
        <v>1459</v>
      </c>
      <c r="N481" s="1058">
        <v>0</v>
      </c>
      <c r="O481" s="1057">
        <v>4058</v>
      </c>
      <c r="P481" s="1059">
        <f t="shared" si="18"/>
        <v>5517</v>
      </c>
      <c r="Q481" s="1057"/>
      <c r="R481" s="1058">
        <v>78286</v>
      </c>
      <c r="S481" s="1057">
        <v>11671</v>
      </c>
      <c r="T481" s="1060">
        <v>89957</v>
      </c>
    </row>
    <row r="482" spans="1:20" x14ac:dyDescent="0.25">
      <c r="A482" s="1054">
        <v>95009</v>
      </c>
      <c r="B482" s="1055" t="s">
        <v>3588</v>
      </c>
      <c r="C482" s="1056">
        <v>4.0277999999999998E-3</v>
      </c>
      <c r="D482" s="1056">
        <v>4.2208999999999997E-3</v>
      </c>
      <c r="E482" s="1057">
        <v>9555319</v>
      </c>
      <c r="F482" s="1057" t="s">
        <v>187</v>
      </c>
      <c r="G482" s="1058">
        <v>1474159</v>
      </c>
      <c r="H482" s="1059">
        <v>1311662</v>
      </c>
      <c r="I482" s="1058">
        <v>2535613</v>
      </c>
      <c r="J482" s="1057">
        <v>318871</v>
      </c>
      <c r="K482" s="1059">
        <f t="shared" si="17"/>
        <v>5640305</v>
      </c>
      <c r="L482" s="1057"/>
      <c r="M482" s="1058">
        <v>49465</v>
      </c>
      <c r="N482" s="1058">
        <v>0</v>
      </c>
      <c r="O482" s="1057">
        <v>113116</v>
      </c>
      <c r="P482" s="1059">
        <f t="shared" si="18"/>
        <v>162581</v>
      </c>
      <c r="Q482" s="1057"/>
      <c r="R482" s="1058">
        <v>2654211</v>
      </c>
      <c r="S482" s="1057">
        <v>550303</v>
      </c>
      <c r="T482" s="1060">
        <v>3204514</v>
      </c>
    </row>
    <row r="483" spans="1:20" x14ac:dyDescent="0.25">
      <c r="A483" s="1054">
        <v>95011</v>
      </c>
      <c r="B483" s="1055" t="s">
        <v>4178</v>
      </c>
      <c r="C483" s="1056">
        <v>1.8760000000000001E-4</v>
      </c>
      <c r="D483" s="1056">
        <v>1.8000000000000001E-4</v>
      </c>
      <c r="E483" s="1057">
        <v>445051</v>
      </c>
      <c r="F483" s="1057" t="s">
        <v>187</v>
      </c>
      <c r="G483" s="1058">
        <v>68661</v>
      </c>
      <c r="H483" s="1059">
        <v>61093</v>
      </c>
      <c r="I483" s="1058">
        <v>118099</v>
      </c>
      <c r="J483" s="1057">
        <v>5719</v>
      </c>
      <c r="K483" s="1059">
        <f t="shared" si="17"/>
        <v>253572</v>
      </c>
      <c r="L483" s="1057"/>
      <c r="M483" s="1058">
        <v>2304</v>
      </c>
      <c r="N483" s="1058">
        <v>0</v>
      </c>
      <c r="O483" s="1057">
        <v>4270</v>
      </c>
      <c r="P483" s="1059">
        <f t="shared" si="18"/>
        <v>6574</v>
      </c>
      <c r="Q483" s="1057"/>
      <c r="R483" s="1058">
        <v>123623</v>
      </c>
      <c r="S483" s="1057">
        <v>-3004</v>
      </c>
      <c r="T483" s="1060">
        <v>120619</v>
      </c>
    </row>
    <row r="484" spans="1:20" x14ac:dyDescent="0.25">
      <c r="A484" s="1054">
        <v>95017</v>
      </c>
      <c r="B484" s="1055" t="s">
        <v>3035</v>
      </c>
      <c r="C484" s="1056">
        <v>4.5500000000000001E-5</v>
      </c>
      <c r="D484" s="1056">
        <v>3.8800000000000001E-5</v>
      </c>
      <c r="E484" s="1057">
        <v>107942</v>
      </c>
      <c r="F484" s="1057" t="s">
        <v>187</v>
      </c>
      <c r="G484" s="1058">
        <v>16653</v>
      </c>
      <c r="H484" s="1059">
        <v>14818</v>
      </c>
      <c r="I484" s="1058">
        <v>28644</v>
      </c>
      <c r="J484" s="1057">
        <v>6820</v>
      </c>
      <c r="K484" s="1059">
        <f t="shared" si="17"/>
        <v>66935</v>
      </c>
      <c r="L484" s="1057"/>
      <c r="M484" s="1058">
        <v>559</v>
      </c>
      <c r="N484" s="1058">
        <v>0</v>
      </c>
      <c r="O484" s="1057">
        <v>0</v>
      </c>
      <c r="P484" s="1059">
        <f t="shared" si="18"/>
        <v>559</v>
      </c>
      <c r="Q484" s="1057"/>
      <c r="R484" s="1058">
        <v>29983</v>
      </c>
      <c r="S484" s="1057">
        <v>7890</v>
      </c>
      <c r="T484" s="1060">
        <v>37873</v>
      </c>
    </row>
    <row r="485" spans="1:20" x14ac:dyDescent="0.25">
      <c r="A485" s="1054">
        <v>95101</v>
      </c>
      <c r="B485" s="1055" t="s">
        <v>3036</v>
      </c>
      <c r="C485" s="1056">
        <v>8.5109999999999995E-3</v>
      </c>
      <c r="D485" s="1056">
        <v>8.3750999999999999E-3</v>
      </c>
      <c r="E485" s="1057">
        <v>20191003</v>
      </c>
      <c r="F485" s="1057" t="s">
        <v>187</v>
      </c>
      <c r="G485" s="1058">
        <v>3114992</v>
      </c>
      <c r="H485" s="1059">
        <v>2771624</v>
      </c>
      <c r="I485" s="1058">
        <v>5357913</v>
      </c>
      <c r="J485" s="1057">
        <v>2454</v>
      </c>
      <c r="K485" s="1059">
        <f t="shared" si="17"/>
        <v>11246983</v>
      </c>
      <c r="L485" s="1057"/>
      <c r="M485" s="1058">
        <v>104524</v>
      </c>
      <c r="N485" s="1058">
        <v>0</v>
      </c>
      <c r="O485" s="1057">
        <v>152878</v>
      </c>
      <c r="P485" s="1059">
        <f t="shared" si="18"/>
        <v>257402</v>
      </c>
      <c r="Q485" s="1057"/>
      <c r="R485" s="1058">
        <v>5608519</v>
      </c>
      <c r="S485" s="1057">
        <v>-16926</v>
      </c>
      <c r="T485" s="1060">
        <v>5591593</v>
      </c>
    </row>
    <row r="486" spans="1:20" x14ac:dyDescent="0.25">
      <c r="A486" s="1054">
        <v>95103</v>
      </c>
      <c r="B486" s="1055" t="s">
        <v>3037</v>
      </c>
      <c r="C486" s="1056">
        <v>4.4400000000000002E-5</v>
      </c>
      <c r="D486" s="1056">
        <v>4.9100000000000001E-5</v>
      </c>
      <c r="E486" s="1057">
        <v>105332</v>
      </c>
      <c r="F486" s="1057" t="s">
        <v>187</v>
      </c>
      <c r="G486" s="1058">
        <v>16250</v>
      </c>
      <c r="H486" s="1059">
        <v>14459</v>
      </c>
      <c r="I486" s="1058">
        <v>27951</v>
      </c>
      <c r="J486" s="1057">
        <v>9697</v>
      </c>
      <c r="K486" s="1059">
        <f t="shared" si="17"/>
        <v>68357</v>
      </c>
      <c r="L486" s="1057"/>
      <c r="M486" s="1058">
        <v>545</v>
      </c>
      <c r="N486" s="1058">
        <v>0</v>
      </c>
      <c r="O486" s="1057">
        <v>0</v>
      </c>
      <c r="P486" s="1059">
        <f t="shared" si="18"/>
        <v>545</v>
      </c>
      <c r="Q486" s="1057"/>
      <c r="R486" s="1058">
        <v>29258</v>
      </c>
      <c r="S486" s="1057">
        <v>18768</v>
      </c>
      <c r="T486" s="1060">
        <v>48026</v>
      </c>
    </row>
    <row r="487" spans="1:20" x14ac:dyDescent="0.25">
      <c r="A487" s="1054">
        <v>95104</v>
      </c>
      <c r="B487" s="1055" t="s">
        <v>3038</v>
      </c>
      <c r="C487" s="1056">
        <v>9.8300000000000004E-5</v>
      </c>
      <c r="D487" s="1056">
        <v>1.02E-4</v>
      </c>
      <c r="E487" s="1057">
        <v>233201</v>
      </c>
      <c r="F487" s="1057" t="s">
        <v>187</v>
      </c>
      <c r="G487" s="1058">
        <v>35977</v>
      </c>
      <c r="H487" s="1059">
        <v>32012</v>
      </c>
      <c r="I487" s="1058">
        <v>61883</v>
      </c>
      <c r="J487" s="1057">
        <v>19229</v>
      </c>
      <c r="K487" s="1059">
        <f t="shared" si="17"/>
        <v>149101</v>
      </c>
      <c r="L487" s="1057"/>
      <c r="M487" s="1058">
        <v>1207</v>
      </c>
      <c r="N487" s="1058">
        <v>0</v>
      </c>
      <c r="O487" s="1057">
        <v>0</v>
      </c>
      <c r="P487" s="1059">
        <f t="shared" si="18"/>
        <v>1207</v>
      </c>
      <c r="Q487" s="1057"/>
      <c r="R487" s="1058">
        <v>64777</v>
      </c>
      <c r="S487" s="1057">
        <v>10356</v>
      </c>
      <c r="T487" s="1060">
        <v>75133</v>
      </c>
    </row>
    <row r="488" spans="1:20" x14ac:dyDescent="0.25">
      <c r="A488" s="1054">
        <v>95105</v>
      </c>
      <c r="B488" s="1055" t="s">
        <v>3039</v>
      </c>
      <c r="C488" s="1056">
        <v>6.5900000000000003E-5</v>
      </c>
      <c r="D488" s="1056">
        <v>6.1099999999999994E-5</v>
      </c>
      <c r="E488" s="1057">
        <v>156337</v>
      </c>
      <c r="F488" s="1057" t="s">
        <v>187</v>
      </c>
      <c r="G488" s="1058">
        <v>24119</v>
      </c>
      <c r="H488" s="1059">
        <v>21460</v>
      </c>
      <c r="I488" s="1058">
        <v>41486</v>
      </c>
      <c r="J488" s="1057">
        <v>10343</v>
      </c>
      <c r="K488" s="1059">
        <f t="shared" si="17"/>
        <v>97408</v>
      </c>
      <c r="L488" s="1057"/>
      <c r="M488" s="1058">
        <v>809</v>
      </c>
      <c r="N488" s="1058">
        <v>0</v>
      </c>
      <c r="O488" s="1057">
        <v>0</v>
      </c>
      <c r="P488" s="1059">
        <f t="shared" si="18"/>
        <v>809</v>
      </c>
      <c r="Q488" s="1057"/>
      <c r="R488" s="1058">
        <v>43426</v>
      </c>
      <c r="S488" s="1057">
        <v>5557</v>
      </c>
      <c r="T488" s="1060">
        <v>48983</v>
      </c>
    </row>
    <row r="489" spans="1:20" x14ac:dyDescent="0.25">
      <c r="A489" s="1054">
        <v>95106</v>
      </c>
      <c r="B489" s="1055" t="s">
        <v>4179</v>
      </c>
      <c r="C489" s="1056">
        <v>1.3900000000000001E-5</v>
      </c>
      <c r="D489" s="1056">
        <v>1.2099999999999999E-5</v>
      </c>
      <c r="E489" s="1057">
        <v>32976</v>
      </c>
      <c r="F489" s="1057" t="s">
        <v>187</v>
      </c>
      <c r="G489" s="1058">
        <v>5087</v>
      </c>
      <c r="H489" s="1059">
        <v>4527</v>
      </c>
      <c r="I489" s="1058">
        <v>8750</v>
      </c>
      <c r="J489" s="1057">
        <v>4636</v>
      </c>
      <c r="K489" s="1059">
        <f t="shared" si="17"/>
        <v>23000</v>
      </c>
      <c r="L489" s="1057"/>
      <c r="M489" s="1058">
        <v>171</v>
      </c>
      <c r="N489" s="1058">
        <v>0</v>
      </c>
      <c r="O489" s="1057">
        <v>1076</v>
      </c>
      <c r="P489" s="1059">
        <f t="shared" si="18"/>
        <v>1247</v>
      </c>
      <c r="Q489" s="1057"/>
      <c r="R489" s="1058">
        <v>9160</v>
      </c>
      <c r="S489" s="1057">
        <v>2803</v>
      </c>
      <c r="T489" s="1060">
        <v>11963</v>
      </c>
    </row>
    <row r="490" spans="1:20" x14ac:dyDescent="0.25">
      <c r="A490" s="1054">
        <v>95110</v>
      </c>
      <c r="B490" s="1055" t="s">
        <v>3041</v>
      </c>
      <c r="C490" s="1056">
        <v>3.5975E-3</v>
      </c>
      <c r="D490" s="1056">
        <v>4.2902000000000001E-3</v>
      </c>
      <c r="E490" s="1057">
        <v>8534500</v>
      </c>
      <c r="F490" s="1057" t="s">
        <v>187</v>
      </c>
      <c r="G490" s="1058">
        <v>1316671</v>
      </c>
      <c r="H490" s="1059">
        <v>1171533</v>
      </c>
      <c r="I490" s="1058">
        <v>2264727</v>
      </c>
      <c r="J490" s="1057">
        <v>0</v>
      </c>
      <c r="K490" s="1059">
        <f t="shared" si="17"/>
        <v>4752931</v>
      </c>
      <c r="L490" s="1057"/>
      <c r="M490" s="1058">
        <v>44181</v>
      </c>
      <c r="N490" s="1058">
        <v>0</v>
      </c>
      <c r="O490" s="1057">
        <v>813395</v>
      </c>
      <c r="P490" s="1059">
        <f t="shared" si="18"/>
        <v>857576</v>
      </c>
      <c r="Q490" s="1057"/>
      <c r="R490" s="1058">
        <v>2370655</v>
      </c>
      <c r="S490" s="1057">
        <v>-720222</v>
      </c>
      <c r="T490" s="1060">
        <v>1650433</v>
      </c>
    </row>
    <row r="491" spans="1:20" x14ac:dyDescent="0.25">
      <c r="A491" s="1054">
        <v>95111</v>
      </c>
      <c r="B491" s="1055" t="s">
        <v>4180</v>
      </c>
      <c r="C491" s="1056">
        <v>1.1188999999999999E-3</v>
      </c>
      <c r="D491" s="1056">
        <v>1.0778999999999999E-3</v>
      </c>
      <c r="E491" s="1057">
        <v>2654413</v>
      </c>
      <c r="F491" s="1057" t="s">
        <v>187</v>
      </c>
      <c r="G491" s="1058">
        <v>409513</v>
      </c>
      <c r="H491" s="1059">
        <v>364372</v>
      </c>
      <c r="I491" s="1058">
        <v>704379</v>
      </c>
      <c r="J491" s="1057">
        <v>0</v>
      </c>
      <c r="K491" s="1059">
        <f t="shared" si="17"/>
        <v>1478264</v>
      </c>
      <c r="L491" s="1057"/>
      <c r="M491" s="1058">
        <v>13741</v>
      </c>
      <c r="N491" s="1058">
        <v>0</v>
      </c>
      <c r="O491" s="1057">
        <v>72731</v>
      </c>
      <c r="P491" s="1059">
        <f t="shared" si="18"/>
        <v>86472</v>
      </c>
      <c r="Q491" s="1057"/>
      <c r="R491" s="1058">
        <v>737325</v>
      </c>
      <c r="S491" s="1057">
        <v>-62211</v>
      </c>
      <c r="T491" s="1060">
        <v>675114</v>
      </c>
    </row>
    <row r="492" spans="1:20" x14ac:dyDescent="0.25">
      <c r="A492" s="1054">
        <v>95113</v>
      </c>
      <c r="B492" s="1055" t="s">
        <v>3043</v>
      </c>
      <c r="C492" s="1056">
        <v>4.49E-5</v>
      </c>
      <c r="D492" s="1056">
        <v>4.6699999999999997E-5</v>
      </c>
      <c r="E492" s="1057">
        <v>106518</v>
      </c>
      <c r="F492" s="1057" t="s">
        <v>187</v>
      </c>
      <c r="G492" s="1058">
        <v>16433</v>
      </c>
      <c r="H492" s="1059">
        <v>14621</v>
      </c>
      <c r="I492" s="1058">
        <v>28266</v>
      </c>
      <c r="J492" s="1057">
        <v>91937</v>
      </c>
      <c r="K492" s="1059">
        <f t="shared" si="17"/>
        <v>151257</v>
      </c>
      <c r="L492" s="1057"/>
      <c r="M492" s="1058">
        <v>551</v>
      </c>
      <c r="N492" s="1058">
        <v>0</v>
      </c>
      <c r="O492" s="1057">
        <v>0</v>
      </c>
      <c r="P492" s="1059">
        <f t="shared" si="18"/>
        <v>551</v>
      </c>
      <c r="Q492" s="1057"/>
      <c r="R492" s="1058">
        <v>29588</v>
      </c>
      <c r="S492" s="1057">
        <v>41492</v>
      </c>
      <c r="T492" s="1060">
        <v>71080</v>
      </c>
    </row>
    <row r="493" spans="1:20" x14ac:dyDescent="0.25">
      <c r="A493" s="1054">
        <v>95121</v>
      </c>
      <c r="B493" s="1055" t="s">
        <v>4181</v>
      </c>
      <c r="C493" s="1056">
        <v>5.2059999999999997E-4</v>
      </c>
      <c r="D493" s="1056">
        <v>4.9770000000000001E-4</v>
      </c>
      <c r="E493" s="1057">
        <v>1235041</v>
      </c>
      <c r="F493" s="1057" t="s">
        <v>187</v>
      </c>
      <c r="G493" s="1058">
        <v>190538</v>
      </c>
      <c r="H493" s="1059">
        <v>169535</v>
      </c>
      <c r="I493" s="1058">
        <v>327732</v>
      </c>
      <c r="J493" s="1057">
        <v>13463</v>
      </c>
      <c r="K493" s="1059">
        <f t="shared" si="17"/>
        <v>701268</v>
      </c>
      <c r="L493" s="1057"/>
      <c r="M493" s="1058">
        <v>6393</v>
      </c>
      <c r="N493" s="1058">
        <v>0</v>
      </c>
      <c r="O493" s="1057">
        <v>1285</v>
      </c>
      <c r="P493" s="1059">
        <f t="shared" si="18"/>
        <v>7678</v>
      </c>
      <c r="Q493" s="1057"/>
      <c r="R493" s="1058">
        <v>343061</v>
      </c>
      <c r="S493" s="1057">
        <v>-5897</v>
      </c>
      <c r="T493" s="1060">
        <v>337164</v>
      </c>
    </row>
    <row r="494" spans="1:20" x14ac:dyDescent="0.25">
      <c r="A494" s="1054">
        <v>95122</v>
      </c>
      <c r="B494" s="1055" t="s">
        <v>4182</v>
      </c>
      <c r="C494" s="1056">
        <v>6.6000000000000003E-6</v>
      </c>
      <c r="D494" s="1056">
        <v>6.4999999999999996E-6</v>
      </c>
      <c r="E494" s="1057">
        <v>15657</v>
      </c>
      <c r="F494" s="1057" t="s">
        <v>187</v>
      </c>
      <c r="G494" s="1058">
        <v>2416</v>
      </c>
      <c r="H494" s="1059">
        <v>2149</v>
      </c>
      <c r="I494" s="1058">
        <v>4155</v>
      </c>
      <c r="J494" s="1057">
        <v>3737</v>
      </c>
      <c r="K494" s="1059">
        <f t="shared" si="17"/>
        <v>12457</v>
      </c>
      <c r="L494" s="1057"/>
      <c r="M494" s="1058">
        <v>81</v>
      </c>
      <c r="N494" s="1058">
        <v>0</v>
      </c>
      <c r="O494" s="1057">
        <v>0</v>
      </c>
      <c r="P494" s="1059">
        <f t="shared" si="18"/>
        <v>81</v>
      </c>
      <c r="Q494" s="1057"/>
      <c r="R494" s="1058">
        <v>4349</v>
      </c>
      <c r="S494" s="1057">
        <v>1394</v>
      </c>
      <c r="T494" s="1060">
        <v>5743</v>
      </c>
    </row>
    <row r="495" spans="1:20" x14ac:dyDescent="0.25">
      <c r="A495" s="1054">
        <v>95123</v>
      </c>
      <c r="B495" s="1055" t="s">
        <v>3046</v>
      </c>
      <c r="C495" s="1056">
        <v>5.41E-5</v>
      </c>
      <c r="D495" s="1056">
        <v>5.7399999999999999E-5</v>
      </c>
      <c r="E495" s="1057">
        <v>128344</v>
      </c>
      <c r="F495" s="1057" t="s">
        <v>187</v>
      </c>
      <c r="G495" s="1058">
        <v>19800</v>
      </c>
      <c r="H495" s="1059">
        <v>17617</v>
      </c>
      <c r="I495" s="1058">
        <v>34057</v>
      </c>
      <c r="J495" s="1057">
        <v>5660</v>
      </c>
      <c r="K495" s="1059">
        <f t="shared" si="17"/>
        <v>77134</v>
      </c>
      <c r="L495" s="1057"/>
      <c r="M495" s="1058">
        <v>664</v>
      </c>
      <c r="N495" s="1058">
        <v>0</v>
      </c>
      <c r="O495" s="1057">
        <v>0</v>
      </c>
      <c r="P495" s="1059">
        <f t="shared" si="18"/>
        <v>664</v>
      </c>
      <c r="Q495" s="1057"/>
      <c r="R495" s="1058">
        <v>35650</v>
      </c>
      <c r="S495" s="1057">
        <v>1881</v>
      </c>
      <c r="T495" s="1060">
        <v>37531</v>
      </c>
    </row>
    <row r="496" spans="1:20" x14ac:dyDescent="0.25">
      <c r="A496" s="1054">
        <v>95131</v>
      </c>
      <c r="B496" s="1055" t="s">
        <v>4183</v>
      </c>
      <c r="C496" s="1056">
        <v>1.7581000000000001E-3</v>
      </c>
      <c r="D496" s="1056">
        <v>1.6682999999999999E-3</v>
      </c>
      <c r="E496" s="1057">
        <v>4170814</v>
      </c>
      <c r="F496" s="1057" t="s">
        <v>187</v>
      </c>
      <c r="G496" s="1058">
        <v>643458</v>
      </c>
      <c r="H496" s="1059">
        <v>572529</v>
      </c>
      <c r="I496" s="1058">
        <v>1106773</v>
      </c>
      <c r="J496" s="1057">
        <v>95997</v>
      </c>
      <c r="K496" s="1059">
        <f t="shared" si="17"/>
        <v>2418757</v>
      </c>
      <c r="L496" s="1057"/>
      <c r="M496" s="1058">
        <v>21591</v>
      </c>
      <c r="N496" s="1058">
        <v>0</v>
      </c>
      <c r="O496" s="1057">
        <v>0</v>
      </c>
      <c r="P496" s="1059">
        <f t="shared" si="18"/>
        <v>21591</v>
      </c>
      <c r="Q496" s="1057"/>
      <c r="R496" s="1058">
        <v>1158540</v>
      </c>
      <c r="S496" s="1057">
        <v>40038</v>
      </c>
      <c r="T496" s="1060">
        <v>1198578</v>
      </c>
    </row>
    <row r="497" spans="1:20" x14ac:dyDescent="0.25">
      <c r="A497" s="1054">
        <v>95141</v>
      </c>
      <c r="B497" s="1055" t="s">
        <v>4184</v>
      </c>
      <c r="C497" s="1056">
        <v>3.2400000000000001E-4</v>
      </c>
      <c r="D497" s="1056">
        <v>3.2220000000000003E-4</v>
      </c>
      <c r="E497" s="1057">
        <v>768639</v>
      </c>
      <c r="F497" s="1057" t="s">
        <v>187</v>
      </c>
      <c r="G497" s="1058">
        <v>118583</v>
      </c>
      <c r="H497" s="1059">
        <v>105512</v>
      </c>
      <c r="I497" s="1058">
        <v>203967</v>
      </c>
      <c r="J497" s="1057">
        <v>0</v>
      </c>
      <c r="K497" s="1059">
        <f t="shared" si="17"/>
        <v>428062</v>
      </c>
      <c r="L497" s="1057"/>
      <c r="M497" s="1058">
        <v>3979</v>
      </c>
      <c r="N497" s="1058">
        <v>0</v>
      </c>
      <c r="O497" s="1057">
        <v>23502</v>
      </c>
      <c r="P497" s="1059">
        <f t="shared" si="18"/>
        <v>27481</v>
      </c>
      <c r="Q497" s="1057"/>
      <c r="R497" s="1058">
        <v>213507</v>
      </c>
      <c r="S497" s="1057">
        <v>-12963</v>
      </c>
      <c r="T497" s="1060">
        <v>200544</v>
      </c>
    </row>
    <row r="498" spans="1:20" x14ac:dyDescent="0.25">
      <c r="A498" s="1054">
        <v>95151</v>
      </c>
      <c r="B498" s="1055" t="s">
        <v>4185</v>
      </c>
      <c r="C498" s="1056">
        <v>1.159E-4</v>
      </c>
      <c r="D498" s="1056">
        <v>1.092E-4</v>
      </c>
      <c r="E498" s="1057">
        <v>274954</v>
      </c>
      <c r="F498" s="1057" t="s">
        <v>187</v>
      </c>
      <c r="G498" s="1058">
        <v>42419</v>
      </c>
      <c r="H498" s="1059">
        <v>37743</v>
      </c>
      <c r="I498" s="1058">
        <v>72962</v>
      </c>
      <c r="J498" s="1057">
        <v>249</v>
      </c>
      <c r="K498" s="1059">
        <f t="shared" si="17"/>
        <v>153373</v>
      </c>
      <c r="L498" s="1057"/>
      <c r="M498" s="1058">
        <v>1423</v>
      </c>
      <c r="N498" s="1058">
        <v>0</v>
      </c>
      <c r="O498" s="1057">
        <v>7102</v>
      </c>
      <c r="P498" s="1059">
        <f t="shared" si="18"/>
        <v>8525</v>
      </c>
      <c r="Q498" s="1057"/>
      <c r="R498" s="1058">
        <v>76375</v>
      </c>
      <c r="S498" s="1057">
        <v>-3275</v>
      </c>
      <c r="T498" s="1060">
        <v>73100</v>
      </c>
    </row>
    <row r="499" spans="1:20" x14ac:dyDescent="0.25">
      <c r="A499" s="1054">
        <v>95161</v>
      </c>
      <c r="B499" s="1055" t="s">
        <v>4186</v>
      </c>
      <c r="C499" s="1056">
        <v>6.9200000000000002E-5</v>
      </c>
      <c r="D499" s="1056">
        <v>6.8100000000000002E-5</v>
      </c>
      <c r="E499" s="1057">
        <v>164166</v>
      </c>
      <c r="F499" s="1057" t="s">
        <v>187</v>
      </c>
      <c r="G499" s="1058">
        <v>25327</v>
      </c>
      <c r="H499" s="1059">
        <v>22535</v>
      </c>
      <c r="I499" s="1058">
        <v>43563</v>
      </c>
      <c r="J499" s="1057">
        <v>10072</v>
      </c>
      <c r="K499" s="1059">
        <f t="shared" si="17"/>
        <v>101497</v>
      </c>
      <c r="L499" s="1057"/>
      <c r="M499" s="1058">
        <v>850</v>
      </c>
      <c r="N499" s="1058">
        <v>0</v>
      </c>
      <c r="O499" s="1057">
        <v>610</v>
      </c>
      <c r="P499" s="1059">
        <f t="shared" si="18"/>
        <v>1460</v>
      </c>
      <c r="Q499" s="1057"/>
      <c r="R499" s="1058">
        <v>45601</v>
      </c>
      <c r="S499" s="1057">
        <v>2943</v>
      </c>
      <c r="T499" s="1060">
        <v>48544</v>
      </c>
    </row>
    <row r="500" spans="1:20" x14ac:dyDescent="0.25">
      <c r="A500" s="1054">
        <v>95171</v>
      </c>
      <c r="B500" s="1055" t="s">
        <v>4187</v>
      </c>
      <c r="C500" s="1056">
        <v>8.8599999999999999E-5</v>
      </c>
      <c r="D500" s="1056">
        <v>1.0459999999999999E-4</v>
      </c>
      <c r="E500" s="1057">
        <v>210190</v>
      </c>
      <c r="F500" s="1057" t="s">
        <v>187</v>
      </c>
      <c r="G500" s="1058">
        <v>32427</v>
      </c>
      <c r="H500" s="1059">
        <v>28853</v>
      </c>
      <c r="I500" s="1058">
        <v>55776</v>
      </c>
      <c r="J500" s="1057">
        <v>3021</v>
      </c>
      <c r="K500" s="1059">
        <f t="shared" si="17"/>
        <v>120077</v>
      </c>
      <c r="L500" s="1057"/>
      <c r="M500" s="1058">
        <v>1088</v>
      </c>
      <c r="N500" s="1058">
        <v>0</v>
      </c>
      <c r="O500" s="1057">
        <v>15947</v>
      </c>
      <c r="P500" s="1059">
        <f t="shared" si="18"/>
        <v>17035</v>
      </c>
      <c r="Q500" s="1057"/>
      <c r="R500" s="1058">
        <v>58385</v>
      </c>
      <c r="S500" s="1057">
        <v>-5663</v>
      </c>
      <c r="T500" s="1060">
        <v>52722</v>
      </c>
    </row>
    <row r="501" spans="1:20" x14ac:dyDescent="0.25">
      <c r="A501" s="1054">
        <v>95181</v>
      </c>
      <c r="B501" s="1055" t="s">
        <v>4188</v>
      </c>
      <c r="C501" s="1056">
        <v>7.7899999999999996E-5</v>
      </c>
      <c r="D501" s="1056">
        <v>7.7100000000000004E-5</v>
      </c>
      <c r="E501" s="1057">
        <v>184805</v>
      </c>
      <c r="F501" s="1057" t="s">
        <v>187</v>
      </c>
      <c r="G501" s="1058">
        <v>28511</v>
      </c>
      <c r="H501" s="1059">
        <v>25368</v>
      </c>
      <c r="I501" s="1058">
        <v>49040</v>
      </c>
      <c r="J501" s="1057">
        <v>482</v>
      </c>
      <c r="K501" s="1059">
        <f t="shared" si="17"/>
        <v>103401</v>
      </c>
      <c r="L501" s="1057"/>
      <c r="M501" s="1058">
        <v>957</v>
      </c>
      <c r="N501" s="1058">
        <v>0</v>
      </c>
      <c r="O501" s="1057">
        <v>10181</v>
      </c>
      <c r="P501" s="1059">
        <f t="shared" si="18"/>
        <v>11138</v>
      </c>
      <c r="Q501" s="1057"/>
      <c r="R501" s="1058">
        <v>51334</v>
      </c>
      <c r="S501" s="1057">
        <v>-3375</v>
      </c>
      <c r="T501" s="1060">
        <v>47959</v>
      </c>
    </row>
    <row r="502" spans="1:20" x14ac:dyDescent="0.25">
      <c r="A502" s="1054">
        <v>95191</v>
      </c>
      <c r="B502" s="1055" t="s">
        <v>4189</v>
      </c>
      <c r="C502" s="1056">
        <v>4.2599999999999999E-5</v>
      </c>
      <c r="D502" s="1056">
        <v>5.3999999999999998E-5</v>
      </c>
      <c r="E502" s="1057">
        <v>101062</v>
      </c>
      <c r="F502" s="1057" t="s">
        <v>187</v>
      </c>
      <c r="G502" s="1058">
        <v>15591</v>
      </c>
      <c r="H502" s="1059">
        <v>13873</v>
      </c>
      <c r="I502" s="1058">
        <v>26818</v>
      </c>
      <c r="J502" s="1057">
        <v>9524</v>
      </c>
      <c r="K502" s="1059">
        <f t="shared" si="17"/>
        <v>65806</v>
      </c>
      <c r="L502" s="1057"/>
      <c r="M502" s="1058">
        <v>523</v>
      </c>
      <c r="N502" s="1058">
        <v>0</v>
      </c>
      <c r="O502" s="1057">
        <v>3442</v>
      </c>
      <c r="P502" s="1059">
        <f t="shared" si="18"/>
        <v>3965</v>
      </c>
      <c r="Q502" s="1057"/>
      <c r="R502" s="1058">
        <v>28072</v>
      </c>
      <c r="S502" s="1057">
        <v>5235</v>
      </c>
      <c r="T502" s="1060">
        <v>33307</v>
      </c>
    </row>
    <row r="503" spans="1:20" x14ac:dyDescent="0.25">
      <c r="A503" s="1054">
        <v>95201</v>
      </c>
      <c r="B503" s="1055" t="s">
        <v>3054</v>
      </c>
      <c r="C503" s="1056">
        <v>7.0259999999999995E-4</v>
      </c>
      <c r="D503" s="1056">
        <v>7.0969999999999996E-4</v>
      </c>
      <c r="E503" s="1057">
        <v>1666807</v>
      </c>
      <c r="F503" s="1057" t="s">
        <v>187</v>
      </c>
      <c r="G503" s="1058">
        <v>257149</v>
      </c>
      <c r="H503" s="1059">
        <v>228803</v>
      </c>
      <c r="I503" s="1058">
        <v>442306</v>
      </c>
      <c r="J503" s="1057">
        <v>4233</v>
      </c>
      <c r="K503" s="1059">
        <f t="shared" si="17"/>
        <v>932491</v>
      </c>
      <c r="L503" s="1057"/>
      <c r="M503" s="1058">
        <v>8629</v>
      </c>
      <c r="N503" s="1058">
        <v>0</v>
      </c>
      <c r="O503" s="1057">
        <v>29894</v>
      </c>
      <c r="P503" s="1059">
        <f t="shared" si="18"/>
        <v>38523</v>
      </c>
      <c r="Q503" s="1057"/>
      <c r="R503" s="1058">
        <v>462994</v>
      </c>
      <c r="S503" s="1057">
        <v>-14817</v>
      </c>
      <c r="T503" s="1060">
        <v>448177</v>
      </c>
    </row>
    <row r="504" spans="1:20" x14ac:dyDescent="0.25">
      <c r="A504" s="1054">
        <v>95204</v>
      </c>
      <c r="B504" s="1055" t="s">
        <v>3055</v>
      </c>
      <c r="C504" s="1056">
        <v>1.06E-5</v>
      </c>
      <c r="D504" s="1056">
        <v>1.26E-5</v>
      </c>
      <c r="E504" s="1057">
        <v>25147</v>
      </c>
      <c r="F504" s="1057" t="s">
        <v>187</v>
      </c>
      <c r="G504" s="1058">
        <v>3880</v>
      </c>
      <c r="H504" s="1059">
        <v>3452</v>
      </c>
      <c r="I504" s="1058">
        <v>6673</v>
      </c>
      <c r="J504" s="1057">
        <v>1368</v>
      </c>
      <c r="K504" s="1059">
        <f t="shared" si="17"/>
        <v>15373</v>
      </c>
      <c r="L504" s="1057"/>
      <c r="M504" s="1058">
        <v>130</v>
      </c>
      <c r="N504" s="1058">
        <v>0</v>
      </c>
      <c r="O504" s="1057">
        <v>775</v>
      </c>
      <c r="P504" s="1059">
        <f t="shared" si="18"/>
        <v>905</v>
      </c>
      <c r="Q504" s="1057"/>
      <c r="R504" s="1058">
        <v>6985</v>
      </c>
      <c r="S504" s="1057">
        <v>-261</v>
      </c>
      <c r="T504" s="1060">
        <v>6724</v>
      </c>
    </row>
    <row r="505" spans="1:20" x14ac:dyDescent="0.25">
      <c r="A505" s="1054">
        <v>95205</v>
      </c>
      <c r="B505" s="1055" t="s">
        <v>3056</v>
      </c>
      <c r="C505" s="1056">
        <v>1.7E-6</v>
      </c>
      <c r="D505" s="1056">
        <v>4.5000000000000001E-6</v>
      </c>
      <c r="E505" s="1057">
        <v>4033</v>
      </c>
      <c r="F505" s="1057" t="s">
        <v>187</v>
      </c>
      <c r="G505" s="1058">
        <v>622</v>
      </c>
      <c r="H505" s="1059">
        <v>553</v>
      </c>
      <c r="I505" s="1058">
        <v>1070</v>
      </c>
      <c r="J505" s="1057">
        <v>294</v>
      </c>
      <c r="K505" s="1059">
        <f t="shared" si="17"/>
        <v>2539</v>
      </c>
      <c r="L505" s="1057"/>
      <c r="M505" s="1058">
        <v>21</v>
      </c>
      <c r="N505" s="1058">
        <v>0</v>
      </c>
      <c r="O505" s="1057">
        <v>949</v>
      </c>
      <c r="P505" s="1059">
        <f t="shared" si="18"/>
        <v>970</v>
      </c>
      <c r="Q505" s="1057"/>
      <c r="R505" s="1058">
        <v>1120</v>
      </c>
      <c r="S505" s="1057">
        <v>74</v>
      </c>
      <c r="T505" s="1060">
        <v>1194</v>
      </c>
    </row>
    <row r="506" spans="1:20" x14ac:dyDescent="0.25">
      <c r="A506" s="1054">
        <v>95211</v>
      </c>
      <c r="B506" s="1055" t="s">
        <v>4190</v>
      </c>
      <c r="C506" s="1056">
        <v>5.4999999999999999E-6</v>
      </c>
      <c r="D506" s="1056">
        <v>8.3999999999999992E-6</v>
      </c>
      <c r="E506" s="1057">
        <v>13048</v>
      </c>
      <c r="F506" s="1057" t="s">
        <v>187</v>
      </c>
      <c r="G506" s="1058">
        <v>2013</v>
      </c>
      <c r="H506" s="1059">
        <v>1791</v>
      </c>
      <c r="I506" s="1058">
        <v>3462</v>
      </c>
      <c r="J506" s="1057">
        <v>946</v>
      </c>
      <c r="K506" s="1059">
        <f t="shared" si="17"/>
        <v>8212</v>
      </c>
      <c r="L506" s="1057"/>
      <c r="M506" s="1058">
        <v>68</v>
      </c>
      <c r="N506" s="1058">
        <v>0</v>
      </c>
      <c r="O506" s="1057">
        <v>1758</v>
      </c>
      <c r="P506" s="1059">
        <f t="shared" si="18"/>
        <v>1826</v>
      </c>
      <c r="Q506" s="1057"/>
      <c r="R506" s="1058">
        <v>3624</v>
      </c>
      <c r="S506" s="1057">
        <v>-902</v>
      </c>
      <c r="T506" s="1060">
        <v>2722</v>
      </c>
    </row>
    <row r="507" spans="1:20" x14ac:dyDescent="0.25">
      <c r="A507" s="1054">
        <v>95221</v>
      </c>
      <c r="B507" s="1055" t="s">
        <v>4191</v>
      </c>
      <c r="C507" s="1056">
        <v>5.7000000000000003E-5</v>
      </c>
      <c r="D507" s="1056">
        <v>4.4100000000000001E-5</v>
      </c>
      <c r="E507" s="1057">
        <v>135223</v>
      </c>
      <c r="F507" s="1057" t="s">
        <v>187</v>
      </c>
      <c r="G507" s="1058">
        <v>20862</v>
      </c>
      <c r="H507" s="1059">
        <v>18562</v>
      </c>
      <c r="I507" s="1058">
        <v>35883</v>
      </c>
      <c r="J507" s="1057">
        <v>20204</v>
      </c>
      <c r="K507" s="1059">
        <f t="shared" si="17"/>
        <v>95511</v>
      </c>
      <c r="L507" s="1057"/>
      <c r="M507" s="1058">
        <v>700</v>
      </c>
      <c r="N507" s="1058">
        <v>0</v>
      </c>
      <c r="O507" s="1057">
        <v>6516</v>
      </c>
      <c r="P507" s="1059">
        <f t="shared" si="18"/>
        <v>7216</v>
      </c>
      <c r="Q507" s="1057"/>
      <c r="R507" s="1058">
        <v>37561</v>
      </c>
      <c r="S507" s="1057">
        <v>4121</v>
      </c>
      <c r="T507" s="1060">
        <v>41682</v>
      </c>
    </row>
    <row r="508" spans="1:20" x14ac:dyDescent="0.25">
      <c r="A508" s="1054">
        <v>95301</v>
      </c>
      <c r="B508" s="1055" t="s">
        <v>3059</v>
      </c>
      <c r="C508" s="1056">
        <v>2.3362000000000001E-3</v>
      </c>
      <c r="D508" s="1056">
        <v>2.3917999999999999E-3</v>
      </c>
      <c r="E508" s="1057">
        <v>5542265</v>
      </c>
      <c r="F508" s="1057" t="s">
        <v>187</v>
      </c>
      <c r="G508" s="1058">
        <v>855040</v>
      </c>
      <c r="H508" s="1059">
        <v>760788</v>
      </c>
      <c r="I508" s="1058">
        <v>1470703</v>
      </c>
      <c r="J508" s="1057">
        <v>42774</v>
      </c>
      <c r="K508" s="1059">
        <f t="shared" si="17"/>
        <v>3129305</v>
      </c>
      <c r="L508" s="1057"/>
      <c r="M508" s="1058">
        <v>28691</v>
      </c>
      <c r="N508" s="1058">
        <v>0</v>
      </c>
      <c r="O508" s="1057">
        <v>25264</v>
      </c>
      <c r="P508" s="1059">
        <f t="shared" si="18"/>
        <v>53955</v>
      </c>
      <c r="Q508" s="1057"/>
      <c r="R508" s="1058">
        <v>1539493</v>
      </c>
      <c r="S508" s="1057">
        <v>13159</v>
      </c>
      <c r="T508" s="1060">
        <v>1552652</v>
      </c>
    </row>
    <row r="509" spans="1:20" x14ac:dyDescent="0.25">
      <c r="A509" s="1054">
        <v>95311</v>
      </c>
      <c r="B509" s="1055" t="s">
        <v>3060</v>
      </c>
      <c r="C509" s="1056">
        <v>2.6302999999999999E-3</v>
      </c>
      <c r="D509" s="1056">
        <v>2.6873999999999999E-3</v>
      </c>
      <c r="E509" s="1057">
        <v>6239971</v>
      </c>
      <c r="F509" s="1057" t="s">
        <v>187</v>
      </c>
      <c r="G509" s="1058">
        <v>962679</v>
      </c>
      <c r="H509" s="1059">
        <v>856562</v>
      </c>
      <c r="I509" s="1058">
        <v>1655847</v>
      </c>
      <c r="J509" s="1057">
        <v>41494</v>
      </c>
      <c r="K509" s="1059">
        <f t="shared" si="17"/>
        <v>3516582</v>
      </c>
      <c r="L509" s="1057"/>
      <c r="M509" s="1058">
        <v>32303</v>
      </c>
      <c r="N509" s="1058">
        <v>0</v>
      </c>
      <c r="O509" s="1057">
        <v>58842</v>
      </c>
      <c r="P509" s="1059">
        <f t="shared" si="18"/>
        <v>91145</v>
      </c>
      <c r="Q509" s="1057"/>
      <c r="R509" s="1058">
        <v>1733297</v>
      </c>
      <c r="S509" s="1057">
        <v>-43357</v>
      </c>
      <c r="T509" s="1060">
        <v>1689940</v>
      </c>
    </row>
    <row r="510" spans="1:20" x14ac:dyDescent="0.25">
      <c r="A510" s="1054">
        <v>95317</v>
      </c>
      <c r="B510" s="1055" t="s">
        <v>3061</v>
      </c>
      <c r="C510" s="1056">
        <v>4.32E-5</v>
      </c>
      <c r="D510" s="1056">
        <v>4.8900000000000003E-5</v>
      </c>
      <c r="E510" s="1057">
        <v>102485</v>
      </c>
      <c r="F510" s="1057" t="s">
        <v>187</v>
      </c>
      <c r="G510" s="1058">
        <v>15811</v>
      </c>
      <c r="H510" s="1059">
        <v>14068</v>
      </c>
      <c r="I510" s="1058">
        <v>27196</v>
      </c>
      <c r="J510" s="1057">
        <v>4826</v>
      </c>
      <c r="K510" s="1059">
        <f t="shared" si="17"/>
        <v>61901</v>
      </c>
      <c r="L510" s="1057"/>
      <c r="M510" s="1058">
        <v>531</v>
      </c>
      <c r="N510" s="1058">
        <v>0</v>
      </c>
      <c r="O510" s="1057">
        <v>0</v>
      </c>
      <c r="P510" s="1059">
        <f t="shared" si="18"/>
        <v>531</v>
      </c>
      <c r="Q510" s="1057"/>
      <c r="R510" s="1058">
        <v>28468</v>
      </c>
      <c r="S510" s="1057">
        <v>2726</v>
      </c>
      <c r="T510" s="1060">
        <v>31194</v>
      </c>
    </row>
    <row r="511" spans="1:20" x14ac:dyDescent="0.25">
      <c r="A511" s="1054">
        <v>95321</v>
      </c>
      <c r="B511" s="1055" t="s">
        <v>4192</v>
      </c>
      <c r="C511" s="1056">
        <v>5.1999999999999997E-5</v>
      </c>
      <c r="D511" s="1056">
        <v>4.71E-5</v>
      </c>
      <c r="E511" s="1057">
        <v>123362</v>
      </c>
      <c r="F511" s="1057" t="s">
        <v>187</v>
      </c>
      <c r="G511" s="1058">
        <v>19032</v>
      </c>
      <c r="H511" s="1059">
        <v>16934</v>
      </c>
      <c r="I511" s="1058">
        <v>32735</v>
      </c>
      <c r="J511" s="1057">
        <v>6589</v>
      </c>
      <c r="K511" s="1059">
        <f t="shared" si="17"/>
        <v>75290</v>
      </c>
      <c r="L511" s="1057"/>
      <c r="M511" s="1058">
        <v>639</v>
      </c>
      <c r="N511" s="1058">
        <v>0</v>
      </c>
      <c r="O511" s="1057">
        <v>1618</v>
      </c>
      <c r="P511" s="1059">
        <f t="shared" si="18"/>
        <v>2257</v>
      </c>
      <c r="Q511" s="1057"/>
      <c r="R511" s="1058">
        <v>34267</v>
      </c>
      <c r="S511" s="1057">
        <v>2368</v>
      </c>
      <c r="T511" s="1060">
        <v>36635</v>
      </c>
    </row>
    <row r="512" spans="1:20" x14ac:dyDescent="0.25">
      <c r="A512" s="1054">
        <v>95401</v>
      </c>
      <c r="B512" s="1055" t="s">
        <v>3063</v>
      </c>
      <c r="C512" s="1056">
        <v>2.8792000000000002E-3</v>
      </c>
      <c r="D512" s="1056">
        <v>2.9992E-3</v>
      </c>
      <c r="E512" s="1057">
        <v>6830447</v>
      </c>
      <c r="F512" s="1057" t="s">
        <v>187</v>
      </c>
      <c r="G512" s="1058">
        <v>1053776</v>
      </c>
      <c r="H512" s="1059">
        <v>937617</v>
      </c>
      <c r="I512" s="1058">
        <v>1812537</v>
      </c>
      <c r="J512" s="1057">
        <v>12696</v>
      </c>
      <c r="K512" s="1059">
        <f t="shared" si="17"/>
        <v>3816626</v>
      </c>
      <c r="L512" s="1057"/>
      <c r="M512" s="1058">
        <v>35359</v>
      </c>
      <c r="N512" s="1058">
        <v>0</v>
      </c>
      <c r="O512" s="1057">
        <v>132713</v>
      </c>
      <c r="P512" s="1059">
        <f t="shared" si="18"/>
        <v>168072</v>
      </c>
      <c r="Q512" s="1057"/>
      <c r="R512" s="1058">
        <v>1897315</v>
      </c>
      <c r="S512" s="1057">
        <v>-19424</v>
      </c>
      <c r="T512" s="1060">
        <v>1877891</v>
      </c>
    </row>
    <row r="513" spans="1:20" x14ac:dyDescent="0.25">
      <c r="A513" s="1054">
        <v>95404</v>
      </c>
      <c r="B513" s="1055" t="s">
        <v>3064</v>
      </c>
      <c r="C513" s="1056">
        <v>5.0000000000000002E-5</v>
      </c>
      <c r="D513" s="1056">
        <v>5.3100000000000003E-5</v>
      </c>
      <c r="E513" s="1057">
        <v>118617</v>
      </c>
      <c r="F513" s="1057" t="s">
        <v>187</v>
      </c>
      <c r="G513" s="1058">
        <v>18300</v>
      </c>
      <c r="H513" s="1059">
        <v>16283</v>
      </c>
      <c r="I513" s="1058">
        <v>31476</v>
      </c>
      <c r="J513" s="1057">
        <v>3211</v>
      </c>
      <c r="K513" s="1059">
        <f t="shared" si="17"/>
        <v>69270</v>
      </c>
      <c r="L513" s="1057"/>
      <c r="M513" s="1058">
        <v>614</v>
      </c>
      <c r="N513" s="1058">
        <v>0</v>
      </c>
      <c r="O513" s="1057">
        <v>3328</v>
      </c>
      <c r="P513" s="1059">
        <f t="shared" si="18"/>
        <v>3942</v>
      </c>
      <c r="Q513" s="1057"/>
      <c r="R513" s="1058">
        <v>32949</v>
      </c>
      <c r="S513" s="1057">
        <v>1115</v>
      </c>
      <c r="T513" s="1060">
        <v>34064</v>
      </c>
    </row>
    <row r="514" spans="1:20" x14ac:dyDescent="0.25">
      <c r="A514" s="1054">
        <v>95405</v>
      </c>
      <c r="B514" s="1055" t="s">
        <v>3065</v>
      </c>
      <c r="C514" s="1056">
        <v>1.7600000000000001E-5</v>
      </c>
      <c r="D514" s="1056">
        <v>1.84E-5</v>
      </c>
      <c r="E514" s="1057">
        <v>41753</v>
      </c>
      <c r="F514" s="1057" t="s">
        <v>187</v>
      </c>
      <c r="G514" s="1058">
        <v>6442</v>
      </c>
      <c r="H514" s="1059">
        <v>5731</v>
      </c>
      <c r="I514" s="1058">
        <v>11080</v>
      </c>
      <c r="J514" s="1057">
        <v>18233</v>
      </c>
      <c r="K514" s="1059">
        <f t="shared" si="17"/>
        <v>41486</v>
      </c>
      <c r="L514" s="1057"/>
      <c r="M514" s="1058">
        <v>216</v>
      </c>
      <c r="N514" s="1058">
        <v>0</v>
      </c>
      <c r="O514" s="1057">
        <v>0</v>
      </c>
      <c r="P514" s="1059">
        <f t="shared" si="18"/>
        <v>216</v>
      </c>
      <c r="Q514" s="1057"/>
      <c r="R514" s="1058">
        <v>11598</v>
      </c>
      <c r="S514" s="1057">
        <v>7516</v>
      </c>
      <c r="T514" s="1060">
        <v>19114</v>
      </c>
    </row>
    <row r="515" spans="1:20" x14ac:dyDescent="0.25">
      <c r="A515" s="1054">
        <v>95411</v>
      </c>
      <c r="B515" s="1055" t="s">
        <v>3066</v>
      </c>
      <c r="C515" s="1056">
        <v>2.1646E-3</v>
      </c>
      <c r="D515" s="1056">
        <v>2.2173000000000002E-3</v>
      </c>
      <c r="E515" s="1057">
        <v>5135171</v>
      </c>
      <c r="F515" s="1057" t="s">
        <v>187</v>
      </c>
      <c r="G515" s="1058">
        <v>792235</v>
      </c>
      <c r="H515" s="1059">
        <v>704906</v>
      </c>
      <c r="I515" s="1058">
        <v>1362676</v>
      </c>
      <c r="J515" s="1057">
        <v>8705</v>
      </c>
      <c r="K515" s="1059">
        <f t="shared" si="17"/>
        <v>2868522</v>
      </c>
      <c r="L515" s="1057"/>
      <c r="M515" s="1058">
        <v>26583</v>
      </c>
      <c r="N515" s="1058">
        <v>0</v>
      </c>
      <c r="O515" s="1057">
        <v>37742</v>
      </c>
      <c r="P515" s="1059">
        <f t="shared" si="18"/>
        <v>64325</v>
      </c>
      <c r="Q515" s="1057"/>
      <c r="R515" s="1058">
        <v>1426413</v>
      </c>
      <c r="S515" s="1057">
        <v>-25353</v>
      </c>
      <c r="T515" s="1060">
        <v>1401060</v>
      </c>
    </row>
    <row r="516" spans="1:20" x14ac:dyDescent="0.25">
      <c r="A516" s="1054">
        <v>95412</v>
      </c>
      <c r="B516" s="1055" t="s">
        <v>3067</v>
      </c>
      <c r="C516" s="1056">
        <v>0</v>
      </c>
      <c r="D516" s="1056">
        <v>0</v>
      </c>
      <c r="E516" s="1057">
        <v>0</v>
      </c>
      <c r="F516" s="1057" t="s">
        <v>187</v>
      </c>
      <c r="G516" s="1058">
        <v>0</v>
      </c>
      <c r="H516" s="1059">
        <v>0</v>
      </c>
      <c r="I516" s="1058">
        <v>0</v>
      </c>
      <c r="J516" s="1057">
        <v>0</v>
      </c>
      <c r="K516" s="1059">
        <f t="shared" si="17"/>
        <v>0</v>
      </c>
      <c r="L516" s="1057"/>
      <c r="M516" s="1058">
        <v>0</v>
      </c>
      <c r="N516" s="1058">
        <v>0</v>
      </c>
      <c r="O516" s="1057">
        <v>9383</v>
      </c>
      <c r="P516" s="1059">
        <f t="shared" si="18"/>
        <v>9383</v>
      </c>
      <c r="Q516" s="1057"/>
      <c r="R516" s="1058">
        <v>0</v>
      </c>
      <c r="S516" s="1057">
        <v>-18447</v>
      </c>
      <c r="T516" s="1060">
        <v>-18447</v>
      </c>
    </row>
    <row r="517" spans="1:20" x14ac:dyDescent="0.25">
      <c r="A517" s="1054">
        <v>95413</v>
      </c>
      <c r="B517" s="1055" t="s">
        <v>4193</v>
      </c>
      <c r="C517" s="1056">
        <v>2.6879999999999997E-4</v>
      </c>
      <c r="D517" s="1056">
        <v>2.5809999999999999E-4</v>
      </c>
      <c r="E517" s="1057">
        <v>637686</v>
      </c>
      <c r="F517" s="1057" t="s">
        <v>187</v>
      </c>
      <c r="G517" s="1058">
        <v>98380</v>
      </c>
      <c r="H517" s="1059">
        <v>87535</v>
      </c>
      <c r="I517" s="1058">
        <v>169217</v>
      </c>
      <c r="J517" s="1057">
        <v>167873</v>
      </c>
      <c r="K517" s="1059">
        <f t="shared" si="17"/>
        <v>523005</v>
      </c>
      <c r="L517" s="1057"/>
      <c r="M517" s="1058">
        <v>3301</v>
      </c>
      <c r="N517" s="1058">
        <v>0</v>
      </c>
      <c r="O517" s="1057">
        <v>0</v>
      </c>
      <c r="P517" s="1059">
        <f t="shared" si="18"/>
        <v>3301</v>
      </c>
      <c r="Q517" s="1057"/>
      <c r="R517" s="1058">
        <v>177132</v>
      </c>
      <c r="S517" s="1057">
        <v>79192</v>
      </c>
      <c r="T517" s="1060">
        <v>256324</v>
      </c>
    </row>
    <row r="518" spans="1:20" x14ac:dyDescent="0.25">
      <c r="A518" s="1054">
        <v>95415</v>
      </c>
      <c r="B518" s="1055" t="s">
        <v>3069</v>
      </c>
      <c r="C518" s="1056">
        <v>7.1099999999999994E-5</v>
      </c>
      <c r="D518" s="1056">
        <v>6.2899999999999997E-5</v>
      </c>
      <c r="E518" s="1057">
        <v>168674</v>
      </c>
      <c r="F518" s="1057" t="s">
        <v>187</v>
      </c>
      <c r="G518" s="1058">
        <v>26022</v>
      </c>
      <c r="H518" s="1059">
        <v>23154</v>
      </c>
      <c r="I518" s="1058">
        <v>44759</v>
      </c>
      <c r="J518" s="1057">
        <v>3142</v>
      </c>
      <c r="K518" s="1059">
        <f t="shared" si="17"/>
        <v>97077</v>
      </c>
      <c r="L518" s="1057"/>
      <c r="M518" s="1058">
        <v>873</v>
      </c>
      <c r="N518" s="1058">
        <v>0</v>
      </c>
      <c r="O518" s="1057">
        <v>11354</v>
      </c>
      <c r="P518" s="1059">
        <f t="shared" si="18"/>
        <v>12227</v>
      </c>
      <c r="Q518" s="1057"/>
      <c r="R518" s="1058">
        <v>46853</v>
      </c>
      <c r="S518" s="1057">
        <v>567</v>
      </c>
      <c r="T518" s="1060">
        <v>47420</v>
      </c>
    </row>
    <row r="519" spans="1:20" x14ac:dyDescent="0.25">
      <c r="A519" s="1054">
        <v>95421</v>
      </c>
      <c r="B519" s="1055" t="s">
        <v>4194</v>
      </c>
      <c r="C519" s="1056">
        <v>3.8300000000000003E-5</v>
      </c>
      <c r="D519" s="1056">
        <v>3.8699999999999999E-5</v>
      </c>
      <c r="E519" s="1057">
        <v>90861</v>
      </c>
      <c r="F519" s="1057" t="s">
        <v>187</v>
      </c>
      <c r="G519" s="1058">
        <v>14018</v>
      </c>
      <c r="H519" s="1059">
        <v>12473</v>
      </c>
      <c r="I519" s="1058">
        <v>24111</v>
      </c>
      <c r="J519" s="1057">
        <v>560</v>
      </c>
      <c r="K519" s="1059">
        <f t="shared" si="17"/>
        <v>51162</v>
      </c>
      <c r="L519" s="1057"/>
      <c r="M519" s="1058">
        <v>470</v>
      </c>
      <c r="N519" s="1058">
        <v>0</v>
      </c>
      <c r="O519" s="1057">
        <v>4403</v>
      </c>
      <c r="P519" s="1059">
        <f t="shared" si="18"/>
        <v>4873</v>
      </c>
      <c r="Q519" s="1057"/>
      <c r="R519" s="1058">
        <v>25239</v>
      </c>
      <c r="S519" s="1057">
        <v>-4796</v>
      </c>
      <c r="T519" s="1060">
        <v>20443</v>
      </c>
    </row>
    <row r="520" spans="1:20" x14ac:dyDescent="0.25">
      <c r="A520" s="1054">
        <v>95431</v>
      </c>
      <c r="B520" s="1055" t="s">
        <v>4195</v>
      </c>
      <c r="C520" s="1056">
        <v>1.4630000000000001E-4</v>
      </c>
      <c r="D520" s="1056">
        <v>1.5300000000000001E-4</v>
      </c>
      <c r="E520" s="1057">
        <v>347074</v>
      </c>
      <c r="F520" s="1057" t="s">
        <v>187</v>
      </c>
      <c r="G520" s="1058">
        <v>53545</v>
      </c>
      <c r="H520" s="1059">
        <v>47643</v>
      </c>
      <c r="I520" s="1058">
        <v>92100</v>
      </c>
      <c r="J520" s="1057">
        <v>0</v>
      </c>
      <c r="K520" s="1059">
        <f t="shared" si="17"/>
        <v>193288</v>
      </c>
      <c r="L520" s="1057"/>
      <c r="M520" s="1058">
        <v>1797</v>
      </c>
      <c r="N520" s="1058">
        <v>0</v>
      </c>
      <c r="O520" s="1057">
        <v>33027</v>
      </c>
      <c r="P520" s="1059">
        <f t="shared" si="18"/>
        <v>34824</v>
      </c>
      <c r="Q520" s="1057"/>
      <c r="R520" s="1058">
        <v>96408</v>
      </c>
      <c r="S520" s="1057">
        <v>-12213</v>
      </c>
      <c r="T520" s="1060">
        <v>84195</v>
      </c>
    </row>
    <row r="521" spans="1:20" x14ac:dyDescent="0.25">
      <c r="A521" s="1054">
        <v>95501</v>
      </c>
      <c r="B521" s="1055" t="s">
        <v>3072</v>
      </c>
      <c r="C521" s="1056">
        <v>4.8900999999999997E-3</v>
      </c>
      <c r="D521" s="1056">
        <v>4.8764999999999998E-3</v>
      </c>
      <c r="E521" s="1057">
        <v>11600990</v>
      </c>
      <c r="F521" s="1057" t="s">
        <v>187</v>
      </c>
      <c r="G521" s="1058">
        <v>1789757</v>
      </c>
      <c r="H521" s="1059">
        <v>1592471</v>
      </c>
      <c r="I521" s="1058">
        <v>3078455</v>
      </c>
      <c r="J521" s="1057">
        <v>0</v>
      </c>
      <c r="K521" s="1059">
        <f t="shared" si="17"/>
        <v>6460683</v>
      </c>
      <c r="L521" s="1057"/>
      <c r="M521" s="1058">
        <v>60055</v>
      </c>
      <c r="N521" s="1058">
        <v>0</v>
      </c>
      <c r="O521" s="1057">
        <v>141278</v>
      </c>
      <c r="P521" s="1059">
        <f t="shared" si="18"/>
        <v>201333</v>
      </c>
      <c r="Q521" s="1057"/>
      <c r="R521" s="1058">
        <v>3222444</v>
      </c>
      <c r="S521" s="1057">
        <v>-23300</v>
      </c>
      <c r="T521" s="1060">
        <v>3199144</v>
      </c>
    </row>
    <row r="522" spans="1:20" x14ac:dyDescent="0.25">
      <c r="A522" s="1054">
        <v>95504</v>
      </c>
      <c r="B522" s="1055" t="s">
        <v>3073</v>
      </c>
      <c r="C522" s="1056">
        <v>8.8000000000000004E-6</v>
      </c>
      <c r="D522" s="1056">
        <v>9.3999999999999998E-6</v>
      </c>
      <c r="E522" s="1057">
        <v>20877</v>
      </c>
      <c r="F522" s="1057" t="s">
        <v>187</v>
      </c>
      <c r="G522" s="1058">
        <v>3221</v>
      </c>
      <c r="H522" s="1059">
        <v>2866</v>
      </c>
      <c r="I522" s="1058">
        <v>5540</v>
      </c>
      <c r="J522" s="1057">
        <v>9317</v>
      </c>
      <c r="K522" s="1059">
        <f t="shared" si="17"/>
        <v>20944</v>
      </c>
      <c r="L522" s="1057"/>
      <c r="M522" s="1058">
        <v>108</v>
      </c>
      <c r="N522" s="1058">
        <v>0</v>
      </c>
      <c r="O522" s="1057">
        <v>0</v>
      </c>
      <c r="P522" s="1059">
        <f t="shared" si="18"/>
        <v>108</v>
      </c>
      <c r="Q522" s="1057"/>
      <c r="R522" s="1058">
        <v>5799</v>
      </c>
      <c r="S522" s="1057">
        <v>4040</v>
      </c>
      <c r="T522" s="1060">
        <v>9839</v>
      </c>
    </row>
    <row r="523" spans="1:20" x14ac:dyDescent="0.25">
      <c r="A523" s="1054">
        <v>95511</v>
      </c>
      <c r="B523" s="1055" t="s">
        <v>3074</v>
      </c>
      <c r="C523" s="1056">
        <v>9.5339999999999997E-4</v>
      </c>
      <c r="D523" s="1056">
        <v>9.7460000000000005E-4</v>
      </c>
      <c r="E523" s="1057">
        <v>2261791</v>
      </c>
      <c r="F523" s="1057" t="s">
        <v>187</v>
      </c>
      <c r="G523" s="1058">
        <v>348941</v>
      </c>
      <c r="H523" s="1059">
        <v>310477</v>
      </c>
      <c r="I523" s="1058">
        <v>600192</v>
      </c>
      <c r="J523" s="1057">
        <v>48211</v>
      </c>
      <c r="K523" s="1059">
        <f t="shared" si="17"/>
        <v>1307821</v>
      </c>
      <c r="L523" s="1057"/>
      <c r="M523" s="1058">
        <v>11709</v>
      </c>
      <c r="N523" s="1058">
        <v>0</v>
      </c>
      <c r="O523" s="1057">
        <v>32399</v>
      </c>
      <c r="P523" s="1059">
        <f t="shared" si="18"/>
        <v>44108</v>
      </c>
      <c r="Q523" s="1057"/>
      <c r="R523" s="1058">
        <v>628265</v>
      </c>
      <c r="S523" s="1057">
        <v>103</v>
      </c>
      <c r="T523" s="1060">
        <v>628368</v>
      </c>
    </row>
    <row r="524" spans="1:20" x14ac:dyDescent="0.25">
      <c r="A524" s="1054">
        <v>95513</v>
      </c>
      <c r="B524" s="1055" t="s">
        <v>3075</v>
      </c>
      <c r="C524" s="1056">
        <v>4.5399999999999999E-5</v>
      </c>
      <c r="D524" s="1056">
        <v>4.6699999999999997E-5</v>
      </c>
      <c r="E524" s="1057">
        <v>107704</v>
      </c>
      <c r="F524" s="1057" t="s">
        <v>187</v>
      </c>
      <c r="G524" s="1058">
        <v>16616</v>
      </c>
      <c r="H524" s="1059">
        <v>14785</v>
      </c>
      <c r="I524" s="1058">
        <v>28581</v>
      </c>
      <c r="J524" s="1057">
        <v>21477</v>
      </c>
      <c r="K524" s="1059">
        <f t="shared" si="17"/>
        <v>81459</v>
      </c>
      <c r="L524" s="1057"/>
      <c r="M524" s="1058">
        <v>558</v>
      </c>
      <c r="N524" s="1058">
        <v>0</v>
      </c>
      <c r="O524" s="1057">
        <v>0</v>
      </c>
      <c r="P524" s="1059">
        <f t="shared" si="18"/>
        <v>558</v>
      </c>
      <c r="Q524" s="1057"/>
      <c r="R524" s="1058">
        <v>29917</v>
      </c>
      <c r="S524" s="1057">
        <v>11276</v>
      </c>
      <c r="T524" s="1060">
        <v>41193</v>
      </c>
    </row>
    <row r="525" spans="1:20" x14ac:dyDescent="0.25">
      <c r="A525" s="1054">
        <v>95517</v>
      </c>
      <c r="B525" s="1055" t="s">
        <v>4196</v>
      </c>
      <c r="C525" s="1056">
        <v>1.88E-5</v>
      </c>
      <c r="D525" s="1056">
        <v>2.4499999999999999E-5</v>
      </c>
      <c r="E525" s="1057">
        <v>44600</v>
      </c>
      <c r="F525" s="1057" t="s">
        <v>187</v>
      </c>
      <c r="G525" s="1058">
        <v>6881</v>
      </c>
      <c r="H525" s="1059">
        <v>6122</v>
      </c>
      <c r="I525" s="1058">
        <v>11835</v>
      </c>
      <c r="J525" s="1057">
        <v>11454</v>
      </c>
      <c r="K525" s="1059">
        <f t="shared" si="17"/>
        <v>36292</v>
      </c>
      <c r="L525" s="1057"/>
      <c r="M525" s="1058">
        <v>231</v>
      </c>
      <c r="N525" s="1058">
        <v>0</v>
      </c>
      <c r="O525" s="1057">
        <v>2556</v>
      </c>
      <c r="P525" s="1059">
        <f t="shared" si="18"/>
        <v>2787</v>
      </c>
      <c r="Q525" s="1057"/>
      <c r="R525" s="1058">
        <v>12389</v>
      </c>
      <c r="S525" s="1057">
        <v>5895</v>
      </c>
      <c r="T525" s="1060">
        <v>18284</v>
      </c>
    </row>
    <row r="526" spans="1:20" x14ac:dyDescent="0.25">
      <c r="A526" s="1054">
        <v>95601</v>
      </c>
      <c r="B526" s="1055" t="s">
        <v>3077</v>
      </c>
      <c r="C526" s="1056">
        <v>2.6251999999999998E-3</v>
      </c>
      <c r="D526" s="1056">
        <v>2.6280000000000001E-3</v>
      </c>
      <c r="E526" s="1057">
        <v>6227872</v>
      </c>
      <c r="F526" s="1057" t="s">
        <v>187</v>
      </c>
      <c r="G526" s="1058">
        <v>960813</v>
      </c>
      <c r="H526" s="1059">
        <v>854902</v>
      </c>
      <c r="I526" s="1058">
        <v>1652637</v>
      </c>
      <c r="J526" s="1057">
        <v>33391</v>
      </c>
      <c r="K526" s="1059">
        <f t="shared" si="17"/>
        <v>3501743</v>
      </c>
      <c r="L526" s="1057"/>
      <c r="M526" s="1058">
        <v>32240</v>
      </c>
      <c r="N526" s="1058">
        <v>0</v>
      </c>
      <c r="O526" s="1057">
        <v>33658</v>
      </c>
      <c r="P526" s="1059">
        <f t="shared" si="18"/>
        <v>65898</v>
      </c>
      <c r="Q526" s="1057"/>
      <c r="R526" s="1058">
        <v>1729936</v>
      </c>
      <c r="S526" s="1057">
        <v>42593</v>
      </c>
      <c r="T526" s="1060">
        <v>1772529</v>
      </c>
    </row>
    <row r="527" spans="1:20" x14ac:dyDescent="0.25">
      <c r="A527" s="1054">
        <v>95611</v>
      </c>
      <c r="B527" s="1055" t="s">
        <v>4197</v>
      </c>
      <c r="C527" s="1056">
        <v>3.8440000000000002E-4</v>
      </c>
      <c r="D527" s="1056">
        <v>4.0660000000000002E-4</v>
      </c>
      <c r="E527" s="1057">
        <v>911928</v>
      </c>
      <c r="F527" s="1057" t="s">
        <v>187</v>
      </c>
      <c r="G527" s="1058">
        <v>140689</v>
      </c>
      <c r="H527" s="1059">
        <v>125180</v>
      </c>
      <c r="I527" s="1058">
        <v>241991</v>
      </c>
      <c r="J527" s="1057">
        <v>5465</v>
      </c>
      <c r="K527" s="1059">
        <f t="shared" ref="K527:K590" si="19">G527+H527+I527+J527</f>
        <v>513325</v>
      </c>
      <c r="L527" s="1057"/>
      <c r="M527" s="1058">
        <v>4721</v>
      </c>
      <c r="N527" s="1058">
        <v>0</v>
      </c>
      <c r="O527" s="1057">
        <v>4327</v>
      </c>
      <c r="P527" s="1059">
        <f t="shared" ref="P527:P590" si="20">M527+N527+O527</f>
        <v>9048</v>
      </c>
      <c r="Q527" s="1057"/>
      <c r="R527" s="1058">
        <v>253309</v>
      </c>
      <c r="S527" s="1057">
        <v>529</v>
      </c>
      <c r="T527" s="1060">
        <v>253838</v>
      </c>
    </row>
    <row r="528" spans="1:20" x14ac:dyDescent="0.25">
      <c r="A528" s="1054">
        <v>95617</v>
      </c>
      <c r="B528" s="1055" t="s">
        <v>3079</v>
      </c>
      <c r="C528" s="1056">
        <v>1.59E-5</v>
      </c>
      <c r="D528" s="1056">
        <v>1.6399999999999999E-5</v>
      </c>
      <c r="E528" s="1057">
        <v>37720</v>
      </c>
      <c r="F528" s="1057" t="s">
        <v>187</v>
      </c>
      <c r="G528" s="1058">
        <v>5819</v>
      </c>
      <c r="H528" s="1059">
        <v>5178</v>
      </c>
      <c r="I528" s="1058">
        <v>10009</v>
      </c>
      <c r="J528" s="1057">
        <v>916</v>
      </c>
      <c r="K528" s="1059">
        <f t="shared" si="19"/>
        <v>21922</v>
      </c>
      <c r="L528" s="1057"/>
      <c r="M528" s="1058">
        <v>195</v>
      </c>
      <c r="N528" s="1058">
        <v>0</v>
      </c>
      <c r="O528" s="1057">
        <v>417</v>
      </c>
      <c r="P528" s="1059">
        <f t="shared" si="20"/>
        <v>612</v>
      </c>
      <c r="Q528" s="1057"/>
      <c r="R528" s="1058">
        <v>10478</v>
      </c>
      <c r="S528" s="1057">
        <v>-554</v>
      </c>
      <c r="T528" s="1060">
        <v>9924</v>
      </c>
    </row>
    <row r="529" spans="1:20" x14ac:dyDescent="0.25">
      <c r="A529" s="1054">
        <v>95621</v>
      </c>
      <c r="B529" s="1055" t="s">
        <v>4198</v>
      </c>
      <c r="C529" s="1056">
        <v>4.9019999999999999E-4</v>
      </c>
      <c r="D529" s="1056">
        <v>4.5360000000000002E-4</v>
      </c>
      <c r="E529" s="1057">
        <v>1162922</v>
      </c>
      <c r="F529" s="1057" t="s">
        <v>187</v>
      </c>
      <c r="G529" s="1058">
        <v>179411</v>
      </c>
      <c r="H529" s="1059">
        <v>159635</v>
      </c>
      <c r="I529" s="1058">
        <v>308595</v>
      </c>
      <c r="J529" s="1057">
        <v>42371</v>
      </c>
      <c r="K529" s="1059">
        <f t="shared" si="19"/>
        <v>690012</v>
      </c>
      <c r="L529" s="1057"/>
      <c r="M529" s="1058">
        <v>6020</v>
      </c>
      <c r="N529" s="1058">
        <v>0</v>
      </c>
      <c r="O529" s="1057">
        <v>2706</v>
      </c>
      <c r="P529" s="1059">
        <f t="shared" si="20"/>
        <v>8726</v>
      </c>
      <c r="Q529" s="1057"/>
      <c r="R529" s="1058">
        <v>323029</v>
      </c>
      <c r="S529" s="1057">
        <v>12042</v>
      </c>
      <c r="T529" s="1060">
        <v>335071</v>
      </c>
    </row>
    <row r="530" spans="1:20" x14ac:dyDescent="0.25">
      <c r="A530" s="1054">
        <v>95701</v>
      </c>
      <c r="B530" s="1055" t="s">
        <v>3081</v>
      </c>
      <c r="C530" s="1056">
        <v>1.3044E-3</v>
      </c>
      <c r="D530" s="1056">
        <v>1.3747E-3</v>
      </c>
      <c r="E530" s="1057">
        <v>3094483</v>
      </c>
      <c r="F530" s="1057" t="s">
        <v>187</v>
      </c>
      <c r="G530" s="1058">
        <v>477405</v>
      </c>
      <c r="H530" s="1059">
        <v>424780</v>
      </c>
      <c r="I530" s="1058">
        <v>821156</v>
      </c>
      <c r="J530" s="1057">
        <v>34377</v>
      </c>
      <c r="K530" s="1059">
        <f t="shared" si="19"/>
        <v>1757718</v>
      </c>
      <c r="L530" s="1057"/>
      <c r="M530" s="1058">
        <v>16019</v>
      </c>
      <c r="N530" s="1058">
        <v>0</v>
      </c>
      <c r="O530" s="1057">
        <v>77258</v>
      </c>
      <c r="P530" s="1059">
        <f t="shared" si="20"/>
        <v>93277</v>
      </c>
      <c r="Q530" s="1057"/>
      <c r="R530" s="1058">
        <v>859564</v>
      </c>
      <c r="S530" s="1057">
        <v>9205</v>
      </c>
      <c r="T530" s="1060">
        <v>868769</v>
      </c>
    </row>
    <row r="531" spans="1:20" x14ac:dyDescent="0.25">
      <c r="A531" s="1054">
        <v>95711</v>
      </c>
      <c r="B531" s="1055" t="s">
        <v>4199</v>
      </c>
      <c r="C531" s="1056">
        <v>1.4349999999999999E-4</v>
      </c>
      <c r="D531" s="1056">
        <v>1.394E-4</v>
      </c>
      <c r="E531" s="1057">
        <v>340431</v>
      </c>
      <c r="F531" s="1057" t="s">
        <v>187</v>
      </c>
      <c r="G531" s="1058">
        <v>52520</v>
      </c>
      <c r="H531" s="1059">
        <v>46731</v>
      </c>
      <c r="I531" s="1058">
        <v>90337</v>
      </c>
      <c r="J531" s="1057">
        <v>2879</v>
      </c>
      <c r="K531" s="1059">
        <f t="shared" si="19"/>
        <v>192467</v>
      </c>
      <c r="L531" s="1057"/>
      <c r="M531" s="1058">
        <v>1762</v>
      </c>
      <c r="N531" s="1058">
        <v>0</v>
      </c>
      <c r="O531" s="1057">
        <v>9110</v>
      </c>
      <c r="P531" s="1059">
        <f t="shared" si="20"/>
        <v>10872</v>
      </c>
      <c r="Q531" s="1057"/>
      <c r="R531" s="1058">
        <v>94563</v>
      </c>
      <c r="S531" s="1057">
        <v>468</v>
      </c>
      <c r="T531" s="1060">
        <v>95031</v>
      </c>
    </row>
    <row r="532" spans="1:20" x14ac:dyDescent="0.25">
      <c r="A532" s="1054">
        <v>95721</v>
      </c>
      <c r="B532" s="1055" t="s">
        <v>4200</v>
      </c>
      <c r="C532" s="1056">
        <v>6.7799999999999995E-5</v>
      </c>
      <c r="D532" s="1056">
        <v>6.7600000000000003E-5</v>
      </c>
      <c r="E532" s="1057">
        <v>160845</v>
      </c>
      <c r="F532" s="1057" t="s">
        <v>187</v>
      </c>
      <c r="G532" s="1058">
        <v>24815</v>
      </c>
      <c r="H532" s="1059">
        <v>22080</v>
      </c>
      <c r="I532" s="1058">
        <v>42682</v>
      </c>
      <c r="J532" s="1057">
        <v>0</v>
      </c>
      <c r="K532" s="1059">
        <f t="shared" si="19"/>
        <v>89577</v>
      </c>
      <c r="L532" s="1057"/>
      <c r="M532" s="1058">
        <v>833</v>
      </c>
      <c r="N532" s="1058">
        <v>0</v>
      </c>
      <c r="O532" s="1057">
        <v>6588</v>
      </c>
      <c r="P532" s="1059">
        <f t="shared" si="20"/>
        <v>7421</v>
      </c>
      <c r="Q532" s="1057"/>
      <c r="R532" s="1058">
        <v>44678</v>
      </c>
      <c r="S532" s="1057">
        <v>-4986</v>
      </c>
      <c r="T532" s="1060">
        <v>39692</v>
      </c>
    </row>
    <row r="533" spans="1:20" x14ac:dyDescent="0.25">
      <c r="A533" s="1054">
        <v>95733</v>
      </c>
      <c r="B533" s="1055" t="s">
        <v>3084</v>
      </c>
      <c r="C533" s="1056">
        <v>1.5500000000000001E-5</v>
      </c>
      <c r="D533" s="1056">
        <v>1.5400000000000002E-5</v>
      </c>
      <c r="E533" s="1057">
        <v>36771</v>
      </c>
      <c r="F533" s="1057" t="s">
        <v>187</v>
      </c>
      <c r="G533" s="1058">
        <v>5673</v>
      </c>
      <c r="H533" s="1059">
        <v>5047</v>
      </c>
      <c r="I533" s="1058">
        <v>9758</v>
      </c>
      <c r="J533" s="1057">
        <v>293</v>
      </c>
      <c r="K533" s="1059">
        <f t="shared" si="19"/>
        <v>20771</v>
      </c>
      <c r="L533" s="1057"/>
      <c r="M533" s="1058">
        <v>190</v>
      </c>
      <c r="N533" s="1058">
        <v>0</v>
      </c>
      <c r="O533" s="1057">
        <v>329</v>
      </c>
      <c r="P533" s="1059">
        <f t="shared" si="20"/>
        <v>519</v>
      </c>
      <c r="Q533" s="1057"/>
      <c r="R533" s="1058">
        <v>10214</v>
      </c>
      <c r="S533" s="1057">
        <v>222</v>
      </c>
      <c r="T533" s="1060">
        <v>10436</v>
      </c>
    </row>
    <row r="534" spans="1:20" x14ac:dyDescent="0.25">
      <c r="A534" s="1054">
        <v>95801</v>
      </c>
      <c r="B534" s="1055" t="s">
        <v>3085</v>
      </c>
      <c r="C534" s="1056">
        <v>9.7999999999999997E-4</v>
      </c>
      <c r="D534" s="1056">
        <v>9.6310000000000005E-4</v>
      </c>
      <c r="E534" s="1057">
        <v>2324895</v>
      </c>
      <c r="F534" s="1057" t="s">
        <v>187</v>
      </c>
      <c r="G534" s="1058">
        <v>358676</v>
      </c>
      <c r="H534" s="1059">
        <v>319139</v>
      </c>
      <c r="I534" s="1058">
        <v>616937</v>
      </c>
      <c r="J534" s="1057">
        <v>66360</v>
      </c>
      <c r="K534" s="1059">
        <f t="shared" si="19"/>
        <v>1361112</v>
      </c>
      <c r="L534" s="1057"/>
      <c r="M534" s="1058">
        <v>12035</v>
      </c>
      <c r="N534" s="1058">
        <v>0</v>
      </c>
      <c r="O534" s="1057">
        <v>165</v>
      </c>
      <c r="P534" s="1059">
        <f t="shared" si="20"/>
        <v>12200</v>
      </c>
      <c r="Q534" s="1057"/>
      <c r="R534" s="1058">
        <v>645794</v>
      </c>
      <c r="S534" s="1057">
        <v>20070</v>
      </c>
      <c r="T534" s="1060">
        <v>665864</v>
      </c>
    </row>
    <row r="535" spans="1:20" x14ac:dyDescent="0.25">
      <c r="A535" s="1054">
        <v>95802</v>
      </c>
      <c r="B535" s="1055" t="s">
        <v>4201</v>
      </c>
      <c r="C535" s="1056">
        <v>5.4E-6</v>
      </c>
      <c r="D535" s="1056">
        <v>6.1E-6</v>
      </c>
      <c r="E535" s="1057">
        <v>12811</v>
      </c>
      <c r="F535" s="1057" t="s">
        <v>187</v>
      </c>
      <c r="G535" s="1058">
        <v>1976</v>
      </c>
      <c r="H535" s="1059">
        <v>1759</v>
      </c>
      <c r="I535" s="1058">
        <v>3399</v>
      </c>
      <c r="J535" s="1057">
        <v>4124</v>
      </c>
      <c r="K535" s="1059">
        <f t="shared" si="19"/>
        <v>11258</v>
      </c>
      <c r="L535" s="1057"/>
      <c r="M535" s="1058">
        <v>66</v>
      </c>
      <c r="N535" s="1058">
        <v>0</v>
      </c>
      <c r="O535" s="1057">
        <v>0</v>
      </c>
      <c r="P535" s="1059">
        <f t="shared" si="20"/>
        <v>66</v>
      </c>
      <c r="Q535" s="1057"/>
      <c r="R535" s="1058">
        <v>3558</v>
      </c>
      <c r="S535" s="1057">
        <v>434</v>
      </c>
      <c r="T535" s="1060">
        <v>3992</v>
      </c>
    </row>
    <row r="536" spans="1:20" x14ac:dyDescent="0.25">
      <c r="A536" s="1054">
        <v>95804</v>
      </c>
      <c r="B536" s="1055" t="s">
        <v>3087</v>
      </c>
      <c r="C536" s="1056">
        <v>2.1699999999999999E-5</v>
      </c>
      <c r="D536" s="1056">
        <v>2.19E-5</v>
      </c>
      <c r="E536" s="1057">
        <v>51480</v>
      </c>
      <c r="F536" s="1057" t="s">
        <v>187</v>
      </c>
      <c r="G536" s="1058">
        <v>7942</v>
      </c>
      <c r="H536" s="1059">
        <v>7067</v>
      </c>
      <c r="I536" s="1058">
        <v>13661</v>
      </c>
      <c r="J536" s="1057">
        <v>2008</v>
      </c>
      <c r="K536" s="1059">
        <f t="shared" si="19"/>
        <v>30678</v>
      </c>
      <c r="L536" s="1057"/>
      <c r="M536" s="1058">
        <v>266</v>
      </c>
      <c r="N536" s="1058">
        <v>0</v>
      </c>
      <c r="O536" s="1057">
        <v>2353</v>
      </c>
      <c r="P536" s="1059">
        <f t="shared" si="20"/>
        <v>2619</v>
      </c>
      <c r="Q536" s="1057"/>
      <c r="R536" s="1058">
        <v>14300</v>
      </c>
      <c r="S536" s="1057">
        <v>1035</v>
      </c>
      <c r="T536" s="1060">
        <v>15335</v>
      </c>
    </row>
    <row r="537" spans="1:20" x14ac:dyDescent="0.25">
      <c r="A537" s="1054">
        <v>95811</v>
      </c>
      <c r="B537" s="1055" t="s">
        <v>4202</v>
      </c>
      <c r="C537" s="1056">
        <v>5.2729999999999997E-4</v>
      </c>
      <c r="D537" s="1056">
        <v>5.3129999999999996E-4</v>
      </c>
      <c r="E537" s="1057">
        <v>1250936</v>
      </c>
      <c r="F537" s="1057" t="s">
        <v>187</v>
      </c>
      <c r="G537" s="1058">
        <v>192990</v>
      </c>
      <c r="H537" s="1059">
        <v>171716</v>
      </c>
      <c r="I537" s="1058">
        <v>331950</v>
      </c>
      <c r="J537" s="1057">
        <v>1612</v>
      </c>
      <c r="K537" s="1059">
        <f t="shared" si="19"/>
        <v>698268</v>
      </c>
      <c r="L537" s="1057"/>
      <c r="M537" s="1058">
        <v>6476</v>
      </c>
      <c r="N537" s="1058">
        <v>0</v>
      </c>
      <c r="O537" s="1057">
        <v>2962</v>
      </c>
      <c r="P537" s="1059">
        <f t="shared" si="20"/>
        <v>9438</v>
      </c>
      <c r="Q537" s="1057"/>
      <c r="R537" s="1058">
        <v>347476</v>
      </c>
      <c r="S537" s="1057">
        <v>-1308</v>
      </c>
      <c r="T537" s="1060">
        <v>346168</v>
      </c>
    </row>
    <row r="538" spans="1:20" x14ac:dyDescent="0.25">
      <c r="A538" s="1054">
        <v>95813</v>
      </c>
      <c r="B538" s="1055" t="s">
        <v>3089</v>
      </c>
      <c r="C538" s="1056">
        <v>5.0699999999999999E-5</v>
      </c>
      <c r="D538" s="1056">
        <v>4.88E-5</v>
      </c>
      <c r="E538" s="1057">
        <v>120278</v>
      </c>
      <c r="F538" s="1057" t="s">
        <v>187</v>
      </c>
      <c r="G538" s="1058">
        <v>18556</v>
      </c>
      <c r="H538" s="1059">
        <v>16511</v>
      </c>
      <c r="I538" s="1058">
        <v>31917</v>
      </c>
      <c r="J538" s="1057">
        <v>86198</v>
      </c>
      <c r="K538" s="1059">
        <f t="shared" si="19"/>
        <v>153182</v>
      </c>
      <c r="L538" s="1057"/>
      <c r="M538" s="1058">
        <v>623</v>
      </c>
      <c r="N538" s="1058">
        <v>0</v>
      </c>
      <c r="O538" s="1057">
        <v>0</v>
      </c>
      <c r="P538" s="1059">
        <f t="shared" si="20"/>
        <v>623</v>
      </c>
      <c r="Q538" s="1057"/>
      <c r="R538" s="1058">
        <v>33410</v>
      </c>
      <c r="S538" s="1057">
        <v>34117</v>
      </c>
      <c r="T538" s="1060">
        <v>67527</v>
      </c>
    </row>
    <row r="539" spans="1:20" x14ac:dyDescent="0.25">
      <c r="A539" s="1054">
        <v>95821</v>
      </c>
      <c r="B539" s="1055" t="s">
        <v>4203</v>
      </c>
      <c r="C539" s="1056">
        <v>0</v>
      </c>
      <c r="D539" s="1056">
        <v>0</v>
      </c>
      <c r="E539" s="1057">
        <v>0</v>
      </c>
      <c r="F539" s="1057" t="s">
        <v>187</v>
      </c>
      <c r="G539" s="1058">
        <v>0</v>
      </c>
      <c r="H539" s="1059">
        <v>0</v>
      </c>
      <c r="I539" s="1058">
        <v>0</v>
      </c>
      <c r="J539" s="1057">
        <v>2281</v>
      </c>
      <c r="K539" s="1059">
        <f t="shared" si="19"/>
        <v>2281</v>
      </c>
      <c r="L539" s="1057"/>
      <c r="M539" s="1058">
        <v>0</v>
      </c>
      <c r="N539" s="1058">
        <v>0</v>
      </c>
      <c r="O539" s="1057">
        <v>489</v>
      </c>
      <c r="P539" s="1059">
        <f t="shared" si="20"/>
        <v>489</v>
      </c>
      <c r="Q539" s="1057"/>
      <c r="R539" s="1058">
        <v>0</v>
      </c>
      <c r="S539" s="1057">
        <v>861</v>
      </c>
      <c r="T539" s="1060">
        <v>861</v>
      </c>
    </row>
    <row r="540" spans="1:20" x14ac:dyDescent="0.25">
      <c r="A540" s="1054">
        <v>95831</v>
      </c>
      <c r="B540" s="1055" t="s">
        <v>4204</v>
      </c>
      <c r="C540" s="1056">
        <v>1.8E-5</v>
      </c>
      <c r="D540" s="1056">
        <v>1.6799999999999998E-5</v>
      </c>
      <c r="E540" s="1057">
        <v>42702</v>
      </c>
      <c r="F540" s="1057" t="s">
        <v>187</v>
      </c>
      <c r="G540" s="1058">
        <v>6588</v>
      </c>
      <c r="H540" s="1059">
        <v>5862</v>
      </c>
      <c r="I540" s="1058">
        <v>11332</v>
      </c>
      <c r="J540" s="1057">
        <v>26223</v>
      </c>
      <c r="K540" s="1059">
        <f t="shared" si="19"/>
        <v>50005</v>
      </c>
      <c r="L540" s="1057"/>
      <c r="M540" s="1058">
        <v>221</v>
      </c>
      <c r="N540" s="1058">
        <v>0</v>
      </c>
      <c r="O540" s="1057">
        <v>0</v>
      </c>
      <c r="P540" s="1059">
        <f t="shared" si="20"/>
        <v>221</v>
      </c>
      <c r="Q540" s="1057"/>
      <c r="R540" s="1058">
        <v>11862</v>
      </c>
      <c r="S540" s="1057">
        <v>10648</v>
      </c>
      <c r="T540" s="1060">
        <v>22510</v>
      </c>
    </row>
    <row r="541" spans="1:20" x14ac:dyDescent="0.25">
      <c r="A541" s="1054">
        <v>95841</v>
      </c>
      <c r="B541" s="1055" t="s">
        <v>4205</v>
      </c>
      <c r="C541" s="1056">
        <v>2.0000000000000002E-5</v>
      </c>
      <c r="D541" s="1056">
        <v>2.0999999999999999E-5</v>
      </c>
      <c r="E541" s="1057">
        <v>47447</v>
      </c>
      <c r="F541" s="1057" t="s">
        <v>187</v>
      </c>
      <c r="G541" s="1058">
        <v>7320</v>
      </c>
      <c r="H541" s="1059">
        <v>6513</v>
      </c>
      <c r="I541" s="1058">
        <v>12591</v>
      </c>
      <c r="J541" s="1057">
        <v>3014</v>
      </c>
      <c r="K541" s="1059">
        <f t="shared" si="19"/>
        <v>29438</v>
      </c>
      <c r="L541" s="1057"/>
      <c r="M541" s="1058">
        <v>246</v>
      </c>
      <c r="N541" s="1058">
        <v>0</v>
      </c>
      <c r="O541" s="1057">
        <v>0</v>
      </c>
      <c r="P541" s="1059">
        <f t="shared" si="20"/>
        <v>246</v>
      </c>
      <c r="Q541" s="1057"/>
      <c r="R541" s="1058">
        <v>13179</v>
      </c>
      <c r="S541" s="1057">
        <v>1248</v>
      </c>
      <c r="T541" s="1060">
        <v>14427</v>
      </c>
    </row>
    <row r="542" spans="1:20" x14ac:dyDescent="0.25">
      <c r="A542" s="1054">
        <v>95851</v>
      </c>
      <c r="B542" s="1055" t="s">
        <v>4206</v>
      </c>
      <c r="C542" s="1056">
        <v>1.403E-4</v>
      </c>
      <c r="D542" s="1056">
        <v>1.327E-4</v>
      </c>
      <c r="E542" s="1057">
        <v>332840</v>
      </c>
      <c r="F542" s="1057" t="s">
        <v>187</v>
      </c>
      <c r="G542" s="1058">
        <v>51349</v>
      </c>
      <c r="H542" s="1059">
        <v>45689</v>
      </c>
      <c r="I542" s="1058">
        <v>88323</v>
      </c>
      <c r="J542" s="1057">
        <v>151488</v>
      </c>
      <c r="K542" s="1059">
        <f t="shared" si="19"/>
        <v>336849</v>
      </c>
      <c r="L542" s="1057"/>
      <c r="M542" s="1058">
        <v>1723</v>
      </c>
      <c r="N542" s="1058">
        <v>0</v>
      </c>
      <c r="O542" s="1057">
        <v>0</v>
      </c>
      <c r="P542" s="1059">
        <f t="shared" si="20"/>
        <v>1723</v>
      </c>
      <c r="Q542" s="1057"/>
      <c r="R542" s="1058">
        <v>92454</v>
      </c>
      <c r="S542" s="1057">
        <v>56099</v>
      </c>
      <c r="T542" s="1060">
        <v>148553</v>
      </c>
    </row>
    <row r="543" spans="1:20" x14ac:dyDescent="0.25">
      <c r="A543" s="1054">
        <v>95853</v>
      </c>
      <c r="B543" s="1055" t="s">
        <v>3094</v>
      </c>
      <c r="C543" s="1056">
        <v>3.1300000000000002E-5</v>
      </c>
      <c r="D543" s="1056">
        <v>2.69E-5</v>
      </c>
      <c r="E543" s="1057">
        <v>74254</v>
      </c>
      <c r="F543" s="1057" t="s">
        <v>187</v>
      </c>
      <c r="G543" s="1058">
        <v>11456</v>
      </c>
      <c r="H543" s="1059">
        <v>10193</v>
      </c>
      <c r="I543" s="1058">
        <v>19704</v>
      </c>
      <c r="J543" s="1057">
        <v>8786</v>
      </c>
      <c r="K543" s="1059">
        <f t="shared" si="19"/>
        <v>50139</v>
      </c>
      <c r="L543" s="1057"/>
      <c r="M543" s="1058">
        <v>384</v>
      </c>
      <c r="N543" s="1058">
        <v>0</v>
      </c>
      <c r="O543" s="1057">
        <v>0</v>
      </c>
      <c r="P543" s="1059">
        <f t="shared" si="20"/>
        <v>384</v>
      </c>
      <c r="Q543" s="1057"/>
      <c r="R543" s="1058">
        <v>20626</v>
      </c>
      <c r="S543" s="1057">
        <v>4580</v>
      </c>
      <c r="T543" s="1060">
        <v>25206</v>
      </c>
    </row>
    <row r="544" spans="1:20" x14ac:dyDescent="0.25">
      <c r="A544" s="1054">
        <v>95901</v>
      </c>
      <c r="B544" s="1055" t="s">
        <v>3095</v>
      </c>
      <c r="C544" s="1056">
        <v>1.9158000000000001E-3</v>
      </c>
      <c r="D544" s="1056">
        <v>1.8714999999999999E-3</v>
      </c>
      <c r="E544" s="1057">
        <v>4544933</v>
      </c>
      <c r="F544" s="1057" t="s">
        <v>187</v>
      </c>
      <c r="G544" s="1058">
        <v>701175</v>
      </c>
      <c r="H544" s="1059">
        <v>623884</v>
      </c>
      <c r="I544" s="1058">
        <v>1206050</v>
      </c>
      <c r="J544" s="1057">
        <v>4319</v>
      </c>
      <c r="K544" s="1059">
        <f t="shared" si="19"/>
        <v>2535428</v>
      </c>
      <c r="L544" s="1057"/>
      <c r="M544" s="1058">
        <v>23528</v>
      </c>
      <c r="N544" s="1058">
        <v>0</v>
      </c>
      <c r="O544" s="1057">
        <v>11578</v>
      </c>
      <c r="P544" s="1059">
        <f t="shared" si="20"/>
        <v>35106</v>
      </c>
      <c r="Q544" s="1057"/>
      <c r="R544" s="1058">
        <v>1262460</v>
      </c>
      <c r="S544" s="1057">
        <v>27562</v>
      </c>
      <c r="T544" s="1060">
        <v>1290022</v>
      </c>
    </row>
    <row r="545" spans="1:20" x14ac:dyDescent="0.25">
      <c r="A545" s="1054">
        <v>95908</v>
      </c>
      <c r="B545" s="1055" t="s">
        <v>3096</v>
      </c>
      <c r="C545" s="1056">
        <v>6.1099999999999994E-5</v>
      </c>
      <c r="D545" s="1056">
        <v>7.2200000000000007E-5</v>
      </c>
      <c r="E545" s="1057">
        <v>144950</v>
      </c>
      <c r="F545" s="1057" t="s">
        <v>187</v>
      </c>
      <c r="G545" s="1058">
        <v>22362</v>
      </c>
      <c r="H545" s="1059">
        <v>19898</v>
      </c>
      <c r="I545" s="1058">
        <v>38464</v>
      </c>
      <c r="J545" s="1057">
        <v>0</v>
      </c>
      <c r="K545" s="1059">
        <f t="shared" si="19"/>
        <v>80724</v>
      </c>
      <c r="L545" s="1057"/>
      <c r="M545" s="1058">
        <v>750</v>
      </c>
      <c r="N545" s="1058">
        <v>0</v>
      </c>
      <c r="O545" s="1057">
        <v>21950</v>
      </c>
      <c r="P545" s="1059">
        <f t="shared" si="20"/>
        <v>22700</v>
      </c>
      <c r="Q545" s="1057"/>
      <c r="R545" s="1058">
        <v>40263</v>
      </c>
      <c r="S545" s="1057">
        <v>-13336</v>
      </c>
      <c r="T545" s="1060">
        <v>26927</v>
      </c>
    </row>
    <row r="546" spans="1:20" x14ac:dyDescent="0.25">
      <c r="A546" s="1054">
        <v>95911</v>
      </c>
      <c r="B546" s="1055" t="s">
        <v>4207</v>
      </c>
      <c r="C546" s="1056">
        <v>5.576E-4</v>
      </c>
      <c r="D546" s="1056">
        <v>5.7450000000000003E-4</v>
      </c>
      <c r="E546" s="1057">
        <v>1322818</v>
      </c>
      <c r="F546" s="1057" t="s">
        <v>187</v>
      </c>
      <c r="G546" s="1058">
        <v>204079</v>
      </c>
      <c r="H546" s="1059">
        <v>181583</v>
      </c>
      <c r="I546" s="1058">
        <v>351025</v>
      </c>
      <c r="J546" s="1057">
        <v>1306</v>
      </c>
      <c r="K546" s="1059">
        <f t="shared" si="19"/>
        <v>737993</v>
      </c>
      <c r="L546" s="1057"/>
      <c r="M546" s="1058">
        <v>6848</v>
      </c>
      <c r="N546" s="1058">
        <v>0</v>
      </c>
      <c r="O546" s="1057">
        <v>50349</v>
      </c>
      <c r="P546" s="1059">
        <f t="shared" si="20"/>
        <v>57197</v>
      </c>
      <c r="Q546" s="1057"/>
      <c r="R546" s="1058">
        <v>367443</v>
      </c>
      <c r="S546" s="1057">
        <v>-20293</v>
      </c>
      <c r="T546" s="1060">
        <v>347150</v>
      </c>
    </row>
    <row r="547" spans="1:20" x14ac:dyDescent="0.25">
      <c r="A547" s="1054">
        <v>95917</v>
      </c>
      <c r="B547" s="1055" t="s">
        <v>3098</v>
      </c>
      <c r="C547" s="1056">
        <v>2.05E-5</v>
      </c>
      <c r="D547" s="1056">
        <v>2.6699999999999998E-5</v>
      </c>
      <c r="E547" s="1057">
        <v>48633</v>
      </c>
      <c r="F547" s="1057" t="s">
        <v>187</v>
      </c>
      <c r="G547" s="1058">
        <v>7503</v>
      </c>
      <c r="H547" s="1059">
        <v>6676</v>
      </c>
      <c r="I547" s="1058">
        <v>12905</v>
      </c>
      <c r="J547" s="1057">
        <v>1999</v>
      </c>
      <c r="K547" s="1059">
        <f t="shared" si="19"/>
        <v>29083</v>
      </c>
      <c r="L547" s="1057"/>
      <c r="M547" s="1058">
        <v>252</v>
      </c>
      <c r="N547" s="1058">
        <v>0</v>
      </c>
      <c r="O547" s="1057">
        <v>3512</v>
      </c>
      <c r="P547" s="1059">
        <f t="shared" si="20"/>
        <v>3764</v>
      </c>
      <c r="Q547" s="1057"/>
      <c r="R547" s="1058">
        <v>13509</v>
      </c>
      <c r="S547" s="1057">
        <v>1407</v>
      </c>
      <c r="T547" s="1060">
        <v>14916</v>
      </c>
    </row>
    <row r="548" spans="1:20" x14ac:dyDescent="0.25">
      <c r="A548" s="1054">
        <v>95921</v>
      </c>
      <c r="B548" s="1055" t="s">
        <v>4208</v>
      </c>
      <c r="C548" s="1056">
        <v>4.9799999999999998E-5</v>
      </c>
      <c r="D548" s="1056">
        <v>4.7500000000000003E-5</v>
      </c>
      <c r="E548" s="1057">
        <v>118143</v>
      </c>
      <c r="F548" s="1057" t="s">
        <v>187</v>
      </c>
      <c r="G548" s="1058">
        <v>18227</v>
      </c>
      <c r="H548" s="1059">
        <v>16217</v>
      </c>
      <c r="I548" s="1058">
        <v>31350</v>
      </c>
      <c r="J548" s="1057">
        <v>4597</v>
      </c>
      <c r="K548" s="1059">
        <f t="shared" si="19"/>
        <v>70391</v>
      </c>
      <c r="L548" s="1057"/>
      <c r="M548" s="1058">
        <v>612</v>
      </c>
      <c r="N548" s="1058">
        <v>0</v>
      </c>
      <c r="O548" s="1057">
        <v>0</v>
      </c>
      <c r="P548" s="1059">
        <f t="shared" si="20"/>
        <v>612</v>
      </c>
      <c r="Q548" s="1057"/>
      <c r="R548" s="1058">
        <v>32817</v>
      </c>
      <c r="S548" s="1057">
        <v>1077</v>
      </c>
      <c r="T548" s="1060">
        <v>33894</v>
      </c>
    </row>
    <row r="549" spans="1:20" x14ac:dyDescent="0.25">
      <c r="A549" s="1054">
        <v>96001</v>
      </c>
      <c r="B549" s="1055" t="s">
        <v>3100</v>
      </c>
      <c r="C549" s="1056">
        <v>4.3840400000000002E-2</v>
      </c>
      <c r="D549" s="1056">
        <v>4.4386399999999999E-2</v>
      </c>
      <c r="E549" s="1057">
        <v>104004422</v>
      </c>
      <c r="F549" s="1057" t="s">
        <v>187</v>
      </c>
      <c r="G549" s="1058">
        <v>16045411</v>
      </c>
      <c r="H549" s="1059">
        <v>14276714</v>
      </c>
      <c r="I549" s="1058">
        <v>27598759</v>
      </c>
      <c r="J549" s="1057">
        <v>120257</v>
      </c>
      <c r="K549" s="1059">
        <f t="shared" si="19"/>
        <v>58041141</v>
      </c>
      <c r="L549" s="1057"/>
      <c r="M549" s="1058">
        <v>538404</v>
      </c>
      <c r="N549" s="1058">
        <v>0</v>
      </c>
      <c r="O549" s="1057">
        <v>696147</v>
      </c>
      <c r="P549" s="1059">
        <f t="shared" si="20"/>
        <v>1234551</v>
      </c>
      <c r="Q549" s="1057"/>
      <c r="R549" s="1058">
        <v>28889640</v>
      </c>
      <c r="S549" s="1057">
        <v>1107085</v>
      </c>
      <c r="T549" s="1060">
        <v>29996725</v>
      </c>
    </row>
    <row r="550" spans="1:20" x14ac:dyDescent="0.25">
      <c r="A550" s="1054">
        <v>96003</v>
      </c>
      <c r="B550" s="1055" t="s">
        <v>3101</v>
      </c>
      <c r="C550" s="1056">
        <v>1.6191999999999999E-3</v>
      </c>
      <c r="D550" s="1056">
        <v>1.6523E-3</v>
      </c>
      <c r="E550" s="1057">
        <v>3841296</v>
      </c>
      <c r="F550" s="1057" t="s">
        <v>187</v>
      </c>
      <c r="G550" s="1058">
        <v>592621</v>
      </c>
      <c r="H550" s="1059">
        <v>527296</v>
      </c>
      <c r="I550" s="1058">
        <v>1019332</v>
      </c>
      <c r="J550" s="1057">
        <v>1392</v>
      </c>
      <c r="K550" s="1059">
        <f t="shared" si="19"/>
        <v>2140641</v>
      </c>
      <c r="L550" s="1057"/>
      <c r="M550" s="1058">
        <v>19885</v>
      </c>
      <c r="N550" s="1058">
        <v>0</v>
      </c>
      <c r="O550" s="1057">
        <v>162038</v>
      </c>
      <c r="P550" s="1059">
        <f t="shared" si="20"/>
        <v>181923</v>
      </c>
      <c r="Q550" s="1057"/>
      <c r="R550" s="1058">
        <v>1067009</v>
      </c>
      <c r="S550" s="1057">
        <v>-76658</v>
      </c>
      <c r="T550" s="1060">
        <v>990351</v>
      </c>
    </row>
    <row r="551" spans="1:20" x14ac:dyDescent="0.25">
      <c r="A551" s="1054">
        <v>96004</v>
      </c>
      <c r="B551" s="1055" t="s">
        <v>3102</v>
      </c>
      <c r="C551" s="1056">
        <v>9.0419999999999997E-4</v>
      </c>
      <c r="D551" s="1056">
        <v>8.9439999999999995E-4</v>
      </c>
      <c r="E551" s="1057">
        <v>2145072</v>
      </c>
      <c r="F551" s="1057" t="s">
        <v>187</v>
      </c>
      <c r="G551" s="1058">
        <v>330934</v>
      </c>
      <c r="H551" s="1059">
        <v>294454</v>
      </c>
      <c r="I551" s="1058">
        <v>569219</v>
      </c>
      <c r="J551" s="1057">
        <v>137510</v>
      </c>
      <c r="K551" s="1059">
        <f t="shared" si="19"/>
        <v>1332117</v>
      </c>
      <c r="L551" s="1057"/>
      <c r="M551" s="1058">
        <v>11104</v>
      </c>
      <c r="N551" s="1058">
        <v>0</v>
      </c>
      <c r="O551" s="1057">
        <v>0</v>
      </c>
      <c r="P551" s="1059">
        <f t="shared" si="20"/>
        <v>11104</v>
      </c>
      <c r="Q551" s="1057"/>
      <c r="R551" s="1058">
        <v>595843</v>
      </c>
      <c r="S551" s="1057">
        <v>78642</v>
      </c>
      <c r="T551" s="1060">
        <v>674485</v>
      </c>
    </row>
    <row r="552" spans="1:20" x14ac:dyDescent="0.25">
      <c r="A552" s="1054">
        <v>96005</v>
      </c>
      <c r="B552" s="1055" t="s">
        <v>3103</v>
      </c>
      <c r="C552" s="1056">
        <v>2.6172999999999999E-3</v>
      </c>
      <c r="D552" s="1056">
        <v>2.6733999999999998E-3</v>
      </c>
      <c r="E552" s="1057">
        <v>6209131</v>
      </c>
      <c r="F552" s="1057" t="s">
        <v>187</v>
      </c>
      <c r="G552" s="1058">
        <v>957921</v>
      </c>
      <c r="H552" s="1059">
        <v>852329</v>
      </c>
      <c r="I552" s="1058">
        <v>1647664</v>
      </c>
      <c r="J552" s="1057">
        <v>64243</v>
      </c>
      <c r="K552" s="1059">
        <f t="shared" si="19"/>
        <v>3522157</v>
      </c>
      <c r="L552" s="1057"/>
      <c r="M552" s="1058">
        <v>32143</v>
      </c>
      <c r="N552" s="1058">
        <v>0</v>
      </c>
      <c r="O552" s="1057">
        <v>8878</v>
      </c>
      <c r="P552" s="1059">
        <f t="shared" si="20"/>
        <v>41021</v>
      </c>
      <c r="Q552" s="1057"/>
      <c r="R552" s="1058">
        <v>1724730</v>
      </c>
      <c r="S552" s="1057">
        <v>155823</v>
      </c>
      <c r="T552" s="1060">
        <v>1880553</v>
      </c>
    </row>
    <row r="553" spans="1:20" x14ac:dyDescent="0.25">
      <c r="A553" s="1054">
        <v>96008</v>
      </c>
      <c r="B553" s="1055" t="s">
        <v>3104</v>
      </c>
      <c r="C553" s="1056">
        <v>6.1884000000000002E-3</v>
      </c>
      <c r="D553" s="1056">
        <v>5.9955E-3</v>
      </c>
      <c r="E553" s="1057">
        <v>14681001</v>
      </c>
      <c r="F553" s="1057" t="s">
        <v>187</v>
      </c>
      <c r="G553" s="1058">
        <v>2264930</v>
      </c>
      <c r="H553" s="1059">
        <v>2015265</v>
      </c>
      <c r="I553" s="1058">
        <v>3895771</v>
      </c>
      <c r="J553" s="1057">
        <v>0</v>
      </c>
      <c r="K553" s="1059">
        <f t="shared" si="19"/>
        <v>8175966</v>
      </c>
      <c r="L553" s="1057"/>
      <c r="M553" s="1058">
        <v>76000</v>
      </c>
      <c r="N553" s="1058">
        <v>0</v>
      </c>
      <c r="O553" s="1057">
        <v>922165</v>
      </c>
      <c r="P553" s="1059">
        <f t="shared" si="20"/>
        <v>998165</v>
      </c>
      <c r="Q553" s="1057"/>
      <c r="R553" s="1058">
        <v>4077989</v>
      </c>
      <c r="S553" s="1057">
        <v>-381090</v>
      </c>
      <c r="T553" s="1060">
        <v>3696899</v>
      </c>
    </row>
    <row r="554" spans="1:20" x14ac:dyDescent="0.25">
      <c r="A554" s="1054">
        <v>96009</v>
      </c>
      <c r="B554" s="1055" t="s">
        <v>3105</v>
      </c>
      <c r="C554" s="1056">
        <v>3.8460000000000002E-4</v>
      </c>
      <c r="D554" s="1056">
        <v>3.7609999999999998E-4</v>
      </c>
      <c r="E554" s="1057">
        <v>912403</v>
      </c>
      <c r="F554" s="1057" t="s">
        <v>187</v>
      </c>
      <c r="G554" s="1058">
        <v>140762</v>
      </c>
      <c r="H554" s="1059">
        <v>125246</v>
      </c>
      <c r="I554" s="1058">
        <v>242116</v>
      </c>
      <c r="J554" s="1057">
        <v>46887</v>
      </c>
      <c r="K554" s="1059">
        <f t="shared" si="19"/>
        <v>555011</v>
      </c>
      <c r="L554" s="1057"/>
      <c r="M554" s="1058">
        <v>4723</v>
      </c>
      <c r="N554" s="1058">
        <v>0</v>
      </c>
      <c r="O554" s="1057">
        <v>1687</v>
      </c>
      <c r="P554" s="1059">
        <f t="shared" si="20"/>
        <v>6410</v>
      </c>
      <c r="Q554" s="1057"/>
      <c r="R554" s="1058">
        <v>253441</v>
      </c>
      <c r="S554" s="1057">
        <v>17980</v>
      </c>
      <c r="T554" s="1060">
        <v>271421</v>
      </c>
    </row>
    <row r="555" spans="1:20" x14ac:dyDescent="0.25">
      <c r="A555" s="1054">
        <v>96011</v>
      </c>
      <c r="B555" s="1055" t="s">
        <v>3106</v>
      </c>
      <c r="C555" s="1056">
        <v>6.2526600000000002E-2</v>
      </c>
      <c r="D555" s="1056">
        <v>6.1150400000000001E-2</v>
      </c>
      <c r="E555" s="1057">
        <v>148334479</v>
      </c>
      <c r="F555" s="1057" t="s">
        <v>187</v>
      </c>
      <c r="G555" s="1058">
        <v>22884485</v>
      </c>
      <c r="H555" s="1059">
        <v>20361912</v>
      </c>
      <c r="I555" s="1058">
        <v>39362245</v>
      </c>
      <c r="J555" s="1057">
        <v>1462569</v>
      </c>
      <c r="K555" s="1059">
        <f t="shared" si="19"/>
        <v>84071211</v>
      </c>
      <c r="L555" s="1057"/>
      <c r="M555" s="1058">
        <v>767889</v>
      </c>
      <c r="N555" s="1058">
        <v>0</v>
      </c>
      <c r="O555" s="1057">
        <v>32612</v>
      </c>
      <c r="P555" s="1059">
        <f t="shared" si="20"/>
        <v>800501</v>
      </c>
      <c r="Q555" s="1057"/>
      <c r="R555" s="1058">
        <v>41203341</v>
      </c>
      <c r="S555" s="1057">
        <v>436963</v>
      </c>
      <c r="T555" s="1060">
        <v>41640304</v>
      </c>
    </row>
    <row r="556" spans="1:20" x14ac:dyDescent="0.25">
      <c r="A556" s="1054">
        <v>96012</v>
      </c>
      <c r="B556" s="1055" t="s">
        <v>3107</v>
      </c>
      <c r="C556" s="1056">
        <v>2.5303000000000001E-3</v>
      </c>
      <c r="D556" s="1056">
        <v>2.4417000000000002E-3</v>
      </c>
      <c r="E556" s="1057">
        <v>6002737</v>
      </c>
      <c r="F556" s="1057" t="s">
        <v>187</v>
      </c>
      <c r="G556" s="1058">
        <v>926080</v>
      </c>
      <c r="H556" s="1059">
        <v>823997</v>
      </c>
      <c r="I556" s="1058">
        <v>1592895</v>
      </c>
      <c r="J556" s="1057">
        <v>95917</v>
      </c>
      <c r="K556" s="1059">
        <f t="shared" si="19"/>
        <v>3438889</v>
      </c>
      <c r="L556" s="1057"/>
      <c r="M556" s="1058">
        <v>31075</v>
      </c>
      <c r="N556" s="1058">
        <v>0</v>
      </c>
      <c r="O556" s="1057">
        <v>703</v>
      </c>
      <c r="P556" s="1059">
        <f t="shared" si="20"/>
        <v>31778</v>
      </c>
      <c r="Q556" s="1057"/>
      <c r="R556" s="1058">
        <v>1667399</v>
      </c>
      <c r="S556" s="1057">
        <v>49156</v>
      </c>
      <c r="T556" s="1060">
        <v>1716555</v>
      </c>
    </row>
    <row r="557" spans="1:20" x14ac:dyDescent="0.25">
      <c r="A557" s="1054">
        <v>96018</v>
      </c>
      <c r="B557" s="1055" t="s">
        <v>3108</v>
      </c>
      <c r="C557" s="1056">
        <v>4.5000000000000003E-5</v>
      </c>
      <c r="D557" s="1056">
        <v>4.3600000000000003E-5</v>
      </c>
      <c r="E557" s="1057">
        <v>106755</v>
      </c>
      <c r="F557" s="1057" t="s">
        <v>187</v>
      </c>
      <c r="G557" s="1058">
        <v>16470</v>
      </c>
      <c r="H557" s="1059">
        <v>14654</v>
      </c>
      <c r="I557" s="1058">
        <v>28329</v>
      </c>
      <c r="J557" s="1057">
        <v>3865</v>
      </c>
      <c r="K557" s="1059">
        <f t="shared" si="19"/>
        <v>63318</v>
      </c>
      <c r="L557" s="1057"/>
      <c r="M557" s="1058">
        <v>553</v>
      </c>
      <c r="N557" s="1058">
        <v>0</v>
      </c>
      <c r="O557" s="1057">
        <v>0</v>
      </c>
      <c r="P557" s="1059">
        <f t="shared" si="20"/>
        <v>553</v>
      </c>
      <c r="Q557" s="1057"/>
      <c r="R557" s="1058">
        <v>29654</v>
      </c>
      <c r="S557" s="1057">
        <v>5885</v>
      </c>
      <c r="T557" s="1060">
        <v>35539</v>
      </c>
    </row>
    <row r="558" spans="1:20" x14ac:dyDescent="0.25">
      <c r="A558" s="1054">
        <v>96021</v>
      </c>
      <c r="B558" s="1055" t="s">
        <v>4209</v>
      </c>
      <c r="C558" s="1056">
        <v>7.3760000000000004E-4</v>
      </c>
      <c r="D558" s="1056">
        <v>7.2090000000000001E-4</v>
      </c>
      <c r="E558" s="1057">
        <v>1749839</v>
      </c>
      <c r="F558" s="1057" t="s">
        <v>187</v>
      </c>
      <c r="G558" s="1058">
        <v>269959</v>
      </c>
      <c r="H558" s="1059">
        <v>240200</v>
      </c>
      <c r="I558" s="1058">
        <v>464340</v>
      </c>
      <c r="J558" s="1057">
        <v>15203</v>
      </c>
      <c r="K558" s="1059">
        <f t="shared" si="19"/>
        <v>989702</v>
      </c>
      <c r="L558" s="1057"/>
      <c r="M558" s="1058">
        <v>9058</v>
      </c>
      <c r="N558" s="1058">
        <v>0</v>
      </c>
      <c r="O558" s="1057">
        <v>87034</v>
      </c>
      <c r="P558" s="1059">
        <f t="shared" si="20"/>
        <v>96092</v>
      </c>
      <c r="Q558" s="1057"/>
      <c r="R558" s="1058">
        <v>486058</v>
      </c>
      <c r="S558" s="1057">
        <v>-13480</v>
      </c>
      <c r="T558" s="1060">
        <v>472578</v>
      </c>
    </row>
    <row r="559" spans="1:20" x14ac:dyDescent="0.25">
      <c r="A559" s="1054">
        <v>96031</v>
      </c>
      <c r="B559" s="1055" t="s">
        <v>4210</v>
      </c>
      <c r="C559" s="1056">
        <v>8.5170000000000005E-4</v>
      </c>
      <c r="D559" s="1056">
        <v>8.2580000000000001E-4</v>
      </c>
      <c r="E559" s="1057">
        <v>2020524</v>
      </c>
      <c r="F559" s="1057" t="s">
        <v>187</v>
      </c>
      <c r="G559" s="1058">
        <v>311719</v>
      </c>
      <c r="H559" s="1059">
        <v>277358</v>
      </c>
      <c r="I559" s="1058">
        <v>536169</v>
      </c>
      <c r="J559" s="1057">
        <v>0</v>
      </c>
      <c r="K559" s="1059">
        <f t="shared" si="19"/>
        <v>1125246</v>
      </c>
      <c r="L559" s="1057"/>
      <c r="M559" s="1058">
        <v>10460</v>
      </c>
      <c r="N559" s="1058">
        <v>0</v>
      </c>
      <c r="O559" s="1057">
        <v>145457</v>
      </c>
      <c r="P559" s="1059">
        <f t="shared" si="20"/>
        <v>155917</v>
      </c>
      <c r="Q559" s="1057"/>
      <c r="R559" s="1058">
        <v>561247</v>
      </c>
      <c r="S559" s="1057">
        <v>-84382</v>
      </c>
      <c r="T559" s="1060">
        <v>476865</v>
      </c>
    </row>
    <row r="560" spans="1:20" x14ac:dyDescent="0.25">
      <c r="A560" s="1054">
        <v>96041</v>
      </c>
      <c r="B560" s="1055" t="s">
        <v>4211</v>
      </c>
      <c r="C560" s="1056">
        <v>1.7003999999999999E-3</v>
      </c>
      <c r="D560" s="1056">
        <v>1.7361E-3</v>
      </c>
      <c r="E560" s="1057">
        <v>4033930</v>
      </c>
      <c r="F560" s="1057" t="s">
        <v>187</v>
      </c>
      <c r="G560" s="1058">
        <v>622340</v>
      </c>
      <c r="H560" s="1059">
        <v>553738</v>
      </c>
      <c r="I560" s="1058">
        <v>1070449</v>
      </c>
      <c r="J560" s="1057">
        <v>0</v>
      </c>
      <c r="K560" s="1059">
        <f t="shared" si="19"/>
        <v>2246527</v>
      </c>
      <c r="L560" s="1057"/>
      <c r="M560" s="1058">
        <v>20883</v>
      </c>
      <c r="N560" s="1058">
        <v>0</v>
      </c>
      <c r="O560" s="1057">
        <v>162463</v>
      </c>
      <c r="P560" s="1059">
        <f t="shared" si="20"/>
        <v>183346</v>
      </c>
      <c r="Q560" s="1057"/>
      <c r="R560" s="1058">
        <v>1120518</v>
      </c>
      <c r="S560" s="1057">
        <v>-80644</v>
      </c>
      <c r="T560" s="1060">
        <v>1039874</v>
      </c>
    </row>
    <row r="561" spans="1:20" x14ac:dyDescent="0.25">
      <c r="A561" s="1054">
        <v>96051</v>
      </c>
      <c r="B561" s="1055" t="s">
        <v>4212</v>
      </c>
      <c r="C561" s="1056">
        <v>1.042E-3</v>
      </c>
      <c r="D561" s="1056">
        <v>1.0062000000000001E-3</v>
      </c>
      <c r="E561" s="1057">
        <v>2471980</v>
      </c>
      <c r="F561" s="1057" t="s">
        <v>187</v>
      </c>
      <c r="G561" s="1058">
        <v>381368</v>
      </c>
      <c r="H561" s="1059">
        <v>339329</v>
      </c>
      <c r="I561" s="1058">
        <v>655968</v>
      </c>
      <c r="J561" s="1057">
        <v>0</v>
      </c>
      <c r="K561" s="1059">
        <f t="shared" si="19"/>
        <v>1376665</v>
      </c>
      <c r="L561" s="1057"/>
      <c r="M561" s="1058">
        <v>12797</v>
      </c>
      <c r="N561" s="1058">
        <v>0</v>
      </c>
      <c r="O561" s="1057">
        <v>89308</v>
      </c>
      <c r="P561" s="1059">
        <f t="shared" si="20"/>
        <v>102105</v>
      </c>
      <c r="Q561" s="1057"/>
      <c r="R561" s="1058">
        <v>686650</v>
      </c>
      <c r="S561" s="1057">
        <v>-50724</v>
      </c>
      <c r="T561" s="1060">
        <v>635926</v>
      </c>
    </row>
    <row r="562" spans="1:20" x14ac:dyDescent="0.25">
      <c r="A562" s="1054">
        <v>96061</v>
      </c>
      <c r="B562" s="1055" t="s">
        <v>4213</v>
      </c>
      <c r="C562" s="1056">
        <v>3.1559999999999997E-4</v>
      </c>
      <c r="D562" s="1056">
        <v>3.3950000000000001E-4</v>
      </c>
      <c r="E562" s="1057">
        <v>748711</v>
      </c>
      <c r="F562" s="1057" t="s">
        <v>187</v>
      </c>
      <c r="G562" s="1058">
        <v>115508</v>
      </c>
      <c r="H562" s="1059">
        <v>102775</v>
      </c>
      <c r="I562" s="1058">
        <v>198679</v>
      </c>
      <c r="J562" s="1057">
        <v>15967</v>
      </c>
      <c r="K562" s="1059">
        <f t="shared" si="19"/>
        <v>432929</v>
      </c>
      <c r="L562" s="1057"/>
      <c r="M562" s="1058">
        <v>3876</v>
      </c>
      <c r="N562" s="1058">
        <v>0</v>
      </c>
      <c r="O562" s="1057">
        <v>13815</v>
      </c>
      <c r="P562" s="1059">
        <f t="shared" si="20"/>
        <v>17691</v>
      </c>
      <c r="Q562" s="1057"/>
      <c r="R562" s="1058">
        <v>207972</v>
      </c>
      <c r="S562" s="1057">
        <v>-246</v>
      </c>
      <c r="T562" s="1060">
        <v>207726</v>
      </c>
    </row>
    <row r="563" spans="1:20" x14ac:dyDescent="0.25">
      <c r="A563" s="1054">
        <v>96071</v>
      </c>
      <c r="B563" s="1055" t="s">
        <v>4214</v>
      </c>
      <c r="C563" s="1056">
        <v>1.1751000000000001E-3</v>
      </c>
      <c r="D563" s="1056">
        <v>1.1367E-3</v>
      </c>
      <c r="E563" s="1057">
        <v>2787739</v>
      </c>
      <c r="F563" s="1057" t="s">
        <v>187</v>
      </c>
      <c r="G563" s="1058">
        <v>430082</v>
      </c>
      <c r="H563" s="1059">
        <v>382674</v>
      </c>
      <c r="I563" s="1058">
        <v>739758</v>
      </c>
      <c r="J563" s="1057">
        <v>90687</v>
      </c>
      <c r="K563" s="1059">
        <f t="shared" si="19"/>
        <v>1643201</v>
      </c>
      <c r="L563" s="1057"/>
      <c r="M563" s="1058">
        <v>14431</v>
      </c>
      <c r="N563" s="1058">
        <v>0</v>
      </c>
      <c r="O563" s="1057">
        <v>39863</v>
      </c>
      <c r="P563" s="1059">
        <f t="shared" si="20"/>
        <v>54294</v>
      </c>
      <c r="Q563" s="1057"/>
      <c r="R563" s="1058">
        <v>774359</v>
      </c>
      <c r="S563" s="1057">
        <v>10914</v>
      </c>
      <c r="T563" s="1060">
        <v>785273</v>
      </c>
    </row>
    <row r="564" spans="1:20" x14ac:dyDescent="0.25">
      <c r="A564" s="1054">
        <v>96081</v>
      </c>
      <c r="B564" s="1055" t="s">
        <v>4215</v>
      </c>
      <c r="C564" s="1056">
        <v>5.4920000000000001E-4</v>
      </c>
      <c r="D564" s="1056">
        <v>5.0900000000000001E-4</v>
      </c>
      <c r="E564" s="1057">
        <v>1302890</v>
      </c>
      <c r="F564" s="1057" t="s">
        <v>187</v>
      </c>
      <c r="G564" s="1058">
        <v>201005</v>
      </c>
      <c r="H564" s="1059">
        <v>178848</v>
      </c>
      <c r="I564" s="1058">
        <v>345737</v>
      </c>
      <c r="J564" s="1057">
        <v>10068</v>
      </c>
      <c r="K564" s="1059">
        <f t="shared" si="19"/>
        <v>735658</v>
      </c>
      <c r="L564" s="1057"/>
      <c r="M564" s="1058">
        <v>6745</v>
      </c>
      <c r="N564" s="1058">
        <v>0</v>
      </c>
      <c r="O564" s="1057">
        <v>1853</v>
      </c>
      <c r="P564" s="1059">
        <f t="shared" si="20"/>
        <v>8598</v>
      </c>
      <c r="Q564" s="1057"/>
      <c r="R564" s="1058">
        <v>361908</v>
      </c>
      <c r="S564" s="1057">
        <v>6768</v>
      </c>
      <c r="T564" s="1060">
        <v>368676</v>
      </c>
    </row>
    <row r="565" spans="1:20" x14ac:dyDescent="0.25">
      <c r="A565" s="1054">
        <v>96101</v>
      </c>
      <c r="B565" s="1055" t="s">
        <v>3116</v>
      </c>
      <c r="C565" s="1056">
        <v>7.9739999999999998E-4</v>
      </c>
      <c r="D565" s="1056">
        <v>7.6749999999999995E-4</v>
      </c>
      <c r="E565" s="1057">
        <v>1891706</v>
      </c>
      <c r="F565" s="1057" t="s">
        <v>187</v>
      </c>
      <c r="G565" s="1058">
        <v>291845</v>
      </c>
      <c r="H565" s="1059">
        <v>259675</v>
      </c>
      <c r="I565" s="1058">
        <v>501986</v>
      </c>
      <c r="J565" s="1057">
        <v>54889</v>
      </c>
      <c r="K565" s="1059">
        <f t="shared" si="19"/>
        <v>1108395</v>
      </c>
      <c r="L565" s="1057"/>
      <c r="M565" s="1058">
        <v>9793</v>
      </c>
      <c r="N565" s="1058">
        <v>0</v>
      </c>
      <c r="O565" s="1057">
        <v>2275</v>
      </c>
      <c r="P565" s="1059">
        <f t="shared" si="20"/>
        <v>12068</v>
      </c>
      <c r="Q565" s="1057"/>
      <c r="R565" s="1058">
        <v>525465</v>
      </c>
      <c r="S565" s="1057">
        <v>25672</v>
      </c>
      <c r="T565" s="1060">
        <v>551137</v>
      </c>
    </row>
    <row r="566" spans="1:20" x14ac:dyDescent="0.25">
      <c r="A566" s="1054">
        <v>96102</v>
      </c>
      <c r="B566" s="1055" t="s">
        <v>3117</v>
      </c>
      <c r="C566" s="1056">
        <v>1.2999999999999999E-5</v>
      </c>
      <c r="D566" s="1056">
        <v>1.36E-5</v>
      </c>
      <c r="E566" s="1057">
        <v>30840</v>
      </c>
      <c r="F566" s="1057" t="s">
        <v>187</v>
      </c>
      <c r="G566" s="1058">
        <v>4758</v>
      </c>
      <c r="H566" s="1059">
        <v>4233</v>
      </c>
      <c r="I566" s="1058">
        <v>8184</v>
      </c>
      <c r="J566" s="1057">
        <v>0</v>
      </c>
      <c r="K566" s="1059">
        <f t="shared" si="19"/>
        <v>17175</v>
      </c>
      <c r="L566" s="1057"/>
      <c r="M566" s="1058">
        <v>160</v>
      </c>
      <c r="N566" s="1058">
        <v>0</v>
      </c>
      <c r="O566" s="1057">
        <v>3870</v>
      </c>
      <c r="P566" s="1059">
        <f t="shared" si="20"/>
        <v>4030</v>
      </c>
      <c r="Q566" s="1057"/>
      <c r="R566" s="1058">
        <v>8567</v>
      </c>
      <c r="S566" s="1057">
        <v>-1972</v>
      </c>
      <c r="T566" s="1060">
        <v>6595</v>
      </c>
    </row>
    <row r="567" spans="1:20" x14ac:dyDescent="0.25">
      <c r="A567" s="1054">
        <v>96111</v>
      </c>
      <c r="B567" s="1055" t="s">
        <v>4216</v>
      </c>
      <c r="C567" s="1056">
        <v>1.47E-4</v>
      </c>
      <c r="D567" s="1056">
        <v>1.5349999999999999E-4</v>
      </c>
      <c r="E567" s="1057">
        <v>348734</v>
      </c>
      <c r="F567" s="1057" t="s">
        <v>187</v>
      </c>
      <c r="G567" s="1058">
        <v>53801</v>
      </c>
      <c r="H567" s="1059">
        <v>47871</v>
      </c>
      <c r="I567" s="1058">
        <v>92541</v>
      </c>
      <c r="J567" s="1057">
        <v>11049</v>
      </c>
      <c r="K567" s="1059">
        <f t="shared" si="19"/>
        <v>205262</v>
      </c>
      <c r="L567" s="1057"/>
      <c r="M567" s="1058">
        <v>1805</v>
      </c>
      <c r="N567" s="1058">
        <v>0</v>
      </c>
      <c r="O567" s="1057">
        <v>1261</v>
      </c>
      <c r="P567" s="1059">
        <f t="shared" si="20"/>
        <v>3066</v>
      </c>
      <c r="Q567" s="1057"/>
      <c r="R567" s="1058">
        <v>96869</v>
      </c>
      <c r="S567" s="1057">
        <v>8891</v>
      </c>
      <c r="T567" s="1060">
        <v>105760</v>
      </c>
    </row>
    <row r="568" spans="1:20" x14ac:dyDescent="0.25">
      <c r="A568" s="1054">
        <v>96121</v>
      </c>
      <c r="B568" s="1055" t="s">
        <v>4217</v>
      </c>
      <c r="C568" s="1056">
        <v>2.1699999999999999E-5</v>
      </c>
      <c r="D568" s="1056">
        <v>2.2500000000000001E-5</v>
      </c>
      <c r="E568" s="1057">
        <v>51480</v>
      </c>
      <c r="F568" s="1057" t="s">
        <v>187</v>
      </c>
      <c r="G568" s="1058">
        <v>7942</v>
      </c>
      <c r="H568" s="1059">
        <v>7067</v>
      </c>
      <c r="I568" s="1058">
        <v>13661</v>
      </c>
      <c r="J568" s="1057">
        <v>258</v>
      </c>
      <c r="K568" s="1059">
        <f t="shared" si="19"/>
        <v>28928</v>
      </c>
      <c r="L568" s="1057"/>
      <c r="M568" s="1058">
        <v>266</v>
      </c>
      <c r="N568" s="1058">
        <v>0</v>
      </c>
      <c r="O568" s="1057">
        <v>2114</v>
      </c>
      <c r="P568" s="1059">
        <f t="shared" si="20"/>
        <v>2380</v>
      </c>
      <c r="Q568" s="1057"/>
      <c r="R568" s="1058">
        <v>14300</v>
      </c>
      <c r="S568" s="1057">
        <v>-1295</v>
      </c>
      <c r="T568" s="1060">
        <v>13005</v>
      </c>
    </row>
    <row r="569" spans="1:20" x14ac:dyDescent="0.25">
      <c r="A569" s="1054">
        <v>96201</v>
      </c>
      <c r="B569" s="1055" t="s">
        <v>3120</v>
      </c>
      <c r="C569" s="1056">
        <v>1.1052E-3</v>
      </c>
      <c r="D569" s="1056">
        <v>1.1788E-3</v>
      </c>
      <c r="E569" s="1057">
        <v>2621912</v>
      </c>
      <c r="F569" s="1057" t="s">
        <v>187</v>
      </c>
      <c r="G569" s="1058">
        <v>404499</v>
      </c>
      <c r="H569" s="1059">
        <v>359910</v>
      </c>
      <c r="I569" s="1058">
        <v>695754</v>
      </c>
      <c r="J569" s="1057">
        <v>0</v>
      </c>
      <c r="K569" s="1059">
        <f t="shared" si="19"/>
        <v>1460163</v>
      </c>
      <c r="L569" s="1057"/>
      <c r="M569" s="1058">
        <v>13573</v>
      </c>
      <c r="N569" s="1058">
        <v>0</v>
      </c>
      <c r="O569" s="1057">
        <v>100519</v>
      </c>
      <c r="P569" s="1059">
        <f t="shared" si="20"/>
        <v>114092</v>
      </c>
      <c r="Q569" s="1057"/>
      <c r="R569" s="1058">
        <v>728297</v>
      </c>
      <c r="S569" s="1057">
        <v>-35895</v>
      </c>
      <c r="T569" s="1060">
        <v>692402</v>
      </c>
    </row>
    <row r="570" spans="1:20" x14ac:dyDescent="0.25">
      <c r="A570" s="1054">
        <v>96204</v>
      </c>
      <c r="B570" s="1055" t="s">
        <v>3121</v>
      </c>
      <c r="C570" s="1056">
        <v>1.42E-5</v>
      </c>
      <c r="D570" s="1056">
        <v>1.5099999999999999E-5</v>
      </c>
      <c r="E570" s="1057">
        <v>33687</v>
      </c>
      <c r="F570" s="1057" t="s">
        <v>187</v>
      </c>
      <c r="G570" s="1058">
        <v>5197</v>
      </c>
      <c r="H570" s="1059">
        <v>4624</v>
      </c>
      <c r="I570" s="1058">
        <v>8939</v>
      </c>
      <c r="J570" s="1057">
        <v>3075</v>
      </c>
      <c r="K570" s="1059">
        <f t="shared" si="19"/>
        <v>21835</v>
      </c>
      <c r="L570" s="1057"/>
      <c r="M570" s="1058">
        <v>174</v>
      </c>
      <c r="N570" s="1058">
        <v>0</v>
      </c>
      <c r="O570" s="1057">
        <v>0</v>
      </c>
      <c r="P570" s="1059">
        <f t="shared" si="20"/>
        <v>174</v>
      </c>
      <c r="Q570" s="1057"/>
      <c r="R570" s="1058">
        <v>9357</v>
      </c>
      <c r="S570" s="1057">
        <v>1951</v>
      </c>
      <c r="T570" s="1060">
        <v>11308</v>
      </c>
    </row>
    <row r="571" spans="1:20" x14ac:dyDescent="0.25">
      <c r="A571" s="1054">
        <v>96211</v>
      </c>
      <c r="B571" s="1055" t="s">
        <v>4218</v>
      </c>
      <c r="C571" s="1056">
        <v>2.8099999999999999E-5</v>
      </c>
      <c r="D571" s="1056">
        <v>2.62E-5</v>
      </c>
      <c r="E571" s="1057">
        <v>66663</v>
      </c>
      <c r="F571" s="1057" t="s">
        <v>187</v>
      </c>
      <c r="G571" s="1058">
        <v>10284</v>
      </c>
      <c r="H571" s="1059">
        <v>9151</v>
      </c>
      <c r="I571" s="1058">
        <v>17690</v>
      </c>
      <c r="J571" s="1057">
        <v>7064</v>
      </c>
      <c r="K571" s="1059">
        <f t="shared" si="19"/>
        <v>44189</v>
      </c>
      <c r="L571" s="1057"/>
      <c r="M571" s="1058">
        <v>345</v>
      </c>
      <c r="N571" s="1058">
        <v>0</v>
      </c>
      <c r="O571" s="1057">
        <v>0</v>
      </c>
      <c r="P571" s="1059">
        <f t="shared" si="20"/>
        <v>345</v>
      </c>
      <c r="Q571" s="1057"/>
      <c r="R571" s="1058">
        <v>18517</v>
      </c>
      <c r="S571" s="1057">
        <v>-1535</v>
      </c>
      <c r="T571" s="1060">
        <v>16982</v>
      </c>
    </row>
    <row r="572" spans="1:20" x14ac:dyDescent="0.25">
      <c r="A572" s="1054">
        <v>96221</v>
      </c>
      <c r="B572" s="1055" t="s">
        <v>4219</v>
      </c>
      <c r="C572" s="1056">
        <v>2.2809999999999999E-4</v>
      </c>
      <c r="D572" s="1056">
        <v>2.3350000000000001E-4</v>
      </c>
      <c r="E572" s="1057">
        <v>541131</v>
      </c>
      <c r="F572" s="1057" t="s">
        <v>187</v>
      </c>
      <c r="G572" s="1058">
        <v>83484</v>
      </c>
      <c r="H572" s="1059">
        <v>74281</v>
      </c>
      <c r="I572" s="1058">
        <v>143595</v>
      </c>
      <c r="J572" s="1057">
        <v>0</v>
      </c>
      <c r="K572" s="1059">
        <f t="shared" si="19"/>
        <v>301360</v>
      </c>
      <c r="L572" s="1057"/>
      <c r="M572" s="1058">
        <v>2801</v>
      </c>
      <c r="N572" s="1058">
        <v>0</v>
      </c>
      <c r="O572" s="1057">
        <v>17587</v>
      </c>
      <c r="P572" s="1059">
        <f t="shared" si="20"/>
        <v>20388</v>
      </c>
      <c r="Q572" s="1057"/>
      <c r="R572" s="1058">
        <v>150312</v>
      </c>
      <c r="S572" s="1057">
        <v>-5474</v>
      </c>
      <c r="T572" s="1060">
        <v>144838</v>
      </c>
    </row>
    <row r="573" spans="1:20" x14ac:dyDescent="0.25">
      <c r="A573" s="1054">
        <v>96231</v>
      </c>
      <c r="B573" s="1055" t="s">
        <v>4220</v>
      </c>
      <c r="C573" s="1056">
        <v>1.2540000000000001E-4</v>
      </c>
      <c r="D573" s="1056">
        <v>1.3339999999999999E-4</v>
      </c>
      <c r="E573" s="1057">
        <v>297492</v>
      </c>
      <c r="F573" s="1057" t="s">
        <v>187</v>
      </c>
      <c r="G573" s="1058">
        <v>45896</v>
      </c>
      <c r="H573" s="1059">
        <v>40837</v>
      </c>
      <c r="I573" s="1058">
        <v>78943</v>
      </c>
      <c r="J573" s="1057">
        <v>1915</v>
      </c>
      <c r="K573" s="1059">
        <f t="shared" si="19"/>
        <v>167591</v>
      </c>
      <c r="L573" s="1057"/>
      <c r="M573" s="1058">
        <v>1540</v>
      </c>
      <c r="N573" s="1058">
        <v>0</v>
      </c>
      <c r="O573" s="1057">
        <v>22322</v>
      </c>
      <c r="P573" s="1059">
        <f t="shared" si="20"/>
        <v>23862</v>
      </c>
      <c r="Q573" s="1057"/>
      <c r="R573" s="1058">
        <v>82635</v>
      </c>
      <c r="S573" s="1057">
        <v>-10839</v>
      </c>
      <c r="T573" s="1060">
        <v>71796</v>
      </c>
    </row>
    <row r="574" spans="1:20" x14ac:dyDescent="0.25">
      <c r="A574" s="1054">
        <v>96241</v>
      </c>
      <c r="B574" s="1055" t="s">
        <v>4221</v>
      </c>
      <c r="C574" s="1056">
        <v>5.4299999999999998E-5</v>
      </c>
      <c r="D574" s="1056">
        <v>4.4700000000000002E-5</v>
      </c>
      <c r="E574" s="1057">
        <v>128818</v>
      </c>
      <c r="F574" s="1057" t="s">
        <v>187</v>
      </c>
      <c r="G574" s="1058">
        <v>19874</v>
      </c>
      <c r="H574" s="1059">
        <v>17683</v>
      </c>
      <c r="I574" s="1058">
        <v>34183</v>
      </c>
      <c r="J574" s="1057">
        <v>5386</v>
      </c>
      <c r="K574" s="1059">
        <f t="shared" si="19"/>
        <v>77126</v>
      </c>
      <c r="L574" s="1057"/>
      <c r="M574" s="1058">
        <v>667</v>
      </c>
      <c r="N574" s="1058">
        <v>0</v>
      </c>
      <c r="O574" s="1057">
        <v>2843</v>
      </c>
      <c r="P574" s="1059">
        <f t="shared" si="20"/>
        <v>3510</v>
      </c>
      <c r="Q574" s="1057"/>
      <c r="R574" s="1058">
        <v>35782</v>
      </c>
      <c r="S574" s="1057">
        <v>3441</v>
      </c>
      <c r="T574" s="1060">
        <v>39223</v>
      </c>
    </row>
    <row r="575" spans="1:20" x14ac:dyDescent="0.25">
      <c r="A575" s="1054">
        <v>96251</v>
      </c>
      <c r="B575" s="1055" t="s">
        <v>4222</v>
      </c>
      <c r="C575" s="1056">
        <v>1.011E-4</v>
      </c>
      <c r="D575" s="1056">
        <v>9.3999999999999994E-5</v>
      </c>
      <c r="E575" s="1057">
        <v>239844</v>
      </c>
      <c r="F575" s="1057" t="s">
        <v>187</v>
      </c>
      <c r="G575" s="1058">
        <v>37002</v>
      </c>
      <c r="H575" s="1059">
        <v>32924</v>
      </c>
      <c r="I575" s="1058">
        <v>63645</v>
      </c>
      <c r="J575" s="1057">
        <v>4649</v>
      </c>
      <c r="K575" s="1059">
        <f t="shared" si="19"/>
        <v>138220</v>
      </c>
      <c r="L575" s="1057"/>
      <c r="M575" s="1058">
        <v>1242</v>
      </c>
      <c r="N575" s="1058">
        <v>0</v>
      </c>
      <c r="O575" s="1057">
        <v>10419</v>
      </c>
      <c r="P575" s="1059">
        <f t="shared" si="20"/>
        <v>11661</v>
      </c>
      <c r="Q575" s="1057"/>
      <c r="R575" s="1058">
        <v>66622</v>
      </c>
      <c r="S575" s="1057">
        <v>-7630</v>
      </c>
      <c r="T575" s="1060">
        <v>58992</v>
      </c>
    </row>
    <row r="576" spans="1:20" x14ac:dyDescent="0.25">
      <c r="A576" s="1054">
        <v>96301</v>
      </c>
      <c r="B576" s="1055" t="s">
        <v>3127</v>
      </c>
      <c r="C576" s="1056">
        <v>4.4197999999999998E-3</v>
      </c>
      <c r="D576" s="1056">
        <v>4.3712999999999998E-3</v>
      </c>
      <c r="E576" s="1057">
        <v>10485277</v>
      </c>
      <c r="F576" s="1057" t="s">
        <v>187</v>
      </c>
      <c r="G576" s="1058">
        <v>1617629</v>
      </c>
      <c r="H576" s="1059">
        <v>1439316</v>
      </c>
      <c r="I576" s="1058">
        <v>2782388</v>
      </c>
      <c r="J576" s="1057">
        <v>27387</v>
      </c>
      <c r="K576" s="1059">
        <f t="shared" si="19"/>
        <v>5866720</v>
      </c>
      <c r="L576" s="1057"/>
      <c r="M576" s="1058">
        <v>54280</v>
      </c>
      <c r="N576" s="1058">
        <v>0</v>
      </c>
      <c r="O576" s="1057">
        <v>127331</v>
      </c>
      <c r="P576" s="1059">
        <f t="shared" si="20"/>
        <v>181611</v>
      </c>
      <c r="Q576" s="1057"/>
      <c r="R576" s="1058">
        <v>2912529</v>
      </c>
      <c r="S576" s="1057">
        <v>-34571</v>
      </c>
      <c r="T576" s="1060">
        <v>2877958</v>
      </c>
    </row>
    <row r="577" spans="1:20" x14ac:dyDescent="0.25">
      <c r="A577" s="1054">
        <v>96302</v>
      </c>
      <c r="B577" s="1055" t="s">
        <v>4223</v>
      </c>
      <c r="C577" s="1056">
        <v>2.3499999999999999E-5</v>
      </c>
      <c r="D577" s="1056">
        <v>2.5199999999999999E-5</v>
      </c>
      <c r="E577" s="1057">
        <v>55750</v>
      </c>
      <c r="F577" s="1057" t="s">
        <v>187</v>
      </c>
      <c r="G577" s="1058">
        <v>8601</v>
      </c>
      <c r="H577" s="1059">
        <v>7653</v>
      </c>
      <c r="I577" s="1058">
        <v>14794</v>
      </c>
      <c r="J577" s="1057">
        <v>4772</v>
      </c>
      <c r="K577" s="1059">
        <f t="shared" si="19"/>
        <v>35820</v>
      </c>
      <c r="L577" s="1057"/>
      <c r="M577" s="1058">
        <v>289</v>
      </c>
      <c r="N577" s="1058">
        <v>0</v>
      </c>
      <c r="O577" s="1057">
        <v>746</v>
      </c>
      <c r="P577" s="1059">
        <f t="shared" si="20"/>
        <v>1035</v>
      </c>
      <c r="Q577" s="1057"/>
      <c r="R577" s="1058">
        <v>15486</v>
      </c>
      <c r="S577" s="1057">
        <v>2441</v>
      </c>
      <c r="T577" s="1060">
        <v>17927</v>
      </c>
    </row>
    <row r="578" spans="1:20" x14ac:dyDescent="0.25">
      <c r="A578" s="1054">
        <v>96304</v>
      </c>
      <c r="B578" s="1055" t="s">
        <v>3129</v>
      </c>
      <c r="C578" s="1056">
        <v>4.7500000000000003E-5</v>
      </c>
      <c r="D578" s="1056">
        <v>4.5500000000000001E-5</v>
      </c>
      <c r="E578" s="1057">
        <v>112686</v>
      </c>
      <c r="F578" s="1057" t="s">
        <v>187</v>
      </c>
      <c r="G578" s="1058">
        <v>17385</v>
      </c>
      <c r="H578" s="1059">
        <v>15469</v>
      </c>
      <c r="I578" s="1058">
        <v>29903</v>
      </c>
      <c r="J578" s="1057">
        <v>9034</v>
      </c>
      <c r="K578" s="1059">
        <f t="shared" si="19"/>
        <v>71791</v>
      </c>
      <c r="L578" s="1057"/>
      <c r="M578" s="1058">
        <v>583</v>
      </c>
      <c r="N578" s="1058">
        <v>0</v>
      </c>
      <c r="O578" s="1057">
        <v>733</v>
      </c>
      <c r="P578" s="1059">
        <f t="shared" si="20"/>
        <v>1316</v>
      </c>
      <c r="Q578" s="1057"/>
      <c r="R578" s="1058">
        <v>31301</v>
      </c>
      <c r="S578" s="1057">
        <v>3589</v>
      </c>
      <c r="T578" s="1060">
        <v>34890</v>
      </c>
    </row>
    <row r="579" spans="1:20" x14ac:dyDescent="0.25">
      <c r="A579" s="1054">
        <v>96305</v>
      </c>
      <c r="B579" s="1055" t="s">
        <v>3130</v>
      </c>
      <c r="C579" s="1056">
        <v>4.1100000000000003E-5</v>
      </c>
      <c r="D579" s="1056">
        <v>4.5500000000000001E-5</v>
      </c>
      <c r="E579" s="1057">
        <v>97503</v>
      </c>
      <c r="F579" s="1057" t="s">
        <v>187</v>
      </c>
      <c r="G579" s="1058">
        <v>15042</v>
      </c>
      <c r="H579" s="1059">
        <v>13384</v>
      </c>
      <c r="I579" s="1058">
        <v>25874</v>
      </c>
      <c r="J579" s="1057">
        <v>16290</v>
      </c>
      <c r="K579" s="1059">
        <f t="shared" si="19"/>
        <v>70590</v>
      </c>
      <c r="L579" s="1057"/>
      <c r="M579" s="1058">
        <v>505</v>
      </c>
      <c r="N579" s="1058">
        <v>0</v>
      </c>
      <c r="O579" s="1057">
        <v>0</v>
      </c>
      <c r="P579" s="1059">
        <f t="shared" si="20"/>
        <v>505</v>
      </c>
      <c r="Q579" s="1057"/>
      <c r="R579" s="1058">
        <v>27084</v>
      </c>
      <c r="S579" s="1057">
        <v>6681</v>
      </c>
      <c r="T579" s="1060">
        <v>33765</v>
      </c>
    </row>
    <row r="580" spans="1:20" x14ac:dyDescent="0.25">
      <c r="A580" s="1054">
        <v>96310</v>
      </c>
      <c r="B580" s="1055" t="s">
        <v>3131</v>
      </c>
      <c r="C580" s="1056">
        <v>5.02E-5</v>
      </c>
      <c r="D580" s="1056">
        <v>6.1099999999999994E-5</v>
      </c>
      <c r="E580" s="1057">
        <v>119092</v>
      </c>
      <c r="F580" s="1057" t="s">
        <v>187</v>
      </c>
      <c r="G580" s="1058">
        <v>18373</v>
      </c>
      <c r="H580" s="1059">
        <v>16347</v>
      </c>
      <c r="I580" s="1058">
        <v>31602</v>
      </c>
      <c r="J580" s="1057">
        <v>5953</v>
      </c>
      <c r="K580" s="1059">
        <f t="shared" si="19"/>
        <v>72275</v>
      </c>
      <c r="L580" s="1057"/>
      <c r="M580" s="1058">
        <v>617</v>
      </c>
      <c r="N580" s="1058">
        <v>0</v>
      </c>
      <c r="O580" s="1057">
        <v>5950</v>
      </c>
      <c r="P580" s="1059">
        <f t="shared" si="20"/>
        <v>6567</v>
      </c>
      <c r="Q580" s="1057"/>
      <c r="R580" s="1058">
        <v>33080</v>
      </c>
      <c r="S580" s="1057">
        <v>2495</v>
      </c>
      <c r="T580" s="1060">
        <v>35575</v>
      </c>
    </row>
    <row r="581" spans="1:20" x14ac:dyDescent="0.25">
      <c r="A581" s="1054">
        <v>96311</v>
      </c>
      <c r="B581" s="1055" t="s">
        <v>4224</v>
      </c>
      <c r="C581" s="1056">
        <v>1.3328000000000001E-3</v>
      </c>
      <c r="D581" s="1056">
        <v>1.3113000000000001E-3</v>
      </c>
      <c r="E581" s="1057">
        <v>3161857</v>
      </c>
      <c r="F581" s="1057" t="s">
        <v>187</v>
      </c>
      <c r="G581" s="1058">
        <v>487799</v>
      </c>
      <c r="H581" s="1059">
        <v>434029</v>
      </c>
      <c r="I581" s="1058">
        <v>839035</v>
      </c>
      <c r="J581" s="1057">
        <v>0</v>
      </c>
      <c r="K581" s="1059">
        <f t="shared" si="19"/>
        <v>1760863</v>
      </c>
      <c r="L581" s="1057"/>
      <c r="M581" s="1058">
        <v>16368</v>
      </c>
      <c r="N581" s="1058">
        <v>0</v>
      </c>
      <c r="O581" s="1057">
        <v>112780</v>
      </c>
      <c r="P581" s="1059">
        <f t="shared" si="20"/>
        <v>129148</v>
      </c>
      <c r="Q581" s="1057"/>
      <c r="R581" s="1058">
        <v>878279</v>
      </c>
      <c r="S581" s="1057">
        <v>-38768</v>
      </c>
      <c r="T581" s="1060">
        <v>839511</v>
      </c>
    </row>
    <row r="582" spans="1:20" x14ac:dyDescent="0.25">
      <c r="A582" s="1054">
        <v>96312</v>
      </c>
      <c r="B582" s="1055" t="s">
        <v>4225</v>
      </c>
      <c r="C582" s="1056">
        <v>6.1E-6</v>
      </c>
      <c r="D582" s="1056">
        <v>1.5999999999999999E-5</v>
      </c>
      <c r="E582" s="1057">
        <v>14471</v>
      </c>
      <c r="F582" s="1057" t="s">
        <v>187</v>
      </c>
      <c r="G582" s="1058">
        <v>2233</v>
      </c>
      <c r="H582" s="1059">
        <v>1987</v>
      </c>
      <c r="I582" s="1058">
        <v>3840</v>
      </c>
      <c r="J582" s="1057">
        <v>5741</v>
      </c>
      <c r="K582" s="1059">
        <f t="shared" si="19"/>
        <v>13801</v>
      </c>
      <c r="L582" s="1057"/>
      <c r="M582" s="1058">
        <v>75</v>
      </c>
      <c r="N582" s="1058">
        <v>0</v>
      </c>
      <c r="O582" s="1057">
        <v>7008</v>
      </c>
      <c r="P582" s="1059">
        <f t="shared" si="20"/>
        <v>7083</v>
      </c>
      <c r="Q582" s="1057"/>
      <c r="R582" s="1058">
        <v>4020</v>
      </c>
      <c r="S582" s="1057">
        <v>-1283</v>
      </c>
      <c r="T582" s="1060">
        <v>2737</v>
      </c>
    </row>
    <row r="583" spans="1:20" x14ac:dyDescent="0.25">
      <c r="A583" s="1054">
        <v>96318</v>
      </c>
      <c r="B583" s="1055" t="s">
        <v>3134</v>
      </c>
      <c r="C583" s="1056">
        <v>2.2098999999999999E-3</v>
      </c>
      <c r="D583" s="1056">
        <v>2.1684999999999999E-3</v>
      </c>
      <c r="E583" s="1057">
        <v>5242639</v>
      </c>
      <c r="F583" s="1057" t="s">
        <v>187</v>
      </c>
      <c r="G583" s="1058">
        <v>808815</v>
      </c>
      <c r="H583" s="1059">
        <v>719659</v>
      </c>
      <c r="I583" s="1058">
        <v>1391194</v>
      </c>
      <c r="J583" s="1057">
        <v>5150573</v>
      </c>
      <c r="K583" s="1059">
        <f t="shared" si="19"/>
        <v>8070241</v>
      </c>
      <c r="L583" s="1057"/>
      <c r="M583" s="1058">
        <v>27140</v>
      </c>
      <c r="N583" s="1058">
        <v>0</v>
      </c>
      <c r="O583" s="1057">
        <v>0</v>
      </c>
      <c r="P583" s="1059">
        <f t="shared" si="20"/>
        <v>27140</v>
      </c>
      <c r="Q583" s="1057"/>
      <c r="R583" s="1058">
        <v>1456264</v>
      </c>
      <c r="S583" s="1057">
        <v>2691083</v>
      </c>
      <c r="T583" s="1060">
        <v>4147347</v>
      </c>
    </row>
    <row r="584" spans="1:20" x14ac:dyDescent="0.25">
      <c r="A584" s="1054">
        <v>96321</v>
      </c>
      <c r="B584" s="1055" t="s">
        <v>4226</v>
      </c>
      <c r="C584" s="1056">
        <v>3.7299999999999999E-5</v>
      </c>
      <c r="D584" s="1056">
        <v>3.6900000000000002E-5</v>
      </c>
      <c r="E584" s="1057">
        <v>88488</v>
      </c>
      <c r="F584" s="1057" t="s">
        <v>187</v>
      </c>
      <c r="G584" s="1058">
        <v>13652</v>
      </c>
      <c r="H584" s="1059">
        <v>12147</v>
      </c>
      <c r="I584" s="1058">
        <v>23481</v>
      </c>
      <c r="J584" s="1057">
        <v>2037</v>
      </c>
      <c r="K584" s="1059">
        <f t="shared" si="19"/>
        <v>51317</v>
      </c>
      <c r="L584" s="1057"/>
      <c r="M584" s="1058">
        <v>458</v>
      </c>
      <c r="N584" s="1058">
        <v>0</v>
      </c>
      <c r="O584" s="1057">
        <v>1391</v>
      </c>
      <c r="P584" s="1059">
        <f t="shared" si="20"/>
        <v>1849</v>
      </c>
      <c r="Q584" s="1057"/>
      <c r="R584" s="1058">
        <v>24580</v>
      </c>
      <c r="S584" s="1057">
        <v>-243</v>
      </c>
      <c r="T584" s="1060">
        <v>24337</v>
      </c>
    </row>
    <row r="585" spans="1:20" x14ac:dyDescent="0.25">
      <c r="A585" s="1054">
        <v>96331</v>
      </c>
      <c r="B585" s="1055" t="s">
        <v>4227</v>
      </c>
      <c r="C585" s="1056">
        <v>7.0220000000000005E-4</v>
      </c>
      <c r="D585" s="1056">
        <v>7.0850000000000004E-4</v>
      </c>
      <c r="E585" s="1057">
        <v>1665859</v>
      </c>
      <c r="F585" s="1057" t="s">
        <v>187</v>
      </c>
      <c r="G585" s="1058">
        <v>257002</v>
      </c>
      <c r="H585" s="1059">
        <v>228672</v>
      </c>
      <c r="I585" s="1058">
        <v>442055</v>
      </c>
      <c r="J585" s="1057">
        <v>1400</v>
      </c>
      <c r="K585" s="1059">
        <f t="shared" si="19"/>
        <v>929129</v>
      </c>
      <c r="L585" s="1057"/>
      <c r="M585" s="1058">
        <v>8624</v>
      </c>
      <c r="N585" s="1058">
        <v>0</v>
      </c>
      <c r="O585" s="1057">
        <v>67389</v>
      </c>
      <c r="P585" s="1059">
        <f t="shared" si="20"/>
        <v>76013</v>
      </c>
      <c r="Q585" s="1057"/>
      <c r="R585" s="1058">
        <v>462731</v>
      </c>
      <c r="S585" s="1057">
        <v>-31677</v>
      </c>
      <c r="T585" s="1060">
        <v>431054</v>
      </c>
    </row>
    <row r="586" spans="1:20" x14ac:dyDescent="0.25">
      <c r="A586" s="1054">
        <v>96341</v>
      </c>
      <c r="B586" s="1055" t="s">
        <v>4228</v>
      </c>
      <c r="C586" s="1056">
        <v>9.1399999999999999E-5</v>
      </c>
      <c r="D586" s="1056">
        <v>8.3800000000000004E-5</v>
      </c>
      <c r="E586" s="1057">
        <v>216832</v>
      </c>
      <c r="F586" s="1057" t="s">
        <v>187</v>
      </c>
      <c r="G586" s="1058">
        <v>33452</v>
      </c>
      <c r="H586" s="1059">
        <v>29765</v>
      </c>
      <c r="I586" s="1058">
        <v>57539</v>
      </c>
      <c r="J586" s="1057">
        <v>7342</v>
      </c>
      <c r="K586" s="1059">
        <f t="shared" si="19"/>
        <v>128098</v>
      </c>
      <c r="L586" s="1057"/>
      <c r="M586" s="1058">
        <v>1122</v>
      </c>
      <c r="N586" s="1058">
        <v>0</v>
      </c>
      <c r="O586" s="1057">
        <v>5984</v>
      </c>
      <c r="P586" s="1059">
        <f t="shared" si="20"/>
        <v>7106</v>
      </c>
      <c r="Q586" s="1057"/>
      <c r="R586" s="1058">
        <v>60230</v>
      </c>
      <c r="S586" s="1057">
        <v>-2239</v>
      </c>
      <c r="T586" s="1060">
        <v>57991</v>
      </c>
    </row>
    <row r="587" spans="1:20" x14ac:dyDescent="0.25">
      <c r="A587" s="1054">
        <v>96351</v>
      </c>
      <c r="B587" s="1055" t="s">
        <v>4229</v>
      </c>
      <c r="C587" s="1056">
        <v>1.0456E-3</v>
      </c>
      <c r="D587" s="1056">
        <v>1.0616E-3</v>
      </c>
      <c r="E587" s="1057">
        <v>2480521</v>
      </c>
      <c r="F587" s="1057" t="s">
        <v>187</v>
      </c>
      <c r="G587" s="1058">
        <v>382685</v>
      </c>
      <c r="H587" s="1059">
        <v>340501</v>
      </c>
      <c r="I587" s="1058">
        <v>658234</v>
      </c>
      <c r="J587" s="1057">
        <v>1398</v>
      </c>
      <c r="K587" s="1059">
        <f t="shared" si="19"/>
        <v>1382818</v>
      </c>
      <c r="L587" s="1057"/>
      <c r="M587" s="1058">
        <v>12841</v>
      </c>
      <c r="N587" s="1058">
        <v>0</v>
      </c>
      <c r="O587" s="1057">
        <v>35067</v>
      </c>
      <c r="P587" s="1059">
        <f t="shared" si="20"/>
        <v>47908</v>
      </c>
      <c r="Q587" s="1057"/>
      <c r="R587" s="1058">
        <v>689022</v>
      </c>
      <c r="S587" s="1057">
        <v>-9188</v>
      </c>
      <c r="T587" s="1060">
        <v>679834</v>
      </c>
    </row>
    <row r="588" spans="1:20" x14ac:dyDescent="0.25">
      <c r="A588" s="1054">
        <v>96361</v>
      </c>
      <c r="B588" s="1055" t="s">
        <v>4230</v>
      </c>
      <c r="C588" s="1056">
        <v>4.9400000000000001E-5</v>
      </c>
      <c r="D588" s="1056">
        <v>5.5699999999999999E-5</v>
      </c>
      <c r="E588" s="1057">
        <v>117194</v>
      </c>
      <c r="F588" s="1057" t="s">
        <v>187</v>
      </c>
      <c r="G588" s="1058">
        <v>18080</v>
      </c>
      <c r="H588" s="1059">
        <v>16088</v>
      </c>
      <c r="I588" s="1058">
        <v>31099</v>
      </c>
      <c r="J588" s="1057">
        <v>1546</v>
      </c>
      <c r="K588" s="1059">
        <f t="shared" si="19"/>
        <v>66813</v>
      </c>
      <c r="L588" s="1057"/>
      <c r="M588" s="1058">
        <v>607</v>
      </c>
      <c r="N588" s="1058">
        <v>0</v>
      </c>
      <c r="O588" s="1057">
        <v>5439</v>
      </c>
      <c r="P588" s="1059">
        <f t="shared" si="20"/>
        <v>6046</v>
      </c>
      <c r="Q588" s="1057"/>
      <c r="R588" s="1058">
        <v>32553</v>
      </c>
      <c r="S588" s="1057">
        <v>190</v>
      </c>
      <c r="T588" s="1060">
        <v>32743</v>
      </c>
    </row>
    <row r="589" spans="1:20" x14ac:dyDescent="0.25">
      <c r="A589" s="1054">
        <v>96371</v>
      </c>
      <c r="B589" s="1055" t="s">
        <v>4231</v>
      </c>
      <c r="C589" s="1056">
        <v>1.4200000000000001E-4</v>
      </c>
      <c r="D589" s="1056">
        <v>1.5249999999999999E-4</v>
      </c>
      <c r="E589" s="1057">
        <v>336873</v>
      </c>
      <c r="F589" s="1057" t="s">
        <v>187</v>
      </c>
      <c r="G589" s="1058">
        <v>51971</v>
      </c>
      <c r="H589" s="1059">
        <v>46242</v>
      </c>
      <c r="I589" s="1058">
        <v>89393</v>
      </c>
      <c r="J589" s="1057">
        <v>0</v>
      </c>
      <c r="K589" s="1059">
        <f t="shared" si="19"/>
        <v>187606</v>
      </c>
      <c r="L589" s="1057"/>
      <c r="M589" s="1058">
        <v>1744</v>
      </c>
      <c r="N589" s="1058">
        <v>0</v>
      </c>
      <c r="O589" s="1057">
        <v>16072</v>
      </c>
      <c r="P589" s="1059">
        <f t="shared" si="20"/>
        <v>17816</v>
      </c>
      <c r="Q589" s="1057"/>
      <c r="R589" s="1058">
        <v>93574</v>
      </c>
      <c r="S589" s="1057">
        <v>-4573</v>
      </c>
      <c r="T589" s="1060">
        <v>89001</v>
      </c>
    </row>
    <row r="590" spans="1:20" x14ac:dyDescent="0.25">
      <c r="A590" s="1054">
        <v>96381</v>
      </c>
      <c r="B590" s="1055" t="s">
        <v>3141</v>
      </c>
      <c r="C590" s="1056">
        <v>3.5200000000000002E-5</v>
      </c>
      <c r="D590" s="1056">
        <v>3.2100000000000001E-5</v>
      </c>
      <c r="E590" s="1057">
        <v>83506</v>
      </c>
      <c r="F590" s="1057" t="s">
        <v>187</v>
      </c>
      <c r="G590" s="1058">
        <v>12883</v>
      </c>
      <c r="H590" s="1059">
        <v>11463</v>
      </c>
      <c r="I590" s="1058">
        <v>22159</v>
      </c>
      <c r="J590" s="1057">
        <v>1710</v>
      </c>
      <c r="K590" s="1059">
        <f t="shared" si="19"/>
        <v>48215</v>
      </c>
      <c r="L590" s="1057"/>
      <c r="M590" s="1058">
        <v>432</v>
      </c>
      <c r="N590" s="1058">
        <v>0</v>
      </c>
      <c r="O590" s="1057">
        <v>634</v>
      </c>
      <c r="P590" s="1059">
        <f t="shared" si="20"/>
        <v>1066</v>
      </c>
      <c r="Q590" s="1057"/>
      <c r="R590" s="1058">
        <v>23196</v>
      </c>
      <c r="S590" s="1057">
        <v>-775</v>
      </c>
      <c r="T590" s="1060">
        <v>22421</v>
      </c>
    </row>
    <row r="591" spans="1:20" x14ac:dyDescent="0.25">
      <c r="A591" s="1054">
        <v>96391</v>
      </c>
      <c r="B591" s="1055" t="s">
        <v>4232</v>
      </c>
      <c r="C591" s="1056">
        <v>2.1350000000000001E-4</v>
      </c>
      <c r="D591" s="1056">
        <v>2.029E-4</v>
      </c>
      <c r="E591" s="1057">
        <v>506495</v>
      </c>
      <c r="F591" s="1057" t="s">
        <v>187</v>
      </c>
      <c r="G591" s="1058">
        <v>78140</v>
      </c>
      <c r="H591" s="1059">
        <v>69527</v>
      </c>
      <c r="I591" s="1058">
        <v>134404</v>
      </c>
      <c r="J591" s="1057">
        <v>0</v>
      </c>
      <c r="K591" s="1059">
        <f t="shared" ref="K591:K655" si="21">G591+H591+I591+J591</f>
        <v>282071</v>
      </c>
      <c r="L591" s="1057"/>
      <c r="M591" s="1058">
        <v>2622</v>
      </c>
      <c r="N591" s="1058">
        <v>0</v>
      </c>
      <c r="O591" s="1057">
        <v>20575</v>
      </c>
      <c r="P591" s="1059">
        <f t="shared" ref="P591:P655" si="22">M591+N591+O591</f>
        <v>23197</v>
      </c>
      <c r="Q591" s="1057"/>
      <c r="R591" s="1058">
        <v>140691</v>
      </c>
      <c r="S591" s="1057">
        <v>-665</v>
      </c>
      <c r="T591" s="1060">
        <v>140026</v>
      </c>
    </row>
    <row r="592" spans="1:20" x14ac:dyDescent="0.25">
      <c r="A592" s="1054">
        <v>96401</v>
      </c>
      <c r="B592" s="1055" t="s">
        <v>3143</v>
      </c>
      <c r="C592" s="1056">
        <v>4.4764999999999996E-3</v>
      </c>
      <c r="D592" s="1056">
        <v>4.5672000000000004E-3</v>
      </c>
      <c r="E592" s="1057">
        <v>10619789</v>
      </c>
      <c r="F592" s="1057" t="s">
        <v>187</v>
      </c>
      <c r="G592" s="1058">
        <v>1638381</v>
      </c>
      <c r="H592" s="1059">
        <v>1457781</v>
      </c>
      <c r="I592" s="1058">
        <v>2818082</v>
      </c>
      <c r="J592" s="1057">
        <v>0</v>
      </c>
      <c r="K592" s="1059">
        <f t="shared" si="21"/>
        <v>5914244</v>
      </c>
      <c r="L592" s="1057"/>
      <c r="M592" s="1058">
        <v>54976</v>
      </c>
      <c r="N592" s="1058">
        <v>0</v>
      </c>
      <c r="O592" s="1057">
        <v>163892</v>
      </c>
      <c r="P592" s="1059">
        <f t="shared" si="22"/>
        <v>218868</v>
      </c>
      <c r="Q592" s="1057"/>
      <c r="R592" s="1058">
        <v>2949893</v>
      </c>
      <c r="S592" s="1057">
        <v>-37128</v>
      </c>
      <c r="T592" s="1060">
        <v>2912765</v>
      </c>
    </row>
    <row r="593" spans="1:20" x14ac:dyDescent="0.25">
      <c r="A593" s="1054">
        <v>96404</v>
      </c>
      <c r="B593" s="1055" t="s">
        <v>3144</v>
      </c>
      <c r="C593" s="1056">
        <v>9.98E-5</v>
      </c>
      <c r="D593" s="1056">
        <v>1.026E-4</v>
      </c>
      <c r="E593" s="1057">
        <v>236760</v>
      </c>
      <c r="F593" s="1057" t="s">
        <v>187</v>
      </c>
      <c r="G593" s="1058">
        <v>36526</v>
      </c>
      <c r="H593" s="1059">
        <v>32500</v>
      </c>
      <c r="I593" s="1058">
        <v>62827</v>
      </c>
      <c r="J593" s="1057">
        <v>25677</v>
      </c>
      <c r="K593" s="1059">
        <f t="shared" si="21"/>
        <v>157530</v>
      </c>
      <c r="L593" s="1057"/>
      <c r="M593" s="1058">
        <v>1226</v>
      </c>
      <c r="N593" s="1058">
        <v>0</v>
      </c>
      <c r="O593" s="1057">
        <v>0</v>
      </c>
      <c r="P593" s="1059">
        <f t="shared" si="22"/>
        <v>1226</v>
      </c>
      <c r="Q593" s="1057"/>
      <c r="R593" s="1058">
        <v>65766</v>
      </c>
      <c r="S593" s="1057">
        <v>12826</v>
      </c>
      <c r="T593" s="1060">
        <v>78592</v>
      </c>
    </row>
    <row r="594" spans="1:20" x14ac:dyDescent="0.25">
      <c r="A594" s="1054">
        <v>96405</v>
      </c>
      <c r="B594" s="1055" t="s">
        <v>3145</v>
      </c>
      <c r="C594" s="1056">
        <v>1.3219999999999999E-4</v>
      </c>
      <c r="D594" s="1056">
        <v>1.6139999999999999E-4</v>
      </c>
      <c r="E594" s="1057">
        <v>313624</v>
      </c>
      <c r="F594" s="1057" t="s">
        <v>187</v>
      </c>
      <c r="G594" s="1058">
        <v>48385</v>
      </c>
      <c r="H594" s="1059">
        <v>43051</v>
      </c>
      <c r="I594" s="1058">
        <v>83224</v>
      </c>
      <c r="J594" s="1057">
        <v>4606</v>
      </c>
      <c r="K594" s="1059">
        <f t="shared" si="21"/>
        <v>179266</v>
      </c>
      <c r="L594" s="1057"/>
      <c r="M594" s="1058">
        <v>1624</v>
      </c>
      <c r="N594" s="1058">
        <v>0</v>
      </c>
      <c r="O594" s="1057">
        <v>1578</v>
      </c>
      <c r="P594" s="1059">
        <f t="shared" si="22"/>
        <v>3202</v>
      </c>
      <c r="Q594" s="1057"/>
      <c r="R594" s="1058">
        <v>87116</v>
      </c>
      <c r="S594" s="1057">
        <v>4206</v>
      </c>
      <c r="T594" s="1060">
        <v>91322</v>
      </c>
    </row>
    <row r="595" spans="1:20" x14ac:dyDescent="0.25">
      <c r="A595" s="1054">
        <v>96411</v>
      </c>
      <c r="B595" s="1055" t="s">
        <v>4233</v>
      </c>
      <c r="C595" s="1056">
        <v>7.1899999999999999E-5</v>
      </c>
      <c r="D595" s="1056">
        <v>7.2299999999999996E-5</v>
      </c>
      <c r="E595" s="1057">
        <v>170571</v>
      </c>
      <c r="F595" s="1057" t="s">
        <v>187</v>
      </c>
      <c r="G595" s="1058">
        <v>26315</v>
      </c>
      <c r="H595" s="1059">
        <v>23414</v>
      </c>
      <c r="I595" s="1058">
        <v>45263</v>
      </c>
      <c r="J595" s="1057">
        <v>7628</v>
      </c>
      <c r="K595" s="1059">
        <f t="shared" si="21"/>
        <v>102620</v>
      </c>
      <c r="L595" s="1057"/>
      <c r="M595" s="1058">
        <v>883</v>
      </c>
      <c r="N595" s="1058">
        <v>0</v>
      </c>
      <c r="O595" s="1057">
        <v>5714</v>
      </c>
      <c r="P595" s="1059">
        <f t="shared" si="22"/>
        <v>6597</v>
      </c>
      <c r="Q595" s="1057"/>
      <c r="R595" s="1058">
        <v>47380</v>
      </c>
      <c r="S595" s="1057">
        <v>1584</v>
      </c>
      <c r="T595" s="1060">
        <v>48964</v>
      </c>
    </row>
    <row r="596" spans="1:20" x14ac:dyDescent="0.25">
      <c r="A596" s="1054">
        <v>96421</v>
      </c>
      <c r="B596" s="1055" t="s">
        <v>4234</v>
      </c>
      <c r="C596" s="1056">
        <v>4.2880000000000001E-4</v>
      </c>
      <c r="D596" s="1056">
        <v>4.2529999999999998E-4</v>
      </c>
      <c r="E596" s="1057">
        <v>1017260</v>
      </c>
      <c r="F596" s="1057" t="s">
        <v>187</v>
      </c>
      <c r="G596" s="1058">
        <v>156939</v>
      </c>
      <c r="H596" s="1059">
        <v>139640</v>
      </c>
      <c r="I596" s="1058">
        <v>269942</v>
      </c>
      <c r="J596" s="1057">
        <v>0</v>
      </c>
      <c r="K596" s="1059">
        <f t="shared" si="21"/>
        <v>566521</v>
      </c>
      <c r="L596" s="1057"/>
      <c r="M596" s="1058">
        <v>5266</v>
      </c>
      <c r="N596" s="1058">
        <v>0</v>
      </c>
      <c r="O596" s="1057">
        <v>60679</v>
      </c>
      <c r="P596" s="1059">
        <f t="shared" si="22"/>
        <v>65945</v>
      </c>
      <c r="Q596" s="1057"/>
      <c r="R596" s="1058">
        <v>282568</v>
      </c>
      <c r="S596" s="1057">
        <v>-39301</v>
      </c>
      <c r="T596" s="1060">
        <v>243267</v>
      </c>
    </row>
    <row r="597" spans="1:20" x14ac:dyDescent="0.25">
      <c r="A597" s="1054">
        <v>96431</v>
      </c>
      <c r="B597" s="1055" t="s">
        <v>4235</v>
      </c>
      <c r="C597" s="1056">
        <v>3.0599999999999998E-5</v>
      </c>
      <c r="D597" s="1056">
        <v>4.2799999999999997E-5</v>
      </c>
      <c r="E597" s="1057">
        <v>72594</v>
      </c>
      <c r="F597" s="1057" t="s">
        <v>187</v>
      </c>
      <c r="G597" s="1058">
        <v>11199</v>
      </c>
      <c r="H597" s="1059">
        <v>9965</v>
      </c>
      <c r="I597" s="1058">
        <v>19264</v>
      </c>
      <c r="J597" s="1057">
        <v>4082</v>
      </c>
      <c r="K597" s="1059">
        <f t="shared" si="21"/>
        <v>44510</v>
      </c>
      <c r="L597" s="1057"/>
      <c r="M597" s="1058">
        <v>376</v>
      </c>
      <c r="N597" s="1058">
        <v>0</v>
      </c>
      <c r="O597" s="1057">
        <v>9581</v>
      </c>
      <c r="P597" s="1059">
        <f t="shared" si="22"/>
        <v>9957</v>
      </c>
      <c r="Q597" s="1057"/>
      <c r="R597" s="1058">
        <v>20165</v>
      </c>
      <c r="S597" s="1057">
        <v>-2392</v>
      </c>
      <c r="T597" s="1060">
        <v>17773</v>
      </c>
    </row>
    <row r="598" spans="1:20" x14ac:dyDescent="0.25">
      <c r="A598" s="1054">
        <v>96441</v>
      </c>
      <c r="B598" s="1055" t="s">
        <v>4236</v>
      </c>
      <c r="C598" s="1056">
        <v>2.8E-5</v>
      </c>
      <c r="D598" s="1056">
        <v>2.97E-5</v>
      </c>
      <c r="E598" s="1057">
        <v>66426</v>
      </c>
      <c r="F598" s="1057" t="s">
        <v>187</v>
      </c>
      <c r="G598" s="1058">
        <v>10248</v>
      </c>
      <c r="H598" s="1059">
        <v>9118</v>
      </c>
      <c r="I598" s="1058">
        <v>17627</v>
      </c>
      <c r="J598" s="1057">
        <v>4392</v>
      </c>
      <c r="K598" s="1059">
        <f t="shared" si="21"/>
        <v>41385</v>
      </c>
      <c r="L598" s="1057"/>
      <c r="M598" s="1058">
        <v>344</v>
      </c>
      <c r="N598" s="1058">
        <v>0</v>
      </c>
      <c r="O598" s="1057">
        <v>57</v>
      </c>
      <c r="P598" s="1059">
        <f t="shared" si="22"/>
        <v>401</v>
      </c>
      <c r="Q598" s="1057"/>
      <c r="R598" s="1058">
        <v>18451</v>
      </c>
      <c r="S598" s="1057">
        <v>2845</v>
      </c>
      <c r="T598" s="1060">
        <v>21296</v>
      </c>
    </row>
    <row r="599" spans="1:20" x14ac:dyDescent="0.25">
      <c r="A599" s="1054">
        <v>96451</v>
      </c>
      <c r="B599" s="1055" t="s">
        <v>4237</v>
      </c>
      <c r="C599" s="1056">
        <v>1.8700000000000001E-5</v>
      </c>
      <c r="D599" s="1056">
        <v>2.0299999999999999E-5</v>
      </c>
      <c r="E599" s="1057">
        <v>44363</v>
      </c>
      <c r="F599" s="1057" t="s">
        <v>187</v>
      </c>
      <c r="G599" s="1058">
        <v>6844</v>
      </c>
      <c r="H599" s="1059">
        <v>6089</v>
      </c>
      <c r="I599" s="1058">
        <v>11772</v>
      </c>
      <c r="J599" s="1057">
        <v>4558</v>
      </c>
      <c r="K599" s="1059">
        <f t="shared" si="21"/>
        <v>29263</v>
      </c>
      <c r="L599" s="1057"/>
      <c r="M599" s="1058">
        <v>230</v>
      </c>
      <c r="N599" s="1058">
        <v>0</v>
      </c>
      <c r="O599" s="1057">
        <v>2079</v>
      </c>
      <c r="P599" s="1059">
        <f t="shared" si="22"/>
        <v>2309</v>
      </c>
      <c r="Q599" s="1057"/>
      <c r="R599" s="1058">
        <v>12323</v>
      </c>
      <c r="S599" s="1057">
        <v>588</v>
      </c>
      <c r="T599" s="1060">
        <v>12911</v>
      </c>
    </row>
    <row r="600" spans="1:20" x14ac:dyDescent="0.25">
      <c r="A600" s="1054">
        <v>96461</v>
      </c>
      <c r="B600" s="1055" t="s">
        <v>4238</v>
      </c>
      <c r="C600" s="1056">
        <v>1.538E-4</v>
      </c>
      <c r="D600" s="1056">
        <v>1.361E-4</v>
      </c>
      <c r="E600" s="1057">
        <v>364866</v>
      </c>
      <c r="F600" s="1057" t="s">
        <v>187</v>
      </c>
      <c r="G600" s="1058">
        <v>56290</v>
      </c>
      <c r="H600" s="1059">
        <v>50085</v>
      </c>
      <c r="I600" s="1058">
        <v>96821</v>
      </c>
      <c r="J600" s="1057">
        <v>11947</v>
      </c>
      <c r="K600" s="1059">
        <f t="shared" si="21"/>
        <v>215143</v>
      </c>
      <c r="L600" s="1057"/>
      <c r="M600" s="1058">
        <v>1889</v>
      </c>
      <c r="N600" s="1058">
        <v>0</v>
      </c>
      <c r="O600" s="1057">
        <v>9861</v>
      </c>
      <c r="P600" s="1059">
        <f t="shared" si="22"/>
        <v>11750</v>
      </c>
      <c r="Q600" s="1057"/>
      <c r="R600" s="1058">
        <v>101350</v>
      </c>
      <c r="S600" s="1057">
        <v>-1446</v>
      </c>
      <c r="T600" s="1060">
        <v>99904</v>
      </c>
    </row>
    <row r="601" spans="1:20" x14ac:dyDescent="0.25">
      <c r="A601" s="1054">
        <v>96501</v>
      </c>
      <c r="B601" s="1055" t="s">
        <v>3152</v>
      </c>
      <c r="C601" s="1056">
        <v>1.453E-2</v>
      </c>
      <c r="D601" s="1056">
        <v>1.44739E-2</v>
      </c>
      <c r="E601" s="1057">
        <v>34470129</v>
      </c>
      <c r="F601" s="1057" t="s">
        <v>187</v>
      </c>
      <c r="G601" s="1058">
        <v>5317922</v>
      </c>
      <c r="H601" s="1059">
        <v>4731723</v>
      </c>
      <c r="I601" s="1058">
        <v>9147042</v>
      </c>
      <c r="J601" s="1057">
        <v>113402</v>
      </c>
      <c r="K601" s="1059">
        <f t="shared" si="21"/>
        <v>19310089</v>
      </c>
      <c r="L601" s="1057"/>
      <c r="M601" s="1058">
        <v>178443</v>
      </c>
      <c r="N601" s="1058">
        <v>0</v>
      </c>
      <c r="O601" s="1057">
        <v>280861</v>
      </c>
      <c r="P601" s="1059">
        <f t="shared" si="22"/>
        <v>459304</v>
      </c>
      <c r="Q601" s="1057"/>
      <c r="R601" s="1058">
        <v>9574878</v>
      </c>
      <c r="S601" s="1057">
        <v>126655</v>
      </c>
      <c r="T601" s="1060">
        <v>9701533</v>
      </c>
    </row>
    <row r="602" spans="1:20" x14ac:dyDescent="0.25">
      <c r="A602" s="1054">
        <v>96502</v>
      </c>
      <c r="B602" s="1055" t="s">
        <v>4239</v>
      </c>
      <c r="C602" s="1056">
        <v>4.059E-4</v>
      </c>
      <c r="D602" s="1056">
        <v>4.2440000000000002E-4</v>
      </c>
      <c r="E602" s="1057">
        <v>962934</v>
      </c>
      <c r="F602" s="1057" t="s">
        <v>187</v>
      </c>
      <c r="G602" s="1058">
        <v>148558</v>
      </c>
      <c r="H602" s="1059">
        <v>132183</v>
      </c>
      <c r="I602" s="1058">
        <v>255525</v>
      </c>
      <c r="J602" s="1057">
        <v>16491</v>
      </c>
      <c r="K602" s="1059">
        <f t="shared" si="21"/>
        <v>552757</v>
      </c>
      <c r="L602" s="1057"/>
      <c r="M602" s="1058">
        <v>4985</v>
      </c>
      <c r="N602" s="1058">
        <v>0</v>
      </c>
      <c r="O602" s="1057">
        <v>0</v>
      </c>
      <c r="P602" s="1059">
        <f t="shared" si="22"/>
        <v>4985</v>
      </c>
      <c r="Q602" s="1057"/>
      <c r="R602" s="1058">
        <v>267477</v>
      </c>
      <c r="S602" s="1057">
        <v>23122</v>
      </c>
      <c r="T602" s="1060">
        <v>290599</v>
      </c>
    </row>
    <row r="603" spans="1:20" x14ac:dyDescent="0.25">
      <c r="A603" s="1054">
        <v>96503</v>
      </c>
      <c r="B603" s="1055" t="s">
        <v>3589</v>
      </c>
      <c r="C603" s="1056">
        <v>2.856E-4</v>
      </c>
      <c r="D603" s="1056">
        <v>3.0039999999999998E-4</v>
      </c>
      <c r="E603" s="1057">
        <v>677541</v>
      </c>
      <c r="F603" s="1057" t="s">
        <v>187</v>
      </c>
      <c r="G603" s="1058">
        <v>104528</v>
      </c>
      <c r="H603" s="1059">
        <v>93006</v>
      </c>
      <c r="I603" s="1058">
        <v>179793</v>
      </c>
      <c r="J603" s="1057">
        <v>287738</v>
      </c>
      <c r="K603" s="1059">
        <f t="shared" si="21"/>
        <v>665065</v>
      </c>
      <c r="L603" s="1057"/>
      <c r="M603" s="1058">
        <v>3507</v>
      </c>
      <c r="N603" s="1058">
        <v>0</v>
      </c>
      <c r="O603" s="1057">
        <v>0</v>
      </c>
      <c r="P603" s="1059">
        <f t="shared" si="22"/>
        <v>3507</v>
      </c>
      <c r="Q603" s="1057"/>
      <c r="R603" s="1058">
        <v>188203</v>
      </c>
      <c r="S603" s="1057">
        <v>104796</v>
      </c>
      <c r="T603" s="1060">
        <v>292999</v>
      </c>
    </row>
    <row r="604" spans="1:20" x14ac:dyDescent="0.25">
      <c r="A604" s="1054">
        <v>96504</v>
      </c>
      <c r="B604" s="1055" t="s">
        <v>3155</v>
      </c>
      <c r="C604" s="1056">
        <v>4.0900000000000002E-4</v>
      </c>
      <c r="D604" s="1056">
        <v>4.1760000000000001E-4</v>
      </c>
      <c r="E604" s="1057">
        <v>970288</v>
      </c>
      <c r="F604" s="1057" t="s">
        <v>187</v>
      </c>
      <c r="G604" s="1058">
        <v>149692</v>
      </c>
      <c r="H604" s="1059">
        <v>133192</v>
      </c>
      <c r="I604" s="1058">
        <v>257477</v>
      </c>
      <c r="J604" s="1057">
        <v>30948</v>
      </c>
      <c r="K604" s="1059">
        <f t="shared" si="21"/>
        <v>571309</v>
      </c>
      <c r="L604" s="1057"/>
      <c r="M604" s="1058">
        <v>5023</v>
      </c>
      <c r="N604" s="1058">
        <v>0</v>
      </c>
      <c r="O604" s="1057">
        <v>3438</v>
      </c>
      <c r="P604" s="1059">
        <f t="shared" si="22"/>
        <v>8461</v>
      </c>
      <c r="Q604" s="1057"/>
      <c r="R604" s="1058">
        <v>269520</v>
      </c>
      <c r="S604" s="1057">
        <v>11348</v>
      </c>
      <c r="T604" s="1060">
        <v>280868</v>
      </c>
    </row>
    <row r="605" spans="1:20" x14ac:dyDescent="0.25">
      <c r="A605" s="1054">
        <v>96507</v>
      </c>
      <c r="B605" s="1055" t="s">
        <v>3156</v>
      </c>
      <c r="C605" s="1056">
        <v>2.2176000000000001E-3</v>
      </c>
      <c r="D605" s="1056">
        <v>2.2147E-3</v>
      </c>
      <c r="E605" s="1057">
        <v>5260906</v>
      </c>
      <c r="F605" s="1057" t="s">
        <v>187</v>
      </c>
      <c r="G605" s="1058">
        <v>811633</v>
      </c>
      <c r="H605" s="1059">
        <v>722166</v>
      </c>
      <c r="I605" s="1058">
        <v>1396041</v>
      </c>
      <c r="J605" s="1057">
        <v>85460</v>
      </c>
      <c r="K605" s="1059">
        <f t="shared" si="21"/>
        <v>3015300</v>
      </c>
      <c r="L605" s="1057"/>
      <c r="M605" s="1058">
        <v>27234</v>
      </c>
      <c r="N605" s="1058">
        <v>0</v>
      </c>
      <c r="O605" s="1057">
        <v>17095</v>
      </c>
      <c r="P605" s="1059">
        <f t="shared" si="22"/>
        <v>44329</v>
      </c>
      <c r="Q605" s="1057"/>
      <c r="R605" s="1058">
        <v>1461339</v>
      </c>
      <c r="S605" s="1057">
        <v>67118</v>
      </c>
      <c r="T605" s="1060">
        <v>1528457</v>
      </c>
    </row>
    <row r="606" spans="1:20" x14ac:dyDescent="0.25">
      <c r="A606" s="1054">
        <v>96508</v>
      </c>
      <c r="B606" s="1055" t="s">
        <v>4240</v>
      </c>
      <c r="C606" s="1056">
        <v>7.4000000000000003E-6</v>
      </c>
      <c r="D606" s="1056">
        <v>8.6000000000000007E-6</v>
      </c>
      <c r="E606" s="1057">
        <v>17555</v>
      </c>
      <c r="F606" s="1057" t="s">
        <v>187</v>
      </c>
      <c r="G606" s="1058">
        <v>2708</v>
      </c>
      <c r="H606" s="1059">
        <v>2410</v>
      </c>
      <c r="I606" s="1058">
        <v>4659</v>
      </c>
      <c r="J606" s="1057">
        <v>12344</v>
      </c>
      <c r="K606" s="1059">
        <f t="shared" si="21"/>
        <v>22121</v>
      </c>
      <c r="L606" s="1057"/>
      <c r="M606" s="1058">
        <v>91</v>
      </c>
      <c r="N606" s="1058">
        <v>0</v>
      </c>
      <c r="O606" s="1057">
        <v>0</v>
      </c>
      <c r="P606" s="1059">
        <f t="shared" si="22"/>
        <v>91</v>
      </c>
      <c r="Q606" s="1057"/>
      <c r="R606" s="1058">
        <v>4876</v>
      </c>
      <c r="S606" s="1057">
        <v>5799</v>
      </c>
      <c r="T606" s="1060">
        <v>10675</v>
      </c>
    </row>
    <row r="607" spans="1:20" x14ac:dyDescent="0.25">
      <c r="A607" s="1054">
        <v>96511</v>
      </c>
      <c r="B607" s="1055" t="s">
        <v>4241</v>
      </c>
      <c r="C607" s="1056">
        <v>6.1580000000000001E-4</v>
      </c>
      <c r="D607" s="1056">
        <v>6.2069999999999996E-4</v>
      </c>
      <c r="E607" s="1057">
        <v>1460888</v>
      </c>
      <c r="F607" s="1057" t="s">
        <v>187</v>
      </c>
      <c r="G607" s="1058">
        <v>225380</v>
      </c>
      <c r="H607" s="1059">
        <v>200536</v>
      </c>
      <c r="I607" s="1058">
        <v>387663</v>
      </c>
      <c r="J607" s="1057">
        <v>0</v>
      </c>
      <c r="K607" s="1059">
        <f t="shared" si="21"/>
        <v>813579</v>
      </c>
      <c r="L607" s="1057"/>
      <c r="M607" s="1058">
        <v>7563</v>
      </c>
      <c r="N607" s="1058">
        <v>0</v>
      </c>
      <c r="O607" s="1057">
        <v>55836</v>
      </c>
      <c r="P607" s="1059">
        <f t="shared" si="22"/>
        <v>63399</v>
      </c>
      <c r="Q607" s="1057"/>
      <c r="R607" s="1058">
        <v>405796</v>
      </c>
      <c r="S607" s="1057">
        <v>-51447</v>
      </c>
      <c r="T607" s="1060">
        <v>354349</v>
      </c>
    </row>
    <row r="608" spans="1:20" x14ac:dyDescent="0.25">
      <c r="A608" s="1054">
        <v>96512</v>
      </c>
      <c r="B608" s="1055" t="s">
        <v>3159</v>
      </c>
      <c r="C608" s="1056">
        <v>1.5899999999999999E-4</v>
      </c>
      <c r="D608" s="1056">
        <v>1.5119999999999999E-4</v>
      </c>
      <c r="E608" s="1057">
        <v>377202</v>
      </c>
      <c r="F608" s="1057" t="s">
        <v>187</v>
      </c>
      <c r="G608" s="1058">
        <v>58193</v>
      </c>
      <c r="H608" s="1059">
        <v>51778</v>
      </c>
      <c r="I608" s="1058">
        <v>100095</v>
      </c>
      <c r="J608" s="1057">
        <v>10002</v>
      </c>
      <c r="K608" s="1059">
        <f t="shared" si="21"/>
        <v>220068</v>
      </c>
      <c r="L608" s="1057"/>
      <c r="M608" s="1058">
        <v>1953</v>
      </c>
      <c r="N608" s="1058">
        <v>0</v>
      </c>
      <c r="O608" s="1057">
        <v>7472</v>
      </c>
      <c r="P608" s="1059">
        <f t="shared" si="22"/>
        <v>9425</v>
      </c>
      <c r="Q608" s="1057"/>
      <c r="R608" s="1058">
        <v>104777</v>
      </c>
      <c r="S608" s="1057">
        <v>1973</v>
      </c>
      <c r="T608" s="1060">
        <v>106750</v>
      </c>
    </row>
    <row r="610" spans="1:20" x14ac:dyDescent="0.25">
      <c r="A610" s="1054">
        <v>96521</v>
      </c>
      <c r="B610" s="1055" t="s">
        <v>4242</v>
      </c>
      <c r="C610" s="1056">
        <v>9.6719999999999998E-4</v>
      </c>
      <c r="D610" s="1056">
        <v>9.881E-4</v>
      </c>
      <c r="E610" s="1057">
        <v>2294529</v>
      </c>
      <c r="F610" s="1057" t="s">
        <v>187</v>
      </c>
      <c r="G610" s="1058">
        <v>353991</v>
      </c>
      <c r="H610" s="1059">
        <v>314971</v>
      </c>
      <c r="I610" s="1058">
        <v>608879</v>
      </c>
      <c r="J610" s="1057">
        <v>13526</v>
      </c>
      <c r="K610" s="1059">
        <f t="shared" si="21"/>
        <v>1291367</v>
      </c>
      <c r="L610" s="1057"/>
      <c r="M610" s="1058">
        <v>11878</v>
      </c>
      <c r="N610" s="1058">
        <v>0</v>
      </c>
      <c r="O610" s="1057">
        <v>66754</v>
      </c>
      <c r="P610" s="1059">
        <f t="shared" si="22"/>
        <v>78632</v>
      </c>
      <c r="Q610" s="1057"/>
      <c r="R610" s="1058">
        <v>637359</v>
      </c>
      <c r="S610" s="1057">
        <v>-6086</v>
      </c>
      <c r="T610" s="1060">
        <v>631273</v>
      </c>
    </row>
    <row r="611" spans="1:20" x14ac:dyDescent="0.25">
      <c r="A611" s="1054">
        <v>96531</v>
      </c>
      <c r="B611" s="1055" t="s">
        <v>3162</v>
      </c>
      <c r="C611" s="1056">
        <v>8.7183999999999994E-3</v>
      </c>
      <c r="D611" s="1056">
        <v>8.5845000000000001E-3</v>
      </c>
      <c r="E611" s="1057">
        <v>20683026</v>
      </c>
      <c r="F611" s="1057" t="s">
        <v>187</v>
      </c>
      <c r="G611" s="1058">
        <v>3190900</v>
      </c>
      <c r="H611" s="1059">
        <v>2839165</v>
      </c>
      <c r="I611" s="1058">
        <v>5488477</v>
      </c>
      <c r="J611" s="1057">
        <v>21971</v>
      </c>
      <c r="K611" s="1059">
        <f t="shared" si="21"/>
        <v>11540513</v>
      </c>
      <c r="L611" s="1057"/>
      <c r="M611" s="1058">
        <v>107071</v>
      </c>
      <c r="N611" s="1058">
        <v>0</v>
      </c>
      <c r="O611" s="1057">
        <v>363715</v>
      </c>
      <c r="P611" s="1059">
        <f t="shared" si="22"/>
        <v>470786</v>
      </c>
      <c r="Q611" s="1057"/>
      <c r="R611" s="1058">
        <v>5745190</v>
      </c>
      <c r="S611" s="1057">
        <v>-139676</v>
      </c>
      <c r="T611" s="1060">
        <v>5605514</v>
      </c>
    </row>
    <row r="612" spans="1:20" x14ac:dyDescent="0.25">
      <c r="A612" s="1054">
        <v>96541</v>
      </c>
      <c r="B612" s="1055" t="s">
        <v>4243</v>
      </c>
      <c r="C612" s="1056">
        <v>3.5780000000000002E-4</v>
      </c>
      <c r="D612" s="1056">
        <v>3.5950000000000001E-4</v>
      </c>
      <c r="E612" s="1057">
        <v>848824</v>
      </c>
      <c r="F612" s="1057" t="s">
        <v>187</v>
      </c>
      <c r="G612" s="1058">
        <v>130953</v>
      </c>
      <c r="H612" s="1059">
        <v>116518</v>
      </c>
      <c r="I612" s="1058">
        <v>225245</v>
      </c>
      <c r="J612" s="1057">
        <v>11846</v>
      </c>
      <c r="K612" s="1059">
        <f t="shared" si="21"/>
        <v>484562</v>
      </c>
      <c r="L612" s="1057"/>
      <c r="M612" s="1058">
        <v>4394</v>
      </c>
      <c r="N612" s="1058">
        <v>0</v>
      </c>
      <c r="O612" s="1057">
        <v>5150</v>
      </c>
      <c r="P612" s="1059">
        <f t="shared" si="22"/>
        <v>9544</v>
      </c>
      <c r="Q612" s="1057"/>
      <c r="R612" s="1058">
        <v>235781</v>
      </c>
      <c r="S612" s="1057">
        <v>11668</v>
      </c>
      <c r="T612" s="1060">
        <v>247449</v>
      </c>
    </row>
    <row r="613" spans="1:20" x14ac:dyDescent="0.25">
      <c r="A613" s="1054">
        <v>96601</v>
      </c>
      <c r="B613" s="1055" t="s">
        <v>3164</v>
      </c>
      <c r="C613" s="1056">
        <v>1.7382999999999999E-3</v>
      </c>
      <c r="D613" s="1056">
        <v>1.8169E-3</v>
      </c>
      <c r="E613" s="1057">
        <v>4123842</v>
      </c>
      <c r="F613" s="1057" t="s">
        <v>187</v>
      </c>
      <c r="G613" s="1058">
        <v>636211</v>
      </c>
      <c r="H613" s="1059">
        <v>566081</v>
      </c>
      <c r="I613" s="1058">
        <v>1094309</v>
      </c>
      <c r="J613" s="1057">
        <v>18007</v>
      </c>
      <c r="K613" s="1059">
        <f t="shared" si="21"/>
        <v>2314608</v>
      </c>
      <c r="L613" s="1057"/>
      <c r="M613" s="1058">
        <v>21348</v>
      </c>
      <c r="N613" s="1058">
        <v>0</v>
      </c>
      <c r="O613" s="1057">
        <v>78122</v>
      </c>
      <c r="P613" s="1059">
        <f t="shared" si="22"/>
        <v>99470</v>
      </c>
      <c r="Q613" s="1057"/>
      <c r="R613" s="1058">
        <v>1145493</v>
      </c>
      <c r="S613" s="1057">
        <v>10810</v>
      </c>
      <c r="T613" s="1060">
        <v>1156303</v>
      </c>
    </row>
    <row r="614" spans="1:20" x14ac:dyDescent="0.25">
      <c r="A614" s="1054">
        <v>96604</v>
      </c>
      <c r="B614" s="1055" t="s">
        <v>3165</v>
      </c>
      <c r="C614" s="1056">
        <v>5.5999999999999997E-6</v>
      </c>
      <c r="D614" s="1056">
        <v>7.6000000000000001E-6</v>
      </c>
      <c r="E614" s="1057">
        <v>13285</v>
      </c>
      <c r="F614" s="1057" t="s">
        <v>187</v>
      </c>
      <c r="G614" s="1058">
        <v>2050</v>
      </c>
      <c r="H614" s="1059">
        <v>1823</v>
      </c>
      <c r="I614" s="1058">
        <v>3525</v>
      </c>
      <c r="J614" s="1057">
        <v>1487</v>
      </c>
      <c r="K614" s="1059">
        <f t="shared" si="21"/>
        <v>8885</v>
      </c>
      <c r="L614" s="1057"/>
      <c r="M614" s="1058">
        <v>69</v>
      </c>
      <c r="N614" s="1058">
        <v>0</v>
      </c>
      <c r="O614" s="1057">
        <v>31</v>
      </c>
      <c r="P614" s="1059">
        <f t="shared" si="22"/>
        <v>100</v>
      </c>
      <c r="Q614" s="1057"/>
      <c r="R614" s="1058">
        <v>3690</v>
      </c>
      <c r="S614" s="1057">
        <v>870</v>
      </c>
      <c r="T614" s="1060">
        <v>4560</v>
      </c>
    </row>
    <row r="615" spans="1:20" x14ac:dyDescent="0.25">
      <c r="A615" s="1054">
        <v>96611</v>
      </c>
      <c r="B615" s="1055" t="s">
        <v>4244</v>
      </c>
      <c r="C615" s="1056">
        <v>2.41E-5</v>
      </c>
      <c r="D615" s="1056">
        <v>2.83E-5</v>
      </c>
      <c r="E615" s="1057">
        <v>57173</v>
      </c>
      <c r="F615" s="1057" t="s">
        <v>187</v>
      </c>
      <c r="G615" s="1058">
        <v>8821</v>
      </c>
      <c r="H615" s="1059">
        <v>7848</v>
      </c>
      <c r="I615" s="1058">
        <v>15172</v>
      </c>
      <c r="J615" s="1057">
        <v>263</v>
      </c>
      <c r="K615" s="1059">
        <f t="shared" si="21"/>
        <v>32104</v>
      </c>
      <c r="L615" s="1057"/>
      <c r="M615" s="1058">
        <v>296</v>
      </c>
      <c r="N615" s="1058">
        <v>0</v>
      </c>
      <c r="O615" s="1057">
        <v>5198</v>
      </c>
      <c r="P615" s="1059">
        <f t="shared" si="22"/>
        <v>5494</v>
      </c>
      <c r="Q615" s="1057"/>
      <c r="R615" s="1058">
        <v>15881</v>
      </c>
      <c r="S615" s="1057">
        <v>-426</v>
      </c>
      <c r="T615" s="1060">
        <v>15455</v>
      </c>
    </row>
    <row r="616" spans="1:20" x14ac:dyDescent="0.25">
      <c r="A616" s="1054">
        <v>96612</v>
      </c>
      <c r="B616" s="1055" t="s">
        <v>4245</v>
      </c>
      <c r="C616" s="1056">
        <v>5.4500000000000003E-5</v>
      </c>
      <c r="D616" s="1056">
        <v>6.3299999999999994E-5</v>
      </c>
      <c r="E616" s="1057">
        <v>129293</v>
      </c>
      <c r="F616" s="1057" t="s">
        <v>187</v>
      </c>
      <c r="G616" s="1058">
        <v>19947</v>
      </c>
      <c r="H616" s="1059">
        <v>17748</v>
      </c>
      <c r="I616" s="1058">
        <v>34309</v>
      </c>
      <c r="J616" s="1057">
        <v>4765</v>
      </c>
      <c r="K616" s="1059">
        <f t="shared" si="21"/>
        <v>76769</v>
      </c>
      <c r="L616" s="1057"/>
      <c r="M616" s="1058">
        <v>669</v>
      </c>
      <c r="N616" s="1058">
        <v>0</v>
      </c>
      <c r="O616" s="1057">
        <v>2264</v>
      </c>
      <c r="P616" s="1059">
        <f t="shared" si="22"/>
        <v>2933</v>
      </c>
      <c r="Q616" s="1057"/>
      <c r="R616" s="1058">
        <v>35914</v>
      </c>
      <c r="S616" s="1057">
        <v>1711</v>
      </c>
      <c r="T616" s="1060">
        <v>37625</v>
      </c>
    </row>
    <row r="617" spans="1:20" x14ac:dyDescent="0.25">
      <c r="A617" s="1054">
        <v>96621</v>
      </c>
      <c r="B617" s="1055" t="s">
        <v>4246</v>
      </c>
      <c r="C617" s="1056">
        <v>1.9199999999999999E-5</v>
      </c>
      <c r="D617" s="1056">
        <v>2.5999999999999998E-5</v>
      </c>
      <c r="E617" s="1057">
        <v>45549</v>
      </c>
      <c r="F617" s="1057" t="s">
        <v>187</v>
      </c>
      <c r="G617" s="1058">
        <v>7027</v>
      </c>
      <c r="H617" s="1059">
        <v>6253</v>
      </c>
      <c r="I617" s="1058">
        <v>12087</v>
      </c>
      <c r="J617" s="1057">
        <v>856</v>
      </c>
      <c r="K617" s="1059">
        <f t="shared" si="21"/>
        <v>26223</v>
      </c>
      <c r="L617" s="1057"/>
      <c r="M617" s="1058">
        <v>236</v>
      </c>
      <c r="N617" s="1058">
        <v>0</v>
      </c>
      <c r="O617" s="1057">
        <v>4283</v>
      </c>
      <c r="P617" s="1059">
        <f t="shared" si="22"/>
        <v>4519</v>
      </c>
      <c r="Q617" s="1057"/>
      <c r="R617" s="1058">
        <v>12652</v>
      </c>
      <c r="S617" s="1057">
        <v>-2837</v>
      </c>
      <c r="T617" s="1060">
        <v>9815</v>
      </c>
    </row>
    <row r="618" spans="1:20" x14ac:dyDescent="0.25">
      <c r="A618" s="1054">
        <v>96631</v>
      </c>
      <c r="B618" s="1055" t="s">
        <v>4247</v>
      </c>
      <c r="C618" s="1056">
        <v>2.3600000000000001E-5</v>
      </c>
      <c r="D618" s="1056">
        <v>2.51E-5</v>
      </c>
      <c r="E618" s="1057">
        <v>55987</v>
      </c>
      <c r="F618" s="1057" t="s">
        <v>187</v>
      </c>
      <c r="G618" s="1058">
        <v>8638</v>
      </c>
      <c r="H618" s="1059">
        <v>7685</v>
      </c>
      <c r="I618" s="1058">
        <v>14857</v>
      </c>
      <c r="J618" s="1057">
        <v>1094</v>
      </c>
      <c r="K618" s="1059">
        <f t="shared" si="21"/>
        <v>32274</v>
      </c>
      <c r="L618" s="1057"/>
      <c r="M618" s="1058">
        <v>290</v>
      </c>
      <c r="N618" s="1058">
        <v>0</v>
      </c>
      <c r="O618" s="1057">
        <v>531</v>
      </c>
      <c r="P618" s="1059">
        <f t="shared" si="22"/>
        <v>821</v>
      </c>
      <c r="Q618" s="1057"/>
      <c r="R618" s="1058">
        <v>15552</v>
      </c>
      <c r="S618" s="1057">
        <v>2111</v>
      </c>
      <c r="T618" s="1060">
        <v>17663</v>
      </c>
    </row>
    <row r="619" spans="1:20" x14ac:dyDescent="0.25">
      <c r="A619" s="1054">
        <v>96641</v>
      </c>
      <c r="B619" s="1055" t="s">
        <v>4248</v>
      </c>
      <c r="C619" s="1056">
        <v>3.2100000000000001E-5</v>
      </c>
      <c r="D619" s="1056">
        <v>3.2199999999999997E-5</v>
      </c>
      <c r="E619" s="1057">
        <v>76152</v>
      </c>
      <c r="F619" s="1057" t="s">
        <v>187</v>
      </c>
      <c r="G619" s="1058">
        <v>11748</v>
      </c>
      <c r="H619" s="1059">
        <v>10453</v>
      </c>
      <c r="I619" s="1058">
        <v>20208</v>
      </c>
      <c r="J619" s="1057">
        <v>14432</v>
      </c>
      <c r="K619" s="1059">
        <f t="shared" si="21"/>
        <v>56841</v>
      </c>
      <c r="L619" s="1057"/>
      <c r="M619" s="1058">
        <v>394</v>
      </c>
      <c r="N619" s="1058">
        <v>0</v>
      </c>
      <c r="O619" s="1057">
        <v>0</v>
      </c>
      <c r="P619" s="1059">
        <f t="shared" si="22"/>
        <v>394</v>
      </c>
      <c r="Q619" s="1057"/>
      <c r="R619" s="1058">
        <v>21153</v>
      </c>
      <c r="S619" s="1057">
        <v>7161</v>
      </c>
      <c r="T619" s="1060">
        <v>28314</v>
      </c>
    </row>
    <row r="620" spans="1:20" x14ac:dyDescent="0.25">
      <c r="A620" s="1054">
        <v>96651</v>
      </c>
      <c r="B620" s="1055" t="s">
        <v>4249</v>
      </c>
      <c r="C620" s="1056">
        <v>1.9400000000000001E-5</v>
      </c>
      <c r="D620" s="1056">
        <v>1.7399999999999999E-5</v>
      </c>
      <c r="E620" s="1057">
        <v>46023</v>
      </c>
      <c r="F620" s="1057" t="s">
        <v>187</v>
      </c>
      <c r="G620" s="1058">
        <v>7100</v>
      </c>
      <c r="H620" s="1059">
        <v>6317</v>
      </c>
      <c r="I620" s="1058">
        <v>12213</v>
      </c>
      <c r="J620" s="1057">
        <v>2918</v>
      </c>
      <c r="K620" s="1059">
        <f t="shared" si="21"/>
        <v>28548</v>
      </c>
      <c r="L620" s="1057"/>
      <c r="M620" s="1058">
        <v>238</v>
      </c>
      <c r="N620" s="1058">
        <v>0</v>
      </c>
      <c r="O620" s="1057">
        <v>392</v>
      </c>
      <c r="P620" s="1059">
        <f t="shared" si="22"/>
        <v>630</v>
      </c>
      <c r="Q620" s="1057"/>
      <c r="R620" s="1058">
        <v>12784</v>
      </c>
      <c r="S620" s="1057">
        <v>12</v>
      </c>
      <c r="T620" s="1060">
        <v>12796</v>
      </c>
    </row>
    <row r="621" spans="1:20" x14ac:dyDescent="0.25">
      <c r="A621" s="1054">
        <v>96661</v>
      </c>
      <c r="B621" s="1055" t="s">
        <v>4250</v>
      </c>
      <c r="C621" s="1056">
        <v>1.9000000000000001E-5</v>
      </c>
      <c r="D621" s="1056">
        <v>1.9700000000000001E-5</v>
      </c>
      <c r="E621" s="1057">
        <v>45074</v>
      </c>
      <c r="F621" s="1057" t="s">
        <v>187</v>
      </c>
      <c r="G621" s="1058">
        <v>6954</v>
      </c>
      <c r="H621" s="1059">
        <v>6187</v>
      </c>
      <c r="I621" s="1058">
        <v>11961</v>
      </c>
      <c r="J621" s="1057">
        <v>3696</v>
      </c>
      <c r="K621" s="1059">
        <f t="shared" si="21"/>
        <v>28798</v>
      </c>
      <c r="L621" s="1057"/>
      <c r="M621" s="1058">
        <v>233</v>
      </c>
      <c r="N621" s="1058">
        <v>0</v>
      </c>
      <c r="O621" s="1057">
        <v>0</v>
      </c>
      <c r="P621" s="1059">
        <f t="shared" si="22"/>
        <v>233</v>
      </c>
      <c r="Q621" s="1057"/>
      <c r="R621" s="1058">
        <v>12520</v>
      </c>
      <c r="S621" s="1057">
        <v>2708</v>
      </c>
      <c r="T621" s="1060">
        <v>15228</v>
      </c>
    </row>
    <row r="622" spans="1:20" x14ac:dyDescent="0.25">
      <c r="A622" s="1054">
        <v>96671</v>
      </c>
      <c r="B622" s="1055" t="s">
        <v>4251</v>
      </c>
      <c r="C622" s="1056">
        <v>1.3900000000000001E-5</v>
      </c>
      <c r="D622" s="1056">
        <v>1.49E-5</v>
      </c>
      <c r="E622" s="1057">
        <v>32976</v>
      </c>
      <c r="F622" s="1057" t="s">
        <v>187</v>
      </c>
      <c r="G622" s="1058">
        <v>5087</v>
      </c>
      <c r="H622" s="1059">
        <v>4527</v>
      </c>
      <c r="I622" s="1058">
        <v>8750</v>
      </c>
      <c r="J622" s="1057">
        <v>5736</v>
      </c>
      <c r="K622" s="1059">
        <f t="shared" si="21"/>
        <v>24100</v>
      </c>
      <c r="L622" s="1057"/>
      <c r="M622" s="1058">
        <v>171</v>
      </c>
      <c r="N622" s="1058">
        <v>0</v>
      </c>
      <c r="O622" s="1057">
        <v>0</v>
      </c>
      <c r="P622" s="1059">
        <f t="shared" si="22"/>
        <v>171</v>
      </c>
      <c r="Q622" s="1057"/>
      <c r="R622" s="1058">
        <v>9160</v>
      </c>
      <c r="S622" s="1057">
        <v>3860</v>
      </c>
      <c r="T622" s="1060">
        <v>13020</v>
      </c>
    </row>
    <row r="623" spans="1:20" x14ac:dyDescent="0.25">
      <c r="A623" s="1054">
        <v>96681</v>
      </c>
      <c r="B623" s="1055" t="s">
        <v>4252</v>
      </c>
      <c r="C623" s="1056">
        <v>2.0599999999999999E-5</v>
      </c>
      <c r="D623" s="1056">
        <v>1.7499999999999998E-5</v>
      </c>
      <c r="E623" s="1057">
        <v>48870</v>
      </c>
      <c r="F623" s="1057" t="s">
        <v>187</v>
      </c>
      <c r="G623" s="1058">
        <v>7540</v>
      </c>
      <c r="H623" s="1059">
        <v>6709</v>
      </c>
      <c r="I623" s="1058">
        <v>12968</v>
      </c>
      <c r="J623" s="1057">
        <v>13276</v>
      </c>
      <c r="K623" s="1059">
        <f t="shared" si="21"/>
        <v>40493</v>
      </c>
      <c r="L623" s="1057"/>
      <c r="M623" s="1058">
        <v>253</v>
      </c>
      <c r="N623" s="1058">
        <v>0</v>
      </c>
      <c r="O623" s="1057">
        <v>6212</v>
      </c>
      <c r="P623" s="1059">
        <f t="shared" si="22"/>
        <v>6465</v>
      </c>
      <c r="Q623" s="1057"/>
      <c r="R623" s="1058">
        <v>13575</v>
      </c>
      <c r="S623" s="1057">
        <v>4774</v>
      </c>
      <c r="T623" s="1060">
        <v>18349</v>
      </c>
    </row>
    <row r="624" spans="1:20" x14ac:dyDescent="0.25">
      <c r="A624" s="1054">
        <v>96701</v>
      </c>
      <c r="B624" s="1055" t="s">
        <v>3175</v>
      </c>
      <c r="C624" s="1056">
        <v>8.5999000000000006E-3</v>
      </c>
      <c r="D624" s="1056">
        <v>8.4206000000000003E-3</v>
      </c>
      <c r="E624" s="1057">
        <v>20401904</v>
      </c>
      <c r="F624" s="1057" t="s">
        <v>187</v>
      </c>
      <c r="G624" s="1058">
        <v>3147529</v>
      </c>
      <c r="H624" s="1059">
        <v>2800575</v>
      </c>
      <c r="I624" s="1058">
        <v>5413878</v>
      </c>
      <c r="J624" s="1057">
        <v>278573</v>
      </c>
      <c r="K624" s="1059">
        <f t="shared" si="21"/>
        <v>11640555</v>
      </c>
      <c r="L624" s="1057"/>
      <c r="M624" s="1058">
        <v>105615</v>
      </c>
      <c r="N624" s="1058">
        <v>0</v>
      </c>
      <c r="O624" s="1057">
        <v>118719</v>
      </c>
      <c r="P624" s="1059">
        <f t="shared" si="22"/>
        <v>224334</v>
      </c>
      <c r="Q624" s="1057"/>
      <c r="R624" s="1058">
        <v>5667102</v>
      </c>
      <c r="S624" s="1057">
        <v>115986</v>
      </c>
      <c r="T624" s="1060">
        <v>5783088</v>
      </c>
    </row>
    <row r="625" spans="1:20" x14ac:dyDescent="0.25">
      <c r="A625" s="1054">
        <v>96704</v>
      </c>
      <c r="B625" s="1055" t="s">
        <v>3176</v>
      </c>
      <c r="C625" s="1056">
        <v>1.7550000000000001E-4</v>
      </c>
      <c r="D625" s="1056">
        <v>1.7259999999999999E-4</v>
      </c>
      <c r="E625" s="1057">
        <v>416346</v>
      </c>
      <c r="F625" s="1057" t="s">
        <v>187</v>
      </c>
      <c r="G625" s="1058">
        <v>64232</v>
      </c>
      <c r="H625" s="1059">
        <v>57152</v>
      </c>
      <c r="I625" s="1058">
        <v>110482</v>
      </c>
      <c r="J625" s="1057">
        <v>38151</v>
      </c>
      <c r="K625" s="1059">
        <f t="shared" si="21"/>
        <v>270017</v>
      </c>
      <c r="L625" s="1057"/>
      <c r="M625" s="1058">
        <v>2155</v>
      </c>
      <c r="N625" s="1058">
        <v>0</v>
      </c>
      <c r="O625" s="1057">
        <v>0</v>
      </c>
      <c r="P625" s="1059">
        <f t="shared" si="22"/>
        <v>2155</v>
      </c>
      <c r="Q625" s="1057"/>
      <c r="R625" s="1058">
        <v>115650</v>
      </c>
      <c r="S625" s="1057">
        <v>14330</v>
      </c>
      <c r="T625" s="1060">
        <v>129980</v>
      </c>
    </row>
    <row r="626" spans="1:20" x14ac:dyDescent="0.25">
      <c r="A626" s="1054">
        <v>96708</v>
      </c>
      <c r="B626" s="1055" t="s">
        <v>3177</v>
      </c>
      <c r="C626" s="1056">
        <v>8.8579999999999996E-4</v>
      </c>
      <c r="D626" s="1056">
        <v>9.031E-4</v>
      </c>
      <c r="E626" s="1057">
        <v>2101421</v>
      </c>
      <c r="F626" s="1057" t="s">
        <v>187</v>
      </c>
      <c r="G626" s="1058">
        <v>324199</v>
      </c>
      <c r="H626" s="1059">
        <v>288462</v>
      </c>
      <c r="I626" s="1058">
        <v>557636</v>
      </c>
      <c r="J626" s="1057">
        <v>83209</v>
      </c>
      <c r="K626" s="1059">
        <f t="shared" si="21"/>
        <v>1253506</v>
      </c>
      <c r="L626" s="1057"/>
      <c r="M626" s="1058">
        <v>10879</v>
      </c>
      <c r="N626" s="1058">
        <v>0</v>
      </c>
      <c r="O626" s="1057">
        <v>12940</v>
      </c>
      <c r="P626" s="1059">
        <f t="shared" si="22"/>
        <v>23819</v>
      </c>
      <c r="Q626" s="1057"/>
      <c r="R626" s="1058">
        <v>583718</v>
      </c>
      <c r="S626" s="1057">
        <v>35387</v>
      </c>
      <c r="T626" s="1060">
        <v>619105</v>
      </c>
    </row>
    <row r="627" spans="1:20" x14ac:dyDescent="0.25">
      <c r="A627" s="1054">
        <v>96711</v>
      </c>
      <c r="B627" s="1055" t="s">
        <v>3178</v>
      </c>
      <c r="C627" s="1056">
        <v>3.9007999999999998E-3</v>
      </c>
      <c r="D627" s="1056">
        <v>4.0464000000000003E-3</v>
      </c>
      <c r="E627" s="1057">
        <v>9254032</v>
      </c>
      <c r="F627" s="1057" t="s">
        <v>187</v>
      </c>
      <c r="G627" s="1058">
        <v>1427677</v>
      </c>
      <c r="H627" s="1059">
        <v>1270303</v>
      </c>
      <c r="I627" s="1058">
        <v>2455663</v>
      </c>
      <c r="J627" s="1057">
        <v>0</v>
      </c>
      <c r="K627" s="1059">
        <f t="shared" si="21"/>
        <v>5153643</v>
      </c>
      <c r="L627" s="1057"/>
      <c r="M627" s="1058">
        <v>47906</v>
      </c>
      <c r="N627" s="1058">
        <v>0</v>
      </c>
      <c r="O627" s="1057">
        <v>409014</v>
      </c>
      <c r="P627" s="1059">
        <f t="shared" si="22"/>
        <v>456920</v>
      </c>
      <c r="Q627" s="1057"/>
      <c r="R627" s="1058">
        <v>2570522</v>
      </c>
      <c r="S627" s="1057">
        <v>-194188</v>
      </c>
      <c r="T627" s="1060">
        <v>2376334</v>
      </c>
    </row>
    <row r="628" spans="1:20" x14ac:dyDescent="0.25">
      <c r="A628" s="1054">
        <v>96721</v>
      </c>
      <c r="B628" s="1055" t="s">
        <v>4253</v>
      </c>
      <c r="C628" s="1056">
        <v>2.1790000000000001E-4</v>
      </c>
      <c r="D628" s="1056">
        <v>2.1379999999999999E-4</v>
      </c>
      <c r="E628" s="1057">
        <v>516933</v>
      </c>
      <c r="F628" s="1057" t="s">
        <v>187</v>
      </c>
      <c r="G628" s="1058">
        <v>79751</v>
      </c>
      <c r="H628" s="1059">
        <v>70959</v>
      </c>
      <c r="I628" s="1058">
        <v>137174</v>
      </c>
      <c r="J628" s="1057">
        <v>8328</v>
      </c>
      <c r="K628" s="1059">
        <f t="shared" si="21"/>
        <v>296212</v>
      </c>
      <c r="L628" s="1057"/>
      <c r="M628" s="1058">
        <v>2676</v>
      </c>
      <c r="N628" s="1058">
        <v>0</v>
      </c>
      <c r="O628" s="1057">
        <v>16609</v>
      </c>
      <c r="P628" s="1059">
        <f t="shared" si="22"/>
        <v>19285</v>
      </c>
      <c r="Q628" s="1057"/>
      <c r="R628" s="1058">
        <v>143590</v>
      </c>
      <c r="S628" s="1057">
        <v>-991</v>
      </c>
      <c r="T628" s="1060">
        <v>142599</v>
      </c>
    </row>
    <row r="629" spans="1:20" x14ac:dyDescent="0.25">
      <c r="A629" s="1054">
        <v>96731</v>
      </c>
      <c r="B629" s="1055" t="s">
        <v>4254</v>
      </c>
      <c r="C629" s="1056">
        <v>1.7019999999999999E-4</v>
      </c>
      <c r="D629" s="1056">
        <v>1.697E-4</v>
      </c>
      <c r="E629" s="1057">
        <v>403773</v>
      </c>
      <c r="F629" s="1057" t="s">
        <v>187</v>
      </c>
      <c r="G629" s="1058">
        <v>62293</v>
      </c>
      <c r="H629" s="1059">
        <v>55426</v>
      </c>
      <c r="I629" s="1058">
        <v>107146</v>
      </c>
      <c r="J629" s="1057">
        <v>13647</v>
      </c>
      <c r="K629" s="1059">
        <f t="shared" si="21"/>
        <v>238512</v>
      </c>
      <c r="L629" s="1057"/>
      <c r="M629" s="1058">
        <v>2090</v>
      </c>
      <c r="N629" s="1058">
        <v>0</v>
      </c>
      <c r="O629" s="1057">
        <v>1770</v>
      </c>
      <c r="P629" s="1059">
        <f t="shared" si="22"/>
        <v>3860</v>
      </c>
      <c r="Q629" s="1057"/>
      <c r="R629" s="1058">
        <v>112157</v>
      </c>
      <c r="S629" s="1057">
        <v>6857</v>
      </c>
      <c r="T629" s="1060">
        <v>119014</v>
      </c>
    </row>
    <row r="630" spans="1:20" x14ac:dyDescent="0.25">
      <c r="A630" s="1054">
        <v>96733</v>
      </c>
      <c r="B630" s="1055" t="s">
        <v>3181</v>
      </c>
      <c r="C630" s="1056">
        <v>1.1800000000000001E-5</v>
      </c>
      <c r="D630" s="1056">
        <v>7.3000000000000004E-6</v>
      </c>
      <c r="E630" s="1057">
        <v>27994</v>
      </c>
      <c r="F630" s="1057" t="s">
        <v>187</v>
      </c>
      <c r="G630" s="1058">
        <v>4319</v>
      </c>
      <c r="H630" s="1059">
        <v>3843</v>
      </c>
      <c r="I630" s="1058">
        <v>7428</v>
      </c>
      <c r="J630" s="1057">
        <v>4117</v>
      </c>
      <c r="K630" s="1059">
        <f t="shared" si="21"/>
        <v>19707</v>
      </c>
      <c r="L630" s="1057"/>
      <c r="M630" s="1058">
        <v>145</v>
      </c>
      <c r="N630" s="1058">
        <v>0</v>
      </c>
      <c r="O630" s="1057">
        <v>705</v>
      </c>
      <c r="P630" s="1059">
        <f t="shared" si="22"/>
        <v>850</v>
      </c>
      <c r="Q630" s="1057"/>
      <c r="R630" s="1058">
        <v>7776</v>
      </c>
      <c r="S630" s="1057">
        <v>2113</v>
      </c>
      <c r="T630" s="1060">
        <v>9889</v>
      </c>
    </row>
    <row r="631" spans="1:20" x14ac:dyDescent="0.25">
      <c r="A631" s="1054">
        <v>96741</v>
      </c>
      <c r="B631" s="1055" t="s">
        <v>4255</v>
      </c>
      <c r="C631" s="1056">
        <v>9.8900000000000005E-5</v>
      </c>
      <c r="D631" s="1056">
        <v>9.0799999999999998E-5</v>
      </c>
      <c r="E631" s="1057">
        <v>234625</v>
      </c>
      <c r="F631" s="1057" t="s">
        <v>187</v>
      </c>
      <c r="G631" s="1058">
        <v>36197</v>
      </c>
      <c r="H631" s="1059">
        <v>32207</v>
      </c>
      <c r="I631" s="1058">
        <v>62260</v>
      </c>
      <c r="J631" s="1057">
        <v>4092</v>
      </c>
      <c r="K631" s="1059">
        <f t="shared" si="21"/>
        <v>134756</v>
      </c>
      <c r="L631" s="1057"/>
      <c r="M631" s="1058">
        <v>1215</v>
      </c>
      <c r="N631" s="1058">
        <v>0</v>
      </c>
      <c r="O631" s="1057">
        <v>1693</v>
      </c>
      <c r="P631" s="1059">
        <f t="shared" si="22"/>
        <v>2908</v>
      </c>
      <c r="Q631" s="1057"/>
      <c r="R631" s="1058">
        <v>65172</v>
      </c>
      <c r="S631" s="1057">
        <v>2903</v>
      </c>
      <c r="T631" s="1060">
        <v>68075</v>
      </c>
    </row>
    <row r="632" spans="1:20" x14ac:dyDescent="0.25">
      <c r="A632" s="1054">
        <v>96751</v>
      </c>
      <c r="B632" s="1055" t="s">
        <v>4256</v>
      </c>
      <c r="C632" s="1056">
        <v>2.7920000000000001E-4</v>
      </c>
      <c r="D632" s="1056">
        <v>2.5809999999999999E-4</v>
      </c>
      <c r="E632" s="1057">
        <v>662358</v>
      </c>
      <c r="F632" s="1057" t="s">
        <v>187</v>
      </c>
      <c r="G632" s="1058">
        <v>102186</v>
      </c>
      <c r="H632" s="1059">
        <v>90922</v>
      </c>
      <c r="I632" s="1058">
        <v>175764</v>
      </c>
      <c r="J632" s="1057">
        <v>1710</v>
      </c>
      <c r="K632" s="1059">
        <f t="shared" si="21"/>
        <v>370582</v>
      </c>
      <c r="L632" s="1057"/>
      <c r="M632" s="1058">
        <v>3429</v>
      </c>
      <c r="N632" s="1058">
        <v>0</v>
      </c>
      <c r="O632" s="1057">
        <v>19725</v>
      </c>
      <c r="P632" s="1059">
        <f t="shared" si="22"/>
        <v>23154</v>
      </c>
      <c r="Q632" s="1057"/>
      <c r="R632" s="1058">
        <v>183985</v>
      </c>
      <c r="S632" s="1057">
        <v>-418</v>
      </c>
      <c r="T632" s="1060">
        <v>183567</v>
      </c>
    </row>
    <row r="633" spans="1:20" x14ac:dyDescent="0.25">
      <c r="A633" s="1054">
        <v>96801</v>
      </c>
      <c r="B633" s="1055" t="s">
        <v>3184</v>
      </c>
      <c r="C633" s="1056">
        <v>7.6252999999999998E-3</v>
      </c>
      <c r="D633" s="1056">
        <v>7.5814000000000003E-3</v>
      </c>
      <c r="E633" s="1057">
        <v>18089819</v>
      </c>
      <c r="F633" s="1057" t="s">
        <v>187</v>
      </c>
      <c r="G633" s="1058">
        <v>2790829</v>
      </c>
      <c r="H633" s="1059">
        <v>2483194</v>
      </c>
      <c r="I633" s="1058">
        <v>4800340</v>
      </c>
      <c r="J633" s="1057">
        <v>244257</v>
      </c>
      <c r="K633" s="1059">
        <f t="shared" si="21"/>
        <v>10318620</v>
      </c>
      <c r="L633" s="1057"/>
      <c r="M633" s="1058">
        <v>93646</v>
      </c>
      <c r="N633" s="1058">
        <v>0</v>
      </c>
      <c r="O633" s="1057">
        <v>54881</v>
      </c>
      <c r="P633" s="1059">
        <f t="shared" si="22"/>
        <v>148527</v>
      </c>
      <c r="Q633" s="1057"/>
      <c r="R633" s="1058">
        <v>5024867</v>
      </c>
      <c r="S633" s="1057">
        <v>234375</v>
      </c>
      <c r="T633" s="1060">
        <v>5259242</v>
      </c>
    </row>
    <row r="634" spans="1:20" x14ac:dyDescent="0.25">
      <c r="A634" s="1054">
        <v>96804</v>
      </c>
      <c r="B634" s="1055" t="s">
        <v>3185</v>
      </c>
      <c r="C634" s="1056">
        <v>2.5539999999999997E-4</v>
      </c>
      <c r="D634" s="1056">
        <v>2.654E-4</v>
      </c>
      <c r="E634" s="1057">
        <v>605896</v>
      </c>
      <c r="F634" s="1057" t="s">
        <v>187</v>
      </c>
      <c r="G634" s="1058">
        <v>93475</v>
      </c>
      <c r="H634" s="1059">
        <v>83171</v>
      </c>
      <c r="I634" s="1058">
        <v>160781</v>
      </c>
      <c r="J634" s="1057">
        <v>4075</v>
      </c>
      <c r="K634" s="1059">
        <f t="shared" si="21"/>
        <v>341502</v>
      </c>
      <c r="L634" s="1057"/>
      <c r="M634" s="1058">
        <v>3137</v>
      </c>
      <c r="N634" s="1058">
        <v>0</v>
      </c>
      <c r="O634" s="1057">
        <v>20354</v>
      </c>
      <c r="P634" s="1059">
        <f t="shared" si="22"/>
        <v>23491</v>
      </c>
      <c r="Q634" s="1057"/>
      <c r="R634" s="1058">
        <v>168302</v>
      </c>
      <c r="S634" s="1057">
        <v>-2456</v>
      </c>
      <c r="T634" s="1060">
        <v>165846</v>
      </c>
    </row>
    <row r="635" spans="1:20" x14ac:dyDescent="0.25">
      <c r="A635" s="1054">
        <v>96808</v>
      </c>
      <c r="B635" s="1055" t="s">
        <v>3186</v>
      </c>
      <c r="C635" s="1056">
        <v>1.2572E-3</v>
      </c>
      <c r="D635" s="1056">
        <v>1.2711000000000001E-3</v>
      </c>
      <c r="E635" s="1057">
        <v>2982508</v>
      </c>
      <c r="F635" s="1057" t="s">
        <v>187</v>
      </c>
      <c r="G635" s="1058">
        <v>460130</v>
      </c>
      <c r="H635" s="1059">
        <v>409410</v>
      </c>
      <c r="I635" s="1058">
        <v>791443</v>
      </c>
      <c r="J635" s="1057">
        <v>18089</v>
      </c>
      <c r="K635" s="1059">
        <f t="shared" si="21"/>
        <v>1679072</v>
      </c>
      <c r="L635" s="1057"/>
      <c r="M635" s="1058">
        <v>15440</v>
      </c>
      <c r="N635" s="1058">
        <v>0</v>
      </c>
      <c r="O635" s="1057">
        <v>15050</v>
      </c>
      <c r="P635" s="1059">
        <f t="shared" si="22"/>
        <v>30490</v>
      </c>
      <c r="Q635" s="1057"/>
      <c r="R635" s="1058">
        <v>828461</v>
      </c>
      <c r="S635" s="1057">
        <v>20446</v>
      </c>
      <c r="T635" s="1060">
        <v>848907</v>
      </c>
    </row>
    <row r="636" spans="1:20" x14ac:dyDescent="0.25">
      <c r="A636" s="1054">
        <v>96811</v>
      </c>
      <c r="B636" s="1055" t="s">
        <v>4257</v>
      </c>
      <c r="C636" s="1056">
        <v>6.1249E-3</v>
      </c>
      <c r="D636" s="1056">
        <v>6.0096999999999998E-3</v>
      </c>
      <c r="E636" s="1057">
        <v>14530358</v>
      </c>
      <c r="F636" s="1057" t="s">
        <v>187</v>
      </c>
      <c r="G636" s="1058">
        <v>2241689</v>
      </c>
      <c r="H636" s="1059">
        <v>1994586</v>
      </c>
      <c r="I636" s="1058">
        <v>3855796</v>
      </c>
      <c r="J636" s="1057">
        <v>28059</v>
      </c>
      <c r="K636" s="1059">
        <f t="shared" si="21"/>
        <v>8120130</v>
      </c>
      <c r="L636" s="1057"/>
      <c r="M636" s="1058">
        <v>75220</v>
      </c>
      <c r="N636" s="1058">
        <v>0</v>
      </c>
      <c r="O636" s="1057">
        <v>73994</v>
      </c>
      <c r="P636" s="1059">
        <f t="shared" si="22"/>
        <v>149214</v>
      </c>
      <c r="Q636" s="1057"/>
      <c r="R636" s="1058">
        <v>4036144</v>
      </c>
      <c r="S636" s="1057">
        <v>-36406</v>
      </c>
      <c r="T636" s="1060">
        <v>3999738</v>
      </c>
    </row>
    <row r="637" spans="1:20" x14ac:dyDescent="0.25">
      <c r="A637" s="1054">
        <v>96821</v>
      </c>
      <c r="B637" s="1055" t="s">
        <v>4258</v>
      </c>
      <c r="C637" s="1056">
        <v>1.1529999999999999E-3</v>
      </c>
      <c r="D637" s="1056">
        <v>1.3247000000000001E-3</v>
      </c>
      <c r="E637" s="1057">
        <v>2735310</v>
      </c>
      <c r="F637" s="1057" t="s">
        <v>187</v>
      </c>
      <c r="G637" s="1058">
        <v>421993</v>
      </c>
      <c r="H637" s="1059">
        <v>375477</v>
      </c>
      <c r="I637" s="1058">
        <v>725846</v>
      </c>
      <c r="J637" s="1057">
        <v>0</v>
      </c>
      <c r="K637" s="1059">
        <f t="shared" si="21"/>
        <v>1523316</v>
      </c>
      <c r="L637" s="1057"/>
      <c r="M637" s="1058">
        <v>14160</v>
      </c>
      <c r="N637" s="1058">
        <v>0</v>
      </c>
      <c r="O637" s="1057">
        <v>169149</v>
      </c>
      <c r="P637" s="1059">
        <f t="shared" si="22"/>
        <v>183309</v>
      </c>
      <c r="Q637" s="1057"/>
      <c r="R637" s="1058">
        <v>759796</v>
      </c>
      <c r="S637" s="1057">
        <v>-77119</v>
      </c>
      <c r="T637" s="1060">
        <v>682677</v>
      </c>
    </row>
    <row r="638" spans="1:20" x14ac:dyDescent="0.25">
      <c r="A638" s="1054">
        <v>96831</v>
      </c>
      <c r="B638" s="1055" t="s">
        <v>4259</v>
      </c>
      <c r="C638" s="1056">
        <v>9.3130000000000003E-4</v>
      </c>
      <c r="D638" s="1056">
        <v>9.1929999999999996E-4</v>
      </c>
      <c r="E638" s="1057">
        <v>2209362</v>
      </c>
      <c r="F638" s="1057" t="s">
        <v>187</v>
      </c>
      <c r="G638" s="1058">
        <v>340852</v>
      </c>
      <c r="H638" s="1059">
        <v>303280</v>
      </c>
      <c r="I638" s="1058">
        <v>586279</v>
      </c>
      <c r="J638" s="1057">
        <v>18400</v>
      </c>
      <c r="K638" s="1059">
        <f t="shared" si="21"/>
        <v>1248811</v>
      </c>
      <c r="L638" s="1057"/>
      <c r="M638" s="1058">
        <v>11437</v>
      </c>
      <c r="N638" s="1058">
        <v>0</v>
      </c>
      <c r="O638" s="1057">
        <v>5806</v>
      </c>
      <c r="P638" s="1059">
        <f t="shared" si="22"/>
        <v>17243</v>
      </c>
      <c r="Q638" s="1057"/>
      <c r="R638" s="1058">
        <v>613702</v>
      </c>
      <c r="S638" s="1057">
        <v>17873</v>
      </c>
      <c r="T638" s="1060">
        <v>631575</v>
      </c>
    </row>
    <row r="639" spans="1:20" x14ac:dyDescent="0.25">
      <c r="A639" s="1054">
        <v>96901</v>
      </c>
      <c r="B639" s="1055" t="s">
        <v>3190</v>
      </c>
      <c r="C639" s="1056">
        <v>9.1089999999999997E-4</v>
      </c>
      <c r="D639" s="1056">
        <v>8.9820000000000004E-4</v>
      </c>
      <c r="E639" s="1057">
        <v>2160966</v>
      </c>
      <c r="F639" s="1057" t="s">
        <v>187</v>
      </c>
      <c r="G639" s="1058">
        <v>333386</v>
      </c>
      <c r="H639" s="1059">
        <v>296636</v>
      </c>
      <c r="I639" s="1058">
        <v>573437</v>
      </c>
      <c r="J639" s="1057">
        <v>68835</v>
      </c>
      <c r="K639" s="1059">
        <f t="shared" si="21"/>
        <v>1272294</v>
      </c>
      <c r="L639" s="1057"/>
      <c r="M639" s="1058">
        <v>11187</v>
      </c>
      <c r="N639" s="1058">
        <v>0</v>
      </c>
      <c r="O639" s="1057">
        <v>0</v>
      </c>
      <c r="P639" s="1059">
        <f t="shared" si="22"/>
        <v>11187</v>
      </c>
      <c r="Q639" s="1057"/>
      <c r="R639" s="1058">
        <v>600259</v>
      </c>
      <c r="S639" s="1057">
        <v>31901</v>
      </c>
      <c r="T639" s="1060">
        <v>632160</v>
      </c>
    </row>
    <row r="640" spans="1:20" x14ac:dyDescent="0.25">
      <c r="A640" s="1054">
        <v>96911</v>
      </c>
      <c r="B640" s="1055" t="s">
        <v>4260</v>
      </c>
      <c r="C640" s="1056">
        <v>2.3E-6</v>
      </c>
      <c r="D640" s="1056">
        <v>2.3999999999999999E-6</v>
      </c>
      <c r="E640" s="1057">
        <v>5456</v>
      </c>
      <c r="F640" s="1057" t="s">
        <v>187</v>
      </c>
      <c r="G640" s="1058">
        <v>842</v>
      </c>
      <c r="H640" s="1059">
        <v>749</v>
      </c>
      <c r="I640" s="1058">
        <v>1448</v>
      </c>
      <c r="J640" s="1057">
        <v>1923</v>
      </c>
      <c r="K640" s="1059">
        <f t="shared" si="21"/>
        <v>4962</v>
      </c>
      <c r="L640" s="1057"/>
      <c r="M640" s="1058">
        <v>28</v>
      </c>
      <c r="N640" s="1058">
        <v>0</v>
      </c>
      <c r="O640" s="1057">
        <v>1941</v>
      </c>
      <c r="P640" s="1059">
        <f t="shared" si="22"/>
        <v>1969</v>
      </c>
      <c r="Q640" s="1057"/>
      <c r="R640" s="1058">
        <v>1516</v>
      </c>
      <c r="S640" s="1057">
        <v>764</v>
      </c>
      <c r="T640" s="1060">
        <v>2280</v>
      </c>
    </row>
    <row r="641" spans="1:20" x14ac:dyDescent="0.25">
      <c r="A641" s="1054">
        <v>96912</v>
      </c>
      <c r="B641" s="1055" t="s">
        <v>4261</v>
      </c>
      <c r="C641" s="1056">
        <v>6.8100000000000002E-5</v>
      </c>
      <c r="D641" s="1056">
        <v>6.0099999999999997E-5</v>
      </c>
      <c r="E641" s="1057">
        <v>161556</v>
      </c>
      <c r="F641" s="1057" t="s">
        <v>187</v>
      </c>
      <c r="G641" s="1058">
        <v>24924</v>
      </c>
      <c r="H641" s="1059">
        <v>22177</v>
      </c>
      <c r="I641" s="1058">
        <v>42871</v>
      </c>
      <c r="J641" s="1057">
        <v>1472</v>
      </c>
      <c r="K641" s="1059">
        <f t="shared" si="21"/>
        <v>91444</v>
      </c>
      <c r="L641" s="1057"/>
      <c r="M641" s="1058">
        <v>836</v>
      </c>
      <c r="N641" s="1058">
        <v>0</v>
      </c>
      <c r="O641" s="1057">
        <v>2729</v>
      </c>
      <c r="P641" s="1059">
        <f t="shared" si="22"/>
        <v>3565</v>
      </c>
      <c r="Q641" s="1057"/>
      <c r="R641" s="1058">
        <v>44876</v>
      </c>
      <c r="S641" s="1057">
        <v>2396</v>
      </c>
      <c r="T641" s="1060">
        <v>47272</v>
      </c>
    </row>
    <row r="642" spans="1:20" x14ac:dyDescent="0.25">
      <c r="A642" s="1054">
        <v>96918</v>
      </c>
      <c r="B642" s="1055" t="s">
        <v>3193</v>
      </c>
      <c r="C642" s="1056">
        <v>3.2299999999999999E-5</v>
      </c>
      <c r="D642" s="1056">
        <v>3.8000000000000002E-5</v>
      </c>
      <c r="E642" s="1057">
        <v>76627</v>
      </c>
      <c r="F642" s="1057" t="s">
        <v>187</v>
      </c>
      <c r="G642" s="1058">
        <v>11822</v>
      </c>
      <c r="H642" s="1059">
        <v>10519</v>
      </c>
      <c r="I642" s="1058">
        <v>20334</v>
      </c>
      <c r="J642" s="1057">
        <v>1798</v>
      </c>
      <c r="K642" s="1059">
        <f t="shared" si="21"/>
        <v>44473</v>
      </c>
      <c r="L642" s="1057"/>
      <c r="M642" s="1058">
        <v>397</v>
      </c>
      <c r="N642" s="1058">
        <v>0</v>
      </c>
      <c r="O642" s="1057">
        <v>3897</v>
      </c>
      <c r="P642" s="1059">
        <f t="shared" si="22"/>
        <v>4294</v>
      </c>
      <c r="Q642" s="1057"/>
      <c r="R642" s="1058">
        <v>21285</v>
      </c>
      <c r="S642" s="1057">
        <v>4776</v>
      </c>
      <c r="T642" s="1060">
        <v>26061</v>
      </c>
    </row>
    <row r="643" spans="1:20" x14ac:dyDescent="0.25">
      <c r="A643" s="1054">
        <v>97001</v>
      </c>
      <c r="B643" s="1055" t="s">
        <v>3194</v>
      </c>
      <c r="C643" s="1056">
        <v>1.3370999999999999E-3</v>
      </c>
      <c r="D643" s="1056">
        <v>1.3778E-3</v>
      </c>
      <c r="E643" s="1057">
        <v>3172058</v>
      </c>
      <c r="F643" s="1057" t="s">
        <v>187</v>
      </c>
      <c r="G643" s="1058">
        <v>489373</v>
      </c>
      <c r="H643" s="1059">
        <v>435430</v>
      </c>
      <c r="I643" s="1058">
        <v>841742</v>
      </c>
      <c r="J643" s="1057">
        <v>142216</v>
      </c>
      <c r="K643" s="1059">
        <f t="shared" si="21"/>
        <v>1908761</v>
      </c>
      <c r="L643" s="1057"/>
      <c r="M643" s="1058">
        <v>16421</v>
      </c>
      <c r="N643" s="1058">
        <v>0</v>
      </c>
      <c r="O643" s="1057">
        <v>0</v>
      </c>
      <c r="P643" s="1059">
        <f t="shared" si="22"/>
        <v>16421</v>
      </c>
      <c r="Q643" s="1057"/>
      <c r="R643" s="1058">
        <v>881113</v>
      </c>
      <c r="S643" s="1057">
        <v>46843</v>
      </c>
      <c r="T643" s="1060">
        <v>927956</v>
      </c>
    </row>
    <row r="644" spans="1:20" x14ac:dyDescent="0.25">
      <c r="A644" s="1054">
        <v>97002</v>
      </c>
      <c r="B644" s="1055" t="s">
        <v>3195</v>
      </c>
      <c r="C644" s="1056">
        <v>4.8569999999999999E-4</v>
      </c>
      <c r="D644" s="1056">
        <v>5.2610000000000005E-4</v>
      </c>
      <c r="E644" s="1057">
        <v>1152247</v>
      </c>
      <c r="F644" s="1057" t="s">
        <v>187</v>
      </c>
      <c r="G644" s="1058">
        <v>177764</v>
      </c>
      <c r="H644" s="1059">
        <v>158169</v>
      </c>
      <c r="I644" s="1058">
        <v>305762</v>
      </c>
      <c r="J644" s="1057">
        <v>5136</v>
      </c>
      <c r="K644" s="1059">
        <f t="shared" si="21"/>
        <v>646831</v>
      </c>
      <c r="L644" s="1057"/>
      <c r="M644" s="1058">
        <v>5965</v>
      </c>
      <c r="N644" s="1058">
        <v>0</v>
      </c>
      <c r="O644" s="1057">
        <v>75548</v>
      </c>
      <c r="P644" s="1059">
        <f t="shared" si="22"/>
        <v>81513</v>
      </c>
      <c r="Q644" s="1057"/>
      <c r="R644" s="1058">
        <v>320063</v>
      </c>
      <c r="S644" s="1057">
        <v>-7630</v>
      </c>
      <c r="T644" s="1060">
        <v>312433</v>
      </c>
    </row>
    <row r="645" spans="1:20" x14ac:dyDescent="0.25">
      <c r="A645" s="1054">
        <v>97004</v>
      </c>
      <c r="B645" s="1055" t="s">
        <v>3196</v>
      </c>
      <c r="C645" s="1056">
        <v>8.4999999999999999E-6</v>
      </c>
      <c r="D645" s="1056">
        <v>9.7999999999999993E-6</v>
      </c>
      <c r="E645" s="1057">
        <v>20165</v>
      </c>
      <c r="F645" s="1057" t="s">
        <v>187</v>
      </c>
      <c r="G645" s="1058">
        <v>3111</v>
      </c>
      <c r="H645" s="1059">
        <v>2768</v>
      </c>
      <c r="I645" s="1058">
        <v>5351</v>
      </c>
      <c r="J645" s="1057">
        <v>5157</v>
      </c>
      <c r="K645" s="1059">
        <f t="shared" si="21"/>
        <v>16387</v>
      </c>
      <c r="L645" s="1057"/>
      <c r="M645" s="1058">
        <v>104</v>
      </c>
      <c r="N645" s="1058">
        <v>0</v>
      </c>
      <c r="O645" s="1057">
        <v>0</v>
      </c>
      <c r="P645" s="1059">
        <f t="shared" si="22"/>
        <v>104</v>
      </c>
      <c r="Q645" s="1057"/>
      <c r="R645" s="1058">
        <v>5601</v>
      </c>
      <c r="S645" s="1057">
        <v>2552</v>
      </c>
      <c r="T645" s="1060">
        <v>8153</v>
      </c>
    </row>
    <row r="646" spans="1:20" x14ac:dyDescent="0.25">
      <c r="A646" s="1054">
        <v>97005</v>
      </c>
      <c r="B646" s="1055" t="s">
        <v>3197</v>
      </c>
      <c r="C646" s="1056">
        <v>2.7500000000000001E-5</v>
      </c>
      <c r="D646" s="1056">
        <v>2.83E-5</v>
      </c>
      <c r="E646" s="1057">
        <v>65239</v>
      </c>
      <c r="F646" s="1057" t="s">
        <v>187</v>
      </c>
      <c r="G646" s="1058">
        <v>10065</v>
      </c>
      <c r="H646" s="1059">
        <v>8955</v>
      </c>
      <c r="I646" s="1058">
        <v>17312</v>
      </c>
      <c r="J646" s="1057">
        <v>9886</v>
      </c>
      <c r="K646" s="1059">
        <f t="shared" si="21"/>
        <v>46218</v>
      </c>
      <c r="L646" s="1057"/>
      <c r="M646" s="1058">
        <v>338</v>
      </c>
      <c r="N646" s="1058">
        <v>0</v>
      </c>
      <c r="O646" s="1057">
        <v>702</v>
      </c>
      <c r="P646" s="1059">
        <f t="shared" si="22"/>
        <v>1040</v>
      </c>
      <c r="Q646" s="1057"/>
      <c r="R646" s="1058">
        <v>18122</v>
      </c>
      <c r="S646" s="1057">
        <v>3372</v>
      </c>
      <c r="T646" s="1060">
        <v>21494</v>
      </c>
    </row>
    <row r="647" spans="1:20" x14ac:dyDescent="0.25">
      <c r="A647" s="1054">
        <v>97008</v>
      </c>
      <c r="B647" s="1055" t="s">
        <v>3198</v>
      </c>
      <c r="C647" s="1056">
        <v>2.766E-4</v>
      </c>
      <c r="D647" s="1056">
        <v>2.8659999999999997E-4</v>
      </c>
      <c r="E647" s="1057">
        <v>656190</v>
      </c>
      <c r="F647" s="1057" t="s">
        <v>187</v>
      </c>
      <c r="G647" s="1058">
        <v>101234</v>
      </c>
      <c r="H647" s="1059">
        <v>90075</v>
      </c>
      <c r="I647" s="1058">
        <v>174127</v>
      </c>
      <c r="J647" s="1057">
        <v>3810</v>
      </c>
      <c r="K647" s="1059">
        <f t="shared" si="21"/>
        <v>369246</v>
      </c>
      <c r="L647" s="1057"/>
      <c r="M647" s="1058">
        <v>3397</v>
      </c>
      <c r="N647" s="1058">
        <v>0</v>
      </c>
      <c r="O647" s="1057">
        <v>5294</v>
      </c>
      <c r="P647" s="1059">
        <f t="shared" si="22"/>
        <v>8691</v>
      </c>
      <c r="Q647" s="1057"/>
      <c r="R647" s="1058">
        <v>182272</v>
      </c>
      <c r="S647" s="1057">
        <v>6191</v>
      </c>
      <c r="T647" s="1060">
        <v>188463</v>
      </c>
    </row>
    <row r="648" spans="1:20" x14ac:dyDescent="0.25">
      <c r="A648" s="1054">
        <v>97010</v>
      </c>
      <c r="B648" s="1055" t="s">
        <v>3199</v>
      </c>
      <c r="C648" s="1056">
        <v>0</v>
      </c>
      <c r="D648" s="1056">
        <v>0</v>
      </c>
      <c r="E648" s="1057">
        <v>0</v>
      </c>
      <c r="F648" s="1057" t="s">
        <v>187</v>
      </c>
      <c r="G648" s="1058">
        <v>0</v>
      </c>
      <c r="H648" s="1059">
        <v>0</v>
      </c>
      <c r="I648" s="1058">
        <v>0</v>
      </c>
      <c r="J648" s="1057">
        <v>0</v>
      </c>
      <c r="K648" s="1059">
        <f t="shared" si="21"/>
        <v>0</v>
      </c>
      <c r="L648" s="1057"/>
      <c r="M648" s="1058">
        <v>0</v>
      </c>
      <c r="N648" s="1058">
        <v>0</v>
      </c>
      <c r="O648" s="1057">
        <v>777787</v>
      </c>
      <c r="P648" s="1059">
        <f t="shared" si="22"/>
        <v>777787</v>
      </c>
      <c r="Q648" s="1057"/>
      <c r="R648" s="1058">
        <v>0</v>
      </c>
      <c r="S648" s="1057">
        <v>-1279115</v>
      </c>
      <c r="T648" s="1060">
        <v>-1279115</v>
      </c>
    </row>
    <row r="649" spans="1:20" x14ac:dyDescent="0.25">
      <c r="A649" s="1054">
        <v>97011</v>
      </c>
      <c r="B649" s="1055" t="s">
        <v>3200</v>
      </c>
      <c r="C649" s="1056">
        <v>1.9426999999999999E-3</v>
      </c>
      <c r="D649" s="1056">
        <v>1.9166999999999999E-3</v>
      </c>
      <c r="E649" s="1057">
        <v>4608749</v>
      </c>
      <c r="F649" s="1057" t="s">
        <v>187</v>
      </c>
      <c r="G649" s="1058">
        <v>711020</v>
      </c>
      <c r="H649" s="1059">
        <v>632644</v>
      </c>
      <c r="I649" s="1058">
        <v>1222984</v>
      </c>
      <c r="J649" s="1057">
        <v>0</v>
      </c>
      <c r="K649" s="1059">
        <f t="shared" si="21"/>
        <v>2566648</v>
      </c>
      <c r="L649" s="1057"/>
      <c r="M649" s="1058">
        <v>23858</v>
      </c>
      <c r="N649" s="1058">
        <v>0</v>
      </c>
      <c r="O649" s="1057">
        <v>61009</v>
      </c>
      <c r="P649" s="1059">
        <f t="shared" si="22"/>
        <v>84867</v>
      </c>
      <c r="Q649" s="1057"/>
      <c r="R649" s="1058">
        <v>1280187</v>
      </c>
      <c r="S649" s="1057">
        <v>-40429</v>
      </c>
      <c r="T649" s="1060">
        <v>1239758</v>
      </c>
    </row>
    <row r="650" spans="1:20" x14ac:dyDescent="0.25">
      <c r="A650" s="1054">
        <v>97012</v>
      </c>
      <c r="B650" s="1055" t="s">
        <v>4262</v>
      </c>
      <c r="C650" s="1056">
        <v>3.0700000000000001E-5</v>
      </c>
      <c r="D650" s="1056">
        <v>2.9499999999999999E-5</v>
      </c>
      <c r="E650" s="1057">
        <v>72831</v>
      </c>
      <c r="F650" s="1057" t="s">
        <v>187</v>
      </c>
      <c r="G650" s="1058">
        <v>11236</v>
      </c>
      <c r="H650" s="1059">
        <v>9997</v>
      </c>
      <c r="I650" s="1058">
        <v>19327</v>
      </c>
      <c r="J650" s="1057">
        <v>6719</v>
      </c>
      <c r="K650" s="1059">
        <f t="shared" si="21"/>
        <v>47279</v>
      </c>
      <c r="L650" s="1057"/>
      <c r="M650" s="1058">
        <v>377</v>
      </c>
      <c r="N650" s="1058">
        <v>0</v>
      </c>
      <c r="O650" s="1057">
        <v>415</v>
      </c>
      <c r="P650" s="1059">
        <f t="shared" si="22"/>
        <v>792</v>
      </c>
      <c r="Q650" s="1057"/>
      <c r="R650" s="1058">
        <v>20230</v>
      </c>
      <c r="S650" s="1057">
        <v>1569</v>
      </c>
      <c r="T650" s="1060">
        <v>21799</v>
      </c>
    </row>
    <row r="651" spans="1:20" x14ac:dyDescent="0.25">
      <c r="A651" s="1054">
        <v>97013</v>
      </c>
      <c r="B651" s="1055" t="s">
        <v>3202</v>
      </c>
      <c r="C651" s="1056">
        <v>2.19E-5</v>
      </c>
      <c r="D651" s="1056">
        <v>1.8199999999999999E-5</v>
      </c>
      <c r="E651" s="1057">
        <v>51954</v>
      </c>
      <c r="F651" s="1057" t="s">
        <v>187</v>
      </c>
      <c r="G651" s="1058">
        <v>8015</v>
      </c>
      <c r="H651" s="1059">
        <v>7132</v>
      </c>
      <c r="I651" s="1058">
        <v>13787</v>
      </c>
      <c r="J651" s="1057">
        <v>7375</v>
      </c>
      <c r="K651" s="1059">
        <f t="shared" si="21"/>
        <v>36309</v>
      </c>
      <c r="L651" s="1057"/>
      <c r="M651" s="1058">
        <v>269</v>
      </c>
      <c r="N651" s="1058">
        <v>0</v>
      </c>
      <c r="O651" s="1057">
        <v>0</v>
      </c>
      <c r="P651" s="1059">
        <f t="shared" si="22"/>
        <v>269</v>
      </c>
      <c r="Q651" s="1057"/>
      <c r="R651" s="1058">
        <v>14432</v>
      </c>
      <c r="S651" s="1057">
        <v>2956</v>
      </c>
      <c r="T651" s="1060">
        <v>17388</v>
      </c>
    </row>
    <row r="652" spans="1:20" x14ac:dyDescent="0.25">
      <c r="A652" s="1054">
        <v>97015</v>
      </c>
      <c r="B652" s="1055" t="s">
        <v>3203</v>
      </c>
      <c r="C652" s="1056">
        <v>5.1700000000000003E-5</v>
      </c>
      <c r="D652" s="1056">
        <v>4.1499999999999999E-5</v>
      </c>
      <c r="E652" s="1057">
        <v>122650</v>
      </c>
      <c r="F652" s="1057" t="s">
        <v>187</v>
      </c>
      <c r="G652" s="1058">
        <v>18922</v>
      </c>
      <c r="H652" s="1059">
        <v>16836</v>
      </c>
      <c r="I652" s="1058">
        <v>32547</v>
      </c>
      <c r="J652" s="1057">
        <v>9840</v>
      </c>
      <c r="K652" s="1059">
        <f t="shared" si="21"/>
        <v>78145</v>
      </c>
      <c r="L652" s="1057"/>
      <c r="M652" s="1058">
        <v>635</v>
      </c>
      <c r="N652" s="1058">
        <v>0</v>
      </c>
      <c r="O652" s="1057">
        <v>3745</v>
      </c>
      <c r="P652" s="1059">
        <f t="shared" si="22"/>
        <v>4380</v>
      </c>
      <c r="Q652" s="1057"/>
      <c r="R652" s="1058">
        <v>34069</v>
      </c>
      <c r="S652" s="1057">
        <v>1860</v>
      </c>
      <c r="T652" s="1060">
        <v>35929</v>
      </c>
    </row>
    <row r="653" spans="1:20" x14ac:dyDescent="0.25">
      <c r="A653" s="1054">
        <v>97018</v>
      </c>
      <c r="B653" s="1055" t="s">
        <v>3204</v>
      </c>
      <c r="C653" s="1056">
        <v>7.4000000000000003E-6</v>
      </c>
      <c r="D653" s="1056">
        <v>8.6000000000000007E-6</v>
      </c>
      <c r="E653" s="1057">
        <v>17555</v>
      </c>
      <c r="F653" s="1057" t="s">
        <v>187</v>
      </c>
      <c r="G653" s="1058">
        <v>2708</v>
      </c>
      <c r="H653" s="1059">
        <v>2410</v>
      </c>
      <c r="I653" s="1058">
        <v>4659</v>
      </c>
      <c r="J653" s="1057">
        <v>7148</v>
      </c>
      <c r="K653" s="1059">
        <f t="shared" si="21"/>
        <v>16925</v>
      </c>
      <c r="L653" s="1057"/>
      <c r="M653" s="1058">
        <v>91</v>
      </c>
      <c r="N653" s="1058">
        <v>0</v>
      </c>
      <c r="O653" s="1057">
        <v>0</v>
      </c>
      <c r="P653" s="1059">
        <f t="shared" si="22"/>
        <v>91</v>
      </c>
      <c r="Q653" s="1057"/>
      <c r="R653" s="1058">
        <v>4876</v>
      </c>
      <c r="S653" s="1057">
        <v>3577</v>
      </c>
      <c r="T653" s="1060">
        <v>8453</v>
      </c>
    </row>
    <row r="654" spans="1:20" x14ac:dyDescent="0.25">
      <c r="A654" s="1054">
        <v>97101</v>
      </c>
      <c r="B654" s="1055" t="s">
        <v>3205</v>
      </c>
      <c r="C654" s="1056">
        <v>2.4805000000000001E-3</v>
      </c>
      <c r="D654" s="1056">
        <v>2.5790000000000001E-3</v>
      </c>
      <c r="E654" s="1057">
        <v>5884594</v>
      </c>
      <c r="F654" s="1057" t="s">
        <v>187</v>
      </c>
      <c r="G654" s="1058">
        <v>907853</v>
      </c>
      <c r="H654" s="1059">
        <v>807780</v>
      </c>
      <c r="I654" s="1058">
        <v>1561544</v>
      </c>
      <c r="J654" s="1057">
        <v>35145</v>
      </c>
      <c r="K654" s="1059">
        <f t="shared" si="21"/>
        <v>3312322</v>
      </c>
      <c r="L654" s="1057"/>
      <c r="M654" s="1058">
        <v>30463</v>
      </c>
      <c r="N654" s="1058">
        <v>0</v>
      </c>
      <c r="O654" s="1057">
        <v>0</v>
      </c>
      <c r="P654" s="1059">
        <f t="shared" si="22"/>
        <v>30463</v>
      </c>
      <c r="Q654" s="1057"/>
      <c r="R654" s="1058">
        <v>1634583</v>
      </c>
      <c r="S654" s="1057">
        <v>9399</v>
      </c>
      <c r="T654" s="1060">
        <v>1643982</v>
      </c>
    </row>
    <row r="655" spans="1:20" x14ac:dyDescent="0.25">
      <c r="A655" s="1054">
        <v>97104</v>
      </c>
      <c r="B655" s="1055" t="s">
        <v>3206</v>
      </c>
      <c r="C655" s="1056">
        <v>5.6100000000000002E-5</v>
      </c>
      <c r="D655" s="1056">
        <v>5.4299999999999998E-5</v>
      </c>
      <c r="E655" s="1057">
        <v>133088</v>
      </c>
      <c r="F655" s="1057" t="s">
        <v>187</v>
      </c>
      <c r="G655" s="1058">
        <v>20532</v>
      </c>
      <c r="H655" s="1059">
        <v>18269</v>
      </c>
      <c r="I655" s="1058">
        <v>35317</v>
      </c>
      <c r="J655" s="1057">
        <v>11210</v>
      </c>
      <c r="K655" s="1059">
        <f t="shared" si="21"/>
        <v>85328</v>
      </c>
      <c r="L655" s="1057"/>
      <c r="M655" s="1058">
        <v>689</v>
      </c>
      <c r="N655" s="1058">
        <v>0</v>
      </c>
      <c r="O655" s="1057">
        <v>0</v>
      </c>
      <c r="P655" s="1059">
        <f t="shared" si="22"/>
        <v>689</v>
      </c>
      <c r="Q655" s="1057"/>
      <c r="R655" s="1058">
        <v>36968</v>
      </c>
      <c r="S655" s="1057">
        <v>7518</v>
      </c>
      <c r="T655" s="1060">
        <v>44486</v>
      </c>
    </row>
    <row r="656" spans="1:20" x14ac:dyDescent="0.25">
      <c r="A656" s="1054">
        <v>97111</v>
      </c>
      <c r="B656" s="1055" t="s">
        <v>4263</v>
      </c>
      <c r="C656" s="1056">
        <v>2.7779999999999998E-4</v>
      </c>
      <c r="D656" s="1056">
        <v>2.8200000000000002E-4</v>
      </c>
      <c r="E656" s="1057">
        <v>659037</v>
      </c>
      <c r="F656" s="1057" t="s">
        <v>187</v>
      </c>
      <c r="G656" s="1058">
        <v>101674</v>
      </c>
      <c r="H656" s="1059">
        <v>90466</v>
      </c>
      <c r="I656" s="1058">
        <v>174883</v>
      </c>
      <c r="J656" s="1057">
        <v>656</v>
      </c>
      <c r="K656" s="1059">
        <f t="shared" ref="K656:K721" si="23">G656+H656+I656+J656</f>
        <v>367679</v>
      </c>
      <c r="L656" s="1057"/>
      <c r="M656" s="1058">
        <v>3412</v>
      </c>
      <c r="N656" s="1058">
        <v>0</v>
      </c>
      <c r="O656" s="1057">
        <v>19675</v>
      </c>
      <c r="P656" s="1059">
        <f t="shared" ref="P656:P721" si="24">M656+N656+O656</f>
        <v>23087</v>
      </c>
      <c r="Q656" s="1057"/>
      <c r="R656" s="1058">
        <v>183063</v>
      </c>
      <c r="S656" s="1057">
        <v>-3431</v>
      </c>
      <c r="T656" s="1060">
        <v>179632</v>
      </c>
    </row>
    <row r="657" spans="1:20" x14ac:dyDescent="0.25">
      <c r="A657" s="1054">
        <v>97121</v>
      </c>
      <c r="B657" s="1055" t="s">
        <v>4264</v>
      </c>
      <c r="C657" s="1056">
        <v>1.2980000000000001E-4</v>
      </c>
      <c r="D657" s="1056">
        <v>1.3640000000000001E-4</v>
      </c>
      <c r="E657" s="1057">
        <v>307930</v>
      </c>
      <c r="F657" s="1057" t="s">
        <v>187</v>
      </c>
      <c r="G657" s="1058">
        <v>47506</v>
      </c>
      <c r="H657" s="1059">
        <v>42270</v>
      </c>
      <c r="I657" s="1058">
        <v>81713</v>
      </c>
      <c r="J657" s="1057">
        <v>15643</v>
      </c>
      <c r="K657" s="1059">
        <f t="shared" si="23"/>
        <v>187132</v>
      </c>
      <c r="L657" s="1057"/>
      <c r="M657" s="1058">
        <v>1594</v>
      </c>
      <c r="N657" s="1058">
        <v>0</v>
      </c>
      <c r="O657" s="1057">
        <v>5525</v>
      </c>
      <c r="P657" s="1059">
        <f t="shared" si="24"/>
        <v>7119</v>
      </c>
      <c r="Q657" s="1057"/>
      <c r="R657" s="1058">
        <v>85535</v>
      </c>
      <c r="S657" s="1057">
        <v>263</v>
      </c>
      <c r="T657" s="1060">
        <v>85798</v>
      </c>
    </row>
    <row r="658" spans="1:20" x14ac:dyDescent="0.25">
      <c r="A658" s="1054">
        <v>97131</v>
      </c>
      <c r="B658" s="1055" t="s">
        <v>4265</v>
      </c>
      <c r="C658" s="1056">
        <v>6.0749999999999997E-4</v>
      </c>
      <c r="D658" s="1056">
        <v>7.358E-4</v>
      </c>
      <c r="E658" s="1057">
        <v>1441198</v>
      </c>
      <c r="F658" s="1057" t="s">
        <v>187</v>
      </c>
      <c r="G658" s="1058">
        <v>222343</v>
      </c>
      <c r="H658" s="1059">
        <v>197834</v>
      </c>
      <c r="I658" s="1058">
        <v>382438</v>
      </c>
      <c r="J658" s="1057">
        <v>20955</v>
      </c>
      <c r="K658" s="1059">
        <f t="shared" si="23"/>
        <v>823570</v>
      </c>
      <c r="L658" s="1057"/>
      <c r="M658" s="1058">
        <v>7461</v>
      </c>
      <c r="N658" s="1058">
        <v>0</v>
      </c>
      <c r="O658" s="1057">
        <v>118742</v>
      </c>
      <c r="P658" s="1059">
        <f t="shared" si="24"/>
        <v>126203</v>
      </c>
      <c r="Q658" s="1057"/>
      <c r="R658" s="1058">
        <v>400326</v>
      </c>
      <c r="S658" s="1057">
        <v>-21454</v>
      </c>
      <c r="T658" s="1060">
        <v>378872</v>
      </c>
    </row>
    <row r="659" spans="1:20" x14ac:dyDescent="0.25">
      <c r="A659" s="1054">
        <v>97201</v>
      </c>
      <c r="B659" s="1055" t="s">
        <v>3210</v>
      </c>
      <c r="C659" s="1056">
        <v>5.1219999999999998E-4</v>
      </c>
      <c r="D659" s="1056">
        <v>5.2689999999999996E-4</v>
      </c>
      <c r="E659" s="1057">
        <v>1215114</v>
      </c>
      <c r="F659" s="1057" t="s">
        <v>187</v>
      </c>
      <c r="G659" s="1058">
        <v>187463</v>
      </c>
      <c r="H659" s="1059">
        <v>166799</v>
      </c>
      <c r="I659" s="1058">
        <v>322444</v>
      </c>
      <c r="J659" s="1057">
        <v>30683</v>
      </c>
      <c r="K659" s="1059">
        <f t="shared" si="23"/>
        <v>707389</v>
      </c>
      <c r="L659" s="1057"/>
      <c r="M659" s="1058">
        <v>6290</v>
      </c>
      <c r="N659" s="1058">
        <v>0</v>
      </c>
      <c r="O659" s="1057">
        <v>1246</v>
      </c>
      <c r="P659" s="1059">
        <f t="shared" si="24"/>
        <v>7536</v>
      </c>
      <c r="Q659" s="1057"/>
      <c r="R659" s="1058">
        <v>337526</v>
      </c>
      <c r="S659" s="1057">
        <v>10658</v>
      </c>
      <c r="T659" s="1060">
        <v>348184</v>
      </c>
    </row>
    <row r="660" spans="1:20" x14ac:dyDescent="0.25">
      <c r="A660" s="1054">
        <v>97211</v>
      </c>
      <c r="B660" s="1055" t="s">
        <v>4266</v>
      </c>
      <c r="C660" s="1056">
        <v>1.4569999999999999E-4</v>
      </c>
      <c r="D660" s="1056">
        <v>1.5980000000000001E-4</v>
      </c>
      <c r="E660" s="1057">
        <v>345650</v>
      </c>
      <c r="F660" s="1057" t="s">
        <v>187</v>
      </c>
      <c r="G660" s="1058">
        <v>53326</v>
      </c>
      <c r="H660" s="1059">
        <v>47448</v>
      </c>
      <c r="I660" s="1058">
        <v>91722</v>
      </c>
      <c r="J660" s="1057">
        <v>11315</v>
      </c>
      <c r="K660" s="1059">
        <f t="shared" si="23"/>
        <v>203811</v>
      </c>
      <c r="L660" s="1057"/>
      <c r="M660" s="1058">
        <v>1789</v>
      </c>
      <c r="N660" s="1058">
        <v>0</v>
      </c>
      <c r="O660" s="1057">
        <v>12606</v>
      </c>
      <c r="P660" s="1059">
        <f t="shared" si="24"/>
        <v>14395</v>
      </c>
      <c r="Q660" s="1057"/>
      <c r="R660" s="1058">
        <v>96012</v>
      </c>
      <c r="S660" s="1057">
        <v>-859</v>
      </c>
      <c r="T660" s="1060">
        <v>95153</v>
      </c>
    </row>
    <row r="661" spans="1:20" x14ac:dyDescent="0.25">
      <c r="A661" s="1054">
        <v>97213</v>
      </c>
      <c r="B661" s="1055" t="s">
        <v>4267</v>
      </c>
      <c r="C661" s="1056">
        <v>4.5599999999999997E-5</v>
      </c>
      <c r="D661" s="1056">
        <v>3.9100000000000002E-5</v>
      </c>
      <c r="E661" s="1057">
        <v>108179</v>
      </c>
      <c r="F661" s="1057" t="s">
        <v>187</v>
      </c>
      <c r="G661" s="1058">
        <v>16689</v>
      </c>
      <c r="H661" s="1059">
        <v>14849</v>
      </c>
      <c r="I661" s="1058">
        <v>28706</v>
      </c>
      <c r="J661" s="1057">
        <v>8617</v>
      </c>
      <c r="K661" s="1059">
        <f t="shared" si="23"/>
        <v>68861</v>
      </c>
      <c r="L661" s="1057"/>
      <c r="M661" s="1058">
        <v>560</v>
      </c>
      <c r="N661" s="1058">
        <v>0</v>
      </c>
      <c r="O661" s="1057">
        <v>322</v>
      </c>
      <c r="P661" s="1059">
        <f t="shared" si="24"/>
        <v>882</v>
      </c>
      <c r="Q661" s="1057"/>
      <c r="R661" s="1058">
        <v>30049</v>
      </c>
      <c r="S661" s="1057">
        <v>3081</v>
      </c>
      <c r="T661" s="1060">
        <v>33130</v>
      </c>
    </row>
    <row r="662" spans="1:20" x14ac:dyDescent="0.25">
      <c r="A662" s="1054">
        <v>97217</v>
      </c>
      <c r="B662" s="1055" t="s">
        <v>4268</v>
      </c>
      <c r="C662" s="1056">
        <v>4.8999999999999997E-6</v>
      </c>
      <c r="D662" s="1056">
        <v>4.6E-6</v>
      </c>
      <c r="E662" s="1057">
        <v>11624</v>
      </c>
      <c r="F662" s="1057" t="s">
        <v>187</v>
      </c>
      <c r="G662" s="1058">
        <v>1793</v>
      </c>
      <c r="H662" s="1059">
        <v>1596</v>
      </c>
      <c r="I662" s="1058">
        <v>3085</v>
      </c>
      <c r="J662" s="1057">
        <v>8394</v>
      </c>
      <c r="K662" s="1059">
        <f t="shared" si="23"/>
        <v>14868</v>
      </c>
      <c r="L662" s="1057"/>
      <c r="M662" s="1058">
        <v>60</v>
      </c>
      <c r="N662" s="1058">
        <v>0</v>
      </c>
      <c r="O662" s="1057">
        <v>0</v>
      </c>
      <c r="P662" s="1059">
        <f t="shared" si="24"/>
        <v>60</v>
      </c>
      <c r="Q662" s="1057"/>
      <c r="R662" s="1058">
        <v>3229</v>
      </c>
      <c r="S662" s="1057">
        <v>4143</v>
      </c>
      <c r="T662" s="1060">
        <v>7372</v>
      </c>
    </row>
    <row r="663" spans="1:20" x14ac:dyDescent="0.25">
      <c r="A663" s="1054">
        <v>97221</v>
      </c>
      <c r="B663" s="1055" t="s">
        <v>4269</v>
      </c>
      <c r="C663" s="1056">
        <v>3.9999999999999998E-6</v>
      </c>
      <c r="D663" s="1056">
        <v>7.1999999999999997E-6</v>
      </c>
      <c r="E663" s="1057">
        <v>9489</v>
      </c>
      <c r="F663" s="1057" t="s">
        <v>187</v>
      </c>
      <c r="G663" s="1058">
        <v>1464</v>
      </c>
      <c r="H663" s="1059">
        <v>1303</v>
      </c>
      <c r="I663" s="1058">
        <v>2518</v>
      </c>
      <c r="J663" s="1057">
        <v>6077</v>
      </c>
      <c r="K663" s="1059">
        <f t="shared" si="23"/>
        <v>11362</v>
      </c>
      <c r="L663" s="1057"/>
      <c r="M663" s="1058">
        <v>49</v>
      </c>
      <c r="N663" s="1058">
        <v>0</v>
      </c>
      <c r="O663" s="1057">
        <v>0</v>
      </c>
      <c r="P663" s="1059">
        <f t="shared" si="24"/>
        <v>49</v>
      </c>
      <c r="Q663" s="1057"/>
      <c r="R663" s="1058">
        <v>2636</v>
      </c>
      <c r="S663" s="1057">
        <v>3385</v>
      </c>
      <c r="T663" s="1060">
        <v>6021</v>
      </c>
    </row>
    <row r="664" spans="1:20" x14ac:dyDescent="0.25">
      <c r="A664" s="1054">
        <v>97301</v>
      </c>
      <c r="B664" s="1055" t="s">
        <v>3215</v>
      </c>
      <c r="C664" s="1056">
        <v>2.4616E-3</v>
      </c>
      <c r="D664" s="1056">
        <v>2.5135999999999999E-3</v>
      </c>
      <c r="E664" s="1057">
        <v>5839757</v>
      </c>
      <c r="F664" s="1057" t="s">
        <v>187</v>
      </c>
      <c r="G664" s="1058">
        <v>900936</v>
      </c>
      <c r="H664" s="1059">
        <v>801625</v>
      </c>
      <c r="I664" s="1058">
        <v>1549646</v>
      </c>
      <c r="J664" s="1057">
        <v>10684</v>
      </c>
      <c r="K664" s="1059">
        <f t="shared" si="23"/>
        <v>3262891</v>
      </c>
      <c r="L664" s="1057"/>
      <c r="M664" s="1058">
        <v>30231</v>
      </c>
      <c r="N664" s="1058">
        <v>0</v>
      </c>
      <c r="O664" s="1057">
        <v>48917</v>
      </c>
      <c r="P664" s="1059">
        <f t="shared" si="24"/>
        <v>79148</v>
      </c>
      <c r="Q664" s="1057"/>
      <c r="R664" s="1058">
        <v>1622128</v>
      </c>
      <c r="S664" s="1057">
        <v>-14603</v>
      </c>
      <c r="T664" s="1060">
        <v>1607525</v>
      </c>
    </row>
    <row r="665" spans="1:20" x14ac:dyDescent="0.25">
      <c r="A665" s="1054">
        <v>97304</v>
      </c>
      <c r="B665" s="1055" t="s">
        <v>3216</v>
      </c>
      <c r="C665" s="1056">
        <v>1.5299999999999999E-5</v>
      </c>
      <c r="D665" s="1056">
        <v>1.6799999999999998E-5</v>
      </c>
      <c r="E665" s="1057">
        <v>36297</v>
      </c>
      <c r="F665" s="1057" t="s">
        <v>187</v>
      </c>
      <c r="G665" s="1058">
        <v>5600</v>
      </c>
      <c r="H665" s="1059">
        <v>4983</v>
      </c>
      <c r="I665" s="1058">
        <v>9632</v>
      </c>
      <c r="J665" s="1057">
        <v>9181</v>
      </c>
      <c r="K665" s="1059">
        <f t="shared" si="23"/>
        <v>29396</v>
      </c>
      <c r="L665" s="1057"/>
      <c r="M665" s="1058">
        <v>188</v>
      </c>
      <c r="N665" s="1058">
        <v>0</v>
      </c>
      <c r="O665" s="1057">
        <v>0</v>
      </c>
      <c r="P665" s="1059">
        <f t="shared" si="24"/>
        <v>188</v>
      </c>
      <c r="Q665" s="1057"/>
      <c r="R665" s="1058">
        <v>10082</v>
      </c>
      <c r="S665" s="1057">
        <v>4481</v>
      </c>
      <c r="T665" s="1060">
        <v>14563</v>
      </c>
    </row>
    <row r="666" spans="1:20" x14ac:dyDescent="0.25">
      <c r="A666" s="1054">
        <v>97311</v>
      </c>
      <c r="B666" s="1055" t="s">
        <v>3217</v>
      </c>
      <c r="C666" s="1056">
        <v>8.8420000000000002E-4</v>
      </c>
      <c r="D666" s="1056">
        <v>9.1799999999999998E-4</v>
      </c>
      <c r="E666" s="1057">
        <v>2097625</v>
      </c>
      <c r="F666" s="1057" t="s">
        <v>187</v>
      </c>
      <c r="G666" s="1058">
        <v>323614</v>
      </c>
      <c r="H666" s="1059">
        <v>287942</v>
      </c>
      <c r="I666" s="1058">
        <v>556629</v>
      </c>
      <c r="J666" s="1057">
        <v>0</v>
      </c>
      <c r="K666" s="1059">
        <f t="shared" si="23"/>
        <v>1168185</v>
      </c>
      <c r="L666" s="1057"/>
      <c r="M666" s="1058">
        <v>10859</v>
      </c>
      <c r="N666" s="1058">
        <v>0</v>
      </c>
      <c r="O666" s="1057">
        <v>82924</v>
      </c>
      <c r="P666" s="1059">
        <f t="shared" si="24"/>
        <v>93783</v>
      </c>
      <c r="Q666" s="1057"/>
      <c r="R666" s="1058">
        <v>582664</v>
      </c>
      <c r="S666" s="1057">
        <v>-48862</v>
      </c>
      <c r="T666" s="1060">
        <v>533802</v>
      </c>
    </row>
    <row r="667" spans="1:20" x14ac:dyDescent="0.25">
      <c r="A667" s="1054">
        <v>97401</v>
      </c>
      <c r="B667" s="1055" t="s">
        <v>3218</v>
      </c>
      <c r="C667" s="1056">
        <v>7.1440000000000002E-3</v>
      </c>
      <c r="D667" s="1056">
        <v>7.1303E-3</v>
      </c>
      <c r="E667" s="1057">
        <v>16948011</v>
      </c>
      <c r="F667" s="1057" t="s">
        <v>187</v>
      </c>
      <c r="G667" s="1058">
        <v>2614675</v>
      </c>
      <c r="H667" s="1059">
        <v>2326458</v>
      </c>
      <c r="I667" s="1058">
        <v>4497348</v>
      </c>
      <c r="J667" s="1057">
        <v>194684</v>
      </c>
      <c r="K667" s="1059">
        <f t="shared" si="23"/>
        <v>9633165</v>
      </c>
      <c r="L667" s="1057"/>
      <c r="M667" s="1058">
        <v>87735</v>
      </c>
      <c r="N667" s="1058">
        <v>0</v>
      </c>
      <c r="O667" s="1057">
        <v>24107</v>
      </c>
      <c r="P667" s="1059">
        <f t="shared" si="24"/>
        <v>111842</v>
      </c>
      <c r="Q667" s="1057"/>
      <c r="R667" s="1058">
        <v>4707703</v>
      </c>
      <c r="S667" s="1057">
        <v>-954</v>
      </c>
      <c r="T667" s="1060">
        <v>4706749</v>
      </c>
    </row>
    <row r="668" spans="1:20" x14ac:dyDescent="0.25">
      <c r="A668" s="1054">
        <v>97402</v>
      </c>
      <c r="B668" s="1055" t="s">
        <v>3219</v>
      </c>
      <c r="C668" s="1056">
        <v>4.8399999999999997E-5</v>
      </c>
      <c r="D668" s="1056">
        <v>4.8000000000000001E-5</v>
      </c>
      <c r="E668" s="1057">
        <v>114821</v>
      </c>
      <c r="F668" s="1057" t="s">
        <v>187</v>
      </c>
      <c r="G668" s="1058">
        <v>17714</v>
      </c>
      <c r="H668" s="1059">
        <v>15761</v>
      </c>
      <c r="I668" s="1058">
        <v>30469</v>
      </c>
      <c r="J668" s="1057">
        <v>12911</v>
      </c>
      <c r="K668" s="1059">
        <f t="shared" si="23"/>
        <v>76855</v>
      </c>
      <c r="L668" s="1057"/>
      <c r="M668" s="1058">
        <v>594</v>
      </c>
      <c r="N668" s="1058">
        <v>0</v>
      </c>
      <c r="O668" s="1057">
        <v>0</v>
      </c>
      <c r="P668" s="1059">
        <f t="shared" si="24"/>
        <v>594</v>
      </c>
      <c r="Q668" s="1057"/>
      <c r="R668" s="1058">
        <v>31894</v>
      </c>
      <c r="S668" s="1057">
        <v>5903</v>
      </c>
      <c r="T668" s="1060">
        <v>37797</v>
      </c>
    </row>
    <row r="669" spans="1:20" x14ac:dyDescent="0.25">
      <c r="A669" s="1054">
        <v>97404</v>
      </c>
      <c r="B669" s="1055" t="s">
        <v>3220</v>
      </c>
      <c r="C669" s="1056">
        <v>2.0320000000000001E-4</v>
      </c>
      <c r="D669" s="1056">
        <v>2.1010000000000001E-4</v>
      </c>
      <c r="E669" s="1057">
        <v>482060</v>
      </c>
      <c r="F669" s="1057" t="s">
        <v>187</v>
      </c>
      <c r="G669" s="1058">
        <v>74370</v>
      </c>
      <c r="H669" s="1059">
        <v>66173</v>
      </c>
      <c r="I669" s="1058">
        <v>127920</v>
      </c>
      <c r="J669" s="1057">
        <v>0</v>
      </c>
      <c r="K669" s="1059">
        <f t="shared" si="23"/>
        <v>268463</v>
      </c>
      <c r="L669" s="1057"/>
      <c r="M669" s="1058">
        <v>2495</v>
      </c>
      <c r="N669" s="1058">
        <v>0</v>
      </c>
      <c r="O669" s="1057">
        <v>26048</v>
      </c>
      <c r="P669" s="1059">
        <f t="shared" si="24"/>
        <v>28543</v>
      </c>
      <c r="Q669" s="1057"/>
      <c r="R669" s="1058">
        <v>133903</v>
      </c>
      <c r="S669" s="1057">
        <v>-9082</v>
      </c>
      <c r="T669" s="1060">
        <v>124821</v>
      </c>
    </row>
    <row r="670" spans="1:20" x14ac:dyDescent="0.25">
      <c r="A670" s="1054">
        <v>97405</v>
      </c>
      <c r="B670" s="1055" t="s">
        <v>3221</v>
      </c>
      <c r="C670" s="1056">
        <v>1.156E-4</v>
      </c>
      <c r="D670" s="1056">
        <v>1.091E-4</v>
      </c>
      <c r="E670" s="1057">
        <v>274243</v>
      </c>
      <c r="F670" s="1057" t="s">
        <v>187</v>
      </c>
      <c r="G670" s="1058">
        <v>42309</v>
      </c>
      <c r="H670" s="1059">
        <v>37646</v>
      </c>
      <c r="I670" s="1058">
        <v>72773</v>
      </c>
      <c r="J670" s="1057">
        <v>33588</v>
      </c>
      <c r="K670" s="1059">
        <f t="shared" si="23"/>
        <v>186316</v>
      </c>
      <c r="L670" s="1057"/>
      <c r="M670" s="1058">
        <v>1420</v>
      </c>
      <c r="N670" s="1058">
        <v>0</v>
      </c>
      <c r="O670" s="1057">
        <v>0</v>
      </c>
      <c r="P670" s="1059">
        <f t="shared" si="24"/>
        <v>1420</v>
      </c>
      <c r="Q670" s="1057"/>
      <c r="R670" s="1058">
        <v>76177</v>
      </c>
      <c r="S670" s="1057">
        <v>8872</v>
      </c>
      <c r="T670" s="1060">
        <v>85049</v>
      </c>
    </row>
    <row r="671" spans="1:20" x14ac:dyDescent="0.25">
      <c r="A671" s="1054">
        <v>97408</v>
      </c>
      <c r="B671" s="1055" t="s">
        <v>3222</v>
      </c>
      <c r="C671" s="1056">
        <v>4.3000000000000002E-5</v>
      </c>
      <c r="D671" s="1056">
        <v>4.4499999999999997E-5</v>
      </c>
      <c r="E671" s="1057">
        <v>102011</v>
      </c>
      <c r="F671" s="1057" t="s">
        <v>187</v>
      </c>
      <c r="G671" s="1058">
        <v>15738</v>
      </c>
      <c r="H671" s="1059">
        <v>14003</v>
      </c>
      <c r="I671" s="1058">
        <v>27070</v>
      </c>
      <c r="J671" s="1057">
        <v>6868</v>
      </c>
      <c r="K671" s="1059">
        <f t="shared" si="23"/>
        <v>63679</v>
      </c>
      <c r="L671" s="1057"/>
      <c r="M671" s="1058">
        <v>528</v>
      </c>
      <c r="N671" s="1058">
        <v>0</v>
      </c>
      <c r="O671" s="1057">
        <v>0</v>
      </c>
      <c r="P671" s="1059">
        <f t="shared" si="24"/>
        <v>528</v>
      </c>
      <c r="Q671" s="1057"/>
      <c r="R671" s="1058">
        <v>28336</v>
      </c>
      <c r="S671" s="1057">
        <v>3527</v>
      </c>
      <c r="T671" s="1060">
        <v>31863</v>
      </c>
    </row>
    <row r="672" spans="1:20" x14ac:dyDescent="0.25">
      <c r="A672" s="1054">
        <v>97411</v>
      </c>
      <c r="B672" s="1055" t="s">
        <v>3223</v>
      </c>
      <c r="C672" s="1056">
        <v>6.2385000000000001E-3</v>
      </c>
      <c r="D672" s="1056">
        <v>6.6379000000000004E-3</v>
      </c>
      <c r="E672" s="1057">
        <v>14799856</v>
      </c>
      <c r="F672" s="1057" t="s">
        <v>187</v>
      </c>
      <c r="G672" s="1058">
        <v>2283266</v>
      </c>
      <c r="H672" s="1059">
        <v>2031580</v>
      </c>
      <c r="I672" s="1058">
        <v>3927310</v>
      </c>
      <c r="J672" s="1057">
        <v>0</v>
      </c>
      <c r="K672" s="1059">
        <f t="shared" si="23"/>
        <v>8242156</v>
      </c>
      <c r="L672" s="1057"/>
      <c r="M672" s="1058">
        <v>76615</v>
      </c>
      <c r="N672" s="1058">
        <v>0</v>
      </c>
      <c r="O672" s="1057">
        <v>667530</v>
      </c>
      <c r="P672" s="1059">
        <f t="shared" si="24"/>
        <v>744145</v>
      </c>
      <c r="Q672" s="1057"/>
      <c r="R672" s="1058">
        <v>4111003</v>
      </c>
      <c r="S672" s="1057">
        <v>-393360</v>
      </c>
      <c r="T672" s="1060">
        <v>3717643</v>
      </c>
    </row>
    <row r="673" spans="1:20" x14ac:dyDescent="0.25">
      <c r="A673" s="1054">
        <v>97412</v>
      </c>
      <c r="B673" s="1055" t="s">
        <v>3224</v>
      </c>
      <c r="C673" s="1056">
        <v>4.6245000000000001E-3</v>
      </c>
      <c r="D673" s="1056">
        <v>4.5082000000000004E-3</v>
      </c>
      <c r="E673" s="1057">
        <v>10970896</v>
      </c>
      <c r="F673" s="1057" t="s">
        <v>187</v>
      </c>
      <c r="G673" s="1058">
        <v>1692549</v>
      </c>
      <c r="H673" s="1059">
        <v>1505978</v>
      </c>
      <c r="I673" s="1058">
        <v>2911252</v>
      </c>
      <c r="J673" s="1057">
        <v>233378</v>
      </c>
      <c r="K673" s="1059">
        <f t="shared" si="23"/>
        <v>6343157</v>
      </c>
      <c r="L673" s="1057"/>
      <c r="M673" s="1058">
        <v>56793</v>
      </c>
      <c r="N673" s="1058">
        <v>0</v>
      </c>
      <c r="O673" s="1057">
        <v>0</v>
      </c>
      <c r="P673" s="1059">
        <f t="shared" si="24"/>
        <v>56793</v>
      </c>
      <c r="Q673" s="1057"/>
      <c r="R673" s="1058">
        <v>3047421</v>
      </c>
      <c r="S673" s="1057">
        <v>107578</v>
      </c>
      <c r="T673" s="1060">
        <v>3154999</v>
      </c>
    </row>
    <row r="674" spans="1:20" x14ac:dyDescent="0.25">
      <c r="A674" s="1054">
        <v>97413</v>
      </c>
      <c r="B674" s="1055" t="s">
        <v>3225</v>
      </c>
      <c r="C674" s="1056">
        <v>2.7E-4</v>
      </c>
      <c r="D674" s="1056">
        <v>2.6570000000000001E-4</v>
      </c>
      <c r="E674" s="1057">
        <v>640532</v>
      </c>
      <c r="F674" s="1057" t="s">
        <v>187</v>
      </c>
      <c r="G674" s="1058">
        <v>98819</v>
      </c>
      <c r="H674" s="1059">
        <v>87926</v>
      </c>
      <c r="I674" s="1058">
        <v>169973</v>
      </c>
      <c r="J674" s="1057">
        <v>21390</v>
      </c>
      <c r="K674" s="1059">
        <f t="shared" si="23"/>
        <v>378108</v>
      </c>
      <c r="L674" s="1057"/>
      <c r="M674" s="1058">
        <v>3316</v>
      </c>
      <c r="N674" s="1058">
        <v>0</v>
      </c>
      <c r="O674" s="1057">
        <v>439</v>
      </c>
      <c r="P674" s="1059">
        <f t="shared" si="24"/>
        <v>3755</v>
      </c>
      <c r="Q674" s="1057"/>
      <c r="R674" s="1058">
        <v>177923</v>
      </c>
      <c r="S674" s="1057">
        <v>1118</v>
      </c>
      <c r="T674" s="1060">
        <v>179041</v>
      </c>
    </row>
    <row r="675" spans="1:20" x14ac:dyDescent="0.25">
      <c r="A675" s="1054">
        <v>97421</v>
      </c>
      <c r="B675" s="1055" t="s">
        <v>4270</v>
      </c>
      <c r="C675" s="1056">
        <v>4.4739999999999998E-4</v>
      </c>
      <c r="D675" s="1056">
        <v>4.2890000000000002E-4</v>
      </c>
      <c r="E675" s="1057">
        <v>1061386</v>
      </c>
      <c r="F675" s="1057" t="s">
        <v>187</v>
      </c>
      <c r="G675" s="1058">
        <v>163747</v>
      </c>
      <c r="H675" s="1059">
        <v>145696</v>
      </c>
      <c r="I675" s="1058">
        <v>281651</v>
      </c>
      <c r="J675" s="1057">
        <v>12678</v>
      </c>
      <c r="K675" s="1059">
        <f t="shared" si="23"/>
        <v>603772</v>
      </c>
      <c r="L675" s="1057"/>
      <c r="M675" s="1058">
        <v>5495</v>
      </c>
      <c r="N675" s="1058">
        <v>0</v>
      </c>
      <c r="O675" s="1057">
        <v>8104</v>
      </c>
      <c r="P675" s="1059">
        <f t="shared" si="24"/>
        <v>13599</v>
      </c>
      <c r="Q675" s="1057"/>
      <c r="R675" s="1058">
        <v>294825</v>
      </c>
      <c r="S675" s="1057">
        <v>-12344</v>
      </c>
      <c r="T675" s="1060">
        <v>282481</v>
      </c>
    </row>
    <row r="676" spans="1:20" x14ac:dyDescent="0.25">
      <c r="A676" s="1054">
        <v>97423</v>
      </c>
      <c r="B676" s="1055" t="s">
        <v>3227</v>
      </c>
      <c r="C676" s="1056">
        <v>3.93E-5</v>
      </c>
      <c r="D676" s="1056">
        <v>4.3600000000000003E-5</v>
      </c>
      <c r="E676" s="1057">
        <v>93233</v>
      </c>
      <c r="F676" s="1057" t="s">
        <v>187</v>
      </c>
      <c r="G676" s="1058">
        <v>14384</v>
      </c>
      <c r="H676" s="1059">
        <v>12798</v>
      </c>
      <c r="I676" s="1058">
        <v>24740</v>
      </c>
      <c r="J676" s="1057">
        <v>37150</v>
      </c>
      <c r="K676" s="1059">
        <f t="shared" si="23"/>
        <v>89072</v>
      </c>
      <c r="L676" s="1057"/>
      <c r="M676" s="1058">
        <v>483</v>
      </c>
      <c r="N676" s="1058">
        <v>0</v>
      </c>
      <c r="O676" s="1057">
        <v>0</v>
      </c>
      <c r="P676" s="1059">
        <f t="shared" si="24"/>
        <v>483</v>
      </c>
      <c r="Q676" s="1057"/>
      <c r="R676" s="1058">
        <v>25898</v>
      </c>
      <c r="S676" s="1057">
        <v>15711</v>
      </c>
      <c r="T676" s="1060">
        <v>41609</v>
      </c>
    </row>
    <row r="677" spans="1:20" x14ac:dyDescent="0.25">
      <c r="A677" s="1054">
        <v>97431</v>
      </c>
      <c r="B677" s="1055" t="s">
        <v>4271</v>
      </c>
      <c r="C677" s="1056">
        <v>1.0349999999999999E-4</v>
      </c>
      <c r="D677" s="1056">
        <v>8.5599999999999994E-5</v>
      </c>
      <c r="E677" s="1057">
        <v>245537</v>
      </c>
      <c r="F677" s="1057" t="s">
        <v>187</v>
      </c>
      <c r="G677" s="1058">
        <v>37881</v>
      </c>
      <c r="H677" s="1059">
        <v>33705</v>
      </c>
      <c r="I677" s="1058">
        <v>65156</v>
      </c>
      <c r="J677" s="1057">
        <v>17263</v>
      </c>
      <c r="K677" s="1059">
        <f t="shared" si="23"/>
        <v>154005</v>
      </c>
      <c r="L677" s="1057"/>
      <c r="M677" s="1058">
        <v>1271</v>
      </c>
      <c r="N677" s="1058">
        <v>0</v>
      </c>
      <c r="O677" s="1057">
        <v>0</v>
      </c>
      <c r="P677" s="1059">
        <f t="shared" si="24"/>
        <v>1271</v>
      </c>
      <c r="Q677" s="1057"/>
      <c r="R677" s="1058">
        <v>68204</v>
      </c>
      <c r="S677" s="1057">
        <v>5239</v>
      </c>
      <c r="T677" s="1060">
        <v>73443</v>
      </c>
    </row>
    <row r="678" spans="1:20" x14ac:dyDescent="0.25">
      <c r="A678" s="1054">
        <v>97441</v>
      </c>
      <c r="B678" s="1055" t="s">
        <v>4272</v>
      </c>
      <c r="C678" s="1056">
        <v>5.2899999999999998E-5</v>
      </c>
      <c r="D678" s="1056">
        <v>7.5799999999999999E-5</v>
      </c>
      <c r="E678" s="1057">
        <v>125497</v>
      </c>
      <c r="F678" s="1057" t="s">
        <v>187</v>
      </c>
      <c r="G678" s="1058">
        <v>19361</v>
      </c>
      <c r="H678" s="1059">
        <v>17227</v>
      </c>
      <c r="I678" s="1058">
        <v>33302</v>
      </c>
      <c r="J678" s="1057">
        <v>0</v>
      </c>
      <c r="K678" s="1059">
        <f t="shared" si="23"/>
        <v>69890</v>
      </c>
      <c r="L678" s="1057"/>
      <c r="M678" s="1058">
        <v>650</v>
      </c>
      <c r="N678" s="1058">
        <v>0</v>
      </c>
      <c r="O678" s="1057">
        <v>25076</v>
      </c>
      <c r="P678" s="1059">
        <f t="shared" si="24"/>
        <v>25726</v>
      </c>
      <c r="Q678" s="1057"/>
      <c r="R678" s="1058">
        <v>34860</v>
      </c>
      <c r="S678" s="1057">
        <v>-7198</v>
      </c>
      <c r="T678" s="1060">
        <v>27662</v>
      </c>
    </row>
    <row r="679" spans="1:20" x14ac:dyDescent="0.25">
      <c r="A679" s="1054">
        <v>97451</v>
      </c>
      <c r="B679" s="1055" t="s">
        <v>4273</v>
      </c>
      <c r="C679" s="1056">
        <v>6.3380000000000001E-4</v>
      </c>
      <c r="D679" s="1056">
        <v>5.5820000000000002E-4</v>
      </c>
      <c r="E679" s="1057">
        <v>1503590</v>
      </c>
      <c r="F679" s="1057" t="s">
        <v>187</v>
      </c>
      <c r="G679" s="1058">
        <v>231968</v>
      </c>
      <c r="H679" s="1059">
        <v>206398</v>
      </c>
      <c r="I679" s="1058">
        <v>398995</v>
      </c>
      <c r="J679" s="1057">
        <v>21165</v>
      </c>
      <c r="K679" s="1059">
        <f t="shared" si="23"/>
        <v>858526</v>
      </c>
      <c r="L679" s="1057"/>
      <c r="M679" s="1058">
        <v>7784</v>
      </c>
      <c r="N679" s="1058">
        <v>0</v>
      </c>
      <c r="O679" s="1057">
        <v>34586</v>
      </c>
      <c r="P679" s="1059">
        <f t="shared" si="24"/>
        <v>42370</v>
      </c>
      <c r="Q679" s="1057"/>
      <c r="R679" s="1058">
        <v>417657</v>
      </c>
      <c r="S679" s="1057">
        <v>81</v>
      </c>
      <c r="T679" s="1060">
        <v>417738</v>
      </c>
    </row>
    <row r="680" spans="1:20" x14ac:dyDescent="0.25">
      <c r="A680" s="1054" t="s">
        <v>4274</v>
      </c>
      <c r="B680" s="1055" t="s">
        <v>4275</v>
      </c>
      <c r="C680" s="1056">
        <v>5.3019999999999999E-4</v>
      </c>
      <c r="D680" s="1056">
        <v>5.5650000000000003E-4</v>
      </c>
      <c r="E680" s="1057">
        <v>1257816</v>
      </c>
      <c r="F680" s="1057" t="s">
        <v>187</v>
      </c>
      <c r="G680" s="1058">
        <v>194051</v>
      </c>
      <c r="H680" s="1059">
        <v>172661</v>
      </c>
      <c r="I680" s="1058">
        <v>333776</v>
      </c>
      <c r="J680" s="1057">
        <v>2730</v>
      </c>
      <c r="K680" s="1059">
        <f t="shared" si="23"/>
        <v>703218</v>
      </c>
      <c r="L680" s="1057"/>
      <c r="M680" s="1058">
        <v>6511</v>
      </c>
      <c r="N680" s="1058">
        <v>0</v>
      </c>
      <c r="O680" s="1057">
        <v>55903</v>
      </c>
      <c r="P680" s="1059">
        <f t="shared" si="24"/>
        <v>62414</v>
      </c>
      <c r="Q680" s="1057"/>
      <c r="R680" s="1058">
        <v>349387</v>
      </c>
      <c r="S680" s="1057">
        <v>-21034</v>
      </c>
      <c r="T680" s="1060">
        <v>328353</v>
      </c>
    </row>
    <row r="681" spans="1:20" x14ac:dyDescent="0.25">
      <c r="A681" s="1054" t="s">
        <v>4276</v>
      </c>
      <c r="B681" s="1055" t="s">
        <v>4277</v>
      </c>
      <c r="C681" s="1056">
        <v>0</v>
      </c>
      <c r="D681" s="1056">
        <v>4.1100000000000003E-5</v>
      </c>
      <c r="E681" s="1057">
        <v>0</v>
      </c>
      <c r="F681" s="1057" t="s">
        <v>187</v>
      </c>
      <c r="G681" s="1058">
        <v>0</v>
      </c>
      <c r="H681" s="1059">
        <v>0</v>
      </c>
      <c r="I681" s="1058">
        <v>0</v>
      </c>
      <c r="J681" s="1057">
        <v>310</v>
      </c>
      <c r="K681" s="1059">
        <f t="shared" si="23"/>
        <v>310</v>
      </c>
      <c r="L681" s="1057"/>
      <c r="M681" s="1058">
        <v>0</v>
      </c>
      <c r="N681" s="1058">
        <v>0</v>
      </c>
      <c r="O681" s="1057">
        <v>31362</v>
      </c>
      <c r="P681" s="1059">
        <f t="shared" si="24"/>
        <v>31362</v>
      </c>
      <c r="Q681" s="1057"/>
      <c r="R681" s="1058">
        <v>0</v>
      </c>
      <c r="S681" s="1057">
        <v>-8061</v>
      </c>
      <c r="T681" s="1060">
        <v>-8061</v>
      </c>
    </row>
    <row r="682" spans="1:20" x14ac:dyDescent="0.25">
      <c r="A682" s="1054">
        <v>97461</v>
      </c>
      <c r="B682" s="1055" t="s">
        <v>4275</v>
      </c>
      <c r="C682" s="1056">
        <f>SUM(C680:C681)</f>
        <v>5.3019999999999999E-4</v>
      </c>
      <c r="D682" s="1056">
        <f t="shared" ref="D682:T682" si="25">SUM(D680:D681)</f>
        <v>5.976E-4</v>
      </c>
      <c r="E682" s="1057">
        <f t="shared" si="25"/>
        <v>1257816</v>
      </c>
      <c r="F682" s="1057"/>
      <c r="G682" s="1058">
        <f t="shared" si="25"/>
        <v>194051</v>
      </c>
      <c r="H682" s="1059">
        <f t="shared" si="25"/>
        <v>172661</v>
      </c>
      <c r="I682" s="1058">
        <f t="shared" si="25"/>
        <v>333776</v>
      </c>
      <c r="J682" s="1057">
        <f t="shared" si="25"/>
        <v>3040</v>
      </c>
      <c r="K682" s="1059">
        <f t="shared" si="25"/>
        <v>703528</v>
      </c>
      <c r="L682" s="1057"/>
      <c r="M682" s="1058">
        <f t="shared" si="25"/>
        <v>6511</v>
      </c>
      <c r="N682" s="1058">
        <f t="shared" si="25"/>
        <v>0</v>
      </c>
      <c r="O682" s="1057">
        <f t="shared" si="25"/>
        <v>87265</v>
      </c>
      <c r="P682" s="1059">
        <f t="shared" si="25"/>
        <v>93776</v>
      </c>
      <c r="Q682" s="1057"/>
      <c r="R682" s="1058">
        <f t="shared" si="25"/>
        <v>349387</v>
      </c>
      <c r="S682" s="1057">
        <f t="shared" si="25"/>
        <v>-29095</v>
      </c>
      <c r="T682" s="1060">
        <f t="shared" si="25"/>
        <v>320292</v>
      </c>
    </row>
    <row r="683" spans="1:20" x14ac:dyDescent="0.25">
      <c r="A683" s="1054">
        <v>97471</v>
      </c>
      <c r="B683" s="1055" t="s">
        <v>4278</v>
      </c>
      <c r="C683" s="1056">
        <v>1.66E-5</v>
      </c>
      <c r="D683" s="1056">
        <v>1.22E-5</v>
      </c>
      <c r="E683" s="1057">
        <v>39381</v>
      </c>
      <c r="F683" s="1057" t="s">
        <v>187</v>
      </c>
      <c r="G683" s="1058">
        <v>6076</v>
      </c>
      <c r="H683" s="1059">
        <v>5406</v>
      </c>
      <c r="I683" s="1058">
        <v>10450</v>
      </c>
      <c r="J683" s="1057">
        <v>10650</v>
      </c>
      <c r="K683" s="1059">
        <f t="shared" si="23"/>
        <v>32582</v>
      </c>
      <c r="L683" s="1057"/>
      <c r="M683" s="1058">
        <v>204</v>
      </c>
      <c r="N683" s="1058">
        <v>0</v>
      </c>
      <c r="O683" s="1057">
        <v>0</v>
      </c>
      <c r="P683" s="1059">
        <f t="shared" si="24"/>
        <v>204</v>
      </c>
      <c r="Q683" s="1057"/>
      <c r="R683" s="1058">
        <v>10939</v>
      </c>
      <c r="S683" s="1057">
        <v>4239</v>
      </c>
      <c r="T683" s="1060">
        <v>15178</v>
      </c>
    </row>
    <row r="684" spans="1:20" x14ac:dyDescent="0.25">
      <c r="A684" s="1054">
        <v>97481</v>
      </c>
      <c r="B684" s="1055" t="s">
        <v>4279</v>
      </c>
      <c r="C684" s="1056">
        <v>1.26E-5</v>
      </c>
      <c r="D684" s="1056">
        <v>9.9000000000000001E-6</v>
      </c>
      <c r="E684" s="1057">
        <v>29892</v>
      </c>
      <c r="F684" s="1057" t="s">
        <v>187</v>
      </c>
      <c r="G684" s="1058">
        <v>4612</v>
      </c>
      <c r="H684" s="1059">
        <v>4103</v>
      </c>
      <c r="I684" s="1058">
        <v>7932</v>
      </c>
      <c r="J684" s="1057">
        <v>1760</v>
      </c>
      <c r="K684" s="1059">
        <f t="shared" si="23"/>
        <v>18407</v>
      </c>
      <c r="L684" s="1057"/>
      <c r="M684" s="1058">
        <v>155</v>
      </c>
      <c r="N684" s="1058">
        <v>0</v>
      </c>
      <c r="O684" s="1057">
        <v>2336</v>
      </c>
      <c r="P684" s="1059">
        <f t="shared" si="24"/>
        <v>2491</v>
      </c>
      <c r="Q684" s="1057"/>
      <c r="R684" s="1058">
        <v>8303</v>
      </c>
      <c r="S684" s="1057">
        <v>1709</v>
      </c>
      <c r="T684" s="1060">
        <v>10012</v>
      </c>
    </row>
    <row r="685" spans="1:20" x14ac:dyDescent="0.25">
      <c r="A685" s="1054">
        <v>97491</v>
      </c>
      <c r="B685" s="1055" t="s">
        <v>4280</v>
      </c>
      <c r="C685" s="1056">
        <v>0</v>
      </c>
      <c r="D685" s="1056">
        <v>0</v>
      </c>
      <c r="E685" s="1057">
        <v>0</v>
      </c>
      <c r="F685" s="1057" t="s">
        <v>187</v>
      </c>
      <c r="G685" s="1058">
        <v>0</v>
      </c>
      <c r="H685" s="1059">
        <v>0</v>
      </c>
      <c r="I685" s="1058">
        <v>0</v>
      </c>
      <c r="J685" s="1057">
        <v>0</v>
      </c>
      <c r="K685" s="1059">
        <f t="shared" si="23"/>
        <v>0</v>
      </c>
      <c r="L685" s="1057"/>
      <c r="M685" s="1058">
        <v>0</v>
      </c>
      <c r="N685" s="1058">
        <v>0</v>
      </c>
      <c r="O685" s="1057">
        <v>2921</v>
      </c>
      <c r="P685" s="1059">
        <f t="shared" si="24"/>
        <v>2921</v>
      </c>
      <c r="Q685" s="1057"/>
      <c r="R685" s="1058">
        <v>0</v>
      </c>
      <c r="S685" s="1057">
        <v>-4927</v>
      </c>
      <c r="T685" s="1060">
        <v>-4927</v>
      </c>
    </row>
    <row r="686" spans="1:20" x14ac:dyDescent="0.25">
      <c r="A686" s="1054">
        <v>97501</v>
      </c>
      <c r="B686" s="1055" t="s">
        <v>3236</v>
      </c>
      <c r="C686" s="1056">
        <v>1.0767999999999999E-3</v>
      </c>
      <c r="D686" s="1056">
        <v>1.1000999999999999E-3</v>
      </c>
      <c r="E686" s="1057">
        <v>2554538</v>
      </c>
      <c r="F686" s="1057" t="s">
        <v>187</v>
      </c>
      <c r="G686" s="1058">
        <v>394104</v>
      </c>
      <c r="H686" s="1059">
        <v>350662</v>
      </c>
      <c r="I686" s="1058">
        <v>677876</v>
      </c>
      <c r="J686" s="1057">
        <v>80569</v>
      </c>
      <c r="K686" s="1059">
        <f t="shared" si="23"/>
        <v>1503211</v>
      </c>
      <c r="L686" s="1057"/>
      <c r="M686" s="1058">
        <v>13224</v>
      </c>
      <c r="N686" s="1058">
        <v>0</v>
      </c>
      <c r="O686" s="1057">
        <v>3282</v>
      </c>
      <c r="P686" s="1059">
        <f t="shared" si="24"/>
        <v>16506</v>
      </c>
      <c r="Q686" s="1057"/>
      <c r="R686" s="1058">
        <v>709582</v>
      </c>
      <c r="S686" s="1057">
        <v>43661</v>
      </c>
      <c r="T686" s="1060">
        <v>753243</v>
      </c>
    </row>
    <row r="687" spans="1:20" x14ac:dyDescent="0.25">
      <c r="A687" s="1054">
        <v>97511</v>
      </c>
      <c r="B687" s="1055" t="s">
        <v>4281</v>
      </c>
      <c r="C687" s="1056">
        <v>1.8090000000000001E-4</v>
      </c>
      <c r="D687" s="1056">
        <v>2.3450000000000001E-4</v>
      </c>
      <c r="E687" s="1057">
        <v>429157</v>
      </c>
      <c r="F687" s="1057" t="s">
        <v>187</v>
      </c>
      <c r="G687" s="1058">
        <v>66209</v>
      </c>
      <c r="H687" s="1059">
        <v>58911</v>
      </c>
      <c r="I687" s="1058">
        <v>113882</v>
      </c>
      <c r="J687" s="1057">
        <v>8581</v>
      </c>
      <c r="K687" s="1059">
        <f t="shared" si="23"/>
        <v>247583</v>
      </c>
      <c r="L687" s="1057"/>
      <c r="M687" s="1058">
        <v>2222</v>
      </c>
      <c r="N687" s="1058">
        <v>0</v>
      </c>
      <c r="O687" s="1057">
        <v>27881</v>
      </c>
      <c r="P687" s="1059">
        <f t="shared" si="24"/>
        <v>30103</v>
      </c>
      <c r="Q687" s="1057"/>
      <c r="R687" s="1058">
        <v>119208</v>
      </c>
      <c r="S687" s="1057">
        <v>-3085</v>
      </c>
      <c r="T687" s="1060">
        <v>116123</v>
      </c>
    </row>
    <row r="688" spans="1:20" x14ac:dyDescent="0.25">
      <c r="A688" s="1054">
        <v>97521</v>
      </c>
      <c r="B688" s="1055" t="s">
        <v>4282</v>
      </c>
      <c r="C688" s="1056">
        <v>1.2640000000000001E-4</v>
      </c>
      <c r="D688" s="1056">
        <v>1.2870000000000001E-4</v>
      </c>
      <c r="E688" s="1057">
        <v>299864</v>
      </c>
      <c r="F688" s="1057" t="s">
        <v>187</v>
      </c>
      <c r="G688" s="1058">
        <v>46262</v>
      </c>
      <c r="H688" s="1059">
        <v>41162</v>
      </c>
      <c r="I688" s="1058">
        <v>79572</v>
      </c>
      <c r="J688" s="1057">
        <v>0</v>
      </c>
      <c r="K688" s="1059">
        <f t="shared" si="23"/>
        <v>166996</v>
      </c>
      <c r="L688" s="1057"/>
      <c r="M688" s="1058">
        <v>1552</v>
      </c>
      <c r="N688" s="1058">
        <v>0</v>
      </c>
      <c r="O688" s="1057">
        <v>13218</v>
      </c>
      <c r="P688" s="1059">
        <f t="shared" si="24"/>
        <v>14770</v>
      </c>
      <c r="Q688" s="1057"/>
      <c r="R688" s="1058">
        <v>83294</v>
      </c>
      <c r="S688" s="1057">
        <v>-4767</v>
      </c>
      <c r="T688" s="1060">
        <v>78527</v>
      </c>
    </row>
    <row r="689" spans="1:20" x14ac:dyDescent="0.25">
      <c r="A689" s="1054">
        <v>97527</v>
      </c>
      <c r="B689" s="1055" t="s">
        <v>3877</v>
      </c>
      <c r="C689" s="1056">
        <v>1.3999999999999999E-6</v>
      </c>
      <c r="D689" s="1056">
        <v>0</v>
      </c>
      <c r="E689" s="1057">
        <v>3321</v>
      </c>
      <c r="F689" s="1057" t="s">
        <v>187</v>
      </c>
      <c r="G689" s="1058">
        <v>512</v>
      </c>
      <c r="H689" s="1059">
        <v>456</v>
      </c>
      <c r="I689" s="1058">
        <v>881</v>
      </c>
      <c r="J689" s="1057">
        <v>3462</v>
      </c>
      <c r="K689" s="1059">
        <f t="shared" si="23"/>
        <v>5311</v>
      </c>
      <c r="L689" s="1057"/>
      <c r="M689" s="1058">
        <v>17</v>
      </c>
      <c r="N689" s="1058">
        <v>0</v>
      </c>
      <c r="O689" s="1057">
        <v>0</v>
      </c>
      <c r="P689" s="1059">
        <f t="shared" si="24"/>
        <v>17</v>
      </c>
      <c r="Q689" s="1057"/>
      <c r="R689" s="1058">
        <v>923</v>
      </c>
      <c r="S689" s="1057">
        <v>866</v>
      </c>
      <c r="T689" s="1060">
        <v>1789</v>
      </c>
    </row>
    <row r="690" spans="1:20" x14ac:dyDescent="0.25">
      <c r="A690" s="1054">
        <v>97531</v>
      </c>
      <c r="B690" s="1055" t="s">
        <v>3239</v>
      </c>
      <c r="C690" s="1056">
        <v>5.2800000000000003E-5</v>
      </c>
      <c r="D690" s="1056">
        <v>4.32E-5</v>
      </c>
      <c r="E690" s="1057">
        <v>125260</v>
      </c>
      <c r="F690" s="1057" t="s">
        <v>187</v>
      </c>
      <c r="G690" s="1058">
        <v>19325</v>
      </c>
      <c r="H690" s="1059">
        <v>17194</v>
      </c>
      <c r="I690" s="1058">
        <v>33239</v>
      </c>
      <c r="J690" s="1057">
        <v>18303</v>
      </c>
      <c r="K690" s="1059">
        <f t="shared" si="23"/>
        <v>88061</v>
      </c>
      <c r="L690" s="1057"/>
      <c r="M690" s="1058">
        <v>648</v>
      </c>
      <c r="N690" s="1058">
        <v>0</v>
      </c>
      <c r="O690" s="1057">
        <v>3521</v>
      </c>
      <c r="P690" s="1059">
        <f t="shared" si="24"/>
        <v>4169</v>
      </c>
      <c r="Q690" s="1057"/>
      <c r="R690" s="1058">
        <v>34794</v>
      </c>
      <c r="S690" s="1057">
        <v>42</v>
      </c>
      <c r="T690" s="1060">
        <v>34836</v>
      </c>
    </row>
    <row r="691" spans="1:20" x14ac:dyDescent="0.25">
      <c r="A691" s="1054">
        <v>97601</v>
      </c>
      <c r="B691" s="1055" t="s">
        <v>3240</v>
      </c>
      <c r="C691" s="1056">
        <v>5.2467E-3</v>
      </c>
      <c r="D691" s="1056">
        <v>5.1672000000000003E-3</v>
      </c>
      <c r="E691" s="1057">
        <v>12446967</v>
      </c>
      <c r="F691" s="1057" t="s">
        <v>187</v>
      </c>
      <c r="G691" s="1058">
        <v>1920271</v>
      </c>
      <c r="H691" s="1059">
        <v>1708599</v>
      </c>
      <c r="I691" s="1058">
        <v>3302945</v>
      </c>
      <c r="J691" s="1057">
        <v>143195</v>
      </c>
      <c r="K691" s="1059">
        <f t="shared" si="23"/>
        <v>7075010</v>
      </c>
      <c r="L691" s="1057"/>
      <c r="M691" s="1058">
        <v>64435</v>
      </c>
      <c r="N691" s="1058">
        <v>0</v>
      </c>
      <c r="O691" s="1057">
        <v>56258</v>
      </c>
      <c r="P691" s="1059">
        <f t="shared" si="24"/>
        <v>120693</v>
      </c>
      <c r="Q691" s="1057"/>
      <c r="R691" s="1058">
        <v>3457434</v>
      </c>
      <c r="S691" s="1057">
        <v>-900</v>
      </c>
      <c r="T691" s="1060">
        <v>3456534</v>
      </c>
    </row>
    <row r="692" spans="1:20" x14ac:dyDescent="0.25">
      <c r="A692" s="1054">
        <v>97607</v>
      </c>
      <c r="B692" s="1055" t="s">
        <v>3241</v>
      </c>
      <c r="C692" s="1056">
        <v>2.23E-5</v>
      </c>
      <c r="D692" s="1056">
        <v>2.3200000000000001E-5</v>
      </c>
      <c r="E692" s="1057">
        <v>52903</v>
      </c>
      <c r="F692" s="1057" t="s">
        <v>187</v>
      </c>
      <c r="G692" s="1058">
        <v>8162</v>
      </c>
      <c r="H692" s="1059">
        <v>7262</v>
      </c>
      <c r="I692" s="1058">
        <v>14038</v>
      </c>
      <c r="J692" s="1057">
        <v>13674</v>
      </c>
      <c r="K692" s="1059">
        <f t="shared" si="23"/>
        <v>43136</v>
      </c>
      <c r="L692" s="1057"/>
      <c r="M692" s="1058">
        <v>274</v>
      </c>
      <c r="N692" s="1058">
        <v>0</v>
      </c>
      <c r="O692" s="1057">
        <v>0</v>
      </c>
      <c r="P692" s="1059">
        <f t="shared" si="24"/>
        <v>274</v>
      </c>
      <c r="Q692" s="1057"/>
      <c r="R692" s="1058">
        <v>14695</v>
      </c>
      <c r="S692" s="1057">
        <v>6841</v>
      </c>
      <c r="T692" s="1060">
        <v>21536</v>
      </c>
    </row>
    <row r="693" spans="1:20" x14ac:dyDescent="0.25">
      <c r="A693" s="1054">
        <v>97611</v>
      </c>
      <c r="B693" s="1055" t="s">
        <v>3242</v>
      </c>
      <c r="C693" s="1056">
        <v>2.3620999999999998E-3</v>
      </c>
      <c r="D693" s="1056">
        <v>2.4767999999999999E-3</v>
      </c>
      <c r="E693" s="1057">
        <v>5603709</v>
      </c>
      <c r="F693" s="1057" t="s">
        <v>187</v>
      </c>
      <c r="G693" s="1058">
        <v>864519</v>
      </c>
      <c r="H693" s="1059">
        <v>769222</v>
      </c>
      <c r="I693" s="1058">
        <v>1487008</v>
      </c>
      <c r="J693" s="1057">
        <v>0</v>
      </c>
      <c r="K693" s="1059">
        <f t="shared" si="23"/>
        <v>3120749</v>
      </c>
      <c r="L693" s="1057"/>
      <c r="M693" s="1058">
        <v>29009</v>
      </c>
      <c r="N693" s="1058">
        <v>0</v>
      </c>
      <c r="O693" s="1057">
        <v>262473</v>
      </c>
      <c r="P693" s="1059">
        <f t="shared" si="24"/>
        <v>291482</v>
      </c>
      <c r="Q693" s="1057"/>
      <c r="R693" s="1058">
        <v>1556560</v>
      </c>
      <c r="S693" s="1057">
        <v>-141266</v>
      </c>
      <c r="T693" s="1060">
        <v>1415294</v>
      </c>
    </row>
    <row r="694" spans="1:20" x14ac:dyDescent="0.25">
      <c r="A694" s="1054">
        <v>97613</v>
      </c>
      <c r="B694" s="1055" t="s">
        <v>4283</v>
      </c>
      <c r="C694" s="1056">
        <v>1.155E-4</v>
      </c>
      <c r="D694" s="1056">
        <v>1.1629999999999999E-4</v>
      </c>
      <c r="E694" s="1057">
        <v>274006</v>
      </c>
      <c r="F694" s="1057" t="s">
        <v>187</v>
      </c>
      <c r="G694" s="1058">
        <v>42273</v>
      </c>
      <c r="H694" s="1059">
        <v>37613</v>
      </c>
      <c r="I694" s="1058">
        <v>72710</v>
      </c>
      <c r="J694" s="1057">
        <v>7279</v>
      </c>
      <c r="K694" s="1059">
        <f t="shared" si="23"/>
        <v>159875</v>
      </c>
      <c r="L694" s="1057"/>
      <c r="M694" s="1058">
        <v>1418</v>
      </c>
      <c r="N694" s="1058">
        <v>0</v>
      </c>
      <c r="O694" s="1057">
        <v>1649</v>
      </c>
      <c r="P694" s="1059">
        <f t="shared" si="24"/>
        <v>3067</v>
      </c>
      <c r="Q694" s="1057"/>
      <c r="R694" s="1058">
        <v>76111</v>
      </c>
      <c r="S694" s="1057">
        <v>633</v>
      </c>
      <c r="T694" s="1060">
        <v>76744</v>
      </c>
    </row>
    <row r="695" spans="1:20" x14ac:dyDescent="0.25">
      <c r="A695" s="1054">
        <v>97621</v>
      </c>
      <c r="B695" s="1055" t="s">
        <v>3244</v>
      </c>
      <c r="C695" s="1056">
        <v>4.4650000000000001E-4</v>
      </c>
      <c r="D695" s="1056">
        <v>4.5179999999999998E-4</v>
      </c>
      <c r="E695" s="1057">
        <v>1059251</v>
      </c>
      <c r="F695" s="1057" t="s">
        <v>187</v>
      </c>
      <c r="G695" s="1058">
        <v>163417</v>
      </c>
      <c r="H695" s="1059">
        <v>145404</v>
      </c>
      <c r="I695" s="1058">
        <v>281084</v>
      </c>
      <c r="J695" s="1057">
        <v>7112</v>
      </c>
      <c r="K695" s="1059">
        <f t="shared" si="23"/>
        <v>597017</v>
      </c>
      <c r="L695" s="1057"/>
      <c r="M695" s="1058">
        <v>5483</v>
      </c>
      <c r="N695" s="1058">
        <v>0</v>
      </c>
      <c r="O695" s="1057">
        <v>77672</v>
      </c>
      <c r="P695" s="1059">
        <f t="shared" si="24"/>
        <v>83155</v>
      </c>
      <c r="Q695" s="1057"/>
      <c r="R695" s="1058">
        <v>294231</v>
      </c>
      <c r="S695" s="1057">
        <v>-19086</v>
      </c>
      <c r="T695" s="1060">
        <v>275145</v>
      </c>
    </row>
    <row r="696" spans="1:20" x14ac:dyDescent="0.25">
      <c r="A696" s="1054">
        <v>97623</v>
      </c>
      <c r="B696" s="1055" t="s">
        <v>3245</v>
      </c>
      <c r="C696" s="1056">
        <v>2.4000000000000001E-5</v>
      </c>
      <c r="D696" s="1056">
        <v>2.9499999999999999E-5</v>
      </c>
      <c r="E696" s="1057">
        <v>56936</v>
      </c>
      <c r="F696" s="1057" t="s">
        <v>187</v>
      </c>
      <c r="G696" s="1058">
        <v>8784</v>
      </c>
      <c r="H696" s="1059">
        <v>7815</v>
      </c>
      <c r="I696" s="1058">
        <v>15109</v>
      </c>
      <c r="J696" s="1057">
        <v>2822</v>
      </c>
      <c r="K696" s="1059">
        <f t="shared" si="23"/>
        <v>34530</v>
      </c>
      <c r="L696" s="1057"/>
      <c r="M696" s="1058">
        <v>295</v>
      </c>
      <c r="N696" s="1058">
        <v>0</v>
      </c>
      <c r="O696" s="1057">
        <v>5509</v>
      </c>
      <c r="P696" s="1059">
        <f t="shared" si="24"/>
        <v>5804</v>
      </c>
      <c r="Q696" s="1057"/>
      <c r="R696" s="1058">
        <v>15815</v>
      </c>
      <c r="S696" s="1057">
        <v>2196</v>
      </c>
      <c r="T696" s="1060">
        <v>18011</v>
      </c>
    </row>
    <row r="697" spans="1:20" x14ac:dyDescent="0.25">
      <c r="A697" s="1054">
        <v>97627</v>
      </c>
      <c r="B697" s="1055" t="s">
        <v>3246</v>
      </c>
      <c r="C697" s="1056">
        <v>9.5000000000000005E-6</v>
      </c>
      <c r="D697" s="1056">
        <v>9.7000000000000003E-6</v>
      </c>
      <c r="E697" s="1057">
        <v>22537</v>
      </c>
      <c r="F697" s="1057" t="s">
        <v>187</v>
      </c>
      <c r="G697" s="1058">
        <v>3477</v>
      </c>
      <c r="H697" s="1059">
        <v>3094</v>
      </c>
      <c r="I697" s="1058">
        <v>5981</v>
      </c>
      <c r="J697" s="1057">
        <v>860</v>
      </c>
      <c r="K697" s="1059">
        <f t="shared" si="23"/>
        <v>13412</v>
      </c>
      <c r="L697" s="1057"/>
      <c r="M697" s="1058">
        <v>117</v>
      </c>
      <c r="N697" s="1058">
        <v>0</v>
      </c>
      <c r="O697" s="1057">
        <v>455</v>
      </c>
      <c r="P697" s="1059">
        <f t="shared" si="24"/>
        <v>572</v>
      </c>
      <c r="Q697" s="1057"/>
      <c r="R697" s="1058">
        <v>6260</v>
      </c>
      <c r="S697" s="1057">
        <v>-64</v>
      </c>
      <c r="T697" s="1060">
        <v>6196</v>
      </c>
    </row>
    <row r="698" spans="1:20" x14ac:dyDescent="0.25">
      <c r="A698" s="1054">
        <v>97631</v>
      </c>
      <c r="B698" s="1055" t="s">
        <v>4284</v>
      </c>
      <c r="C698" s="1056">
        <v>2.0909999999999999E-4</v>
      </c>
      <c r="D698" s="1056">
        <v>2.051E-4</v>
      </c>
      <c r="E698" s="1057">
        <v>496057</v>
      </c>
      <c r="F698" s="1057" t="s">
        <v>187</v>
      </c>
      <c r="G698" s="1058">
        <v>76530</v>
      </c>
      <c r="H698" s="1059">
        <v>68094</v>
      </c>
      <c r="I698" s="1058">
        <v>131634</v>
      </c>
      <c r="J698" s="1057">
        <v>3847</v>
      </c>
      <c r="K698" s="1059">
        <f t="shared" si="23"/>
        <v>280105</v>
      </c>
      <c r="L698" s="1057"/>
      <c r="M698" s="1058">
        <v>2568</v>
      </c>
      <c r="N698" s="1058">
        <v>0</v>
      </c>
      <c r="O698" s="1057">
        <v>7878</v>
      </c>
      <c r="P698" s="1059">
        <f t="shared" si="24"/>
        <v>10446</v>
      </c>
      <c r="Q698" s="1057"/>
      <c r="R698" s="1058">
        <v>137791</v>
      </c>
      <c r="S698" s="1057">
        <v>3264</v>
      </c>
      <c r="T698" s="1060">
        <v>141055</v>
      </c>
    </row>
    <row r="699" spans="1:20" x14ac:dyDescent="0.25">
      <c r="A699" s="1054">
        <v>97637</v>
      </c>
      <c r="B699" s="1055" t="s">
        <v>3248</v>
      </c>
      <c r="C699" s="1056">
        <v>3.7000000000000002E-6</v>
      </c>
      <c r="D699" s="1056">
        <v>4.3000000000000003E-6</v>
      </c>
      <c r="E699" s="1057">
        <v>8778</v>
      </c>
      <c r="F699" s="1057" t="s">
        <v>187</v>
      </c>
      <c r="G699" s="1058">
        <v>1354</v>
      </c>
      <c r="H699" s="1059">
        <v>1205</v>
      </c>
      <c r="I699" s="1058">
        <v>2329</v>
      </c>
      <c r="J699" s="1057">
        <v>1324</v>
      </c>
      <c r="K699" s="1059">
        <f t="shared" si="23"/>
        <v>6212</v>
      </c>
      <c r="L699" s="1057"/>
      <c r="M699" s="1058">
        <v>45</v>
      </c>
      <c r="N699" s="1058">
        <v>0</v>
      </c>
      <c r="O699" s="1057">
        <v>20</v>
      </c>
      <c r="P699" s="1059">
        <f t="shared" si="24"/>
        <v>65</v>
      </c>
      <c r="Q699" s="1057"/>
      <c r="R699" s="1058">
        <v>2438</v>
      </c>
      <c r="S699" s="1057">
        <v>571</v>
      </c>
      <c r="T699" s="1060">
        <v>3009</v>
      </c>
    </row>
    <row r="700" spans="1:20" x14ac:dyDescent="0.25">
      <c r="A700" s="1054">
        <v>97641</v>
      </c>
      <c r="B700" s="1055" t="s">
        <v>4285</v>
      </c>
      <c r="C700" s="1056">
        <v>5.1400000000000003E-5</v>
      </c>
      <c r="D700" s="1056">
        <v>6.8899999999999994E-5</v>
      </c>
      <c r="E700" s="1057">
        <v>121938</v>
      </c>
      <c r="F700" s="1057" t="s">
        <v>187</v>
      </c>
      <c r="G700" s="1058">
        <v>18812</v>
      </c>
      <c r="H700" s="1059">
        <v>16739</v>
      </c>
      <c r="I700" s="1058">
        <v>32358</v>
      </c>
      <c r="J700" s="1057">
        <v>8101</v>
      </c>
      <c r="K700" s="1059">
        <f t="shared" si="23"/>
        <v>76010</v>
      </c>
      <c r="L700" s="1057"/>
      <c r="M700" s="1058">
        <v>631</v>
      </c>
      <c r="N700" s="1058">
        <v>0</v>
      </c>
      <c r="O700" s="1057">
        <v>8286</v>
      </c>
      <c r="P700" s="1059">
        <f t="shared" si="24"/>
        <v>8917</v>
      </c>
      <c r="Q700" s="1057"/>
      <c r="R700" s="1058">
        <v>33871</v>
      </c>
      <c r="S700" s="1057">
        <v>0</v>
      </c>
      <c r="T700" s="1060">
        <v>33871</v>
      </c>
    </row>
    <row r="701" spans="1:20" x14ac:dyDescent="0.25">
      <c r="A701" s="1054">
        <v>97651</v>
      </c>
      <c r="B701" s="1055" t="s">
        <v>3250</v>
      </c>
      <c r="C701" s="1056">
        <v>5.1929999999999999E-4</v>
      </c>
      <c r="D701" s="1056">
        <v>5.1979999999999995E-4</v>
      </c>
      <c r="E701" s="1057">
        <v>1231957</v>
      </c>
      <c r="F701" s="1057" t="s">
        <v>187</v>
      </c>
      <c r="G701" s="1058">
        <v>190062</v>
      </c>
      <c r="H701" s="1059">
        <v>169112</v>
      </c>
      <c r="I701" s="1058">
        <v>326914</v>
      </c>
      <c r="J701" s="1057">
        <v>1180</v>
      </c>
      <c r="K701" s="1059">
        <f t="shared" si="23"/>
        <v>687268</v>
      </c>
      <c r="L701" s="1057"/>
      <c r="M701" s="1058">
        <v>6378</v>
      </c>
      <c r="N701" s="1058">
        <v>0</v>
      </c>
      <c r="O701" s="1057">
        <v>40115</v>
      </c>
      <c r="P701" s="1059">
        <f t="shared" si="24"/>
        <v>46493</v>
      </c>
      <c r="Q701" s="1057"/>
      <c r="R701" s="1058">
        <v>342205</v>
      </c>
      <c r="S701" s="1057">
        <v>-23900</v>
      </c>
      <c r="T701" s="1060">
        <v>318305</v>
      </c>
    </row>
    <row r="702" spans="1:20" x14ac:dyDescent="0.25">
      <c r="A702" s="1054">
        <v>97661</v>
      </c>
      <c r="B702" s="1055" t="s">
        <v>3251</v>
      </c>
      <c r="C702" s="1056">
        <v>4.3999999999999999E-5</v>
      </c>
      <c r="D702" s="1056">
        <v>5.1600000000000001E-5</v>
      </c>
      <c r="E702" s="1057">
        <v>104383</v>
      </c>
      <c r="F702" s="1057" t="s">
        <v>187</v>
      </c>
      <c r="G702" s="1058">
        <v>16104</v>
      </c>
      <c r="H702" s="1059">
        <v>14329</v>
      </c>
      <c r="I702" s="1058">
        <v>27699</v>
      </c>
      <c r="J702" s="1057">
        <v>7695</v>
      </c>
      <c r="K702" s="1059">
        <f t="shared" si="23"/>
        <v>65827</v>
      </c>
      <c r="L702" s="1057"/>
      <c r="M702" s="1058">
        <v>540</v>
      </c>
      <c r="N702" s="1058">
        <v>0</v>
      </c>
      <c r="O702" s="1057">
        <v>2802</v>
      </c>
      <c r="P702" s="1059">
        <f t="shared" si="24"/>
        <v>3342</v>
      </c>
      <c r="Q702" s="1057"/>
      <c r="R702" s="1058">
        <v>28995</v>
      </c>
      <c r="S702" s="1057">
        <v>4350</v>
      </c>
      <c r="T702" s="1060">
        <v>33345</v>
      </c>
    </row>
    <row r="703" spans="1:20" x14ac:dyDescent="0.25">
      <c r="A703" s="1054">
        <v>97701</v>
      </c>
      <c r="B703" s="1055" t="s">
        <v>3252</v>
      </c>
      <c r="C703" s="1056">
        <v>2.5590000000000001E-3</v>
      </c>
      <c r="D703" s="1056">
        <v>2.4975000000000002E-3</v>
      </c>
      <c r="E703" s="1057">
        <v>6070823</v>
      </c>
      <c r="F703" s="1057" t="s">
        <v>187</v>
      </c>
      <c r="G703" s="1058">
        <v>936584</v>
      </c>
      <c r="H703" s="1059">
        <v>833344</v>
      </c>
      <c r="I703" s="1058">
        <v>1610962</v>
      </c>
      <c r="J703" s="1057">
        <v>51260</v>
      </c>
      <c r="K703" s="1059">
        <f t="shared" si="23"/>
        <v>3432150</v>
      </c>
      <c r="L703" s="1057"/>
      <c r="M703" s="1058">
        <v>31427</v>
      </c>
      <c r="N703" s="1058">
        <v>0</v>
      </c>
      <c r="O703" s="1057">
        <v>0</v>
      </c>
      <c r="P703" s="1059">
        <f t="shared" si="24"/>
        <v>31427</v>
      </c>
      <c r="Q703" s="1057"/>
      <c r="R703" s="1058">
        <v>1686312</v>
      </c>
      <c r="S703" s="1057">
        <v>10250</v>
      </c>
      <c r="T703" s="1060">
        <v>1696562</v>
      </c>
    </row>
    <row r="704" spans="1:20" x14ac:dyDescent="0.25">
      <c r="A704" s="1054">
        <v>97705</v>
      </c>
      <c r="B704" s="1055" t="s">
        <v>3253</v>
      </c>
      <c r="C704" s="1056">
        <v>4.5500000000000001E-5</v>
      </c>
      <c r="D704" s="1056">
        <v>4.7700000000000001E-5</v>
      </c>
      <c r="E704" s="1057">
        <v>107942</v>
      </c>
      <c r="F704" s="1057" t="s">
        <v>187</v>
      </c>
      <c r="G704" s="1058">
        <v>16653</v>
      </c>
      <c r="H704" s="1059">
        <v>14818</v>
      </c>
      <c r="I704" s="1058">
        <v>28644</v>
      </c>
      <c r="J704" s="1057">
        <v>1548</v>
      </c>
      <c r="K704" s="1059">
        <f t="shared" si="23"/>
        <v>61663</v>
      </c>
      <c r="L704" s="1057"/>
      <c r="M704" s="1058">
        <v>559</v>
      </c>
      <c r="N704" s="1058">
        <v>0</v>
      </c>
      <c r="O704" s="1057">
        <v>9592</v>
      </c>
      <c r="P704" s="1059">
        <f t="shared" si="24"/>
        <v>10151</v>
      </c>
      <c r="Q704" s="1057"/>
      <c r="R704" s="1058">
        <v>29983</v>
      </c>
      <c r="S704" s="1057">
        <v>-54</v>
      </c>
      <c r="T704" s="1060">
        <v>29929</v>
      </c>
    </row>
    <row r="705" spans="1:20" x14ac:dyDescent="0.25">
      <c r="A705" s="1054">
        <v>97711</v>
      </c>
      <c r="B705" s="1055" t="s">
        <v>3254</v>
      </c>
      <c r="C705" s="1056">
        <v>9.1239999999999995E-4</v>
      </c>
      <c r="D705" s="1056">
        <v>9.0879999999999997E-4</v>
      </c>
      <c r="E705" s="1057">
        <v>2164525</v>
      </c>
      <c r="F705" s="1057" t="s">
        <v>187</v>
      </c>
      <c r="G705" s="1058">
        <v>333935</v>
      </c>
      <c r="H705" s="1059">
        <v>297125</v>
      </c>
      <c r="I705" s="1058">
        <v>574381</v>
      </c>
      <c r="J705" s="1057">
        <v>12495</v>
      </c>
      <c r="K705" s="1059">
        <f t="shared" si="23"/>
        <v>1217936</v>
      </c>
      <c r="L705" s="1057"/>
      <c r="M705" s="1058">
        <v>11205</v>
      </c>
      <c r="N705" s="1058">
        <v>0</v>
      </c>
      <c r="O705" s="1057">
        <v>22125</v>
      </c>
      <c r="P705" s="1059">
        <f t="shared" si="24"/>
        <v>33330</v>
      </c>
      <c r="Q705" s="1057"/>
      <c r="R705" s="1058">
        <v>601247</v>
      </c>
      <c r="S705" s="1057">
        <v>1420</v>
      </c>
      <c r="T705" s="1060">
        <v>602667</v>
      </c>
    </row>
    <row r="706" spans="1:20" x14ac:dyDescent="0.25">
      <c r="A706" s="1054">
        <v>97713</v>
      </c>
      <c r="B706" s="1055" t="s">
        <v>3255</v>
      </c>
      <c r="C706" s="1056">
        <v>5.0500000000000001E-5</v>
      </c>
      <c r="D706" s="1056">
        <v>4.1199999999999999E-5</v>
      </c>
      <c r="E706" s="1057">
        <v>119803</v>
      </c>
      <c r="F706" s="1057" t="s">
        <v>187</v>
      </c>
      <c r="G706" s="1058">
        <v>18483</v>
      </c>
      <c r="H706" s="1059">
        <v>16445</v>
      </c>
      <c r="I706" s="1058">
        <v>31791</v>
      </c>
      <c r="J706" s="1057">
        <v>4434</v>
      </c>
      <c r="K706" s="1059">
        <f t="shared" si="23"/>
        <v>71153</v>
      </c>
      <c r="L706" s="1057"/>
      <c r="M706" s="1058">
        <v>620</v>
      </c>
      <c r="N706" s="1058">
        <v>0</v>
      </c>
      <c r="O706" s="1057">
        <v>11193</v>
      </c>
      <c r="P706" s="1059">
        <f t="shared" si="24"/>
        <v>11813</v>
      </c>
      <c r="Q706" s="1057"/>
      <c r="R706" s="1058">
        <v>33278</v>
      </c>
      <c r="S706" s="1057">
        <v>-3702</v>
      </c>
      <c r="T706" s="1060">
        <v>29576</v>
      </c>
    </row>
    <row r="707" spans="1:20" x14ac:dyDescent="0.25">
      <c r="A707" s="1054">
        <v>97717</v>
      </c>
      <c r="B707" s="1055" t="s">
        <v>3256</v>
      </c>
      <c r="C707" s="1056">
        <v>5.3000000000000001E-6</v>
      </c>
      <c r="D707" s="1056">
        <v>4.6999999999999999E-6</v>
      </c>
      <c r="E707" s="1057">
        <v>12573</v>
      </c>
      <c r="F707" s="1057" t="s">
        <v>187</v>
      </c>
      <c r="G707" s="1058">
        <v>1940</v>
      </c>
      <c r="H707" s="1059">
        <v>1726</v>
      </c>
      <c r="I707" s="1058">
        <v>3336</v>
      </c>
      <c r="J707" s="1057">
        <v>1033</v>
      </c>
      <c r="K707" s="1059">
        <f t="shared" si="23"/>
        <v>8035</v>
      </c>
      <c r="L707" s="1057"/>
      <c r="M707" s="1058">
        <v>65</v>
      </c>
      <c r="N707" s="1058">
        <v>0</v>
      </c>
      <c r="O707" s="1057">
        <v>1481</v>
      </c>
      <c r="P707" s="1059">
        <f t="shared" si="24"/>
        <v>1546</v>
      </c>
      <c r="Q707" s="1057"/>
      <c r="R707" s="1058">
        <v>3493</v>
      </c>
      <c r="S707" s="1057">
        <v>-1455</v>
      </c>
      <c r="T707" s="1060">
        <v>2038</v>
      </c>
    </row>
    <row r="708" spans="1:20" x14ac:dyDescent="0.25">
      <c r="A708" s="1054">
        <v>97721</v>
      </c>
      <c r="B708" s="1055" t="s">
        <v>3257</v>
      </c>
      <c r="C708" s="1056">
        <v>5.9069999999999999E-4</v>
      </c>
      <c r="D708" s="1056">
        <v>5.6599999999999999E-4</v>
      </c>
      <c r="E708" s="1057">
        <v>1401342</v>
      </c>
      <c r="F708" s="1057" t="s">
        <v>187</v>
      </c>
      <c r="G708" s="1058">
        <v>216194</v>
      </c>
      <c r="H708" s="1059">
        <v>192363</v>
      </c>
      <c r="I708" s="1058">
        <v>371862</v>
      </c>
      <c r="J708" s="1057">
        <v>11194</v>
      </c>
      <c r="K708" s="1059">
        <f t="shared" si="23"/>
        <v>791613</v>
      </c>
      <c r="L708" s="1057"/>
      <c r="M708" s="1058">
        <v>7254</v>
      </c>
      <c r="N708" s="1058">
        <v>0</v>
      </c>
      <c r="O708" s="1057">
        <v>16380</v>
      </c>
      <c r="P708" s="1059">
        <f t="shared" si="24"/>
        <v>23634</v>
      </c>
      <c r="Q708" s="1057"/>
      <c r="R708" s="1058">
        <v>389255</v>
      </c>
      <c r="S708" s="1057">
        <v>-8177</v>
      </c>
      <c r="T708" s="1060">
        <v>381078</v>
      </c>
    </row>
    <row r="709" spans="1:20" x14ac:dyDescent="0.25">
      <c r="A709" s="1054">
        <v>97727</v>
      </c>
      <c r="B709" s="1055" t="s">
        <v>3258</v>
      </c>
      <c r="C709" s="1056">
        <v>2.0599999999999999E-5</v>
      </c>
      <c r="D709" s="1056">
        <v>2.27E-5</v>
      </c>
      <c r="E709" s="1057">
        <v>48870</v>
      </c>
      <c r="F709" s="1057" t="s">
        <v>187</v>
      </c>
      <c r="G709" s="1058">
        <v>7540</v>
      </c>
      <c r="H709" s="1059">
        <v>6709</v>
      </c>
      <c r="I709" s="1058">
        <v>12968</v>
      </c>
      <c r="J709" s="1057">
        <v>0</v>
      </c>
      <c r="K709" s="1059">
        <f t="shared" si="23"/>
        <v>27217</v>
      </c>
      <c r="L709" s="1057"/>
      <c r="M709" s="1058">
        <v>253</v>
      </c>
      <c r="N709" s="1058">
        <v>0</v>
      </c>
      <c r="O709" s="1057">
        <v>1628</v>
      </c>
      <c r="P709" s="1059">
        <f t="shared" si="24"/>
        <v>1881</v>
      </c>
      <c r="Q709" s="1057"/>
      <c r="R709" s="1058">
        <v>13575</v>
      </c>
      <c r="S709" s="1057">
        <v>-1410</v>
      </c>
      <c r="T709" s="1060">
        <v>12165</v>
      </c>
    </row>
    <row r="710" spans="1:20" x14ac:dyDescent="0.25">
      <c r="A710" s="1054">
        <v>97731</v>
      </c>
      <c r="B710" s="1055" t="s">
        <v>4286</v>
      </c>
      <c r="C710" s="1056">
        <v>3.3200000000000001E-5</v>
      </c>
      <c r="D710" s="1056">
        <v>3.5500000000000002E-5</v>
      </c>
      <c r="E710" s="1057">
        <v>78762</v>
      </c>
      <c r="F710" s="1057" t="s">
        <v>187</v>
      </c>
      <c r="G710" s="1058">
        <v>12151</v>
      </c>
      <c r="H710" s="1059">
        <v>10811</v>
      </c>
      <c r="I710" s="1058">
        <v>20900</v>
      </c>
      <c r="J710" s="1057">
        <v>4695</v>
      </c>
      <c r="K710" s="1059">
        <f t="shared" si="23"/>
        <v>48557</v>
      </c>
      <c r="L710" s="1057"/>
      <c r="M710" s="1058">
        <v>408</v>
      </c>
      <c r="N710" s="1058">
        <v>0</v>
      </c>
      <c r="O710" s="1057">
        <v>0</v>
      </c>
      <c r="P710" s="1059">
        <f t="shared" si="24"/>
        <v>408</v>
      </c>
      <c r="Q710" s="1057"/>
      <c r="R710" s="1058">
        <v>21878</v>
      </c>
      <c r="S710" s="1057">
        <v>3280</v>
      </c>
      <c r="T710" s="1060">
        <v>25158</v>
      </c>
    </row>
    <row r="711" spans="1:20" x14ac:dyDescent="0.25">
      <c r="A711" s="1054">
        <v>97801</v>
      </c>
      <c r="B711" s="1055" t="s">
        <v>3590</v>
      </c>
      <c r="C711" s="1056">
        <v>6.5702E-3</v>
      </c>
      <c r="D711" s="1056">
        <v>6.9303000000000003E-3</v>
      </c>
      <c r="E711" s="1057">
        <v>15586761</v>
      </c>
      <c r="F711" s="1057" t="s">
        <v>187</v>
      </c>
      <c r="G711" s="1058">
        <v>2404667</v>
      </c>
      <c r="H711" s="1059">
        <v>2139599</v>
      </c>
      <c r="I711" s="1058">
        <v>4136125</v>
      </c>
      <c r="J711" s="1057">
        <v>0</v>
      </c>
      <c r="K711" s="1059">
        <f t="shared" si="23"/>
        <v>8680391</v>
      </c>
      <c r="L711" s="1057"/>
      <c r="M711" s="1058">
        <v>80689</v>
      </c>
      <c r="N711" s="1058">
        <v>0</v>
      </c>
      <c r="O711" s="1057">
        <v>508951</v>
      </c>
      <c r="P711" s="1059">
        <f t="shared" si="24"/>
        <v>589640</v>
      </c>
      <c r="Q711" s="1057"/>
      <c r="R711" s="1058">
        <v>4329584</v>
      </c>
      <c r="S711" s="1057">
        <v>-154797</v>
      </c>
      <c r="T711" s="1060">
        <v>4174787</v>
      </c>
    </row>
    <row r="712" spans="1:20" x14ac:dyDescent="0.25">
      <c r="A712" s="1054">
        <v>97802</v>
      </c>
      <c r="B712" s="1055" t="s">
        <v>3261</v>
      </c>
      <c r="C712" s="1056">
        <v>1.684E-4</v>
      </c>
      <c r="D712" s="1056">
        <v>1.5300000000000001E-4</v>
      </c>
      <c r="E712" s="1057">
        <v>399502</v>
      </c>
      <c r="F712" s="1057" t="s">
        <v>187</v>
      </c>
      <c r="G712" s="1058">
        <v>61634</v>
      </c>
      <c r="H712" s="1059">
        <v>54840</v>
      </c>
      <c r="I712" s="1058">
        <v>106013</v>
      </c>
      <c r="J712" s="1057">
        <v>12750</v>
      </c>
      <c r="K712" s="1059">
        <f t="shared" si="23"/>
        <v>235237</v>
      </c>
      <c r="L712" s="1057"/>
      <c r="M712" s="1058">
        <v>2068</v>
      </c>
      <c r="N712" s="1058">
        <v>0</v>
      </c>
      <c r="O712" s="1057">
        <v>17264</v>
      </c>
      <c r="P712" s="1059">
        <f t="shared" si="24"/>
        <v>19332</v>
      </c>
      <c r="Q712" s="1057"/>
      <c r="R712" s="1058">
        <v>110971</v>
      </c>
      <c r="S712" s="1057">
        <v>1914</v>
      </c>
      <c r="T712" s="1060">
        <v>112885</v>
      </c>
    </row>
    <row r="713" spans="1:20" x14ac:dyDescent="0.25">
      <c r="A713" s="1054">
        <v>97803</v>
      </c>
      <c r="B713" s="1055" t="s">
        <v>3262</v>
      </c>
      <c r="C713" s="1056">
        <v>8.1699999999999994E-5</v>
      </c>
      <c r="D713" s="1056">
        <v>7.5300000000000001E-5</v>
      </c>
      <c r="E713" s="1057">
        <v>193820</v>
      </c>
      <c r="F713" s="1057" t="s">
        <v>187</v>
      </c>
      <c r="G713" s="1058">
        <v>29902</v>
      </c>
      <c r="H713" s="1059">
        <v>26605</v>
      </c>
      <c r="I713" s="1058">
        <v>51432</v>
      </c>
      <c r="J713" s="1057">
        <v>5367</v>
      </c>
      <c r="K713" s="1059">
        <f t="shared" si="23"/>
        <v>113306</v>
      </c>
      <c r="L713" s="1057"/>
      <c r="M713" s="1058">
        <v>1003</v>
      </c>
      <c r="N713" s="1058">
        <v>0</v>
      </c>
      <c r="O713" s="1057">
        <v>685</v>
      </c>
      <c r="P713" s="1059">
        <f t="shared" si="24"/>
        <v>1688</v>
      </c>
      <c r="Q713" s="1057"/>
      <c r="R713" s="1058">
        <v>53838</v>
      </c>
      <c r="S713" s="1057">
        <v>4391</v>
      </c>
      <c r="T713" s="1060">
        <v>58229</v>
      </c>
    </row>
    <row r="714" spans="1:20" x14ac:dyDescent="0.25">
      <c r="A714" s="1054">
        <v>97805</v>
      </c>
      <c r="B714" s="1055" t="s">
        <v>3263</v>
      </c>
      <c r="C714" s="1056">
        <v>8.2700000000000004E-5</v>
      </c>
      <c r="D714" s="1056">
        <v>7.9400000000000006E-5</v>
      </c>
      <c r="E714" s="1057">
        <v>196193</v>
      </c>
      <c r="F714" s="1057" t="s">
        <v>187</v>
      </c>
      <c r="G714" s="1058">
        <v>30268</v>
      </c>
      <c r="H714" s="1059">
        <v>26932</v>
      </c>
      <c r="I714" s="1058">
        <v>52062</v>
      </c>
      <c r="J714" s="1057">
        <v>9379</v>
      </c>
      <c r="K714" s="1059">
        <f t="shared" si="23"/>
        <v>118641</v>
      </c>
      <c r="L714" s="1057"/>
      <c r="M714" s="1058">
        <v>1016</v>
      </c>
      <c r="N714" s="1058">
        <v>0</v>
      </c>
      <c r="O714" s="1057">
        <v>0</v>
      </c>
      <c r="P714" s="1059">
        <f t="shared" si="24"/>
        <v>1016</v>
      </c>
      <c r="Q714" s="1057"/>
      <c r="R714" s="1058">
        <v>54497</v>
      </c>
      <c r="S714" s="1057">
        <v>4756</v>
      </c>
      <c r="T714" s="1060">
        <v>59253</v>
      </c>
    </row>
    <row r="715" spans="1:20" x14ac:dyDescent="0.25">
      <c r="A715" s="1054">
        <v>97811</v>
      </c>
      <c r="B715" s="1055" t="s">
        <v>3264</v>
      </c>
      <c r="C715" s="1056">
        <v>2.4342999999999999E-3</v>
      </c>
      <c r="D715" s="1056">
        <v>2.4172E-3</v>
      </c>
      <c r="E715" s="1057">
        <v>5774992</v>
      </c>
      <c r="F715" s="1057" t="s">
        <v>187</v>
      </c>
      <c r="G715" s="1058">
        <v>890944</v>
      </c>
      <c r="H715" s="1059">
        <v>792734</v>
      </c>
      <c r="I715" s="1058">
        <v>1532460</v>
      </c>
      <c r="J715" s="1057">
        <v>0</v>
      </c>
      <c r="K715" s="1059">
        <f t="shared" si="23"/>
        <v>3216138</v>
      </c>
      <c r="L715" s="1057"/>
      <c r="M715" s="1058">
        <v>29896</v>
      </c>
      <c r="N715" s="1058">
        <v>0</v>
      </c>
      <c r="O715" s="1057">
        <v>95364</v>
      </c>
      <c r="P715" s="1059">
        <f t="shared" si="24"/>
        <v>125260</v>
      </c>
      <c r="Q715" s="1057"/>
      <c r="R715" s="1058">
        <v>1604138</v>
      </c>
      <c r="S715" s="1057">
        <v>-74364</v>
      </c>
      <c r="T715" s="1060">
        <v>1529774</v>
      </c>
    </row>
    <row r="716" spans="1:20" x14ac:dyDescent="0.25">
      <c r="A716" s="1054">
        <v>97817</v>
      </c>
      <c r="B716" s="1055" t="s">
        <v>3265</v>
      </c>
      <c r="C716" s="1056">
        <v>1.8199999999999999E-5</v>
      </c>
      <c r="D716" s="1056">
        <v>2.2200000000000001E-5</v>
      </c>
      <c r="E716" s="1057">
        <v>43177</v>
      </c>
      <c r="F716" s="1057" t="s">
        <v>187</v>
      </c>
      <c r="G716" s="1058">
        <v>6661</v>
      </c>
      <c r="H716" s="1059">
        <v>5927</v>
      </c>
      <c r="I716" s="1058">
        <v>11457</v>
      </c>
      <c r="J716" s="1057">
        <v>13908</v>
      </c>
      <c r="K716" s="1059">
        <f t="shared" si="23"/>
        <v>37953</v>
      </c>
      <c r="L716" s="1057"/>
      <c r="M716" s="1058">
        <v>224</v>
      </c>
      <c r="N716" s="1058">
        <v>0</v>
      </c>
      <c r="O716" s="1057">
        <v>1088</v>
      </c>
      <c r="P716" s="1059">
        <f t="shared" si="24"/>
        <v>1312</v>
      </c>
      <c r="Q716" s="1057"/>
      <c r="R716" s="1058">
        <v>11993</v>
      </c>
      <c r="S716" s="1057">
        <v>4171</v>
      </c>
      <c r="T716" s="1060">
        <v>16164</v>
      </c>
    </row>
    <row r="717" spans="1:20" x14ac:dyDescent="0.25">
      <c r="A717" s="1054">
        <v>97818</v>
      </c>
      <c r="B717" s="1055" t="s">
        <v>3266</v>
      </c>
      <c r="C717" s="1056">
        <v>2.0299999999999999E-5</v>
      </c>
      <c r="D717" s="1056">
        <v>2.1999999999999999E-5</v>
      </c>
      <c r="E717" s="1057">
        <v>48159</v>
      </c>
      <c r="F717" s="1057" t="s">
        <v>187</v>
      </c>
      <c r="G717" s="1058">
        <v>7430</v>
      </c>
      <c r="H717" s="1059">
        <v>6611</v>
      </c>
      <c r="I717" s="1058">
        <v>12779</v>
      </c>
      <c r="J717" s="1057">
        <v>3906</v>
      </c>
      <c r="K717" s="1059">
        <f t="shared" si="23"/>
        <v>30726</v>
      </c>
      <c r="L717" s="1057"/>
      <c r="M717" s="1058">
        <v>249</v>
      </c>
      <c r="N717" s="1058">
        <v>0</v>
      </c>
      <c r="O717" s="1057">
        <v>983</v>
      </c>
      <c r="P717" s="1059">
        <f t="shared" si="24"/>
        <v>1232</v>
      </c>
      <c r="Q717" s="1057"/>
      <c r="R717" s="1058">
        <v>13377</v>
      </c>
      <c r="S717" s="1057">
        <v>-89</v>
      </c>
      <c r="T717" s="1060">
        <v>13288</v>
      </c>
    </row>
    <row r="718" spans="1:20" x14ac:dyDescent="0.25">
      <c r="A718" s="1054">
        <v>97821</v>
      </c>
      <c r="B718" s="1055" t="s">
        <v>4287</v>
      </c>
      <c r="C718" s="1056">
        <v>1.071E-4</v>
      </c>
      <c r="D718" s="1056">
        <v>1.126E-4</v>
      </c>
      <c r="E718" s="1057">
        <v>254078</v>
      </c>
      <c r="F718" s="1057" t="s">
        <v>187</v>
      </c>
      <c r="G718" s="1058">
        <v>39198</v>
      </c>
      <c r="H718" s="1059">
        <v>34878</v>
      </c>
      <c r="I718" s="1058">
        <v>67422</v>
      </c>
      <c r="J718" s="1057">
        <v>12602</v>
      </c>
      <c r="K718" s="1059">
        <f t="shared" si="23"/>
        <v>154100</v>
      </c>
      <c r="L718" s="1057"/>
      <c r="M718" s="1058">
        <v>1315</v>
      </c>
      <c r="N718" s="1058">
        <v>0</v>
      </c>
      <c r="O718" s="1057">
        <v>5606</v>
      </c>
      <c r="P718" s="1059">
        <f t="shared" si="24"/>
        <v>6921</v>
      </c>
      <c r="Q718" s="1057"/>
      <c r="R718" s="1058">
        <v>70576</v>
      </c>
      <c r="S718" s="1057">
        <v>-7137</v>
      </c>
      <c r="T718" s="1060">
        <v>63439</v>
      </c>
    </row>
    <row r="719" spans="1:20" x14ac:dyDescent="0.25">
      <c r="A719" s="1054">
        <v>97823</v>
      </c>
      <c r="B719" s="1055" t="s">
        <v>3268</v>
      </c>
      <c r="C719" s="1056">
        <v>1.7200000000000001E-5</v>
      </c>
      <c r="D719" s="1056">
        <v>2.3300000000000001E-5</v>
      </c>
      <c r="E719" s="1057">
        <v>40804</v>
      </c>
      <c r="F719" s="1057" t="s">
        <v>187</v>
      </c>
      <c r="G719" s="1058">
        <v>6295</v>
      </c>
      <c r="H719" s="1059">
        <v>5601</v>
      </c>
      <c r="I719" s="1058">
        <v>10828</v>
      </c>
      <c r="J719" s="1057">
        <v>1190</v>
      </c>
      <c r="K719" s="1059">
        <f t="shared" si="23"/>
        <v>23914</v>
      </c>
      <c r="L719" s="1057"/>
      <c r="M719" s="1058">
        <v>211</v>
      </c>
      <c r="N719" s="1058">
        <v>0</v>
      </c>
      <c r="O719" s="1057">
        <v>2106</v>
      </c>
      <c r="P719" s="1059">
        <f t="shared" si="24"/>
        <v>2317</v>
      </c>
      <c r="Q719" s="1057"/>
      <c r="R719" s="1058">
        <v>11334</v>
      </c>
      <c r="S719" s="1057">
        <v>-598</v>
      </c>
      <c r="T719" s="1060">
        <v>10736</v>
      </c>
    </row>
    <row r="720" spans="1:20" x14ac:dyDescent="0.25">
      <c r="A720" s="1054">
        <v>97831</v>
      </c>
      <c r="B720" s="1055" t="s">
        <v>4288</v>
      </c>
      <c r="C720" s="1056">
        <v>1.5200000000000001E-4</v>
      </c>
      <c r="D720" s="1056">
        <v>1.7009999999999999E-4</v>
      </c>
      <c r="E720" s="1057">
        <v>360596</v>
      </c>
      <c r="F720" s="1057" t="s">
        <v>187</v>
      </c>
      <c r="G720" s="1058">
        <v>55631</v>
      </c>
      <c r="H720" s="1059">
        <v>49499</v>
      </c>
      <c r="I720" s="1058">
        <v>95688</v>
      </c>
      <c r="J720" s="1057">
        <v>11447</v>
      </c>
      <c r="K720" s="1059">
        <f t="shared" si="23"/>
        <v>212265</v>
      </c>
      <c r="L720" s="1057"/>
      <c r="M720" s="1058">
        <v>1867</v>
      </c>
      <c r="N720" s="1058">
        <v>0</v>
      </c>
      <c r="O720" s="1057">
        <v>5865</v>
      </c>
      <c r="P720" s="1059">
        <f t="shared" si="24"/>
        <v>7732</v>
      </c>
      <c r="Q720" s="1057"/>
      <c r="R720" s="1058">
        <v>100164</v>
      </c>
      <c r="S720" s="1057">
        <v>-2869</v>
      </c>
      <c r="T720" s="1060">
        <v>97295</v>
      </c>
    </row>
    <row r="721" spans="1:20" x14ac:dyDescent="0.25">
      <c r="A721" s="1054">
        <v>97837</v>
      </c>
      <c r="B721" s="1055" t="s">
        <v>3270</v>
      </c>
      <c r="C721" s="1056">
        <v>9.3000000000000007E-6</v>
      </c>
      <c r="D721" s="1056">
        <v>1.0200000000000001E-5</v>
      </c>
      <c r="E721" s="1057">
        <v>22063</v>
      </c>
      <c r="F721" s="1057" t="s">
        <v>187</v>
      </c>
      <c r="G721" s="1058">
        <v>3404</v>
      </c>
      <c r="H721" s="1059">
        <v>3029</v>
      </c>
      <c r="I721" s="1058">
        <v>5855</v>
      </c>
      <c r="J721" s="1057">
        <v>3379</v>
      </c>
      <c r="K721" s="1059">
        <f t="shared" si="23"/>
        <v>15667</v>
      </c>
      <c r="L721" s="1057"/>
      <c r="M721" s="1058">
        <v>114</v>
      </c>
      <c r="N721" s="1058">
        <v>0</v>
      </c>
      <c r="O721" s="1057">
        <v>139</v>
      </c>
      <c r="P721" s="1059">
        <f t="shared" si="24"/>
        <v>253</v>
      </c>
      <c r="Q721" s="1057"/>
      <c r="R721" s="1058">
        <v>6128</v>
      </c>
      <c r="S721" s="1057">
        <v>1610</v>
      </c>
      <c r="T721" s="1060">
        <v>7738</v>
      </c>
    </row>
    <row r="722" spans="1:20" x14ac:dyDescent="0.25">
      <c r="A722" s="1054">
        <v>97840</v>
      </c>
      <c r="B722" s="1055" t="s">
        <v>4289</v>
      </c>
      <c r="C722" s="1056">
        <v>1.36E-4</v>
      </c>
      <c r="D722" s="1056">
        <v>1.3190000000000001E-4</v>
      </c>
      <c r="E722" s="1057">
        <v>322639</v>
      </c>
      <c r="F722" s="1057" t="s">
        <v>187</v>
      </c>
      <c r="G722" s="1058">
        <v>49775</v>
      </c>
      <c r="H722" s="1059">
        <v>44288</v>
      </c>
      <c r="I722" s="1058">
        <v>85616</v>
      </c>
      <c r="J722" s="1057">
        <v>90526</v>
      </c>
      <c r="K722" s="1059">
        <f t="shared" ref="K722:K785" si="26">G722+H722+I722+J722</f>
        <v>270205</v>
      </c>
      <c r="L722" s="1057"/>
      <c r="M722" s="1058">
        <v>1670</v>
      </c>
      <c r="N722" s="1058">
        <v>0</v>
      </c>
      <c r="O722" s="1057">
        <v>0</v>
      </c>
      <c r="P722" s="1059">
        <f t="shared" ref="P722:P785" si="27">M722+N722+O722</f>
        <v>1670</v>
      </c>
      <c r="Q722" s="1057"/>
      <c r="R722" s="1058">
        <v>89620</v>
      </c>
      <c r="S722" s="1057">
        <v>37670</v>
      </c>
      <c r="T722" s="1060">
        <v>127290</v>
      </c>
    </row>
    <row r="723" spans="1:20" x14ac:dyDescent="0.25">
      <c r="A723" s="1054">
        <v>97841</v>
      </c>
      <c r="B723" s="1055" t="s">
        <v>4290</v>
      </c>
      <c r="C723" s="1056">
        <v>1.2E-5</v>
      </c>
      <c r="D723" s="1056">
        <v>1.31E-5</v>
      </c>
      <c r="E723" s="1057">
        <v>28468</v>
      </c>
      <c r="F723" s="1057" t="s">
        <v>187</v>
      </c>
      <c r="G723" s="1058">
        <v>4392</v>
      </c>
      <c r="H723" s="1059">
        <v>3908</v>
      </c>
      <c r="I723" s="1058">
        <v>7554</v>
      </c>
      <c r="J723" s="1057">
        <v>186</v>
      </c>
      <c r="K723" s="1059">
        <f t="shared" si="26"/>
        <v>16040</v>
      </c>
      <c r="L723" s="1057"/>
      <c r="M723" s="1058">
        <v>147</v>
      </c>
      <c r="N723" s="1058">
        <v>0</v>
      </c>
      <c r="O723" s="1057">
        <v>783</v>
      </c>
      <c r="P723" s="1059">
        <f t="shared" si="27"/>
        <v>930</v>
      </c>
      <c r="Q723" s="1057"/>
      <c r="R723" s="1058">
        <v>7908</v>
      </c>
      <c r="S723" s="1057">
        <v>-3836</v>
      </c>
      <c r="T723" s="1060">
        <v>4072</v>
      </c>
    </row>
    <row r="724" spans="1:20" x14ac:dyDescent="0.25">
      <c r="A724" s="1054">
        <v>97847</v>
      </c>
      <c r="B724" s="1055" t="s">
        <v>3273</v>
      </c>
      <c r="C724" s="1056">
        <v>1.9999999999999999E-6</v>
      </c>
      <c r="D724" s="1056">
        <v>2.0999999999999998E-6</v>
      </c>
      <c r="E724" s="1057">
        <v>4745</v>
      </c>
      <c r="F724" s="1057" t="s">
        <v>187</v>
      </c>
      <c r="G724" s="1058">
        <v>732</v>
      </c>
      <c r="H724" s="1059">
        <v>651</v>
      </c>
      <c r="I724" s="1058">
        <v>1259</v>
      </c>
      <c r="J724" s="1057">
        <v>2019</v>
      </c>
      <c r="K724" s="1059">
        <f t="shared" si="26"/>
        <v>4661</v>
      </c>
      <c r="L724" s="1057"/>
      <c r="M724" s="1058">
        <v>25</v>
      </c>
      <c r="N724" s="1058">
        <v>0</v>
      </c>
      <c r="O724" s="1057">
        <v>0</v>
      </c>
      <c r="P724" s="1059">
        <f t="shared" si="27"/>
        <v>25</v>
      </c>
      <c r="Q724" s="1057"/>
      <c r="R724" s="1058">
        <v>1318</v>
      </c>
      <c r="S724" s="1057">
        <v>610</v>
      </c>
      <c r="T724" s="1060">
        <v>1928</v>
      </c>
    </row>
    <row r="725" spans="1:20" x14ac:dyDescent="0.25">
      <c r="A725" s="1054">
        <v>97851</v>
      </c>
      <c r="B725" s="1055" t="s">
        <v>4291</v>
      </c>
      <c r="C725" s="1056">
        <v>2.7750000000000002E-4</v>
      </c>
      <c r="D725" s="1056">
        <v>2.7799999999999998E-4</v>
      </c>
      <c r="E725" s="1057">
        <v>658325</v>
      </c>
      <c r="F725" s="1057" t="s">
        <v>187</v>
      </c>
      <c r="G725" s="1058">
        <v>101564</v>
      </c>
      <c r="H725" s="1059">
        <v>90369</v>
      </c>
      <c r="I725" s="1058">
        <v>174694</v>
      </c>
      <c r="J725" s="1057">
        <v>0</v>
      </c>
      <c r="K725" s="1059">
        <f t="shared" si="26"/>
        <v>366627</v>
      </c>
      <c r="L725" s="1057"/>
      <c r="M725" s="1058">
        <v>3408</v>
      </c>
      <c r="N725" s="1058">
        <v>0</v>
      </c>
      <c r="O725" s="1057">
        <v>25332</v>
      </c>
      <c r="P725" s="1059">
        <f t="shared" si="27"/>
        <v>28740</v>
      </c>
      <c r="Q725" s="1057"/>
      <c r="R725" s="1058">
        <v>182865</v>
      </c>
      <c r="S725" s="1057">
        <v>-6676</v>
      </c>
      <c r="T725" s="1060">
        <v>176189</v>
      </c>
    </row>
    <row r="726" spans="1:20" x14ac:dyDescent="0.25">
      <c r="A726" s="1054">
        <v>97853</v>
      </c>
      <c r="B726" s="1055" t="s">
        <v>3275</v>
      </c>
      <c r="C726" s="1056">
        <v>9.09E-5</v>
      </c>
      <c r="D726" s="1056">
        <v>1.0289999999999999E-4</v>
      </c>
      <c r="E726" s="1057">
        <v>215646</v>
      </c>
      <c r="F726" s="1057" t="s">
        <v>187</v>
      </c>
      <c r="G726" s="1058">
        <v>33269</v>
      </c>
      <c r="H726" s="1059">
        <v>29601</v>
      </c>
      <c r="I726" s="1058">
        <v>57224</v>
      </c>
      <c r="J726" s="1057">
        <v>4930</v>
      </c>
      <c r="K726" s="1059">
        <f t="shared" si="26"/>
        <v>125024</v>
      </c>
      <c r="L726" s="1057"/>
      <c r="M726" s="1058">
        <v>1116</v>
      </c>
      <c r="N726" s="1058">
        <v>0</v>
      </c>
      <c r="O726" s="1057">
        <v>18002</v>
      </c>
      <c r="P726" s="1059">
        <f t="shared" si="27"/>
        <v>19118</v>
      </c>
      <c r="Q726" s="1057"/>
      <c r="R726" s="1058">
        <v>59901</v>
      </c>
      <c r="S726" s="1057">
        <v>-2497</v>
      </c>
      <c r="T726" s="1060">
        <v>57404</v>
      </c>
    </row>
    <row r="727" spans="1:20" x14ac:dyDescent="0.25">
      <c r="A727" s="1054">
        <v>97861</v>
      </c>
      <c r="B727" s="1055" t="s">
        <v>4292</v>
      </c>
      <c r="C727" s="1056">
        <v>4.3000000000000002E-5</v>
      </c>
      <c r="D727" s="1056">
        <v>6.7000000000000002E-5</v>
      </c>
      <c r="E727" s="1057">
        <v>102011</v>
      </c>
      <c r="F727" s="1057" t="s">
        <v>187</v>
      </c>
      <c r="G727" s="1058">
        <v>15738</v>
      </c>
      <c r="H727" s="1059">
        <v>14003</v>
      </c>
      <c r="I727" s="1058">
        <v>27070</v>
      </c>
      <c r="J727" s="1057">
        <v>799</v>
      </c>
      <c r="K727" s="1059">
        <f t="shared" si="26"/>
        <v>57610</v>
      </c>
      <c r="L727" s="1057"/>
      <c r="M727" s="1058">
        <v>528</v>
      </c>
      <c r="N727" s="1058">
        <v>0</v>
      </c>
      <c r="O727" s="1057">
        <v>15816</v>
      </c>
      <c r="P727" s="1059">
        <f t="shared" si="27"/>
        <v>16344</v>
      </c>
      <c r="Q727" s="1057"/>
      <c r="R727" s="1058">
        <v>28336</v>
      </c>
      <c r="S727" s="1057">
        <v>-6822</v>
      </c>
      <c r="T727" s="1060">
        <v>21514</v>
      </c>
    </row>
    <row r="728" spans="1:20" x14ac:dyDescent="0.25">
      <c r="A728" s="1054">
        <v>97871</v>
      </c>
      <c r="B728" s="1055" t="s">
        <v>4293</v>
      </c>
      <c r="C728" s="1056">
        <v>3.1080000000000002E-4</v>
      </c>
      <c r="D728" s="1056">
        <v>2.9930000000000001E-4</v>
      </c>
      <c r="E728" s="1057">
        <v>737324</v>
      </c>
      <c r="F728" s="1057" t="s">
        <v>187</v>
      </c>
      <c r="G728" s="1058">
        <v>113752</v>
      </c>
      <c r="H728" s="1059">
        <v>101213</v>
      </c>
      <c r="I728" s="1058">
        <v>195657</v>
      </c>
      <c r="J728" s="1057">
        <v>260432</v>
      </c>
      <c r="K728" s="1059">
        <f t="shared" si="26"/>
        <v>671054</v>
      </c>
      <c r="L728" s="1057"/>
      <c r="M728" s="1058">
        <v>3817</v>
      </c>
      <c r="N728" s="1058">
        <v>0</v>
      </c>
      <c r="O728" s="1057">
        <v>0</v>
      </c>
      <c r="P728" s="1059">
        <f t="shared" si="27"/>
        <v>3817</v>
      </c>
      <c r="Q728" s="1057"/>
      <c r="R728" s="1058">
        <v>204809</v>
      </c>
      <c r="S728" s="1057">
        <v>109999</v>
      </c>
      <c r="T728" s="1060">
        <v>314808</v>
      </c>
    </row>
    <row r="729" spans="1:20" x14ac:dyDescent="0.25">
      <c r="A729" s="1054">
        <v>97877</v>
      </c>
      <c r="B729" s="1055" t="s">
        <v>3278</v>
      </c>
      <c r="C729" s="1056">
        <v>1.7999999999999999E-6</v>
      </c>
      <c r="D729" s="1056">
        <v>1.9E-6</v>
      </c>
      <c r="E729" s="1057">
        <v>4270</v>
      </c>
      <c r="F729" s="1057" t="s">
        <v>187</v>
      </c>
      <c r="G729" s="1058">
        <v>659</v>
      </c>
      <c r="H729" s="1059">
        <v>586</v>
      </c>
      <c r="I729" s="1058">
        <v>1133</v>
      </c>
      <c r="J729" s="1057">
        <v>2439</v>
      </c>
      <c r="K729" s="1059">
        <f t="shared" si="26"/>
        <v>4817</v>
      </c>
      <c r="L729" s="1057"/>
      <c r="M729" s="1058">
        <v>22</v>
      </c>
      <c r="N729" s="1058">
        <v>0</v>
      </c>
      <c r="O729" s="1057">
        <v>0</v>
      </c>
      <c r="P729" s="1059">
        <f t="shared" si="27"/>
        <v>22</v>
      </c>
      <c r="Q729" s="1057"/>
      <c r="R729" s="1058">
        <v>1186</v>
      </c>
      <c r="S729" s="1057">
        <v>1008</v>
      </c>
      <c r="T729" s="1060">
        <v>2194</v>
      </c>
    </row>
    <row r="730" spans="1:20" x14ac:dyDescent="0.25">
      <c r="A730" s="1054">
        <v>97901</v>
      </c>
      <c r="B730" s="1055" t="s">
        <v>3279</v>
      </c>
      <c r="C730" s="1056">
        <v>4.2154000000000002E-3</v>
      </c>
      <c r="D730" s="1056">
        <v>4.2658000000000001E-3</v>
      </c>
      <c r="E730" s="1057">
        <v>10000370</v>
      </c>
      <c r="F730" s="1057" t="s">
        <v>187</v>
      </c>
      <c r="G730" s="1058">
        <v>1542820</v>
      </c>
      <c r="H730" s="1059">
        <v>1372753</v>
      </c>
      <c r="I730" s="1058">
        <v>2653712</v>
      </c>
      <c r="J730" s="1057">
        <v>48144</v>
      </c>
      <c r="K730" s="1059">
        <f t="shared" si="26"/>
        <v>5617429</v>
      </c>
      <c r="L730" s="1057"/>
      <c r="M730" s="1058">
        <v>51769</v>
      </c>
      <c r="N730" s="1058">
        <v>0</v>
      </c>
      <c r="O730" s="1057">
        <v>28304</v>
      </c>
      <c r="P730" s="1059">
        <f t="shared" si="27"/>
        <v>80073</v>
      </c>
      <c r="Q730" s="1057"/>
      <c r="R730" s="1058">
        <v>2777835</v>
      </c>
      <c r="S730" s="1057">
        <v>30359</v>
      </c>
      <c r="T730" s="1060">
        <v>2808194</v>
      </c>
    </row>
    <row r="731" spans="1:20" x14ac:dyDescent="0.25">
      <c r="A731" s="1054">
        <v>97911</v>
      </c>
      <c r="B731" s="1055" t="s">
        <v>3280</v>
      </c>
      <c r="C731" s="1056">
        <v>1.2834000000000001E-3</v>
      </c>
      <c r="D731" s="1056">
        <v>1.3005E-3</v>
      </c>
      <c r="E731" s="1057">
        <v>3044664</v>
      </c>
      <c r="F731" s="1057" t="s">
        <v>187</v>
      </c>
      <c r="G731" s="1058">
        <v>469719</v>
      </c>
      <c r="H731" s="1059">
        <v>417942</v>
      </c>
      <c r="I731" s="1058">
        <v>807936</v>
      </c>
      <c r="J731" s="1057">
        <v>11320</v>
      </c>
      <c r="K731" s="1059">
        <f t="shared" si="26"/>
        <v>1706917</v>
      </c>
      <c r="L731" s="1057"/>
      <c r="M731" s="1058">
        <v>15761</v>
      </c>
      <c r="N731" s="1058">
        <v>0</v>
      </c>
      <c r="O731" s="1057">
        <v>18493</v>
      </c>
      <c r="P731" s="1059">
        <f t="shared" si="27"/>
        <v>34254</v>
      </c>
      <c r="Q731" s="1057"/>
      <c r="R731" s="1058">
        <v>845726</v>
      </c>
      <c r="S731" s="1057">
        <v>10611</v>
      </c>
      <c r="T731" s="1060">
        <v>856337</v>
      </c>
    </row>
    <row r="732" spans="1:20" x14ac:dyDescent="0.25">
      <c r="A732" s="1054">
        <v>97913</v>
      </c>
      <c r="B732" s="1055" t="s">
        <v>4294</v>
      </c>
      <c r="C732" s="1056">
        <v>3.3899999999999997E-5</v>
      </c>
      <c r="D732" s="1056">
        <v>3.5899999999999998E-5</v>
      </c>
      <c r="E732" s="1057">
        <v>80422</v>
      </c>
      <c r="F732" s="1057" t="s">
        <v>187</v>
      </c>
      <c r="G732" s="1058">
        <v>12407</v>
      </c>
      <c r="H732" s="1059">
        <v>11039</v>
      </c>
      <c r="I732" s="1058">
        <v>21341</v>
      </c>
      <c r="J732" s="1057">
        <v>17313</v>
      </c>
      <c r="K732" s="1059">
        <f t="shared" si="26"/>
        <v>62100</v>
      </c>
      <c r="L732" s="1057"/>
      <c r="M732" s="1058">
        <v>416</v>
      </c>
      <c r="N732" s="1058">
        <v>0</v>
      </c>
      <c r="O732" s="1057">
        <v>0</v>
      </c>
      <c r="P732" s="1059">
        <f t="shared" si="27"/>
        <v>416</v>
      </c>
      <c r="Q732" s="1057"/>
      <c r="R732" s="1058">
        <v>22339</v>
      </c>
      <c r="S732" s="1057">
        <v>7130</v>
      </c>
      <c r="T732" s="1060">
        <v>29469</v>
      </c>
    </row>
    <row r="733" spans="1:20" x14ac:dyDescent="0.25">
      <c r="A733" s="1054">
        <v>97917</v>
      </c>
      <c r="B733" s="1055" t="s">
        <v>3282</v>
      </c>
      <c r="C733" s="1056">
        <v>1.9700000000000001E-5</v>
      </c>
      <c r="D733" s="1056">
        <v>2.0999999999999999E-5</v>
      </c>
      <c r="E733" s="1057">
        <v>46735</v>
      </c>
      <c r="F733" s="1057" t="s">
        <v>187</v>
      </c>
      <c r="G733" s="1058">
        <v>7210</v>
      </c>
      <c r="H733" s="1059">
        <v>6415</v>
      </c>
      <c r="I733" s="1058">
        <v>12402</v>
      </c>
      <c r="J733" s="1057">
        <v>7021</v>
      </c>
      <c r="K733" s="1059">
        <f t="shared" si="26"/>
        <v>33048</v>
      </c>
      <c r="L733" s="1057"/>
      <c r="M733" s="1058">
        <v>242</v>
      </c>
      <c r="N733" s="1058">
        <v>0</v>
      </c>
      <c r="O733" s="1057">
        <v>0</v>
      </c>
      <c r="P733" s="1059">
        <f t="shared" si="27"/>
        <v>242</v>
      </c>
      <c r="Q733" s="1057"/>
      <c r="R733" s="1058">
        <v>12982</v>
      </c>
      <c r="S733" s="1057">
        <v>3750</v>
      </c>
      <c r="T733" s="1060">
        <v>16732</v>
      </c>
    </row>
    <row r="734" spans="1:20" x14ac:dyDescent="0.25">
      <c r="A734" s="1054">
        <v>97921</v>
      </c>
      <c r="B734" s="1055" t="s">
        <v>4295</v>
      </c>
      <c r="C734" s="1056">
        <v>2.2699999999999999E-4</v>
      </c>
      <c r="D734" s="1056">
        <v>2.1699999999999999E-4</v>
      </c>
      <c r="E734" s="1057">
        <v>538522</v>
      </c>
      <c r="F734" s="1057" t="s">
        <v>187</v>
      </c>
      <c r="G734" s="1058">
        <v>83081</v>
      </c>
      <c r="H734" s="1059">
        <v>73923</v>
      </c>
      <c r="I734" s="1058">
        <v>142903</v>
      </c>
      <c r="J734" s="1057">
        <v>12802</v>
      </c>
      <c r="K734" s="1059">
        <f t="shared" si="26"/>
        <v>312709</v>
      </c>
      <c r="L734" s="1057"/>
      <c r="M734" s="1058">
        <v>2788</v>
      </c>
      <c r="N734" s="1058">
        <v>0</v>
      </c>
      <c r="O734" s="1057">
        <v>2898</v>
      </c>
      <c r="P734" s="1059">
        <f t="shared" si="27"/>
        <v>5686</v>
      </c>
      <c r="Q734" s="1057"/>
      <c r="R734" s="1058">
        <v>149587</v>
      </c>
      <c r="S734" s="1057">
        <v>5157</v>
      </c>
      <c r="T734" s="1060">
        <v>154744</v>
      </c>
    </row>
    <row r="735" spans="1:20" x14ac:dyDescent="0.25">
      <c r="A735" s="1054">
        <v>97931</v>
      </c>
      <c r="B735" s="1055" t="s">
        <v>4296</v>
      </c>
      <c r="C735" s="1056">
        <v>6.7600000000000003E-5</v>
      </c>
      <c r="D735" s="1056">
        <v>7.0199999999999999E-5</v>
      </c>
      <c r="E735" s="1057">
        <v>160370</v>
      </c>
      <c r="F735" s="1057" t="s">
        <v>187</v>
      </c>
      <c r="G735" s="1058">
        <v>24741</v>
      </c>
      <c r="H735" s="1059">
        <v>22014</v>
      </c>
      <c r="I735" s="1058">
        <v>42556</v>
      </c>
      <c r="J735" s="1057">
        <v>9841</v>
      </c>
      <c r="K735" s="1059">
        <f t="shared" si="26"/>
        <v>99152</v>
      </c>
      <c r="L735" s="1057"/>
      <c r="M735" s="1058">
        <v>830</v>
      </c>
      <c r="N735" s="1058">
        <v>0</v>
      </c>
      <c r="O735" s="1057">
        <v>3109</v>
      </c>
      <c r="P735" s="1059">
        <f t="shared" si="27"/>
        <v>3939</v>
      </c>
      <c r="Q735" s="1057"/>
      <c r="R735" s="1058">
        <v>44547</v>
      </c>
      <c r="S735" s="1057">
        <v>1729</v>
      </c>
      <c r="T735" s="1060">
        <v>46276</v>
      </c>
    </row>
    <row r="736" spans="1:20" x14ac:dyDescent="0.25">
      <c r="A736" s="1054">
        <v>97941</v>
      </c>
      <c r="B736" s="1055" t="s">
        <v>4297</v>
      </c>
      <c r="C736" s="1056">
        <v>2.0159999999999999E-4</v>
      </c>
      <c r="D736" s="1056">
        <v>2.0479999999999999E-4</v>
      </c>
      <c r="E736" s="1057">
        <v>478264</v>
      </c>
      <c r="F736" s="1057" t="s">
        <v>187</v>
      </c>
      <c r="G736" s="1058">
        <v>73785</v>
      </c>
      <c r="H736" s="1059">
        <v>65651</v>
      </c>
      <c r="I736" s="1058">
        <v>126913</v>
      </c>
      <c r="J736" s="1057">
        <v>19522</v>
      </c>
      <c r="K736" s="1059">
        <f t="shared" si="26"/>
        <v>285871</v>
      </c>
      <c r="L736" s="1057"/>
      <c r="M736" s="1058">
        <v>2476</v>
      </c>
      <c r="N736" s="1058">
        <v>0</v>
      </c>
      <c r="O736" s="1057">
        <v>6561</v>
      </c>
      <c r="P736" s="1059">
        <f t="shared" si="27"/>
        <v>9037</v>
      </c>
      <c r="Q736" s="1057"/>
      <c r="R736" s="1058">
        <v>132849</v>
      </c>
      <c r="S736" s="1057">
        <v>9717</v>
      </c>
      <c r="T736" s="1060">
        <v>142566</v>
      </c>
    </row>
    <row r="737" spans="1:20" x14ac:dyDescent="0.25">
      <c r="A737" s="1054">
        <v>97947</v>
      </c>
      <c r="B737" s="1055" t="s">
        <v>3286</v>
      </c>
      <c r="C737" s="1056">
        <v>1.47E-5</v>
      </c>
      <c r="D737" s="1056">
        <v>1.3900000000000001E-5</v>
      </c>
      <c r="E737" s="1057">
        <v>34873</v>
      </c>
      <c r="F737" s="1057" t="s">
        <v>187</v>
      </c>
      <c r="G737" s="1058">
        <v>5380</v>
      </c>
      <c r="H737" s="1059">
        <v>4788</v>
      </c>
      <c r="I737" s="1058">
        <v>9254</v>
      </c>
      <c r="J737" s="1057">
        <v>11430</v>
      </c>
      <c r="K737" s="1059">
        <f t="shared" si="26"/>
        <v>30852</v>
      </c>
      <c r="L737" s="1057"/>
      <c r="M737" s="1058">
        <v>181</v>
      </c>
      <c r="N737" s="1058">
        <v>0</v>
      </c>
      <c r="O737" s="1057">
        <v>0</v>
      </c>
      <c r="P737" s="1059">
        <f t="shared" si="27"/>
        <v>181</v>
      </c>
      <c r="Q737" s="1057"/>
      <c r="R737" s="1058">
        <v>9687</v>
      </c>
      <c r="S737" s="1057">
        <v>4453</v>
      </c>
      <c r="T737" s="1060">
        <v>14140</v>
      </c>
    </row>
    <row r="738" spans="1:20" x14ac:dyDescent="0.25">
      <c r="A738" s="1054">
        <v>97948</v>
      </c>
      <c r="B738" s="1055" t="s">
        <v>3287</v>
      </c>
      <c r="C738" s="1056">
        <v>2.1299999999999999E-5</v>
      </c>
      <c r="D738" s="1056">
        <v>2.2099999999999998E-5</v>
      </c>
      <c r="E738" s="1057">
        <v>50531</v>
      </c>
      <c r="F738" s="1057" t="s">
        <v>187</v>
      </c>
      <c r="G738" s="1058">
        <v>7796</v>
      </c>
      <c r="H738" s="1059">
        <v>6936</v>
      </c>
      <c r="I738" s="1058">
        <v>13409</v>
      </c>
      <c r="J738" s="1057">
        <v>1178</v>
      </c>
      <c r="K738" s="1059">
        <f t="shared" si="26"/>
        <v>29319</v>
      </c>
      <c r="L738" s="1057"/>
      <c r="M738" s="1058">
        <v>262</v>
      </c>
      <c r="N738" s="1058">
        <v>0</v>
      </c>
      <c r="O738" s="1057">
        <v>6237</v>
      </c>
      <c r="P738" s="1059">
        <f t="shared" si="27"/>
        <v>6499</v>
      </c>
      <c r="Q738" s="1057"/>
      <c r="R738" s="1058">
        <v>14036</v>
      </c>
      <c r="S738" s="1057">
        <v>-878</v>
      </c>
      <c r="T738" s="1060">
        <v>13158</v>
      </c>
    </row>
    <row r="739" spans="1:20" x14ac:dyDescent="0.25">
      <c r="A739" s="1054">
        <v>97951</v>
      </c>
      <c r="B739" s="1055" t="s">
        <v>3288</v>
      </c>
      <c r="C739" s="1056">
        <v>1.1826E-3</v>
      </c>
      <c r="D739" s="1056">
        <v>1.2440999999999999E-3</v>
      </c>
      <c r="E739" s="1057">
        <v>2805532</v>
      </c>
      <c r="F739" s="1057" t="s">
        <v>187</v>
      </c>
      <c r="G739" s="1058">
        <v>432827</v>
      </c>
      <c r="H739" s="1059">
        <v>385116</v>
      </c>
      <c r="I739" s="1058">
        <v>744480</v>
      </c>
      <c r="J739" s="1057">
        <v>20429</v>
      </c>
      <c r="K739" s="1059">
        <f t="shared" si="26"/>
        <v>1582852</v>
      </c>
      <c r="L739" s="1057"/>
      <c r="M739" s="1058">
        <v>14524</v>
      </c>
      <c r="N739" s="1058">
        <v>0</v>
      </c>
      <c r="O739" s="1057">
        <v>100</v>
      </c>
      <c r="P739" s="1059">
        <f t="shared" si="27"/>
        <v>14624</v>
      </c>
      <c r="Q739" s="1057"/>
      <c r="R739" s="1058">
        <v>779301</v>
      </c>
      <c r="S739" s="1057">
        <v>4342</v>
      </c>
      <c r="T739" s="1060">
        <v>783643</v>
      </c>
    </row>
    <row r="740" spans="1:20" x14ac:dyDescent="0.25">
      <c r="A740" s="1054">
        <v>97957</v>
      </c>
      <c r="B740" s="1055" t="s">
        <v>3289</v>
      </c>
      <c r="C740" s="1056">
        <v>1.7200000000000001E-5</v>
      </c>
      <c r="D740" s="1056">
        <v>1.8700000000000001E-5</v>
      </c>
      <c r="E740" s="1057">
        <v>40804</v>
      </c>
      <c r="F740" s="1057" t="s">
        <v>187</v>
      </c>
      <c r="G740" s="1058">
        <v>6295</v>
      </c>
      <c r="H740" s="1059">
        <v>5601</v>
      </c>
      <c r="I740" s="1058">
        <v>10828</v>
      </c>
      <c r="J740" s="1057">
        <v>5813</v>
      </c>
      <c r="K740" s="1059">
        <f t="shared" si="26"/>
        <v>28537</v>
      </c>
      <c r="L740" s="1057"/>
      <c r="M740" s="1058">
        <v>211</v>
      </c>
      <c r="N740" s="1058">
        <v>0</v>
      </c>
      <c r="O740" s="1057">
        <v>466</v>
      </c>
      <c r="P740" s="1059">
        <f t="shared" si="27"/>
        <v>677</v>
      </c>
      <c r="Q740" s="1057"/>
      <c r="R740" s="1058">
        <v>11334</v>
      </c>
      <c r="S740" s="1057">
        <v>1280</v>
      </c>
      <c r="T740" s="1060">
        <v>12614</v>
      </c>
    </row>
    <row r="741" spans="1:20" x14ac:dyDescent="0.25">
      <c r="A741" s="1054">
        <v>98001</v>
      </c>
      <c r="B741" s="1055" t="s">
        <v>3290</v>
      </c>
      <c r="C741" s="1056">
        <v>5.3728999999999999E-3</v>
      </c>
      <c r="D741" s="1056">
        <v>5.1148000000000001E-3</v>
      </c>
      <c r="E741" s="1057">
        <v>12746356</v>
      </c>
      <c r="F741" s="1057" t="s">
        <v>187</v>
      </c>
      <c r="G741" s="1058">
        <v>1966460</v>
      </c>
      <c r="H741" s="1059">
        <v>1749696</v>
      </c>
      <c r="I741" s="1058">
        <v>3382391</v>
      </c>
      <c r="J741" s="1057">
        <v>275498</v>
      </c>
      <c r="K741" s="1059">
        <f t="shared" si="26"/>
        <v>7374045</v>
      </c>
      <c r="L741" s="1057"/>
      <c r="M741" s="1058">
        <v>65985</v>
      </c>
      <c r="N741" s="1058">
        <v>0</v>
      </c>
      <c r="O741" s="1057">
        <v>0</v>
      </c>
      <c r="P741" s="1059">
        <f t="shared" si="27"/>
        <v>65985</v>
      </c>
      <c r="Q741" s="1057"/>
      <c r="R741" s="1058">
        <v>3540596</v>
      </c>
      <c r="S741" s="1057">
        <v>124587</v>
      </c>
      <c r="T741" s="1060">
        <v>3665183</v>
      </c>
    </row>
    <row r="742" spans="1:20" x14ac:dyDescent="0.25">
      <c r="A742" s="1054">
        <v>98002</v>
      </c>
      <c r="B742" s="1055" t="s">
        <v>3291</v>
      </c>
      <c r="C742" s="1056">
        <v>6.4999999999999996E-6</v>
      </c>
      <c r="D742" s="1056">
        <v>6.7000000000000002E-6</v>
      </c>
      <c r="E742" s="1057">
        <v>15420</v>
      </c>
      <c r="F742" s="1057" t="s">
        <v>187</v>
      </c>
      <c r="G742" s="1058">
        <v>2379</v>
      </c>
      <c r="H742" s="1059">
        <v>2117</v>
      </c>
      <c r="I742" s="1058">
        <v>4092</v>
      </c>
      <c r="J742" s="1057">
        <v>1772</v>
      </c>
      <c r="K742" s="1059">
        <f t="shared" si="26"/>
        <v>10360</v>
      </c>
      <c r="L742" s="1057"/>
      <c r="M742" s="1058">
        <v>80</v>
      </c>
      <c r="N742" s="1058">
        <v>0</v>
      </c>
      <c r="O742" s="1057">
        <v>0</v>
      </c>
      <c r="P742" s="1059">
        <f t="shared" si="27"/>
        <v>80</v>
      </c>
      <c r="Q742" s="1057"/>
      <c r="R742" s="1058">
        <v>4283</v>
      </c>
      <c r="S742" s="1057">
        <v>-5879</v>
      </c>
      <c r="T742" s="1060">
        <v>-1596</v>
      </c>
    </row>
    <row r="743" spans="1:20" x14ac:dyDescent="0.25">
      <c r="A743" s="1054">
        <v>98003</v>
      </c>
      <c r="B743" s="1055" t="s">
        <v>3292</v>
      </c>
      <c r="C743" s="1056">
        <v>7.7000000000000001E-5</v>
      </c>
      <c r="D743" s="1056">
        <v>7.9599999999999997E-5</v>
      </c>
      <c r="E743" s="1057">
        <v>182670</v>
      </c>
      <c r="F743" s="1057" t="s">
        <v>187</v>
      </c>
      <c r="G743" s="1058">
        <v>28182</v>
      </c>
      <c r="H743" s="1059">
        <v>25075</v>
      </c>
      <c r="I743" s="1058">
        <v>48474</v>
      </c>
      <c r="J743" s="1057">
        <v>62655</v>
      </c>
      <c r="K743" s="1059">
        <f t="shared" si="26"/>
        <v>164386</v>
      </c>
      <c r="L743" s="1057"/>
      <c r="M743" s="1058">
        <v>946</v>
      </c>
      <c r="N743" s="1058">
        <v>0</v>
      </c>
      <c r="O743" s="1057">
        <v>0</v>
      </c>
      <c r="P743" s="1059">
        <f t="shared" si="27"/>
        <v>946</v>
      </c>
      <c r="Q743" s="1057"/>
      <c r="R743" s="1058">
        <v>50741</v>
      </c>
      <c r="S743" s="1057">
        <v>25199</v>
      </c>
      <c r="T743" s="1060">
        <v>75940</v>
      </c>
    </row>
    <row r="744" spans="1:20" x14ac:dyDescent="0.25">
      <c r="A744" s="1054">
        <v>98004</v>
      </c>
      <c r="B744" s="1055" t="s">
        <v>3293</v>
      </c>
      <c r="C744" s="1056">
        <v>1.189E-4</v>
      </c>
      <c r="D744" s="1056">
        <v>1.182E-4</v>
      </c>
      <c r="E744" s="1057">
        <v>282071</v>
      </c>
      <c r="F744" s="1057" t="s">
        <v>187</v>
      </c>
      <c r="G744" s="1058">
        <v>43517</v>
      </c>
      <c r="H744" s="1059">
        <v>38720</v>
      </c>
      <c r="I744" s="1058">
        <v>74851</v>
      </c>
      <c r="J744" s="1057">
        <v>41871</v>
      </c>
      <c r="K744" s="1059">
        <f t="shared" si="26"/>
        <v>198959</v>
      </c>
      <c r="L744" s="1057"/>
      <c r="M744" s="1058">
        <v>1460</v>
      </c>
      <c r="N744" s="1058">
        <v>0</v>
      </c>
      <c r="O744" s="1057">
        <v>0</v>
      </c>
      <c r="P744" s="1059">
        <f t="shared" si="27"/>
        <v>1460</v>
      </c>
      <c r="Q744" s="1057"/>
      <c r="R744" s="1058">
        <v>78352</v>
      </c>
      <c r="S744" s="1057">
        <v>19024</v>
      </c>
      <c r="T744" s="1060">
        <v>97376</v>
      </c>
    </row>
    <row r="745" spans="1:20" x14ac:dyDescent="0.25">
      <c r="A745" s="1054">
        <v>98008</v>
      </c>
      <c r="B745" s="1055" t="s">
        <v>3294</v>
      </c>
      <c r="C745" s="1056">
        <v>7.7000000000000008E-6</v>
      </c>
      <c r="D745" s="1056">
        <v>7.9999999999999996E-6</v>
      </c>
      <c r="E745" s="1057">
        <v>18267</v>
      </c>
      <c r="F745" s="1057" t="s">
        <v>187</v>
      </c>
      <c r="G745" s="1058">
        <v>2818</v>
      </c>
      <c r="H745" s="1059">
        <v>2507</v>
      </c>
      <c r="I745" s="1058">
        <v>4847</v>
      </c>
      <c r="J745" s="1057">
        <v>20</v>
      </c>
      <c r="K745" s="1059">
        <f t="shared" si="26"/>
        <v>10192</v>
      </c>
      <c r="L745" s="1057"/>
      <c r="M745" s="1058">
        <v>95</v>
      </c>
      <c r="N745" s="1058">
        <v>0</v>
      </c>
      <c r="O745" s="1057">
        <v>556</v>
      </c>
      <c r="P745" s="1059">
        <f t="shared" si="27"/>
        <v>651</v>
      </c>
      <c r="Q745" s="1057"/>
      <c r="R745" s="1058">
        <v>5074</v>
      </c>
      <c r="S745" s="1057">
        <v>-548</v>
      </c>
      <c r="T745" s="1060">
        <v>4526</v>
      </c>
    </row>
    <row r="746" spans="1:20" x14ac:dyDescent="0.25">
      <c r="A746" s="1054">
        <v>98011</v>
      </c>
      <c r="B746" s="1055" t="s">
        <v>3295</v>
      </c>
      <c r="C746" s="1056">
        <v>3.2946999999999998E-3</v>
      </c>
      <c r="D746" s="1056">
        <v>3.1578999999999999E-3</v>
      </c>
      <c r="E746" s="1057">
        <v>7816155</v>
      </c>
      <c r="F746" s="1057" t="s">
        <v>187</v>
      </c>
      <c r="G746" s="1058">
        <v>1205847</v>
      </c>
      <c r="H746" s="1059">
        <v>1072925</v>
      </c>
      <c r="I746" s="1058">
        <v>2074106</v>
      </c>
      <c r="J746" s="1057">
        <v>81290</v>
      </c>
      <c r="K746" s="1059">
        <f t="shared" si="26"/>
        <v>4434168</v>
      </c>
      <c r="L746" s="1057"/>
      <c r="M746" s="1058">
        <v>40462</v>
      </c>
      <c r="N746" s="1058">
        <v>0</v>
      </c>
      <c r="O746" s="1057">
        <v>168657</v>
      </c>
      <c r="P746" s="1059">
        <f t="shared" si="27"/>
        <v>209119</v>
      </c>
      <c r="Q746" s="1057"/>
      <c r="R746" s="1058">
        <v>2171118</v>
      </c>
      <c r="S746" s="1057">
        <v>-126045</v>
      </c>
      <c r="T746" s="1060">
        <v>2045073</v>
      </c>
    </row>
    <row r="747" spans="1:20" x14ac:dyDescent="0.25">
      <c r="A747" s="1054">
        <v>98013</v>
      </c>
      <c r="B747" s="1055" t="s">
        <v>4298</v>
      </c>
      <c r="C747" s="1056">
        <v>1.3439999999999999E-4</v>
      </c>
      <c r="D747" s="1056">
        <v>1.415E-4</v>
      </c>
      <c r="E747" s="1057">
        <v>318843</v>
      </c>
      <c r="F747" s="1057"/>
      <c r="G747" s="1058">
        <v>49190</v>
      </c>
      <c r="H747" s="1059">
        <v>43768</v>
      </c>
      <c r="I747" s="1058">
        <v>84609</v>
      </c>
      <c r="J747" s="1057">
        <v>137928</v>
      </c>
      <c r="K747" s="1059">
        <f t="shared" si="26"/>
        <v>315495</v>
      </c>
      <c r="L747" s="1057"/>
      <c r="M747" s="1058">
        <v>1651</v>
      </c>
      <c r="N747" s="1058">
        <v>0</v>
      </c>
      <c r="O747" s="1057">
        <v>0</v>
      </c>
      <c r="P747" s="1059">
        <f t="shared" si="27"/>
        <v>1651</v>
      </c>
      <c r="Q747" s="1057"/>
      <c r="R747" s="1058">
        <v>88566</v>
      </c>
      <c r="S747" s="1057">
        <v>55732</v>
      </c>
      <c r="T747" s="1060">
        <v>144298</v>
      </c>
    </row>
    <row r="748" spans="1:20" x14ac:dyDescent="0.25">
      <c r="A748" s="1054">
        <v>98021</v>
      </c>
      <c r="B748" s="1055" t="s">
        <v>4299</v>
      </c>
      <c r="C748" s="1056">
        <v>3.6100000000000003E-5</v>
      </c>
      <c r="D748" s="1056">
        <v>8.6199999999999995E-5</v>
      </c>
      <c r="E748" s="1057">
        <v>85642</v>
      </c>
      <c r="F748" s="1057"/>
      <c r="G748" s="1058">
        <v>13212</v>
      </c>
      <c r="H748" s="1059">
        <v>11756</v>
      </c>
      <c r="I748" s="1058">
        <v>22726</v>
      </c>
      <c r="J748" s="1057">
        <v>6068</v>
      </c>
      <c r="K748" s="1059">
        <f t="shared" si="26"/>
        <v>53762</v>
      </c>
      <c r="L748" s="1057"/>
      <c r="M748" s="1058">
        <v>443</v>
      </c>
      <c r="N748" s="1058">
        <v>0</v>
      </c>
      <c r="O748" s="1057">
        <v>29951</v>
      </c>
      <c r="P748" s="1059">
        <f t="shared" si="27"/>
        <v>30394</v>
      </c>
      <c r="Q748" s="1057"/>
      <c r="R748" s="1058">
        <v>23789</v>
      </c>
      <c r="S748" s="1057">
        <v>-559</v>
      </c>
      <c r="T748" s="1060">
        <v>23230</v>
      </c>
    </row>
    <row r="749" spans="1:20" x14ac:dyDescent="0.25">
      <c r="A749" s="1054">
        <v>98023</v>
      </c>
      <c r="B749" s="1055" t="s">
        <v>3298</v>
      </c>
      <c r="C749" s="1056">
        <v>1.88E-5</v>
      </c>
      <c r="D749" s="1056">
        <v>1.43E-5</v>
      </c>
      <c r="E749" s="1057">
        <v>44600</v>
      </c>
      <c r="F749" s="1057"/>
      <c r="G749" s="1058">
        <v>6881</v>
      </c>
      <c r="H749" s="1059">
        <v>6122</v>
      </c>
      <c r="I749" s="1058">
        <v>11835</v>
      </c>
      <c r="J749" s="1057">
        <v>1700</v>
      </c>
      <c r="K749" s="1059">
        <f t="shared" si="26"/>
        <v>26538</v>
      </c>
      <c r="L749" s="1057"/>
      <c r="M749" s="1058">
        <v>231</v>
      </c>
      <c r="N749" s="1058">
        <v>0</v>
      </c>
      <c r="O749" s="1057">
        <v>2588</v>
      </c>
      <c r="P749" s="1059">
        <f t="shared" si="27"/>
        <v>2819</v>
      </c>
      <c r="Q749" s="1057"/>
      <c r="R749" s="1058">
        <v>12389</v>
      </c>
      <c r="S749" s="1057">
        <v>-2200</v>
      </c>
      <c r="T749" s="1060">
        <v>10189</v>
      </c>
    </row>
    <row r="750" spans="1:20" x14ac:dyDescent="0.25">
      <c r="A750" s="1054">
        <v>98031</v>
      </c>
      <c r="B750" s="1055" t="s">
        <v>4300</v>
      </c>
      <c r="C750" s="1056">
        <v>1.717E-4</v>
      </c>
      <c r="D750" s="1056">
        <v>1.537E-4</v>
      </c>
      <c r="E750" s="1057">
        <v>407331</v>
      </c>
      <c r="F750" s="1057"/>
      <c r="G750" s="1058">
        <v>62842</v>
      </c>
      <c r="H750" s="1059">
        <v>55914</v>
      </c>
      <c r="I750" s="1058">
        <v>108090</v>
      </c>
      <c r="J750" s="1057">
        <v>7268</v>
      </c>
      <c r="K750" s="1059">
        <f t="shared" si="26"/>
        <v>234114</v>
      </c>
      <c r="L750" s="1057"/>
      <c r="M750" s="1058">
        <v>2109</v>
      </c>
      <c r="N750" s="1058">
        <v>0</v>
      </c>
      <c r="O750" s="1057">
        <v>5245</v>
      </c>
      <c r="P750" s="1059">
        <f t="shared" si="27"/>
        <v>7354</v>
      </c>
      <c r="Q750" s="1057"/>
      <c r="R750" s="1058">
        <v>113146</v>
      </c>
      <c r="S750" s="1057">
        <v>-92</v>
      </c>
      <c r="T750" s="1060">
        <v>113054</v>
      </c>
    </row>
    <row r="751" spans="1:20" x14ac:dyDescent="0.25">
      <c r="A751" s="1054">
        <v>98041</v>
      </c>
      <c r="B751" s="1055" t="s">
        <v>4301</v>
      </c>
      <c r="C751" s="1056">
        <v>2.242E-4</v>
      </c>
      <c r="D751" s="1056">
        <v>1.9230000000000001E-4</v>
      </c>
      <c r="E751" s="1057">
        <v>531879</v>
      </c>
      <c r="F751" s="1057"/>
      <c r="G751" s="1058">
        <v>82056</v>
      </c>
      <c r="H751" s="1059">
        <v>73011</v>
      </c>
      <c r="I751" s="1058">
        <v>141140</v>
      </c>
      <c r="J751" s="1057">
        <v>23837</v>
      </c>
      <c r="K751" s="1059">
        <f t="shared" si="26"/>
        <v>320044</v>
      </c>
      <c r="L751" s="1057"/>
      <c r="M751" s="1058">
        <v>2753</v>
      </c>
      <c r="N751" s="1058">
        <v>0</v>
      </c>
      <c r="O751" s="1057">
        <v>1903</v>
      </c>
      <c r="P751" s="1059">
        <f t="shared" si="27"/>
        <v>4656</v>
      </c>
      <c r="Q751" s="1057"/>
      <c r="R751" s="1058">
        <v>147742</v>
      </c>
      <c r="S751" s="1057">
        <v>3840</v>
      </c>
      <c r="T751" s="1060">
        <v>151582</v>
      </c>
    </row>
    <row r="752" spans="1:20" x14ac:dyDescent="0.25">
      <c r="A752" s="1054">
        <v>98051</v>
      </c>
      <c r="B752" s="1055" t="s">
        <v>4302</v>
      </c>
      <c r="C752" s="1056">
        <v>2.699E-4</v>
      </c>
      <c r="D752" s="1056">
        <v>2.8019999999999998E-4</v>
      </c>
      <c r="E752" s="1057">
        <v>640295</v>
      </c>
      <c r="F752" s="1057"/>
      <c r="G752" s="1058">
        <v>98782</v>
      </c>
      <c r="H752" s="1059">
        <v>87893</v>
      </c>
      <c r="I752" s="1058">
        <v>169910</v>
      </c>
      <c r="J752" s="1057">
        <v>12423</v>
      </c>
      <c r="K752" s="1059">
        <f t="shared" si="26"/>
        <v>369008</v>
      </c>
      <c r="L752" s="1057"/>
      <c r="M752" s="1058">
        <v>3315</v>
      </c>
      <c r="N752" s="1058">
        <v>0</v>
      </c>
      <c r="O752" s="1057">
        <v>5552</v>
      </c>
      <c r="P752" s="1059">
        <f t="shared" si="27"/>
        <v>8867</v>
      </c>
      <c r="Q752" s="1057"/>
      <c r="R752" s="1058">
        <v>177857</v>
      </c>
      <c r="S752" s="1057">
        <v>7633</v>
      </c>
      <c r="T752" s="1060">
        <v>185490</v>
      </c>
    </row>
    <row r="753" spans="1:20" x14ac:dyDescent="0.25">
      <c r="A753" s="1054">
        <v>98061</v>
      </c>
      <c r="B753" s="1055" t="s">
        <v>4303</v>
      </c>
      <c r="C753" s="1056">
        <v>1.3420000000000001E-4</v>
      </c>
      <c r="D753" s="1056">
        <v>1.0670000000000001E-4</v>
      </c>
      <c r="E753" s="1057">
        <v>318368</v>
      </c>
      <c r="F753" s="1057"/>
      <c r="G753" s="1058">
        <v>49117</v>
      </c>
      <c r="H753" s="1059">
        <v>43702</v>
      </c>
      <c r="I753" s="1058">
        <v>84483</v>
      </c>
      <c r="J753" s="1057">
        <v>14234</v>
      </c>
      <c r="K753" s="1059">
        <f t="shared" si="26"/>
        <v>191536</v>
      </c>
      <c r="L753" s="1057"/>
      <c r="M753" s="1058">
        <v>1648</v>
      </c>
      <c r="N753" s="1058">
        <v>0</v>
      </c>
      <c r="O753" s="1057">
        <v>10224</v>
      </c>
      <c r="P753" s="1059">
        <f t="shared" si="27"/>
        <v>11872</v>
      </c>
      <c r="Q753" s="1057"/>
      <c r="R753" s="1058">
        <v>88434</v>
      </c>
      <c r="S753" s="1057">
        <v>-3412</v>
      </c>
      <c r="T753" s="1060">
        <v>85022</v>
      </c>
    </row>
    <row r="754" spans="1:20" x14ac:dyDescent="0.25">
      <c r="A754" s="1054">
        <v>98071</v>
      </c>
      <c r="B754" s="1055" t="s">
        <v>4304</v>
      </c>
      <c r="C754" s="1056">
        <v>3.5800000000000003E-5</v>
      </c>
      <c r="D754" s="1056">
        <v>4.0099999999999999E-5</v>
      </c>
      <c r="E754" s="1057">
        <v>84930</v>
      </c>
      <c r="F754" s="1057"/>
      <c r="G754" s="1058">
        <v>13103</v>
      </c>
      <c r="H754" s="1059">
        <v>11658</v>
      </c>
      <c r="I754" s="1058">
        <v>22537</v>
      </c>
      <c r="J754" s="1057">
        <v>20473</v>
      </c>
      <c r="K754" s="1059">
        <f t="shared" si="26"/>
        <v>67771</v>
      </c>
      <c r="L754" s="1057"/>
      <c r="M754" s="1058">
        <v>440</v>
      </c>
      <c r="N754" s="1058">
        <v>0</v>
      </c>
      <c r="O754" s="1057">
        <v>541</v>
      </c>
      <c r="P754" s="1059">
        <f t="shared" si="27"/>
        <v>981</v>
      </c>
      <c r="Q754" s="1057"/>
      <c r="R754" s="1058">
        <v>23591</v>
      </c>
      <c r="S754" s="1057">
        <v>6474</v>
      </c>
      <c r="T754" s="1060">
        <v>30065</v>
      </c>
    </row>
    <row r="755" spans="1:20" x14ac:dyDescent="0.25">
      <c r="A755" s="1054">
        <v>98081</v>
      </c>
      <c r="B755" s="1055" t="s">
        <v>4305</v>
      </c>
      <c r="C755" s="1056">
        <v>1.7200000000000001E-5</v>
      </c>
      <c r="D755" s="1056">
        <v>1.8300000000000001E-5</v>
      </c>
      <c r="E755" s="1057">
        <v>40804</v>
      </c>
      <c r="F755" s="1057"/>
      <c r="G755" s="1058">
        <v>6295</v>
      </c>
      <c r="H755" s="1059">
        <v>5601</v>
      </c>
      <c r="I755" s="1058">
        <v>10828</v>
      </c>
      <c r="J755" s="1057">
        <v>0</v>
      </c>
      <c r="K755" s="1059">
        <f t="shared" si="26"/>
        <v>22724</v>
      </c>
      <c r="L755" s="1057"/>
      <c r="M755" s="1058">
        <v>211</v>
      </c>
      <c r="N755" s="1058">
        <v>0</v>
      </c>
      <c r="O755" s="1057">
        <v>3428</v>
      </c>
      <c r="P755" s="1059">
        <f t="shared" si="27"/>
        <v>3639</v>
      </c>
      <c r="Q755" s="1057"/>
      <c r="R755" s="1058">
        <v>11334</v>
      </c>
      <c r="S755" s="1057">
        <v>-2166</v>
      </c>
      <c r="T755" s="1060">
        <v>9168</v>
      </c>
    </row>
    <row r="756" spans="1:20" x14ac:dyDescent="0.25">
      <c r="A756" s="1054">
        <v>98091</v>
      </c>
      <c r="B756" s="1055" t="s">
        <v>4306</v>
      </c>
      <c r="C756" s="1056">
        <v>5.1600000000000001E-5</v>
      </c>
      <c r="D756" s="1056">
        <v>4.7500000000000003E-5</v>
      </c>
      <c r="E756" s="1057">
        <v>122413</v>
      </c>
      <c r="F756" s="1057"/>
      <c r="G756" s="1058">
        <v>18885</v>
      </c>
      <c r="H756" s="1059">
        <v>16803</v>
      </c>
      <c r="I756" s="1058">
        <v>32484</v>
      </c>
      <c r="J756" s="1057">
        <v>5795</v>
      </c>
      <c r="K756" s="1059">
        <f t="shared" si="26"/>
        <v>73967</v>
      </c>
      <c r="L756" s="1057"/>
      <c r="M756" s="1058">
        <v>634</v>
      </c>
      <c r="N756" s="1058">
        <v>0</v>
      </c>
      <c r="O756" s="1057">
        <v>0</v>
      </c>
      <c r="P756" s="1059">
        <f t="shared" si="27"/>
        <v>634</v>
      </c>
      <c r="Q756" s="1057"/>
      <c r="R756" s="1058">
        <v>34003</v>
      </c>
      <c r="S756" s="1057">
        <v>976</v>
      </c>
      <c r="T756" s="1060">
        <v>34979</v>
      </c>
    </row>
    <row r="757" spans="1:20" x14ac:dyDescent="0.25">
      <c r="A757" s="1054">
        <v>98101</v>
      </c>
      <c r="B757" s="1055" t="s">
        <v>3306</v>
      </c>
      <c r="C757" s="1056">
        <v>2.6497999999999999E-3</v>
      </c>
      <c r="D757" s="1056">
        <v>2.8706999999999999E-3</v>
      </c>
      <c r="E757" s="1057">
        <v>6286232</v>
      </c>
      <c r="F757" s="1057"/>
      <c r="G757" s="1058">
        <v>969816</v>
      </c>
      <c r="H757" s="1059">
        <v>862912</v>
      </c>
      <c r="I757" s="1058">
        <v>1668123</v>
      </c>
      <c r="J757" s="1057">
        <v>13234</v>
      </c>
      <c r="K757" s="1059">
        <f t="shared" si="26"/>
        <v>3514085</v>
      </c>
      <c r="L757" s="1057"/>
      <c r="M757" s="1058">
        <v>32542</v>
      </c>
      <c r="N757" s="1058">
        <v>0</v>
      </c>
      <c r="O757" s="1057">
        <v>206313</v>
      </c>
      <c r="P757" s="1059">
        <f t="shared" si="27"/>
        <v>238855</v>
      </c>
      <c r="Q757" s="1057"/>
      <c r="R757" s="1058">
        <v>1746147</v>
      </c>
      <c r="S757" s="1057">
        <v>-31729</v>
      </c>
      <c r="T757" s="1060">
        <v>1714418</v>
      </c>
    </row>
    <row r="758" spans="1:20" x14ac:dyDescent="0.25">
      <c r="A758" s="1054">
        <v>98102</v>
      </c>
      <c r="B758" s="1055" t="s">
        <v>3307</v>
      </c>
      <c r="C758" s="1056">
        <v>1.496E-4</v>
      </c>
      <c r="D758" s="1056">
        <v>1.5809999999999999E-4</v>
      </c>
      <c r="E758" s="1057">
        <v>354902</v>
      </c>
      <c r="F758" s="1057"/>
      <c r="G758" s="1058">
        <v>54753</v>
      </c>
      <c r="H758" s="1059">
        <v>48718</v>
      </c>
      <c r="I758" s="1058">
        <v>94177</v>
      </c>
      <c r="J758" s="1057">
        <v>0</v>
      </c>
      <c r="K758" s="1059">
        <f t="shared" si="26"/>
        <v>197648</v>
      </c>
      <c r="L758" s="1057"/>
      <c r="M758" s="1058">
        <v>1837</v>
      </c>
      <c r="N758" s="1058">
        <v>0</v>
      </c>
      <c r="O758" s="1057">
        <v>13146</v>
      </c>
      <c r="P758" s="1059">
        <f t="shared" si="27"/>
        <v>14983</v>
      </c>
      <c r="Q758" s="1057"/>
      <c r="R758" s="1058">
        <v>98582</v>
      </c>
      <c r="S758" s="1057">
        <v>-6674</v>
      </c>
      <c r="T758" s="1060">
        <v>91908</v>
      </c>
    </row>
    <row r="759" spans="1:20" x14ac:dyDescent="0.25">
      <c r="A759" s="1054">
        <v>98103</v>
      </c>
      <c r="B759" s="1055" t="s">
        <v>3308</v>
      </c>
      <c r="C759" s="1056">
        <v>4.8450000000000001E-4</v>
      </c>
      <c r="D759" s="1056">
        <v>5.4410000000000005E-4</v>
      </c>
      <c r="E759" s="1057">
        <v>1149400</v>
      </c>
      <c r="F759" s="1057"/>
      <c r="G759" s="1058">
        <v>177325</v>
      </c>
      <c r="H759" s="1059">
        <v>157779</v>
      </c>
      <c r="I759" s="1058">
        <v>305006</v>
      </c>
      <c r="J759" s="1057">
        <v>7298</v>
      </c>
      <c r="K759" s="1059">
        <f t="shared" si="26"/>
        <v>647408</v>
      </c>
      <c r="L759" s="1057"/>
      <c r="M759" s="1058">
        <v>5950</v>
      </c>
      <c r="N759" s="1058">
        <v>0</v>
      </c>
      <c r="O759" s="1057">
        <v>39675</v>
      </c>
      <c r="P759" s="1059">
        <f t="shared" si="27"/>
        <v>45625</v>
      </c>
      <c r="Q759" s="1057"/>
      <c r="R759" s="1058">
        <v>319272</v>
      </c>
      <c r="S759" s="1057">
        <v>-24913</v>
      </c>
      <c r="T759" s="1060">
        <v>294359</v>
      </c>
    </row>
    <row r="760" spans="1:20" x14ac:dyDescent="0.25">
      <c r="A760" s="1054">
        <v>98107</v>
      </c>
      <c r="B760" s="1055" t="s">
        <v>3309</v>
      </c>
      <c r="C760" s="1056">
        <v>1.01E-5</v>
      </c>
      <c r="D760" s="1056">
        <v>1.08E-5</v>
      </c>
      <c r="E760" s="1057">
        <v>23961</v>
      </c>
      <c r="F760" s="1057"/>
      <c r="G760" s="1058">
        <v>3697</v>
      </c>
      <c r="H760" s="1059">
        <v>3289</v>
      </c>
      <c r="I760" s="1058">
        <v>6358</v>
      </c>
      <c r="J760" s="1057">
        <v>7863</v>
      </c>
      <c r="K760" s="1059">
        <f t="shared" si="26"/>
        <v>21207</v>
      </c>
      <c r="L760" s="1057"/>
      <c r="M760" s="1058">
        <v>124</v>
      </c>
      <c r="N760" s="1058">
        <v>0</v>
      </c>
      <c r="O760" s="1057">
        <v>0</v>
      </c>
      <c r="P760" s="1059">
        <f t="shared" si="27"/>
        <v>124</v>
      </c>
      <c r="Q760" s="1057"/>
      <c r="R760" s="1058">
        <v>6656</v>
      </c>
      <c r="S760" s="1057">
        <v>4229</v>
      </c>
      <c r="T760" s="1060">
        <v>10885</v>
      </c>
    </row>
    <row r="761" spans="1:20" x14ac:dyDescent="0.25">
      <c r="A761" s="1054">
        <v>98109</v>
      </c>
      <c r="B761" s="1055" t="s">
        <v>3310</v>
      </c>
      <c r="C761" s="1056">
        <v>1.4310000000000001E-4</v>
      </c>
      <c r="D761" s="1056">
        <v>1.573E-4</v>
      </c>
      <c r="E761" s="1057">
        <v>339482</v>
      </c>
      <c r="F761" s="1057"/>
      <c r="G761" s="1058">
        <v>52374</v>
      </c>
      <c r="H761" s="1059">
        <v>46601</v>
      </c>
      <c r="I761" s="1058">
        <v>90085</v>
      </c>
      <c r="J761" s="1057">
        <v>8985</v>
      </c>
      <c r="K761" s="1059">
        <f t="shared" si="26"/>
        <v>198045</v>
      </c>
      <c r="L761" s="1057"/>
      <c r="M761" s="1058">
        <v>1757</v>
      </c>
      <c r="N761" s="1058">
        <v>0</v>
      </c>
      <c r="O761" s="1057">
        <v>13377</v>
      </c>
      <c r="P761" s="1059">
        <f t="shared" si="27"/>
        <v>15134</v>
      </c>
      <c r="Q761" s="1057"/>
      <c r="R761" s="1058">
        <v>94299</v>
      </c>
      <c r="S761" s="1057">
        <v>-7438</v>
      </c>
      <c r="T761" s="1060">
        <v>86861</v>
      </c>
    </row>
    <row r="762" spans="1:20" x14ac:dyDescent="0.25">
      <c r="A762" s="1054">
        <v>98111</v>
      </c>
      <c r="B762" s="1055" t="s">
        <v>4307</v>
      </c>
      <c r="C762" s="1056">
        <v>1.0207E-3</v>
      </c>
      <c r="D762" s="1056">
        <v>1.0143000000000001E-3</v>
      </c>
      <c r="E762" s="1057">
        <v>2421449</v>
      </c>
      <c r="F762" s="1057"/>
      <c r="G762" s="1058">
        <v>373572</v>
      </c>
      <c r="H762" s="1059">
        <v>332393</v>
      </c>
      <c r="I762" s="1058">
        <v>642559</v>
      </c>
      <c r="J762" s="1057">
        <v>0</v>
      </c>
      <c r="K762" s="1059">
        <f t="shared" si="26"/>
        <v>1348524</v>
      </c>
      <c r="L762" s="1057"/>
      <c r="M762" s="1058">
        <v>12535</v>
      </c>
      <c r="N762" s="1058">
        <v>0</v>
      </c>
      <c r="O762" s="1057">
        <v>76213</v>
      </c>
      <c r="P762" s="1059">
        <f t="shared" si="27"/>
        <v>88748</v>
      </c>
      <c r="Q762" s="1057"/>
      <c r="R762" s="1058">
        <v>672614</v>
      </c>
      <c r="S762" s="1057">
        <v>-29272</v>
      </c>
      <c r="T762" s="1060">
        <v>643342</v>
      </c>
    </row>
    <row r="763" spans="1:20" x14ac:dyDescent="0.25">
      <c r="A763" s="1054">
        <v>98113</v>
      </c>
      <c r="B763" s="1055" t="s">
        <v>3312</v>
      </c>
      <c r="C763" s="1056">
        <v>3.8999999999999999E-5</v>
      </c>
      <c r="D763" s="1056">
        <v>4.6199999999999998E-5</v>
      </c>
      <c r="E763" s="1057">
        <v>92521</v>
      </c>
      <c r="F763" s="1057"/>
      <c r="G763" s="1058">
        <v>14274</v>
      </c>
      <c r="H763" s="1059">
        <v>12700</v>
      </c>
      <c r="I763" s="1058">
        <v>24552</v>
      </c>
      <c r="J763" s="1057">
        <v>7102</v>
      </c>
      <c r="K763" s="1059">
        <f t="shared" si="26"/>
        <v>58628</v>
      </c>
      <c r="L763" s="1057"/>
      <c r="M763" s="1058">
        <v>479</v>
      </c>
      <c r="N763" s="1058">
        <v>0</v>
      </c>
      <c r="O763" s="1057">
        <v>416</v>
      </c>
      <c r="P763" s="1059">
        <f t="shared" si="27"/>
        <v>895</v>
      </c>
      <c r="Q763" s="1057"/>
      <c r="R763" s="1058">
        <v>25700</v>
      </c>
      <c r="S763" s="1057">
        <v>4533</v>
      </c>
      <c r="T763" s="1060">
        <v>30233</v>
      </c>
    </row>
    <row r="764" spans="1:20" x14ac:dyDescent="0.25">
      <c r="A764" s="1054">
        <v>98121</v>
      </c>
      <c r="B764" s="1055" t="s">
        <v>4308</v>
      </c>
      <c r="C764" s="1056">
        <v>2.241E-4</v>
      </c>
      <c r="D764" s="1056">
        <v>2.0100000000000001E-4</v>
      </c>
      <c r="E764" s="1057">
        <v>531642</v>
      </c>
      <c r="F764" s="1057"/>
      <c r="G764" s="1058">
        <v>82020</v>
      </c>
      <c r="H764" s="1059">
        <v>72979</v>
      </c>
      <c r="I764" s="1058">
        <v>141077</v>
      </c>
      <c r="J764" s="1057">
        <v>5555</v>
      </c>
      <c r="K764" s="1059">
        <f t="shared" si="26"/>
        <v>301631</v>
      </c>
      <c r="L764" s="1057"/>
      <c r="M764" s="1058">
        <v>2752</v>
      </c>
      <c r="N764" s="1058">
        <v>0</v>
      </c>
      <c r="O764" s="1057">
        <v>17709</v>
      </c>
      <c r="P764" s="1059">
        <f t="shared" si="27"/>
        <v>20461</v>
      </c>
      <c r="Q764" s="1057"/>
      <c r="R764" s="1058">
        <v>147676</v>
      </c>
      <c r="S764" s="1057">
        <v>-4423</v>
      </c>
      <c r="T764" s="1060">
        <v>143253</v>
      </c>
    </row>
    <row r="765" spans="1:20" x14ac:dyDescent="0.25">
      <c r="A765" s="1054">
        <v>98131</v>
      </c>
      <c r="B765" s="1055" t="s">
        <v>4309</v>
      </c>
      <c r="C765" s="1056">
        <v>2.297E-4</v>
      </c>
      <c r="D765" s="1056">
        <v>2.5230000000000001E-4</v>
      </c>
      <c r="E765" s="1057">
        <v>544927</v>
      </c>
      <c r="F765" s="1057"/>
      <c r="G765" s="1058">
        <v>84069</v>
      </c>
      <c r="H765" s="1059">
        <v>74802</v>
      </c>
      <c r="I765" s="1058">
        <v>144603</v>
      </c>
      <c r="J765" s="1057">
        <v>0</v>
      </c>
      <c r="K765" s="1059">
        <f t="shared" si="26"/>
        <v>303474</v>
      </c>
      <c r="L765" s="1057"/>
      <c r="M765" s="1058">
        <v>2821</v>
      </c>
      <c r="N765" s="1058">
        <v>0</v>
      </c>
      <c r="O765" s="1057">
        <v>41009</v>
      </c>
      <c r="P765" s="1059">
        <f t="shared" si="27"/>
        <v>43830</v>
      </c>
      <c r="Q765" s="1057"/>
      <c r="R765" s="1058">
        <v>151366</v>
      </c>
      <c r="S765" s="1057">
        <v>-26275</v>
      </c>
      <c r="T765" s="1060">
        <v>125091</v>
      </c>
    </row>
    <row r="766" spans="1:20" x14ac:dyDescent="0.25">
      <c r="A766" s="1054">
        <v>98141</v>
      </c>
      <c r="B766" s="1055" t="s">
        <v>4310</v>
      </c>
      <c r="C766" s="1056">
        <v>3.0160000000000001E-4</v>
      </c>
      <c r="D766" s="1056">
        <v>3.0360000000000001E-4</v>
      </c>
      <c r="E766" s="1057">
        <v>715498</v>
      </c>
      <c r="F766" s="1057"/>
      <c r="G766" s="1058">
        <v>110384</v>
      </c>
      <c r="H766" s="1059">
        <v>98217</v>
      </c>
      <c r="I766" s="1058">
        <v>189866</v>
      </c>
      <c r="J766" s="1057">
        <v>3632</v>
      </c>
      <c r="K766" s="1059">
        <f t="shared" si="26"/>
        <v>402099</v>
      </c>
      <c r="L766" s="1057"/>
      <c r="M766" s="1058">
        <v>3704</v>
      </c>
      <c r="N766" s="1058">
        <v>0</v>
      </c>
      <c r="O766" s="1057">
        <v>20500</v>
      </c>
      <c r="P766" s="1059">
        <f t="shared" si="27"/>
        <v>24204</v>
      </c>
      <c r="Q766" s="1057"/>
      <c r="R766" s="1058">
        <v>198746</v>
      </c>
      <c r="S766" s="1057">
        <v>-14365</v>
      </c>
      <c r="T766" s="1060">
        <v>184381</v>
      </c>
    </row>
    <row r="767" spans="1:20" x14ac:dyDescent="0.25">
      <c r="A767" s="1054">
        <v>98147</v>
      </c>
      <c r="B767" s="1055" t="s">
        <v>4311</v>
      </c>
      <c r="C767" s="1056">
        <v>1.15E-5</v>
      </c>
      <c r="D767" s="1056">
        <v>1.29E-5</v>
      </c>
      <c r="E767" s="1057">
        <v>27282</v>
      </c>
      <c r="F767" s="1057"/>
      <c r="G767" s="1058">
        <v>4209</v>
      </c>
      <c r="H767" s="1059">
        <v>3745</v>
      </c>
      <c r="I767" s="1058">
        <v>7240</v>
      </c>
      <c r="J767" s="1057">
        <v>7998</v>
      </c>
      <c r="K767" s="1059">
        <f t="shared" si="26"/>
        <v>23192</v>
      </c>
      <c r="L767" s="1057"/>
      <c r="M767" s="1058">
        <v>141</v>
      </c>
      <c r="N767" s="1058">
        <v>0</v>
      </c>
      <c r="O767" s="1057">
        <v>0</v>
      </c>
      <c r="P767" s="1059">
        <f t="shared" si="27"/>
        <v>141</v>
      </c>
      <c r="Q767" s="1057"/>
      <c r="R767" s="1058">
        <v>7578</v>
      </c>
      <c r="S767" s="1057">
        <v>4051</v>
      </c>
      <c r="T767" s="1060">
        <v>11629</v>
      </c>
    </row>
    <row r="768" spans="1:20" x14ac:dyDescent="0.25">
      <c r="A768" s="1054">
        <v>98161</v>
      </c>
      <c r="B768" s="1055" t="s">
        <v>4312</v>
      </c>
      <c r="C768" s="1056">
        <v>6.7000000000000002E-6</v>
      </c>
      <c r="D768" s="1056">
        <v>7.3000000000000004E-6</v>
      </c>
      <c r="E768" s="1057">
        <v>15895</v>
      </c>
      <c r="F768" s="1057"/>
      <c r="G768" s="1058">
        <v>2452</v>
      </c>
      <c r="H768" s="1059">
        <v>2182</v>
      </c>
      <c r="I768" s="1058">
        <v>4218</v>
      </c>
      <c r="J768" s="1057">
        <v>2865</v>
      </c>
      <c r="K768" s="1059">
        <f t="shared" si="26"/>
        <v>11717</v>
      </c>
      <c r="L768" s="1057"/>
      <c r="M768" s="1058">
        <v>82</v>
      </c>
      <c r="N768" s="1058">
        <v>0</v>
      </c>
      <c r="O768" s="1057">
        <v>0</v>
      </c>
      <c r="P768" s="1059">
        <f t="shared" si="27"/>
        <v>82</v>
      </c>
      <c r="Q768" s="1057"/>
      <c r="R768" s="1058">
        <v>4415</v>
      </c>
      <c r="S768" s="1057">
        <v>1383</v>
      </c>
      <c r="T768" s="1060">
        <v>5798</v>
      </c>
    </row>
    <row r="769" spans="1:20" x14ac:dyDescent="0.25">
      <c r="A769" s="1054">
        <v>98201</v>
      </c>
      <c r="B769" s="1055" t="s">
        <v>3318</v>
      </c>
      <c r="C769" s="1056">
        <v>3.1725E-3</v>
      </c>
      <c r="D769" s="1056">
        <v>3.1664000000000002E-3</v>
      </c>
      <c r="E769" s="1057">
        <v>7526255</v>
      </c>
      <c r="F769" s="1057"/>
      <c r="G769" s="1058">
        <v>1161122</v>
      </c>
      <c r="H769" s="1059">
        <v>1033131</v>
      </c>
      <c r="I769" s="1058">
        <v>1997178</v>
      </c>
      <c r="J769" s="1057">
        <v>47695</v>
      </c>
      <c r="K769" s="1059">
        <f t="shared" si="26"/>
        <v>4239126</v>
      </c>
      <c r="L769" s="1057"/>
      <c r="M769" s="1058">
        <v>38961</v>
      </c>
      <c r="N769" s="1058">
        <v>0</v>
      </c>
      <c r="O769" s="1057">
        <v>50438</v>
      </c>
      <c r="P769" s="1059">
        <f t="shared" si="27"/>
        <v>89399</v>
      </c>
      <c r="Q769" s="1057"/>
      <c r="R769" s="1058">
        <v>2090592</v>
      </c>
      <c r="S769" s="1057">
        <v>-13335</v>
      </c>
      <c r="T769" s="1060">
        <v>2077257</v>
      </c>
    </row>
    <row r="770" spans="1:20" x14ac:dyDescent="0.25">
      <c r="A770" s="1054">
        <v>98205</v>
      </c>
      <c r="B770" s="1055" t="s">
        <v>3319</v>
      </c>
      <c r="C770" s="1056">
        <v>3.6100000000000003E-5</v>
      </c>
      <c r="D770" s="1056">
        <v>4.6799999999999999E-5</v>
      </c>
      <c r="E770" s="1057">
        <v>85642</v>
      </c>
      <c r="F770" s="1057"/>
      <c r="G770" s="1058">
        <v>13212</v>
      </c>
      <c r="H770" s="1059">
        <v>11756</v>
      </c>
      <c r="I770" s="1058">
        <v>22726</v>
      </c>
      <c r="J770" s="1057">
        <v>1169</v>
      </c>
      <c r="K770" s="1059">
        <f t="shared" si="26"/>
        <v>48863</v>
      </c>
      <c r="L770" s="1057"/>
      <c r="M770" s="1058">
        <v>443</v>
      </c>
      <c r="N770" s="1058">
        <v>0</v>
      </c>
      <c r="O770" s="1057">
        <v>6010</v>
      </c>
      <c r="P770" s="1059">
        <f t="shared" si="27"/>
        <v>6453</v>
      </c>
      <c r="Q770" s="1057"/>
      <c r="R770" s="1058">
        <v>23789</v>
      </c>
      <c r="S770" s="1057">
        <v>-1258</v>
      </c>
      <c r="T770" s="1060">
        <v>22531</v>
      </c>
    </row>
    <row r="771" spans="1:20" x14ac:dyDescent="0.25">
      <c r="A771" s="1054">
        <v>98211</v>
      </c>
      <c r="B771" s="1055" t="s">
        <v>3320</v>
      </c>
      <c r="C771" s="1056">
        <v>8.5470000000000001E-4</v>
      </c>
      <c r="D771" s="1056">
        <v>8.6689999999999998E-4</v>
      </c>
      <c r="E771" s="1057">
        <v>2027641</v>
      </c>
      <c r="F771" s="1057"/>
      <c r="G771" s="1058">
        <v>312817</v>
      </c>
      <c r="H771" s="1059">
        <v>278335</v>
      </c>
      <c r="I771" s="1058">
        <v>538058</v>
      </c>
      <c r="J771" s="1057">
        <v>0</v>
      </c>
      <c r="K771" s="1059">
        <f t="shared" si="26"/>
        <v>1129210</v>
      </c>
      <c r="L771" s="1057"/>
      <c r="M771" s="1058">
        <v>10497</v>
      </c>
      <c r="N771" s="1058">
        <v>0</v>
      </c>
      <c r="O771" s="1057">
        <v>112320</v>
      </c>
      <c r="P771" s="1059">
        <f t="shared" si="27"/>
        <v>122817</v>
      </c>
      <c r="Q771" s="1057"/>
      <c r="R771" s="1058">
        <v>563224</v>
      </c>
      <c r="S771" s="1057">
        <v>-56480</v>
      </c>
      <c r="T771" s="1060">
        <v>506744</v>
      </c>
    </row>
    <row r="772" spans="1:20" x14ac:dyDescent="0.25">
      <c r="A772" s="1054">
        <v>98218</v>
      </c>
      <c r="B772" s="1055" t="s">
        <v>3321</v>
      </c>
      <c r="C772" s="1056">
        <v>1.5500000000000001E-5</v>
      </c>
      <c r="D772" s="1056">
        <v>1.3200000000000001E-5</v>
      </c>
      <c r="E772" s="1057">
        <v>36771</v>
      </c>
      <c r="F772" s="1057"/>
      <c r="G772" s="1058">
        <v>5673</v>
      </c>
      <c r="H772" s="1059">
        <v>5047</v>
      </c>
      <c r="I772" s="1058">
        <v>9758</v>
      </c>
      <c r="J772" s="1057">
        <v>3767</v>
      </c>
      <c r="K772" s="1059">
        <f t="shared" si="26"/>
        <v>24245</v>
      </c>
      <c r="L772" s="1057"/>
      <c r="M772" s="1058">
        <v>190</v>
      </c>
      <c r="N772" s="1058">
        <v>0</v>
      </c>
      <c r="O772" s="1057">
        <v>285</v>
      </c>
      <c r="P772" s="1059">
        <f t="shared" si="27"/>
        <v>475</v>
      </c>
      <c r="Q772" s="1057"/>
      <c r="R772" s="1058">
        <v>10214</v>
      </c>
      <c r="S772" s="1057">
        <v>269</v>
      </c>
      <c r="T772" s="1060">
        <v>10483</v>
      </c>
    </row>
    <row r="773" spans="1:20" x14ac:dyDescent="0.25">
      <c r="A773" s="1054">
        <v>98221</v>
      </c>
      <c r="B773" s="1055" t="s">
        <v>4313</v>
      </c>
      <c r="C773" s="1056">
        <v>1.8499999999999999E-5</v>
      </c>
      <c r="D773" s="1056">
        <v>1.8899999999999999E-5</v>
      </c>
      <c r="E773" s="1057">
        <v>43888</v>
      </c>
      <c r="F773" s="1057"/>
      <c r="G773" s="1058">
        <v>6771</v>
      </c>
      <c r="H773" s="1059">
        <v>6025</v>
      </c>
      <c r="I773" s="1058">
        <v>11646</v>
      </c>
      <c r="J773" s="1057">
        <v>4486</v>
      </c>
      <c r="K773" s="1059">
        <f t="shared" si="26"/>
        <v>28928</v>
      </c>
      <c r="L773" s="1057"/>
      <c r="M773" s="1058">
        <v>227</v>
      </c>
      <c r="N773" s="1058">
        <v>0</v>
      </c>
      <c r="O773" s="1057">
        <v>0</v>
      </c>
      <c r="P773" s="1059">
        <f t="shared" si="27"/>
        <v>227</v>
      </c>
      <c r="Q773" s="1057"/>
      <c r="R773" s="1058">
        <v>12191</v>
      </c>
      <c r="S773" s="1057">
        <v>1809</v>
      </c>
      <c r="T773" s="1060">
        <v>14000</v>
      </c>
    </row>
    <row r="774" spans="1:20" x14ac:dyDescent="0.25">
      <c r="A774" s="1054">
        <v>98231</v>
      </c>
      <c r="B774" s="1055" t="s">
        <v>4314</v>
      </c>
      <c r="C774" s="1056">
        <v>3.1000000000000001E-5</v>
      </c>
      <c r="D774" s="1056">
        <v>2.2799999999999999E-5</v>
      </c>
      <c r="E774" s="1057">
        <v>73543</v>
      </c>
      <c r="F774" s="1057"/>
      <c r="G774" s="1058">
        <v>11346</v>
      </c>
      <c r="H774" s="1059">
        <v>10096</v>
      </c>
      <c r="I774" s="1058">
        <v>19515</v>
      </c>
      <c r="J774" s="1057">
        <v>7747</v>
      </c>
      <c r="K774" s="1059">
        <f t="shared" si="26"/>
        <v>48704</v>
      </c>
      <c r="L774" s="1057"/>
      <c r="M774" s="1058">
        <v>381</v>
      </c>
      <c r="N774" s="1058">
        <v>0</v>
      </c>
      <c r="O774" s="1057">
        <v>5129</v>
      </c>
      <c r="P774" s="1059">
        <f t="shared" si="27"/>
        <v>5510</v>
      </c>
      <c r="Q774" s="1057"/>
      <c r="R774" s="1058">
        <v>20428</v>
      </c>
      <c r="S774" s="1057">
        <v>-1821</v>
      </c>
      <c r="T774" s="1060">
        <v>18607</v>
      </c>
    </row>
    <row r="775" spans="1:20" x14ac:dyDescent="0.25">
      <c r="A775" s="1054">
        <v>98237</v>
      </c>
      <c r="B775" s="1055" t="s">
        <v>3324</v>
      </c>
      <c r="C775" s="1056">
        <v>5.5999999999999997E-6</v>
      </c>
      <c r="D775" s="1056">
        <v>5.9000000000000003E-6</v>
      </c>
      <c r="E775" s="1057">
        <v>13285</v>
      </c>
      <c r="F775" s="1057"/>
      <c r="G775" s="1058">
        <v>2050</v>
      </c>
      <c r="H775" s="1059">
        <v>1823</v>
      </c>
      <c r="I775" s="1058">
        <v>3525</v>
      </c>
      <c r="J775" s="1057">
        <v>4018</v>
      </c>
      <c r="K775" s="1059">
        <f t="shared" si="26"/>
        <v>11416</v>
      </c>
      <c r="L775" s="1057"/>
      <c r="M775" s="1058">
        <v>69</v>
      </c>
      <c r="N775" s="1058">
        <v>0</v>
      </c>
      <c r="O775" s="1057">
        <v>0</v>
      </c>
      <c r="P775" s="1059">
        <f t="shared" si="27"/>
        <v>69</v>
      </c>
      <c r="Q775" s="1057"/>
      <c r="R775" s="1058">
        <v>3690</v>
      </c>
      <c r="S775" s="1057">
        <v>1826</v>
      </c>
      <c r="T775" s="1060">
        <v>5516</v>
      </c>
    </row>
    <row r="776" spans="1:20" x14ac:dyDescent="0.25">
      <c r="A776" s="1054">
        <v>98241</v>
      </c>
      <c r="B776" s="1055" t="s">
        <v>4315</v>
      </c>
      <c r="C776" s="1056">
        <v>1.22E-5</v>
      </c>
      <c r="D776" s="1056">
        <v>1.5099999999999999E-5</v>
      </c>
      <c r="E776" s="1057">
        <v>28943</v>
      </c>
      <c r="F776" s="1057"/>
      <c r="G776" s="1058">
        <v>4465</v>
      </c>
      <c r="H776" s="1059">
        <v>3973</v>
      </c>
      <c r="I776" s="1058">
        <v>7680</v>
      </c>
      <c r="J776" s="1057">
        <v>2352</v>
      </c>
      <c r="K776" s="1059">
        <f t="shared" si="26"/>
        <v>18470</v>
      </c>
      <c r="L776" s="1057"/>
      <c r="M776" s="1058">
        <v>150</v>
      </c>
      <c r="N776" s="1058">
        <v>0</v>
      </c>
      <c r="O776" s="1057">
        <v>2460</v>
      </c>
      <c r="P776" s="1059">
        <f t="shared" si="27"/>
        <v>2610</v>
      </c>
      <c r="Q776" s="1057"/>
      <c r="R776" s="1058">
        <v>8039</v>
      </c>
      <c r="S776" s="1057">
        <v>2327</v>
      </c>
      <c r="T776" s="1060">
        <v>10366</v>
      </c>
    </row>
    <row r="777" spans="1:20" x14ac:dyDescent="0.25">
      <c r="A777" s="1054">
        <v>98251</v>
      </c>
      <c r="B777" s="1055" t="s">
        <v>4316</v>
      </c>
      <c r="C777" s="1056">
        <v>2.7E-6</v>
      </c>
      <c r="D777" s="1056">
        <v>3.0000000000000001E-6</v>
      </c>
      <c r="E777" s="1057">
        <v>6405</v>
      </c>
      <c r="F777" s="1057"/>
      <c r="G777" s="1058">
        <v>988</v>
      </c>
      <c r="H777" s="1059">
        <v>879</v>
      </c>
      <c r="I777" s="1058">
        <v>1700</v>
      </c>
      <c r="J777" s="1057">
        <v>1458</v>
      </c>
      <c r="K777" s="1059">
        <f t="shared" si="26"/>
        <v>5025</v>
      </c>
      <c r="L777" s="1057"/>
      <c r="M777" s="1058">
        <v>33</v>
      </c>
      <c r="N777" s="1058">
        <v>0</v>
      </c>
      <c r="O777" s="1057">
        <v>0</v>
      </c>
      <c r="P777" s="1059">
        <f t="shared" si="27"/>
        <v>33</v>
      </c>
      <c r="Q777" s="1057"/>
      <c r="R777" s="1058">
        <v>1779</v>
      </c>
      <c r="S777" s="1057">
        <v>722</v>
      </c>
      <c r="T777" s="1060">
        <v>2501</v>
      </c>
    </row>
    <row r="778" spans="1:20" x14ac:dyDescent="0.25">
      <c r="A778" s="1054">
        <v>98261</v>
      </c>
      <c r="B778" s="1055" t="s">
        <v>4317</v>
      </c>
      <c r="C778" s="1056">
        <v>3.3099999999999998E-5</v>
      </c>
      <c r="D778" s="1056">
        <v>3.3200000000000001E-5</v>
      </c>
      <c r="E778" s="1057">
        <v>78525</v>
      </c>
      <c r="F778" s="1057"/>
      <c r="G778" s="1058">
        <v>12114</v>
      </c>
      <c r="H778" s="1059">
        <v>10779</v>
      </c>
      <c r="I778" s="1058">
        <v>20837</v>
      </c>
      <c r="J778" s="1057">
        <v>6529</v>
      </c>
      <c r="K778" s="1059">
        <f t="shared" si="26"/>
        <v>50259</v>
      </c>
      <c r="L778" s="1057"/>
      <c r="M778" s="1058">
        <v>407</v>
      </c>
      <c r="N778" s="1058">
        <v>0</v>
      </c>
      <c r="O778" s="1057">
        <v>3201</v>
      </c>
      <c r="P778" s="1059">
        <f t="shared" si="27"/>
        <v>3608</v>
      </c>
      <c r="Q778" s="1057"/>
      <c r="R778" s="1058">
        <v>21812</v>
      </c>
      <c r="S778" s="1057">
        <v>1417</v>
      </c>
      <c r="T778" s="1060">
        <v>23229</v>
      </c>
    </row>
    <row r="779" spans="1:20" x14ac:dyDescent="0.25">
      <c r="A779" s="1054">
        <v>98271</v>
      </c>
      <c r="B779" s="1055" t="s">
        <v>4318</v>
      </c>
      <c r="C779" s="1056">
        <v>5.3000000000000001E-6</v>
      </c>
      <c r="D779" s="1056">
        <v>5.1000000000000003E-6</v>
      </c>
      <c r="E779" s="1057">
        <v>12573</v>
      </c>
      <c r="F779" s="1057"/>
      <c r="G779" s="1058">
        <v>1940</v>
      </c>
      <c r="H779" s="1059">
        <v>1726</v>
      </c>
      <c r="I779" s="1058">
        <v>3336</v>
      </c>
      <c r="J779" s="1057">
        <v>2879</v>
      </c>
      <c r="K779" s="1059">
        <f t="shared" si="26"/>
        <v>9881</v>
      </c>
      <c r="L779" s="1057"/>
      <c r="M779" s="1058">
        <v>65</v>
      </c>
      <c r="N779" s="1058">
        <v>0</v>
      </c>
      <c r="O779" s="1057">
        <v>0</v>
      </c>
      <c r="P779" s="1059">
        <f t="shared" si="27"/>
        <v>65</v>
      </c>
      <c r="Q779" s="1057"/>
      <c r="R779" s="1058">
        <v>3493</v>
      </c>
      <c r="S779" s="1057">
        <v>1857</v>
      </c>
      <c r="T779" s="1060">
        <v>5350</v>
      </c>
    </row>
    <row r="780" spans="1:20" x14ac:dyDescent="0.25">
      <c r="A780" s="1054">
        <v>98301</v>
      </c>
      <c r="B780" s="1055" t="s">
        <v>3329</v>
      </c>
      <c r="C780" s="1056">
        <v>1.7489999999999999E-3</v>
      </c>
      <c r="D780" s="1056">
        <v>1.7542E-3</v>
      </c>
      <c r="E780" s="1057">
        <v>4149226</v>
      </c>
      <c r="F780" s="1057"/>
      <c r="G780" s="1058">
        <v>640127</v>
      </c>
      <c r="H780" s="1059">
        <v>569565</v>
      </c>
      <c r="I780" s="1058">
        <v>1101044</v>
      </c>
      <c r="J780" s="1057">
        <v>56900</v>
      </c>
      <c r="K780" s="1059">
        <f t="shared" si="26"/>
        <v>2367636</v>
      </c>
      <c r="L780" s="1057"/>
      <c r="M780" s="1058">
        <v>21479</v>
      </c>
      <c r="N780" s="1058">
        <v>0</v>
      </c>
      <c r="O780" s="1057">
        <v>0</v>
      </c>
      <c r="P780" s="1059">
        <f t="shared" si="27"/>
        <v>21479</v>
      </c>
      <c r="Q780" s="1057"/>
      <c r="R780" s="1058">
        <v>1152544</v>
      </c>
      <c r="S780" s="1057">
        <v>25032</v>
      </c>
      <c r="T780" s="1060">
        <v>1177576</v>
      </c>
    </row>
    <row r="781" spans="1:20" x14ac:dyDescent="0.25">
      <c r="A781" s="1054">
        <v>98304</v>
      </c>
      <c r="B781" s="1055" t="s">
        <v>3330</v>
      </c>
      <c r="C781" s="1056">
        <v>1.9300000000000002E-5</v>
      </c>
      <c r="D781" s="1056">
        <v>2.0999999999999999E-5</v>
      </c>
      <c r="E781" s="1057">
        <v>45786</v>
      </c>
      <c r="F781" s="1057"/>
      <c r="G781" s="1058">
        <v>7064</v>
      </c>
      <c r="H781" s="1059">
        <v>6286</v>
      </c>
      <c r="I781" s="1058">
        <v>12150</v>
      </c>
      <c r="J781" s="1057">
        <v>3861</v>
      </c>
      <c r="K781" s="1059">
        <f t="shared" si="26"/>
        <v>29361</v>
      </c>
      <c r="L781" s="1057"/>
      <c r="M781" s="1058">
        <v>237</v>
      </c>
      <c r="N781" s="1058">
        <v>0</v>
      </c>
      <c r="O781" s="1057">
        <v>0</v>
      </c>
      <c r="P781" s="1059">
        <f t="shared" si="27"/>
        <v>237</v>
      </c>
      <c r="Q781" s="1057"/>
      <c r="R781" s="1058">
        <v>12718</v>
      </c>
      <c r="S781" s="1057">
        <v>1416</v>
      </c>
      <c r="T781" s="1060">
        <v>14134</v>
      </c>
    </row>
    <row r="782" spans="1:20" x14ac:dyDescent="0.25">
      <c r="A782" s="1054">
        <v>98308</v>
      </c>
      <c r="B782" s="1055" t="s">
        <v>3331</v>
      </c>
      <c r="C782" s="1056">
        <v>2.2399999999999999E-5</v>
      </c>
      <c r="D782" s="1056">
        <v>2.37E-5</v>
      </c>
      <c r="E782" s="1057">
        <v>53140</v>
      </c>
      <c r="F782" s="1057" t="s">
        <v>187</v>
      </c>
      <c r="G782" s="1058">
        <v>8198</v>
      </c>
      <c r="H782" s="1059">
        <v>7295</v>
      </c>
      <c r="I782" s="1058">
        <v>14101</v>
      </c>
      <c r="J782" s="1057">
        <v>7416</v>
      </c>
      <c r="K782" s="1059">
        <f t="shared" si="26"/>
        <v>37010</v>
      </c>
      <c r="L782" s="1057"/>
      <c r="M782" s="1058">
        <v>275</v>
      </c>
      <c r="N782" s="1058">
        <v>0</v>
      </c>
      <c r="O782" s="1057">
        <v>0</v>
      </c>
      <c r="P782" s="1059">
        <f t="shared" si="27"/>
        <v>275</v>
      </c>
      <c r="Q782" s="1057"/>
      <c r="R782" s="1058">
        <v>14761</v>
      </c>
      <c r="S782" s="1057">
        <v>4258</v>
      </c>
      <c r="T782" s="1060">
        <v>19019</v>
      </c>
    </row>
    <row r="783" spans="1:20" x14ac:dyDescent="0.25">
      <c r="A783" s="1054">
        <v>98311</v>
      </c>
      <c r="B783" s="1055" t="s">
        <v>3332</v>
      </c>
      <c r="C783" s="1056">
        <v>1.0931999999999999E-3</v>
      </c>
      <c r="D783" s="1056">
        <v>1.1536000000000001E-3</v>
      </c>
      <c r="E783" s="1057">
        <v>2593444</v>
      </c>
      <c r="F783" s="1057" t="s">
        <v>187</v>
      </c>
      <c r="G783" s="1058">
        <v>400107</v>
      </c>
      <c r="H783" s="1059">
        <v>356003</v>
      </c>
      <c r="I783" s="1058">
        <v>688200</v>
      </c>
      <c r="J783" s="1057">
        <v>0</v>
      </c>
      <c r="K783" s="1059">
        <f t="shared" si="26"/>
        <v>1444310</v>
      </c>
      <c r="L783" s="1057"/>
      <c r="M783" s="1058">
        <v>13426</v>
      </c>
      <c r="N783" s="1058">
        <v>0</v>
      </c>
      <c r="O783" s="1057">
        <v>152880</v>
      </c>
      <c r="P783" s="1059">
        <f t="shared" si="27"/>
        <v>166306</v>
      </c>
      <c r="Q783" s="1057"/>
      <c r="R783" s="1058">
        <v>720389</v>
      </c>
      <c r="S783" s="1057">
        <v>-39908</v>
      </c>
      <c r="T783" s="1060">
        <v>680481</v>
      </c>
    </row>
    <row r="784" spans="1:20" x14ac:dyDescent="0.25">
      <c r="A784" s="1054">
        <v>98313</v>
      </c>
      <c r="B784" s="1055" t="s">
        <v>3333</v>
      </c>
      <c r="C784" s="1056">
        <v>2.4240000000000001E-4</v>
      </c>
      <c r="D784" s="1056">
        <v>2.3560000000000001E-4</v>
      </c>
      <c r="E784" s="1057">
        <v>575056</v>
      </c>
      <c r="F784" s="1057" t="s">
        <v>187</v>
      </c>
      <c r="G784" s="1058">
        <v>88717</v>
      </c>
      <c r="H784" s="1059">
        <v>78938</v>
      </c>
      <c r="I784" s="1058">
        <v>152598</v>
      </c>
      <c r="J784" s="1057">
        <v>283623</v>
      </c>
      <c r="K784" s="1059">
        <f t="shared" si="26"/>
        <v>603876</v>
      </c>
      <c r="L784" s="1057"/>
      <c r="M784" s="1058">
        <v>2977</v>
      </c>
      <c r="N784" s="1058">
        <v>0</v>
      </c>
      <c r="O784" s="1057">
        <v>0</v>
      </c>
      <c r="P784" s="1059">
        <f t="shared" si="27"/>
        <v>2977</v>
      </c>
      <c r="Q784" s="1057"/>
      <c r="R784" s="1058">
        <v>159735</v>
      </c>
      <c r="S784" s="1057">
        <v>109986</v>
      </c>
      <c r="T784" s="1060">
        <v>269721</v>
      </c>
    </row>
    <row r="785" spans="1:20" x14ac:dyDescent="0.25">
      <c r="A785" s="1054">
        <v>98321</v>
      </c>
      <c r="B785" s="1055" t="s">
        <v>4319</v>
      </c>
      <c r="C785" s="1056">
        <v>1.9199999999999999E-5</v>
      </c>
      <c r="D785" s="1056">
        <v>2.05E-5</v>
      </c>
      <c r="E785" s="1057">
        <v>45549</v>
      </c>
      <c r="F785" s="1057" t="s">
        <v>187</v>
      </c>
      <c r="G785" s="1058">
        <v>7027</v>
      </c>
      <c r="H785" s="1059">
        <v>6253</v>
      </c>
      <c r="I785" s="1058">
        <v>12087</v>
      </c>
      <c r="J785" s="1057">
        <v>63</v>
      </c>
      <c r="K785" s="1059">
        <f t="shared" si="26"/>
        <v>25430</v>
      </c>
      <c r="L785" s="1057"/>
      <c r="M785" s="1058">
        <v>236</v>
      </c>
      <c r="N785" s="1058">
        <v>0</v>
      </c>
      <c r="O785" s="1057">
        <v>1957</v>
      </c>
      <c r="P785" s="1059">
        <f t="shared" si="27"/>
        <v>2193</v>
      </c>
      <c r="Q785" s="1057"/>
      <c r="R785" s="1058">
        <v>12652</v>
      </c>
      <c r="S785" s="1057">
        <v>453</v>
      </c>
      <c r="T785" s="1060">
        <v>13105</v>
      </c>
    </row>
    <row r="786" spans="1:20" x14ac:dyDescent="0.25">
      <c r="A786" s="1054">
        <v>98331</v>
      </c>
      <c r="B786" s="1055" t="s">
        <v>4320</v>
      </c>
      <c r="C786" s="1056">
        <v>9.3000000000000007E-6</v>
      </c>
      <c r="D786" s="1056">
        <v>9.7999999999999993E-6</v>
      </c>
      <c r="E786" s="1057">
        <v>22063</v>
      </c>
      <c r="F786" s="1057" t="s">
        <v>187</v>
      </c>
      <c r="G786" s="1058">
        <v>3404</v>
      </c>
      <c r="H786" s="1059">
        <v>3029</v>
      </c>
      <c r="I786" s="1058">
        <v>5855</v>
      </c>
      <c r="J786" s="1057">
        <v>3274</v>
      </c>
      <c r="K786" s="1059">
        <f t="shared" ref="K786:K854" si="28">G786+H786+I786+J786</f>
        <v>15562</v>
      </c>
      <c r="L786" s="1057"/>
      <c r="M786" s="1058">
        <v>114</v>
      </c>
      <c r="N786" s="1058">
        <v>0</v>
      </c>
      <c r="O786" s="1057">
        <v>0</v>
      </c>
      <c r="P786" s="1059">
        <f t="shared" ref="P786:P854" si="29">M786+N786+O786</f>
        <v>114</v>
      </c>
      <c r="Q786" s="1057"/>
      <c r="R786" s="1058">
        <v>6128</v>
      </c>
      <c r="S786" s="1057">
        <v>1309</v>
      </c>
      <c r="T786" s="1060">
        <v>7437</v>
      </c>
    </row>
    <row r="787" spans="1:20" x14ac:dyDescent="0.25">
      <c r="A787" s="1054">
        <v>98401</v>
      </c>
      <c r="B787" s="1055" t="s">
        <v>3336</v>
      </c>
      <c r="C787" s="1056">
        <v>2.7358E-3</v>
      </c>
      <c r="D787" s="1056">
        <v>2.7655000000000002E-3</v>
      </c>
      <c r="E787" s="1057">
        <v>6490253</v>
      </c>
      <c r="F787" s="1057" t="s">
        <v>187</v>
      </c>
      <c r="G787" s="1058">
        <v>1001292</v>
      </c>
      <c r="H787" s="1059">
        <v>890919</v>
      </c>
      <c r="I787" s="1058">
        <v>1722263</v>
      </c>
      <c r="J787" s="1057">
        <v>198418</v>
      </c>
      <c r="K787" s="1059">
        <f t="shared" si="28"/>
        <v>3812892</v>
      </c>
      <c r="L787" s="1057"/>
      <c r="M787" s="1058">
        <v>33598</v>
      </c>
      <c r="N787" s="1058">
        <v>0</v>
      </c>
      <c r="O787" s="1057">
        <v>4093</v>
      </c>
      <c r="P787" s="1059">
        <f t="shared" si="29"/>
        <v>37691</v>
      </c>
      <c r="Q787" s="1057"/>
      <c r="R787" s="1058">
        <v>1802818</v>
      </c>
      <c r="S787" s="1057">
        <v>81533</v>
      </c>
      <c r="T787" s="1060">
        <v>1884351</v>
      </c>
    </row>
    <row r="788" spans="1:20" x14ac:dyDescent="0.25">
      <c r="A788" s="1054">
        <v>98404</v>
      </c>
      <c r="B788" s="1055" t="s">
        <v>3591</v>
      </c>
      <c r="C788" s="1056">
        <v>1.5099999999999999E-5</v>
      </c>
      <c r="D788" s="1056">
        <v>1.52E-5</v>
      </c>
      <c r="E788" s="1057">
        <v>35822</v>
      </c>
      <c r="F788" s="1057" t="s">
        <v>187</v>
      </c>
      <c r="G788" s="1058">
        <v>5527</v>
      </c>
      <c r="H788" s="1059">
        <v>4917</v>
      </c>
      <c r="I788" s="1058">
        <v>9506</v>
      </c>
      <c r="J788" s="1057">
        <v>7686</v>
      </c>
      <c r="K788" s="1059">
        <f t="shared" si="28"/>
        <v>27636</v>
      </c>
      <c r="L788" s="1057"/>
      <c r="M788" s="1058">
        <v>185</v>
      </c>
      <c r="N788" s="1058">
        <v>0</v>
      </c>
      <c r="O788" s="1057">
        <v>0</v>
      </c>
      <c r="P788" s="1059">
        <f t="shared" si="29"/>
        <v>185</v>
      </c>
      <c r="Q788" s="1057"/>
      <c r="R788" s="1058">
        <v>9950</v>
      </c>
      <c r="S788" s="1057">
        <v>2503</v>
      </c>
      <c r="T788" s="1060">
        <v>12453</v>
      </c>
    </row>
    <row r="789" spans="1:20" x14ac:dyDescent="0.25">
      <c r="A789" s="1054">
        <v>98411</v>
      </c>
      <c r="B789" s="1055" t="s">
        <v>3337</v>
      </c>
      <c r="C789" s="1056">
        <v>1.9327000000000001E-3</v>
      </c>
      <c r="D789" s="1056">
        <v>1.9816E-3</v>
      </c>
      <c r="E789" s="1057">
        <v>4585025</v>
      </c>
      <c r="F789" s="1057" t="s">
        <v>187</v>
      </c>
      <c r="G789" s="1058">
        <v>707360</v>
      </c>
      <c r="H789" s="1059">
        <v>629388</v>
      </c>
      <c r="I789" s="1058">
        <v>1216689</v>
      </c>
      <c r="J789" s="1057">
        <v>0</v>
      </c>
      <c r="K789" s="1059">
        <f t="shared" si="28"/>
        <v>2553437</v>
      </c>
      <c r="L789" s="1057"/>
      <c r="M789" s="1058">
        <v>23735</v>
      </c>
      <c r="N789" s="1058">
        <v>0</v>
      </c>
      <c r="O789" s="1057">
        <v>116454</v>
      </c>
      <c r="P789" s="1059">
        <f t="shared" si="29"/>
        <v>140189</v>
      </c>
      <c r="Q789" s="1057"/>
      <c r="R789" s="1058">
        <v>1273597</v>
      </c>
      <c r="S789" s="1057">
        <v>-35630</v>
      </c>
      <c r="T789" s="1060">
        <v>1237967</v>
      </c>
    </row>
    <row r="790" spans="1:20" x14ac:dyDescent="0.25">
      <c r="A790" s="1054" t="s">
        <v>4321</v>
      </c>
      <c r="B790" s="1055" t="s">
        <v>4322</v>
      </c>
      <c r="C790" s="1056">
        <v>4.1600000000000002E-5</v>
      </c>
      <c r="D790" s="1056">
        <v>2.83E-5</v>
      </c>
      <c r="E790" s="1057">
        <v>98689</v>
      </c>
      <c r="F790" s="1057" t="s">
        <v>187</v>
      </c>
      <c r="G790" s="1058">
        <v>15225</v>
      </c>
      <c r="H790" s="1059">
        <v>13548</v>
      </c>
      <c r="I790" s="1058">
        <v>26188</v>
      </c>
      <c r="J790" s="1057">
        <v>18529</v>
      </c>
      <c r="K790" s="1059">
        <f t="shared" si="28"/>
        <v>73490</v>
      </c>
      <c r="L790" s="1057"/>
      <c r="M790" s="1058">
        <v>511</v>
      </c>
      <c r="N790" s="1058">
        <v>0</v>
      </c>
      <c r="O790" s="1057">
        <v>0</v>
      </c>
      <c r="P790" s="1059">
        <f t="shared" si="29"/>
        <v>511</v>
      </c>
      <c r="Q790" s="1057"/>
      <c r="R790" s="1058">
        <v>27413</v>
      </c>
      <c r="S790" s="1057">
        <v>5537</v>
      </c>
      <c r="T790" s="1060">
        <v>32950</v>
      </c>
    </row>
    <row r="791" spans="1:20" x14ac:dyDescent="0.25">
      <c r="A791" s="1054" t="s">
        <v>4323</v>
      </c>
      <c r="B791" s="1055" t="s">
        <v>4322</v>
      </c>
      <c r="C791" s="1056">
        <v>0</v>
      </c>
      <c r="D791" s="1056">
        <v>1.0200000000000001E-5</v>
      </c>
      <c r="E791" s="1057">
        <v>0</v>
      </c>
      <c r="F791" s="1057" t="s">
        <v>187</v>
      </c>
      <c r="G791" s="1058">
        <v>0</v>
      </c>
      <c r="H791" s="1059">
        <v>0</v>
      </c>
      <c r="I791" s="1058">
        <v>0</v>
      </c>
      <c r="J791" s="1057">
        <v>0</v>
      </c>
      <c r="K791" s="1059">
        <v>0</v>
      </c>
      <c r="L791" s="1057"/>
      <c r="M791" s="1058">
        <v>0</v>
      </c>
      <c r="N791" s="1058">
        <v>0</v>
      </c>
      <c r="O791" s="1057">
        <v>24349</v>
      </c>
      <c r="P791" s="1070">
        <v>24349</v>
      </c>
      <c r="R791" s="1058">
        <v>0</v>
      </c>
      <c r="S791" s="1057">
        <v>-9271</v>
      </c>
      <c r="T791" s="1060">
        <v>-9271</v>
      </c>
    </row>
    <row r="792" spans="1:20" x14ac:dyDescent="0.25">
      <c r="A792" s="1054">
        <v>98414</v>
      </c>
      <c r="B792" s="1055" t="s">
        <v>4322</v>
      </c>
      <c r="C792" s="1056">
        <f>SUM(C790:C791)</f>
        <v>4.1600000000000002E-5</v>
      </c>
      <c r="D792" s="1056">
        <f t="shared" ref="D792:T792" si="30">SUM(D790:D791)</f>
        <v>3.8500000000000001E-5</v>
      </c>
      <c r="E792" s="1057">
        <f t="shared" si="30"/>
        <v>98689</v>
      </c>
      <c r="F792" s="1057"/>
      <c r="G792" s="1058">
        <f t="shared" si="30"/>
        <v>15225</v>
      </c>
      <c r="H792" s="1059">
        <f t="shared" si="30"/>
        <v>13548</v>
      </c>
      <c r="I792" s="1058">
        <f t="shared" si="30"/>
        <v>26188</v>
      </c>
      <c r="J792" s="1057">
        <f t="shared" si="30"/>
        <v>18529</v>
      </c>
      <c r="K792" s="1059">
        <f t="shared" si="30"/>
        <v>73490</v>
      </c>
      <c r="L792" s="1057"/>
      <c r="M792" s="1058">
        <f t="shared" si="30"/>
        <v>511</v>
      </c>
      <c r="N792" s="1058">
        <f t="shared" si="30"/>
        <v>0</v>
      </c>
      <c r="O792" s="1057">
        <f t="shared" si="30"/>
        <v>24349</v>
      </c>
      <c r="P792" s="1070">
        <f t="shared" si="30"/>
        <v>24860</v>
      </c>
      <c r="R792" s="1058">
        <f t="shared" si="30"/>
        <v>27413</v>
      </c>
      <c r="S792" s="1057">
        <f t="shared" si="30"/>
        <v>-3734</v>
      </c>
      <c r="T792" s="1060">
        <f t="shared" si="30"/>
        <v>23679</v>
      </c>
    </row>
    <row r="793" spans="1:20" x14ac:dyDescent="0.25">
      <c r="A793" s="1054">
        <v>98417</v>
      </c>
      <c r="B793" s="1055" t="s">
        <v>3338</v>
      </c>
      <c r="C793" s="1056">
        <v>2.1500000000000001E-5</v>
      </c>
      <c r="D793" s="1056">
        <v>2.2900000000000001E-5</v>
      </c>
      <c r="E793" s="1057">
        <v>51005</v>
      </c>
      <c r="F793" s="1057" t="s">
        <v>187</v>
      </c>
      <c r="G793" s="1058">
        <v>7869</v>
      </c>
      <c r="H793" s="1059">
        <v>7001</v>
      </c>
      <c r="I793" s="1058">
        <v>13535</v>
      </c>
      <c r="J793" s="1057">
        <v>4701</v>
      </c>
      <c r="K793" s="1059">
        <f t="shared" si="28"/>
        <v>33106</v>
      </c>
      <c r="L793" s="1057"/>
      <c r="M793" s="1058">
        <v>264</v>
      </c>
      <c r="N793" s="1058">
        <v>0</v>
      </c>
      <c r="O793" s="1057">
        <v>0</v>
      </c>
      <c r="P793" s="1059">
        <f t="shared" si="29"/>
        <v>264</v>
      </c>
      <c r="Q793" s="1057"/>
      <c r="R793" s="1058">
        <v>14168</v>
      </c>
      <c r="S793" s="1057">
        <v>1052</v>
      </c>
      <c r="T793" s="1060">
        <v>15220</v>
      </c>
    </row>
    <row r="794" spans="1:20" x14ac:dyDescent="0.25">
      <c r="A794" s="1054">
        <v>98421</v>
      </c>
      <c r="B794" s="1055" t="s">
        <v>4324</v>
      </c>
      <c r="C794" s="1056">
        <v>1.06E-4</v>
      </c>
      <c r="D794" s="1056">
        <v>8.2700000000000004E-5</v>
      </c>
      <c r="E794" s="1057">
        <v>251468</v>
      </c>
      <c r="F794" s="1057" t="s">
        <v>187</v>
      </c>
      <c r="G794" s="1058">
        <v>38796</v>
      </c>
      <c r="H794" s="1059">
        <v>34519</v>
      </c>
      <c r="I794" s="1058">
        <v>66730</v>
      </c>
      <c r="J794" s="1057">
        <v>17902</v>
      </c>
      <c r="K794" s="1059">
        <f t="shared" si="28"/>
        <v>157947</v>
      </c>
      <c r="L794" s="1057"/>
      <c r="M794" s="1058">
        <v>1302</v>
      </c>
      <c r="N794" s="1058">
        <v>0</v>
      </c>
      <c r="O794" s="1057">
        <v>9065</v>
      </c>
      <c r="P794" s="1059">
        <f t="shared" si="29"/>
        <v>10367</v>
      </c>
      <c r="Q794" s="1057"/>
      <c r="R794" s="1058">
        <v>69851</v>
      </c>
      <c r="S794" s="1057">
        <v>2976</v>
      </c>
      <c r="T794" s="1060">
        <v>72827</v>
      </c>
    </row>
    <row r="795" spans="1:20" x14ac:dyDescent="0.25">
      <c r="A795" s="1054">
        <v>98427</v>
      </c>
      <c r="B795" s="1055" t="s">
        <v>3340</v>
      </c>
      <c r="C795" s="1056">
        <v>3.4000000000000001E-6</v>
      </c>
      <c r="D795" s="1056">
        <v>3.9999999999999998E-6</v>
      </c>
      <c r="E795" s="1057">
        <v>8066</v>
      </c>
      <c r="F795" s="1057" t="s">
        <v>187</v>
      </c>
      <c r="G795" s="1058">
        <v>1244</v>
      </c>
      <c r="H795" s="1059">
        <v>1107</v>
      </c>
      <c r="I795" s="1058">
        <v>2140</v>
      </c>
      <c r="J795" s="1057">
        <v>1747</v>
      </c>
      <c r="K795" s="1059">
        <f t="shared" si="28"/>
        <v>6238</v>
      </c>
      <c r="L795" s="1057"/>
      <c r="M795" s="1058">
        <v>42</v>
      </c>
      <c r="N795" s="1058">
        <v>0</v>
      </c>
      <c r="O795" s="1057">
        <v>0</v>
      </c>
      <c r="P795" s="1059">
        <f t="shared" si="29"/>
        <v>42</v>
      </c>
      <c r="Q795" s="1057"/>
      <c r="R795" s="1058">
        <v>2241</v>
      </c>
      <c r="S795" s="1057">
        <v>707</v>
      </c>
      <c r="T795" s="1060">
        <v>2948</v>
      </c>
    </row>
    <row r="796" spans="1:20" x14ac:dyDescent="0.25">
      <c r="A796" s="1054">
        <v>98431</v>
      </c>
      <c r="B796" s="1055" t="s">
        <v>3341</v>
      </c>
      <c r="C796" s="1056">
        <v>1.961E-4</v>
      </c>
      <c r="D796" s="1056">
        <v>2.0589999999999999E-4</v>
      </c>
      <c r="E796" s="1057">
        <v>465216</v>
      </c>
      <c r="F796" s="1057" t="s">
        <v>187</v>
      </c>
      <c r="G796" s="1058">
        <v>71772</v>
      </c>
      <c r="H796" s="1059">
        <v>63861</v>
      </c>
      <c r="I796" s="1058">
        <v>123450</v>
      </c>
      <c r="J796" s="1057">
        <v>0</v>
      </c>
      <c r="K796" s="1059">
        <f t="shared" si="28"/>
        <v>259083</v>
      </c>
      <c r="L796" s="1057"/>
      <c r="M796" s="1058">
        <v>2408</v>
      </c>
      <c r="N796" s="1058">
        <v>0</v>
      </c>
      <c r="O796" s="1057">
        <v>33499</v>
      </c>
      <c r="P796" s="1059">
        <f t="shared" si="29"/>
        <v>35907</v>
      </c>
      <c r="Q796" s="1057"/>
      <c r="R796" s="1058">
        <v>129225</v>
      </c>
      <c r="S796" s="1057">
        <v>-12036</v>
      </c>
      <c r="T796" s="1060">
        <v>117189</v>
      </c>
    </row>
    <row r="797" spans="1:20" x14ac:dyDescent="0.25">
      <c r="A797" s="1054">
        <v>98441</v>
      </c>
      <c r="B797" s="1055" t="s">
        <v>4325</v>
      </c>
      <c r="C797" s="1056">
        <v>1.0900000000000001E-4</v>
      </c>
      <c r="D797" s="1056">
        <v>8.2700000000000004E-5</v>
      </c>
      <c r="E797" s="1057">
        <v>258585</v>
      </c>
      <c r="F797" s="1057" t="s">
        <v>187</v>
      </c>
      <c r="G797" s="1058">
        <v>39894</v>
      </c>
      <c r="H797" s="1059">
        <v>35496</v>
      </c>
      <c r="I797" s="1058">
        <v>68619</v>
      </c>
      <c r="J797" s="1057">
        <v>12072</v>
      </c>
      <c r="K797" s="1059">
        <f t="shared" si="28"/>
        <v>156081</v>
      </c>
      <c r="L797" s="1057"/>
      <c r="M797" s="1058">
        <v>1339</v>
      </c>
      <c r="N797" s="1058">
        <v>0</v>
      </c>
      <c r="O797" s="1057">
        <v>13805</v>
      </c>
      <c r="P797" s="1059">
        <f t="shared" si="29"/>
        <v>15144</v>
      </c>
      <c r="Q797" s="1057"/>
      <c r="R797" s="1058">
        <v>71828</v>
      </c>
      <c r="S797" s="1057">
        <v>-5014</v>
      </c>
      <c r="T797" s="1060">
        <v>66814</v>
      </c>
    </row>
    <row r="798" spans="1:20" x14ac:dyDescent="0.25">
      <c r="A798" s="1054">
        <v>98451</v>
      </c>
      <c r="B798" s="1055" t="s">
        <v>4326</v>
      </c>
      <c r="C798" s="1056">
        <v>4.88E-5</v>
      </c>
      <c r="D798" s="1056">
        <v>5.7000000000000003E-5</v>
      </c>
      <c r="E798" s="1057">
        <v>115770</v>
      </c>
      <c r="F798" s="1057" t="s">
        <v>187</v>
      </c>
      <c r="G798" s="1058">
        <v>17861</v>
      </c>
      <c r="H798" s="1059">
        <v>15892</v>
      </c>
      <c r="I798" s="1058">
        <v>30721</v>
      </c>
      <c r="J798" s="1057">
        <v>380</v>
      </c>
      <c r="K798" s="1059">
        <f t="shared" si="28"/>
        <v>64854</v>
      </c>
      <c r="L798" s="1057"/>
      <c r="M798" s="1058">
        <v>599</v>
      </c>
      <c r="N798" s="1058">
        <v>0</v>
      </c>
      <c r="O798" s="1057">
        <v>4433</v>
      </c>
      <c r="P798" s="1059">
        <f t="shared" si="29"/>
        <v>5032</v>
      </c>
      <c r="Q798" s="1057"/>
      <c r="R798" s="1058">
        <v>32158</v>
      </c>
      <c r="S798" s="1057">
        <v>-1432</v>
      </c>
      <c r="T798" s="1060">
        <v>30726</v>
      </c>
    </row>
    <row r="799" spans="1:20" x14ac:dyDescent="0.25">
      <c r="A799" s="1054">
        <v>98471</v>
      </c>
      <c r="B799" s="1071" t="s">
        <v>4327</v>
      </c>
      <c r="C799" s="1056">
        <v>6.1E-6</v>
      </c>
      <c r="D799" s="1056">
        <v>0</v>
      </c>
      <c r="E799" s="1057">
        <v>14471</v>
      </c>
      <c r="F799" s="1057" t="s">
        <v>187</v>
      </c>
      <c r="G799" s="1058">
        <v>2233</v>
      </c>
      <c r="H799" s="1059">
        <v>1987</v>
      </c>
      <c r="I799" s="1058">
        <v>3840</v>
      </c>
      <c r="J799" s="1057">
        <v>5121</v>
      </c>
      <c r="K799" s="1059">
        <f t="shared" si="28"/>
        <v>13181</v>
      </c>
      <c r="L799" s="1057"/>
      <c r="M799" s="1058">
        <v>75</v>
      </c>
      <c r="N799" s="1058">
        <v>0</v>
      </c>
      <c r="O799" s="1057">
        <v>0</v>
      </c>
      <c r="P799" s="1059">
        <f t="shared" si="29"/>
        <v>75</v>
      </c>
      <c r="Q799" s="1057"/>
      <c r="R799" s="1058">
        <v>4020</v>
      </c>
      <c r="S799" s="1057">
        <v>1280</v>
      </c>
      <c r="T799" s="1060">
        <v>5300</v>
      </c>
    </row>
    <row r="800" spans="1:20" x14ac:dyDescent="0.25">
      <c r="A800" s="1054">
        <v>98481</v>
      </c>
      <c r="B800" s="1055" t="s">
        <v>4328</v>
      </c>
      <c r="C800" s="1056">
        <v>7.2000000000000002E-5</v>
      </c>
      <c r="D800" s="1056">
        <v>6.3899999999999995E-5</v>
      </c>
      <c r="E800" s="1057">
        <v>170809</v>
      </c>
      <c r="F800" s="1057" t="s">
        <v>187</v>
      </c>
      <c r="G800" s="1058">
        <v>26352</v>
      </c>
      <c r="H800" s="1059">
        <v>23447</v>
      </c>
      <c r="I800" s="1058">
        <v>45326</v>
      </c>
      <c r="J800" s="1057">
        <v>2185</v>
      </c>
      <c r="K800" s="1059">
        <f t="shared" si="28"/>
        <v>97310</v>
      </c>
      <c r="L800" s="1057"/>
      <c r="M800" s="1058">
        <v>884</v>
      </c>
      <c r="N800" s="1058">
        <v>0</v>
      </c>
      <c r="O800" s="1057">
        <v>4175</v>
      </c>
      <c r="P800" s="1059">
        <f t="shared" si="29"/>
        <v>5059</v>
      </c>
      <c r="Q800" s="1057"/>
      <c r="R800" s="1058">
        <v>47446</v>
      </c>
      <c r="S800" s="1057">
        <v>495</v>
      </c>
      <c r="T800" s="1060">
        <v>47941</v>
      </c>
    </row>
    <row r="801" spans="1:20" x14ac:dyDescent="0.25">
      <c r="A801" s="1054">
        <v>98501</v>
      </c>
      <c r="B801" s="1055" t="s">
        <v>3345</v>
      </c>
      <c r="C801" s="1056">
        <v>1.6239E-3</v>
      </c>
      <c r="D801" s="1056">
        <v>1.6022E-3</v>
      </c>
      <c r="E801" s="1057">
        <v>3852446</v>
      </c>
      <c r="F801" s="1057" t="s">
        <v>187</v>
      </c>
      <c r="G801" s="1058">
        <v>594341</v>
      </c>
      <c r="H801" s="1059">
        <v>528826</v>
      </c>
      <c r="I801" s="1058">
        <v>1022291</v>
      </c>
      <c r="J801" s="1057">
        <v>103062</v>
      </c>
      <c r="K801" s="1059">
        <f t="shared" si="28"/>
        <v>2248520</v>
      </c>
      <c r="L801" s="1057"/>
      <c r="M801" s="1058">
        <v>19943</v>
      </c>
      <c r="N801" s="1058">
        <v>0</v>
      </c>
      <c r="O801" s="1057">
        <v>0</v>
      </c>
      <c r="P801" s="1059">
        <f t="shared" si="29"/>
        <v>19943</v>
      </c>
      <c r="Q801" s="1057"/>
      <c r="R801" s="1058">
        <v>1070106</v>
      </c>
      <c r="S801" s="1057">
        <v>31738</v>
      </c>
      <c r="T801" s="1060">
        <v>1101844</v>
      </c>
    </row>
    <row r="802" spans="1:20" x14ac:dyDescent="0.25">
      <c r="A802" s="1054">
        <v>98511</v>
      </c>
      <c r="B802" s="1055" t="s">
        <v>4329</v>
      </c>
      <c r="C802" s="1056">
        <v>4.0000000000000003E-5</v>
      </c>
      <c r="D802" s="1056">
        <v>4.8000000000000001E-5</v>
      </c>
      <c r="E802" s="1057">
        <v>94894</v>
      </c>
      <c r="F802" s="1057" t="s">
        <v>187</v>
      </c>
      <c r="G802" s="1058">
        <v>14640</v>
      </c>
      <c r="H802" s="1059">
        <v>13026</v>
      </c>
      <c r="I802" s="1058">
        <v>25181</v>
      </c>
      <c r="J802" s="1057">
        <v>4106</v>
      </c>
      <c r="K802" s="1059">
        <f t="shared" si="28"/>
        <v>56953</v>
      </c>
      <c r="L802" s="1057"/>
      <c r="M802" s="1058">
        <v>491</v>
      </c>
      <c r="N802" s="1058">
        <v>0</v>
      </c>
      <c r="O802" s="1057">
        <v>3548</v>
      </c>
      <c r="P802" s="1059">
        <f t="shared" si="29"/>
        <v>4039</v>
      </c>
      <c r="Q802" s="1057"/>
      <c r="R802" s="1058">
        <v>26359</v>
      </c>
      <c r="S802" s="1057">
        <v>-9955</v>
      </c>
      <c r="T802" s="1060">
        <v>16404</v>
      </c>
    </row>
    <row r="803" spans="1:20" x14ac:dyDescent="0.25">
      <c r="A803" s="1054">
        <v>98517</v>
      </c>
      <c r="B803" s="1055" t="s">
        <v>3347</v>
      </c>
      <c r="C803" s="1056">
        <v>2.3E-6</v>
      </c>
      <c r="D803" s="1056">
        <v>2.3E-6</v>
      </c>
      <c r="E803" s="1057">
        <v>5456</v>
      </c>
      <c r="F803" s="1057" t="s">
        <v>187</v>
      </c>
      <c r="G803" s="1058">
        <v>842</v>
      </c>
      <c r="H803" s="1059">
        <v>749</v>
      </c>
      <c r="I803" s="1058">
        <v>1448</v>
      </c>
      <c r="J803" s="1057">
        <v>2754</v>
      </c>
      <c r="K803" s="1059">
        <f t="shared" si="28"/>
        <v>5793</v>
      </c>
      <c r="L803" s="1057"/>
      <c r="M803" s="1058">
        <v>28</v>
      </c>
      <c r="N803" s="1058">
        <v>0</v>
      </c>
      <c r="O803" s="1057">
        <v>0</v>
      </c>
      <c r="P803" s="1059">
        <f t="shared" si="29"/>
        <v>28</v>
      </c>
      <c r="Q803" s="1057"/>
      <c r="R803" s="1058">
        <v>1516</v>
      </c>
      <c r="S803" s="1057">
        <v>1018</v>
      </c>
      <c r="T803" s="1060">
        <v>2534</v>
      </c>
    </row>
    <row r="804" spans="1:20" x14ac:dyDescent="0.25">
      <c r="A804" s="1054">
        <v>98521</v>
      </c>
      <c r="B804" s="1055" t="s">
        <v>3348</v>
      </c>
      <c r="C804" s="1056">
        <v>6.4780000000000003E-4</v>
      </c>
      <c r="D804" s="1056">
        <v>6.6180000000000004E-4</v>
      </c>
      <c r="E804" s="1057">
        <v>1536803</v>
      </c>
      <c r="F804" s="1057" t="s">
        <v>187</v>
      </c>
      <c r="G804" s="1058">
        <v>237092</v>
      </c>
      <c r="H804" s="1059">
        <v>210957</v>
      </c>
      <c r="I804" s="1058">
        <v>407808</v>
      </c>
      <c r="J804" s="1057">
        <v>26095</v>
      </c>
      <c r="K804" s="1059">
        <f t="shared" si="28"/>
        <v>881952</v>
      </c>
      <c r="L804" s="1057"/>
      <c r="M804" s="1058">
        <v>7956</v>
      </c>
      <c r="N804" s="1058">
        <v>0</v>
      </c>
      <c r="O804" s="1057">
        <v>52330</v>
      </c>
      <c r="P804" s="1059">
        <f t="shared" si="29"/>
        <v>60286</v>
      </c>
      <c r="Q804" s="1057"/>
      <c r="R804" s="1058">
        <v>426883</v>
      </c>
      <c r="S804" s="1057">
        <v>-16971</v>
      </c>
      <c r="T804" s="1060">
        <v>409912</v>
      </c>
    </row>
    <row r="805" spans="1:20" x14ac:dyDescent="0.25">
      <c r="A805" s="1054">
        <v>98601</v>
      </c>
      <c r="B805" s="1055" t="s">
        <v>3349</v>
      </c>
      <c r="C805" s="1056">
        <v>3.4765999999999998E-3</v>
      </c>
      <c r="D805" s="1056">
        <v>3.4148E-3</v>
      </c>
      <c r="E805" s="1057">
        <v>8247684</v>
      </c>
      <c r="F805" s="1057" t="s">
        <v>187</v>
      </c>
      <c r="G805" s="1058">
        <v>1272422</v>
      </c>
      <c r="H805" s="1059">
        <v>1132162</v>
      </c>
      <c r="I805" s="1058">
        <v>2188617</v>
      </c>
      <c r="J805" s="1057">
        <v>0</v>
      </c>
      <c r="K805" s="1059">
        <f t="shared" si="28"/>
        <v>4593201</v>
      </c>
      <c r="L805" s="1057"/>
      <c r="M805" s="1058">
        <v>42696</v>
      </c>
      <c r="N805" s="1058">
        <v>0</v>
      </c>
      <c r="O805" s="1057">
        <v>132455</v>
      </c>
      <c r="P805" s="1059">
        <f t="shared" si="29"/>
        <v>175151</v>
      </c>
      <c r="Q805" s="1057"/>
      <c r="R805" s="1058">
        <v>2290986</v>
      </c>
      <c r="S805" s="1057">
        <v>-95496</v>
      </c>
      <c r="T805" s="1060">
        <v>2195490</v>
      </c>
    </row>
    <row r="806" spans="1:20" x14ac:dyDescent="0.25">
      <c r="A806" s="1054" t="s">
        <v>4330</v>
      </c>
      <c r="B806" s="1055" t="s">
        <v>3350</v>
      </c>
      <c r="C806" s="1056">
        <v>1.29E-5</v>
      </c>
      <c r="D806" s="1056">
        <v>1.34E-5</v>
      </c>
      <c r="E806" s="1057">
        <v>30603</v>
      </c>
      <c r="F806" s="1057" t="s">
        <v>187</v>
      </c>
      <c r="G806" s="1058">
        <v>4721</v>
      </c>
      <c r="H806" s="1059">
        <v>4201</v>
      </c>
      <c r="I806" s="1058">
        <v>8121</v>
      </c>
      <c r="J806" s="1057">
        <v>4763</v>
      </c>
      <c r="K806" s="1059">
        <f t="shared" si="28"/>
        <v>21806</v>
      </c>
      <c r="L806" s="1057"/>
      <c r="M806" s="1058">
        <v>158</v>
      </c>
      <c r="N806" s="1058">
        <v>0</v>
      </c>
      <c r="O806" s="1057">
        <v>395</v>
      </c>
      <c r="P806" s="1059">
        <f t="shared" si="29"/>
        <v>553</v>
      </c>
      <c r="Q806" s="1057"/>
      <c r="R806" s="1058">
        <v>8501</v>
      </c>
      <c r="S806" s="1057">
        <v>2178</v>
      </c>
      <c r="T806" s="1060">
        <v>10679</v>
      </c>
    </row>
    <row r="807" spans="1:20" x14ac:dyDescent="0.25">
      <c r="A807" s="1054" t="s">
        <v>4331</v>
      </c>
      <c r="B807" s="1055" t="s">
        <v>4332</v>
      </c>
      <c r="C807" s="1056">
        <v>0</v>
      </c>
      <c r="D807" s="1056">
        <v>0</v>
      </c>
      <c r="E807" s="1057">
        <v>0</v>
      </c>
      <c r="F807" s="1057" t="s">
        <v>187</v>
      </c>
      <c r="G807" s="1058">
        <v>0</v>
      </c>
      <c r="H807" s="1059">
        <v>0</v>
      </c>
      <c r="I807" s="1058">
        <v>0</v>
      </c>
      <c r="J807" s="1057">
        <v>1056</v>
      </c>
      <c r="K807" s="1059">
        <f>G807+H807+I807+J807</f>
        <v>1056</v>
      </c>
      <c r="L807" s="1057"/>
      <c r="M807" s="1058">
        <v>0</v>
      </c>
      <c r="N807" s="1058">
        <v>0</v>
      </c>
      <c r="O807" s="1057">
        <v>3238</v>
      </c>
      <c r="P807" s="1059">
        <f>M807+N807+O807</f>
        <v>3238</v>
      </c>
      <c r="Q807" s="1057"/>
      <c r="R807" s="1058">
        <v>0</v>
      </c>
      <c r="S807" s="1057">
        <v>171</v>
      </c>
      <c r="T807" s="1060">
        <v>171</v>
      </c>
    </row>
    <row r="808" spans="1:20" x14ac:dyDescent="0.25">
      <c r="A808" s="1054">
        <v>98604</v>
      </c>
      <c r="B808" s="1055" t="s">
        <v>3350</v>
      </c>
      <c r="C808" s="1056">
        <f>SUM(C806:C807)</f>
        <v>1.29E-5</v>
      </c>
      <c r="D808" s="1056">
        <f t="shared" ref="D808:T808" si="31">SUM(D806:D807)</f>
        <v>1.34E-5</v>
      </c>
      <c r="E808" s="1057">
        <f t="shared" si="31"/>
        <v>30603</v>
      </c>
      <c r="F808" s="1057"/>
      <c r="G808" s="1058">
        <f t="shared" si="31"/>
        <v>4721</v>
      </c>
      <c r="H808" s="1059">
        <f t="shared" si="31"/>
        <v>4201</v>
      </c>
      <c r="I808" s="1058">
        <f t="shared" si="31"/>
        <v>8121</v>
      </c>
      <c r="J808" s="1057">
        <f t="shared" si="31"/>
        <v>5819</v>
      </c>
      <c r="K808" s="1059">
        <f t="shared" si="31"/>
        <v>22862</v>
      </c>
      <c r="L808" s="1057"/>
      <c r="M808" s="1058">
        <f t="shared" si="31"/>
        <v>158</v>
      </c>
      <c r="N808" s="1058">
        <f t="shared" si="31"/>
        <v>0</v>
      </c>
      <c r="O808" s="1057">
        <f t="shared" si="31"/>
        <v>3633</v>
      </c>
      <c r="P808" s="1059">
        <f t="shared" si="31"/>
        <v>3791</v>
      </c>
      <c r="Q808" s="1057"/>
      <c r="R808" s="1058">
        <f t="shared" si="31"/>
        <v>8501</v>
      </c>
      <c r="S808" s="1057">
        <f t="shared" si="31"/>
        <v>2349</v>
      </c>
      <c r="T808" s="1060">
        <f t="shared" si="31"/>
        <v>10850</v>
      </c>
    </row>
    <row r="809" spans="1:20" x14ac:dyDescent="0.25">
      <c r="A809" s="1054">
        <v>98607</v>
      </c>
      <c r="B809" s="1055" t="s">
        <v>3351</v>
      </c>
      <c r="C809" s="1056">
        <v>6.9E-6</v>
      </c>
      <c r="D809" s="1056">
        <v>5.9000000000000003E-6</v>
      </c>
      <c r="E809" s="1057">
        <v>16369</v>
      </c>
      <c r="F809" s="1057" t="s">
        <v>187</v>
      </c>
      <c r="G809" s="1058">
        <v>2525</v>
      </c>
      <c r="H809" s="1059">
        <v>2247</v>
      </c>
      <c r="I809" s="1058">
        <v>4344</v>
      </c>
      <c r="J809" s="1057">
        <v>1428</v>
      </c>
      <c r="K809" s="1059">
        <f t="shared" si="28"/>
        <v>10544</v>
      </c>
      <c r="L809" s="1057"/>
      <c r="M809" s="1058">
        <v>85</v>
      </c>
      <c r="N809" s="1058">
        <v>0</v>
      </c>
      <c r="O809" s="1057">
        <v>602</v>
      </c>
      <c r="P809" s="1059">
        <f t="shared" si="29"/>
        <v>687</v>
      </c>
      <c r="Q809" s="1057"/>
      <c r="R809" s="1058">
        <v>4547</v>
      </c>
      <c r="S809" s="1057">
        <v>-512</v>
      </c>
      <c r="T809" s="1060">
        <v>4035</v>
      </c>
    </row>
    <row r="810" spans="1:20" x14ac:dyDescent="0.25">
      <c r="A810" s="1054">
        <v>98608</v>
      </c>
      <c r="B810" s="1055" t="s">
        <v>3352</v>
      </c>
      <c r="C810" s="1056">
        <v>4.3099999999999997E-5</v>
      </c>
      <c r="D810" s="1056">
        <v>4.9200000000000003E-5</v>
      </c>
      <c r="E810" s="1057">
        <v>102248</v>
      </c>
      <c r="F810" s="1057" t="s">
        <v>187</v>
      </c>
      <c r="G810" s="1058">
        <v>15774</v>
      </c>
      <c r="H810" s="1059">
        <v>14035</v>
      </c>
      <c r="I810" s="1058">
        <v>27133</v>
      </c>
      <c r="J810" s="1057">
        <v>3440</v>
      </c>
      <c r="K810" s="1059">
        <f t="shared" si="28"/>
        <v>60382</v>
      </c>
      <c r="L810" s="1057"/>
      <c r="M810" s="1058">
        <v>529</v>
      </c>
      <c r="N810" s="1058">
        <v>0</v>
      </c>
      <c r="O810" s="1057">
        <v>4498</v>
      </c>
      <c r="P810" s="1059">
        <f t="shared" si="29"/>
        <v>5027</v>
      </c>
      <c r="Q810" s="1057"/>
      <c r="R810" s="1058">
        <v>28402</v>
      </c>
      <c r="S810" s="1057">
        <v>961</v>
      </c>
      <c r="T810" s="1060">
        <v>29363</v>
      </c>
    </row>
    <row r="811" spans="1:20" x14ac:dyDescent="0.25">
      <c r="A811" s="1054">
        <v>98611</v>
      </c>
      <c r="B811" s="1055" t="s">
        <v>4333</v>
      </c>
      <c r="C811" s="1056">
        <v>1.143E-4</v>
      </c>
      <c r="D811" s="1056">
        <v>8.6899999999999998E-5</v>
      </c>
      <c r="E811" s="1057">
        <v>271159</v>
      </c>
      <c r="F811" s="1057" t="s">
        <v>187</v>
      </c>
      <c r="G811" s="1058">
        <v>41833</v>
      </c>
      <c r="H811" s="1059">
        <v>37222</v>
      </c>
      <c r="I811" s="1058">
        <v>71955</v>
      </c>
      <c r="J811" s="1057">
        <v>27552</v>
      </c>
      <c r="K811" s="1059">
        <f t="shared" si="28"/>
        <v>178562</v>
      </c>
      <c r="L811" s="1057"/>
      <c r="M811" s="1058">
        <v>1404</v>
      </c>
      <c r="N811" s="1058">
        <v>0</v>
      </c>
      <c r="O811" s="1057">
        <v>6191</v>
      </c>
      <c r="P811" s="1059">
        <f t="shared" si="29"/>
        <v>7595</v>
      </c>
      <c r="Q811" s="1057"/>
      <c r="R811" s="1058">
        <v>75321</v>
      </c>
      <c r="S811" s="1057">
        <v>6163</v>
      </c>
      <c r="T811" s="1060">
        <v>81484</v>
      </c>
    </row>
    <row r="812" spans="1:20" x14ac:dyDescent="0.25">
      <c r="A812" s="1054">
        <v>98621</v>
      </c>
      <c r="B812" s="1055" t="s">
        <v>4334</v>
      </c>
      <c r="C812" s="1056">
        <v>1.371E-4</v>
      </c>
      <c r="D812" s="1056">
        <v>1.314E-4</v>
      </c>
      <c r="E812" s="1057">
        <v>325248</v>
      </c>
      <c r="F812" s="1057" t="s">
        <v>187</v>
      </c>
      <c r="G812" s="1058">
        <v>50178</v>
      </c>
      <c r="H812" s="1059">
        <v>44647</v>
      </c>
      <c r="I812" s="1058">
        <v>86308</v>
      </c>
      <c r="J812" s="1057">
        <v>229</v>
      </c>
      <c r="K812" s="1059">
        <f t="shared" si="28"/>
        <v>181362</v>
      </c>
      <c r="L812" s="1057"/>
      <c r="M812" s="1058">
        <v>1684</v>
      </c>
      <c r="N812" s="1058">
        <v>0</v>
      </c>
      <c r="O812" s="1057">
        <v>6715</v>
      </c>
      <c r="P812" s="1059">
        <f t="shared" si="29"/>
        <v>8399</v>
      </c>
      <c r="Q812" s="1057"/>
      <c r="R812" s="1058">
        <v>90345</v>
      </c>
      <c r="S812" s="1057">
        <v>-3483</v>
      </c>
      <c r="T812" s="1060">
        <v>86862</v>
      </c>
    </row>
    <row r="813" spans="1:20" x14ac:dyDescent="0.25">
      <c r="A813" s="1054">
        <v>98627</v>
      </c>
      <c r="B813" s="1055" t="s">
        <v>3355</v>
      </c>
      <c r="C813" s="1056">
        <v>8.3000000000000002E-6</v>
      </c>
      <c r="D813" s="1056">
        <v>8.6999999999999997E-6</v>
      </c>
      <c r="E813" s="1057">
        <v>19690</v>
      </c>
      <c r="F813" s="1057" t="s">
        <v>187</v>
      </c>
      <c r="G813" s="1058">
        <v>3038</v>
      </c>
      <c r="H813" s="1059">
        <v>2703</v>
      </c>
      <c r="I813" s="1058">
        <v>5225</v>
      </c>
      <c r="J813" s="1057">
        <v>206</v>
      </c>
      <c r="K813" s="1059">
        <f t="shared" si="28"/>
        <v>11172</v>
      </c>
      <c r="L813" s="1057"/>
      <c r="M813" s="1058">
        <v>102</v>
      </c>
      <c r="N813" s="1058">
        <v>0</v>
      </c>
      <c r="O813" s="1057">
        <v>1443</v>
      </c>
      <c r="P813" s="1059">
        <f t="shared" si="29"/>
        <v>1545</v>
      </c>
      <c r="Q813" s="1057"/>
      <c r="R813" s="1058">
        <v>5469</v>
      </c>
      <c r="S813" s="1057">
        <v>-389</v>
      </c>
      <c r="T813" s="1060">
        <v>5080</v>
      </c>
    </row>
    <row r="814" spans="1:20" x14ac:dyDescent="0.25">
      <c r="A814" s="1054">
        <v>98631</v>
      </c>
      <c r="B814" s="1055" t="s">
        <v>3356</v>
      </c>
      <c r="C814" s="1056">
        <v>1.0238000000000001E-3</v>
      </c>
      <c r="D814" s="1056">
        <v>1.0051999999999999E-3</v>
      </c>
      <c r="E814" s="1057">
        <v>2428804</v>
      </c>
      <c r="F814" s="1057" t="s">
        <v>187</v>
      </c>
      <c r="G814" s="1058">
        <v>374707</v>
      </c>
      <c r="H814" s="1059">
        <v>333403</v>
      </c>
      <c r="I814" s="1058">
        <v>644511</v>
      </c>
      <c r="J814" s="1057">
        <v>18991</v>
      </c>
      <c r="K814" s="1059">
        <f t="shared" si="28"/>
        <v>1371612</v>
      </c>
      <c r="L814" s="1057"/>
      <c r="M814" s="1058">
        <v>12573</v>
      </c>
      <c r="N814" s="1058">
        <v>0</v>
      </c>
      <c r="O814" s="1057">
        <v>60399</v>
      </c>
      <c r="P814" s="1059">
        <f t="shared" si="29"/>
        <v>72972</v>
      </c>
      <c r="Q814" s="1057"/>
      <c r="R814" s="1058">
        <v>674657</v>
      </c>
      <c r="S814" s="1057">
        <v>-36968</v>
      </c>
      <c r="T814" s="1060">
        <v>637689</v>
      </c>
    </row>
    <row r="815" spans="1:20" x14ac:dyDescent="0.25">
      <c r="A815" s="1054">
        <v>98637</v>
      </c>
      <c r="B815" s="1055" t="s">
        <v>3357</v>
      </c>
      <c r="C815" s="1056">
        <v>1.9000000000000001E-5</v>
      </c>
      <c r="D815" s="1056">
        <v>2.0800000000000001E-5</v>
      </c>
      <c r="E815" s="1057">
        <v>45074</v>
      </c>
      <c r="F815" s="1057" t="s">
        <v>187</v>
      </c>
      <c r="G815" s="1058">
        <v>6954</v>
      </c>
      <c r="H815" s="1059">
        <v>6187</v>
      </c>
      <c r="I815" s="1058">
        <v>11961</v>
      </c>
      <c r="J815" s="1057">
        <v>9802</v>
      </c>
      <c r="K815" s="1059">
        <f t="shared" si="28"/>
        <v>34904</v>
      </c>
      <c r="L815" s="1057"/>
      <c r="M815" s="1058">
        <v>233</v>
      </c>
      <c r="N815" s="1058">
        <v>0</v>
      </c>
      <c r="O815" s="1057">
        <v>0</v>
      </c>
      <c r="P815" s="1059">
        <f t="shared" si="29"/>
        <v>233</v>
      </c>
      <c r="Q815" s="1057"/>
      <c r="R815" s="1058">
        <v>12520</v>
      </c>
      <c r="S815" s="1057">
        <v>4352</v>
      </c>
      <c r="T815" s="1060">
        <v>16872</v>
      </c>
    </row>
    <row r="816" spans="1:20" x14ac:dyDescent="0.25">
      <c r="A816" s="1054">
        <v>98641</v>
      </c>
      <c r="B816" s="1055" t="s">
        <v>4335</v>
      </c>
      <c r="C816" s="1056">
        <v>2.9080000000000002E-4</v>
      </c>
      <c r="D816" s="1056">
        <v>2.965E-4</v>
      </c>
      <c r="E816" s="1057">
        <v>689877</v>
      </c>
      <c r="F816" s="1057" t="s">
        <v>187</v>
      </c>
      <c r="G816" s="1058">
        <v>106432</v>
      </c>
      <c r="H816" s="1059">
        <v>94699</v>
      </c>
      <c r="I816" s="1058">
        <v>183067</v>
      </c>
      <c r="J816" s="1057">
        <v>1967</v>
      </c>
      <c r="K816" s="1059">
        <f t="shared" si="28"/>
        <v>386165</v>
      </c>
      <c r="L816" s="1057"/>
      <c r="M816" s="1058">
        <v>3571</v>
      </c>
      <c r="N816" s="1058">
        <v>0</v>
      </c>
      <c r="O816" s="1057">
        <v>5099</v>
      </c>
      <c r="P816" s="1059">
        <f t="shared" si="29"/>
        <v>8670</v>
      </c>
      <c r="Q816" s="1057"/>
      <c r="R816" s="1058">
        <v>191629</v>
      </c>
      <c r="S816" s="1057">
        <v>68</v>
      </c>
      <c r="T816" s="1060">
        <v>191697</v>
      </c>
    </row>
    <row r="817" spans="1:20" x14ac:dyDescent="0.25">
      <c r="A817" s="1054">
        <v>98701</v>
      </c>
      <c r="B817" s="1055" t="s">
        <v>3360</v>
      </c>
      <c r="C817" s="1056">
        <v>1.0870000000000001E-3</v>
      </c>
      <c r="D817" s="1056">
        <v>1.1333999999999999E-3</v>
      </c>
      <c r="E817" s="1057">
        <v>2578736</v>
      </c>
      <c r="F817" s="1057" t="s">
        <v>187</v>
      </c>
      <c r="G817" s="1058">
        <v>397838</v>
      </c>
      <c r="H817" s="1059">
        <v>353983</v>
      </c>
      <c r="I817" s="1058">
        <v>684297</v>
      </c>
      <c r="J817" s="1057">
        <v>2231</v>
      </c>
      <c r="K817" s="1059">
        <f t="shared" si="28"/>
        <v>1438349</v>
      </c>
      <c r="L817" s="1057"/>
      <c r="M817" s="1058">
        <v>13349</v>
      </c>
      <c r="N817" s="1058">
        <v>0</v>
      </c>
      <c r="O817" s="1057">
        <v>78824</v>
      </c>
      <c r="P817" s="1059">
        <f t="shared" si="29"/>
        <v>92173</v>
      </c>
      <c r="Q817" s="1057"/>
      <c r="R817" s="1058">
        <v>716304</v>
      </c>
      <c r="S817" s="1057">
        <v>-35842</v>
      </c>
      <c r="T817" s="1060">
        <v>680462</v>
      </c>
    </row>
    <row r="818" spans="1:20" x14ac:dyDescent="0.25">
      <c r="A818" s="1054">
        <v>98711</v>
      </c>
      <c r="B818" s="1055" t="s">
        <v>4336</v>
      </c>
      <c r="C818" s="1056">
        <v>1.6679999999999999E-4</v>
      </c>
      <c r="D818" s="1056">
        <v>1.8369999999999999E-4</v>
      </c>
      <c r="E818" s="1057">
        <v>395707</v>
      </c>
      <c r="F818" s="1057" t="s">
        <v>187</v>
      </c>
      <c r="G818" s="1058">
        <v>61048</v>
      </c>
      <c r="H818" s="1059">
        <v>54318</v>
      </c>
      <c r="I818" s="1058">
        <v>105005</v>
      </c>
      <c r="J818" s="1057">
        <v>0</v>
      </c>
      <c r="K818" s="1059">
        <f t="shared" si="28"/>
        <v>220371</v>
      </c>
      <c r="L818" s="1057"/>
      <c r="M818" s="1058">
        <v>2048</v>
      </c>
      <c r="N818" s="1058">
        <v>0</v>
      </c>
      <c r="O818" s="1057">
        <v>31195</v>
      </c>
      <c r="P818" s="1059">
        <f t="shared" si="29"/>
        <v>33243</v>
      </c>
      <c r="Q818" s="1057"/>
      <c r="R818" s="1058">
        <v>109917</v>
      </c>
      <c r="S818" s="1057">
        <v>-9096</v>
      </c>
      <c r="T818" s="1060">
        <v>100821</v>
      </c>
    </row>
    <row r="819" spans="1:20" x14ac:dyDescent="0.25">
      <c r="A819" s="1054">
        <v>98717</v>
      </c>
      <c r="B819" s="1055" t="s">
        <v>3362</v>
      </c>
      <c r="C819" s="1056">
        <v>1.9599999999999999E-5</v>
      </c>
      <c r="D819" s="1056">
        <v>2.1100000000000001E-5</v>
      </c>
      <c r="E819" s="1057">
        <v>46498</v>
      </c>
      <c r="F819" s="1057" t="s">
        <v>187</v>
      </c>
      <c r="G819" s="1058">
        <v>7174</v>
      </c>
      <c r="H819" s="1059">
        <v>6383</v>
      </c>
      <c r="I819" s="1058">
        <v>12339</v>
      </c>
      <c r="J819" s="1057">
        <v>928</v>
      </c>
      <c r="K819" s="1059">
        <f t="shared" si="28"/>
        <v>26824</v>
      </c>
      <c r="L819" s="1057"/>
      <c r="M819" s="1058">
        <v>241</v>
      </c>
      <c r="N819" s="1058">
        <v>0</v>
      </c>
      <c r="O819" s="1057">
        <v>2000</v>
      </c>
      <c r="P819" s="1059">
        <f t="shared" si="29"/>
        <v>2241</v>
      </c>
      <c r="Q819" s="1057"/>
      <c r="R819" s="1058">
        <v>12916</v>
      </c>
      <c r="S819" s="1057">
        <v>-184</v>
      </c>
      <c r="T819" s="1060">
        <v>12732</v>
      </c>
    </row>
    <row r="820" spans="1:20" x14ac:dyDescent="0.25">
      <c r="A820" s="1054">
        <v>98801</v>
      </c>
      <c r="B820" s="1055" t="s">
        <v>3363</v>
      </c>
      <c r="C820" s="1056">
        <v>2.1394999999999999E-3</v>
      </c>
      <c r="D820" s="1056">
        <v>2.2859E-3</v>
      </c>
      <c r="E820" s="1057">
        <v>5075626</v>
      </c>
      <c r="F820" s="1057" t="s">
        <v>187</v>
      </c>
      <c r="G820" s="1058">
        <v>783048</v>
      </c>
      <c r="H820" s="1059">
        <v>696732</v>
      </c>
      <c r="I820" s="1058">
        <v>1346875</v>
      </c>
      <c r="J820" s="1057">
        <v>90601</v>
      </c>
      <c r="K820" s="1059">
        <f t="shared" si="28"/>
        <v>2917256</v>
      </c>
      <c r="L820" s="1057"/>
      <c r="M820" s="1058">
        <v>26275</v>
      </c>
      <c r="N820" s="1058">
        <v>0</v>
      </c>
      <c r="O820" s="1057">
        <v>76084</v>
      </c>
      <c r="P820" s="1059">
        <f t="shared" si="29"/>
        <v>102359</v>
      </c>
      <c r="Q820" s="1057"/>
      <c r="R820" s="1058">
        <v>1409873</v>
      </c>
      <c r="S820" s="1057">
        <v>36447</v>
      </c>
      <c r="T820" s="1060">
        <v>1446320</v>
      </c>
    </row>
    <row r="821" spans="1:20" x14ac:dyDescent="0.25">
      <c r="A821" s="1054">
        <v>98811</v>
      </c>
      <c r="B821" s="1055" t="s">
        <v>3364</v>
      </c>
      <c r="C821" s="1056">
        <v>6.332E-4</v>
      </c>
      <c r="D821" s="1056">
        <v>6.5160000000000001E-4</v>
      </c>
      <c r="E821" s="1057">
        <v>1502167</v>
      </c>
      <c r="F821" s="1057" t="s">
        <v>187</v>
      </c>
      <c r="G821" s="1058">
        <v>231749</v>
      </c>
      <c r="H821" s="1059">
        <v>206203</v>
      </c>
      <c r="I821" s="1058">
        <v>398617</v>
      </c>
      <c r="J821" s="1057">
        <v>10392</v>
      </c>
      <c r="K821" s="1059">
        <f t="shared" si="28"/>
        <v>846961</v>
      </c>
      <c r="L821" s="1057"/>
      <c r="M821" s="1058">
        <v>7776</v>
      </c>
      <c r="N821" s="1058">
        <v>0</v>
      </c>
      <c r="O821" s="1057">
        <v>32558</v>
      </c>
      <c r="P821" s="1059">
        <f t="shared" si="29"/>
        <v>40334</v>
      </c>
      <c r="Q821" s="1057"/>
      <c r="R821" s="1058">
        <v>417262</v>
      </c>
      <c r="S821" s="1057">
        <v>1421</v>
      </c>
      <c r="T821" s="1060">
        <v>418683</v>
      </c>
    </row>
    <row r="822" spans="1:20" x14ac:dyDescent="0.25">
      <c r="A822" s="1054">
        <v>98817</v>
      </c>
      <c r="B822" s="1055" t="s">
        <v>3365</v>
      </c>
      <c r="C822" s="1056">
        <v>2.4000000000000001E-5</v>
      </c>
      <c r="D822" s="1056">
        <v>2.5199999999999999E-5</v>
      </c>
      <c r="E822" s="1057">
        <v>56936</v>
      </c>
      <c r="F822" s="1057" t="s">
        <v>187</v>
      </c>
      <c r="G822" s="1058">
        <v>8784</v>
      </c>
      <c r="H822" s="1059">
        <v>7815</v>
      </c>
      <c r="I822" s="1058">
        <v>15109</v>
      </c>
      <c r="J822" s="1057">
        <v>3830</v>
      </c>
      <c r="K822" s="1059">
        <f t="shared" si="28"/>
        <v>35538</v>
      </c>
      <c r="L822" s="1057"/>
      <c r="M822" s="1058">
        <v>295</v>
      </c>
      <c r="N822" s="1058">
        <v>0</v>
      </c>
      <c r="O822" s="1057">
        <v>0</v>
      </c>
      <c r="P822" s="1059">
        <f t="shared" si="29"/>
        <v>295</v>
      </c>
      <c r="Q822" s="1057"/>
      <c r="R822" s="1058">
        <v>15815</v>
      </c>
      <c r="S822" s="1057">
        <v>-955</v>
      </c>
      <c r="T822" s="1060">
        <v>14860</v>
      </c>
    </row>
    <row r="823" spans="1:20" x14ac:dyDescent="0.25">
      <c r="A823" s="1054">
        <v>98901</v>
      </c>
      <c r="B823" s="1055" t="s">
        <v>3366</v>
      </c>
      <c r="C823" s="1056">
        <v>3.0289999999999999E-4</v>
      </c>
      <c r="D823" s="1056">
        <v>3.5050000000000001E-4</v>
      </c>
      <c r="E823" s="1057">
        <v>718582</v>
      </c>
      <c r="F823" s="1057" t="s">
        <v>187</v>
      </c>
      <c r="G823" s="1058">
        <v>110860</v>
      </c>
      <c r="H823" s="1059">
        <v>98640</v>
      </c>
      <c r="I823" s="1058">
        <v>190684</v>
      </c>
      <c r="J823" s="1057">
        <v>5223</v>
      </c>
      <c r="K823" s="1059">
        <f t="shared" si="28"/>
        <v>405407</v>
      </c>
      <c r="L823" s="1057"/>
      <c r="M823" s="1058">
        <v>3720</v>
      </c>
      <c r="N823" s="1058">
        <v>0</v>
      </c>
      <c r="O823" s="1057">
        <v>23281</v>
      </c>
      <c r="P823" s="1059">
        <f t="shared" si="29"/>
        <v>27001</v>
      </c>
      <c r="Q823" s="1057"/>
      <c r="R823" s="1058">
        <v>199603</v>
      </c>
      <c r="S823" s="1057">
        <v>-4531</v>
      </c>
      <c r="T823" s="1060">
        <v>195072</v>
      </c>
    </row>
    <row r="824" spans="1:20" x14ac:dyDescent="0.25">
      <c r="A824" s="1054">
        <v>98904</v>
      </c>
      <c r="B824" s="1055" t="s">
        <v>3367</v>
      </c>
      <c r="C824" s="1056">
        <v>3.9999999999999998E-6</v>
      </c>
      <c r="D824" s="1056">
        <v>2.7999999999999999E-6</v>
      </c>
      <c r="E824" s="1057">
        <v>9489</v>
      </c>
      <c r="F824" s="1057" t="s">
        <v>187</v>
      </c>
      <c r="G824" s="1058">
        <v>1464</v>
      </c>
      <c r="H824" s="1059">
        <v>1303</v>
      </c>
      <c r="I824" s="1058">
        <v>2518</v>
      </c>
      <c r="J824" s="1057">
        <v>762</v>
      </c>
      <c r="K824" s="1059">
        <f t="shared" si="28"/>
        <v>6047</v>
      </c>
      <c r="L824" s="1057"/>
      <c r="M824" s="1058">
        <v>49</v>
      </c>
      <c r="N824" s="1058">
        <v>0</v>
      </c>
      <c r="O824" s="1057">
        <v>1361</v>
      </c>
      <c r="P824" s="1059">
        <f t="shared" si="29"/>
        <v>1410</v>
      </c>
      <c r="Q824" s="1057"/>
      <c r="R824" s="1058">
        <v>2636</v>
      </c>
      <c r="S824" s="1057">
        <v>-163</v>
      </c>
      <c r="T824" s="1060">
        <v>2473</v>
      </c>
    </row>
    <row r="825" spans="1:20" x14ac:dyDescent="0.25">
      <c r="A825" s="1054">
        <v>98911</v>
      </c>
      <c r="B825" s="1055" t="s">
        <v>4337</v>
      </c>
      <c r="C825" s="1056">
        <v>2.8900000000000001E-5</v>
      </c>
      <c r="D825" s="1056">
        <v>2.7900000000000001E-5</v>
      </c>
      <c r="E825" s="1057">
        <v>68561</v>
      </c>
      <c r="F825" s="1057" t="s">
        <v>187</v>
      </c>
      <c r="G825" s="1058">
        <v>10577</v>
      </c>
      <c r="H825" s="1059">
        <v>9411</v>
      </c>
      <c r="I825" s="1058">
        <v>18193</v>
      </c>
      <c r="J825" s="1057">
        <v>12643</v>
      </c>
      <c r="K825" s="1059">
        <f t="shared" si="28"/>
        <v>50824</v>
      </c>
      <c r="L825" s="1057"/>
      <c r="M825" s="1058">
        <v>355</v>
      </c>
      <c r="N825" s="1058">
        <v>0</v>
      </c>
      <c r="O825" s="1057">
        <v>0</v>
      </c>
      <c r="P825" s="1059">
        <f t="shared" si="29"/>
        <v>355</v>
      </c>
      <c r="Q825" s="1057"/>
      <c r="R825" s="1058">
        <v>19044</v>
      </c>
      <c r="S825" s="1057">
        <v>6908</v>
      </c>
      <c r="T825" s="1060">
        <v>25952</v>
      </c>
    </row>
    <row r="826" spans="1:20" x14ac:dyDescent="0.25">
      <c r="A826" s="1054">
        <v>99001</v>
      </c>
      <c r="B826" s="1055" t="s">
        <v>3369</v>
      </c>
      <c r="C826" s="1056">
        <v>8.2226E-3</v>
      </c>
      <c r="D826" s="1056">
        <v>8.0949000000000004E-3</v>
      </c>
      <c r="E826" s="1057">
        <v>19506819</v>
      </c>
      <c r="F826" s="1057" t="s">
        <v>187</v>
      </c>
      <c r="G826" s="1058">
        <v>3009439</v>
      </c>
      <c r="H826" s="1059">
        <v>2677706</v>
      </c>
      <c r="I826" s="1058">
        <v>5176357</v>
      </c>
      <c r="J826" s="1057">
        <v>209363</v>
      </c>
      <c r="K826" s="1059">
        <f t="shared" si="28"/>
        <v>11072865</v>
      </c>
      <c r="L826" s="1057"/>
      <c r="M826" s="1058">
        <v>100982</v>
      </c>
      <c r="N826" s="1058">
        <v>0</v>
      </c>
      <c r="O826" s="1057">
        <v>0</v>
      </c>
      <c r="P826" s="1059">
        <f t="shared" si="29"/>
        <v>100982</v>
      </c>
      <c r="Q826" s="1057"/>
      <c r="R826" s="1058">
        <v>5418471</v>
      </c>
      <c r="S826" s="1057">
        <v>195187</v>
      </c>
      <c r="T826" s="1060">
        <v>5613658</v>
      </c>
    </row>
    <row r="827" spans="1:20" x14ac:dyDescent="0.25">
      <c r="A827" s="1054">
        <v>99011</v>
      </c>
      <c r="B827" s="1055" t="s">
        <v>3370</v>
      </c>
      <c r="C827" s="1056">
        <v>3.8665000000000001E-3</v>
      </c>
      <c r="D827" s="1056">
        <v>3.8736999999999999E-3</v>
      </c>
      <c r="E827" s="1057">
        <v>9172660</v>
      </c>
      <c r="F827" s="1057" t="s">
        <v>187</v>
      </c>
      <c r="G827" s="1058">
        <v>1415124</v>
      </c>
      <c r="H827" s="1059">
        <v>1259134</v>
      </c>
      <c r="I827" s="1058">
        <v>2434070</v>
      </c>
      <c r="J827" s="1057">
        <v>838</v>
      </c>
      <c r="K827" s="1059">
        <f t="shared" si="28"/>
        <v>5109166</v>
      </c>
      <c r="L827" s="1057"/>
      <c r="M827" s="1058">
        <v>47484</v>
      </c>
      <c r="N827" s="1058">
        <v>0</v>
      </c>
      <c r="O827" s="1057">
        <v>184222</v>
      </c>
      <c r="P827" s="1059">
        <f t="shared" si="29"/>
        <v>231706</v>
      </c>
      <c r="Q827" s="1057"/>
      <c r="R827" s="1058">
        <v>2547919</v>
      </c>
      <c r="S827" s="1057">
        <v>-211857</v>
      </c>
      <c r="T827" s="1060">
        <v>2336062</v>
      </c>
    </row>
    <row r="828" spans="1:20" x14ac:dyDescent="0.25">
      <c r="A828" s="1054">
        <v>99013</v>
      </c>
      <c r="B828" s="1055" t="s">
        <v>3371</v>
      </c>
      <c r="C828" s="1056">
        <v>4.8900000000000003E-5</v>
      </c>
      <c r="D828" s="1056">
        <v>5.5999999999999999E-5</v>
      </c>
      <c r="E828" s="1057">
        <v>116008</v>
      </c>
      <c r="F828" s="1057" t="s">
        <v>187</v>
      </c>
      <c r="G828" s="1058">
        <v>17897</v>
      </c>
      <c r="H828" s="1059">
        <v>15924</v>
      </c>
      <c r="I828" s="1058">
        <v>30784</v>
      </c>
      <c r="J828" s="1057">
        <v>0</v>
      </c>
      <c r="K828" s="1059">
        <f t="shared" si="28"/>
        <v>64605</v>
      </c>
      <c r="L828" s="1057"/>
      <c r="M828" s="1058">
        <v>601</v>
      </c>
      <c r="N828" s="1058">
        <v>0</v>
      </c>
      <c r="O828" s="1057">
        <v>6685</v>
      </c>
      <c r="P828" s="1059">
        <f t="shared" si="29"/>
        <v>7286</v>
      </c>
      <c r="Q828" s="1057"/>
      <c r="R828" s="1058">
        <v>32224</v>
      </c>
      <c r="S828" s="1057">
        <v>-3150</v>
      </c>
      <c r="T828" s="1060">
        <v>29074</v>
      </c>
    </row>
    <row r="829" spans="1:20" x14ac:dyDescent="0.25">
      <c r="A829" s="1054">
        <v>99014</v>
      </c>
      <c r="B829" s="1055" t="s">
        <v>3372</v>
      </c>
      <c r="C829" s="1056">
        <v>1.45E-5</v>
      </c>
      <c r="D829" s="1056">
        <v>2.0100000000000001E-5</v>
      </c>
      <c r="E829" s="1057">
        <v>34399</v>
      </c>
      <c r="F829" s="1057" t="s">
        <v>187</v>
      </c>
      <c r="G829" s="1058">
        <v>5307</v>
      </c>
      <c r="H829" s="1059">
        <v>4722</v>
      </c>
      <c r="I829" s="1058">
        <v>9128</v>
      </c>
      <c r="J829" s="1057">
        <v>8368</v>
      </c>
      <c r="K829" s="1059">
        <f t="shared" si="28"/>
        <v>27525</v>
      </c>
      <c r="L829" s="1057"/>
      <c r="M829" s="1058">
        <v>178</v>
      </c>
      <c r="N829" s="1058">
        <v>0</v>
      </c>
      <c r="O829" s="1057">
        <v>225</v>
      </c>
      <c r="P829" s="1059">
        <f t="shared" si="29"/>
        <v>403</v>
      </c>
      <c r="Q829" s="1057"/>
      <c r="R829" s="1058">
        <v>9555</v>
      </c>
      <c r="S829" s="1057">
        <v>4279</v>
      </c>
      <c r="T829" s="1060">
        <v>13834</v>
      </c>
    </row>
    <row r="830" spans="1:20" x14ac:dyDescent="0.25">
      <c r="A830" s="1054">
        <v>99017</v>
      </c>
      <c r="B830" s="1055" t="s">
        <v>3373</v>
      </c>
      <c r="C830" s="1056">
        <v>4.5599999999999997E-5</v>
      </c>
      <c r="D830" s="1056">
        <v>5.13E-5</v>
      </c>
      <c r="E830" s="1057">
        <v>108179</v>
      </c>
      <c r="F830" s="1057" t="s">
        <v>187</v>
      </c>
      <c r="G830" s="1058">
        <v>16689</v>
      </c>
      <c r="H830" s="1059">
        <v>14849</v>
      </c>
      <c r="I830" s="1058">
        <v>28706</v>
      </c>
      <c r="J830" s="1057">
        <v>5362</v>
      </c>
      <c r="K830" s="1059">
        <f t="shared" si="28"/>
        <v>65606</v>
      </c>
      <c r="L830" s="1057"/>
      <c r="M830" s="1058">
        <v>560</v>
      </c>
      <c r="N830" s="1058">
        <v>0</v>
      </c>
      <c r="O830" s="1057">
        <v>3293</v>
      </c>
      <c r="P830" s="1059">
        <f t="shared" si="29"/>
        <v>3853</v>
      </c>
      <c r="Q830" s="1057"/>
      <c r="R830" s="1058">
        <v>30049</v>
      </c>
      <c r="S830" s="1057">
        <v>-1419</v>
      </c>
      <c r="T830" s="1060">
        <v>28630</v>
      </c>
    </row>
    <row r="831" spans="1:20" x14ac:dyDescent="0.25">
      <c r="A831" s="1054">
        <v>99021</v>
      </c>
      <c r="B831" s="1055" t="s">
        <v>4338</v>
      </c>
      <c r="C831" s="1056">
        <v>1.3200000000000001E-4</v>
      </c>
      <c r="D831" s="1056">
        <v>1.5249999999999999E-4</v>
      </c>
      <c r="E831" s="1057">
        <v>313149</v>
      </c>
      <c r="F831" s="1057" t="s">
        <v>187</v>
      </c>
      <c r="G831" s="1058">
        <v>48311</v>
      </c>
      <c r="H831" s="1059">
        <v>42986</v>
      </c>
      <c r="I831" s="1058">
        <v>83098</v>
      </c>
      <c r="J831" s="1057">
        <v>7338</v>
      </c>
      <c r="K831" s="1059">
        <f t="shared" si="28"/>
        <v>181733</v>
      </c>
      <c r="L831" s="1057"/>
      <c r="M831" s="1058">
        <v>1621</v>
      </c>
      <c r="N831" s="1058">
        <v>0</v>
      </c>
      <c r="O831" s="1057">
        <v>13687</v>
      </c>
      <c r="P831" s="1059">
        <f t="shared" si="29"/>
        <v>15308</v>
      </c>
      <c r="Q831" s="1057"/>
      <c r="R831" s="1058">
        <v>86984</v>
      </c>
      <c r="S831" s="1057">
        <v>669</v>
      </c>
      <c r="T831" s="1060">
        <v>87653</v>
      </c>
    </row>
    <row r="832" spans="1:20" x14ac:dyDescent="0.25">
      <c r="A832" s="1054">
        <v>99022</v>
      </c>
      <c r="B832" s="1055" t="s">
        <v>4339</v>
      </c>
      <c r="C832" s="1056">
        <v>9.9000000000000001E-6</v>
      </c>
      <c r="D832" s="1056">
        <v>1.08E-5</v>
      </c>
      <c r="E832" s="1057">
        <v>23486</v>
      </c>
      <c r="F832" s="1057" t="s">
        <v>187</v>
      </c>
      <c r="G832" s="1058">
        <v>3623</v>
      </c>
      <c r="H832" s="1059">
        <v>3224</v>
      </c>
      <c r="I832" s="1058">
        <v>6232</v>
      </c>
      <c r="J832" s="1057">
        <v>10975</v>
      </c>
      <c r="K832" s="1059">
        <f t="shared" si="28"/>
        <v>24054</v>
      </c>
      <c r="L832" s="1057"/>
      <c r="M832" s="1058">
        <v>122</v>
      </c>
      <c r="N832" s="1058">
        <v>0</v>
      </c>
      <c r="O832" s="1057">
        <v>0</v>
      </c>
      <c r="P832" s="1059">
        <f t="shared" si="29"/>
        <v>122</v>
      </c>
      <c r="Q832" s="1057"/>
      <c r="R832" s="1058">
        <v>6524</v>
      </c>
      <c r="S832" s="1057">
        <v>4162</v>
      </c>
      <c r="T832" s="1060">
        <v>10686</v>
      </c>
    </row>
    <row r="833" spans="1:20" x14ac:dyDescent="0.25">
      <c r="A833" s="1054">
        <v>99031</v>
      </c>
      <c r="B833" s="1055" t="s">
        <v>4340</v>
      </c>
      <c r="C833" s="1056">
        <v>1.3669999999999999E-4</v>
      </c>
      <c r="D833" s="1056">
        <v>1.518E-4</v>
      </c>
      <c r="E833" s="1057">
        <v>324299</v>
      </c>
      <c r="F833" s="1057" t="s">
        <v>187</v>
      </c>
      <c r="G833" s="1058">
        <v>50032</v>
      </c>
      <c r="H833" s="1059">
        <v>44516</v>
      </c>
      <c r="I833" s="1058">
        <v>86056</v>
      </c>
      <c r="J833" s="1057">
        <v>1850</v>
      </c>
      <c r="K833" s="1059">
        <f t="shared" si="28"/>
        <v>182454</v>
      </c>
      <c r="L833" s="1057"/>
      <c r="M833" s="1058">
        <v>1679</v>
      </c>
      <c r="N833" s="1058">
        <v>0</v>
      </c>
      <c r="O833" s="1057">
        <v>27900</v>
      </c>
      <c r="P833" s="1059">
        <f t="shared" si="29"/>
        <v>29579</v>
      </c>
      <c r="Q833" s="1057"/>
      <c r="R833" s="1058">
        <v>90082</v>
      </c>
      <c r="S833" s="1057">
        <v>-15810</v>
      </c>
      <c r="T833" s="1060">
        <v>74272</v>
      </c>
    </row>
    <row r="834" spans="1:20" x14ac:dyDescent="0.25">
      <c r="A834" s="1054">
        <v>99041</v>
      </c>
      <c r="B834" s="1055" t="s">
        <v>4341</v>
      </c>
      <c r="C834" s="1056">
        <v>6.6399999999999999E-4</v>
      </c>
      <c r="D834" s="1056">
        <v>6.3500000000000004E-4</v>
      </c>
      <c r="E834" s="1057">
        <v>1575235</v>
      </c>
      <c r="F834" s="1057" t="s">
        <v>187</v>
      </c>
      <c r="G834" s="1058">
        <v>243021</v>
      </c>
      <c r="H834" s="1059">
        <v>216233</v>
      </c>
      <c r="I834" s="1058">
        <v>418007</v>
      </c>
      <c r="J834" s="1057">
        <v>24066</v>
      </c>
      <c r="K834" s="1059">
        <f t="shared" si="28"/>
        <v>901327</v>
      </c>
      <c r="L834" s="1057"/>
      <c r="M834" s="1058">
        <v>8155</v>
      </c>
      <c r="N834" s="1058">
        <v>0</v>
      </c>
      <c r="O834" s="1057">
        <v>13122</v>
      </c>
      <c r="P834" s="1059">
        <f t="shared" si="29"/>
        <v>21277</v>
      </c>
      <c r="Q834" s="1057"/>
      <c r="R834" s="1058">
        <v>437558</v>
      </c>
      <c r="S834" s="1057">
        <v>25573</v>
      </c>
      <c r="T834" s="1060">
        <v>463131</v>
      </c>
    </row>
    <row r="835" spans="1:20" x14ac:dyDescent="0.25">
      <c r="A835" s="1054">
        <v>99047</v>
      </c>
      <c r="B835" s="1055" t="s">
        <v>3377</v>
      </c>
      <c r="C835" s="1056">
        <v>1.56E-5</v>
      </c>
      <c r="D835" s="1056">
        <v>1.42E-5</v>
      </c>
      <c r="E835" s="1057">
        <v>37009</v>
      </c>
      <c r="F835" s="1057" t="s">
        <v>187</v>
      </c>
      <c r="G835" s="1058">
        <v>5710</v>
      </c>
      <c r="H835" s="1059">
        <v>5080</v>
      </c>
      <c r="I835" s="1058">
        <v>9821</v>
      </c>
      <c r="J835" s="1057">
        <v>6776</v>
      </c>
      <c r="K835" s="1059">
        <f t="shared" si="28"/>
        <v>27387</v>
      </c>
      <c r="L835" s="1057"/>
      <c r="M835" s="1058">
        <v>192</v>
      </c>
      <c r="N835" s="1058">
        <v>0</v>
      </c>
      <c r="O835" s="1057">
        <v>0</v>
      </c>
      <c r="P835" s="1059">
        <f t="shared" si="29"/>
        <v>192</v>
      </c>
      <c r="Q835" s="1057"/>
      <c r="R835" s="1058">
        <v>10280</v>
      </c>
      <c r="S835" s="1057">
        <v>3015</v>
      </c>
      <c r="T835" s="1060">
        <v>13295</v>
      </c>
    </row>
    <row r="836" spans="1:20" x14ac:dyDescent="0.25">
      <c r="A836" s="1054">
        <v>99051</v>
      </c>
      <c r="B836" s="1055" t="s">
        <v>4342</v>
      </c>
      <c r="C836" s="1056">
        <v>3.5330000000000002E-4</v>
      </c>
      <c r="D836" s="1056">
        <v>3.5359999999999998E-4</v>
      </c>
      <c r="E836" s="1057">
        <v>838148</v>
      </c>
      <c r="F836" s="1057" t="s">
        <v>187</v>
      </c>
      <c r="G836" s="1058">
        <v>129306</v>
      </c>
      <c r="H836" s="1059">
        <v>115053</v>
      </c>
      <c r="I836" s="1058">
        <v>222412</v>
      </c>
      <c r="J836" s="1057">
        <v>6035</v>
      </c>
      <c r="K836" s="1059">
        <f t="shared" si="28"/>
        <v>472806</v>
      </c>
      <c r="L836" s="1057"/>
      <c r="M836" s="1058">
        <v>4339</v>
      </c>
      <c r="N836" s="1058">
        <v>0</v>
      </c>
      <c r="O836" s="1057">
        <v>13404</v>
      </c>
      <c r="P836" s="1059">
        <f t="shared" si="29"/>
        <v>17743</v>
      </c>
      <c r="Q836" s="1057"/>
      <c r="R836" s="1058">
        <v>232815</v>
      </c>
      <c r="S836" s="1057">
        <v>1887</v>
      </c>
      <c r="T836" s="1060">
        <v>234702</v>
      </c>
    </row>
    <row r="837" spans="1:20" x14ac:dyDescent="0.25">
      <c r="A837" s="1054">
        <v>99061</v>
      </c>
      <c r="B837" s="1055" t="s">
        <v>4343</v>
      </c>
      <c r="C837" s="1056">
        <v>7.5000000000000002E-6</v>
      </c>
      <c r="D837" s="1056">
        <v>8.1000000000000004E-6</v>
      </c>
      <c r="E837" s="1057">
        <v>17793</v>
      </c>
      <c r="F837" s="1057" t="s">
        <v>187</v>
      </c>
      <c r="G837" s="1058">
        <v>2745</v>
      </c>
      <c r="H837" s="1059">
        <v>2443</v>
      </c>
      <c r="I837" s="1058">
        <v>4721</v>
      </c>
      <c r="J837" s="1057">
        <v>7969</v>
      </c>
      <c r="K837" s="1059">
        <f t="shared" si="28"/>
        <v>17878</v>
      </c>
      <c r="L837" s="1057"/>
      <c r="M837" s="1058">
        <v>92</v>
      </c>
      <c r="N837" s="1058">
        <v>0</v>
      </c>
      <c r="O837" s="1057">
        <v>0</v>
      </c>
      <c r="P837" s="1059">
        <f t="shared" si="29"/>
        <v>92</v>
      </c>
      <c r="Q837" s="1057"/>
      <c r="R837" s="1058">
        <v>4942</v>
      </c>
      <c r="S837" s="1057">
        <v>3513</v>
      </c>
      <c r="T837" s="1060">
        <v>8455</v>
      </c>
    </row>
    <row r="838" spans="1:20" x14ac:dyDescent="0.25">
      <c r="A838" s="1054">
        <v>99071</v>
      </c>
      <c r="B838" s="1055" t="s">
        <v>4344</v>
      </c>
      <c r="C838" s="1056">
        <v>2.2799999999999999E-5</v>
      </c>
      <c r="D838" s="1056">
        <v>3.04E-5</v>
      </c>
      <c r="E838" s="1057">
        <v>54089</v>
      </c>
      <c r="F838" s="1057" t="s">
        <v>187</v>
      </c>
      <c r="G838" s="1058">
        <v>8345</v>
      </c>
      <c r="H838" s="1059">
        <v>7425</v>
      </c>
      <c r="I838" s="1058">
        <v>14353</v>
      </c>
      <c r="J838" s="1057">
        <v>614</v>
      </c>
      <c r="K838" s="1059">
        <f t="shared" si="28"/>
        <v>30737</v>
      </c>
      <c r="L838" s="1057"/>
      <c r="M838" s="1058">
        <v>280</v>
      </c>
      <c r="N838" s="1058">
        <v>0</v>
      </c>
      <c r="O838" s="1057">
        <v>4179</v>
      </c>
      <c r="P838" s="1059">
        <f t="shared" si="29"/>
        <v>4459</v>
      </c>
      <c r="Q838" s="1057"/>
      <c r="R838" s="1058">
        <v>15025</v>
      </c>
      <c r="S838" s="1057">
        <v>-1950</v>
      </c>
      <c r="T838" s="1060">
        <v>13075</v>
      </c>
    </row>
    <row r="839" spans="1:20" x14ac:dyDescent="0.25">
      <c r="A839" s="1054">
        <v>99081</v>
      </c>
      <c r="B839" s="1055" t="s">
        <v>4345</v>
      </c>
      <c r="C839" s="1056">
        <v>1.4600000000000001E-5</v>
      </c>
      <c r="D839" s="1056">
        <v>1.1E-5</v>
      </c>
      <c r="E839" s="1057">
        <v>34636</v>
      </c>
      <c r="F839" s="1057" t="s">
        <v>187</v>
      </c>
      <c r="G839" s="1058">
        <v>5344</v>
      </c>
      <c r="H839" s="1059">
        <v>4755</v>
      </c>
      <c r="I839" s="1058">
        <v>9191</v>
      </c>
      <c r="J839" s="1057">
        <v>5866</v>
      </c>
      <c r="K839" s="1059">
        <f t="shared" si="28"/>
        <v>25156</v>
      </c>
      <c r="L839" s="1057"/>
      <c r="M839" s="1058">
        <v>179</v>
      </c>
      <c r="N839" s="1058">
        <v>0</v>
      </c>
      <c r="O839" s="1057">
        <v>8362</v>
      </c>
      <c r="P839" s="1059">
        <f t="shared" si="29"/>
        <v>8541</v>
      </c>
      <c r="Q839" s="1057"/>
      <c r="R839" s="1058">
        <v>9621</v>
      </c>
      <c r="S839" s="1057">
        <v>-1818</v>
      </c>
      <c r="T839" s="1060">
        <v>7803</v>
      </c>
    </row>
    <row r="840" spans="1:20" x14ac:dyDescent="0.25">
      <c r="A840" s="1054">
        <v>99091</v>
      </c>
      <c r="B840" s="1055" t="s">
        <v>4346</v>
      </c>
      <c r="C840" s="1056">
        <v>3.4999999999999999E-6</v>
      </c>
      <c r="D840" s="1056">
        <v>3.9999999999999998E-6</v>
      </c>
      <c r="E840" s="1057">
        <v>8303</v>
      </c>
      <c r="F840" s="1057" t="s">
        <v>187</v>
      </c>
      <c r="G840" s="1058">
        <v>1281</v>
      </c>
      <c r="H840" s="1059">
        <v>1140</v>
      </c>
      <c r="I840" s="1058">
        <v>2203</v>
      </c>
      <c r="J840" s="1057">
        <v>5036</v>
      </c>
      <c r="K840" s="1059">
        <f t="shared" si="28"/>
        <v>9660</v>
      </c>
      <c r="L840" s="1057"/>
      <c r="M840" s="1058">
        <v>43</v>
      </c>
      <c r="N840" s="1058">
        <v>0</v>
      </c>
      <c r="O840" s="1057">
        <v>0</v>
      </c>
      <c r="P840" s="1059">
        <f t="shared" si="29"/>
        <v>43</v>
      </c>
      <c r="Q840" s="1057"/>
      <c r="R840" s="1058">
        <v>2306</v>
      </c>
      <c r="S840" s="1057">
        <v>-1327</v>
      </c>
      <c r="T840" s="1060">
        <v>979</v>
      </c>
    </row>
    <row r="841" spans="1:20" x14ac:dyDescent="0.25">
      <c r="A841" s="1054">
        <v>99101</v>
      </c>
      <c r="B841" s="1055" t="s">
        <v>3383</v>
      </c>
      <c r="C841" s="1056">
        <v>2.1986000000000002E-3</v>
      </c>
      <c r="D841" s="1056">
        <v>2.1724000000000001E-3</v>
      </c>
      <c r="E841" s="1057">
        <v>5215831</v>
      </c>
      <c r="F841" s="1057" t="s">
        <v>187</v>
      </c>
      <c r="G841" s="1058">
        <v>804679</v>
      </c>
      <c r="H841" s="1059">
        <v>715979</v>
      </c>
      <c r="I841" s="1058">
        <v>1384080</v>
      </c>
      <c r="J841" s="1057">
        <v>34730</v>
      </c>
      <c r="K841" s="1059">
        <f t="shared" si="28"/>
        <v>2939468</v>
      </c>
      <c r="L841" s="1057"/>
      <c r="M841" s="1058">
        <v>27001</v>
      </c>
      <c r="N841" s="1058">
        <v>0</v>
      </c>
      <c r="O841" s="1057">
        <v>54085</v>
      </c>
      <c r="P841" s="1059">
        <f t="shared" si="29"/>
        <v>81086</v>
      </c>
      <c r="Q841" s="1057"/>
      <c r="R841" s="1058">
        <v>1448818</v>
      </c>
      <c r="S841" s="1057">
        <v>-23157</v>
      </c>
      <c r="T841" s="1060">
        <v>1425661</v>
      </c>
    </row>
    <row r="842" spans="1:20" x14ac:dyDescent="0.25">
      <c r="A842" s="1054">
        <v>99104</v>
      </c>
      <c r="B842" s="1055" t="s">
        <v>3384</v>
      </c>
      <c r="C842" s="1056">
        <v>3.4E-5</v>
      </c>
      <c r="D842" s="1056">
        <v>3.3500000000000001E-5</v>
      </c>
      <c r="E842" s="1057">
        <v>80660</v>
      </c>
      <c r="F842" s="1057" t="s">
        <v>187</v>
      </c>
      <c r="G842" s="1058">
        <v>12444</v>
      </c>
      <c r="H842" s="1059">
        <v>11072</v>
      </c>
      <c r="I842" s="1058">
        <v>21404</v>
      </c>
      <c r="J842" s="1057">
        <v>16545</v>
      </c>
      <c r="K842" s="1059">
        <f t="shared" si="28"/>
        <v>61465</v>
      </c>
      <c r="L842" s="1057"/>
      <c r="M842" s="1058">
        <v>418</v>
      </c>
      <c r="N842" s="1058">
        <v>0</v>
      </c>
      <c r="O842" s="1057">
        <v>0</v>
      </c>
      <c r="P842" s="1059">
        <f t="shared" si="29"/>
        <v>418</v>
      </c>
      <c r="Q842" s="1057"/>
      <c r="R842" s="1058">
        <v>22405</v>
      </c>
      <c r="S842" s="1057">
        <v>8025</v>
      </c>
      <c r="T842" s="1060">
        <v>30430</v>
      </c>
    </row>
    <row r="843" spans="1:20" x14ac:dyDescent="0.25">
      <c r="A843" s="1054">
        <v>99109</v>
      </c>
      <c r="B843" s="1055" t="s">
        <v>3385</v>
      </c>
      <c r="C843" s="1056">
        <v>1.194E-4</v>
      </c>
      <c r="D843" s="1056">
        <v>1.2339999999999999E-4</v>
      </c>
      <c r="E843" s="1057">
        <v>283258</v>
      </c>
      <c r="F843" s="1057" t="s">
        <v>187</v>
      </c>
      <c r="G843" s="1058">
        <v>43700</v>
      </c>
      <c r="H843" s="1059">
        <v>38883</v>
      </c>
      <c r="I843" s="1058">
        <v>75166</v>
      </c>
      <c r="J843" s="1057">
        <v>3815</v>
      </c>
      <c r="K843" s="1059">
        <f t="shared" si="28"/>
        <v>161564</v>
      </c>
      <c r="L843" s="1057"/>
      <c r="M843" s="1058">
        <v>1466</v>
      </c>
      <c r="N843" s="1058">
        <v>0</v>
      </c>
      <c r="O843" s="1057">
        <v>8952</v>
      </c>
      <c r="P843" s="1059">
        <f t="shared" si="29"/>
        <v>10418</v>
      </c>
      <c r="Q843" s="1057"/>
      <c r="R843" s="1058">
        <v>78681</v>
      </c>
      <c r="S843" s="1057">
        <v>-6025</v>
      </c>
      <c r="T843" s="1060">
        <v>72656</v>
      </c>
    </row>
    <row r="844" spans="1:20" x14ac:dyDescent="0.25">
      <c r="A844" s="1054">
        <v>99110</v>
      </c>
      <c r="B844" s="1055" t="s">
        <v>3386</v>
      </c>
      <c r="C844" s="1056">
        <v>1.75E-4</v>
      </c>
      <c r="D844" s="1056">
        <v>1.7670000000000001E-4</v>
      </c>
      <c r="E844" s="1057">
        <v>415160</v>
      </c>
      <c r="F844" s="1057" t="s">
        <v>187</v>
      </c>
      <c r="G844" s="1058">
        <v>64049</v>
      </c>
      <c r="H844" s="1059">
        <v>56989</v>
      </c>
      <c r="I844" s="1058">
        <v>110167</v>
      </c>
      <c r="J844" s="1057">
        <v>70943</v>
      </c>
      <c r="K844" s="1059">
        <f t="shared" si="28"/>
        <v>302148</v>
      </c>
      <c r="L844" s="1057"/>
      <c r="M844" s="1058">
        <v>2149</v>
      </c>
      <c r="N844" s="1058">
        <v>0</v>
      </c>
      <c r="O844" s="1057">
        <v>0</v>
      </c>
      <c r="P844" s="1059">
        <f t="shared" si="29"/>
        <v>2149</v>
      </c>
      <c r="Q844" s="1057"/>
      <c r="R844" s="1058">
        <v>115320</v>
      </c>
      <c r="S844" s="1057">
        <v>34935</v>
      </c>
      <c r="T844" s="1060">
        <v>150255</v>
      </c>
    </row>
    <row r="845" spans="1:20" x14ac:dyDescent="0.25">
      <c r="A845" s="1054">
        <v>99111</v>
      </c>
      <c r="B845" s="1055" t="s">
        <v>3387</v>
      </c>
      <c r="C845" s="1056">
        <v>1.3067E-3</v>
      </c>
      <c r="D845" s="1056">
        <v>1.2618E-3</v>
      </c>
      <c r="E845" s="1057">
        <v>3099939</v>
      </c>
      <c r="F845" s="1057" t="s">
        <v>187</v>
      </c>
      <c r="G845" s="1058">
        <v>478247</v>
      </c>
      <c r="H845" s="1059">
        <v>425529</v>
      </c>
      <c r="I845" s="1058">
        <v>822604</v>
      </c>
      <c r="J845" s="1057">
        <v>0</v>
      </c>
      <c r="K845" s="1059">
        <f t="shared" si="28"/>
        <v>1726380</v>
      </c>
      <c r="L845" s="1057"/>
      <c r="M845" s="1058">
        <v>16048</v>
      </c>
      <c r="N845" s="1058">
        <v>0</v>
      </c>
      <c r="O845" s="1057">
        <v>85364</v>
      </c>
      <c r="P845" s="1059">
        <f t="shared" si="29"/>
        <v>101412</v>
      </c>
      <c r="Q845" s="1057"/>
      <c r="R845" s="1058">
        <v>861080</v>
      </c>
      <c r="S845" s="1057">
        <v>-70799</v>
      </c>
      <c r="T845" s="1060">
        <v>790281</v>
      </c>
    </row>
    <row r="846" spans="1:20" x14ac:dyDescent="0.25">
      <c r="A846" s="1054">
        <v>99201</v>
      </c>
      <c r="B846" s="1055" t="s">
        <v>3388</v>
      </c>
      <c r="C846" s="1056">
        <v>3.4217999999999998E-2</v>
      </c>
      <c r="D846" s="1056">
        <v>3.3297199999999999E-2</v>
      </c>
      <c r="E846" s="1057">
        <v>81176799</v>
      </c>
      <c r="F846" s="1057" t="s">
        <v>187</v>
      </c>
      <c r="G846" s="1058">
        <v>12523651</v>
      </c>
      <c r="H846" s="1059">
        <v>11143160</v>
      </c>
      <c r="I846" s="1058">
        <v>21541189</v>
      </c>
      <c r="J846" s="1057">
        <v>1400637</v>
      </c>
      <c r="K846" s="1059">
        <f t="shared" si="28"/>
        <v>46608637</v>
      </c>
      <c r="L846" s="1057"/>
      <c r="M846" s="1058">
        <v>420231</v>
      </c>
      <c r="N846" s="1058">
        <v>0</v>
      </c>
      <c r="O846" s="1057">
        <v>0</v>
      </c>
      <c r="P846" s="1059">
        <f t="shared" si="29"/>
        <v>420231</v>
      </c>
      <c r="Q846" s="1057"/>
      <c r="R846" s="1058">
        <v>22548738</v>
      </c>
      <c r="S846" s="1057">
        <v>386921</v>
      </c>
      <c r="T846" s="1060">
        <v>22935659</v>
      </c>
    </row>
    <row r="847" spans="1:20" x14ac:dyDescent="0.25">
      <c r="A847" s="1054">
        <v>99202</v>
      </c>
      <c r="B847" s="1055" t="s">
        <v>4347</v>
      </c>
      <c r="C847" s="1056">
        <v>2.7011000000000001E-3</v>
      </c>
      <c r="D847" s="1056">
        <v>2.5855000000000001E-3</v>
      </c>
      <c r="E847" s="1057">
        <v>6407933</v>
      </c>
      <c r="F847" s="1057" t="s">
        <v>187</v>
      </c>
      <c r="G847" s="1058">
        <v>988592</v>
      </c>
      <c r="H847" s="1059">
        <v>879618</v>
      </c>
      <c r="I847" s="1058">
        <v>1700418</v>
      </c>
      <c r="J847" s="1057">
        <v>0</v>
      </c>
      <c r="K847" s="1059">
        <f t="shared" si="28"/>
        <v>3568628</v>
      </c>
      <c r="L847" s="1057"/>
      <c r="M847" s="1058">
        <v>33172</v>
      </c>
      <c r="N847" s="1058">
        <v>0</v>
      </c>
      <c r="O847" s="1057">
        <v>120022</v>
      </c>
      <c r="P847" s="1059">
        <f t="shared" si="29"/>
        <v>153194</v>
      </c>
      <c r="Q847" s="1057"/>
      <c r="R847" s="1058">
        <v>1779952</v>
      </c>
      <c r="S847" s="1057">
        <v>-75166</v>
      </c>
      <c r="T847" s="1060">
        <v>1704786</v>
      </c>
    </row>
    <row r="848" spans="1:20" x14ac:dyDescent="0.25">
      <c r="A848" s="1054">
        <v>99203</v>
      </c>
      <c r="B848" s="1055" t="s">
        <v>4348</v>
      </c>
      <c r="C848" s="1056">
        <v>2.9760000000000002E-4</v>
      </c>
      <c r="D848" s="1056">
        <v>3.0410000000000002E-4</v>
      </c>
      <c r="E848" s="1057">
        <v>706009</v>
      </c>
      <c r="F848" s="1057" t="s">
        <v>187</v>
      </c>
      <c r="G848" s="1058">
        <v>108920</v>
      </c>
      <c r="H848" s="1059">
        <v>96914</v>
      </c>
      <c r="I848" s="1058">
        <v>187348</v>
      </c>
      <c r="J848" s="1057">
        <v>8157</v>
      </c>
      <c r="K848" s="1059">
        <f t="shared" si="28"/>
        <v>401339</v>
      </c>
      <c r="L848" s="1057"/>
      <c r="M848" s="1058">
        <v>3655</v>
      </c>
      <c r="N848" s="1058">
        <v>0</v>
      </c>
      <c r="O848" s="1057">
        <v>26201</v>
      </c>
      <c r="P848" s="1059">
        <f t="shared" si="29"/>
        <v>29856</v>
      </c>
      <c r="Q848" s="1057"/>
      <c r="R848" s="1058">
        <v>196110</v>
      </c>
      <c r="S848" s="1057">
        <v>8430</v>
      </c>
      <c r="T848" s="1060">
        <v>204540</v>
      </c>
    </row>
    <row r="849" spans="1:20" x14ac:dyDescent="0.25">
      <c r="A849" s="1054">
        <v>99204</v>
      </c>
      <c r="B849" s="1055" t="s">
        <v>3391</v>
      </c>
      <c r="C849" s="1056">
        <v>9.2520000000000005E-4</v>
      </c>
      <c r="D849" s="1056">
        <v>8.3549999999999998E-4</v>
      </c>
      <c r="E849" s="1057">
        <v>2194891</v>
      </c>
      <c r="F849" s="1057" t="s">
        <v>187</v>
      </c>
      <c r="G849" s="1058">
        <v>338619</v>
      </c>
      <c r="H849" s="1059">
        <v>301293</v>
      </c>
      <c r="I849" s="1058">
        <v>582439</v>
      </c>
      <c r="J849" s="1057">
        <v>126160</v>
      </c>
      <c r="K849" s="1059">
        <f t="shared" si="28"/>
        <v>1348511</v>
      </c>
      <c r="L849" s="1057"/>
      <c r="M849" s="1058">
        <v>11362</v>
      </c>
      <c r="N849" s="1058">
        <v>0</v>
      </c>
      <c r="O849" s="1057">
        <v>0</v>
      </c>
      <c r="P849" s="1059">
        <f t="shared" si="29"/>
        <v>11362</v>
      </c>
      <c r="Q849" s="1057"/>
      <c r="R849" s="1058">
        <v>609682</v>
      </c>
      <c r="S849" s="1057">
        <v>51409</v>
      </c>
      <c r="T849" s="1060">
        <v>661091</v>
      </c>
    </row>
    <row r="850" spans="1:20" x14ac:dyDescent="0.25">
      <c r="A850" s="1054">
        <v>99206</v>
      </c>
      <c r="B850" s="1055" t="s">
        <v>4349</v>
      </c>
      <c r="C850" s="1056">
        <v>1.7377E-3</v>
      </c>
      <c r="D850" s="1056">
        <v>1.6957999999999999E-3</v>
      </c>
      <c r="E850" s="1057">
        <v>4122419</v>
      </c>
      <c r="F850" s="1057" t="s">
        <v>187</v>
      </c>
      <c r="G850" s="1058">
        <v>635991</v>
      </c>
      <c r="H850" s="1059">
        <v>565885</v>
      </c>
      <c r="I850" s="1058">
        <v>1093931</v>
      </c>
      <c r="J850" s="1057">
        <v>840347</v>
      </c>
      <c r="K850" s="1059">
        <f t="shared" si="28"/>
        <v>3136154</v>
      </c>
      <c r="L850" s="1057"/>
      <c r="M850" s="1058">
        <v>21341</v>
      </c>
      <c r="N850" s="1058">
        <v>0</v>
      </c>
      <c r="O850" s="1057">
        <v>0</v>
      </c>
      <c r="P850" s="1059">
        <f t="shared" si="29"/>
        <v>21341</v>
      </c>
      <c r="Q850" s="1057"/>
      <c r="R850" s="1058">
        <v>1145097</v>
      </c>
      <c r="S850" s="1057">
        <v>312871</v>
      </c>
      <c r="T850" s="1060">
        <v>1457968</v>
      </c>
    </row>
    <row r="851" spans="1:20" x14ac:dyDescent="0.25">
      <c r="A851" s="1054">
        <v>99207</v>
      </c>
      <c r="B851" s="1055" t="s">
        <v>3592</v>
      </c>
      <c r="C851" s="1056">
        <v>1.3990000000000001E-4</v>
      </c>
      <c r="D851" s="1056">
        <v>1.3329999999999999E-4</v>
      </c>
      <c r="E851" s="1057">
        <v>331891</v>
      </c>
      <c r="F851" s="1057" t="s">
        <v>187</v>
      </c>
      <c r="G851" s="1058">
        <v>51203</v>
      </c>
      <c r="H851" s="1059">
        <v>45559</v>
      </c>
      <c r="I851" s="1058">
        <v>88071</v>
      </c>
      <c r="J851" s="1057">
        <v>190835</v>
      </c>
      <c r="K851" s="1059">
        <f t="shared" si="28"/>
        <v>375668</v>
      </c>
      <c r="L851" s="1057"/>
      <c r="M851" s="1058">
        <v>1718</v>
      </c>
      <c r="N851" s="1058">
        <v>0</v>
      </c>
      <c r="O851" s="1057">
        <v>0</v>
      </c>
      <c r="P851" s="1059">
        <f t="shared" si="29"/>
        <v>1718</v>
      </c>
      <c r="Q851" s="1057"/>
      <c r="R851" s="1058">
        <v>92190</v>
      </c>
      <c r="S851" s="1057">
        <v>69872</v>
      </c>
      <c r="T851" s="1060">
        <v>162062</v>
      </c>
    </row>
    <row r="852" spans="1:20" x14ac:dyDescent="0.25">
      <c r="A852" s="1054">
        <v>99208</v>
      </c>
      <c r="B852" s="1055" t="s">
        <v>3394</v>
      </c>
      <c r="C852" s="1056">
        <v>2.3560000000000001E-4</v>
      </c>
      <c r="D852" s="1056">
        <v>1.4569999999999999E-4</v>
      </c>
      <c r="E852" s="1057">
        <v>558924</v>
      </c>
      <c r="F852" s="1057" t="s">
        <v>187</v>
      </c>
      <c r="G852" s="1058">
        <v>86229</v>
      </c>
      <c r="H852" s="1059">
        <v>76723</v>
      </c>
      <c r="I852" s="1058">
        <v>148317</v>
      </c>
      <c r="J852" s="1057">
        <v>50056</v>
      </c>
      <c r="K852" s="1059">
        <f t="shared" si="28"/>
        <v>361325</v>
      </c>
      <c r="L852" s="1057"/>
      <c r="M852" s="1058">
        <v>2893</v>
      </c>
      <c r="N852" s="1058">
        <v>0</v>
      </c>
      <c r="O852" s="1057">
        <v>18070</v>
      </c>
      <c r="P852" s="1059">
        <f t="shared" si="29"/>
        <v>20963</v>
      </c>
      <c r="Q852" s="1057"/>
      <c r="R852" s="1058">
        <v>155254</v>
      </c>
      <c r="S852" s="1057">
        <v>-7938</v>
      </c>
      <c r="T852" s="1060">
        <v>147316</v>
      </c>
    </row>
    <row r="853" spans="1:20" x14ac:dyDescent="0.25">
      <c r="A853" s="1054">
        <v>99210</v>
      </c>
      <c r="B853" s="1055" t="s">
        <v>3395</v>
      </c>
      <c r="C853" s="1056">
        <v>1.6613000000000001E-3</v>
      </c>
      <c r="D853" s="1056">
        <v>1.5943999999999999E-3</v>
      </c>
      <c r="E853" s="1057">
        <v>3941172</v>
      </c>
      <c r="F853" s="1057" t="s">
        <v>187</v>
      </c>
      <c r="G853" s="1058">
        <v>608029</v>
      </c>
      <c r="H853" s="1059">
        <v>541006</v>
      </c>
      <c r="I853" s="1058">
        <v>1045835</v>
      </c>
      <c r="J853" s="1057">
        <v>151956</v>
      </c>
      <c r="K853" s="1059">
        <f t="shared" si="28"/>
        <v>2346826</v>
      </c>
      <c r="L853" s="1057"/>
      <c r="M853" s="1058">
        <v>20402</v>
      </c>
      <c r="N853" s="1058">
        <v>0</v>
      </c>
      <c r="O853" s="1057">
        <v>0</v>
      </c>
      <c r="P853" s="1059">
        <f t="shared" si="29"/>
        <v>20402</v>
      </c>
      <c r="Q853" s="1057"/>
      <c r="R853" s="1058">
        <v>1094752</v>
      </c>
      <c r="S853" s="1057">
        <v>62014</v>
      </c>
      <c r="T853" s="1060">
        <v>1156766</v>
      </c>
    </row>
    <row r="854" spans="1:20" x14ac:dyDescent="0.25">
      <c r="A854" s="1054">
        <v>99211</v>
      </c>
      <c r="B854" s="1055" t="s">
        <v>3396</v>
      </c>
      <c r="C854" s="1056">
        <v>3.8652899999999997E-2</v>
      </c>
      <c r="D854" s="1056">
        <v>3.7100599999999997E-2</v>
      </c>
      <c r="E854" s="1057">
        <v>91697898</v>
      </c>
      <c r="F854" s="1057" t="s">
        <v>187</v>
      </c>
      <c r="G854" s="1058">
        <v>14146807</v>
      </c>
      <c r="H854" s="1059">
        <v>12587395</v>
      </c>
      <c r="I854" s="1058">
        <v>24333083</v>
      </c>
      <c r="J854" s="1057">
        <v>650029</v>
      </c>
      <c r="K854" s="1059">
        <f t="shared" si="28"/>
        <v>51717314</v>
      </c>
      <c r="L854" s="1057"/>
      <c r="M854" s="1058">
        <v>474696</v>
      </c>
      <c r="N854" s="1058">
        <v>0</v>
      </c>
      <c r="O854" s="1057">
        <v>1116278</v>
      </c>
      <c r="P854" s="1059">
        <f t="shared" si="29"/>
        <v>1590974</v>
      </c>
      <c r="Q854" s="1057"/>
      <c r="R854" s="1058">
        <v>25471217</v>
      </c>
      <c r="S854" s="1057">
        <v>-560159</v>
      </c>
      <c r="T854" s="1060">
        <v>24911058</v>
      </c>
    </row>
    <row r="855" spans="1:20" x14ac:dyDescent="0.25">
      <c r="A855" s="1054">
        <v>99212</v>
      </c>
      <c r="B855" s="1055" t="s">
        <v>3397</v>
      </c>
      <c r="C855" s="1056">
        <v>7.2200000000000007E-5</v>
      </c>
      <c r="D855" s="1056">
        <v>8.14E-5</v>
      </c>
      <c r="E855" s="1057">
        <v>171283</v>
      </c>
      <c r="F855" s="1057" t="s">
        <v>187</v>
      </c>
      <c r="G855" s="1058">
        <v>26425</v>
      </c>
      <c r="H855" s="1059">
        <v>23512</v>
      </c>
      <c r="I855" s="1058">
        <v>45452</v>
      </c>
      <c r="J855" s="1057">
        <v>181</v>
      </c>
      <c r="K855" s="1059">
        <f t="shared" ref="K855:K918" si="32">G855+H855+I855+J855</f>
        <v>95570</v>
      </c>
      <c r="L855" s="1057"/>
      <c r="M855" s="1058">
        <v>887</v>
      </c>
      <c r="N855" s="1058">
        <v>0</v>
      </c>
      <c r="O855" s="1057">
        <v>27961</v>
      </c>
      <c r="P855" s="1059">
        <f t="shared" ref="P855:P918" si="33">M855+N855+O855</f>
        <v>28848</v>
      </c>
      <c r="Q855" s="1057"/>
      <c r="R855" s="1058">
        <v>47578</v>
      </c>
      <c r="S855" s="1057">
        <v>-17534</v>
      </c>
      <c r="T855" s="1060">
        <v>30044</v>
      </c>
    </row>
    <row r="856" spans="1:20" x14ac:dyDescent="0.25">
      <c r="A856" s="1054">
        <v>99213</v>
      </c>
      <c r="B856" s="1055" t="s">
        <v>3398</v>
      </c>
      <c r="C856" s="1056">
        <v>7.6519999999999995E-4</v>
      </c>
      <c r="D856" s="1056">
        <v>7.5159999999999995E-4</v>
      </c>
      <c r="E856" s="1057">
        <v>1815316</v>
      </c>
      <c r="F856" s="1057" t="s">
        <v>187</v>
      </c>
      <c r="G856" s="1058">
        <v>280060</v>
      </c>
      <c r="H856" s="1059">
        <v>249189</v>
      </c>
      <c r="I856" s="1058">
        <v>481715</v>
      </c>
      <c r="J856" s="1057">
        <v>17354</v>
      </c>
      <c r="K856" s="1059">
        <f t="shared" si="32"/>
        <v>1028318</v>
      </c>
      <c r="L856" s="1057"/>
      <c r="M856" s="1058">
        <v>9397</v>
      </c>
      <c r="N856" s="1058">
        <v>0</v>
      </c>
      <c r="O856" s="1057">
        <v>31841</v>
      </c>
      <c r="P856" s="1059">
        <f t="shared" si="33"/>
        <v>41238</v>
      </c>
      <c r="Q856" s="1057"/>
      <c r="R856" s="1058">
        <v>504246</v>
      </c>
      <c r="S856" s="1057">
        <v>-6642</v>
      </c>
      <c r="T856" s="1060">
        <v>497604</v>
      </c>
    </row>
    <row r="857" spans="1:20" x14ac:dyDescent="0.25">
      <c r="A857" s="1054">
        <v>99218</v>
      </c>
      <c r="B857" s="1055" t="s">
        <v>3399</v>
      </c>
      <c r="C857" s="1056">
        <v>3.3276999999999998E-3</v>
      </c>
      <c r="D857" s="1056">
        <v>3.1162E-3</v>
      </c>
      <c r="E857" s="1057">
        <v>7894442</v>
      </c>
      <c r="F857" s="1057" t="s">
        <v>187</v>
      </c>
      <c r="G857" s="1058">
        <v>1217925</v>
      </c>
      <c r="H857" s="1059">
        <v>1083672</v>
      </c>
      <c r="I857" s="1058">
        <v>2094880</v>
      </c>
      <c r="J857" s="1057">
        <v>301160</v>
      </c>
      <c r="K857" s="1059">
        <f t="shared" si="32"/>
        <v>4697637</v>
      </c>
      <c r="L857" s="1057"/>
      <c r="M857" s="1058">
        <v>40867</v>
      </c>
      <c r="N857" s="1058">
        <v>0</v>
      </c>
      <c r="O857" s="1057">
        <v>0</v>
      </c>
      <c r="P857" s="1059">
        <f t="shared" si="33"/>
        <v>40867</v>
      </c>
      <c r="Q857" s="1057"/>
      <c r="R857" s="1058">
        <v>2192864</v>
      </c>
      <c r="S857" s="1057">
        <v>113866</v>
      </c>
      <c r="T857" s="1060">
        <v>2306730</v>
      </c>
    </row>
    <row r="858" spans="1:20" x14ac:dyDescent="0.25">
      <c r="A858" s="1054">
        <v>99221</v>
      </c>
      <c r="B858" s="1055" t="s">
        <v>4350</v>
      </c>
      <c r="C858" s="1056">
        <v>1.26885E-2</v>
      </c>
      <c r="D858" s="1056">
        <v>1.27709E-2</v>
      </c>
      <c r="E858" s="1057">
        <v>30101461</v>
      </c>
      <c r="F858" s="1057" t="s">
        <v>187</v>
      </c>
      <c r="G858" s="1058">
        <v>4643940</v>
      </c>
      <c r="H858" s="1059">
        <v>4132035</v>
      </c>
      <c r="I858" s="1058">
        <v>7987766</v>
      </c>
      <c r="J858" s="1057">
        <v>0</v>
      </c>
      <c r="K858" s="1059">
        <f t="shared" si="32"/>
        <v>16763741</v>
      </c>
      <c r="L858" s="1057"/>
      <c r="M858" s="1058">
        <v>155827</v>
      </c>
      <c r="N858" s="1058">
        <v>0</v>
      </c>
      <c r="O858" s="1057">
        <v>578576</v>
      </c>
      <c r="P858" s="1059">
        <f t="shared" si="33"/>
        <v>734403</v>
      </c>
      <c r="Q858" s="1057"/>
      <c r="R858" s="1058">
        <v>8361379</v>
      </c>
      <c r="S858" s="1057">
        <v>-311894</v>
      </c>
      <c r="T858" s="1060">
        <v>8049485</v>
      </c>
    </row>
    <row r="859" spans="1:20" x14ac:dyDescent="0.25">
      <c r="A859" s="1054">
        <v>99222</v>
      </c>
      <c r="B859" s="1055" t="s">
        <v>3401</v>
      </c>
      <c r="C859" s="1056">
        <v>3.7200000000000003E-5</v>
      </c>
      <c r="D859" s="1056">
        <v>3.9100000000000002E-5</v>
      </c>
      <c r="E859" s="1057">
        <v>88251</v>
      </c>
      <c r="F859" s="1057" t="s">
        <v>187</v>
      </c>
      <c r="G859" s="1058">
        <v>13615</v>
      </c>
      <c r="H859" s="1059">
        <v>12114</v>
      </c>
      <c r="I859" s="1058">
        <v>23418</v>
      </c>
      <c r="J859" s="1057">
        <v>1038</v>
      </c>
      <c r="K859" s="1059">
        <f t="shared" si="32"/>
        <v>50185</v>
      </c>
      <c r="L859" s="1057"/>
      <c r="M859" s="1058">
        <v>457</v>
      </c>
      <c r="N859" s="1058">
        <v>0</v>
      </c>
      <c r="O859" s="1057">
        <v>5264</v>
      </c>
      <c r="P859" s="1059">
        <f t="shared" si="33"/>
        <v>5721</v>
      </c>
      <c r="Q859" s="1057"/>
      <c r="R859" s="1058">
        <v>24514</v>
      </c>
      <c r="S859" s="1057">
        <v>-385</v>
      </c>
      <c r="T859" s="1060">
        <v>24129</v>
      </c>
    </row>
    <row r="860" spans="1:20" x14ac:dyDescent="0.25">
      <c r="A860" s="1054">
        <v>99231</v>
      </c>
      <c r="B860" s="1055" t="s">
        <v>4351</v>
      </c>
      <c r="C860" s="1056">
        <v>3.6329999999999999E-4</v>
      </c>
      <c r="D860" s="1056">
        <v>3.7179999999999998E-4</v>
      </c>
      <c r="E860" s="1057">
        <v>861872</v>
      </c>
      <c r="F860" s="1057" t="s">
        <v>187</v>
      </c>
      <c r="G860" s="1058">
        <v>132966</v>
      </c>
      <c r="H860" s="1059">
        <v>118310</v>
      </c>
      <c r="I860" s="1058">
        <v>228708</v>
      </c>
      <c r="J860" s="1057">
        <v>0</v>
      </c>
      <c r="K860" s="1059">
        <f t="shared" si="32"/>
        <v>479984</v>
      </c>
      <c r="L860" s="1057"/>
      <c r="M860" s="1058">
        <v>4462</v>
      </c>
      <c r="N860" s="1058">
        <v>0</v>
      </c>
      <c r="O860" s="1057">
        <v>28617</v>
      </c>
      <c r="P860" s="1059">
        <f t="shared" si="33"/>
        <v>33079</v>
      </c>
      <c r="Q860" s="1057"/>
      <c r="R860" s="1058">
        <v>239405</v>
      </c>
      <c r="S860" s="1057">
        <v>-17866</v>
      </c>
      <c r="T860" s="1060">
        <v>221539</v>
      </c>
    </row>
    <row r="861" spans="1:20" x14ac:dyDescent="0.25">
      <c r="A861" s="1054">
        <v>99241</v>
      </c>
      <c r="B861" s="1055" t="s">
        <v>4352</v>
      </c>
      <c r="C861" s="1056">
        <v>5.488E-4</v>
      </c>
      <c r="D861" s="1056">
        <v>5.5329999999999995E-4</v>
      </c>
      <c r="E861" s="1057">
        <v>1301941</v>
      </c>
      <c r="F861" s="1057" t="s">
        <v>187</v>
      </c>
      <c r="G861" s="1058">
        <v>200859</v>
      </c>
      <c r="H861" s="1059">
        <v>178718</v>
      </c>
      <c r="I861" s="1058">
        <v>345485</v>
      </c>
      <c r="J861" s="1057">
        <v>0</v>
      </c>
      <c r="K861" s="1059">
        <f t="shared" si="32"/>
        <v>725062</v>
      </c>
      <c r="L861" s="1057"/>
      <c r="M861" s="1058">
        <v>6740</v>
      </c>
      <c r="N861" s="1058">
        <v>0</v>
      </c>
      <c r="O861" s="1057">
        <v>64351</v>
      </c>
      <c r="P861" s="1059">
        <f t="shared" si="33"/>
        <v>71091</v>
      </c>
      <c r="Q861" s="1057"/>
      <c r="R861" s="1058">
        <v>361644</v>
      </c>
      <c r="S861" s="1057">
        <v>-55208</v>
      </c>
      <c r="T861" s="1060">
        <v>306436</v>
      </c>
    </row>
    <row r="862" spans="1:20" x14ac:dyDescent="0.25">
      <c r="A862" s="1054">
        <v>99251</v>
      </c>
      <c r="B862" s="1055" t="s">
        <v>4353</v>
      </c>
      <c r="C862" s="1056">
        <v>1.5935000000000001E-3</v>
      </c>
      <c r="D862" s="1056">
        <v>1.6069000000000001E-3</v>
      </c>
      <c r="E862" s="1057">
        <v>3780327</v>
      </c>
      <c r="F862" s="1057" t="s">
        <v>187</v>
      </c>
      <c r="G862" s="1058">
        <v>583215</v>
      </c>
      <c r="H862" s="1059">
        <v>518926</v>
      </c>
      <c r="I862" s="1058">
        <v>1003153</v>
      </c>
      <c r="J862" s="1057">
        <v>1524</v>
      </c>
      <c r="K862" s="1059">
        <f t="shared" si="32"/>
        <v>2106818</v>
      </c>
      <c r="L862" s="1057"/>
      <c r="M862" s="1058">
        <v>19570</v>
      </c>
      <c r="N862" s="1058">
        <v>0</v>
      </c>
      <c r="O862" s="1057">
        <v>33789</v>
      </c>
      <c r="P862" s="1059">
        <f t="shared" si="33"/>
        <v>53359</v>
      </c>
      <c r="Q862" s="1057"/>
      <c r="R862" s="1058">
        <v>1050073</v>
      </c>
      <c r="S862" s="1057">
        <v>-15782</v>
      </c>
      <c r="T862" s="1060">
        <v>1034291</v>
      </c>
    </row>
    <row r="863" spans="1:20" x14ac:dyDescent="0.25">
      <c r="A863" s="1054">
        <v>99252</v>
      </c>
      <c r="B863" s="1055" t="s">
        <v>3405</v>
      </c>
      <c r="C863" s="1056">
        <v>6.7239999999999997E-4</v>
      </c>
      <c r="D863" s="1056">
        <v>6.1269999999999999E-4</v>
      </c>
      <c r="E863" s="1057">
        <v>1595163</v>
      </c>
      <c r="F863" s="1057" t="s">
        <v>187</v>
      </c>
      <c r="G863" s="1058">
        <v>246096</v>
      </c>
      <c r="H863" s="1059">
        <v>218968</v>
      </c>
      <c r="I863" s="1058">
        <v>423295</v>
      </c>
      <c r="J863" s="1057">
        <v>0</v>
      </c>
      <c r="K863" s="1059">
        <f t="shared" si="32"/>
        <v>888359</v>
      </c>
      <c r="L863" s="1057"/>
      <c r="M863" s="1058">
        <v>8258</v>
      </c>
      <c r="N863" s="1058">
        <v>0</v>
      </c>
      <c r="O863" s="1057">
        <v>146683</v>
      </c>
      <c r="P863" s="1059">
        <f t="shared" si="33"/>
        <v>154941</v>
      </c>
      <c r="Q863" s="1057"/>
      <c r="R863" s="1058">
        <v>443093</v>
      </c>
      <c r="S863" s="1057">
        <v>-93460</v>
      </c>
      <c r="T863" s="1060">
        <v>349633</v>
      </c>
    </row>
    <row r="864" spans="1:20" x14ac:dyDescent="0.25">
      <c r="A864" s="1054">
        <v>99261</v>
      </c>
      <c r="B864" s="1055" t="s">
        <v>4354</v>
      </c>
      <c r="C864" s="1056">
        <v>2.0975999999999998E-3</v>
      </c>
      <c r="D864" s="1056">
        <v>1.9938E-3</v>
      </c>
      <c r="E864" s="1057">
        <v>4976225</v>
      </c>
      <c r="F864" s="1057" t="s">
        <v>187</v>
      </c>
      <c r="G864" s="1058">
        <v>767713</v>
      </c>
      <c r="H864" s="1059">
        <v>683088</v>
      </c>
      <c r="I864" s="1058">
        <v>1320498</v>
      </c>
      <c r="J864" s="1057">
        <v>0</v>
      </c>
      <c r="K864" s="1059">
        <f t="shared" si="32"/>
        <v>2771299</v>
      </c>
      <c r="L864" s="1057"/>
      <c r="M864" s="1058">
        <v>25761</v>
      </c>
      <c r="N864" s="1058">
        <v>0</v>
      </c>
      <c r="O864" s="1057">
        <v>102016</v>
      </c>
      <c r="P864" s="1059">
        <f t="shared" si="33"/>
        <v>127777</v>
      </c>
      <c r="Q864" s="1057"/>
      <c r="R864" s="1058">
        <v>1382262</v>
      </c>
      <c r="S864" s="1057">
        <v>-74815</v>
      </c>
      <c r="T864" s="1060">
        <v>1307447</v>
      </c>
    </row>
    <row r="865" spans="1:20" x14ac:dyDescent="0.25">
      <c r="A865" s="1054">
        <v>99271</v>
      </c>
      <c r="B865" s="1055" t="s">
        <v>4355</v>
      </c>
      <c r="C865" s="1056">
        <v>4.2411999999999997E-3</v>
      </c>
      <c r="D865" s="1056">
        <v>4.0137000000000003E-3</v>
      </c>
      <c r="E865" s="1057">
        <v>10061577</v>
      </c>
      <c r="F865" s="1057" t="s">
        <v>187</v>
      </c>
      <c r="G865" s="1058">
        <v>1552262</v>
      </c>
      <c r="H865" s="1059">
        <v>1381155</v>
      </c>
      <c r="I865" s="1058">
        <v>2669954</v>
      </c>
      <c r="J865" s="1057">
        <v>74425</v>
      </c>
      <c r="K865" s="1059">
        <f t="shared" si="32"/>
        <v>5677796</v>
      </c>
      <c r="L865" s="1057"/>
      <c r="M865" s="1058">
        <v>52086</v>
      </c>
      <c r="N865" s="1058">
        <v>0</v>
      </c>
      <c r="O865" s="1057">
        <v>77503</v>
      </c>
      <c r="P865" s="1059">
        <f t="shared" si="33"/>
        <v>129589</v>
      </c>
      <c r="Q865" s="1057"/>
      <c r="R865" s="1058">
        <v>2794836</v>
      </c>
      <c r="S865" s="1057">
        <v>-26683</v>
      </c>
      <c r="T865" s="1060">
        <v>2768153</v>
      </c>
    </row>
    <row r="866" spans="1:20" x14ac:dyDescent="0.25">
      <c r="A866" s="1054">
        <v>99281</v>
      </c>
      <c r="B866" s="1055" t="s">
        <v>4356</v>
      </c>
      <c r="C866" s="1056">
        <v>2.3770000000000002E-3</v>
      </c>
      <c r="D866" s="1056">
        <v>2.2918999999999999E-3</v>
      </c>
      <c r="E866" s="1057">
        <v>5639057</v>
      </c>
      <c r="F866" s="1057" t="s">
        <v>187</v>
      </c>
      <c r="G866" s="1058">
        <v>869972</v>
      </c>
      <c r="H866" s="1059">
        <v>774075</v>
      </c>
      <c r="I866" s="1058">
        <v>1496388</v>
      </c>
      <c r="J866" s="1057">
        <v>19048</v>
      </c>
      <c r="K866" s="1059">
        <f t="shared" si="32"/>
        <v>3159483</v>
      </c>
      <c r="L866" s="1057"/>
      <c r="M866" s="1058">
        <v>29192</v>
      </c>
      <c r="N866" s="1058">
        <v>0</v>
      </c>
      <c r="O866" s="1057">
        <v>84495</v>
      </c>
      <c r="P866" s="1059">
        <f t="shared" si="33"/>
        <v>113687</v>
      </c>
      <c r="Q866" s="1057"/>
      <c r="R866" s="1058">
        <v>1566379</v>
      </c>
      <c r="S866" s="1057">
        <v>-32585</v>
      </c>
      <c r="T866" s="1060">
        <v>1533794</v>
      </c>
    </row>
    <row r="867" spans="1:20" x14ac:dyDescent="0.25">
      <c r="A867" s="1054">
        <v>99291</v>
      </c>
      <c r="B867" s="1055" t="s">
        <v>4357</v>
      </c>
      <c r="C867" s="1056">
        <v>8.2370000000000002E-4</v>
      </c>
      <c r="D867" s="1056">
        <v>7.3499999999999998E-4</v>
      </c>
      <c r="E867" s="1057">
        <v>1954098</v>
      </c>
      <c r="F867" s="1057" t="s">
        <v>187</v>
      </c>
      <c r="G867" s="1058">
        <v>301471</v>
      </c>
      <c r="H867" s="1059">
        <v>268240</v>
      </c>
      <c r="I867" s="1058">
        <v>518542</v>
      </c>
      <c r="J867" s="1057">
        <v>12562</v>
      </c>
      <c r="K867" s="1059">
        <f t="shared" si="32"/>
        <v>1100815</v>
      </c>
      <c r="L867" s="1057"/>
      <c r="M867" s="1058">
        <v>10116</v>
      </c>
      <c r="N867" s="1058">
        <v>0</v>
      </c>
      <c r="O867" s="1057">
        <v>82354</v>
      </c>
      <c r="P867" s="1059">
        <f t="shared" si="33"/>
        <v>92470</v>
      </c>
      <c r="Q867" s="1057"/>
      <c r="R867" s="1058">
        <v>542796</v>
      </c>
      <c r="S867" s="1057">
        <v>-52321</v>
      </c>
      <c r="T867" s="1060">
        <v>490475</v>
      </c>
    </row>
    <row r="868" spans="1:20" x14ac:dyDescent="0.25">
      <c r="A868" s="1054">
        <v>99301</v>
      </c>
      <c r="B868" s="1055" t="s">
        <v>3410</v>
      </c>
      <c r="C868" s="1056">
        <v>1.7239E-3</v>
      </c>
      <c r="D868" s="1056">
        <v>1.7879E-3</v>
      </c>
      <c r="E868" s="1057">
        <v>4089680</v>
      </c>
      <c r="F868" s="1057" t="s">
        <v>187</v>
      </c>
      <c r="G868" s="1058">
        <v>630941</v>
      </c>
      <c r="H868" s="1059">
        <v>561391</v>
      </c>
      <c r="I868" s="1058">
        <v>1085243</v>
      </c>
      <c r="J868" s="1057">
        <v>12780</v>
      </c>
      <c r="K868" s="1059">
        <f t="shared" si="32"/>
        <v>2290355</v>
      </c>
      <c r="L868" s="1057"/>
      <c r="M868" s="1058">
        <v>21171</v>
      </c>
      <c r="N868" s="1058">
        <v>0</v>
      </c>
      <c r="O868" s="1057">
        <v>110271</v>
      </c>
      <c r="P868" s="1059">
        <f t="shared" si="33"/>
        <v>131442</v>
      </c>
      <c r="Q868" s="1057"/>
      <c r="R868" s="1058">
        <v>1136004</v>
      </c>
      <c r="S868" s="1057">
        <v>22906</v>
      </c>
      <c r="T868" s="1060">
        <v>1158910</v>
      </c>
    </row>
    <row r="869" spans="1:20" x14ac:dyDescent="0.25">
      <c r="A869" s="1054">
        <v>99304</v>
      </c>
      <c r="B869" s="1055" t="s">
        <v>3411</v>
      </c>
      <c r="C869" s="1056">
        <v>8.4999999999999999E-6</v>
      </c>
      <c r="D869" s="1056">
        <v>9.2E-6</v>
      </c>
      <c r="E869" s="1057">
        <v>20165</v>
      </c>
      <c r="F869" s="1057" t="s">
        <v>187</v>
      </c>
      <c r="G869" s="1058">
        <v>3111</v>
      </c>
      <c r="H869" s="1059">
        <v>2768</v>
      </c>
      <c r="I869" s="1058">
        <v>5351</v>
      </c>
      <c r="J869" s="1057">
        <v>5796</v>
      </c>
      <c r="K869" s="1059">
        <f t="shared" si="32"/>
        <v>17026</v>
      </c>
      <c r="L869" s="1057"/>
      <c r="M869" s="1058">
        <v>104</v>
      </c>
      <c r="N869" s="1058">
        <v>0</v>
      </c>
      <c r="O869" s="1057">
        <v>0</v>
      </c>
      <c r="P869" s="1059">
        <f t="shared" si="33"/>
        <v>104</v>
      </c>
      <c r="Q869" s="1057"/>
      <c r="R869" s="1058">
        <v>5601</v>
      </c>
      <c r="S869" s="1057">
        <v>2064</v>
      </c>
      <c r="T869" s="1060">
        <v>7665</v>
      </c>
    </row>
    <row r="870" spans="1:20" x14ac:dyDescent="0.25">
      <c r="A870" s="1054">
        <v>99311</v>
      </c>
      <c r="B870" s="1055" t="s">
        <v>4358</v>
      </c>
      <c r="C870" s="1056">
        <v>6.0699999999999998E-5</v>
      </c>
      <c r="D870" s="1056">
        <v>5.4299999999999998E-5</v>
      </c>
      <c r="E870" s="1057">
        <v>144001</v>
      </c>
      <c r="F870" s="1057" t="s">
        <v>187</v>
      </c>
      <c r="G870" s="1058">
        <v>22216</v>
      </c>
      <c r="H870" s="1059">
        <v>19767</v>
      </c>
      <c r="I870" s="1058">
        <v>38212</v>
      </c>
      <c r="J870" s="1057">
        <v>4078</v>
      </c>
      <c r="K870" s="1059">
        <f t="shared" si="32"/>
        <v>84273</v>
      </c>
      <c r="L870" s="1057"/>
      <c r="M870" s="1058">
        <v>745</v>
      </c>
      <c r="N870" s="1058">
        <v>0</v>
      </c>
      <c r="O870" s="1057">
        <v>3557</v>
      </c>
      <c r="P870" s="1059">
        <f t="shared" si="33"/>
        <v>4302</v>
      </c>
      <c r="Q870" s="1057"/>
      <c r="R870" s="1058">
        <v>40000</v>
      </c>
      <c r="S870" s="1057">
        <v>-2182</v>
      </c>
      <c r="T870" s="1060">
        <v>37818</v>
      </c>
    </row>
    <row r="871" spans="1:20" x14ac:dyDescent="0.25">
      <c r="A871" s="1054">
        <v>99321</v>
      </c>
      <c r="B871" s="1055" t="s">
        <v>4359</v>
      </c>
      <c r="C871" s="1056">
        <v>8.7000000000000001E-5</v>
      </c>
      <c r="D871" s="1056">
        <v>1.1E-4</v>
      </c>
      <c r="E871" s="1057">
        <v>206394</v>
      </c>
      <c r="F871" s="1057" t="s">
        <v>187</v>
      </c>
      <c r="G871" s="1058">
        <v>31842</v>
      </c>
      <c r="H871" s="1059">
        <v>28331</v>
      </c>
      <c r="I871" s="1058">
        <v>54769</v>
      </c>
      <c r="J871" s="1057">
        <v>80354</v>
      </c>
      <c r="K871" s="1059">
        <f t="shared" si="32"/>
        <v>195296</v>
      </c>
      <c r="L871" s="1057"/>
      <c r="M871" s="1058">
        <v>1068</v>
      </c>
      <c r="N871" s="1058">
        <v>0</v>
      </c>
      <c r="O871" s="1057">
        <v>0</v>
      </c>
      <c r="P871" s="1059">
        <f t="shared" si="33"/>
        <v>1068</v>
      </c>
      <c r="Q871" s="1057"/>
      <c r="R871" s="1058">
        <v>57331</v>
      </c>
      <c r="S871" s="1057">
        <v>48383</v>
      </c>
      <c r="T871" s="1060">
        <v>105714</v>
      </c>
    </row>
    <row r="872" spans="1:20" x14ac:dyDescent="0.25">
      <c r="A872" s="1054">
        <v>99401</v>
      </c>
      <c r="B872" s="1055" t="s">
        <v>3414</v>
      </c>
      <c r="C872" s="1056">
        <v>8.3949999999999997E-4</v>
      </c>
      <c r="D872" s="1056">
        <v>9.2389999999999996E-4</v>
      </c>
      <c r="E872" s="1057">
        <v>1991581</v>
      </c>
      <c r="F872" s="1057" t="s">
        <v>187</v>
      </c>
      <c r="G872" s="1058">
        <v>307254</v>
      </c>
      <c r="H872" s="1059">
        <v>273385</v>
      </c>
      <c r="I872" s="1058">
        <v>528489</v>
      </c>
      <c r="J872" s="1057">
        <v>7764</v>
      </c>
      <c r="K872" s="1059">
        <f t="shared" si="32"/>
        <v>1116892</v>
      </c>
      <c r="L872" s="1057"/>
      <c r="M872" s="1058">
        <v>10310</v>
      </c>
      <c r="N872" s="1058">
        <v>0</v>
      </c>
      <c r="O872" s="1057">
        <v>71466</v>
      </c>
      <c r="P872" s="1059">
        <f t="shared" si="33"/>
        <v>81776</v>
      </c>
      <c r="Q872" s="1057"/>
      <c r="R872" s="1058">
        <v>553208</v>
      </c>
      <c r="S872" s="1057">
        <v>7509</v>
      </c>
      <c r="T872" s="1060">
        <v>560717</v>
      </c>
    </row>
    <row r="873" spans="1:20" x14ac:dyDescent="0.25">
      <c r="A873" s="1054">
        <v>99404</v>
      </c>
      <c r="B873" s="1055" t="s">
        <v>3415</v>
      </c>
      <c r="C873" s="1056">
        <v>9.0999999999999993E-6</v>
      </c>
      <c r="D873" s="1056">
        <v>9.3999999999999998E-6</v>
      </c>
      <c r="E873" s="1057">
        <v>21588</v>
      </c>
      <c r="F873" s="1057" t="s">
        <v>187</v>
      </c>
      <c r="G873" s="1058">
        <v>3331</v>
      </c>
      <c r="H873" s="1059">
        <v>2963</v>
      </c>
      <c r="I873" s="1058">
        <v>5729</v>
      </c>
      <c r="J873" s="1057">
        <v>1629</v>
      </c>
      <c r="K873" s="1059">
        <f t="shared" si="32"/>
        <v>13652</v>
      </c>
      <c r="L873" s="1057"/>
      <c r="M873" s="1058">
        <v>112</v>
      </c>
      <c r="N873" s="1058">
        <v>0</v>
      </c>
      <c r="O873" s="1057">
        <v>0</v>
      </c>
      <c r="P873" s="1059">
        <f t="shared" si="33"/>
        <v>112</v>
      </c>
      <c r="Q873" s="1057"/>
      <c r="R873" s="1058">
        <v>5997</v>
      </c>
      <c r="S873" s="1057">
        <v>655</v>
      </c>
      <c r="T873" s="1060">
        <v>6652</v>
      </c>
    </row>
    <row r="874" spans="1:20" x14ac:dyDescent="0.25">
      <c r="A874" s="1054">
        <v>99405</v>
      </c>
      <c r="B874" s="1055" t="s">
        <v>3416</v>
      </c>
      <c r="C874" s="1056">
        <v>5.2200000000000002E-5</v>
      </c>
      <c r="D874" s="1056">
        <v>6.2700000000000006E-5</v>
      </c>
      <c r="E874" s="1057">
        <v>123836</v>
      </c>
      <c r="F874" s="1057" t="s">
        <v>187</v>
      </c>
      <c r="G874" s="1058">
        <v>19105</v>
      </c>
      <c r="H874" s="1059">
        <v>16999</v>
      </c>
      <c r="I874" s="1058">
        <v>32861</v>
      </c>
      <c r="J874" s="1057">
        <v>14217</v>
      </c>
      <c r="K874" s="1059">
        <f t="shared" si="32"/>
        <v>83182</v>
      </c>
      <c r="L874" s="1057"/>
      <c r="M874" s="1058">
        <v>641</v>
      </c>
      <c r="N874" s="1058">
        <v>0</v>
      </c>
      <c r="O874" s="1057">
        <v>0</v>
      </c>
      <c r="P874" s="1059">
        <f t="shared" si="33"/>
        <v>641</v>
      </c>
      <c r="Q874" s="1057"/>
      <c r="R874" s="1058">
        <v>34398</v>
      </c>
      <c r="S874" s="1057">
        <v>6652</v>
      </c>
      <c r="T874" s="1060">
        <v>41050</v>
      </c>
    </row>
    <row r="875" spans="1:20" x14ac:dyDescent="0.25">
      <c r="A875" s="1054">
        <v>99411</v>
      </c>
      <c r="B875" s="1055" t="s">
        <v>4360</v>
      </c>
      <c r="C875" s="1056">
        <v>1.7239999999999999E-4</v>
      </c>
      <c r="D875" s="1056">
        <v>1.583E-4</v>
      </c>
      <c r="E875" s="1057">
        <v>408992</v>
      </c>
      <c r="F875" s="1057" t="s">
        <v>187</v>
      </c>
      <c r="G875" s="1058">
        <v>63098</v>
      </c>
      <c r="H875" s="1059">
        <v>56142</v>
      </c>
      <c r="I875" s="1058">
        <v>108531</v>
      </c>
      <c r="J875" s="1057">
        <v>41315</v>
      </c>
      <c r="K875" s="1059">
        <f t="shared" si="32"/>
        <v>269086</v>
      </c>
      <c r="L875" s="1057"/>
      <c r="M875" s="1058">
        <v>2117</v>
      </c>
      <c r="N875" s="1058">
        <v>0</v>
      </c>
      <c r="O875" s="1057">
        <v>0</v>
      </c>
      <c r="P875" s="1059">
        <f t="shared" si="33"/>
        <v>2117</v>
      </c>
      <c r="Q875" s="1057"/>
      <c r="R875" s="1058">
        <v>113607</v>
      </c>
      <c r="S875" s="1057">
        <v>11785</v>
      </c>
      <c r="T875" s="1060">
        <v>125392</v>
      </c>
    </row>
    <row r="876" spans="1:20" x14ac:dyDescent="0.25">
      <c r="A876" s="1054">
        <v>99413</v>
      </c>
      <c r="B876" s="1055" t="s">
        <v>3418</v>
      </c>
      <c r="C876" s="1056">
        <v>1.98E-5</v>
      </c>
      <c r="D876" s="1056">
        <v>3.1099999999999997E-5</v>
      </c>
      <c r="E876" s="1057">
        <v>46972</v>
      </c>
      <c r="F876" s="1057" t="s">
        <v>187</v>
      </c>
      <c r="G876" s="1058">
        <v>7247</v>
      </c>
      <c r="H876" s="1059">
        <v>6448</v>
      </c>
      <c r="I876" s="1058">
        <v>12465</v>
      </c>
      <c r="J876" s="1057">
        <v>4311</v>
      </c>
      <c r="K876" s="1059">
        <f t="shared" si="32"/>
        <v>30471</v>
      </c>
      <c r="L876" s="1057"/>
      <c r="M876" s="1058">
        <v>243</v>
      </c>
      <c r="N876" s="1058">
        <v>0</v>
      </c>
      <c r="O876" s="1057">
        <v>5202</v>
      </c>
      <c r="P876" s="1059">
        <f t="shared" si="33"/>
        <v>5445</v>
      </c>
      <c r="Q876" s="1057"/>
      <c r="R876" s="1058">
        <v>13048</v>
      </c>
      <c r="S876" s="1057">
        <v>-653</v>
      </c>
      <c r="T876" s="1060">
        <v>12395</v>
      </c>
    </row>
    <row r="877" spans="1:20" x14ac:dyDescent="0.25">
      <c r="A877" s="1054">
        <v>99421</v>
      </c>
      <c r="B877" s="1055" t="s">
        <v>4361</v>
      </c>
      <c r="C877" s="1056">
        <v>1.24E-5</v>
      </c>
      <c r="D877" s="1056">
        <v>1.04E-5</v>
      </c>
      <c r="E877" s="1057">
        <v>29417</v>
      </c>
      <c r="F877" s="1057" t="s">
        <v>187</v>
      </c>
      <c r="G877" s="1058">
        <v>4538</v>
      </c>
      <c r="H877" s="1059">
        <v>4038</v>
      </c>
      <c r="I877" s="1058">
        <v>7806</v>
      </c>
      <c r="J877" s="1057">
        <v>917</v>
      </c>
      <c r="K877" s="1059">
        <f t="shared" si="32"/>
        <v>17299</v>
      </c>
      <c r="L877" s="1057"/>
      <c r="M877" s="1058">
        <v>152</v>
      </c>
      <c r="N877" s="1058">
        <v>0</v>
      </c>
      <c r="O877" s="1057">
        <v>3553</v>
      </c>
      <c r="P877" s="1059">
        <f t="shared" si="33"/>
        <v>3705</v>
      </c>
      <c r="Q877" s="1057"/>
      <c r="R877" s="1058">
        <v>8171</v>
      </c>
      <c r="S877" s="1057">
        <v>-895</v>
      </c>
      <c r="T877" s="1060">
        <v>7276</v>
      </c>
    </row>
    <row r="878" spans="1:20" x14ac:dyDescent="0.25">
      <c r="A878" s="1054">
        <v>99431</v>
      </c>
      <c r="B878" s="1055" t="s">
        <v>4362</v>
      </c>
      <c r="C878" s="1056">
        <v>2.1999999999999999E-5</v>
      </c>
      <c r="D878" s="1056">
        <v>2.2200000000000001E-5</v>
      </c>
      <c r="E878" s="1057">
        <v>52192</v>
      </c>
      <c r="F878" s="1057" t="s">
        <v>187</v>
      </c>
      <c r="G878" s="1058">
        <v>8052</v>
      </c>
      <c r="H878" s="1059">
        <v>7164</v>
      </c>
      <c r="I878" s="1058">
        <v>13850</v>
      </c>
      <c r="J878" s="1057">
        <v>0</v>
      </c>
      <c r="K878" s="1059">
        <f t="shared" si="32"/>
        <v>29066</v>
      </c>
      <c r="L878" s="1057"/>
      <c r="M878" s="1058">
        <v>270</v>
      </c>
      <c r="N878" s="1058">
        <v>0</v>
      </c>
      <c r="O878" s="1057">
        <v>4208</v>
      </c>
      <c r="P878" s="1059">
        <f t="shared" si="33"/>
        <v>4478</v>
      </c>
      <c r="Q878" s="1057"/>
      <c r="R878" s="1058">
        <v>14497</v>
      </c>
      <c r="S878" s="1057">
        <v>-434</v>
      </c>
      <c r="T878" s="1060">
        <v>14063</v>
      </c>
    </row>
    <row r="879" spans="1:20" x14ac:dyDescent="0.25">
      <c r="A879" s="1054">
        <v>99501</v>
      </c>
      <c r="B879" s="1055" t="s">
        <v>3421</v>
      </c>
      <c r="C879" s="1056">
        <v>1.6559000000000001E-3</v>
      </c>
      <c r="D879" s="1056">
        <v>1.6785000000000001E-3</v>
      </c>
      <c r="E879" s="1057">
        <v>3928361</v>
      </c>
      <c r="F879" s="1057" t="s">
        <v>187</v>
      </c>
      <c r="G879" s="1058">
        <v>606053</v>
      </c>
      <c r="H879" s="1059">
        <v>539247</v>
      </c>
      <c r="I879" s="1058">
        <v>1042435</v>
      </c>
      <c r="J879" s="1057">
        <v>26120</v>
      </c>
      <c r="K879" s="1059">
        <f t="shared" si="32"/>
        <v>2213855</v>
      </c>
      <c r="L879" s="1057"/>
      <c r="M879" s="1058">
        <v>20336</v>
      </c>
      <c r="N879" s="1058">
        <v>0</v>
      </c>
      <c r="O879" s="1057">
        <v>16129</v>
      </c>
      <c r="P879" s="1059">
        <f t="shared" si="33"/>
        <v>36465</v>
      </c>
      <c r="Q879" s="1057"/>
      <c r="R879" s="1058">
        <v>1091193</v>
      </c>
      <c r="S879" s="1057">
        <v>2662</v>
      </c>
      <c r="T879" s="1060">
        <v>1093855</v>
      </c>
    </row>
    <row r="880" spans="1:20" x14ac:dyDescent="0.25">
      <c r="A880" s="1054">
        <v>99502</v>
      </c>
      <c r="B880" s="1055" t="s">
        <v>3422</v>
      </c>
      <c r="C880" s="1056">
        <v>1.5699999999999999E-4</v>
      </c>
      <c r="D880" s="1056">
        <v>1.373E-4</v>
      </c>
      <c r="E880" s="1057">
        <v>372458</v>
      </c>
      <c r="F880" s="1057" t="s">
        <v>187</v>
      </c>
      <c r="G880" s="1058">
        <v>57461</v>
      </c>
      <c r="H880" s="1059">
        <v>51127</v>
      </c>
      <c r="I880" s="1058">
        <v>98836</v>
      </c>
      <c r="J880" s="1057">
        <v>20987</v>
      </c>
      <c r="K880" s="1059">
        <f t="shared" si="32"/>
        <v>228411</v>
      </c>
      <c r="L880" s="1057"/>
      <c r="M880" s="1058">
        <v>1928</v>
      </c>
      <c r="N880" s="1058">
        <v>0</v>
      </c>
      <c r="O880" s="1057">
        <v>0</v>
      </c>
      <c r="P880" s="1059">
        <f t="shared" si="33"/>
        <v>1928</v>
      </c>
      <c r="Q880" s="1057"/>
      <c r="R880" s="1058">
        <v>103459</v>
      </c>
      <c r="S880" s="1057">
        <v>11737</v>
      </c>
      <c r="T880" s="1060">
        <v>115196</v>
      </c>
    </row>
    <row r="881" spans="1:20" x14ac:dyDescent="0.25">
      <c r="A881" s="1054">
        <v>99508</v>
      </c>
      <c r="B881" s="1055" t="s">
        <v>3423</v>
      </c>
      <c r="C881" s="1056">
        <v>2.1699999999999999E-5</v>
      </c>
      <c r="D881" s="1056">
        <v>2.2099999999999998E-5</v>
      </c>
      <c r="E881" s="1057">
        <v>51480</v>
      </c>
      <c r="F881" s="1057" t="s">
        <v>187</v>
      </c>
      <c r="G881" s="1058">
        <v>7942</v>
      </c>
      <c r="H881" s="1059">
        <v>7067</v>
      </c>
      <c r="I881" s="1058">
        <v>13661</v>
      </c>
      <c r="J881" s="1057">
        <v>28</v>
      </c>
      <c r="K881" s="1059">
        <f t="shared" si="32"/>
        <v>28698</v>
      </c>
      <c r="L881" s="1057"/>
      <c r="M881" s="1058">
        <v>266</v>
      </c>
      <c r="N881" s="1058">
        <v>0</v>
      </c>
      <c r="O881" s="1057">
        <v>834</v>
      </c>
      <c r="P881" s="1059">
        <f t="shared" si="33"/>
        <v>1100</v>
      </c>
      <c r="Q881" s="1057"/>
      <c r="R881" s="1058">
        <v>14300</v>
      </c>
      <c r="S881" s="1057">
        <v>-1042</v>
      </c>
      <c r="T881" s="1060">
        <v>13258</v>
      </c>
    </row>
    <row r="882" spans="1:20" x14ac:dyDescent="0.25">
      <c r="A882" s="1054">
        <v>99509</v>
      </c>
      <c r="B882" s="1055" t="s">
        <v>3424</v>
      </c>
      <c r="C882" s="1056">
        <v>2.62E-5</v>
      </c>
      <c r="D882" s="1056">
        <v>2.76E-5</v>
      </c>
      <c r="E882" s="1057">
        <v>62155</v>
      </c>
      <c r="F882" s="1057" t="s">
        <v>187</v>
      </c>
      <c r="G882" s="1058">
        <v>9589</v>
      </c>
      <c r="H882" s="1059">
        <v>8532</v>
      </c>
      <c r="I882" s="1058">
        <v>16494</v>
      </c>
      <c r="J882" s="1057">
        <v>0</v>
      </c>
      <c r="K882" s="1059">
        <f t="shared" si="32"/>
        <v>34615</v>
      </c>
      <c r="L882" s="1057"/>
      <c r="M882" s="1058">
        <v>322</v>
      </c>
      <c r="N882" s="1058">
        <v>0</v>
      </c>
      <c r="O882" s="1057">
        <v>3733</v>
      </c>
      <c r="P882" s="1059">
        <f t="shared" si="33"/>
        <v>4055</v>
      </c>
      <c r="Q882" s="1057"/>
      <c r="R882" s="1058">
        <v>17265</v>
      </c>
      <c r="S882" s="1057">
        <v>-4641</v>
      </c>
      <c r="T882" s="1060">
        <v>12624</v>
      </c>
    </row>
    <row r="883" spans="1:20" x14ac:dyDescent="0.25">
      <c r="A883" s="1054">
        <v>99511</v>
      </c>
      <c r="B883" s="1055" t="s">
        <v>4363</v>
      </c>
      <c r="C883" s="1056">
        <v>1.3468E-3</v>
      </c>
      <c r="D883" s="1056">
        <v>1.4048999999999999E-3</v>
      </c>
      <c r="E883" s="1057">
        <v>3195070</v>
      </c>
      <c r="F883" s="1057" t="s">
        <v>187</v>
      </c>
      <c r="G883" s="1058">
        <v>492923</v>
      </c>
      <c r="H883" s="1059">
        <v>438588</v>
      </c>
      <c r="I883" s="1058">
        <v>847848</v>
      </c>
      <c r="J883" s="1057">
        <v>2027</v>
      </c>
      <c r="K883" s="1059">
        <f t="shared" si="32"/>
        <v>1781386</v>
      </c>
      <c r="L883" s="1057"/>
      <c r="M883" s="1058">
        <v>16540</v>
      </c>
      <c r="N883" s="1058">
        <v>0</v>
      </c>
      <c r="O883" s="1057">
        <v>134401</v>
      </c>
      <c r="P883" s="1059">
        <f t="shared" si="33"/>
        <v>150941</v>
      </c>
      <c r="Q883" s="1057"/>
      <c r="R883" s="1058">
        <v>887505</v>
      </c>
      <c r="S883" s="1057">
        <v>-51080</v>
      </c>
      <c r="T883" s="1060">
        <v>836425</v>
      </c>
    </row>
    <row r="884" spans="1:20" x14ac:dyDescent="0.25">
      <c r="A884" s="1054">
        <v>99521</v>
      </c>
      <c r="B884" s="1055" t="s">
        <v>4364</v>
      </c>
      <c r="C884" s="1056">
        <v>4.9669999999999998E-4</v>
      </c>
      <c r="D884" s="1056">
        <v>4.2700000000000002E-4</v>
      </c>
      <c r="E884" s="1057">
        <v>1178342</v>
      </c>
      <c r="F884" s="1057" t="s">
        <v>187</v>
      </c>
      <c r="G884" s="1058">
        <v>181790</v>
      </c>
      <c r="H884" s="1059">
        <v>161751</v>
      </c>
      <c r="I884" s="1058">
        <v>312687</v>
      </c>
      <c r="J884" s="1057">
        <v>22179</v>
      </c>
      <c r="K884" s="1059">
        <f t="shared" si="32"/>
        <v>678407</v>
      </c>
      <c r="L884" s="1057"/>
      <c r="M884" s="1058">
        <v>6100</v>
      </c>
      <c r="N884" s="1058">
        <v>0</v>
      </c>
      <c r="O884" s="1057">
        <v>9436</v>
      </c>
      <c r="P884" s="1059">
        <f t="shared" si="33"/>
        <v>15536</v>
      </c>
      <c r="Q884" s="1057"/>
      <c r="R884" s="1058">
        <v>327312</v>
      </c>
      <c r="S884" s="1057">
        <v>211</v>
      </c>
      <c r="T884" s="1060">
        <v>327523</v>
      </c>
    </row>
    <row r="885" spans="1:20" x14ac:dyDescent="0.25">
      <c r="A885" s="1054">
        <v>99527</v>
      </c>
      <c r="B885" s="1055" t="s">
        <v>3427</v>
      </c>
      <c r="C885" s="1056">
        <v>1.15E-5</v>
      </c>
      <c r="D885" s="1056">
        <v>1.19E-5</v>
      </c>
      <c r="E885" s="1057">
        <v>27282</v>
      </c>
      <c r="F885" s="1057" t="s">
        <v>187</v>
      </c>
      <c r="G885" s="1058">
        <v>4209</v>
      </c>
      <c r="H885" s="1059">
        <v>3745</v>
      </c>
      <c r="I885" s="1058">
        <v>7240</v>
      </c>
      <c r="J885" s="1057">
        <v>1078</v>
      </c>
      <c r="K885" s="1059">
        <f t="shared" si="32"/>
        <v>16272</v>
      </c>
      <c r="L885" s="1057"/>
      <c r="M885" s="1058">
        <v>141</v>
      </c>
      <c r="N885" s="1058">
        <v>0</v>
      </c>
      <c r="O885" s="1057">
        <v>0</v>
      </c>
      <c r="P885" s="1059">
        <f t="shared" si="33"/>
        <v>141</v>
      </c>
      <c r="Q885" s="1057"/>
      <c r="R885" s="1058">
        <v>7578</v>
      </c>
      <c r="S885" s="1057">
        <v>724</v>
      </c>
      <c r="T885" s="1060">
        <v>8302</v>
      </c>
    </row>
    <row r="886" spans="1:20" x14ac:dyDescent="0.25">
      <c r="A886" s="1054">
        <v>99531</v>
      </c>
      <c r="B886" s="1055" t="s">
        <v>4365</v>
      </c>
      <c r="C886" s="1056">
        <v>8.8800000000000004E-5</v>
      </c>
      <c r="D886" s="1056">
        <v>9.3499999999999996E-5</v>
      </c>
      <c r="E886" s="1057">
        <v>210664</v>
      </c>
      <c r="F886" s="1057" t="s">
        <v>187</v>
      </c>
      <c r="G886" s="1058">
        <v>32500</v>
      </c>
      <c r="H886" s="1059">
        <v>28917</v>
      </c>
      <c r="I886" s="1058">
        <v>55902</v>
      </c>
      <c r="J886" s="1057">
        <v>59872</v>
      </c>
      <c r="K886" s="1059">
        <f t="shared" si="32"/>
        <v>177191</v>
      </c>
      <c r="L886" s="1057"/>
      <c r="M886" s="1058">
        <v>1091</v>
      </c>
      <c r="N886" s="1058">
        <v>0</v>
      </c>
      <c r="O886" s="1057">
        <v>0</v>
      </c>
      <c r="P886" s="1059">
        <f t="shared" si="33"/>
        <v>1091</v>
      </c>
      <c r="Q886" s="1057"/>
      <c r="R886" s="1058">
        <v>58517</v>
      </c>
      <c r="S886" s="1057">
        <v>24500</v>
      </c>
      <c r="T886" s="1060">
        <v>83017</v>
      </c>
    </row>
    <row r="887" spans="1:20" x14ac:dyDescent="0.25">
      <c r="A887" s="1054">
        <v>99601</v>
      </c>
      <c r="B887" s="1055" t="s">
        <v>3429</v>
      </c>
      <c r="C887" s="1056">
        <v>5.9616000000000001E-3</v>
      </c>
      <c r="D887" s="1056">
        <v>5.7812000000000002E-3</v>
      </c>
      <c r="E887" s="1057">
        <v>14142954</v>
      </c>
      <c r="F887" s="1057" t="s">
        <v>187</v>
      </c>
      <c r="G887" s="1058">
        <v>2181922</v>
      </c>
      <c r="H887" s="1059">
        <v>1941407</v>
      </c>
      <c r="I887" s="1058">
        <v>3752994</v>
      </c>
      <c r="J887" s="1057">
        <v>210675</v>
      </c>
      <c r="K887" s="1059">
        <f t="shared" si="32"/>
        <v>8086998</v>
      </c>
      <c r="L887" s="1057"/>
      <c r="M887" s="1058">
        <v>73214</v>
      </c>
      <c r="N887" s="1058">
        <v>0</v>
      </c>
      <c r="O887" s="1057">
        <v>44248</v>
      </c>
      <c r="P887" s="1059">
        <f t="shared" si="33"/>
        <v>117462</v>
      </c>
      <c r="Q887" s="1057"/>
      <c r="R887" s="1058">
        <v>3928533</v>
      </c>
      <c r="S887" s="1057">
        <v>56562</v>
      </c>
      <c r="T887" s="1060">
        <v>3985095</v>
      </c>
    </row>
    <row r="888" spans="1:20" x14ac:dyDescent="0.25">
      <c r="A888" s="1054">
        <v>99602</v>
      </c>
      <c r="B888" s="1055" t="s">
        <v>3430</v>
      </c>
      <c r="C888" s="1056">
        <v>6.0800000000000001E-5</v>
      </c>
      <c r="D888" s="1056">
        <v>6.19E-5</v>
      </c>
      <c r="E888" s="1057">
        <v>144238</v>
      </c>
      <c r="F888" s="1057" t="s">
        <v>187</v>
      </c>
      <c r="G888" s="1058">
        <v>22253</v>
      </c>
      <c r="H888" s="1059">
        <v>19799</v>
      </c>
      <c r="I888" s="1058">
        <v>38275</v>
      </c>
      <c r="J888" s="1057">
        <v>6923</v>
      </c>
      <c r="K888" s="1059">
        <f t="shared" si="32"/>
        <v>87250</v>
      </c>
      <c r="L888" s="1057"/>
      <c r="M888" s="1058">
        <v>747</v>
      </c>
      <c r="N888" s="1058">
        <v>0</v>
      </c>
      <c r="O888" s="1057">
        <v>422</v>
      </c>
      <c r="P888" s="1059">
        <f t="shared" si="33"/>
        <v>1169</v>
      </c>
      <c r="Q888" s="1057"/>
      <c r="R888" s="1058">
        <v>40066</v>
      </c>
      <c r="S888" s="1057">
        <v>1213</v>
      </c>
      <c r="T888" s="1060">
        <v>41279</v>
      </c>
    </row>
    <row r="889" spans="1:20" x14ac:dyDescent="0.25">
      <c r="A889" s="1054">
        <v>99603</v>
      </c>
      <c r="B889" s="1055" t="s">
        <v>4366</v>
      </c>
      <c r="C889" s="1056">
        <v>1.7550000000000001E-4</v>
      </c>
      <c r="D889" s="1056">
        <v>1.615E-4</v>
      </c>
      <c r="E889" s="1057">
        <v>416346</v>
      </c>
      <c r="F889" s="1057" t="s">
        <v>187</v>
      </c>
      <c r="G889" s="1058">
        <v>64232</v>
      </c>
      <c r="H889" s="1059">
        <v>57152</v>
      </c>
      <c r="I889" s="1058">
        <v>110482</v>
      </c>
      <c r="J889" s="1057">
        <v>75872</v>
      </c>
      <c r="K889" s="1059">
        <f t="shared" si="32"/>
        <v>307738</v>
      </c>
      <c r="L889" s="1057"/>
      <c r="M889" s="1058">
        <v>2155</v>
      </c>
      <c r="N889" s="1058">
        <v>0</v>
      </c>
      <c r="O889" s="1057">
        <v>0</v>
      </c>
      <c r="P889" s="1059">
        <f t="shared" si="33"/>
        <v>2155</v>
      </c>
      <c r="Q889" s="1057"/>
      <c r="R889" s="1058">
        <v>115650</v>
      </c>
      <c r="S889" s="1057">
        <v>41812</v>
      </c>
      <c r="T889" s="1060">
        <v>157462</v>
      </c>
    </row>
    <row r="890" spans="1:20" x14ac:dyDescent="0.25">
      <c r="A890" s="1054">
        <v>99604</v>
      </c>
      <c r="B890" s="1055" t="s">
        <v>3432</v>
      </c>
      <c r="C890" s="1056">
        <v>1.02E-4</v>
      </c>
      <c r="D890" s="1056">
        <v>1.009E-4</v>
      </c>
      <c r="E890" s="1057">
        <v>241979</v>
      </c>
      <c r="F890" s="1057"/>
      <c r="G890" s="1058">
        <v>37332</v>
      </c>
      <c r="H890" s="1059">
        <v>33216</v>
      </c>
      <c r="I890" s="1058">
        <v>64212</v>
      </c>
      <c r="J890" s="1057">
        <v>20727</v>
      </c>
      <c r="K890" s="1059">
        <f t="shared" si="32"/>
        <v>155487</v>
      </c>
      <c r="L890" s="1057"/>
      <c r="M890" s="1058">
        <v>1253</v>
      </c>
      <c r="N890" s="1058">
        <v>0</v>
      </c>
      <c r="O890" s="1057">
        <v>0</v>
      </c>
      <c r="P890" s="1059">
        <f t="shared" si="33"/>
        <v>1253</v>
      </c>
      <c r="Q890" s="1057"/>
      <c r="R890" s="1058">
        <v>67215</v>
      </c>
      <c r="S890" s="1057">
        <v>11859</v>
      </c>
      <c r="T890" s="1060">
        <v>79074</v>
      </c>
    </row>
    <row r="891" spans="1:20" x14ac:dyDescent="0.25">
      <c r="A891" s="1054">
        <v>99609</v>
      </c>
      <c r="B891" s="1055" t="s">
        <v>3433</v>
      </c>
      <c r="C891" s="1056">
        <v>2.0100000000000001E-5</v>
      </c>
      <c r="D891" s="1056">
        <v>1.52E-5</v>
      </c>
      <c r="E891" s="1057">
        <v>47684</v>
      </c>
      <c r="F891" s="1057"/>
      <c r="G891" s="1058">
        <v>7357</v>
      </c>
      <c r="H891" s="1059">
        <v>6545</v>
      </c>
      <c r="I891" s="1058">
        <v>12654</v>
      </c>
      <c r="J891" s="1057">
        <v>5627</v>
      </c>
      <c r="K891" s="1059">
        <f t="shared" si="32"/>
        <v>32183</v>
      </c>
      <c r="L891" s="1057"/>
      <c r="M891" s="1058">
        <v>247</v>
      </c>
      <c r="N891" s="1058">
        <v>0</v>
      </c>
      <c r="O891" s="1057">
        <v>1142</v>
      </c>
      <c r="P891" s="1059">
        <f t="shared" si="33"/>
        <v>1389</v>
      </c>
      <c r="Q891" s="1057"/>
      <c r="R891" s="1058">
        <v>13245</v>
      </c>
      <c r="S891" s="1057">
        <v>2717</v>
      </c>
      <c r="T891" s="1060">
        <v>15962</v>
      </c>
    </row>
    <row r="892" spans="1:20" x14ac:dyDescent="0.25">
      <c r="A892" s="1054">
        <v>99610</v>
      </c>
      <c r="B892" s="1055" t="s">
        <v>3434</v>
      </c>
      <c r="C892" s="1056">
        <v>1.872E-4</v>
      </c>
      <c r="D892" s="1056">
        <v>1.9440000000000001E-4</v>
      </c>
      <c r="E892" s="1057">
        <v>444102</v>
      </c>
      <c r="F892" s="1057"/>
      <c r="G892" s="1058">
        <v>68514</v>
      </c>
      <c r="H892" s="1059">
        <v>60962</v>
      </c>
      <c r="I892" s="1058">
        <v>117848</v>
      </c>
      <c r="J892" s="1057">
        <v>855</v>
      </c>
      <c r="K892" s="1059">
        <f t="shared" si="32"/>
        <v>248179</v>
      </c>
      <c r="L892" s="1057"/>
      <c r="M892" s="1058">
        <v>2299</v>
      </c>
      <c r="N892" s="1058">
        <v>0</v>
      </c>
      <c r="O892" s="1057">
        <v>8068</v>
      </c>
      <c r="P892" s="1059">
        <f t="shared" si="33"/>
        <v>10367</v>
      </c>
      <c r="Q892" s="1057"/>
      <c r="R892" s="1058">
        <v>123360</v>
      </c>
      <c r="S892" s="1057">
        <v>-738</v>
      </c>
      <c r="T892" s="1060">
        <v>122622</v>
      </c>
    </row>
    <row r="893" spans="1:20" x14ac:dyDescent="0.25">
      <c r="A893" s="1054">
        <v>99611</v>
      </c>
      <c r="B893" s="1055" t="s">
        <v>3435</v>
      </c>
      <c r="C893" s="1056">
        <v>3.2894E-3</v>
      </c>
      <c r="D893" s="1056">
        <v>3.1959000000000002E-3</v>
      </c>
      <c r="E893" s="1057">
        <v>7803582</v>
      </c>
      <c r="F893" s="1057"/>
      <c r="G893" s="1058">
        <v>1203907</v>
      </c>
      <c r="H893" s="1059">
        <v>1071199</v>
      </c>
      <c r="I893" s="1058">
        <v>2070769</v>
      </c>
      <c r="J893" s="1057">
        <v>61818</v>
      </c>
      <c r="K893" s="1059">
        <f t="shared" si="32"/>
        <v>4407693</v>
      </c>
      <c r="L893" s="1057"/>
      <c r="M893" s="1058">
        <v>40397</v>
      </c>
      <c r="N893" s="1058">
        <v>0</v>
      </c>
      <c r="O893" s="1057">
        <v>100389</v>
      </c>
      <c r="P893" s="1059">
        <f t="shared" si="33"/>
        <v>140786</v>
      </c>
      <c r="Q893" s="1057"/>
      <c r="R893" s="1058">
        <v>2167626</v>
      </c>
      <c r="S893" s="1057">
        <v>-79577</v>
      </c>
      <c r="T893" s="1060">
        <v>2088049</v>
      </c>
    </row>
    <row r="894" spans="1:20" x14ac:dyDescent="0.25">
      <c r="A894" s="1054">
        <v>99613</v>
      </c>
      <c r="B894" s="1055" t="s">
        <v>3436</v>
      </c>
      <c r="C894" s="1056">
        <v>3.57E-4</v>
      </c>
      <c r="D894" s="1056">
        <v>3.2909999999999998E-4</v>
      </c>
      <c r="E894" s="1057">
        <v>846926</v>
      </c>
      <c r="F894" s="1057"/>
      <c r="G894" s="1058">
        <v>130661</v>
      </c>
      <c r="H894" s="1059">
        <v>116258</v>
      </c>
      <c r="I894" s="1058">
        <v>224741</v>
      </c>
      <c r="J894" s="1057">
        <v>342685</v>
      </c>
      <c r="K894" s="1059">
        <f t="shared" si="32"/>
        <v>814345</v>
      </c>
      <c r="L894" s="1057"/>
      <c r="M894" s="1058">
        <v>4384</v>
      </c>
      <c r="N894" s="1058">
        <v>0</v>
      </c>
      <c r="O894" s="1057">
        <v>0</v>
      </c>
      <c r="P894" s="1059">
        <f t="shared" si="33"/>
        <v>4384</v>
      </c>
      <c r="Q894" s="1057"/>
      <c r="R894" s="1058">
        <v>235253</v>
      </c>
      <c r="S894" s="1057">
        <v>135388</v>
      </c>
      <c r="T894" s="1060">
        <v>370641</v>
      </c>
    </row>
    <row r="895" spans="1:20" x14ac:dyDescent="0.25">
      <c r="A895" s="1054">
        <v>99621</v>
      </c>
      <c r="B895" s="1055" t="s">
        <v>4367</v>
      </c>
      <c r="C895" s="1056">
        <v>3.7399999999999998E-4</v>
      </c>
      <c r="D895" s="1056">
        <v>3.7060000000000001E-4</v>
      </c>
      <c r="E895" s="1057">
        <v>887256</v>
      </c>
      <c r="F895" s="1057"/>
      <c r="G895" s="1058">
        <v>136883</v>
      </c>
      <c r="H895" s="1059">
        <v>121794</v>
      </c>
      <c r="I895" s="1058">
        <v>235443</v>
      </c>
      <c r="J895" s="1057">
        <v>26836</v>
      </c>
      <c r="K895" s="1059">
        <f t="shared" si="32"/>
        <v>520956</v>
      </c>
      <c r="L895" s="1057"/>
      <c r="M895" s="1058">
        <v>4593</v>
      </c>
      <c r="N895" s="1058">
        <v>0</v>
      </c>
      <c r="O895" s="1057">
        <v>3834</v>
      </c>
      <c r="P895" s="1059">
        <f t="shared" si="33"/>
        <v>8427</v>
      </c>
      <c r="Q895" s="1057"/>
      <c r="R895" s="1058">
        <v>246456</v>
      </c>
      <c r="S895" s="1057">
        <v>12349</v>
      </c>
      <c r="T895" s="1060">
        <v>258805</v>
      </c>
    </row>
    <row r="896" spans="1:20" x14ac:dyDescent="0.25">
      <c r="A896" s="1054">
        <v>99623</v>
      </c>
      <c r="B896" s="1055" t="s">
        <v>4368</v>
      </c>
      <c r="C896" s="1056">
        <v>3.4799999999999999E-5</v>
      </c>
      <c r="D896" s="1056">
        <v>2.6400000000000001E-5</v>
      </c>
      <c r="E896" s="1057">
        <v>82558</v>
      </c>
      <c r="F896" s="1057"/>
      <c r="G896" s="1058">
        <v>12737</v>
      </c>
      <c r="H896" s="1059">
        <v>11333</v>
      </c>
      <c r="I896" s="1058">
        <v>21908</v>
      </c>
      <c r="J896" s="1057">
        <v>1303</v>
      </c>
      <c r="K896" s="1059">
        <f t="shared" si="32"/>
        <v>47281</v>
      </c>
      <c r="L896" s="1057"/>
      <c r="M896" s="1058">
        <v>427</v>
      </c>
      <c r="N896" s="1058">
        <v>0</v>
      </c>
      <c r="O896" s="1057">
        <v>2046</v>
      </c>
      <c r="P896" s="1059">
        <f t="shared" si="33"/>
        <v>2473</v>
      </c>
      <c r="Q896" s="1057"/>
      <c r="R896" s="1058">
        <v>22932</v>
      </c>
      <c r="S896" s="1057">
        <v>311</v>
      </c>
      <c r="T896" s="1060">
        <v>23243</v>
      </c>
    </row>
    <row r="897" spans="1:20" x14ac:dyDescent="0.25">
      <c r="A897" s="1054">
        <v>99631</v>
      </c>
      <c r="B897" s="1055" t="s">
        <v>4369</v>
      </c>
      <c r="C897" s="1056">
        <v>1.11E-4</v>
      </c>
      <c r="D897" s="1056">
        <v>1.102E-4</v>
      </c>
      <c r="E897" s="1057">
        <v>263330</v>
      </c>
      <c r="F897" s="1057"/>
      <c r="G897" s="1058">
        <v>40626</v>
      </c>
      <c r="H897" s="1059">
        <v>36148</v>
      </c>
      <c r="I897" s="1058">
        <v>69878</v>
      </c>
      <c r="J897" s="1057">
        <v>803</v>
      </c>
      <c r="K897" s="1059">
        <f t="shared" si="32"/>
        <v>147455</v>
      </c>
      <c r="L897" s="1057"/>
      <c r="M897" s="1058">
        <v>1363</v>
      </c>
      <c r="N897" s="1058">
        <v>0</v>
      </c>
      <c r="O897" s="1057">
        <v>2497</v>
      </c>
      <c r="P897" s="1059">
        <f t="shared" si="33"/>
        <v>3860</v>
      </c>
      <c r="Q897" s="1057"/>
      <c r="R897" s="1058">
        <v>73146</v>
      </c>
      <c r="S897" s="1057">
        <v>-4302</v>
      </c>
      <c r="T897" s="1060">
        <v>68844</v>
      </c>
    </row>
    <row r="898" spans="1:20" x14ac:dyDescent="0.25">
      <c r="A898" s="1054">
        <v>99651</v>
      </c>
      <c r="B898" s="1055" t="s">
        <v>4370</v>
      </c>
      <c r="C898" s="1056">
        <v>5.7000000000000003E-5</v>
      </c>
      <c r="D898" s="1056">
        <v>6.7199999999999994E-5</v>
      </c>
      <c r="E898" s="1057">
        <v>135223</v>
      </c>
      <c r="F898" s="1057"/>
      <c r="G898" s="1058">
        <v>20862</v>
      </c>
      <c r="H898" s="1059">
        <v>18562</v>
      </c>
      <c r="I898" s="1058">
        <v>35883</v>
      </c>
      <c r="J898" s="1057">
        <v>3097</v>
      </c>
      <c r="K898" s="1059">
        <f t="shared" si="32"/>
        <v>78404</v>
      </c>
      <c r="L898" s="1057"/>
      <c r="M898" s="1058">
        <v>700</v>
      </c>
      <c r="N898" s="1058">
        <v>0</v>
      </c>
      <c r="O898" s="1057">
        <v>6539</v>
      </c>
      <c r="P898" s="1059">
        <f t="shared" si="33"/>
        <v>7239</v>
      </c>
      <c r="Q898" s="1057"/>
      <c r="R898" s="1058">
        <v>37561</v>
      </c>
      <c r="S898" s="1057">
        <v>-227</v>
      </c>
      <c r="T898" s="1060">
        <v>37334</v>
      </c>
    </row>
    <row r="899" spans="1:20" x14ac:dyDescent="0.25">
      <c r="A899" s="1054">
        <v>99661</v>
      </c>
      <c r="B899" s="1055" t="s">
        <v>4371</v>
      </c>
      <c r="C899" s="1056">
        <v>2.5999999999999998E-5</v>
      </c>
      <c r="D899" s="1056">
        <v>3.26E-5</v>
      </c>
      <c r="E899" s="1057">
        <v>61681</v>
      </c>
      <c r="F899" s="1057"/>
      <c r="G899" s="1058">
        <v>9516</v>
      </c>
      <c r="H899" s="1059">
        <v>8467</v>
      </c>
      <c r="I899" s="1058">
        <v>16368</v>
      </c>
      <c r="J899" s="1057">
        <v>41516</v>
      </c>
      <c r="K899" s="1059">
        <f t="shared" si="32"/>
        <v>75867</v>
      </c>
      <c r="L899" s="1057"/>
      <c r="M899" s="1058">
        <v>319</v>
      </c>
      <c r="N899" s="1058">
        <v>0</v>
      </c>
      <c r="O899" s="1057">
        <v>0</v>
      </c>
      <c r="P899" s="1059">
        <f t="shared" si="33"/>
        <v>319</v>
      </c>
      <c r="Q899" s="1057"/>
      <c r="R899" s="1058">
        <v>17133</v>
      </c>
      <c r="S899" s="1057">
        <v>17737</v>
      </c>
      <c r="T899" s="1060">
        <v>34870</v>
      </c>
    </row>
    <row r="900" spans="1:20" x14ac:dyDescent="0.25">
      <c r="A900" s="1054">
        <v>99701</v>
      </c>
      <c r="B900" s="1055" t="s">
        <v>3442</v>
      </c>
      <c r="C900" s="1056">
        <v>2.9659E-3</v>
      </c>
      <c r="D900" s="1056">
        <v>2.9190000000000002E-3</v>
      </c>
      <c r="E900" s="1057">
        <v>7036129</v>
      </c>
      <c r="F900" s="1057"/>
      <c r="G900" s="1058">
        <v>1085508</v>
      </c>
      <c r="H900" s="1059">
        <v>965851</v>
      </c>
      <c r="I900" s="1058">
        <v>1867117</v>
      </c>
      <c r="J900" s="1057">
        <v>11285</v>
      </c>
      <c r="K900" s="1059">
        <f t="shared" si="32"/>
        <v>3929761</v>
      </c>
      <c r="L900" s="1057"/>
      <c r="M900" s="1058">
        <v>36424</v>
      </c>
      <c r="N900" s="1058">
        <v>0</v>
      </c>
      <c r="O900" s="1057">
        <v>20475</v>
      </c>
      <c r="P900" s="1059">
        <f t="shared" si="33"/>
        <v>56899</v>
      </c>
      <c r="Q900" s="1057"/>
      <c r="R900" s="1058">
        <v>1954448</v>
      </c>
      <c r="S900" s="1057">
        <v>-5521</v>
      </c>
      <c r="T900" s="1060">
        <v>1948927</v>
      </c>
    </row>
    <row r="901" spans="1:20" x14ac:dyDescent="0.25">
      <c r="A901" s="1054">
        <v>99705</v>
      </c>
      <c r="B901" s="1055" t="s">
        <v>3443</v>
      </c>
      <c r="C901" s="1056">
        <v>1.6349999999999999E-4</v>
      </c>
      <c r="D901" s="1056">
        <v>1.7229999999999999E-4</v>
      </c>
      <c r="E901" s="1057">
        <v>387878</v>
      </c>
      <c r="F901" s="1057"/>
      <c r="G901" s="1058">
        <v>59840</v>
      </c>
      <c r="H901" s="1059">
        <v>53244</v>
      </c>
      <c r="I901" s="1058">
        <v>102928</v>
      </c>
      <c r="J901" s="1057">
        <v>9123</v>
      </c>
      <c r="K901" s="1059">
        <f t="shared" si="32"/>
        <v>225135</v>
      </c>
      <c r="L901" s="1057"/>
      <c r="M901" s="1058">
        <v>2008</v>
      </c>
      <c r="N901" s="1058">
        <v>0</v>
      </c>
      <c r="O901" s="1057">
        <v>244</v>
      </c>
      <c r="P901" s="1059">
        <f t="shared" si="33"/>
        <v>2252</v>
      </c>
      <c r="Q901" s="1057"/>
      <c r="R901" s="1058">
        <v>107742</v>
      </c>
      <c r="S901" s="1057">
        <v>6947</v>
      </c>
      <c r="T901" s="1060">
        <v>114689</v>
      </c>
    </row>
    <row r="902" spans="1:20" x14ac:dyDescent="0.25">
      <c r="A902" s="1054">
        <v>99711</v>
      </c>
      <c r="B902" s="1055" t="s">
        <v>4372</v>
      </c>
      <c r="C902" s="1056">
        <v>4.462E-4</v>
      </c>
      <c r="D902" s="1056">
        <v>4.5459999999999999E-4</v>
      </c>
      <c r="E902" s="1057">
        <v>1058539</v>
      </c>
      <c r="F902" s="1057"/>
      <c r="G902" s="1058">
        <v>163307</v>
      </c>
      <c r="H902" s="1059">
        <v>145306</v>
      </c>
      <c r="I902" s="1058">
        <v>280895</v>
      </c>
      <c r="J902" s="1057">
        <v>10132</v>
      </c>
      <c r="K902" s="1059">
        <f t="shared" si="32"/>
        <v>599640</v>
      </c>
      <c r="L902" s="1057"/>
      <c r="M902" s="1058">
        <v>5480</v>
      </c>
      <c r="N902" s="1058">
        <v>0</v>
      </c>
      <c r="O902" s="1057">
        <v>5402</v>
      </c>
      <c r="P902" s="1059">
        <f t="shared" si="33"/>
        <v>10882</v>
      </c>
      <c r="Q902" s="1057"/>
      <c r="R902" s="1058">
        <v>294034</v>
      </c>
      <c r="S902" s="1057">
        <v>-1088</v>
      </c>
      <c r="T902" s="1060">
        <v>292946</v>
      </c>
    </row>
    <row r="903" spans="1:20" x14ac:dyDescent="0.25">
      <c r="A903" s="1054">
        <v>99717</v>
      </c>
      <c r="B903" s="1055" t="s">
        <v>4373</v>
      </c>
      <c r="C903" s="1056">
        <v>2.1800000000000001E-5</v>
      </c>
      <c r="D903" s="1056">
        <v>2.19E-5</v>
      </c>
      <c r="E903" s="1057">
        <v>51717</v>
      </c>
      <c r="F903" s="1057"/>
      <c r="G903" s="1058">
        <v>7979</v>
      </c>
      <c r="H903" s="1059">
        <v>7099</v>
      </c>
      <c r="I903" s="1058">
        <v>13724</v>
      </c>
      <c r="J903" s="1057">
        <v>0</v>
      </c>
      <c r="K903" s="1059">
        <f t="shared" si="32"/>
        <v>28802</v>
      </c>
      <c r="L903" s="1057"/>
      <c r="M903" s="1058">
        <v>268</v>
      </c>
      <c r="N903" s="1058">
        <v>0</v>
      </c>
      <c r="O903" s="1057">
        <v>4093</v>
      </c>
      <c r="P903" s="1059">
        <f t="shared" si="33"/>
        <v>4361</v>
      </c>
      <c r="Q903" s="1057"/>
      <c r="R903" s="1058">
        <v>14366</v>
      </c>
      <c r="S903" s="1057">
        <v>-1627</v>
      </c>
      <c r="T903" s="1060">
        <v>12739</v>
      </c>
    </row>
    <row r="904" spans="1:20" x14ac:dyDescent="0.25">
      <c r="A904" s="1054">
        <v>99721</v>
      </c>
      <c r="B904" s="1055" t="s">
        <v>4374</v>
      </c>
      <c r="C904" s="1056">
        <v>5.886E-4</v>
      </c>
      <c r="D904" s="1056">
        <v>5.7779999999999995E-4</v>
      </c>
      <c r="E904" s="1057">
        <v>1396361</v>
      </c>
      <c r="F904" s="1057"/>
      <c r="G904" s="1058">
        <v>215425</v>
      </c>
      <c r="H904" s="1059">
        <v>191679</v>
      </c>
      <c r="I904" s="1058">
        <v>370540</v>
      </c>
      <c r="J904" s="1057">
        <v>0</v>
      </c>
      <c r="K904" s="1059">
        <f t="shared" si="32"/>
        <v>777644</v>
      </c>
      <c r="L904" s="1057"/>
      <c r="M904" s="1058">
        <v>7229</v>
      </c>
      <c r="N904" s="1058">
        <v>0</v>
      </c>
      <c r="O904" s="1057">
        <v>40498</v>
      </c>
      <c r="P904" s="1059">
        <f t="shared" si="33"/>
        <v>47727</v>
      </c>
      <c r="Q904" s="1057"/>
      <c r="R904" s="1058">
        <v>387872</v>
      </c>
      <c r="S904" s="1057">
        <v>-15685</v>
      </c>
      <c r="T904" s="1060">
        <v>372187</v>
      </c>
    </row>
    <row r="905" spans="1:20" x14ac:dyDescent="0.25">
      <c r="A905" s="1054">
        <v>99727</v>
      </c>
      <c r="B905" s="1055" t="s">
        <v>3447</v>
      </c>
      <c r="C905" s="1056">
        <v>2.2099999999999998E-5</v>
      </c>
      <c r="D905" s="1056">
        <v>2.3900000000000002E-5</v>
      </c>
      <c r="E905" s="1057">
        <v>52429</v>
      </c>
      <c r="F905" s="1057"/>
      <c r="G905" s="1058">
        <v>8089</v>
      </c>
      <c r="H905" s="1059">
        <v>7197</v>
      </c>
      <c r="I905" s="1058">
        <v>13913</v>
      </c>
      <c r="J905" s="1057">
        <v>68017</v>
      </c>
      <c r="K905" s="1059">
        <f t="shared" si="32"/>
        <v>97216</v>
      </c>
      <c r="L905" s="1057"/>
      <c r="M905" s="1058">
        <v>271</v>
      </c>
      <c r="N905" s="1058">
        <v>0</v>
      </c>
      <c r="O905" s="1057">
        <v>0</v>
      </c>
      <c r="P905" s="1059">
        <f t="shared" si="33"/>
        <v>271</v>
      </c>
      <c r="Q905" s="1057"/>
      <c r="R905" s="1058">
        <v>14563</v>
      </c>
      <c r="S905" s="1057">
        <v>28353</v>
      </c>
      <c r="T905" s="1060">
        <v>42916</v>
      </c>
    </row>
    <row r="906" spans="1:20" x14ac:dyDescent="0.25">
      <c r="A906" s="1054">
        <v>99801</v>
      </c>
      <c r="B906" s="1055" t="s">
        <v>3448</v>
      </c>
      <c r="C906" s="1056">
        <v>4.9709000000000003E-3</v>
      </c>
      <c r="D906" s="1056">
        <v>5.1866000000000004E-3</v>
      </c>
      <c r="E906" s="1057">
        <v>11792675</v>
      </c>
      <c r="F906" s="1057"/>
      <c r="G906" s="1058">
        <v>1819330</v>
      </c>
      <c r="H906" s="1059">
        <v>1618783</v>
      </c>
      <c r="I906" s="1058">
        <v>3129321</v>
      </c>
      <c r="J906" s="1057">
        <v>0</v>
      </c>
      <c r="K906" s="1059">
        <f t="shared" si="32"/>
        <v>6567434</v>
      </c>
      <c r="L906" s="1057"/>
      <c r="M906" s="1058">
        <v>61048</v>
      </c>
      <c r="N906" s="1058">
        <v>0</v>
      </c>
      <c r="O906" s="1057">
        <v>343453</v>
      </c>
      <c r="P906" s="1059">
        <f t="shared" si="33"/>
        <v>404501</v>
      </c>
      <c r="Q906" s="1057"/>
      <c r="R906" s="1058">
        <v>3275689</v>
      </c>
      <c r="S906" s="1057">
        <v>-89773</v>
      </c>
      <c r="T906" s="1060">
        <v>3185916</v>
      </c>
    </row>
    <row r="907" spans="1:20" x14ac:dyDescent="0.25">
      <c r="A907" s="1054">
        <v>99802</v>
      </c>
      <c r="B907" s="1055" t="s">
        <v>4375</v>
      </c>
      <c r="C907" s="1056">
        <v>1.19E-5</v>
      </c>
      <c r="D907" s="1056">
        <v>6.0000000000000002E-6</v>
      </c>
      <c r="E907" s="1057">
        <v>28231</v>
      </c>
      <c r="F907" s="1057"/>
      <c r="G907" s="1058">
        <v>4355</v>
      </c>
      <c r="H907" s="1059">
        <v>3875</v>
      </c>
      <c r="I907" s="1058">
        <v>7491</v>
      </c>
      <c r="J907" s="1057">
        <v>5957</v>
      </c>
      <c r="K907" s="1059">
        <f t="shared" si="32"/>
        <v>21678</v>
      </c>
      <c r="L907" s="1057"/>
      <c r="M907" s="1058">
        <v>146</v>
      </c>
      <c r="N907" s="1058">
        <v>0</v>
      </c>
      <c r="O907" s="1057">
        <v>0</v>
      </c>
      <c r="P907" s="1059">
        <f t="shared" si="33"/>
        <v>146</v>
      </c>
      <c r="Q907" s="1057"/>
      <c r="R907" s="1058">
        <v>7842</v>
      </c>
      <c r="S907" s="1057">
        <v>1575</v>
      </c>
      <c r="T907" s="1060">
        <v>9417</v>
      </c>
    </row>
    <row r="908" spans="1:20" x14ac:dyDescent="0.25">
      <c r="A908" s="1054">
        <v>99804</v>
      </c>
      <c r="B908" s="1055" t="s">
        <v>3450</v>
      </c>
      <c r="C908" s="1056">
        <v>8.1000000000000004E-5</v>
      </c>
      <c r="D908" s="1056">
        <v>9.0500000000000004E-5</v>
      </c>
      <c r="E908" s="1057">
        <v>192160</v>
      </c>
      <c r="F908" s="1057"/>
      <c r="G908" s="1058">
        <v>29646</v>
      </c>
      <c r="H908" s="1059">
        <v>26377</v>
      </c>
      <c r="I908" s="1058">
        <v>50992</v>
      </c>
      <c r="J908" s="1057">
        <v>8772</v>
      </c>
      <c r="K908" s="1059">
        <f t="shared" si="32"/>
        <v>115787</v>
      </c>
      <c r="L908" s="1057"/>
      <c r="M908" s="1058">
        <v>995</v>
      </c>
      <c r="N908" s="1058">
        <v>0</v>
      </c>
      <c r="O908" s="1057">
        <v>129</v>
      </c>
      <c r="P908" s="1059">
        <f t="shared" si="33"/>
        <v>1124</v>
      </c>
      <c r="Q908" s="1057"/>
      <c r="R908" s="1058">
        <v>53377</v>
      </c>
      <c r="S908" s="1057">
        <v>4885</v>
      </c>
      <c r="T908" s="1060">
        <v>58262</v>
      </c>
    </row>
    <row r="909" spans="1:20" x14ac:dyDescent="0.25">
      <c r="A909" s="1054">
        <v>99811</v>
      </c>
      <c r="B909" s="1055" t="s">
        <v>4376</v>
      </c>
      <c r="C909" s="1056">
        <v>6.4733000000000004E-3</v>
      </c>
      <c r="D909" s="1056">
        <v>6.7026999999999998E-3</v>
      </c>
      <c r="E909" s="1057">
        <v>15356881</v>
      </c>
      <c r="F909" s="1057"/>
      <c r="G909" s="1058">
        <v>2369202</v>
      </c>
      <c r="H909" s="1059">
        <v>2108043</v>
      </c>
      <c r="I909" s="1058">
        <v>4075124</v>
      </c>
      <c r="J909" s="1057">
        <v>0</v>
      </c>
      <c r="K909" s="1059">
        <f t="shared" si="32"/>
        <v>8552369</v>
      </c>
      <c r="L909" s="1057"/>
      <c r="M909" s="1058">
        <v>79499</v>
      </c>
      <c r="N909" s="1058">
        <v>0</v>
      </c>
      <c r="O909" s="1057">
        <v>605474</v>
      </c>
      <c r="P909" s="1059">
        <f t="shared" si="33"/>
        <v>684973</v>
      </c>
      <c r="Q909" s="1057"/>
      <c r="R909" s="1058">
        <v>4265730</v>
      </c>
      <c r="S909" s="1057">
        <v>-297315</v>
      </c>
      <c r="T909" s="1060">
        <v>3968415</v>
      </c>
    </row>
    <row r="910" spans="1:20" x14ac:dyDescent="0.25">
      <c r="A910" s="1054">
        <v>99812</v>
      </c>
      <c r="B910" s="1055" t="s">
        <v>3452</v>
      </c>
      <c r="C910" s="1056">
        <v>1.9700000000000001E-5</v>
      </c>
      <c r="D910" s="1056">
        <v>2.2099999999999998E-5</v>
      </c>
      <c r="E910" s="1057">
        <v>46735</v>
      </c>
      <c r="F910" s="1057"/>
      <c r="G910" s="1058">
        <v>7210</v>
      </c>
      <c r="H910" s="1059">
        <v>6415</v>
      </c>
      <c r="I910" s="1058">
        <v>12402</v>
      </c>
      <c r="J910" s="1057">
        <v>15128</v>
      </c>
      <c r="K910" s="1059">
        <f t="shared" si="32"/>
        <v>41155</v>
      </c>
      <c r="L910" s="1057"/>
      <c r="M910" s="1058">
        <v>242</v>
      </c>
      <c r="N910" s="1058">
        <v>0</v>
      </c>
      <c r="O910" s="1057">
        <v>0</v>
      </c>
      <c r="P910" s="1059">
        <f t="shared" si="33"/>
        <v>242</v>
      </c>
      <c r="Q910" s="1057"/>
      <c r="R910" s="1058">
        <v>12982</v>
      </c>
      <c r="S910" s="1057">
        <v>6159</v>
      </c>
      <c r="T910" s="1060">
        <v>19141</v>
      </c>
    </row>
    <row r="911" spans="1:20" x14ac:dyDescent="0.25">
      <c r="A911" s="1054">
        <v>99818</v>
      </c>
      <c r="B911" s="1055" t="s">
        <v>4377</v>
      </c>
      <c r="C911" s="1056">
        <v>3.3399999999999999E-5</v>
      </c>
      <c r="D911" s="1056">
        <v>3.1600000000000002E-5</v>
      </c>
      <c r="E911" s="1057">
        <v>79236</v>
      </c>
      <c r="F911" s="1057"/>
      <c r="G911" s="1058">
        <v>12224</v>
      </c>
      <c r="H911" s="1059">
        <v>10877</v>
      </c>
      <c r="I911" s="1058">
        <v>21026</v>
      </c>
      <c r="J911" s="1057">
        <v>554</v>
      </c>
      <c r="K911" s="1059">
        <f t="shared" si="32"/>
        <v>44681</v>
      </c>
      <c r="L911" s="1057"/>
      <c r="M911" s="1058">
        <v>410</v>
      </c>
      <c r="N911" s="1058">
        <v>0</v>
      </c>
      <c r="O911" s="1057">
        <v>5622</v>
      </c>
      <c r="P911" s="1059">
        <f t="shared" si="33"/>
        <v>6032</v>
      </c>
      <c r="Q911" s="1057"/>
      <c r="R911" s="1058">
        <v>22010</v>
      </c>
      <c r="S911" s="1057">
        <v>419</v>
      </c>
      <c r="T911" s="1060">
        <v>22429</v>
      </c>
    </row>
    <row r="912" spans="1:20" x14ac:dyDescent="0.25">
      <c r="A912" s="1054">
        <v>99821</v>
      </c>
      <c r="B912" s="1055" t="s">
        <v>4378</v>
      </c>
      <c r="C912" s="1056">
        <v>9.2899999999999995E-5</v>
      </c>
      <c r="D912" s="1056">
        <v>9.1100000000000005E-5</v>
      </c>
      <c r="E912" s="1057">
        <v>220391</v>
      </c>
      <c r="F912" s="1057"/>
      <c r="G912" s="1058">
        <v>34001</v>
      </c>
      <c r="H912" s="1059">
        <v>30253</v>
      </c>
      <c r="I912" s="1058">
        <v>58483</v>
      </c>
      <c r="J912" s="1057">
        <v>16591</v>
      </c>
      <c r="K912" s="1059">
        <f t="shared" si="32"/>
        <v>139328</v>
      </c>
      <c r="L912" s="1057"/>
      <c r="M912" s="1058">
        <v>1141</v>
      </c>
      <c r="N912" s="1058">
        <v>0</v>
      </c>
      <c r="O912" s="1057">
        <v>250</v>
      </c>
      <c r="P912" s="1059">
        <f t="shared" si="33"/>
        <v>1391</v>
      </c>
      <c r="Q912" s="1057"/>
      <c r="R912" s="1058">
        <v>61219</v>
      </c>
      <c r="S912" s="1057">
        <v>11230</v>
      </c>
      <c r="T912" s="1060">
        <v>72449</v>
      </c>
    </row>
    <row r="913" spans="1:20" x14ac:dyDescent="0.25">
      <c r="A913" s="1054">
        <v>99831</v>
      </c>
      <c r="B913" s="1055" t="s">
        <v>4379</v>
      </c>
      <c r="C913" s="1056">
        <v>4.9700000000000002E-5</v>
      </c>
      <c r="D913" s="1056">
        <v>6.3299999999999994E-5</v>
      </c>
      <c r="E913" s="1057">
        <v>117905</v>
      </c>
      <c r="F913" s="1057"/>
      <c r="G913" s="1058">
        <v>18190</v>
      </c>
      <c r="H913" s="1059">
        <v>16185</v>
      </c>
      <c r="I913" s="1058">
        <v>31288</v>
      </c>
      <c r="J913" s="1057">
        <v>4819</v>
      </c>
      <c r="K913" s="1059">
        <f t="shared" si="32"/>
        <v>70482</v>
      </c>
      <c r="L913" s="1057"/>
      <c r="M913" s="1058">
        <v>610</v>
      </c>
      <c r="N913" s="1058">
        <v>0</v>
      </c>
      <c r="O913" s="1057">
        <v>7455</v>
      </c>
      <c r="P913" s="1059">
        <f t="shared" si="33"/>
        <v>8065</v>
      </c>
      <c r="Q913" s="1057"/>
      <c r="R913" s="1058">
        <v>32751</v>
      </c>
      <c r="S913" s="1057">
        <v>103</v>
      </c>
      <c r="T913" s="1060">
        <v>32854</v>
      </c>
    </row>
    <row r="914" spans="1:20" x14ac:dyDescent="0.25">
      <c r="A914" s="1054">
        <v>99841</v>
      </c>
      <c r="B914" s="1055" t="s">
        <v>4380</v>
      </c>
      <c r="C914" s="1056">
        <v>3.2199999999999997E-5</v>
      </c>
      <c r="D914" s="1056">
        <v>4.3399999999999998E-5</v>
      </c>
      <c r="E914" s="1057">
        <v>76389</v>
      </c>
      <c r="F914" s="1057"/>
      <c r="G914" s="1058">
        <v>11785</v>
      </c>
      <c r="H914" s="1059">
        <v>10486</v>
      </c>
      <c r="I914" s="1058">
        <v>20271</v>
      </c>
      <c r="J914" s="1057">
        <v>574</v>
      </c>
      <c r="K914" s="1059">
        <f t="shared" si="32"/>
        <v>43116</v>
      </c>
      <c r="L914" s="1057"/>
      <c r="M914" s="1058">
        <v>395</v>
      </c>
      <c r="N914" s="1058">
        <v>0</v>
      </c>
      <c r="O914" s="1057">
        <v>8879</v>
      </c>
      <c r="P914" s="1059">
        <f t="shared" si="33"/>
        <v>9274</v>
      </c>
      <c r="Q914" s="1057"/>
      <c r="R914" s="1058">
        <v>21219</v>
      </c>
      <c r="S914" s="1057">
        <v>-2883</v>
      </c>
      <c r="T914" s="1060">
        <v>18336</v>
      </c>
    </row>
    <row r="915" spans="1:20" x14ac:dyDescent="0.25">
      <c r="A915" s="1054">
        <v>99851</v>
      </c>
      <c r="B915" s="1055" t="s">
        <v>4381</v>
      </c>
      <c r="C915" s="1056">
        <v>2.34E-5</v>
      </c>
      <c r="D915" s="1056">
        <v>2.23E-5</v>
      </c>
      <c r="E915" s="1057">
        <v>55513</v>
      </c>
      <c r="F915" s="1057"/>
      <c r="G915" s="1058">
        <v>8564</v>
      </c>
      <c r="H915" s="1059">
        <v>7620</v>
      </c>
      <c r="I915" s="1058">
        <v>14731</v>
      </c>
      <c r="J915" s="1057">
        <v>65</v>
      </c>
      <c r="K915" s="1059">
        <f t="shared" si="32"/>
        <v>30980</v>
      </c>
      <c r="L915" s="1057"/>
      <c r="M915" s="1058">
        <v>287</v>
      </c>
      <c r="N915" s="1058">
        <v>0</v>
      </c>
      <c r="O915" s="1057">
        <v>4221</v>
      </c>
      <c r="P915" s="1059">
        <f t="shared" si="33"/>
        <v>4508</v>
      </c>
      <c r="Q915" s="1057"/>
      <c r="R915" s="1058">
        <v>15420</v>
      </c>
      <c r="S915" s="1057">
        <v>-1336</v>
      </c>
      <c r="T915" s="1060">
        <v>14084</v>
      </c>
    </row>
    <row r="916" spans="1:20" x14ac:dyDescent="0.25">
      <c r="A916" s="1054">
        <v>99901</v>
      </c>
      <c r="B916" s="1055" t="s">
        <v>3458</v>
      </c>
      <c r="C916" s="1056">
        <v>1.5693E-3</v>
      </c>
      <c r="D916" s="1056">
        <v>1.6707E-3</v>
      </c>
      <c r="E916" s="1057">
        <v>3722916</v>
      </c>
      <c r="F916" s="1057"/>
      <c r="G916" s="1058">
        <v>574358</v>
      </c>
      <c r="H916" s="1059">
        <v>511045</v>
      </c>
      <c r="I916" s="1058">
        <v>987918</v>
      </c>
      <c r="J916" s="1057">
        <v>38150</v>
      </c>
      <c r="K916" s="1059">
        <f t="shared" si="32"/>
        <v>2111471</v>
      </c>
      <c r="L916" s="1057"/>
      <c r="M916" s="1058">
        <v>19273</v>
      </c>
      <c r="N916" s="1058">
        <v>0</v>
      </c>
      <c r="O916" s="1057">
        <v>80037</v>
      </c>
      <c r="P916" s="1059">
        <f t="shared" si="33"/>
        <v>99310</v>
      </c>
      <c r="Q916" s="1057"/>
      <c r="R916" s="1058">
        <v>1034126</v>
      </c>
      <c r="S916" s="1057">
        <v>-6774</v>
      </c>
      <c r="T916" s="1060">
        <v>1027352</v>
      </c>
    </row>
    <row r="917" spans="1:20" x14ac:dyDescent="0.25">
      <c r="A917" s="1054">
        <v>99911</v>
      </c>
      <c r="B917" s="1055" t="s">
        <v>4382</v>
      </c>
      <c r="C917" s="1056">
        <v>2.3900000000000001E-4</v>
      </c>
      <c r="D917" s="1056">
        <v>2.5980000000000003E-4</v>
      </c>
      <c r="E917" s="1057">
        <v>566990</v>
      </c>
      <c r="F917" s="1057"/>
      <c r="G917" s="1058">
        <v>87473</v>
      </c>
      <c r="H917" s="1059">
        <v>77831</v>
      </c>
      <c r="I917" s="1058">
        <v>150457</v>
      </c>
      <c r="J917" s="1057">
        <v>4825</v>
      </c>
      <c r="K917" s="1059">
        <f t="shared" si="32"/>
        <v>320586</v>
      </c>
      <c r="L917" s="1057"/>
      <c r="M917" s="1058">
        <v>2935</v>
      </c>
      <c r="N917" s="1058">
        <v>0</v>
      </c>
      <c r="O917" s="1057">
        <v>11799</v>
      </c>
      <c r="P917" s="1059">
        <f t="shared" si="33"/>
        <v>14734</v>
      </c>
      <c r="Q917" s="1057"/>
      <c r="R917" s="1058">
        <v>157495</v>
      </c>
      <c r="S917" s="1057">
        <v>-7207</v>
      </c>
      <c r="T917" s="1060">
        <v>150288</v>
      </c>
    </row>
    <row r="918" spans="1:20" x14ac:dyDescent="0.25">
      <c r="A918" s="1054">
        <v>99921</v>
      </c>
      <c r="B918" s="1055" t="s">
        <v>4383</v>
      </c>
      <c r="C918" s="1056">
        <v>1.3119999999999999E-4</v>
      </c>
      <c r="D918" s="1056">
        <v>1.506E-4</v>
      </c>
      <c r="E918" s="1057">
        <v>311251</v>
      </c>
      <c r="F918" s="1057"/>
      <c r="G918" s="1058">
        <v>48019</v>
      </c>
      <c r="H918" s="1059">
        <v>42726</v>
      </c>
      <c r="I918" s="1058">
        <v>82594</v>
      </c>
      <c r="J918" s="1057">
        <v>1708</v>
      </c>
      <c r="K918" s="1059">
        <f t="shared" si="32"/>
        <v>175047</v>
      </c>
      <c r="L918" s="1057"/>
      <c r="M918" s="1058">
        <v>1611</v>
      </c>
      <c r="N918" s="1058">
        <v>0</v>
      </c>
      <c r="O918" s="1057">
        <v>19558</v>
      </c>
      <c r="P918" s="1059">
        <f t="shared" si="33"/>
        <v>21169</v>
      </c>
      <c r="Q918" s="1057"/>
      <c r="R918" s="1058">
        <v>86457</v>
      </c>
      <c r="S918" s="1057">
        <v>-7225</v>
      </c>
      <c r="T918" s="1060">
        <v>79232</v>
      </c>
    </row>
    <row r="919" spans="1:20" x14ac:dyDescent="0.25">
      <c r="A919" s="1054">
        <v>99931</v>
      </c>
      <c r="B919" s="1055" t="s">
        <v>4384</v>
      </c>
      <c r="C919" s="1056">
        <v>1.52E-5</v>
      </c>
      <c r="D919" s="1056">
        <v>1.5800000000000001E-5</v>
      </c>
      <c r="E919" s="1057">
        <v>36060</v>
      </c>
      <c r="F919" s="1057"/>
      <c r="G919" s="1058">
        <v>5563</v>
      </c>
      <c r="H919" s="1059">
        <v>4950</v>
      </c>
      <c r="I919" s="1058">
        <v>9569</v>
      </c>
      <c r="J919" s="1057">
        <v>1614</v>
      </c>
      <c r="K919" s="1059">
        <f t="shared" ref="K919:K923" si="34">G919+H919+I919+J919</f>
        <v>21696</v>
      </c>
      <c r="L919" s="1057"/>
      <c r="M919" s="1058">
        <v>187</v>
      </c>
      <c r="N919" s="1058">
        <v>0</v>
      </c>
      <c r="O919" s="1057">
        <v>5213</v>
      </c>
      <c r="P919" s="1059">
        <f t="shared" ref="P919:P923" si="35">M919+N919+O919</f>
        <v>5400</v>
      </c>
      <c r="Q919" s="1057"/>
      <c r="R919" s="1058">
        <v>10016</v>
      </c>
      <c r="S919" s="1057">
        <v>-2861</v>
      </c>
      <c r="T919" s="1060">
        <v>7155</v>
      </c>
    </row>
    <row r="920" spans="1:20" x14ac:dyDescent="0.25">
      <c r="A920" s="1054">
        <v>99941</v>
      </c>
      <c r="B920" s="1055" t="s">
        <v>4385</v>
      </c>
      <c r="C920" s="1056">
        <v>7.4200000000000001E-5</v>
      </c>
      <c r="D920" s="1056">
        <v>7.5400000000000003E-5</v>
      </c>
      <c r="E920" s="1057">
        <v>176028</v>
      </c>
      <c r="F920" s="1057"/>
      <c r="G920" s="1058">
        <v>27157</v>
      </c>
      <c r="H920" s="1059">
        <v>24164</v>
      </c>
      <c r="I920" s="1058">
        <v>46711</v>
      </c>
      <c r="J920" s="1057">
        <v>0</v>
      </c>
      <c r="K920" s="1059">
        <f t="shared" si="34"/>
        <v>98032</v>
      </c>
      <c r="L920" s="1057"/>
      <c r="M920" s="1058">
        <v>911</v>
      </c>
      <c r="N920" s="1058">
        <v>0</v>
      </c>
      <c r="O920" s="1057">
        <v>9131</v>
      </c>
      <c r="P920" s="1059">
        <f t="shared" si="35"/>
        <v>10042</v>
      </c>
      <c r="Q920" s="1057"/>
      <c r="R920" s="1058">
        <v>48896</v>
      </c>
      <c r="S920" s="1057">
        <v>-5026</v>
      </c>
      <c r="T920" s="1060">
        <v>43870</v>
      </c>
    </row>
    <row r="921" spans="1:20" x14ac:dyDescent="0.25">
      <c r="A921" s="1054">
        <v>99991</v>
      </c>
      <c r="B921" s="1055" t="s">
        <v>3463</v>
      </c>
      <c r="C921" s="1056">
        <v>5.2700000000000002E-4</v>
      </c>
      <c r="D921" s="1056">
        <v>5.3450000000000004E-4</v>
      </c>
      <c r="E921" s="1057">
        <v>1250224</v>
      </c>
      <c r="F921" s="1057"/>
      <c r="G921" s="1058">
        <v>192880</v>
      </c>
      <c r="H921" s="1059">
        <v>171619</v>
      </c>
      <c r="I921" s="1058">
        <v>331761</v>
      </c>
      <c r="J921" s="1057">
        <v>9601</v>
      </c>
      <c r="K921" s="1059">
        <f t="shared" si="34"/>
        <v>705861</v>
      </c>
      <c r="L921" s="1057"/>
      <c r="M921" s="1058">
        <v>6472</v>
      </c>
      <c r="N921" s="1058">
        <v>0</v>
      </c>
      <c r="O921" s="1057">
        <v>27621</v>
      </c>
      <c r="P921" s="1059">
        <f t="shared" si="35"/>
        <v>34093</v>
      </c>
      <c r="Q921" s="1057"/>
      <c r="R921" s="1058">
        <v>347279</v>
      </c>
      <c r="S921" s="1057">
        <v>10622</v>
      </c>
      <c r="T921" s="1060">
        <v>357901</v>
      </c>
    </row>
    <row r="922" spans="1:20" x14ac:dyDescent="0.25">
      <c r="A922" s="1054">
        <v>99999</v>
      </c>
      <c r="B922" s="1055" t="s">
        <v>3464</v>
      </c>
      <c r="C922" s="1056">
        <v>9.2020000000000003E-4</v>
      </c>
      <c r="D922" s="1056">
        <v>8.7509999999999997E-4</v>
      </c>
      <c r="E922" s="1057">
        <v>2183029</v>
      </c>
      <c r="F922" s="1057"/>
      <c r="G922" s="1058">
        <v>336790</v>
      </c>
      <c r="H922" s="1059">
        <v>299665</v>
      </c>
      <c r="I922" s="1058">
        <v>579292</v>
      </c>
      <c r="J922" s="1057">
        <v>139284</v>
      </c>
      <c r="K922" s="1059">
        <f t="shared" si="34"/>
        <v>1355031</v>
      </c>
      <c r="L922" s="1057"/>
      <c r="M922" s="1058">
        <v>11301</v>
      </c>
      <c r="N922" s="1058">
        <v>0</v>
      </c>
      <c r="O922" s="1057">
        <v>3425</v>
      </c>
      <c r="P922" s="1059">
        <f t="shared" si="35"/>
        <v>14726</v>
      </c>
      <c r="Q922" s="1057"/>
      <c r="R922" s="1058">
        <v>606387</v>
      </c>
      <c r="S922" s="1057">
        <v>34690</v>
      </c>
      <c r="T922" s="1060">
        <v>641077</v>
      </c>
    </row>
    <row r="923" spans="1:20" s="1069" customFormat="1" x14ac:dyDescent="0.25">
      <c r="A923" s="1063" t="s">
        <v>2553</v>
      </c>
      <c r="B923" s="1064" t="s">
        <v>4873</v>
      </c>
      <c r="C923" s="1065">
        <v>2.7599999999999999E-4</v>
      </c>
      <c r="D923" s="1065">
        <v>2.2699999999999999E-4</v>
      </c>
      <c r="E923" s="1066">
        <v>654766</v>
      </c>
      <c r="F923" s="1066" t="s">
        <v>187</v>
      </c>
      <c r="G923" s="1067">
        <v>101015</v>
      </c>
      <c r="H923" s="1067">
        <v>89880</v>
      </c>
      <c r="I923" s="1067">
        <v>173750</v>
      </c>
      <c r="J923" s="1066">
        <v>51648</v>
      </c>
      <c r="K923" s="1067">
        <f t="shared" si="34"/>
        <v>416293</v>
      </c>
      <c r="L923" s="1066"/>
      <c r="M923" s="1067">
        <v>3390</v>
      </c>
      <c r="N923" s="1067">
        <v>0</v>
      </c>
      <c r="O923" s="1066">
        <v>10320</v>
      </c>
      <c r="P923" s="1067">
        <f t="shared" si="35"/>
        <v>13710</v>
      </c>
      <c r="Q923" s="1066"/>
      <c r="R923" s="1067">
        <v>181877</v>
      </c>
      <c r="S923" s="1066">
        <v>8885</v>
      </c>
      <c r="T923" s="1068">
        <v>190762</v>
      </c>
    </row>
    <row r="924" spans="1:20" x14ac:dyDescent="0.25">
      <c r="A924" s="1054"/>
      <c r="B924" s="1055"/>
      <c r="C924" s="1056"/>
      <c r="D924" s="1072"/>
    </row>
    <row r="925" spans="1:20" s="1081" customFormat="1" x14ac:dyDescent="0.25">
      <c r="A925" s="1073"/>
      <c r="B925" s="1074" t="s">
        <v>103</v>
      </c>
      <c r="C925" s="1075">
        <f>SUM(C7:C922)-SUM(C248:C250)-SUM(C680:C681)-SUM(C790:C791)-SUM(C806:C807)</f>
        <v>1</v>
      </c>
      <c r="D925" s="1075">
        <f>SUM(D7:D922)-SUM(D248:D250)-SUM(D680:D681)-SUM(D790:D791)-SUM(D806:D807)</f>
        <v>1</v>
      </c>
      <c r="E925" s="1076">
        <f>SUM(E7:E922)-SUM(E248:E250)-SUM(E680:E681)-SUM(E790:E791)-SUM(E806:E807)</f>
        <v>2372341991</v>
      </c>
      <c r="F925" s="1077"/>
      <c r="G925" s="1077">
        <f>SUM(G7:G922)-SUM(G248:G250)-SUM(G680:G681)-SUM(G790:G791)-SUM(G806:G807)</f>
        <v>365996013</v>
      </c>
      <c r="H925" s="1078">
        <f>SUM(H7:H922)-SUM(H248:H250)-SUM(H680:H681)-SUM(H790:H791)-SUM(H806:H807)</f>
        <v>325651977</v>
      </c>
      <c r="I925" s="1077">
        <f>SUM(I7:I922)-SUM(I248:I250)-SUM(I680:I681)-SUM(I790:I791)-SUM(I806:I807)</f>
        <v>629527990</v>
      </c>
      <c r="J925" s="1077">
        <f>SUM(J7:J922)-SUM(J248:J250)-SUM(J680:J681)-SUM(J790:J791)-SUM(J806:J807)</f>
        <v>39321171</v>
      </c>
      <c r="K925" s="1078">
        <f>SUM(K7:K922)-SUM(K248:K250)-SUM(K680:K681)-SUM(K790:K791)-SUM(K806:K807)</f>
        <v>1360497151</v>
      </c>
      <c r="L925" s="1077"/>
      <c r="M925" s="1077">
        <f>SUM(M7:M922)-SUM(M248:M250)-SUM(M680:M681)-SUM(M790:M791)-SUM(M806:M807)</f>
        <v>12280987</v>
      </c>
      <c r="N925" s="1077">
        <f>SUM(N7:N922)-SUM(N248:N250)-SUM(N680:N681)-SUM(N790:N791)-SUM(N806:N807)</f>
        <v>0</v>
      </c>
      <c r="O925" s="1077">
        <f>SUM(O7:O922)-SUM(O248:O250)-SUM(O680:O681)-SUM(O790:O791)-SUM(O806:O807)</f>
        <v>39321083</v>
      </c>
      <c r="P925" s="1079">
        <f>SUM(P7:P922)-SUM(P248:P250)-SUM(P680:P681)-SUM(P790:P791)-SUM(P806:P807)</f>
        <v>51602070</v>
      </c>
      <c r="Q925" s="1080"/>
      <c r="R925" s="1080">
        <f>SUM(R7:R922)-SUM(R248:R250)-SUM(R680:R681)-SUM(R790:R791)-SUM(R806:R807)</f>
        <v>658973009</v>
      </c>
      <c r="S925" s="1080">
        <f>SUM(S7:S922)-SUM(S248:S250)-SUM(S680:S681)-SUM(S790:S791)-SUM(S806:S807)</f>
        <v>6</v>
      </c>
      <c r="T925" s="1080">
        <f>SUM(T7:T922)-SUM(T248:T250)-SUM(T680:T681)-SUM(T790:T791)-SUM(T806:T807)</f>
        <v>658973015</v>
      </c>
    </row>
    <row r="926" spans="1:20" s="1081" customFormat="1" x14ac:dyDescent="0.25">
      <c r="A926" s="1073"/>
      <c r="B926" s="1074" t="s">
        <v>4386</v>
      </c>
      <c r="C926" s="1075">
        <v>1</v>
      </c>
      <c r="D926" s="1075">
        <v>1</v>
      </c>
      <c r="E926" s="1076">
        <v>2372341991</v>
      </c>
      <c r="F926" s="1077"/>
      <c r="G926" s="1077">
        <v>365996013</v>
      </c>
      <c r="H926" s="1078">
        <v>325651977</v>
      </c>
      <c r="I926" s="1077">
        <v>629527990</v>
      </c>
      <c r="J926" s="1077">
        <v>39321171</v>
      </c>
      <c r="K926" s="1078">
        <v>1360497151</v>
      </c>
      <c r="L926" s="1077"/>
      <c r="M926" s="1077">
        <v>12280987</v>
      </c>
      <c r="N926" s="1077">
        <v>0</v>
      </c>
      <c r="O926" s="1077">
        <v>39321083</v>
      </c>
      <c r="P926" s="1079">
        <v>51602070</v>
      </c>
      <c r="Q926" s="1080"/>
      <c r="R926" s="1080">
        <v>658973009</v>
      </c>
      <c r="S926" s="1080">
        <v>6</v>
      </c>
      <c r="T926" s="1080">
        <v>658973015</v>
      </c>
    </row>
    <row r="927" spans="1:20" s="1081" customFormat="1" x14ac:dyDescent="0.25">
      <c r="A927" s="1073"/>
      <c r="B927" s="1074"/>
      <c r="C927" s="1056"/>
      <c r="D927" s="1046"/>
      <c r="E927" s="1077"/>
      <c r="F927" s="1077"/>
      <c r="G927" s="1080"/>
      <c r="H927" s="1079"/>
      <c r="I927" s="1080"/>
      <c r="J927" s="1080"/>
      <c r="K927" s="1079"/>
      <c r="L927" s="1080"/>
      <c r="M927" s="1080"/>
      <c r="N927" s="1080"/>
      <c r="O927" s="1080"/>
      <c r="P927" s="1079"/>
      <c r="Q927" s="1080"/>
      <c r="R927" s="1080"/>
      <c r="S927" s="1080"/>
      <c r="T927" s="1080"/>
    </row>
    <row r="928" spans="1:20" x14ac:dyDescent="0.25">
      <c r="B928" s="1062" t="s">
        <v>2121</v>
      </c>
      <c r="C928" s="1082" t="s">
        <v>487</v>
      </c>
    </row>
    <row r="929" spans="1:16" x14ac:dyDescent="0.25">
      <c r="A929" s="1054"/>
      <c r="B929" s="1083" t="s">
        <v>4387</v>
      </c>
      <c r="C929" s="1054">
        <v>96331</v>
      </c>
      <c r="H929" s="1046"/>
      <c r="K929" s="1046"/>
      <c r="P929" s="1046"/>
    </row>
    <row r="930" spans="1:16" x14ac:dyDescent="0.25">
      <c r="A930" s="1054"/>
      <c r="B930" s="1083" t="s">
        <v>4388</v>
      </c>
      <c r="C930" s="1054">
        <v>94611</v>
      </c>
      <c r="H930" s="1046"/>
      <c r="K930" s="1046"/>
      <c r="P930" s="1046"/>
    </row>
    <row r="931" spans="1:16" x14ac:dyDescent="0.25">
      <c r="A931" s="1054"/>
      <c r="B931" s="1083" t="s">
        <v>2889</v>
      </c>
      <c r="C931" s="1054">
        <v>93402</v>
      </c>
      <c r="H931" s="1046"/>
      <c r="K931" s="1046"/>
      <c r="P931" s="1046"/>
    </row>
    <row r="932" spans="1:16" x14ac:dyDescent="0.25">
      <c r="A932" s="1054"/>
      <c r="B932" s="1083" t="s">
        <v>4389</v>
      </c>
      <c r="C932" s="1054">
        <v>90151</v>
      </c>
      <c r="H932" s="1046"/>
      <c r="K932" s="1046"/>
      <c r="P932" s="1046"/>
    </row>
    <row r="933" spans="1:16" x14ac:dyDescent="0.25">
      <c r="A933" s="1054"/>
      <c r="B933" s="1083" t="s">
        <v>2953</v>
      </c>
      <c r="C933" s="1054">
        <v>94109</v>
      </c>
      <c r="H933" s="1046"/>
      <c r="K933" s="1046"/>
      <c r="P933" s="1046"/>
    </row>
    <row r="934" spans="1:16" x14ac:dyDescent="0.25">
      <c r="A934" s="1054"/>
      <c r="B934" s="1083" t="s">
        <v>2586</v>
      </c>
      <c r="C934" s="1054">
        <v>90101</v>
      </c>
      <c r="H934" s="1046"/>
      <c r="K934" s="1046"/>
      <c r="P934" s="1046"/>
    </row>
    <row r="935" spans="1:16" x14ac:dyDescent="0.25">
      <c r="A935" s="1054"/>
      <c r="B935" s="1083" t="s">
        <v>2589</v>
      </c>
      <c r="C935" s="1054">
        <v>90117</v>
      </c>
      <c r="H935" s="1046"/>
      <c r="K935" s="1046"/>
      <c r="P935" s="1046"/>
    </row>
    <row r="936" spans="1:16" x14ac:dyDescent="0.25">
      <c r="A936" s="1054"/>
      <c r="B936" s="1083" t="s">
        <v>4390</v>
      </c>
      <c r="C936" s="1054">
        <v>98411</v>
      </c>
      <c r="H936" s="1046"/>
      <c r="K936" s="1046"/>
      <c r="P936" s="1046"/>
    </row>
    <row r="937" spans="1:16" x14ac:dyDescent="0.25">
      <c r="A937" s="1054"/>
      <c r="B937" s="1083" t="s">
        <v>3338</v>
      </c>
      <c r="C937" s="1054">
        <v>98417</v>
      </c>
      <c r="H937" s="1046"/>
      <c r="K937" s="1046"/>
      <c r="P937" s="1046"/>
    </row>
    <row r="938" spans="1:16" x14ac:dyDescent="0.25">
      <c r="A938" s="1054"/>
      <c r="B938" s="1083" t="s">
        <v>3198</v>
      </c>
      <c r="C938" s="1054">
        <v>97008</v>
      </c>
      <c r="H938" s="1046"/>
      <c r="K938" s="1046"/>
      <c r="P938" s="1046"/>
    </row>
    <row r="939" spans="1:16" x14ac:dyDescent="0.25">
      <c r="A939" s="1054"/>
      <c r="B939" s="1083" t="s">
        <v>3199</v>
      </c>
      <c r="C939" s="1054">
        <v>97010</v>
      </c>
      <c r="H939" s="1046"/>
      <c r="K939" s="1046"/>
      <c r="P939" s="1046"/>
    </row>
    <row r="940" spans="1:16" x14ac:dyDescent="0.25">
      <c r="A940" s="1054"/>
      <c r="B940" s="1083" t="s">
        <v>2583</v>
      </c>
      <c r="C940" s="1054">
        <v>90096</v>
      </c>
      <c r="H940" s="1046"/>
      <c r="K940" s="1046"/>
      <c r="P940" s="1046"/>
    </row>
    <row r="941" spans="1:16" x14ac:dyDescent="0.25">
      <c r="A941" s="1054"/>
      <c r="B941" s="1083" t="s">
        <v>2634</v>
      </c>
      <c r="C941" s="1054">
        <v>90805</v>
      </c>
      <c r="H941" s="1046"/>
      <c r="K941" s="1046"/>
      <c r="P941" s="1046"/>
    </row>
    <row r="942" spans="1:16" x14ac:dyDescent="0.25">
      <c r="A942" s="1054"/>
      <c r="B942" s="1083" t="s">
        <v>2777</v>
      </c>
      <c r="C942" s="1054">
        <v>92109</v>
      </c>
      <c r="H942" s="1046"/>
      <c r="K942" s="1046"/>
      <c r="P942" s="1046"/>
    </row>
    <row r="943" spans="1:16" x14ac:dyDescent="0.25">
      <c r="A943" s="1054"/>
      <c r="B943" s="1083" t="s">
        <v>2595</v>
      </c>
      <c r="C943" s="1054">
        <v>90201</v>
      </c>
      <c r="H943" s="1046"/>
      <c r="K943" s="1046"/>
      <c r="P943" s="1046"/>
    </row>
    <row r="944" spans="1:16" x14ac:dyDescent="0.25">
      <c r="A944" s="1054"/>
      <c r="B944" s="1083" t="s">
        <v>2598</v>
      </c>
      <c r="C944" s="1054">
        <v>90206</v>
      </c>
      <c r="H944" s="1046"/>
      <c r="K944" s="1046"/>
      <c r="P944" s="1046"/>
    </row>
    <row r="945" spans="1:16" x14ac:dyDescent="0.25">
      <c r="A945" s="1054"/>
      <c r="B945" s="1083" t="s">
        <v>2596</v>
      </c>
      <c r="C945" s="1054">
        <v>90203</v>
      </c>
      <c r="H945" s="1046"/>
      <c r="K945" s="1046"/>
      <c r="P945" s="1046"/>
    </row>
    <row r="946" spans="1:16" x14ac:dyDescent="0.25">
      <c r="A946" s="1054"/>
      <c r="B946" s="1083" t="s">
        <v>2597</v>
      </c>
      <c r="C946" s="1054">
        <v>90205</v>
      </c>
      <c r="H946" s="1046"/>
      <c r="K946" s="1046"/>
      <c r="P946" s="1046"/>
    </row>
    <row r="947" spans="1:16" x14ac:dyDescent="0.25">
      <c r="A947" s="1054"/>
      <c r="B947" s="1083" t="s">
        <v>2600</v>
      </c>
      <c r="C947" s="1054">
        <v>90301</v>
      </c>
      <c r="H947" s="1046"/>
      <c r="K947" s="1046"/>
      <c r="P947" s="1046"/>
    </row>
    <row r="948" spans="1:16" x14ac:dyDescent="0.25">
      <c r="A948" s="1054"/>
      <c r="B948" s="1083" t="s">
        <v>2872</v>
      </c>
      <c r="C948" s="1054">
        <v>93209</v>
      </c>
      <c r="H948" s="1046"/>
      <c r="K948" s="1046"/>
      <c r="P948" s="1046"/>
    </row>
    <row r="949" spans="1:16" x14ac:dyDescent="0.25">
      <c r="A949" s="1054"/>
      <c r="B949" s="1083" t="s">
        <v>4391</v>
      </c>
      <c r="C949" s="1054">
        <v>92021</v>
      </c>
      <c r="H949" s="1046"/>
      <c r="K949" s="1046"/>
      <c r="P949" s="1046"/>
    </row>
    <row r="950" spans="1:16" x14ac:dyDescent="0.25">
      <c r="A950" s="1054"/>
      <c r="B950" s="1083" t="s">
        <v>4392</v>
      </c>
      <c r="C950" s="1054">
        <v>94351</v>
      </c>
      <c r="H950" s="1046"/>
      <c r="K950" s="1046"/>
      <c r="P950" s="1046"/>
    </row>
    <row r="951" spans="1:16" x14ac:dyDescent="0.25">
      <c r="A951" s="1054"/>
      <c r="B951" s="1083" t="s">
        <v>4393</v>
      </c>
      <c r="C951" s="1054">
        <v>94347</v>
      </c>
      <c r="H951" s="1046"/>
      <c r="K951" s="1046"/>
      <c r="P951" s="1046"/>
    </row>
    <row r="952" spans="1:16" x14ac:dyDescent="0.25">
      <c r="A952" s="1054"/>
      <c r="B952" s="1083" t="s">
        <v>2603</v>
      </c>
      <c r="C952" s="1054">
        <v>90401</v>
      </c>
      <c r="H952" s="1046"/>
      <c r="K952" s="1046"/>
      <c r="P952" s="1046"/>
    </row>
    <row r="953" spans="1:16" x14ac:dyDescent="0.25">
      <c r="A953" s="1054"/>
      <c r="B953" s="1083" t="s">
        <v>4394</v>
      </c>
      <c r="C953" s="1054">
        <v>90451</v>
      </c>
      <c r="H953" s="1046"/>
      <c r="K953" s="1046"/>
      <c r="P953" s="1046"/>
    </row>
    <row r="954" spans="1:16" x14ac:dyDescent="0.25">
      <c r="A954" s="1054"/>
      <c r="B954" s="1083" t="s">
        <v>4395</v>
      </c>
      <c r="C954" s="1054">
        <v>99271</v>
      </c>
      <c r="H954" s="1046"/>
      <c r="K954" s="1046"/>
      <c r="P954" s="1046"/>
    </row>
    <row r="955" spans="1:16" x14ac:dyDescent="0.25">
      <c r="A955" s="1054"/>
      <c r="B955" s="1083" t="s">
        <v>2585</v>
      </c>
      <c r="C955" s="1054">
        <v>90099</v>
      </c>
      <c r="H955" s="1046"/>
      <c r="K955" s="1046"/>
      <c r="P955" s="1046"/>
    </row>
    <row r="956" spans="1:16" x14ac:dyDescent="0.25">
      <c r="A956" s="1054"/>
      <c r="B956" s="1083" t="s">
        <v>3443</v>
      </c>
      <c r="C956" s="1054">
        <v>99705</v>
      </c>
      <c r="H956" s="1046"/>
      <c r="K956" s="1046"/>
      <c r="P956" s="1046"/>
    </row>
    <row r="957" spans="1:16" x14ac:dyDescent="0.25">
      <c r="A957" s="1054"/>
      <c r="B957" s="1083" t="s">
        <v>4396</v>
      </c>
      <c r="C957" s="1054">
        <v>97651</v>
      </c>
      <c r="H957" s="1046"/>
      <c r="K957" s="1046"/>
      <c r="P957" s="1046"/>
    </row>
    <row r="958" spans="1:16" x14ac:dyDescent="0.25">
      <c r="A958" s="1054"/>
      <c r="B958" s="1083" t="s">
        <v>4397</v>
      </c>
      <c r="C958" s="1054">
        <v>95106</v>
      </c>
      <c r="H958" s="1046"/>
      <c r="K958" s="1046"/>
      <c r="P958" s="1046"/>
    </row>
    <row r="959" spans="1:16" x14ac:dyDescent="0.25">
      <c r="A959" s="1054"/>
      <c r="B959" s="1083" t="s">
        <v>2612</v>
      </c>
      <c r="C959" s="1054">
        <v>90501</v>
      </c>
      <c r="H959" s="1046"/>
      <c r="K959" s="1046"/>
      <c r="P959" s="1046"/>
    </row>
    <row r="960" spans="1:16" x14ac:dyDescent="0.25">
      <c r="A960" s="1054"/>
      <c r="B960" s="1083" t="s">
        <v>4398</v>
      </c>
      <c r="C960" s="1054">
        <v>97611</v>
      </c>
      <c r="H960" s="1046"/>
      <c r="K960" s="1046"/>
      <c r="P960" s="1046"/>
    </row>
    <row r="961" spans="1:16" x14ac:dyDescent="0.25">
      <c r="A961" s="1054"/>
      <c r="B961" s="1083" t="s">
        <v>3241</v>
      </c>
      <c r="C961" s="1054">
        <v>97607</v>
      </c>
      <c r="H961" s="1046"/>
      <c r="K961" s="1046"/>
      <c r="P961" s="1046"/>
    </row>
    <row r="962" spans="1:16" x14ac:dyDescent="0.25">
      <c r="A962" s="1054"/>
      <c r="B962" s="1083" t="s">
        <v>4283</v>
      </c>
      <c r="C962" s="1054">
        <v>97613</v>
      </c>
      <c r="H962" s="1046"/>
      <c r="K962" s="1046"/>
      <c r="P962" s="1046"/>
    </row>
    <row r="963" spans="1:16" x14ac:dyDescent="0.25">
      <c r="A963" s="1054"/>
      <c r="B963" s="1083" t="s">
        <v>4399</v>
      </c>
      <c r="C963" s="1054">
        <v>91121</v>
      </c>
      <c r="H963" s="1046"/>
      <c r="K963" s="1046"/>
      <c r="P963" s="1046"/>
    </row>
    <row r="964" spans="1:16" x14ac:dyDescent="0.25">
      <c r="A964" s="1054"/>
      <c r="B964" s="1083" t="s">
        <v>2686</v>
      </c>
      <c r="C964" s="1061">
        <v>91127</v>
      </c>
      <c r="H964" s="1046"/>
      <c r="K964" s="1046"/>
      <c r="P964" s="1046"/>
    </row>
    <row r="965" spans="1:16" x14ac:dyDescent="0.25">
      <c r="A965" s="1054"/>
      <c r="B965" s="1083" t="s">
        <v>2687</v>
      </c>
      <c r="C965" s="1054">
        <v>91128</v>
      </c>
      <c r="H965" s="1046"/>
      <c r="K965" s="1046"/>
      <c r="P965" s="1046"/>
    </row>
    <row r="966" spans="1:16" x14ac:dyDescent="0.25">
      <c r="A966" s="1054"/>
      <c r="B966" s="1083" t="s">
        <v>4400</v>
      </c>
      <c r="C966" s="1054">
        <v>91681</v>
      </c>
      <c r="H966" s="1046"/>
      <c r="K966" s="1046"/>
      <c r="P966" s="1046"/>
    </row>
    <row r="967" spans="1:16" x14ac:dyDescent="0.25">
      <c r="A967" s="1054"/>
      <c r="B967" s="1083" t="s">
        <v>4401</v>
      </c>
      <c r="C967" s="1054">
        <v>90811</v>
      </c>
      <c r="H967" s="1046"/>
      <c r="K967" s="1046"/>
      <c r="P967" s="1046"/>
    </row>
    <row r="968" spans="1:16" x14ac:dyDescent="0.25">
      <c r="A968" s="1054"/>
      <c r="B968" s="1083" t="s">
        <v>4402</v>
      </c>
      <c r="C968" s="1054">
        <v>90721</v>
      </c>
      <c r="H968" s="1046"/>
      <c r="K968" s="1046"/>
      <c r="P968" s="1046"/>
    </row>
    <row r="969" spans="1:16" x14ac:dyDescent="0.25">
      <c r="A969" s="1054"/>
      <c r="B969" s="1083" t="s">
        <v>4403</v>
      </c>
      <c r="C969" s="1054">
        <v>98271</v>
      </c>
      <c r="H969" s="1046"/>
      <c r="K969" s="1046"/>
      <c r="P969" s="1046"/>
    </row>
    <row r="970" spans="1:16" x14ac:dyDescent="0.25">
      <c r="A970" s="1054"/>
      <c r="B970" s="1083" t="s">
        <v>2615</v>
      </c>
      <c r="C970" s="1054">
        <v>90601</v>
      </c>
      <c r="H970" s="1046"/>
      <c r="K970" s="1046"/>
      <c r="P970" s="1046"/>
    </row>
    <row r="971" spans="1:16" x14ac:dyDescent="0.25">
      <c r="A971" s="1054"/>
      <c r="B971" s="1083" t="s">
        <v>2122</v>
      </c>
      <c r="C971" s="1054">
        <v>90602</v>
      </c>
      <c r="H971" s="1046"/>
      <c r="K971" s="1046"/>
      <c r="P971" s="1046"/>
    </row>
    <row r="972" spans="1:16" x14ac:dyDescent="0.25">
      <c r="A972" s="1054"/>
      <c r="B972" s="1083" t="s">
        <v>2616</v>
      </c>
      <c r="C972" s="1054">
        <v>90605</v>
      </c>
      <c r="H972" s="1046"/>
      <c r="K972" s="1046"/>
      <c r="P972" s="1046"/>
    </row>
    <row r="973" spans="1:16" x14ac:dyDescent="0.25">
      <c r="A973" s="1054"/>
      <c r="B973" s="1083" t="s">
        <v>4404</v>
      </c>
      <c r="C973" s="1054">
        <v>97461</v>
      </c>
      <c r="H973" s="1046"/>
      <c r="K973" s="1046"/>
      <c r="P973" s="1046"/>
    </row>
    <row r="974" spans="1:16" x14ac:dyDescent="0.25">
      <c r="A974" s="1054"/>
      <c r="B974" s="1083" t="s">
        <v>4405</v>
      </c>
      <c r="C974" s="1054" t="s">
        <v>4276</v>
      </c>
      <c r="H974" s="1046"/>
      <c r="K974" s="1046"/>
      <c r="P974" s="1046"/>
    </row>
    <row r="975" spans="1:16" x14ac:dyDescent="0.25">
      <c r="A975" s="1054"/>
      <c r="B975" s="1083" t="s">
        <v>2625</v>
      </c>
      <c r="C975" s="1054">
        <v>90705</v>
      </c>
      <c r="H975" s="1046"/>
      <c r="K975" s="1046"/>
      <c r="P975" s="1046"/>
    </row>
    <row r="976" spans="1:16" x14ac:dyDescent="0.25">
      <c r="A976" s="1054"/>
      <c r="B976" s="1083" t="s">
        <v>4406</v>
      </c>
      <c r="C976" s="1054">
        <v>98451</v>
      </c>
      <c r="H976" s="1046"/>
      <c r="K976" s="1046"/>
      <c r="P976" s="1046"/>
    </row>
    <row r="977" spans="1:16" x14ac:dyDescent="0.25">
      <c r="A977" s="1054"/>
      <c r="B977" s="1083" t="s">
        <v>4407</v>
      </c>
      <c r="C977" s="1054">
        <v>96451</v>
      </c>
      <c r="H977" s="1046"/>
      <c r="K977" s="1046"/>
      <c r="P977" s="1046"/>
    </row>
    <row r="978" spans="1:16" x14ac:dyDescent="0.25">
      <c r="A978" s="1054"/>
      <c r="B978" s="1083" t="s">
        <v>4408</v>
      </c>
      <c r="C978" s="1054">
        <v>96121</v>
      </c>
      <c r="H978" s="1046"/>
      <c r="K978" s="1046"/>
      <c r="P978" s="1046"/>
    </row>
    <row r="979" spans="1:16" x14ac:dyDescent="0.25">
      <c r="A979" s="1054"/>
      <c r="B979" s="1083" t="s">
        <v>4409</v>
      </c>
      <c r="C979" s="1054">
        <v>91091</v>
      </c>
      <c r="H979" s="1046"/>
      <c r="K979" s="1046"/>
      <c r="P979" s="1046"/>
    </row>
    <row r="980" spans="1:16" x14ac:dyDescent="0.25">
      <c r="A980" s="1054"/>
      <c r="B980" s="1083" t="s">
        <v>4410</v>
      </c>
      <c r="C980" s="1054">
        <v>90611</v>
      </c>
      <c r="H980" s="1046"/>
      <c r="K980" s="1046"/>
      <c r="P980" s="1046"/>
    </row>
    <row r="981" spans="1:16" x14ac:dyDescent="0.25">
      <c r="A981" s="1054"/>
      <c r="B981" s="1083" t="s">
        <v>3193</v>
      </c>
      <c r="C981" s="1054">
        <v>96918</v>
      </c>
      <c r="H981" s="1046"/>
      <c r="K981" s="1046"/>
      <c r="P981" s="1046"/>
    </row>
    <row r="982" spans="1:16" x14ac:dyDescent="0.25">
      <c r="A982" s="1054"/>
      <c r="B982" s="1083" t="s">
        <v>4411</v>
      </c>
      <c r="C982" s="1054">
        <v>96911</v>
      </c>
      <c r="H982" s="1046"/>
      <c r="K982" s="1046"/>
      <c r="P982" s="1046"/>
    </row>
    <row r="983" spans="1:16" x14ac:dyDescent="0.25">
      <c r="A983" s="1054"/>
      <c r="B983" s="1083" t="s">
        <v>3394</v>
      </c>
      <c r="C983" s="1054">
        <v>99208</v>
      </c>
      <c r="H983" s="1046"/>
      <c r="K983" s="1046"/>
      <c r="P983" s="1046"/>
    </row>
    <row r="984" spans="1:16" x14ac:dyDescent="0.25">
      <c r="A984" s="1054"/>
      <c r="B984" s="1083" t="s">
        <v>4412</v>
      </c>
      <c r="C984" s="1054">
        <v>91631</v>
      </c>
      <c r="H984" s="1046"/>
      <c r="K984" s="1046"/>
      <c r="P984" s="1046"/>
    </row>
    <row r="985" spans="1:16" x14ac:dyDescent="0.25">
      <c r="A985" s="1054"/>
      <c r="B985" s="1083" t="s">
        <v>3579</v>
      </c>
      <c r="C985" s="1054">
        <v>90701</v>
      </c>
      <c r="H985" s="1046"/>
      <c r="K985" s="1046"/>
      <c r="P985" s="1046"/>
    </row>
    <row r="986" spans="1:16" x14ac:dyDescent="0.25">
      <c r="A986" s="1054"/>
      <c r="B986" s="1083" t="s">
        <v>2624</v>
      </c>
      <c r="C986" s="1054">
        <v>90704</v>
      </c>
      <c r="H986" s="1046"/>
      <c r="K986" s="1046"/>
      <c r="P986" s="1046"/>
    </row>
    <row r="987" spans="1:16" x14ac:dyDescent="0.25">
      <c r="A987" s="1054"/>
      <c r="B987" s="1083" t="s">
        <v>4050</v>
      </c>
      <c r="C987" s="1054">
        <v>91633</v>
      </c>
      <c r="H987" s="1046"/>
      <c r="K987" s="1046"/>
      <c r="P987" s="1046"/>
    </row>
    <row r="988" spans="1:16" x14ac:dyDescent="0.25">
      <c r="A988" s="1054"/>
      <c r="B988" s="1083" t="s">
        <v>4413</v>
      </c>
      <c r="C988" s="1054">
        <v>90631</v>
      </c>
      <c r="H988" s="1046"/>
      <c r="K988" s="1046"/>
      <c r="P988" s="1046"/>
    </row>
    <row r="989" spans="1:16" x14ac:dyDescent="0.25">
      <c r="A989" s="1054"/>
      <c r="B989" s="1083" t="s">
        <v>4414</v>
      </c>
      <c r="C989" s="1054">
        <v>90731</v>
      </c>
      <c r="H989" s="1046"/>
      <c r="K989" s="1046"/>
      <c r="P989" s="1046"/>
    </row>
    <row r="990" spans="1:16" x14ac:dyDescent="0.25">
      <c r="A990" s="1054"/>
      <c r="B990" s="1083" t="s">
        <v>4415</v>
      </c>
      <c r="C990" s="1054">
        <v>93621</v>
      </c>
      <c r="H990" s="1046"/>
      <c r="K990" s="1046"/>
      <c r="P990" s="1046"/>
    </row>
    <row r="991" spans="1:16" x14ac:dyDescent="0.25">
      <c r="A991" s="1054"/>
      <c r="B991" s="1083" t="s">
        <v>2918</v>
      </c>
      <c r="C991" s="1054">
        <v>93623</v>
      </c>
      <c r="H991" s="1046"/>
      <c r="K991" s="1046"/>
      <c r="P991" s="1046"/>
    </row>
    <row r="992" spans="1:16" x14ac:dyDescent="0.25">
      <c r="A992" s="1054"/>
      <c r="B992" s="1083" t="s">
        <v>4416</v>
      </c>
      <c r="C992" s="1054">
        <v>91020</v>
      </c>
      <c r="H992" s="1046"/>
      <c r="K992" s="1046"/>
      <c r="P992" s="1046"/>
    </row>
    <row r="993" spans="1:16" x14ac:dyDescent="0.25">
      <c r="A993" s="1054"/>
      <c r="B993" s="1083" t="s">
        <v>4417</v>
      </c>
      <c r="C993" s="1054">
        <v>95141</v>
      </c>
      <c r="H993" s="1046"/>
      <c r="K993" s="1046"/>
      <c r="P993" s="1046"/>
    </row>
    <row r="994" spans="1:16" x14ac:dyDescent="0.25">
      <c r="A994" s="1054"/>
      <c r="B994" s="1083" t="s">
        <v>3037</v>
      </c>
      <c r="C994" s="1054">
        <v>95103</v>
      </c>
      <c r="H994" s="1046"/>
      <c r="K994" s="1046"/>
      <c r="P994" s="1046"/>
    </row>
    <row r="995" spans="1:16" x14ac:dyDescent="0.25">
      <c r="A995" s="1054"/>
      <c r="B995" s="1083" t="s">
        <v>4418</v>
      </c>
      <c r="C995" s="1054">
        <v>93021</v>
      </c>
      <c r="H995" s="1046"/>
      <c r="K995" s="1046"/>
      <c r="P995" s="1046"/>
    </row>
    <row r="996" spans="1:16" x14ac:dyDescent="0.25">
      <c r="A996" s="1054"/>
      <c r="B996" s="1083" t="s">
        <v>2632</v>
      </c>
      <c r="C996" s="1054">
        <v>90801</v>
      </c>
      <c r="H996" s="1046"/>
      <c r="K996" s="1046"/>
      <c r="P996" s="1046"/>
    </row>
    <row r="997" spans="1:16" x14ac:dyDescent="0.25">
      <c r="A997" s="1054"/>
      <c r="B997" s="1083" t="s">
        <v>2633</v>
      </c>
      <c r="C997" s="1054">
        <v>90804</v>
      </c>
      <c r="H997" s="1046"/>
      <c r="K997" s="1046"/>
      <c r="P997" s="1046"/>
    </row>
    <row r="998" spans="1:16" x14ac:dyDescent="0.25">
      <c r="A998" s="1054"/>
      <c r="B998" s="1083" t="s">
        <v>2635</v>
      </c>
      <c r="C998" s="1054">
        <v>90808</v>
      </c>
      <c r="H998" s="1046"/>
      <c r="K998" s="1046"/>
      <c r="P998" s="1046"/>
    </row>
    <row r="999" spans="1:16" x14ac:dyDescent="0.25">
      <c r="A999" s="1054"/>
      <c r="B999" s="1083" t="s">
        <v>2924</v>
      </c>
      <c r="C999" s="1054">
        <v>93671</v>
      </c>
      <c r="H999" s="1046"/>
      <c r="K999" s="1046"/>
      <c r="P999" s="1046"/>
    </row>
    <row r="1000" spans="1:16" x14ac:dyDescent="0.25">
      <c r="A1000" s="1054"/>
      <c r="B1000" s="1083" t="s">
        <v>4419</v>
      </c>
      <c r="C1000" s="1054">
        <v>93677</v>
      </c>
      <c r="H1000" s="1046"/>
      <c r="K1000" s="1046"/>
      <c r="P1000" s="1046"/>
    </row>
    <row r="1001" spans="1:16" x14ac:dyDescent="0.25">
      <c r="A1001" s="1054"/>
      <c r="B1001" s="1083" t="s">
        <v>4420</v>
      </c>
      <c r="C1001" s="1054">
        <v>97441</v>
      </c>
      <c r="H1001" s="1046"/>
      <c r="K1001" s="1046"/>
      <c r="P1001" s="1046"/>
    </row>
    <row r="1002" spans="1:16" x14ac:dyDescent="0.25">
      <c r="A1002" s="1054"/>
      <c r="B1002" s="1083" t="s">
        <v>4421</v>
      </c>
      <c r="C1002" s="1054">
        <v>93111</v>
      </c>
      <c r="H1002" s="1046"/>
      <c r="K1002" s="1046"/>
      <c r="P1002" s="1046"/>
    </row>
    <row r="1003" spans="1:16" x14ac:dyDescent="0.25">
      <c r="A1003" s="1054"/>
      <c r="B1003" s="1083" t="s">
        <v>4422</v>
      </c>
      <c r="C1003" s="1054">
        <v>91111</v>
      </c>
      <c r="H1003" s="1046"/>
      <c r="K1003" s="1046"/>
      <c r="P1003" s="1046"/>
    </row>
    <row r="1004" spans="1:16" x14ac:dyDescent="0.25">
      <c r="A1004" s="1054"/>
      <c r="B1004" s="1083" t="s">
        <v>4423</v>
      </c>
      <c r="C1004" s="1054">
        <v>96231</v>
      </c>
      <c r="H1004" s="1046"/>
      <c r="K1004" s="1046"/>
      <c r="P1004" s="1046"/>
    </row>
    <row r="1005" spans="1:16" x14ac:dyDescent="0.25">
      <c r="A1005" s="1054"/>
      <c r="B1005" s="1083" t="s">
        <v>4424</v>
      </c>
      <c r="C1005" s="1061">
        <v>99831</v>
      </c>
      <c r="H1005" s="1046"/>
      <c r="K1005" s="1046"/>
      <c r="P1005" s="1046"/>
    </row>
    <row r="1006" spans="1:16" x14ac:dyDescent="0.25">
      <c r="A1006" s="1054"/>
      <c r="B1006" s="1083" t="s">
        <v>4425</v>
      </c>
      <c r="C1006" s="1054">
        <v>91151</v>
      </c>
      <c r="H1006" s="1046"/>
      <c r="K1006" s="1046"/>
      <c r="P1006" s="1046"/>
    </row>
    <row r="1007" spans="1:16" x14ac:dyDescent="0.25">
      <c r="A1007" s="1054"/>
      <c r="B1007" s="1083" t="s">
        <v>2692</v>
      </c>
      <c r="C1007" s="1054">
        <v>91154</v>
      </c>
      <c r="H1007" s="1046"/>
      <c r="K1007" s="1046"/>
      <c r="P1007" s="1046"/>
    </row>
    <row r="1008" spans="1:16" x14ac:dyDescent="0.25">
      <c r="A1008" s="1054"/>
      <c r="B1008" s="1083" t="s">
        <v>2640</v>
      </c>
      <c r="C1008" s="1054">
        <v>90901</v>
      </c>
      <c r="H1008" s="1046"/>
      <c r="K1008" s="1046"/>
      <c r="P1008" s="1046"/>
    </row>
    <row r="1009" spans="1:16" x14ac:dyDescent="0.25">
      <c r="A1009" s="1054"/>
      <c r="B1009" s="1083" t="s">
        <v>4426</v>
      </c>
      <c r="C1009" s="1054">
        <v>90941</v>
      </c>
      <c r="H1009" s="1046"/>
      <c r="K1009" s="1046"/>
      <c r="P1009" s="1046"/>
    </row>
    <row r="1010" spans="1:16" x14ac:dyDescent="0.25">
      <c r="A1010" s="1054"/>
      <c r="B1010" s="1083" t="s">
        <v>4427</v>
      </c>
      <c r="C1010" s="1054">
        <v>99521</v>
      </c>
      <c r="H1010" s="1046"/>
      <c r="K1010" s="1046"/>
      <c r="P1010" s="1046"/>
    </row>
    <row r="1011" spans="1:16" x14ac:dyDescent="0.25">
      <c r="A1011" s="1054"/>
      <c r="B1011" s="1083" t="s">
        <v>3427</v>
      </c>
      <c r="C1011" s="1054">
        <v>99527</v>
      </c>
      <c r="H1011" s="1046"/>
      <c r="K1011" s="1046"/>
      <c r="P1011" s="1046"/>
    </row>
    <row r="1012" spans="1:16" x14ac:dyDescent="0.25">
      <c r="A1012" s="1054"/>
      <c r="B1012" s="1083" t="s">
        <v>3423</v>
      </c>
      <c r="C1012" s="1054">
        <v>99508</v>
      </c>
      <c r="H1012" s="1046"/>
      <c r="K1012" s="1046"/>
      <c r="P1012" s="1046"/>
    </row>
    <row r="1013" spans="1:16" x14ac:dyDescent="0.25">
      <c r="A1013" s="1054"/>
      <c r="B1013" s="1083" t="s">
        <v>3003</v>
      </c>
      <c r="C1013" s="1054">
        <v>94532</v>
      </c>
      <c r="H1013" s="1046"/>
      <c r="K1013" s="1046"/>
      <c r="P1013" s="1046"/>
    </row>
    <row r="1014" spans="1:16" x14ac:dyDescent="0.25">
      <c r="A1014" s="1054"/>
      <c r="B1014" s="1083" t="s">
        <v>4428</v>
      </c>
      <c r="C1014" s="1054">
        <v>91071</v>
      </c>
      <c r="H1014" s="1046"/>
      <c r="K1014" s="1046"/>
      <c r="P1014" s="1046"/>
    </row>
    <row r="1015" spans="1:16" x14ac:dyDescent="0.25">
      <c r="A1015" s="1054"/>
      <c r="B1015" s="1083" t="s">
        <v>2674</v>
      </c>
      <c r="C1015" s="1054">
        <v>91077</v>
      </c>
      <c r="H1015" s="1046"/>
      <c r="K1015" s="1046"/>
      <c r="P1015" s="1046"/>
    </row>
    <row r="1016" spans="1:16" x14ac:dyDescent="0.25">
      <c r="A1016" s="1054"/>
      <c r="B1016" s="1083" t="s">
        <v>4429</v>
      </c>
      <c r="C1016" s="1054">
        <v>92331</v>
      </c>
      <c r="H1016" s="1046"/>
      <c r="K1016" s="1046"/>
      <c r="P1016" s="1046"/>
    </row>
    <row r="1017" spans="1:16" x14ac:dyDescent="0.25">
      <c r="A1017" s="1054"/>
      <c r="B1017" s="1083" t="s">
        <v>4430</v>
      </c>
      <c r="C1017" s="1054">
        <v>92414</v>
      </c>
      <c r="H1017" s="1046"/>
      <c r="K1017" s="1046"/>
      <c r="P1017" s="1046"/>
    </row>
    <row r="1018" spans="1:16" x14ac:dyDescent="0.25">
      <c r="A1018" s="1054"/>
      <c r="B1018" s="1083" t="s">
        <v>4431</v>
      </c>
      <c r="C1018" s="1054">
        <v>99511</v>
      </c>
      <c r="H1018" s="1046"/>
      <c r="K1018" s="1046"/>
      <c r="P1018" s="1046"/>
    </row>
    <row r="1019" spans="1:16" x14ac:dyDescent="0.25">
      <c r="A1019" s="1054"/>
      <c r="B1019" s="1083" t="s">
        <v>4432</v>
      </c>
      <c r="C1019" s="1061">
        <v>99941</v>
      </c>
      <c r="H1019" s="1046"/>
      <c r="K1019" s="1046"/>
      <c r="P1019" s="1046"/>
    </row>
    <row r="1020" spans="1:16" x14ac:dyDescent="0.25">
      <c r="A1020" s="1054"/>
      <c r="B1020" s="1083" t="s">
        <v>3145</v>
      </c>
      <c r="C1020" s="1054">
        <v>96405</v>
      </c>
      <c r="H1020" s="1046"/>
      <c r="K1020" s="1046"/>
      <c r="P1020" s="1046"/>
    </row>
    <row r="1021" spans="1:16" x14ac:dyDescent="0.25">
      <c r="A1021" s="1054"/>
      <c r="B1021" s="1083" t="s">
        <v>4433</v>
      </c>
      <c r="C1021" s="1054">
        <v>98811</v>
      </c>
      <c r="H1021" s="1046"/>
      <c r="K1021" s="1046"/>
      <c r="P1021" s="1046"/>
    </row>
    <row r="1022" spans="1:16" x14ac:dyDescent="0.25">
      <c r="A1022" s="1054"/>
      <c r="B1022" s="1083" t="s">
        <v>3365</v>
      </c>
      <c r="C1022" s="1054">
        <v>98817</v>
      </c>
      <c r="H1022" s="1046"/>
      <c r="K1022" s="1046"/>
      <c r="P1022" s="1046"/>
    </row>
    <row r="1023" spans="1:16" x14ac:dyDescent="0.25">
      <c r="A1023" s="1054"/>
      <c r="B1023" s="1083" t="s">
        <v>4434</v>
      </c>
      <c r="C1023" s="1054">
        <v>92561</v>
      </c>
      <c r="H1023" s="1046"/>
      <c r="K1023" s="1046"/>
      <c r="P1023" s="1046"/>
    </row>
    <row r="1024" spans="1:16" x14ac:dyDescent="0.25">
      <c r="A1024" s="1054"/>
      <c r="B1024" s="1083" t="s">
        <v>3307</v>
      </c>
      <c r="C1024" s="1054">
        <v>98102</v>
      </c>
      <c r="H1024" s="1046"/>
      <c r="K1024" s="1046"/>
      <c r="P1024" s="1046"/>
    </row>
    <row r="1025" spans="1:16" x14ac:dyDescent="0.25">
      <c r="A1025" s="1054"/>
      <c r="B1025" s="1083" t="s">
        <v>4435</v>
      </c>
      <c r="C1025" s="1054">
        <v>95321</v>
      </c>
      <c r="H1025" s="1046"/>
      <c r="K1025" s="1046"/>
      <c r="P1025" s="1046"/>
    </row>
    <row r="1026" spans="1:16" x14ac:dyDescent="0.25">
      <c r="A1026" s="1054"/>
      <c r="B1026" s="1083" t="s">
        <v>4436</v>
      </c>
      <c r="C1026" s="1054">
        <v>91861</v>
      </c>
      <c r="H1026" s="1046"/>
      <c r="K1026" s="1046"/>
      <c r="P1026" s="1046"/>
    </row>
    <row r="1027" spans="1:16" x14ac:dyDescent="0.25">
      <c r="A1027" s="1054"/>
      <c r="B1027" s="1083" t="s">
        <v>4437</v>
      </c>
      <c r="C1027" s="1054">
        <v>92421</v>
      </c>
      <c r="H1027" s="1046"/>
      <c r="K1027" s="1046"/>
      <c r="P1027" s="1046"/>
    </row>
    <row r="1028" spans="1:16" x14ac:dyDescent="0.25">
      <c r="A1028" s="1054"/>
      <c r="B1028" s="1083" t="s">
        <v>2647</v>
      </c>
      <c r="C1028" s="1054">
        <v>91001</v>
      </c>
      <c r="H1028" s="1046"/>
      <c r="K1028" s="1046"/>
      <c r="P1028" s="1046"/>
    </row>
    <row r="1029" spans="1:16" x14ac:dyDescent="0.25">
      <c r="A1029" s="1054"/>
      <c r="B1029" s="1083" t="s">
        <v>2650</v>
      </c>
      <c r="C1029" s="1054">
        <v>91004</v>
      </c>
      <c r="H1029" s="1046"/>
      <c r="K1029" s="1046"/>
      <c r="P1029" s="1046"/>
    </row>
    <row r="1030" spans="1:16" x14ac:dyDescent="0.25">
      <c r="A1030" s="1054"/>
      <c r="B1030" s="1083" t="s">
        <v>4438</v>
      </c>
      <c r="C1030" s="1054">
        <v>91006</v>
      </c>
      <c r="H1030" s="1046"/>
      <c r="K1030" s="1046"/>
      <c r="P1030" s="1046"/>
    </row>
    <row r="1031" spans="1:16" x14ac:dyDescent="0.25">
      <c r="A1031" s="1054"/>
      <c r="B1031" s="1083" t="s">
        <v>4439</v>
      </c>
      <c r="C1031" s="1054">
        <v>91003</v>
      </c>
      <c r="H1031" s="1046"/>
      <c r="K1031" s="1046"/>
      <c r="P1031" s="1046"/>
    </row>
    <row r="1032" spans="1:16" x14ac:dyDescent="0.25">
      <c r="A1032" s="1054"/>
      <c r="B1032" s="1083" t="s">
        <v>2654</v>
      </c>
      <c r="C1032" s="1054">
        <v>91009</v>
      </c>
      <c r="H1032" s="1046"/>
      <c r="K1032" s="1046"/>
      <c r="P1032" s="1046"/>
    </row>
    <row r="1033" spans="1:16" x14ac:dyDescent="0.25">
      <c r="A1033" s="1054"/>
      <c r="B1033" s="1083" t="s">
        <v>2667</v>
      </c>
      <c r="C1033" s="1054">
        <v>91042</v>
      </c>
      <c r="H1033" s="1046"/>
      <c r="K1033" s="1046"/>
      <c r="P1033" s="1046"/>
    </row>
    <row r="1034" spans="1:16" x14ac:dyDescent="0.25">
      <c r="A1034" s="1054"/>
      <c r="B1034" s="1083" t="s">
        <v>4440</v>
      </c>
      <c r="C1034" s="1054">
        <v>98711</v>
      </c>
      <c r="H1034" s="1046"/>
      <c r="K1034" s="1046"/>
      <c r="P1034" s="1046"/>
    </row>
    <row r="1035" spans="1:16" x14ac:dyDescent="0.25">
      <c r="A1035" s="1054"/>
      <c r="B1035" s="1083" t="s">
        <v>3362</v>
      </c>
      <c r="C1035" s="1054">
        <v>98717</v>
      </c>
      <c r="H1035" s="1046"/>
      <c r="K1035" s="1046"/>
      <c r="P1035" s="1046"/>
    </row>
    <row r="1036" spans="1:16" x14ac:dyDescent="0.25">
      <c r="A1036" s="1054"/>
      <c r="B1036" s="1083" t="s">
        <v>2677</v>
      </c>
      <c r="C1036" s="1054">
        <v>91101</v>
      </c>
      <c r="H1036" s="1046"/>
      <c r="K1036" s="1046"/>
      <c r="P1036" s="1046"/>
    </row>
    <row r="1037" spans="1:16" x14ac:dyDescent="0.25">
      <c r="A1037" s="1054"/>
      <c r="B1037" s="1083" t="s">
        <v>4133</v>
      </c>
      <c r="C1037" s="1054">
        <v>93531</v>
      </c>
      <c r="H1037" s="1046"/>
      <c r="K1037" s="1046"/>
      <c r="P1037" s="1046"/>
    </row>
    <row r="1038" spans="1:16" x14ac:dyDescent="0.25">
      <c r="A1038" s="1054"/>
      <c r="B1038" s="1083" t="s">
        <v>4441</v>
      </c>
      <c r="C1038" s="1054">
        <v>93537</v>
      </c>
      <c r="H1038" s="1046"/>
      <c r="K1038" s="1046"/>
      <c r="P1038" s="1046"/>
    </row>
    <row r="1039" spans="1:16" x14ac:dyDescent="0.25">
      <c r="A1039" s="1054"/>
      <c r="B1039" s="1083" t="s">
        <v>4442</v>
      </c>
      <c r="C1039" s="1054">
        <v>97111</v>
      </c>
      <c r="H1039" s="1046"/>
      <c r="K1039" s="1046"/>
      <c r="P1039" s="1046"/>
    </row>
    <row r="1040" spans="1:16" x14ac:dyDescent="0.25">
      <c r="A1040" s="1054"/>
      <c r="B1040" s="1083" t="s">
        <v>2695</v>
      </c>
      <c r="C1040" s="1054">
        <v>91201</v>
      </c>
      <c r="H1040" s="1046"/>
      <c r="K1040" s="1046"/>
      <c r="P1040" s="1046"/>
    </row>
    <row r="1041" spans="1:16" x14ac:dyDescent="0.25">
      <c r="A1041" s="1054"/>
      <c r="B1041" s="1083" t="s">
        <v>4443</v>
      </c>
      <c r="C1041" s="1054">
        <v>91206</v>
      </c>
      <c r="H1041" s="1046"/>
      <c r="K1041" s="1046"/>
      <c r="P1041" s="1046"/>
    </row>
    <row r="1042" spans="1:16" x14ac:dyDescent="0.25">
      <c r="A1042" s="1054"/>
      <c r="B1042" s="1083" t="s">
        <v>4444</v>
      </c>
      <c r="C1042" s="1054">
        <v>91203</v>
      </c>
      <c r="H1042" s="1046"/>
      <c r="K1042" s="1046"/>
      <c r="P1042" s="1046"/>
    </row>
    <row r="1043" spans="1:16" x14ac:dyDescent="0.25">
      <c r="A1043" s="1054"/>
      <c r="B1043" s="1083" t="s">
        <v>2699</v>
      </c>
      <c r="C1043" s="1054">
        <v>91208</v>
      </c>
      <c r="H1043" s="1046"/>
      <c r="K1043" s="1046"/>
      <c r="P1043" s="1046"/>
    </row>
    <row r="1044" spans="1:16" x14ac:dyDescent="0.25">
      <c r="A1044" s="1054"/>
      <c r="B1044" s="1083" t="s">
        <v>2696</v>
      </c>
      <c r="C1044" s="1054">
        <v>91202</v>
      </c>
      <c r="H1044" s="1046"/>
      <c r="K1044" s="1046"/>
      <c r="P1044" s="1046"/>
    </row>
    <row r="1045" spans="1:16" x14ac:dyDescent="0.25">
      <c r="A1045" s="1054"/>
      <c r="B1045" s="1083" t="s">
        <v>4445</v>
      </c>
      <c r="C1045" s="1054">
        <v>90111</v>
      </c>
      <c r="H1045" s="1046"/>
      <c r="K1045" s="1046"/>
      <c r="P1045" s="1046"/>
    </row>
    <row r="1046" spans="1:16" x14ac:dyDescent="0.25">
      <c r="A1046" s="1054"/>
      <c r="B1046" s="1083" t="s">
        <v>4446</v>
      </c>
      <c r="C1046" s="1054">
        <v>90011</v>
      </c>
      <c r="H1046" s="1046"/>
      <c r="K1046" s="1046"/>
      <c r="P1046" s="1046"/>
    </row>
    <row r="1047" spans="1:16" x14ac:dyDescent="0.25">
      <c r="A1047" s="1054"/>
      <c r="B1047" s="1083" t="s">
        <v>4447</v>
      </c>
      <c r="C1047" s="1054">
        <v>93931</v>
      </c>
      <c r="H1047" s="1046"/>
      <c r="K1047" s="1046"/>
      <c r="P1047" s="1046"/>
    </row>
    <row r="1048" spans="1:16" x14ac:dyDescent="0.25">
      <c r="A1048" s="1054"/>
      <c r="B1048" s="1083" t="s">
        <v>2710</v>
      </c>
      <c r="C1048" s="1054">
        <v>91301</v>
      </c>
      <c r="H1048" s="1046"/>
      <c r="K1048" s="1046"/>
      <c r="P1048" s="1046"/>
    </row>
    <row r="1049" spans="1:16" x14ac:dyDescent="0.25">
      <c r="A1049" s="1054"/>
      <c r="B1049" s="1083" t="s">
        <v>4448</v>
      </c>
      <c r="C1049" s="1054">
        <v>91306</v>
      </c>
      <c r="H1049" s="1046"/>
      <c r="K1049" s="1046"/>
      <c r="P1049" s="1046"/>
    </row>
    <row r="1050" spans="1:16" x14ac:dyDescent="0.25">
      <c r="A1050" s="1054"/>
      <c r="B1050" s="1083" t="s">
        <v>2713</v>
      </c>
      <c r="C1050" s="1054">
        <v>91308</v>
      </c>
      <c r="H1050" s="1046"/>
      <c r="K1050" s="1046"/>
      <c r="P1050" s="1046"/>
    </row>
    <row r="1051" spans="1:16" x14ac:dyDescent="0.25">
      <c r="A1051" s="1054"/>
      <c r="B1051" s="1083" t="s">
        <v>4449</v>
      </c>
      <c r="C1051" s="1054">
        <v>91461</v>
      </c>
      <c r="H1051" s="1046"/>
      <c r="K1051" s="1046"/>
      <c r="P1051" s="1046"/>
    </row>
    <row r="1052" spans="1:16" x14ac:dyDescent="0.25">
      <c r="A1052" s="1054"/>
      <c r="B1052" s="1083" t="s">
        <v>4450</v>
      </c>
      <c r="C1052" s="1054">
        <v>91010</v>
      </c>
      <c r="H1052" s="1046"/>
      <c r="K1052" s="1046"/>
      <c r="P1052" s="1046"/>
    </row>
    <row r="1053" spans="1:16" x14ac:dyDescent="0.25">
      <c r="A1053" s="1054"/>
      <c r="B1053" s="1083" t="s">
        <v>2652</v>
      </c>
      <c r="C1053" s="1054">
        <v>91007</v>
      </c>
      <c r="H1053" s="1046"/>
      <c r="K1053" s="1046"/>
      <c r="P1053" s="1046"/>
    </row>
    <row r="1054" spans="1:16" x14ac:dyDescent="0.25">
      <c r="A1054" s="1054"/>
      <c r="B1054" s="1083" t="s">
        <v>2720</v>
      </c>
      <c r="C1054" s="1054">
        <v>91401</v>
      </c>
      <c r="H1054" s="1046"/>
      <c r="K1054" s="1046"/>
      <c r="P1054" s="1046"/>
    </row>
    <row r="1055" spans="1:16" x14ac:dyDescent="0.25">
      <c r="A1055" s="1054"/>
      <c r="B1055" s="1083" t="s">
        <v>4451</v>
      </c>
      <c r="C1055" s="1054">
        <v>93171</v>
      </c>
      <c r="H1055" s="1046"/>
      <c r="K1055" s="1046"/>
      <c r="P1055" s="1046"/>
    </row>
    <row r="1056" spans="1:16" x14ac:dyDescent="0.25">
      <c r="A1056" s="1054"/>
      <c r="B1056" s="1083" t="s">
        <v>2730</v>
      </c>
      <c r="C1056" s="1054">
        <v>91501</v>
      </c>
      <c r="H1056" s="1046"/>
      <c r="K1056" s="1046"/>
      <c r="P1056" s="1046"/>
    </row>
    <row r="1057" spans="1:16" x14ac:dyDescent="0.25">
      <c r="A1057" s="1054"/>
      <c r="B1057" s="1083" t="s">
        <v>2731</v>
      </c>
      <c r="C1057" s="1054">
        <v>91504</v>
      </c>
      <c r="H1057" s="1046"/>
      <c r="K1057" s="1046"/>
      <c r="P1057" s="1046"/>
    </row>
    <row r="1058" spans="1:16" x14ac:dyDescent="0.25">
      <c r="A1058" s="1054"/>
      <c r="B1058" s="1083" t="s">
        <v>4452</v>
      </c>
      <c r="C1058" s="1054">
        <v>96312</v>
      </c>
      <c r="H1058" s="1046"/>
      <c r="K1058" s="1046"/>
      <c r="P1058" s="1046"/>
    </row>
    <row r="1059" spans="1:16" x14ac:dyDescent="0.25">
      <c r="A1059" s="1054"/>
      <c r="B1059" s="1083" t="s">
        <v>4453</v>
      </c>
      <c r="C1059" s="1054">
        <v>96241</v>
      </c>
      <c r="H1059" s="1046"/>
      <c r="K1059" s="1046"/>
      <c r="P1059" s="1046"/>
    </row>
    <row r="1060" spans="1:16" x14ac:dyDescent="0.25">
      <c r="A1060" s="1054"/>
      <c r="B1060" s="1083" t="s">
        <v>4454</v>
      </c>
      <c r="C1060" s="1054">
        <v>94431</v>
      </c>
      <c r="H1060" s="1046"/>
      <c r="K1060" s="1046"/>
      <c r="P1060" s="1046"/>
    </row>
    <row r="1061" spans="1:16" x14ac:dyDescent="0.25">
      <c r="A1061" s="1054"/>
      <c r="B1061" s="1083" t="s">
        <v>2995</v>
      </c>
      <c r="C1061" s="1054">
        <v>94437</v>
      </c>
      <c r="H1061" s="1046"/>
      <c r="K1061" s="1046"/>
      <c r="P1061" s="1046"/>
    </row>
    <row r="1062" spans="1:16" x14ac:dyDescent="0.25">
      <c r="A1062" s="1054"/>
      <c r="B1062" s="1083" t="s">
        <v>4455</v>
      </c>
      <c r="C1062" s="1054">
        <v>91671</v>
      </c>
      <c r="H1062" s="1046"/>
      <c r="K1062" s="1046"/>
      <c r="P1062" s="1046"/>
    </row>
    <row r="1063" spans="1:16" x14ac:dyDescent="0.25">
      <c r="A1063" s="1054"/>
      <c r="B1063" s="1083" t="s">
        <v>2653</v>
      </c>
      <c r="C1063" s="1054">
        <v>91008</v>
      </c>
      <c r="H1063" s="1046"/>
      <c r="K1063" s="1046"/>
      <c r="P1063" s="1046"/>
    </row>
    <row r="1064" spans="1:16" x14ac:dyDescent="0.25">
      <c r="A1064" s="1054"/>
      <c r="B1064" s="1083" t="s">
        <v>3159</v>
      </c>
      <c r="C1064" s="1054">
        <v>96512</v>
      </c>
      <c r="H1064" s="1046"/>
      <c r="K1064" s="1046"/>
      <c r="P1064" s="1046"/>
    </row>
    <row r="1065" spans="1:16" x14ac:dyDescent="0.25">
      <c r="A1065" s="1054"/>
      <c r="B1065" s="1083" t="s">
        <v>3156</v>
      </c>
      <c r="C1065" s="1054">
        <v>96507</v>
      </c>
      <c r="H1065" s="1046"/>
      <c r="K1065" s="1046"/>
      <c r="P1065" s="1046"/>
    </row>
    <row r="1066" spans="1:16" x14ac:dyDescent="0.25">
      <c r="A1066" s="1054"/>
      <c r="B1066" s="1083" t="s">
        <v>3876</v>
      </c>
      <c r="C1066" s="1054">
        <v>91015</v>
      </c>
      <c r="H1066" s="1046"/>
      <c r="K1066" s="1046"/>
      <c r="P1066" s="1046"/>
    </row>
    <row r="1067" spans="1:16" x14ac:dyDescent="0.25">
      <c r="A1067" s="1054"/>
      <c r="B1067" s="1083" t="s">
        <v>4456</v>
      </c>
      <c r="C1067" s="1054">
        <v>96521</v>
      </c>
      <c r="H1067" s="1046"/>
      <c r="K1067" s="1046"/>
      <c r="P1067" s="1046"/>
    </row>
    <row r="1068" spans="1:16" x14ac:dyDescent="0.25">
      <c r="A1068" s="1054"/>
      <c r="B1068" s="1083" t="s">
        <v>4457</v>
      </c>
      <c r="C1068" s="1054">
        <v>91024</v>
      </c>
      <c r="H1068" s="1046"/>
      <c r="K1068" s="1046"/>
      <c r="P1068" s="1046"/>
    </row>
    <row r="1069" spans="1:16" x14ac:dyDescent="0.25">
      <c r="A1069" s="1054"/>
      <c r="B1069" s="1083" t="s">
        <v>4458</v>
      </c>
      <c r="C1069" s="1054">
        <v>96821</v>
      </c>
      <c r="H1069" s="1046"/>
      <c r="K1069" s="1046"/>
      <c r="P1069" s="1046"/>
    </row>
    <row r="1070" spans="1:16" x14ac:dyDescent="0.25">
      <c r="A1070" s="1054"/>
      <c r="B1070" s="1083" t="s">
        <v>2732</v>
      </c>
      <c r="C1070" s="1054">
        <v>91601</v>
      </c>
      <c r="H1070" s="1046"/>
      <c r="K1070" s="1046"/>
      <c r="P1070" s="1046"/>
    </row>
    <row r="1071" spans="1:16" x14ac:dyDescent="0.25">
      <c r="A1071" s="1061"/>
      <c r="B1071" s="1083" t="s">
        <v>2733</v>
      </c>
      <c r="C1071" s="1054">
        <v>91604</v>
      </c>
      <c r="H1071" s="1046"/>
      <c r="K1071" s="1046"/>
      <c r="P1071" s="1046"/>
    </row>
    <row r="1072" spans="1:16" x14ac:dyDescent="0.25">
      <c r="A1072" s="1061"/>
      <c r="B1072" s="1083" t="s">
        <v>4459</v>
      </c>
      <c r="C1072" s="1054">
        <v>96391</v>
      </c>
      <c r="H1072" s="1046"/>
      <c r="K1072" s="1046"/>
      <c r="P1072" s="1046"/>
    </row>
    <row r="1073" spans="1:16" x14ac:dyDescent="0.25">
      <c r="A1073" s="1061"/>
      <c r="B1073" s="1083" t="s">
        <v>4460</v>
      </c>
      <c r="C1073" s="1054">
        <v>99221</v>
      </c>
      <c r="H1073" s="1046"/>
      <c r="K1073" s="1046"/>
      <c r="P1073" s="1046"/>
    </row>
    <row r="1074" spans="1:16" x14ac:dyDescent="0.25">
      <c r="A1074" s="1054"/>
      <c r="B1074" s="1083" t="s">
        <v>4461</v>
      </c>
      <c r="C1074" s="1054">
        <v>91051</v>
      </c>
      <c r="H1074" s="1046"/>
      <c r="K1074" s="1046"/>
      <c r="P1074" s="1046"/>
    </row>
    <row r="1075" spans="1:16" x14ac:dyDescent="0.25">
      <c r="A1075" s="1054"/>
      <c r="B1075" s="1083" t="s">
        <v>2745</v>
      </c>
      <c r="C1075" s="1054">
        <v>91701</v>
      </c>
      <c r="H1075" s="1046"/>
      <c r="K1075" s="1046"/>
      <c r="P1075" s="1046"/>
    </row>
    <row r="1076" spans="1:16" x14ac:dyDescent="0.25">
      <c r="A1076" s="1054"/>
      <c r="B1076" s="1083" t="s">
        <v>2746</v>
      </c>
      <c r="C1076" s="1054">
        <v>91704</v>
      </c>
      <c r="H1076" s="1046"/>
      <c r="K1076" s="1046"/>
      <c r="P1076" s="1046"/>
    </row>
    <row r="1077" spans="1:16" x14ac:dyDescent="0.25">
      <c r="A1077" s="1054"/>
      <c r="B1077" s="1083" t="s">
        <v>4462</v>
      </c>
      <c r="C1077" s="1054">
        <v>91706</v>
      </c>
      <c r="H1077" s="1046"/>
      <c r="K1077" s="1046"/>
      <c r="P1077" s="1046"/>
    </row>
    <row r="1078" spans="1:16" x14ac:dyDescent="0.25">
      <c r="A1078" s="1054"/>
      <c r="B1078" s="1083" t="s">
        <v>4463</v>
      </c>
      <c r="C1078" s="1054">
        <v>91881</v>
      </c>
      <c r="H1078" s="1046"/>
      <c r="K1078" s="1046"/>
      <c r="P1078" s="1046"/>
    </row>
    <row r="1079" spans="1:16" x14ac:dyDescent="0.25">
      <c r="A1079" s="1054"/>
      <c r="B1079" s="1083" t="s">
        <v>2749</v>
      </c>
      <c r="C1079" s="1054">
        <v>91801</v>
      </c>
      <c r="H1079" s="1046"/>
      <c r="K1079" s="1046"/>
      <c r="P1079" s="1046"/>
    </row>
    <row r="1080" spans="1:16" x14ac:dyDescent="0.25">
      <c r="A1080" s="1054"/>
      <c r="B1080" s="1083" t="s">
        <v>2750</v>
      </c>
      <c r="C1080" s="1054">
        <v>91804</v>
      </c>
      <c r="H1080" s="1046"/>
      <c r="K1080" s="1046"/>
      <c r="P1080" s="1046"/>
    </row>
    <row r="1081" spans="1:16" x14ac:dyDescent="0.25">
      <c r="A1081" s="1054"/>
      <c r="B1081" s="1083" t="s">
        <v>4464</v>
      </c>
      <c r="C1081" s="1054">
        <v>91691</v>
      </c>
      <c r="H1081" s="1046"/>
      <c r="K1081" s="1046"/>
      <c r="P1081" s="1046"/>
    </row>
    <row r="1082" spans="1:16" x14ac:dyDescent="0.25">
      <c r="A1082" s="1054"/>
      <c r="B1082" s="1083" t="s">
        <v>3401</v>
      </c>
      <c r="C1082" s="1054">
        <v>99222</v>
      </c>
      <c r="H1082" s="1046"/>
      <c r="K1082" s="1046"/>
      <c r="P1082" s="1046"/>
    </row>
    <row r="1083" spans="1:16" x14ac:dyDescent="0.25">
      <c r="A1083" s="1054"/>
      <c r="B1083" s="1083" t="s">
        <v>2891</v>
      </c>
      <c r="C1083" s="1054">
        <v>93408</v>
      </c>
      <c r="H1083" s="1046"/>
      <c r="K1083" s="1046"/>
      <c r="P1083" s="1046"/>
    </row>
    <row r="1084" spans="1:16" x14ac:dyDescent="0.25">
      <c r="A1084" s="1054"/>
      <c r="B1084" s="1083" t="s">
        <v>3105</v>
      </c>
      <c r="C1084" s="1054">
        <v>96009</v>
      </c>
      <c r="H1084" s="1046"/>
      <c r="K1084" s="1046"/>
      <c r="P1084" s="1046"/>
    </row>
    <row r="1085" spans="1:16" x14ac:dyDescent="0.25">
      <c r="A1085" s="1054"/>
      <c r="B1085" s="1083" t="s">
        <v>4465</v>
      </c>
      <c r="C1085" s="1054">
        <v>92441</v>
      </c>
      <c r="H1085" s="1046"/>
      <c r="K1085" s="1046"/>
      <c r="P1085" s="1046"/>
    </row>
    <row r="1086" spans="1:16" x14ac:dyDescent="0.25">
      <c r="A1086" s="1054"/>
      <c r="B1086" s="1083" t="s">
        <v>4466</v>
      </c>
      <c r="C1086" s="1054">
        <v>96811</v>
      </c>
      <c r="H1086" s="1046"/>
      <c r="K1086" s="1046"/>
      <c r="P1086" s="1046"/>
    </row>
    <row r="1087" spans="1:16" x14ac:dyDescent="0.25">
      <c r="A1087" s="1054"/>
      <c r="B1087" s="1083" t="s">
        <v>4467</v>
      </c>
      <c r="C1087" s="1054">
        <v>96011</v>
      </c>
      <c r="H1087" s="1046"/>
      <c r="K1087" s="1046"/>
      <c r="P1087" s="1046"/>
    </row>
    <row r="1088" spans="1:16" x14ac:dyDescent="0.25">
      <c r="A1088" s="1054"/>
      <c r="B1088" s="1083" t="s">
        <v>3108</v>
      </c>
      <c r="C1088" s="1054">
        <v>96018</v>
      </c>
      <c r="H1088" s="1046"/>
      <c r="K1088" s="1046"/>
      <c r="P1088" s="1046"/>
    </row>
    <row r="1089" spans="1:16" x14ac:dyDescent="0.25">
      <c r="A1089" s="1054"/>
      <c r="B1089" s="1083" t="s">
        <v>3101</v>
      </c>
      <c r="C1089" s="1054">
        <v>96003</v>
      </c>
      <c r="H1089" s="1046"/>
      <c r="K1089" s="1046"/>
      <c r="P1089" s="1046"/>
    </row>
    <row r="1090" spans="1:16" x14ac:dyDescent="0.25">
      <c r="A1090" s="1054"/>
      <c r="B1090" s="1083" t="s">
        <v>3103</v>
      </c>
      <c r="C1090" s="1054">
        <v>96005</v>
      </c>
      <c r="H1090" s="1046"/>
      <c r="K1090" s="1046"/>
      <c r="P1090" s="1046"/>
    </row>
    <row r="1091" spans="1:16" x14ac:dyDescent="0.25">
      <c r="A1091" s="1054"/>
      <c r="B1091" s="1083" t="s">
        <v>3107</v>
      </c>
      <c r="C1091" s="1054">
        <v>96012</v>
      </c>
      <c r="H1091" s="1046"/>
      <c r="K1091" s="1046"/>
      <c r="P1091" s="1046"/>
    </row>
    <row r="1092" spans="1:16" x14ac:dyDescent="0.25">
      <c r="A1092" s="1054"/>
      <c r="B1092" s="1083" t="s">
        <v>2763</v>
      </c>
      <c r="C1092" s="1054">
        <v>91901</v>
      </c>
      <c r="H1092" s="1046"/>
      <c r="K1092" s="1046"/>
      <c r="P1092" s="1046"/>
    </row>
    <row r="1093" spans="1:16" x14ac:dyDescent="0.25">
      <c r="A1093" s="1054"/>
      <c r="B1093" s="1083" t="s">
        <v>2765</v>
      </c>
      <c r="C1093" s="1054">
        <v>91904</v>
      </c>
      <c r="H1093" s="1046"/>
      <c r="K1093" s="1046"/>
      <c r="P1093" s="1046"/>
    </row>
    <row r="1094" spans="1:16" x14ac:dyDescent="0.25">
      <c r="A1094" s="1054"/>
      <c r="B1094" s="1083" t="s">
        <v>4468</v>
      </c>
      <c r="C1094" s="1054">
        <v>91903</v>
      </c>
      <c r="H1094" s="1046"/>
      <c r="K1094" s="1046"/>
      <c r="P1094" s="1046"/>
    </row>
    <row r="1095" spans="1:16" x14ac:dyDescent="0.25">
      <c r="A1095" s="1054"/>
      <c r="B1095" s="1083" t="s">
        <v>2770</v>
      </c>
      <c r="C1095" s="1054">
        <v>92001</v>
      </c>
      <c r="H1095" s="1046"/>
      <c r="K1095" s="1046"/>
      <c r="P1095" s="1046"/>
    </row>
    <row r="1096" spans="1:16" x14ac:dyDescent="0.25">
      <c r="A1096" s="1054"/>
      <c r="B1096" s="1083" t="s">
        <v>4469</v>
      </c>
      <c r="C1096" s="1054">
        <v>93641</v>
      </c>
      <c r="H1096" s="1046"/>
      <c r="K1096" s="1046"/>
      <c r="P1096" s="1046"/>
    </row>
    <row r="1097" spans="1:16" x14ac:dyDescent="0.25">
      <c r="A1097" s="1054"/>
      <c r="B1097" s="1083" t="s">
        <v>2921</v>
      </c>
      <c r="C1097" s="1054">
        <v>93647</v>
      </c>
      <c r="H1097" s="1046"/>
      <c r="K1097" s="1046"/>
      <c r="P1097" s="1046"/>
    </row>
    <row r="1098" spans="1:16" x14ac:dyDescent="0.25">
      <c r="A1098" s="1054"/>
      <c r="B1098" s="1083" t="s">
        <v>4470</v>
      </c>
      <c r="C1098" s="1054">
        <v>98041</v>
      </c>
      <c r="H1098" s="1046"/>
      <c r="K1098" s="1046"/>
      <c r="P1098" s="1046"/>
    </row>
    <row r="1099" spans="1:16" x14ac:dyDescent="0.25">
      <c r="A1099" s="1054"/>
      <c r="B1099" s="1083" t="s">
        <v>4245</v>
      </c>
      <c r="C1099" s="1054">
        <v>96612</v>
      </c>
      <c r="H1099" s="1046"/>
      <c r="K1099" s="1046"/>
      <c r="P1099" s="1046"/>
    </row>
    <row r="1100" spans="1:16" x14ac:dyDescent="0.25">
      <c r="A1100" s="1054"/>
      <c r="B1100" s="1083" t="s">
        <v>4471</v>
      </c>
      <c r="C1100" s="1054">
        <v>90751</v>
      </c>
      <c r="H1100" s="1046"/>
      <c r="K1100" s="1046"/>
      <c r="P1100" s="1046"/>
    </row>
    <row r="1101" spans="1:16" x14ac:dyDescent="0.25">
      <c r="A1101" s="1054"/>
      <c r="B1101" s="1083" t="s">
        <v>2775</v>
      </c>
      <c r="C1101" s="1054">
        <v>92101</v>
      </c>
      <c r="H1101" s="1046"/>
      <c r="K1101" s="1046"/>
      <c r="P1101" s="1046"/>
    </row>
    <row r="1102" spans="1:16" x14ac:dyDescent="0.25">
      <c r="A1102" s="1054"/>
      <c r="B1102" s="1083" t="s">
        <v>2776</v>
      </c>
      <c r="C1102" s="1054">
        <v>92104</v>
      </c>
      <c r="H1102" s="1046"/>
      <c r="K1102" s="1046"/>
      <c r="P1102" s="1046"/>
    </row>
    <row r="1103" spans="1:16" x14ac:dyDescent="0.25">
      <c r="A1103" s="1054"/>
      <c r="B1103" s="1083" t="s">
        <v>4472</v>
      </c>
      <c r="C1103" s="1054">
        <v>91821</v>
      </c>
      <c r="H1103" s="1046"/>
      <c r="K1103" s="1046"/>
      <c r="P1103" s="1046"/>
    </row>
    <row r="1104" spans="1:16" x14ac:dyDescent="0.25">
      <c r="A1104" s="1054"/>
      <c r="B1104" s="1083" t="s">
        <v>4473</v>
      </c>
      <c r="C1104" s="1054">
        <v>90931</v>
      </c>
      <c r="H1104" s="1046"/>
      <c r="K1104" s="1046"/>
      <c r="P1104" s="1046"/>
    </row>
    <row r="1105" spans="1:16" x14ac:dyDescent="0.25">
      <c r="A1105" s="1054"/>
      <c r="B1105" s="1083" t="s">
        <v>2780</v>
      </c>
      <c r="C1105" s="1054">
        <v>92201</v>
      </c>
      <c r="H1105" s="1046"/>
      <c r="K1105" s="1046"/>
      <c r="P1105" s="1046"/>
    </row>
    <row r="1106" spans="1:16" x14ac:dyDescent="0.25">
      <c r="A1106" s="1054"/>
      <c r="B1106" s="1084" t="s">
        <v>4071</v>
      </c>
      <c r="C1106" s="1054">
        <v>92214</v>
      </c>
      <c r="H1106" s="1046"/>
      <c r="K1106" s="1046"/>
      <c r="P1106" s="1046"/>
    </row>
    <row r="1107" spans="1:16" x14ac:dyDescent="0.25">
      <c r="A1107" s="1054"/>
      <c r="B1107" s="1083" t="s">
        <v>4474</v>
      </c>
      <c r="C1107" s="1054">
        <v>95131</v>
      </c>
      <c r="H1107" s="1046"/>
      <c r="K1107" s="1046"/>
      <c r="P1107" s="1046"/>
    </row>
    <row r="1108" spans="1:16" x14ac:dyDescent="0.25">
      <c r="A1108" s="1054"/>
      <c r="B1108" s="1083" t="s">
        <v>4475</v>
      </c>
      <c r="C1108" s="1054">
        <v>93441</v>
      </c>
      <c r="H1108" s="1046"/>
      <c r="K1108" s="1046"/>
      <c r="P1108" s="1046"/>
    </row>
    <row r="1109" spans="1:16" x14ac:dyDescent="0.25">
      <c r="A1109" s="1054"/>
      <c r="B1109" s="1083" t="s">
        <v>2898</v>
      </c>
      <c r="C1109" s="1054">
        <v>93442</v>
      </c>
      <c r="H1109" s="1046"/>
      <c r="K1109" s="1046"/>
      <c r="P1109" s="1046"/>
    </row>
    <row r="1110" spans="1:16" x14ac:dyDescent="0.25">
      <c r="A1110" s="1054"/>
      <c r="B1110" s="1083" t="s">
        <v>4476</v>
      </c>
      <c r="C1110" s="1054">
        <v>98091</v>
      </c>
      <c r="H1110" s="1046"/>
      <c r="K1110" s="1046"/>
      <c r="P1110" s="1046"/>
    </row>
    <row r="1111" spans="1:16" x14ac:dyDescent="0.25">
      <c r="A1111" s="1054"/>
      <c r="B1111" s="1083" t="s">
        <v>2781</v>
      </c>
      <c r="C1111" s="1054">
        <v>92301</v>
      </c>
      <c r="H1111" s="1046"/>
      <c r="K1111" s="1046"/>
      <c r="P1111" s="1046"/>
    </row>
    <row r="1112" spans="1:16" x14ac:dyDescent="0.25">
      <c r="A1112" s="1054"/>
      <c r="B1112" s="1083" t="s">
        <v>3582</v>
      </c>
      <c r="C1112" s="1054">
        <v>92302</v>
      </c>
      <c r="H1112" s="1046"/>
      <c r="K1112" s="1046"/>
      <c r="P1112" s="1046"/>
    </row>
    <row r="1113" spans="1:16" x14ac:dyDescent="0.25">
      <c r="A1113" s="1054"/>
      <c r="B1113" s="1083" t="s">
        <v>4477</v>
      </c>
      <c r="C1113" s="1054">
        <v>98211</v>
      </c>
      <c r="H1113" s="1046"/>
      <c r="K1113" s="1046"/>
      <c r="P1113" s="1046"/>
    </row>
    <row r="1114" spans="1:16" x14ac:dyDescent="0.25">
      <c r="A1114" s="1054"/>
      <c r="B1114" s="1083" t="s">
        <v>3321</v>
      </c>
      <c r="C1114" s="1054">
        <v>98218</v>
      </c>
      <c r="H1114" s="1046"/>
      <c r="K1114" s="1046"/>
      <c r="P1114" s="1046"/>
    </row>
    <row r="1115" spans="1:16" x14ac:dyDescent="0.25">
      <c r="A1115" s="1054"/>
      <c r="B1115" s="1083" t="s">
        <v>2805</v>
      </c>
      <c r="C1115" s="1054">
        <v>92506</v>
      </c>
      <c r="H1115" s="1046"/>
      <c r="K1115" s="1046"/>
      <c r="P1115" s="1046"/>
    </row>
    <row r="1116" spans="1:16" x14ac:dyDescent="0.25">
      <c r="A1116" s="1054"/>
      <c r="B1116" s="1083" t="s">
        <v>4081</v>
      </c>
      <c r="C1116" s="1054">
        <v>92508</v>
      </c>
      <c r="H1116" s="1046"/>
      <c r="K1116" s="1046"/>
      <c r="P1116" s="1046"/>
    </row>
    <row r="1117" spans="1:16" x14ac:dyDescent="0.25">
      <c r="A1117" s="1054"/>
      <c r="B1117" s="1083" t="s">
        <v>4478</v>
      </c>
      <c r="C1117" s="1054" t="s">
        <v>4082</v>
      </c>
      <c r="H1117" s="1046"/>
      <c r="K1117" s="1046"/>
      <c r="P1117" s="1046"/>
    </row>
    <row r="1118" spans="1:16" x14ac:dyDescent="0.25">
      <c r="A1118" s="1054"/>
      <c r="B1118" s="1083" t="s">
        <v>4479</v>
      </c>
      <c r="C1118" s="1054">
        <v>94341</v>
      </c>
      <c r="H1118" s="1046"/>
      <c r="K1118" s="1046"/>
      <c r="P1118" s="1046"/>
    </row>
    <row r="1119" spans="1:16" x14ac:dyDescent="0.25">
      <c r="A1119" s="1054"/>
      <c r="B1119" s="1083" t="s">
        <v>4480</v>
      </c>
      <c r="C1119" s="1054">
        <v>94641</v>
      </c>
      <c r="H1119" s="1046"/>
      <c r="K1119" s="1046"/>
      <c r="P1119" s="1046"/>
    </row>
    <row r="1120" spans="1:16" x14ac:dyDescent="0.25">
      <c r="A1120" s="1054"/>
      <c r="B1120" s="1083" t="s">
        <v>4481</v>
      </c>
      <c r="C1120" s="1054">
        <v>90813</v>
      </c>
      <c r="H1120" s="1046"/>
      <c r="K1120" s="1046"/>
      <c r="P1120" s="1046"/>
    </row>
    <row r="1121" spans="1:16" x14ac:dyDescent="0.25">
      <c r="A1121" s="1054"/>
      <c r="B1121" s="1083" t="s">
        <v>2964</v>
      </c>
      <c r="C1121" s="1054">
        <v>94168</v>
      </c>
      <c r="H1121" s="1046"/>
      <c r="K1121" s="1046"/>
      <c r="P1121" s="1046"/>
    </row>
    <row r="1122" spans="1:16" x14ac:dyDescent="0.25">
      <c r="A1122" s="1054"/>
      <c r="B1122" s="1083" t="s">
        <v>4482</v>
      </c>
      <c r="C1122" s="1054">
        <v>98911</v>
      </c>
      <c r="H1122" s="1046"/>
      <c r="K1122" s="1046"/>
      <c r="P1122" s="1046"/>
    </row>
    <row r="1123" spans="1:16" x14ac:dyDescent="0.25">
      <c r="A1123" s="1054"/>
      <c r="B1123" s="1083" t="s">
        <v>4483</v>
      </c>
      <c r="C1123" s="1054">
        <v>97521</v>
      </c>
      <c r="H1123" s="1046"/>
      <c r="K1123" s="1046"/>
      <c r="P1123" s="1046"/>
    </row>
    <row r="1124" spans="1:16" x14ac:dyDescent="0.25">
      <c r="A1124" s="1054"/>
      <c r="B1124" s="1083" t="s">
        <v>3877</v>
      </c>
      <c r="C1124" s="1054">
        <v>97527</v>
      </c>
      <c r="H1124" s="1046"/>
      <c r="K1124" s="1046"/>
      <c r="P1124" s="1046"/>
    </row>
    <row r="1125" spans="1:16" x14ac:dyDescent="0.25">
      <c r="A1125" s="1054"/>
      <c r="B1125" s="1083" t="s">
        <v>2790</v>
      </c>
      <c r="C1125" s="1054">
        <v>92401</v>
      </c>
      <c r="H1125" s="1046"/>
      <c r="K1125" s="1046"/>
      <c r="P1125" s="1046"/>
    </row>
    <row r="1126" spans="1:16" x14ac:dyDescent="0.25">
      <c r="A1126" s="1054"/>
      <c r="B1126" s="1083" t="s">
        <v>4484</v>
      </c>
      <c r="C1126" s="1054">
        <v>91311</v>
      </c>
      <c r="H1126" s="1046"/>
      <c r="K1126" s="1046"/>
      <c r="P1126" s="1046"/>
    </row>
    <row r="1127" spans="1:16" x14ac:dyDescent="0.25">
      <c r="A1127" s="1054"/>
      <c r="B1127" s="1083" t="s">
        <v>2715</v>
      </c>
      <c r="C1127" s="1054">
        <v>91317</v>
      </c>
      <c r="H1127" s="1046"/>
      <c r="K1127" s="1046"/>
      <c r="P1127" s="1046"/>
    </row>
    <row r="1128" spans="1:16" x14ac:dyDescent="0.25">
      <c r="A1128" s="1054"/>
      <c r="B1128" s="1083" t="s">
        <v>4485</v>
      </c>
      <c r="C1128" s="1054">
        <v>91261</v>
      </c>
      <c r="H1128" s="1046"/>
      <c r="K1128" s="1046"/>
      <c r="P1128" s="1046"/>
    </row>
    <row r="1129" spans="1:16" x14ac:dyDescent="0.25">
      <c r="A1129" s="1054"/>
      <c r="B1129" s="1083" t="s">
        <v>4486</v>
      </c>
      <c r="C1129" s="1054">
        <v>91851</v>
      </c>
      <c r="H1129" s="1046"/>
      <c r="K1129" s="1046"/>
      <c r="P1129" s="1046"/>
    </row>
    <row r="1130" spans="1:16" x14ac:dyDescent="0.25">
      <c r="A1130" s="1054"/>
      <c r="B1130" s="1083" t="s">
        <v>3222</v>
      </c>
      <c r="C1130" s="1054">
        <v>97408</v>
      </c>
      <c r="H1130" s="1046"/>
      <c r="K1130" s="1046"/>
      <c r="P1130" s="1046"/>
    </row>
    <row r="1131" spans="1:16" x14ac:dyDescent="0.25">
      <c r="A1131" s="1054"/>
      <c r="B1131" s="1083" t="s">
        <v>4487</v>
      </c>
      <c r="C1131" s="1054">
        <v>96641</v>
      </c>
      <c r="H1131" s="1046"/>
      <c r="K1131" s="1046"/>
      <c r="P1131" s="1046"/>
    </row>
    <row r="1132" spans="1:16" x14ac:dyDescent="0.25">
      <c r="A1132" s="1054"/>
      <c r="B1132" s="1083" t="s">
        <v>4488</v>
      </c>
      <c r="C1132" s="1054">
        <v>93031</v>
      </c>
      <c r="H1132" s="1046"/>
      <c r="K1132" s="1046"/>
      <c r="P1132" s="1046"/>
    </row>
    <row r="1133" spans="1:16" x14ac:dyDescent="0.25">
      <c r="A1133" s="1054"/>
      <c r="B1133" s="1083" t="s">
        <v>2853</v>
      </c>
      <c r="C1133" s="1054">
        <v>93027</v>
      </c>
      <c r="H1133" s="1046"/>
      <c r="K1133" s="1046"/>
      <c r="P1133" s="1046"/>
    </row>
    <row r="1134" spans="1:16" x14ac:dyDescent="0.25">
      <c r="A1134" s="1054"/>
      <c r="B1134" s="1083" t="s">
        <v>4489</v>
      </c>
      <c r="C1134" s="1054">
        <v>96051</v>
      </c>
      <c r="H1134" s="1046"/>
      <c r="K1134" s="1046"/>
      <c r="P1134" s="1046"/>
    </row>
    <row r="1135" spans="1:16" x14ac:dyDescent="0.25">
      <c r="A1135" s="1054"/>
      <c r="B1135" s="1083" t="s">
        <v>4490</v>
      </c>
      <c r="C1135" s="1054">
        <v>92571</v>
      </c>
      <c r="H1135" s="1046"/>
      <c r="K1135" s="1046"/>
      <c r="P1135" s="1046"/>
    </row>
    <row r="1136" spans="1:16" x14ac:dyDescent="0.25">
      <c r="A1136" s="1054"/>
      <c r="B1136" s="1083" t="s">
        <v>4491</v>
      </c>
      <c r="C1136" s="1054">
        <v>93631</v>
      </c>
      <c r="H1136" s="1046"/>
      <c r="K1136" s="1046"/>
      <c r="P1136" s="1046"/>
    </row>
    <row r="1137" spans="1:16" x14ac:dyDescent="0.25">
      <c r="A1137" s="1054"/>
      <c r="B1137" s="1084" t="s">
        <v>4137</v>
      </c>
      <c r="C1137" s="1054">
        <v>93604</v>
      </c>
      <c r="H1137" s="1046"/>
      <c r="K1137" s="1046"/>
      <c r="P1137" s="1046"/>
    </row>
    <row r="1138" spans="1:16" x14ac:dyDescent="0.25">
      <c r="A1138" s="1054"/>
      <c r="B1138" s="1083" t="s">
        <v>2803</v>
      </c>
      <c r="C1138" s="1054">
        <v>92504</v>
      </c>
      <c r="H1138" s="1046"/>
      <c r="K1138" s="1046"/>
      <c r="P1138" s="1046"/>
    </row>
    <row r="1139" spans="1:16" x14ac:dyDescent="0.25">
      <c r="A1139" s="1054"/>
      <c r="B1139" s="1083" t="s">
        <v>2801</v>
      </c>
      <c r="C1139" s="1054">
        <v>92501</v>
      </c>
      <c r="H1139" s="1046"/>
      <c r="K1139" s="1046"/>
      <c r="P1139" s="1046"/>
    </row>
    <row r="1140" spans="1:16" x14ac:dyDescent="0.25">
      <c r="A1140" s="1054"/>
      <c r="B1140" s="1083" t="s">
        <v>2804</v>
      </c>
      <c r="C1140" s="1054">
        <v>92505</v>
      </c>
      <c r="H1140" s="1046"/>
      <c r="K1140" s="1046"/>
      <c r="P1140" s="1046"/>
    </row>
    <row r="1141" spans="1:16" x14ac:dyDescent="0.25">
      <c r="A1141" s="1054"/>
      <c r="B1141" s="1083" t="s">
        <v>4492</v>
      </c>
      <c r="C1141" s="1054">
        <v>93921</v>
      </c>
      <c r="H1141" s="1046"/>
      <c r="K1141" s="1046"/>
      <c r="P1141" s="1046"/>
    </row>
    <row r="1142" spans="1:16" x14ac:dyDescent="0.25">
      <c r="A1142" s="1054"/>
      <c r="B1142" s="1083" t="s">
        <v>4493</v>
      </c>
      <c r="C1142" s="1054">
        <v>99431</v>
      </c>
      <c r="H1142" s="1046"/>
      <c r="K1142" s="1046"/>
      <c r="P1142" s="1046"/>
    </row>
    <row r="1143" spans="1:16" x14ac:dyDescent="0.25">
      <c r="A1143" s="1054"/>
      <c r="B1143" s="1083" t="s">
        <v>2819</v>
      </c>
      <c r="C1143" s="1054">
        <v>92604</v>
      </c>
      <c r="H1143" s="1046"/>
      <c r="K1143" s="1046"/>
      <c r="P1143" s="1046"/>
    </row>
    <row r="1144" spans="1:16" x14ac:dyDescent="0.25">
      <c r="A1144" s="1054"/>
      <c r="B1144" s="1083" t="s">
        <v>2817</v>
      </c>
      <c r="C1144" s="1054">
        <v>92601</v>
      </c>
      <c r="H1144" s="1046"/>
      <c r="K1144" s="1046"/>
      <c r="P1144" s="1046"/>
    </row>
    <row r="1145" spans="1:16" x14ac:dyDescent="0.25">
      <c r="A1145" s="1054"/>
      <c r="B1145" s="1083" t="s">
        <v>2821</v>
      </c>
      <c r="C1145" s="1054">
        <v>92608</v>
      </c>
      <c r="H1145" s="1046"/>
      <c r="K1145" s="1046"/>
      <c r="P1145" s="1046"/>
    </row>
    <row r="1146" spans="1:16" x14ac:dyDescent="0.25">
      <c r="A1146" s="1054"/>
      <c r="B1146" s="1083" t="s">
        <v>2833</v>
      </c>
      <c r="C1146" s="1054">
        <v>92704</v>
      </c>
      <c r="H1146" s="1046"/>
      <c r="K1146" s="1046"/>
      <c r="P1146" s="1046"/>
    </row>
    <row r="1147" spans="1:16" x14ac:dyDescent="0.25">
      <c r="A1147" s="1054"/>
      <c r="B1147" s="1083" t="s">
        <v>2832</v>
      </c>
      <c r="C1147" s="1054">
        <v>92701</v>
      </c>
      <c r="H1147" s="1046"/>
      <c r="K1147" s="1046"/>
      <c r="P1147" s="1046"/>
    </row>
    <row r="1148" spans="1:16" x14ac:dyDescent="0.25">
      <c r="A1148" s="1054"/>
      <c r="B1148" s="1083" t="s">
        <v>4494</v>
      </c>
      <c r="C1148" s="1054">
        <v>93651</v>
      </c>
      <c r="H1148" s="1046"/>
      <c r="K1148" s="1046"/>
      <c r="P1148" s="1046"/>
    </row>
    <row r="1149" spans="1:16" x14ac:dyDescent="0.25">
      <c r="A1149" s="1054"/>
      <c r="B1149" s="1083" t="s">
        <v>2834</v>
      </c>
      <c r="C1149" s="1054">
        <v>92801</v>
      </c>
      <c r="H1149" s="1046"/>
      <c r="K1149" s="1046"/>
      <c r="P1149" s="1046"/>
    </row>
    <row r="1150" spans="1:16" x14ac:dyDescent="0.25">
      <c r="A1150" s="1054"/>
      <c r="B1150" s="1083" t="s">
        <v>2836</v>
      </c>
      <c r="C1150" s="1054">
        <v>92804</v>
      </c>
      <c r="H1150" s="1046"/>
      <c r="K1150" s="1046"/>
      <c r="P1150" s="1046"/>
    </row>
    <row r="1151" spans="1:16" x14ac:dyDescent="0.25">
      <c r="A1151" s="1054"/>
      <c r="B1151" s="1083" t="s">
        <v>2835</v>
      </c>
      <c r="C1151" s="1054">
        <v>92802</v>
      </c>
      <c r="H1151" s="1046"/>
      <c r="K1151" s="1046"/>
      <c r="P1151" s="1046"/>
    </row>
    <row r="1152" spans="1:16" x14ac:dyDescent="0.25">
      <c r="A1152" s="1054"/>
      <c r="B1152" s="1083" t="s">
        <v>4495</v>
      </c>
      <c r="C1152" s="1054">
        <v>96081</v>
      </c>
      <c r="H1152" s="1046"/>
      <c r="K1152" s="1046"/>
      <c r="P1152" s="1046"/>
    </row>
    <row r="1153" spans="1:16" x14ac:dyDescent="0.25">
      <c r="A1153" s="1054"/>
      <c r="B1153" s="1083" t="s">
        <v>2843</v>
      </c>
      <c r="C1153" s="1054">
        <v>92901</v>
      </c>
      <c r="H1153" s="1046"/>
      <c r="K1153" s="1046"/>
      <c r="P1153" s="1046"/>
    </row>
    <row r="1154" spans="1:16" x14ac:dyDescent="0.25">
      <c r="A1154" s="1054"/>
      <c r="B1154" s="1083" t="s">
        <v>2849</v>
      </c>
      <c r="C1154" s="1054">
        <v>93001</v>
      </c>
      <c r="H1154" s="1046"/>
      <c r="K1154" s="1046"/>
      <c r="P1154" s="1046"/>
    </row>
    <row r="1155" spans="1:16" x14ac:dyDescent="0.25">
      <c r="A1155" s="1054"/>
      <c r="B1155" s="1083" t="s">
        <v>2850</v>
      </c>
      <c r="C1155" s="1054">
        <v>93009</v>
      </c>
      <c r="H1155" s="1046"/>
      <c r="K1155" s="1046"/>
      <c r="P1155" s="1046"/>
    </row>
    <row r="1156" spans="1:16" x14ac:dyDescent="0.25">
      <c r="A1156" s="1054"/>
      <c r="B1156" s="1083" t="s">
        <v>4496</v>
      </c>
      <c r="C1156" s="1054">
        <v>92921</v>
      </c>
      <c r="H1156" s="1046"/>
      <c r="K1156" s="1046"/>
      <c r="P1156" s="1046"/>
    </row>
    <row r="1157" spans="1:16" x14ac:dyDescent="0.25">
      <c r="A1157" s="1054"/>
      <c r="B1157" s="1083" t="s">
        <v>4497</v>
      </c>
      <c r="C1157" s="1054">
        <v>98621</v>
      </c>
      <c r="H1157" s="1046"/>
      <c r="K1157" s="1046"/>
      <c r="P1157" s="1046"/>
    </row>
    <row r="1158" spans="1:16" x14ac:dyDescent="0.25">
      <c r="A1158" s="1054"/>
      <c r="B1158" s="1083" t="s">
        <v>3355</v>
      </c>
      <c r="C1158" s="1054">
        <v>98627</v>
      </c>
      <c r="H1158" s="1046"/>
      <c r="K1158" s="1046"/>
      <c r="P1158" s="1046"/>
    </row>
    <row r="1159" spans="1:16" x14ac:dyDescent="0.25">
      <c r="A1159" s="1054"/>
      <c r="B1159" s="1083" t="s">
        <v>4498</v>
      </c>
      <c r="C1159" s="1054">
        <v>91221</v>
      </c>
      <c r="H1159" s="1046"/>
      <c r="K1159" s="1046"/>
      <c r="P1159" s="1046"/>
    </row>
    <row r="1160" spans="1:16" x14ac:dyDescent="0.25">
      <c r="A1160" s="1054"/>
      <c r="B1160" s="1083" t="s">
        <v>4499</v>
      </c>
      <c r="C1160" s="1054">
        <v>92861</v>
      </c>
      <c r="H1160" s="1046"/>
      <c r="K1160" s="1046"/>
      <c r="P1160" s="1046"/>
    </row>
    <row r="1161" spans="1:16" x14ac:dyDescent="0.25">
      <c r="A1161" s="1054"/>
      <c r="B1161" s="1083" t="s">
        <v>4500</v>
      </c>
      <c r="C1161" s="1054">
        <v>94311</v>
      </c>
      <c r="H1161" s="1046"/>
      <c r="K1161" s="1046"/>
      <c r="P1161" s="1046"/>
    </row>
    <row r="1162" spans="1:16" x14ac:dyDescent="0.25">
      <c r="A1162" s="1054"/>
      <c r="B1162" s="1083" t="s">
        <v>2980</v>
      </c>
      <c r="C1162" s="1054">
        <v>94317</v>
      </c>
      <c r="H1162" s="1046"/>
      <c r="K1162" s="1046"/>
      <c r="P1162" s="1046"/>
    </row>
    <row r="1163" spans="1:16" x14ac:dyDescent="0.25">
      <c r="A1163" s="1054"/>
      <c r="B1163" s="1083" t="s">
        <v>2979</v>
      </c>
      <c r="C1163" s="1054">
        <v>94313</v>
      </c>
      <c r="H1163" s="1046"/>
      <c r="K1163" s="1046"/>
      <c r="P1163" s="1046"/>
    </row>
    <row r="1164" spans="1:16" x14ac:dyDescent="0.25">
      <c r="A1164" s="1054"/>
      <c r="B1164" s="1083" t="s">
        <v>2855</v>
      </c>
      <c r="C1164" s="1054">
        <v>93101</v>
      </c>
      <c r="H1164" s="1046"/>
      <c r="K1164" s="1046"/>
      <c r="P1164" s="1046"/>
    </row>
    <row r="1165" spans="1:16" x14ac:dyDescent="0.25">
      <c r="A1165" s="1054"/>
      <c r="B1165" s="1083" t="s">
        <v>2123</v>
      </c>
      <c r="C1165" s="1054">
        <v>93103</v>
      </c>
      <c r="H1165" s="1046"/>
      <c r="K1165" s="1046"/>
      <c r="P1165" s="1046"/>
    </row>
    <row r="1166" spans="1:16" x14ac:dyDescent="0.25">
      <c r="A1166" s="1054"/>
      <c r="B1166" s="1083" t="s">
        <v>4501</v>
      </c>
      <c r="C1166" s="1054">
        <v>93211</v>
      </c>
      <c r="H1166" s="1046"/>
      <c r="K1166" s="1046"/>
      <c r="P1166" s="1046"/>
    </row>
    <row r="1167" spans="1:16" x14ac:dyDescent="0.25">
      <c r="A1167" s="1054"/>
      <c r="B1167" s="1083" t="s">
        <v>2874</v>
      </c>
      <c r="C1167" s="1054">
        <v>93212</v>
      </c>
      <c r="H1167" s="1046"/>
      <c r="K1167" s="1046"/>
      <c r="P1167" s="1046"/>
    </row>
    <row r="1168" spans="1:16" x14ac:dyDescent="0.25">
      <c r="A1168" s="1054"/>
      <c r="B1168" s="1083" t="s">
        <v>2869</v>
      </c>
      <c r="C1168" s="1054">
        <v>93201</v>
      </c>
      <c r="H1168" s="1046"/>
      <c r="K1168" s="1046"/>
      <c r="P1168" s="1046"/>
    </row>
    <row r="1169" spans="1:16" x14ac:dyDescent="0.25">
      <c r="A1169" s="1054"/>
      <c r="B1169" s="1083" t="s">
        <v>2871</v>
      </c>
      <c r="C1169" s="1054">
        <v>93204</v>
      </c>
      <c r="H1169" s="1046"/>
      <c r="K1169" s="1046"/>
      <c r="P1169" s="1046"/>
    </row>
    <row r="1170" spans="1:16" x14ac:dyDescent="0.25">
      <c r="A1170" s="1054"/>
      <c r="B1170" s="1083" t="s">
        <v>3397</v>
      </c>
      <c r="C1170" s="1054">
        <v>99212</v>
      </c>
      <c r="H1170" s="1046"/>
      <c r="K1170" s="1046"/>
      <c r="P1170" s="1046"/>
    </row>
    <row r="1171" spans="1:16" x14ac:dyDescent="0.25">
      <c r="A1171" s="1054"/>
      <c r="B1171" s="1083" t="s">
        <v>3197</v>
      </c>
      <c r="C1171" s="1054">
        <v>97005</v>
      </c>
      <c r="H1171" s="1046"/>
      <c r="K1171" s="1046"/>
      <c r="P1171" s="1046"/>
    </row>
    <row r="1172" spans="1:16" x14ac:dyDescent="0.25">
      <c r="A1172" s="1054"/>
      <c r="B1172" s="1083" t="s">
        <v>4502</v>
      </c>
      <c r="C1172" s="1061">
        <v>99931</v>
      </c>
      <c r="H1172" s="1046"/>
      <c r="K1172" s="1046"/>
      <c r="P1172" s="1046"/>
    </row>
    <row r="1173" spans="1:16" x14ac:dyDescent="0.25">
      <c r="A1173" s="1054"/>
      <c r="B1173" s="1083" t="s">
        <v>4503</v>
      </c>
      <c r="C1173" s="1054" t="s">
        <v>4084</v>
      </c>
      <c r="H1173" s="1046"/>
      <c r="K1173" s="1046"/>
      <c r="P1173" s="1046"/>
    </row>
    <row r="1174" spans="1:16" x14ac:dyDescent="0.25">
      <c r="A1174" s="1054"/>
      <c r="B1174" s="1083" t="s">
        <v>4504</v>
      </c>
      <c r="C1174" s="1054">
        <v>98021</v>
      </c>
      <c r="H1174" s="1046"/>
      <c r="K1174" s="1046"/>
      <c r="P1174" s="1046"/>
    </row>
    <row r="1175" spans="1:16" x14ac:dyDescent="0.25">
      <c r="A1175" s="1054"/>
      <c r="B1175" s="1083" t="s">
        <v>3298</v>
      </c>
      <c r="C1175" s="1054">
        <v>98023</v>
      </c>
      <c r="H1175" s="1046"/>
      <c r="K1175" s="1046"/>
      <c r="P1175" s="1046"/>
    </row>
    <row r="1176" spans="1:16" x14ac:dyDescent="0.25">
      <c r="A1176" s="1054"/>
      <c r="B1176" s="1083" t="s">
        <v>4505</v>
      </c>
      <c r="C1176" s="1085">
        <v>70505</v>
      </c>
      <c r="H1176" s="1046"/>
      <c r="K1176" s="1046"/>
      <c r="P1176" s="1046"/>
    </row>
    <row r="1177" spans="1:16" x14ac:dyDescent="0.25">
      <c r="A1177" s="1054"/>
      <c r="B1177" s="1083" t="s">
        <v>4366</v>
      </c>
      <c r="C1177" s="1054">
        <v>99603</v>
      </c>
      <c r="H1177" s="1046"/>
      <c r="K1177" s="1046"/>
      <c r="P1177" s="1046"/>
    </row>
    <row r="1178" spans="1:16" x14ac:dyDescent="0.25">
      <c r="A1178" s="1054"/>
      <c r="B1178" s="1083" t="s">
        <v>3434</v>
      </c>
      <c r="C1178" s="1054">
        <v>99610</v>
      </c>
      <c r="H1178" s="1046"/>
      <c r="K1178" s="1046"/>
      <c r="P1178" s="1046"/>
    </row>
    <row r="1179" spans="1:16" x14ac:dyDescent="0.25">
      <c r="A1179" s="1054"/>
      <c r="B1179" s="1083" t="s">
        <v>4506</v>
      </c>
      <c r="C1179" s="1054">
        <v>92681</v>
      </c>
      <c r="H1179" s="1046"/>
      <c r="K1179" s="1046"/>
      <c r="P1179" s="1046"/>
    </row>
    <row r="1180" spans="1:16" x14ac:dyDescent="0.25">
      <c r="A1180" s="1054"/>
      <c r="B1180" s="1083" t="s">
        <v>2856</v>
      </c>
      <c r="C1180" s="1054">
        <v>93108</v>
      </c>
      <c r="H1180" s="1046"/>
      <c r="K1180" s="1046"/>
      <c r="P1180" s="1046"/>
    </row>
    <row r="1181" spans="1:16" x14ac:dyDescent="0.25">
      <c r="A1181" s="1054"/>
      <c r="B1181" s="1083" t="s">
        <v>4507</v>
      </c>
      <c r="C1181" s="1054">
        <v>97951</v>
      </c>
      <c r="H1181" s="1046"/>
      <c r="K1181" s="1046"/>
      <c r="P1181" s="1046"/>
    </row>
    <row r="1182" spans="1:16" x14ac:dyDescent="0.25">
      <c r="A1182" s="1054"/>
      <c r="B1182" s="1083" t="s">
        <v>3289</v>
      </c>
      <c r="C1182" s="1054">
        <v>97957</v>
      </c>
      <c r="H1182" s="1046"/>
      <c r="K1182" s="1046"/>
      <c r="P1182" s="1046"/>
    </row>
    <row r="1183" spans="1:16" x14ac:dyDescent="0.25">
      <c r="A1183" s="1054"/>
      <c r="B1183" s="1083" t="s">
        <v>4508</v>
      </c>
      <c r="C1183" s="1054">
        <v>92111</v>
      </c>
      <c r="H1183" s="1046"/>
      <c r="K1183" s="1046"/>
      <c r="P1183" s="1046"/>
    </row>
    <row r="1184" spans="1:16" x14ac:dyDescent="0.25">
      <c r="A1184" s="1054"/>
      <c r="B1184" s="1083" t="s">
        <v>2876</v>
      </c>
      <c r="C1184" s="1054">
        <v>93301</v>
      </c>
      <c r="H1184" s="1046"/>
      <c r="K1184" s="1046"/>
      <c r="P1184" s="1046"/>
    </row>
    <row r="1185" spans="1:16" x14ac:dyDescent="0.25">
      <c r="A1185" s="1054"/>
      <c r="B1185" s="1083" t="s">
        <v>2877</v>
      </c>
      <c r="C1185" s="1054">
        <v>93304</v>
      </c>
      <c r="H1185" s="1046"/>
      <c r="K1185" s="1046"/>
      <c r="P1185" s="1046"/>
    </row>
    <row r="1186" spans="1:16" x14ac:dyDescent="0.25">
      <c r="A1186" s="1054"/>
      <c r="B1186" s="1083" t="s">
        <v>2878</v>
      </c>
      <c r="C1186" s="1054">
        <v>93305</v>
      </c>
      <c r="H1186" s="1046"/>
      <c r="K1186" s="1046"/>
      <c r="P1186" s="1046"/>
    </row>
    <row r="1187" spans="1:16" x14ac:dyDescent="0.25">
      <c r="A1187" s="1054"/>
      <c r="B1187" s="1083" t="s">
        <v>3395</v>
      </c>
      <c r="C1187" s="1054">
        <v>99210</v>
      </c>
      <c r="H1187" s="1046"/>
      <c r="K1187" s="1046"/>
      <c r="P1187" s="1046"/>
    </row>
    <row r="1188" spans="1:16" x14ac:dyDescent="0.25">
      <c r="A1188" s="1054"/>
      <c r="B1188" s="1083" t="s">
        <v>3200</v>
      </c>
      <c r="C1188" s="1054">
        <v>97011</v>
      </c>
      <c r="H1188" s="1046"/>
      <c r="K1188" s="1046"/>
      <c r="P1188" s="1046"/>
    </row>
    <row r="1189" spans="1:16" x14ac:dyDescent="0.25">
      <c r="A1189" s="1054"/>
      <c r="B1189" s="1083" t="s">
        <v>3202</v>
      </c>
      <c r="C1189" s="1054">
        <v>97013</v>
      </c>
      <c r="H1189" s="1046"/>
      <c r="K1189" s="1046"/>
      <c r="P1189" s="1046"/>
    </row>
    <row r="1190" spans="1:16" x14ac:dyDescent="0.25">
      <c r="A1190" s="1054"/>
      <c r="B1190" s="1083" t="s">
        <v>4262</v>
      </c>
      <c r="C1190" s="1054">
        <v>97012</v>
      </c>
      <c r="H1190" s="1046"/>
      <c r="K1190" s="1046"/>
      <c r="P1190" s="1046"/>
    </row>
    <row r="1191" spans="1:16" x14ac:dyDescent="0.25">
      <c r="A1191" s="1054"/>
      <c r="B1191" s="1083" t="s">
        <v>3204</v>
      </c>
      <c r="C1191" s="1054">
        <v>97018</v>
      </c>
      <c r="H1191" s="1046"/>
      <c r="K1191" s="1046"/>
      <c r="P1191" s="1046"/>
    </row>
    <row r="1192" spans="1:16" x14ac:dyDescent="0.25">
      <c r="A1192" s="1054"/>
      <c r="B1192" s="1083" t="s">
        <v>4509</v>
      </c>
      <c r="C1192" s="1054">
        <v>90911</v>
      </c>
      <c r="H1192" s="1046"/>
      <c r="K1192" s="1046"/>
      <c r="P1192" s="1046"/>
    </row>
    <row r="1193" spans="1:16" x14ac:dyDescent="0.25">
      <c r="A1193" s="1054"/>
      <c r="B1193" s="1083" t="s">
        <v>2642</v>
      </c>
      <c r="C1193" s="1054">
        <v>90917</v>
      </c>
      <c r="H1193" s="1046"/>
      <c r="K1193" s="1046"/>
      <c r="P1193" s="1046"/>
    </row>
    <row r="1194" spans="1:16" x14ac:dyDescent="0.25">
      <c r="A1194" s="1054"/>
      <c r="B1194" s="1083" t="s">
        <v>4510</v>
      </c>
      <c r="C1194" s="1054">
        <v>90641</v>
      </c>
      <c r="H1194" s="1046"/>
      <c r="K1194" s="1046"/>
      <c r="P1194" s="1046"/>
    </row>
    <row r="1195" spans="1:16" x14ac:dyDescent="0.25">
      <c r="A1195" s="1054"/>
      <c r="B1195" s="1083" t="s">
        <v>4511</v>
      </c>
      <c r="C1195" s="1054">
        <v>98641</v>
      </c>
      <c r="H1195" s="1046"/>
      <c r="K1195" s="1046"/>
      <c r="P1195" s="1046"/>
    </row>
    <row r="1196" spans="1:16" x14ac:dyDescent="0.25">
      <c r="A1196" s="1054"/>
      <c r="B1196" s="1083" t="s">
        <v>4512</v>
      </c>
      <c r="C1196" s="1054" t="s">
        <v>4331</v>
      </c>
      <c r="H1196" s="1046"/>
      <c r="K1196" s="1046"/>
      <c r="P1196" s="1046"/>
    </row>
    <row r="1197" spans="1:16" x14ac:dyDescent="0.25">
      <c r="A1197" s="1054"/>
      <c r="B1197" s="1083" t="s">
        <v>4513</v>
      </c>
      <c r="C1197" s="1054">
        <v>98161</v>
      </c>
      <c r="H1197" s="1046"/>
      <c r="K1197" s="1046"/>
      <c r="P1197" s="1046"/>
    </row>
    <row r="1198" spans="1:16" x14ac:dyDescent="0.25">
      <c r="A1198" s="1054"/>
      <c r="B1198" s="1083" t="s">
        <v>4514</v>
      </c>
      <c r="C1198" s="1054">
        <v>97731</v>
      </c>
      <c r="H1198" s="1046"/>
      <c r="K1198" s="1046"/>
      <c r="P1198" s="1046"/>
    </row>
    <row r="1199" spans="1:16" x14ac:dyDescent="0.25">
      <c r="A1199" s="1054"/>
      <c r="B1199" s="1083" t="s">
        <v>4515</v>
      </c>
      <c r="C1199" s="1061">
        <v>99851</v>
      </c>
      <c r="H1199" s="1046"/>
      <c r="K1199" s="1046"/>
      <c r="P1199" s="1046"/>
    </row>
    <row r="1200" spans="1:16" x14ac:dyDescent="0.25">
      <c r="A1200" s="1054"/>
      <c r="B1200" s="1083" t="s">
        <v>4516</v>
      </c>
      <c r="C1200" s="1054">
        <v>90131</v>
      </c>
      <c r="H1200" s="1046"/>
      <c r="K1200" s="1046"/>
      <c r="P1200" s="1046"/>
    </row>
    <row r="1201" spans="1:16" x14ac:dyDescent="0.25">
      <c r="A1201" s="1054"/>
      <c r="B1201" s="1083" t="s">
        <v>4517</v>
      </c>
      <c r="C1201" s="1054">
        <v>91651</v>
      </c>
      <c r="H1201" s="1046"/>
      <c r="K1201" s="1046"/>
      <c r="P1201" s="1046"/>
    </row>
    <row r="1202" spans="1:16" x14ac:dyDescent="0.25">
      <c r="A1202" s="1054"/>
      <c r="B1202" s="1083" t="s">
        <v>4518</v>
      </c>
      <c r="C1202" s="1054">
        <v>94211</v>
      </c>
      <c r="H1202" s="1046"/>
      <c r="K1202" s="1046"/>
      <c r="P1202" s="1046"/>
    </row>
    <row r="1203" spans="1:16" x14ac:dyDescent="0.25">
      <c r="A1203" s="1054"/>
      <c r="B1203" s="1083" t="s">
        <v>4519</v>
      </c>
      <c r="C1203" s="1054">
        <v>94331</v>
      </c>
      <c r="H1203" s="1046"/>
      <c r="K1203" s="1046"/>
      <c r="P1203" s="1046"/>
    </row>
    <row r="1204" spans="1:16" x14ac:dyDescent="0.25">
      <c r="A1204" s="1054"/>
      <c r="B1204" s="1083" t="s">
        <v>4520</v>
      </c>
      <c r="C1204" s="1054">
        <v>92431</v>
      </c>
      <c r="H1204" s="1046"/>
      <c r="K1204" s="1046"/>
      <c r="P1204" s="1046"/>
    </row>
    <row r="1205" spans="1:16" x14ac:dyDescent="0.25">
      <c r="A1205" s="1054"/>
      <c r="B1205" s="1083" t="s">
        <v>4521</v>
      </c>
      <c r="C1205" s="1054">
        <v>97821</v>
      </c>
      <c r="H1205" s="1046"/>
      <c r="K1205" s="1046"/>
      <c r="P1205" s="1046"/>
    </row>
    <row r="1206" spans="1:16" x14ac:dyDescent="0.25">
      <c r="A1206" s="1054"/>
      <c r="B1206" s="1083" t="s">
        <v>3268</v>
      </c>
      <c r="C1206" s="1054">
        <v>97823</v>
      </c>
      <c r="H1206" s="1046"/>
      <c r="K1206" s="1046"/>
      <c r="P1206" s="1046"/>
    </row>
    <row r="1207" spans="1:16" x14ac:dyDescent="0.25">
      <c r="A1207" s="1054"/>
      <c r="B1207" s="1083" t="s">
        <v>4522</v>
      </c>
      <c r="C1207" s="1054">
        <v>93141</v>
      </c>
      <c r="H1207" s="1046"/>
      <c r="K1207" s="1046"/>
      <c r="P1207" s="1046"/>
    </row>
    <row r="1208" spans="1:16" x14ac:dyDescent="0.25">
      <c r="A1208" s="1054"/>
      <c r="B1208" s="1083" t="s">
        <v>4523</v>
      </c>
      <c r="C1208" s="1054">
        <v>98081</v>
      </c>
      <c r="H1208" s="1046"/>
      <c r="K1208" s="1046"/>
      <c r="P1208" s="1046"/>
    </row>
    <row r="1209" spans="1:16" x14ac:dyDescent="0.25">
      <c r="A1209" s="1054"/>
      <c r="B1209" s="1083" t="s">
        <v>4524</v>
      </c>
      <c r="C1209" s="1054">
        <v>92671</v>
      </c>
      <c r="H1209" s="1046"/>
      <c r="K1209" s="1046"/>
      <c r="P1209" s="1046"/>
    </row>
    <row r="1210" spans="1:16" x14ac:dyDescent="0.25">
      <c r="A1210" s="1054"/>
      <c r="B1210" s="1083" t="s">
        <v>4525</v>
      </c>
      <c r="C1210" s="1054">
        <v>97421</v>
      </c>
      <c r="H1210" s="1046"/>
      <c r="K1210" s="1046"/>
      <c r="P1210" s="1046"/>
    </row>
    <row r="1211" spans="1:16" x14ac:dyDescent="0.25">
      <c r="A1211" s="1054"/>
      <c r="B1211" s="1083" t="s">
        <v>3227</v>
      </c>
      <c r="C1211" s="1054">
        <v>97423</v>
      </c>
      <c r="H1211" s="1046"/>
      <c r="K1211" s="1046"/>
      <c r="P1211" s="1046"/>
    </row>
    <row r="1212" spans="1:16" x14ac:dyDescent="0.25">
      <c r="A1212" s="1054"/>
      <c r="B1212" s="1083" t="s">
        <v>4526</v>
      </c>
      <c r="C1212" s="1054">
        <v>92611</v>
      </c>
      <c r="H1212" s="1046"/>
      <c r="K1212" s="1046"/>
      <c r="P1212" s="1046"/>
    </row>
    <row r="1213" spans="1:16" x14ac:dyDescent="0.25">
      <c r="A1213" s="1054"/>
      <c r="B1213" s="1083" t="s">
        <v>4093</v>
      </c>
      <c r="C1213" s="1054">
        <v>92613</v>
      </c>
      <c r="H1213" s="1046"/>
      <c r="K1213" s="1046"/>
      <c r="P1213" s="1046"/>
    </row>
    <row r="1214" spans="1:16" x14ac:dyDescent="0.25">
      <c r="A1214" s="1054"/>
      <c r="B1214" s="1083" t="s">
        <v>4527</v>
      </c>
      <c r="C1214" s="1054">
        <v>92614</v>
      </c>
      <c r="H1214" s="1046"/>
      <c r="K1214" s="1046"/>
      <c r="P1214" s="1046"/>
    </row>
    <row r="1215" spans="1:16" x14ac:dyDescent="0.25">
      <c r="A1215" s="1054"/>
      <c r="B1215" s="1083" t="s">
        <v>2802</v>
      </c>
      <c r="C1215" s="1054">
        <v>92502</v>
      </c>
      <c r="H1215" s="1046"/>
      <c r="K1215" s="1046"/>
      <c r="P1215" s="1046"/>
    </row>
    <row r="1216" spans="1:16" x14ac:dyDescent="0.25">
      <c r="A1216" s="1054"/>
      <c r="B1216" s="1083" t="s">
        <v>4528</v>
      </c>
      <c r="C1216" s="1054">
        <v>94531</v>
      </c>
      <c r="H1216" s="1046"/>
      <c r="K1216" s="1046"/>
      <c r="P1216" s="1046"/>
    </row>
    <row r="1217" spans="1:16" x14ac:dyDescent="0.25">
      <c r="A1217" s="1054"/>
      <c r="B1217" s="1083" t="s">
        <v>4529</v>
      </c>
      <c r="C1217" s="1054">
        <v>94541</v>
      </c>
      <c r="H1217" s="1046"/>
      <c r="K1217" s="1046"/>
      <c r="P1217" s="1046"/>
    </row>
    <row r="1218" spans="1:16" x14ac:dyDescent="0.25">
      <c r="A1218" s="1054"/>
      <c r="B1218" s="1083" t="s">
        <v>3005</v>
      </c>
      <c r="C1218" s="1054">
        <v>94547</v>
      </c>
      <c r="H1218" s="1046"/>
      <c r="K1218" s="1046"/>
      <c r="P1218" s="1046"/>
    </row>
    <row r="1219" spans="1:16" x14ac:dyDescent="0.25">
      <c r="A1219" s="1054"/>
      <c r="B1219" s="1083" t="s">
        <v>3031</v>
      </c>
      <c r="C1219" s="1054">
        <v>95005</v>
      </c>
      <c r="H1219" s="1046"/>
      <c r="K1219" s="1046"/>
      <c r="P1219" s="1046"/>
    </row>
    <row r="1220" spans="1:16" x14ac:dyDescent="0.25">
      <c r="A1220" s="1054"/>
      <c r="B1220" s="1083" t="s">
        <v>4530</v>
      </c>
      <c r="C1220" s="1054">
        <v>98111</v>
      </c>
      <c r="H1220" s="1046"/>
      <c r="K1220" s="1046"/>
      <c r="P1220" s="1046"/>
    </row>
    <row r="1221" spans="1:16" x14ac:dyDescent="0.25">
      <c r="A1221" s="1054"/>
      <c r="B1221" s="1083" t="s">
        <v>3309</v>
      </c>
      <c r="C1221" s="1054">
        <v>98107</v>
      </c>
      <c r="H1221" s="1046"/>
      <c r="K1221" s="1046"/>
      <c r="P1221" s="1046"/>
    </row>
    <row r="1222" spans="1:16" x14ac:dyDescent="0.25">
      <c r="A1222" s="1054"/>
      <c r="B1222" s="1083" t="s">
        <v>3312</v>
      </c>
      <c r="C1222" s="1054">
        <v>98113</v>
      </c>
      <c r="H1222" s="1046"/>
      <c r="K1222" s="1046"/>
      <c r="P1222" s="1046"/>
    </row>
    <row r="1223" spans="1:16" x14ac:dyDescent="0.25">
      <c r="A1223" s="1054"/>
      <c r="B1223" s="1083" t="s">
        <v>3430</v>
      </c>
      <c r="C1223" s="1054">
        <v>99602</v>
      </c>
      <c r="H1223" s="1046"/>
      <c r="K1223" s="1046"/>
      <c r="P1223" s="1046"/>
    </row>
    <row r="1224" spans="1:16" x14ac:dyDescent="0.25">
      <c r="A1224" s="1054"/>
      <c r="B1224" s="1083" t="s">
        <v>2888</v>
      </c>
      <c r="C1224" s="1054">
        <v>93401</v>
      </c>
      <c r="H1224" s="1046"/>
      <c r="K1224" s="1046"/>
      <c r="P1224" s="1046"/>
    </row>
    <row r="1225" spans="1:16" x14ac:dyDescent="0.25">
      <c r="A1225" s="1054"/>
      <c r="B1225" s="1083" t="s">
        <v>4531</v>
      </c>
      <c r="C1225" s="1054">
        <v>97491</v>
      </c>
      <c r="H1225" s="1046"/>
      <c r="K1225" s="1046"/>
      <c r="P1225" s="1046"/>
    </row>
    <row r="1226" spans="1:16" x14ac:dyDescent="0.25">
      <c r="A1226" s="1054"/>
      <c r="B1226" s="1083" t="s">
        <v>4532</v>
      </c>
      <c r="C1226" s="1054">
        <v>95151</v>
      </c>
      <c r="H1226" s="1046"/>
      <c r="K1226" s="1046"/>
      <c r="P1226" s="1046"/>
    </row>
    <row r="1227" spans="1:16" x14ac:dyDescent="0.25">
      <c r="A1227" s="1054"/>
      <c r="B1227" s="1083" t="s">
        <v>3141</v>
      </c>
      <c r="C1227" s="1054">
        <v>96381</v>
      </c>
      <c r="H1227" s="1046"/>
      <c r="K1227" s="1046"/>
      <c r="P1227" s="1046"/>
    </row>
    <row r="1228" spans="1:16" x14ac:dyDescent="0.25">
      <c r="A1228" s="1054"/>
      <c r="B1228" s="1083" t="s">
        <v>4533</v>
      </c>
      <c r="C1228" s="1054">
        <v>95611</v>
      </c>
      <c r="H1228" s="1046"/>
      <c r="K1228" s="1046"/>
      <c r="P1228" s="1046"/>
    </row>
    <row r="1229" spans="1:16" x14ac:dyDescent="0.25">
      <c r="A1229" s="1054"/>
      <c r="B1229" s="1083" t="s">
        <v>2902</v>
      </c>
      <c r="C1229" s="1054">
        <v>93501</v>
      </c>
      <c r="H1229" s="1046"/>
      <c r="K1229" s="1046"/>
      <c r="P1229" s="1046"/>
    </row>
    <row r="1230" spans="1:16" x14ac:dyDescent="0.25">
      <c r="A1230" s="1054"/>
      <c r="B1230" s="1083" t="s">
        <v>4534</v>
      </c>
      <c r="C1230" s="1054">
        <v>93511</v>
      </c>
      <c r="H1230" s="1046"/>
      <c r="K1230" s="1046"/>
      <c r="P1230" s="1046"/>
    </row>
    <row r="1231" spans="1:16" x14ac:dyDescent="0.25">
      <c r="A1231" s="1054"/>
      <c r="B1231" s="1083" t="s">
        <v>2904</v>
      </c>
      <c r="C1231" s="1054">
        <v>93517</v>
      </c>
      <c r="H1231" s="1046"/>
      <c r="K1231" s="1046"/>
      <c r="P1231" s="1046"/>
    </row>
    <row r="1232" spans="1:16" x14ac:dyDescent="0.25">
      <c r="A1232" s="1054"/>
      <c r="B1232" s="1083" t="s">
        <v>4535</v>
      </c>
      <c r="C1232" s="1054">
        <v>99631</v>
      </c>
      <c r="H1232" s="1046"/>
      <c r="K1232" s="1046"/>
      <c r="P1232" s="1046"/>
    </row>
    <row r="1233" spans="1:16" x14ac:dyDescent="0.25">
      <c r="A1233" s="1054"/>
      <c r="B1233" s="1083" t="s">
        <v>4536</v>
      </c>
      <c r="C1233" s="1054">
        <v>99261</v>
      </c>
      <c r="H1233" s="1046"/>
      <c r="K1233" s="1046"/>
      <c r="P1233" s="1046"/>
    </row>
    <row r="1234" spans="1:16" x14ac:dyDescent="0.25">
      <c r="A1234" s="1054"/>
      <c r="B1234" s="1083" t="s">
        <v>4537</v>
      </c>
      <c r="C1234" s="1054">
        <v>98241</v>
      </c>
      <c r="H1234" s="1046"/>
      <c r="K1234" s="1046"/>
      <c r="P1234" s="1046"/>
    </row>
    <row r="1235" spans="1:16" x14ac:dyDescent="0.25">
      <c r="A1235" s="1054"/>
      <c r="B1235" s="1083" t="s">
        <v>4538</v>
      </c>
      <c r="C1235" s="1054">
        <v>99251</v>
      </c>
      <c r="H1235" s="1046"/>
      <c r="K1235" s="1046"/>
      <c r="P1235" s="1046"/>
    </row>
    <row r="1236" spans="1:16" x14ac:dyDescent="0.25">
      <c r="A1236" s="1054"/>
      <c r="B1236" s="1083" t="s">
        <v>3405</v>
      </c>
      <c r="C1236" s="1054">
        <v>99252</v>
      </c>
      <c r="H1236" s="1046"/>
      <c r="K1236" s="1046"/>
      <c r="P1236" s="1046"/>
    </row>
    <row r="1237" spans="1:16" x14ac:dyDescent="0.25">
      <c r="A1237" s="1054"/>
      <c r="B1237" s="1083" t="s">
        <v>4539</v>
      </c>
      <c r="C1237" s="1054">
        <v>96631</v>
      </c>
      <c r="H1237" s="1046"/>
      <c r="K1237" s="1046"/>
      <c r="P1237" s="1046"/>
    </row>
    <row r="1238" spans="1:16" x14ac:dyDescent="0.25">
      <c r="A1238" s="1054"/>
      <c r="B1238" s="1083" t="s">
        <v>4540</v>
      </c>
      <c r="C1238" s="1054">
        <v>96651</v>
      </c>
      <c r="H1238" s="1046"/>
      <c r="K1238" s="1046"/>
      <c r="P1238" s="1046"/>
    </row>
    <row r="1239" spans="1:16" x14ac:dyDescent="0.25">
      <c r="A1239" s="1054"/>
      <c r="B1239" s="1083" t="s">
        <v>2910</v>
      </c>
      <c r="C1239" s="1054">
        <v>93601</v>
      </c>
      <c r="H1239" s="1046"/>
      <c r="K1239" s="1046"/>
      <c r="P1239" s="1046"/>
    </row>
    <row r="1240" spans="1:16" x14ac:dyDescent="0.25">
      <c r="A1240" s="1054"/>
      <c r="B1240" s="1083" t="s">
        <v>2916</v>
      </c>
      <c r="C1240" s="1054">
        <v>93618</v>
      </c>
      <c r="H1240" s="1046"/>
      <c r="K1240" s="1046"/>
      <c r="P1240" s="1046"/>
    </row>
    <row r="1241" spans="1:16" x14ac:dyDescent="0.25">
      <c r="A1241" s="1054"/>
      <c r="B1241" s="1083" t="s">
        <v>4541</v>
      </c>
      <c r="C1241" s="1054">
        <v>93611</v>
      </c>
      <c r="H1241" s="1046"/>
      <c r="K1241" s="1046"/>
      <c r="P1241" s="1046"/>
    </row>
    <row r="1242" spans="1:16" x14ac:dyDescent="0.25">
      <c r="A1242" s="1054"/>
      <c r="B1242" s="1083" t="s">
        <v>2915</v>
      </c>
      <c r="C1242" s="1054">
        <v>93617</v>
      </c>
      <c r="H1242" s="1046"/>
      <c r="K1242" s="1046"/>
      <c r="P1242" s="1046"/>
    </row>
    <row r="1243" spans="1:16" x14ac:dyDescent="0.25">
      <c r="A1243" s="1054"/>
      <c r="B1243" s="1083" t="s">
        <v>3584</v>
      </c>
      <c r="C1243" s="1054">
        <v>93701</v>
      </c>
      <c r="H1243" s="1046"/>
      <c r="K1243" s="1046"/>
      <c r="P1243" s="1046"/>
    </row>
    <row r="1244" spans="1:16" x14ac:dyDescent="0.25">
      <c r="A1244" s="1054"/>
      <c r="B1244" s="1083" t="s">
        <v>2928</v>
      </c>
      <c r="C1244" s="1054">
        <v>93704</v>
      </c>
      <c r="H1244" s="1046"/>
      <c r="K1244" s="1046"/>
      <c r="P1244" s="1046"/>
    </row>
    <row r="1245" spans="1:16" x14ac:dyDescent="0.25">
      <c r="A1245" s="1054"/>
      <c r="B1245" s="1083" t="s">
        <v>4542</v>
      </c>
      <c r="C1245" s="1054">
        <v>98331</v>
      </c>
      <c r="H1245" s="1046"/>
      <c r="K1245" s="1046"/>
      <c r="P1245" s="1046"/>
    </row>
    <row r="1246" spans="1:16" x14ac:dyDescent="0.25">
      <c r="A1246" s="1054"/>
      <c r="B1246" s="1083" t="s">
        <v>4543</v>
      </c>
      <c r="C1246" s="1054">
        <v>94151</v>
      </c>
      <c r="H1246" s="1046"/>
      <c r="K1246" s="1046"/>
      <c r="P1246" s="1046"/>
    </row>
    <row r="1247" spans="1:16" x14ac:dyDescent="0.25">
      <c r="A1247" s="1054"/>
      <c r="B1247" s="1083" t="s">
        <v>2962</v>
      </c>
      <c r="C1247" s="1054">
        <v>94157</v>
      </c>
      <c r="H1247" s="1046"/>
      <c r="K1247" s="1046"/>
      <c r="P1247" s="1046"/>
    </row>
    <row r="1248" spans="1:16" x14ac:dyDescent="0.25">
      <c r="A1248" s="1054"/>
      <c r="B1248" s="1083" t="s">
        <v>4544</v>
      </c>
      <c r="C1248" s="1054">
        <v>91241</v>
      </c>
      <c r="H1248" s="1046"/>
      <c r="K1248" s="1046"/>
      <c r="P1248" s="1046"/>
    </row>
    <row r="1249" spans="1:16" x14ac:dyDescent="0.25">
      <c r="A1249" s="1054"/>
      <c r="B1249" s="1083" t="s">
        <v>3067</v>
      </c>
      <c r="C1249" s="1054">
        <v>95412</v>
      </c>
      <c r="H1249" s="1046"/>
      <c r="K1249" s="1046"/>
      <c r="P1249" s="1046"/>
    </row>
    <row r="1250" spans="1:16" x14ac:dyDescent="0.25">
      <c r="A1250" s="1054"/>
      <c r="B1250" s="1083" t="s">
        <v>4545</v>
      </c>
      <c r="C1250" s="1054">
        <v>99611</v>
      </c>
      <c r="H1250" s="1046"/>
      <c r="K1250" s="1046"/>
      <c r="P1250" s="1046"/>
    </row>
    <row r="1251" spans="1:16" x14ac:dyDescent="0.25">
      <c r="A1251" s="1054"/>
      <c r="B1251" s="1083" t="s">
        <v>4546</v>
      </c>
      <c r="C1251" s="1054">
        <v>99613</v>
      </c>
      <c r="H1251" s="1046"/>
      <c r="K1251" s="1046"/>
      <c r="P1251" s="1046"/>
    </row>
    <row r="1252" spans="1:16" x14ac:dyDescent="0.25">
      <c r="A1252" s="1054"/>
      <c r="B1252" s="1083" t="s">
        <v>2766</v>
      </c>
      <c r="C1252" s="1054">
        <v>91908</v>
      </c>
      <c r="H1252" s="1046"/>
      <c r="K1252" s="1046"/>
      <c r="P1252" s="1046"/>
    </row>
    <row r="1253" spans="1:16" x14ac:dyDescent="0.25">
      <c r="A1253" s="1054"/>
      <c r="B1253" s="1083" t="s">
        <v>4547</v>
      </c>
      <c r="C1253" s="1054">
        <v>90121</v>
      </c>
      <c r="H1253" s="1046"/>
      <c r="K1253" s="1046"/>
      <c r="P1253" s="1046"/>
    </row>
    <row r="1254" spans="1:16" x14ac:dyDescent="0.25">
      <c r="A1254" s="1054"/>
      <c r="B1254" s="1083" t="s">
        <v>2930</v>
      </c>
      <c r="C1254" s="1054">
        <v>93803</v>
      </c>
      <c r="H1254" s="1046"/>
      <c r="K1254" s="1046"/>
      <c r="P1254" s="1046"/>
    </row>
    <row r="1255" spans="1:16" x14ac:dyDescent="0.25">
      <c r="A1255" s="1054"/>
      <c r="B1255" s="1083" t="s">
        <v>2929</v>
      </c>
      <c r="C1255" s="1054">
        <v>93801</v>
      </c>
      <c r="H1255" s="1046"/>
      <c r="K1255" s="1046"/>
      <c r="P1255" s="1046"/>
    </row>
    <row r="1256" spans="1:16" x14ac:dyDescent="0.25">
      <c r="A1256" s="1054"/>
      <c r="B1256" s="1083" t="s">
        <v>2931</v>
      </c>
      <c r="C1256" s="1054">
        <v>93806</v>
      </c>
      <c r="H1256" s="1046"/>
      <c r="K1256" s="1046"/>
      <c r="P1256" s="1046"/>
    </row>
    <row r="1257" spans="1:16" x14ac:dyDescent="0.25">
      <c r="A1257" s="1054"/>
      <c r="B1257" s="1083" t="s">
        <v>4548</v>
      </c>
      <c r="C1257" s="1054">
        <v>91411</v>
      </c>
      <c r="H1257" s="1046"/>
      <c r="K1257" s="1046"/>
      <c r="P1257" s="1046"/>
    </row>
    <row r="1258" spans="1:16" x14ac:dyDescent="0.25">
      <c r="A1258" s="1054"/>
      <c r="B1258" s="1083" t="s">
        <v>2722</v>
      </c>
      <c r="C1258" s="1054">
        <v>91417</v>
      </c>
      <c r="H1258" s="1046"/>
      <c r="K1258" s="1046"/>
      <c r="P1258" s="1046"/>
    </row>
    <row r="1259" spans="1:16" x14ac:dyDescent="0.25">
      <c r="A1259" s="1054"/>
      <c r="B1259" s="1083" t="s">
        <v>4549</v>
      </c>
      <c r="C1259" s="1054">
        <v>98061</v>
      </c>
      <c r="H1259" s="1046"/>
      <c r="K1259" s="1046"/>
      <c r="P1259" s="1046"/>
    </row>
    <row r="1260" spans="1:16" x14ac:dyDescent="0.25">
      <c r="A1260" s="1054"/>
      <c r="B1260" s="1083" t="s">
        <v>4550</v>
      </c>
      <c r="C1260" s="1054">
        <v>93904</v>
      </c>
      <c r="H1260" s="1046"/>
      <c r="K1260" s="1046"/>
      <c r="P1260" s="1046"/>
    </row>
    <row r="1261" spans="1:16" x14ac:dyDescent="0.25">
      <c r="A1261" s="1054"/>
      <c r="B1261" s="1083" t="s">
        <v>2933</v>
      </c>
      <c r="C1261" s="1054">
        <v>93901</v>
      </c>
      <c r="H1261" s="1046"/>
      <c r="K1261" s="1046"/>
      <c r="P1261" s="1046"/>
    </row>
    <row r="1262" spans="1:16" x14ac:dyDescent="0.25">
      <c r="A1262" s="1054"/>
      <c r="B1262" s="1083" t="s">
        <v>2935</v>
      </c>
      <c r="C1262" s="1054">
        <v>93906</v>
      </c>
      <c r="H1262" s="1046"/>
      <c r="K1262" s="1046"/>
      <c r="P1262" s="1046"/>
    </row>
    <row r="1263" spans="1:16" x14ac:dyDescent="0.25">
      <c r="A1263" s="1054"/>
      <c r="B1263" s="1083" t="s">
        <v>3585</v>
      </c>
      <c r="C1263" s="1054">
        <v>93908</v>
      </c>
      <c r="H1263" s="1046"/>
      <c r="K1263" s="1046"/>
      <c r="P1263" s="1046"/>
    </row>
    <row r="1264" spans="1:16" x14ac:dyDescent="0.25">
      <c r="A1264" s="1054"/>
      <c r="B1264" s="1083" t="s">
        <v>3021</v>
      </c>
      <c r="C1264" s="1054">
        <v>94908</v>
      </c>
      <c r="H1264" s="1046"/>
      <c r="K1264" s="1046"/>
      <c r="P1264" s="1046"/>
    </row>
    <row r="1265" spans="1:16" x14ac:dyDescent="0.25">
      <c r="A1265" s="1054"/>
      <c r="B1265" s="1083" t="s">
        <v>4551</v>
      </c>
      <c r="C1265" s="1054">
        <v>90161</v>
      </c>
      <c r="H1265" s="1046"/>
      <c r="K1265" s="1046"/>
      <c r="P1265" s="1046"/>
    </row>
    <row r="1266" spans="1:16" x14ac:dyDescent="0.25">
      <c r="A1266" s="1054"/>
      <c r="B1266" s="1083" t="s">
        <v>2943</v>
      </c>
      <c r="C1266" s="1054">
        <v>94001</v>
      </c>
      <c r="H1266" s="1046"/>
      <c r="K1266" s="1046"/>
      <c r="P1266" s="1046"/>
    </row>
    <row r="1267" spans="1:16" x14ac:dyDescent="0.25">
      <c r="A1267" s="1054"/>
      <c r="B1267" s="1083" t="s">
        <v>2945</v>
      </c>
      <c r="C1267" s="1054">
        <v>94004</v>
      </c>
      <c r="H1267" s="1046"/>
      <c r="K1267" s="1046"/>
      <c r="P1267" s="1046"/>
    </row>
    <row r="1268" spans="1:16" x14ac:dyDescent="0.25">
      <c r="A1268" s="1054"/>
      <c r="B1268" s="1083" t="s">
        <v>4552</v>
      </c>
      <c r="C1268" s="1054">
        <v>94111</v>
      </c>
      <c r="H1268" s="1046"/>
      <c r="K1268" s="1046"/>
      <c r="P1268" s="1046"/>
    </row>
    <row r="1269" spans="1:16" x14ac:dyDescent="0.25">
      <c r="A1269" s="1054"/>
      <c r="B1269" s="1083" t="s">
        <v>4553</v>
      </c>
      <c r="C1269" s="1054">
        <v>94117</v>
      </c>
      <c r="H1269" s="1046"/>
      <c r="K1269" s="1046"/>
      <c r="P1269" s="1046"/>
    </row>
    <row r="1270" spans="1:16" x14ac:dyDescent="0.25">
      <c r="A1270" s="1054"/>
      <c r="B1270" s="1083" t="s">
        <v>4554</v>
      </c>
      <c r="C1270" s="1054">
        <v>97411</v>
      </c>
      <c r="H1270" s="1046"/>
      <c r="K1270" s="1046"/>
      <c r="P1270" s="1046"/>
    </row>
    <row r="1271" spans="1:16" x14ac:dyDescent="0.25">
      <c r="A1271" s="1054"/>
      <c r="B1271" s="1083" t="s">
        <v>3225</v>
      </c>
      <c r="C1271" s="1054">
        <v>97413</v>
      </c>
      <c r="H1271" s="1046"/>
      <c r="K1271" s="1046"/>
      <c r="P1271" s="1046"/>
    </row>
    <row r="1272" spans="1:16" x14ac:dyDescent="0.25">
      <c r="A1272" s="1054"/>
      <c r="B1272" s="1083" t="s">
        <v>3224</v>
      </c>
      <c r="C1272" s="1054">
        <v>97412</v>
      </c>
      <c r="H1272" s="1046"/>
      <c r="K1272" s="1046"/>
      <c r="P1272" s="1046"/>
    </row>
    <row r="1273" spans="1:16" x14ac:dyDescent="0.25">
      <c r="A1273" s="1054"/>
      <c r="B1273" s="1083" t="s">
        <v>4555</v>
      </c>
      <c r="C1273" s="1054">
        <v>97431</v>
      </c>
      <c r="H1273" s="1046"/>
      <c r="K1273" s="1046"/>
      <c r="P1273" s="1046"/>
    </row>
    <row r="1274" spans="1:16" x14ac:dyDescent="0.25">
      <c r="A1274" s="1054"/>
      <c r="B1274" s="1083" t="s">
        <v>4556</v>
      </c>
      <c r="C1274" s="1054">
        <v>97471</v>
      </c>
      <c r="H1274" s="1046"/>
      <c r="K1274" s="1046"/>
      <c r="P1274" s="1046"/>
    </row>
    <row r="1275" spans="1:16" x14ac:dyDescent="0.25">
      <c r="A1275" s="1054"/>
      <c r="B1275" s="1083" t="s">
        <v>4557</v>
      </c>
      <c r="C1275" s="1054">
        <v>92351</v>
      </c>
      <c r="H1275" s="1046"/>
      <c r="K1275" s="1046"/>
      <c r="P1275" s="1046"/>
    </row>
    <row r="1276" spans="1:16" x14ac:dyDescent="0.25">
      <c r="A1276" s="1054"/>
      <c r="B1276" s="1083" t="s">
        <v>2950</v>
      </c>
      <c r="C1276" s="1054">
        <v>94101</v>
      </c>
      <c r="H1276" s="1046"/>
      <c r="K1276" s="1046"/>
      <c r="P1276" s="1046"/>
    </row>
    <row r="1277" spans="1:16" x14ac:dyDescent="0.25">
      <c r="A1277" s="1054"/>
      <c r="B1277" s="1083" t="s">
        <v>2957</v>
      </c>
      <c r="C1277" s="1054">
        <v>94118</v>
      </c>
      <c r="H1277" s="1046"/>
      <c r="K1277" s="1046"/>
      <c r="P1277" s="1046"/>
    </row>
    <row r="1278" spans="1:16" x14ac:dyDescent="0.25">
      <c r="A1278" s="1054"/>
      <c r="B1278" s="1083" t="s">
        <v>2951</v>
      </c>
      <c r="C1278" s="1054">
        <v>94102</v>
      </c>
      <c r="H1278" s="1046"/>
      <c r="K1278" s="1046"/>
      <c r="P1278" s="1046"/>
    </row>
    <row r="1279" spans="1:16" x14ac:dyDescent="0.25">
      <c r="A1279" s="1054"/>
      <c r="B1279" s="1083" t="s">
        <v>2967</v>
      </c>
      <c r="C1279" s="1054">
        <v>94201</v>
      </c>
      <c r="H1279" s="1046"/>
      <c r="K1279" s="1046"/>
      <c r="P1279" s="1046"/>
    </row>
    <row r="1280" spans="1:16" x14ac:dyDescent="0.25">
      <c r="A1280" s="1054"/>
      <c r="B1280" s="1083" t="s">
        <v>2968</v>
      </c>
      <c r="C1280" s="1054">
        <v>94204</v>
      </c>
      <c r="H1280" s="1046"/>
      <c r="K1280" s="1046"/>
      <c r="P1280" s="1046"/>
    </row>
    <row r="1281" spans="1:16" x14ac:dyDescent="0.25">
      <c r="A1281" s="1054"/>
      <c r="B1281" s="1083" t="s">
        <v>2969</v>
      </c>
      <c r="C1281" s="1054">
        <v>94205</v>
      </c>
      <c r="H1281" s="1046"/>
      <c r="K1281" s="1046"/>
      <c r="P1281" s="1046"/>
    </row>
    <row r="1282" spans="1:16" x14ac:dyDescent="0.25">
      <c r="A1282" s="1054"/>
      <c r="B1282" s="1083" t="s">
        <v>4558</v>
      </c>
      <c r="C1282" s="1054">
        <v>95831</v>
      </c>
      <c r="H1282" s="1046"/>
      <c r="K1282" s="1046"/>
      <c r="P1282" s="1046"/>
    </row>
    <row r="1283" spans="1:16" x14ac:dyDescent="0.25">
      <c r="A1283" s="1054"/>
      <c r="B1283" s="1083" t="s">
        <v>4559</v>
      </c>
      <c r="C1283" s="1054">
        <v>97721</v>
      </c>
      <c r="H1283" s="1046"/>
      <c r="K1283" s="1046"/>
      <c r="P1283" s="1046"/>
    </row>
    <row r="1284" spans="1:16" x14ac:dyDescent="0.25">
      <c r="A1284" s="1054"/>
      <c r="B1284" s="1083" t="s">
        <v>3256</v>
      </c>
      <c r="C1284" s="1054">
        <v>97717</v>
      </c>
      <c r="H1284" s="1046"/>
      <c r="K1284" s="1046"/>
      <c r="P1284" s="1046"/>
    </row>
    <row r="1285" spans="1:16" x14ac:dyDescent="0.25">
      <c r="A1285" s="1054"/>
      <c r="B1285" s="1083" t="s">
        <v>2977</v>
      </c>
      <c r="C1285" s="1054">
        <v>94301</v>
      </c>
      <c r="H1285" s="1046"/>
      <c r="K1285" s="1046"/>
      <c r="P1285" s="1046"/>
    </row>
    <row r="1286" spans="1:16" x14ac:dyDescent="0.25">
      <c r="A1286" s="1054"/>
      <c r="B1286" s="1083" t="s">
        <v>4560</v>
      </c>
      <c r="C1286" s="1054">
        <v>91441</v>
      </c>
      <c r="H1286" s="1046"/>
      <c r="K1286" s="1046"/>
      <c r="P1286" s="1046"/>
    </row>
    <row r="1287" spans="1:16" x14ac:dyDescent="0.25">
      <c r="A1287" s="1054"/>
      <c r="B1287" s="1083" t="s">
        <v>4561</v>
      </c>
      <c r="C1287" s="1054">
        <v>92531</v>
      </c>
      <c r="H1287" s="1046"/>
      <c r="K1287" s="1046"/>
      <c r="P1287" s="1046"/>
    </row>
    <row r="1288" spans="1:16" x14ac:dyDescent="0.25">
      <c r="A1288" s="1054"/>
      <c r="B1288" s="1083" t="s">
        <v>4562</v>
      </c>
      <c r="C1288" s="1054">
        <v>90141</v>
      </c>
      <c r="H1288" s="1046"/>
      <c r="K1288" s="1046"/>
      <c r="P1288" s="1046"/>
    </row>
    <row r="1289" spans="1:16" x14ac:dyDescent="0.25">
      <c r="A1289" s="1054"/>
      <c r="B1289" s="1083" t="s">
        <v>3586</v>
      </c>
      <c r="C1289" s="1054">
        <v>94401</v>
      </c>
      <c r="H1289" s="1046"/>
      <c r="K1289" s="1046"/>
      <c r="P1289" s="1046"/>
    </row>
    <row r="1290" spans="1:16" x14ac:dyDescent="0.25">
      <c r="A1290" s="1054"/>
      <c r="B1290" s="1083" t="s">
        <v>3587</v>
      </c>
      <c r="C1290" s="1054">
        <v>94403</v>
      </c>
      <c r="H1290" s="1046"/>
      <c r="K1290" s="1046"/>
      <c r="P1290" s="1046"/>
    </row>
    <row r="1291" spans="1:16" x14ac:dyDescent="0.25">
      <c r="A1291" s="1054"/>
      <c r="B1291" s="1083" t="s">
        <v>2987</v>
      </c>
      <c r="C1291" s="1054">
        <v>94402</v>
      </c>
      <c r="H1291" s="1046"/>
      <c r="K1291" s="1046"/>
      <c r="P1291" s="1046"/>
    </row>
    <row r="1292" spans="1:16" x14ac:dyDescent="0.25">
      <c r="A1292" s="1054"/>
      <c r="B1292" s="1083" t="s">
        <v>4563</v>
      </c>
      <c r="C1292" s="1054">
        <v>99111</v>
      </c>
      <c r="H1292" s="1046"/>
      <c r="K1292" s="1046"/>
      <c r="P1292" s="1046"/>
    </row>
    <row r="1293" spans="1:16" x14ac:dyDescent="0.25">
      <c r="A1293" s="1054"/>
      <c r="B1293" s="1083" t="s">
        <v>4564</v>
      </c>
      <c r="C1293" s="1054">
        <v>94501</v>
      </c>
      <c r="H1293" s="1046"/>
      <c r="K1293" s="1046"/>
      <c r="P1293" s="1046"/>
    </row>
    <row r="1294" spans="1:16" x14ac:dyDescent="0.25">
      <c r="A1294" s="1054"/>
      <c r="B1294" s="1083" t="s">
        <v>4565</v>
      </c>
      <c r="C1294" s="1054">
        <v>94511</v>
      </c>
      <c r="H1294" s="1046"/>
      <c r="K1294" s="1046"/>
      <c r="P1294" s="1046"/>
    </row>
    <row r="1295" spans="1:16" x14ac:dyDescent="0.25">
      <c r="A1295" s="1054"/>
      <c r="B1295" s="1083" t="s">
        <v>4566</v>
      </c>
      <c r="C1295" s="1054">
        <v>94517</v>
      </c>
      <c r="H1295" s="1046"/>
      <c r="K1295" s="1046"/>
      <c r="P1295" s="1046"/>
    </row>
    <row r="1296" spans="1:16" x14ac:dyDescent="0.25">
      <c r="A1296" s="1054"/>
      <c r="B1296" s="1083" t="s">
        <v>2998</v>
      </c>
      <c r="C1296" s="1054">
        <v>94512</v>
      </c>
      <c r="H1296" s="1046"/>
      <c r="K1296" s="1046"/>
      <c r="P1296" s="1046"/>
    </row>
    <row r="1297" spans="1:16" x14ac:dyDescent="0.25">
      <c r="A1297" s="1054"/>
      <c r="B1297" s="1083" t="s">
        <v>4567</v>
      </c>
      <c r="C1297" s="1054">
        <v>97211</v>
      </c>
      <c r="H1297" s="1046"/>
      <c r="K1297" s="1046"/>
      <c r="P1297" s="1046"/>
    </row>
    <row r="1298" spans="1:16" x14ac:dyDescent="0.25">
      <c r="A1298" s="1054"/>
      <c r="B1298" s="1083" t="s">
        <v>4568</v>
      </c>
      <c r="C1298" s="1054">
        <v>97217</v>
      </c>
      <c r="H1298" s="1046"/>
      <c r="K1298" s="1046"/>
      <c r="P1298" s="1046"/>
    </row>
    <row r="1299" spans="1:16" x14ac:dyDescent="0.25">
      <c r="A1299" s="1054"/>
      <c r="B1299" s="1083" t="s">
        <v>3007</v>
      </c>
      <c r="C1299" s="1054">
        <v>94601</v>
      </c>
      <c r="H1299" s="1046"/>
      <c r="K1299" s="1046"/>
      <c r="P1299" s="1046"/>
    </row>
    <row r="1300" spans="1:16" x14ac:dyDescent="0.25">
      <c r="A1300" s="1054"/>
      <c r="B1300" s="1083" t="s">
        <v>3008</v>
      </c>
      <c r="C1300" s="1054">
        <v>94604</v>
      </c>
      <c r="H1300" s="1046"/>
      <c r="K1300" s="1046"/>
      <c r="P1300" s="1046"/>
    </row>
    <row r="1301" spans="1:16" x14ac:dyDescent="0.25">
      <c r="A1301" s="1054"/>
      <c r="B1301" s="1083" t="s">
        <v>3009</v>
      </c>
      <c r="C1301" s="1054">
        <v>94606</v>
      </c>
      <c r="H1301" s="1046"/>
      <c r="K1301" s="1046"/>
      <c r="P1301" s="1046"/>
    </row>
    <row r="1302" spans="1:16" x14ac:dyDescent="0.25">
      <c r="A1302" s="1054"/>
      <c r="B1302" s="1083" t="s">
        <v>4267</v>
      </c>
      <c r="C1302" s="1054">
        <v>97213</v>
      </c>
      <c r="H1302" s="1046"/>
      <c r="K1302" s="1046"/>
      <c r="P1302" s="1046"/>
    </row>
    <row r="1303" spans="1:16" x14ac:dyDescent="0.25">
      <c r="A1303" s="1054"/>
      <c r="B1303" s="1083" t="s">
        <v>4569</v>
      </c>
      <c r="C1303" s="1054">
        <v>91811</v>
      </c>
      <c r="H1303" s="1046"/>
      <c r="K1303" s="1046"/>
      <c r="P1303" s="1046"/>
    </row>
    <row r="1304" spans="1:16" x14ac:dyDescent="0.25">
      <c r="A1304" s="1054"/>
      <c r="B1304" s="1083" t="s">
        <v>4058</v>
      </c>
      <c r="C1304" s="1054">
        <v>91812</v>
      </c>
      <c r="H1304" s="1046"/>
      <c r="K1304" s="1046"/>
      <c r="P1304" s="1046"/>
    </row>
    <row r="1305" spans="1:16" x14ac:dyDescent="0.25">
      <c r="A1305" s="1054"/>
      <c r="B1305" s="1083" t="s">
        <v>2753</v>
      </c>
      <c r="C1305" s="1054">
        <v>91813</v>
      </c>
      <c r="H1305" s="1046"/>
      <c r="K1305" s="1046"/>
      <c r="P1305" s="1046"/>
    </row>
    <row r="1306" spans="1:16" x14ac:dyDescent="0.25">
      <c r="A1306" s="1054"/>
      <c r="B1306" s="1083" t="s">
        <v>2618</v>
      </c>
      <c r="C1306" s="1054">
        <v>90617</v>
      </c>
      <c r="H1306" s="1046"/>
      <c r="K1306" s="1046"/>
      <c r="P1306" s="1046"/>
    </row>
    <row r="1307" spans="1:16" x14ac:dyDescent="0.25">
      <c r="A1307" s="1054"/>
      <c r="B1307" s="1083" t="s">
        <v>4570</v>
      </c>
      <c r="C1307" s="1054">
        <v>94121</v>
      </c>
      <c r="H1307" s="1046"/>
      <c r="K1307" s="1046"/>
      <c r="P1307" s="1046"/>
    </row>
    <row r="1308" spans="1:16" x14ac:dyDescent="0.25">
      <c r="A1308" s="1054"/>
      <c r="B1308" s="1083" t="s">
        <v>4571</v>
      </c>
      <c r="C1308" s="1054">
        <v>94127</v>
      </c>
      <c r="H1308" s="1046"/>
      <c r="K1308" s="1046"/>
      <c r="P1308" s="1046"/>
    </row>
    <row r="1309" spans="1:16" x14ac:dyDescent="0.25">
      <c r="A1309" s="1054"/>
      <c r="B1309" s="1083" t="s">
        <v>4572</v>
      </c>
      <c r="C1309" s="1054">
        <v>95621</v>
      </c>
      <c r="H1309" s="1046"/>
      <c r="K1309" s="1046"/>
      <c r="P1309" s="1046"/>
    </row>
    <row r="1310" spans="1:16" x14ac:dyDescent="0.25">
      <c r="A1310" s="1054"/>
      <c r="B1310" s="1083" t="s">
        <v>3079</v>
      </c>
      <c r="C1310" s="1054">
        <v>95617</v>
      </c>
      <c r="H1310" s="1046"/>
      <c r="K1310" s="1046"/>
      <c r="P1310" s="1046"/>
    </row>
    <row r="1311" spans="1:16" x14ac:dyDescent="0.25">
      <c r="A1311" s="1054"/>
      <c r="B1311" s="1083" t="s">
        <v>4573</v>
      </c>
      <c r="C1311" s="1054">
        <v>91251</v>
      </c>
      <c r="H1311" s="1046"/>
      <c r="K1311" s="1046"/>
      <c r="P1311" s="1046"/>
    </row>
    <row r="1312" spans="1:16" x14ac:dyDescent="0.25">
      <c r="A1312" s="1054"/>
      <c r="B1312" s="1083" t="s">
        <v>4574</v>
      </c>
      <c r="C1312" s="1054">
        <v>96831</v>
      </c>
      <c r="H1312" s="1046"/>
      <c r="K1312" s="1046"/>
      <c r="P1312" s="1046"/>
    </row>
    <row r="1313" spans="1:16" x14ac:dyDescent="0.25">
      <c r="A1313" s="1054"/>
      <c r="B1313" s="1083" t="s">
        <v>4575</v>
      </c>
      <c r="C1313" s="1054">
        <v>94251</v>
      </c>
      <c r="H1313" s="1046"/>
      <c r="K1313" s="1046"/>
      <c r="P1313" s="1046"/>
    </row>
    <row r="1314" spans="1:16" x14ac:dyDescent="0.25">
      <c r="A1314" s="1054"/>
      <c r="B1314" s="1083" t="s">
        <v>3014</v>
      </c>
      <c r="C1314" s="1054">
        <v>94701</v>
      </c>
      <c r="H1314" s="1046"/>
      <c r="K1314" s="1046"/>
      <c r="P1314" s="1046"/>
    </row>
    <row r="1315" spans="1:16" x14ac:dyDescent="0.25">
      <c r="A1315" s="1054"/>
      <c r="B1315" s="1083" t="s">
        <v>3015</v>
      </c>
      <c r="C1315" s="1054">
        <v>94704</v>
      </c>
      <c r="H1315" s="1046"/>
      <c r="K1315" s="1046"/>
      <c r="P1315" s="1046"/>
    </row>
    <row r="1316" spans="1:16" x14ac:dyDescent="0.25">
      <c r="A1316" s="1054"/>
      <c r="B1316" s="1083" t="s">
        <v>4576</v>
      </c>
      <c r="C1316" s="1054">
        <v>91014</v>
      </c>
      <c r="H1316" s="1046"/>
      <c r="K1316" s="1046"/>
      <c r="P1316" s="1046"/>
    </row>
    <row r="1317" spans="1:16" x14ac:dyDescent="0.25">
      <c r="A1317" s="1054"/>
      <c r="B1317" s="1083" t="s">
        <v>4577</v>
      </c>
      <c r="C1317" s="1054">
        <v>96731</v>
      </c>
      <c r="H1317" s="1046"/>
      <c r="K1317" s="1046"/>
      <c r="P1317" s="1046"/>
    </row>
    <row r="1318" spans="1:16" x14ac:dyDescent="0.25">
      <c r="A1318" s="1054"/>
      <c r="B1318" s="1083" t="s">
        <v>3181</v>
      </c>
      <c r="C1318" s="1054">
        <v>96733</v>
      </c>
      <c r="H1318" s="1046"/>
      <c r="K1318" s="1046"/>
      <c r="P1318" s="1046"/>
    </row>
    <row r="1319" spans="1:16" x14ac:dyDescent="0.25">
      <c r="A1319" s="1054"/>
      <c r="B1319" s="1083" t="s">
        <v>4578</v>
      </c>
      <c r="C1319" s="1054">
        <v>99202</v>
      </c>
      <c r="H1319" s="1046"/>
      <c r="K1319" s="1046"/>
      <c r="P1319" s="1046"/>
    </row>
    <row r="1320" spans="1:16" x14ac:dyDescent="0.25">
      <c r="A1320" s="1054"/>
      <c r="B1320" s="1083" t="s">
        <v>4579</v>
      </c>
      <c r="C1320" s="1054">
        <v>94011</v>
      </c>
      <c r="H1320" s="1046"/>
      <c r="K1320" s="1046"/>
      <c r="P1320" s="1046"/>
    </row>
    <row r="1321" spans="1:16" x14ac:dyDescent="0.25">
      <c r="A1321" s="1054"/>
      <c r="B1321" s="1083" t="s">
        <v>4580</v>
      </c>
      <c r="C1321" s="1054">
        <v>92631</v>
      </c>
      <c r="H1321" s="1046"/>
      <c r="K1321" s="1046"/>
      <c r="P1321" s="1046"/>
    </row>
    <row r="1322" spans="1:16" x14ac:dyDescent="0.25">
      <c r="A1322" s="1054"/>
      <c r="B1322" s="1083" t="s">
        <v>3084</v>
      </c>
      <c r="C1322" s="1054">
        <v>95733</v>
      </c>
      <c r="H1322" s="1046"/>
      <c r="K1322" s="1046"/>
      <c r="P1322" s="1046"/>
    </row>
    <row r="1323" spans="1:16" x14ac:dyDescent="0.25">
      <c r="A1323" s="1054"/>
      <c r="B1323" s="1083" t="s">
        <v>4581</v>
      </c>
      <c r="C1323" s="1054">
        <v>91431</v>
      </c>
      <c r="H1323" s="1046"/>
      <c r="K1323" s="1046"/>
      <c r="P1323" s="1046"/>
    </row>
    <row r="1324" spans="1:16" x14ac:dyDescent="0.25">
      <c r="A1324" s="1054"/>
      <c r="B1324" s="1083" t="s">
        <v>4582</v>
      </c>
      <c r="C1324" s="1054">
        <v>96041</v>
      </c>
      <c r="H1324" s="1046"/>
      <c r="K1324" s="1046"/>
      <c r="P1324" s="1046"/>
    </row>
    <row r="1325" spans="1:16" x14ac:dyDescent="0.25">
      <c r="A1325" s="1054"/>
      <c r="B1325" s="1083" t="s">
        <v>3017</v>
      </c>
      <c r="C1325" s="1054">
        <v>94801</v>
      </c>
      <c r="H1325" s="1046"/>
      <c r="K1325" s="1046"/>
      <c r="P1325" s="1046"/>
    </row>
    <row r="1326" spans="1:16" x14ac:dyDescent="0.25">
      <c r="A1326" s="1054"/>
      <c r="B1326" s="1083" t="s">
        <v>3018</v>
      </c>
      <c r="C1326" s="1054">
        <v>94804</v>
      </c>
      <c r="H1326" s="1046"/>
      <c r="K1326" s="1046"/>
      <c r="P1326" s="1046"/>
    </row>
    <row r="1327" spans="1:16" x14ac:dyDescent="0.25">
      <c r="A1327" s="1054"/>
      <c r="B1327" s="1083" t="s">
        <v>4583</v>
      </c>
      <c r="C1327" s="1054">
        <v>91661</v>
      </c>
      <c r="H1327" s="1046"/>
      <c r="K1327" s="1046"/>
      <c r="P1327" s="1046"/>
    </row>
    <row r="1328" spans="1:16" x14ac:dyDescent="0.25">
      <c r="A1328" s="1054"/>
      <c r="B1328" s="1083" t="s">
        <v>4584</v>
      </c>
      <c r="C1328" s="1054">
        <v>99051</v>
      </c>
      <c r="H1328" s="1046"/>
      <c r="K1328" s="1046"/>
      <c r="P1328" s="1046"/>
    </row>
    <row r="1329" spans="1:16" x14ac:dyDescent="0.25">
      <c r="A1329" s="1054"/>
      <c r="B1329" s="1083" t="s">
        <v>3372</v>
      </c>
      <c r="C1329" s="1054">
        <v>99014</v>
      </c>
      <c r="H1329" s="1046"/>
      <c r="K1329" s="1046"/>
      <c r="P1329" s="1046"/>
    </row>
    <row r="1330" spans="1:16" x14ac:dyDescent="0.25">
      <c r="A1330" s="1054"/>
      <c r="B1330" s="1083" t="s">
        <v>3020</v>
      </c>
      <c r="C1330" s="1054">
        <v>94901</v>
      </c>
      <c r="H1330" s="1046"/>
      <c r="K1330" s="1046"/>
      <c r="P1330" s="1046"/>
    </row>
    <row r="1331" spans="1:16" x14ac:dyDescent="0.25">
      <c r="A1331" s="1054"/>
      <c r="B1331" s="1083" t="s">
        <v>3310</v>
      </c>
      <c r="C1331" s="1054">
        <v>98109</v>
      </c>
      <c r="H1331" s="1046"/>
      <c r="K1331" s="1046"/>
      <c r="P1331" s="1046"/>
    </row>
    <row r="1332" spans="1:16" x14ac:dyDescent="0.25">
      <c r="A1332" s="1054"/>
      <c r="B1332" s="1083" t="s">
        <v>4585</v>
      </c>
      <c r="C1332" s="1054">
        <v>98205</v>
      </c>
      <c r="H1332" s="1046"/>
      <c r="K1332" s="1046"/>
      <c r="P1332" s="1046"/>
    </row>
    <row r="1333" spans="1:16" x14ac:dyDescent="0.25">
      <c r="A1333" s="1054"/>
      <c r="B1333" s="1083" t="s">
        <v>4586</v>
      </c>
      <c r="C1333" s="1054">
        <v>96661</v>
      </c>
      <c r="H1333" s="1046"/>
      <c r="K1333" s="1046"/>
      <c r="P1333" s="1046"/>
    </row>
    <row r="1334" spans="1:16" x14ac:dyDescent="0.25">
      <c r="A1334" s="1054"/>
      <c r="B1334" s="1083" t="s">
        <v>3029</v>
      </c>
      <c r="C1334" s="1054">
        <v>95001</v>
      </c>
      <c r="H1334" s="1046"/>
      <c r="K1334" s="1046"/>
      <c r="P1334" s="1046"/>
    </row>
    <row r="1335" spans="1:16" x14ac:dyDescent="0.25">
      <c r="A1335" s="1054"/>
      <c r="B1335" s="1083" t="s">
        <v>3035</v>
      </c>
      <c r="C1335" s="1054">
        <v>95017</v>
      </c>
      <c r="H1335" s="1046"/>
      <c r="K1335" s="1046"/>
      <c r="P1335" s="1046"/>
    </row>
    <row r="1336" spans="1:16" x14ac:dyDescent="0.25">
      <c r="A1336" s="1054"/>
      <c r="B1336" s="1083" t="s">
        <v>4587</v>
      </c>
      <c r="C1336" s="1054">
        <v>96711</v>
      </c>
      <c r="H1336" s="1046"/>
      <c r="K1336" s="1046"/>
      <c r="P1336" s="1046"/>
    </row>
    <row r="1337" spans="1:16" x14ac:dyDescent="0.25">
      <c r="A1337" s="1054"/>
      <c r="B1337" s="1083" t="s">
        <v>4588</v>
      </c>
      <c r="C1337" s="1054">
        <v>94131</v>
      </c>
      <c r="H1337" s="1046"/>
      <c r="K1337" s="1046"/>
      <c r="P1337" s="1046"/>
    </row>
    <row r="1338" spans="1:16" x14ac:dyDescent="0.25">
      <c r="A1338" s="1054"/>
      <c r="B1338" s="1083" t="s">
        <v>4589</v>
      </c>
      <c r="C1338" s="1054">
        <v>95841</v>
      </c>
      <c r="H1338" s="1046"/>
      <c r="K1338" s="1046"/>
      <c r="P1338" s="1046"/>
    </row>
    <row r="1339" spans="1:16" x14ac:dyDescent="0.25">
      <c r="A1339" s="1054"/>
      <c r="B1339" s="1083" t="s">
        <v>4590</v>
      </c>
      <c r="C1339" s="1054">
        <v>90511</v>
      </c>
      <c r="H1339" s="1046"/>
      <c r="K1339" s="1046"/>
      <c r="P1339" s="1046"/>
    </row>
    <row r="1340" spans="1:16" x14ac:dyDescent="0.25">
      <c r="A1340" s="1054"/>
      <c r="B1340" s="1083" t="s">
        <v>3036</v>
      </c>
      <c r="C1340" s="1054">
        <v>95101</v>
      </c>
      <c r="H1340" s="1046"/>
      <c r="K1340" s="1046"/>
      <c r="P1340" s="1046"/>
    </row>
    <row r="1341" spans="1:16" x14ac:dyDescent="0.25">
      <c r="A1341" s="1054"/>
      <c r="B1341" s="1083" t="s">
        <v>3038</v>
      </c>
      <c r="C1341" s="1054">
        <v>95104</v>
      </c>
      <c r="H1341" s="1046"/>
      <c r="K1341" s="1046"/>
      <c r="P1341" s="1046"/>
    </row>
    <row r="1342" spans="1:16" x14ac:dyDescent="0.25">
      <c r="A1342" s="1054"/>
      <c r="B1342" s="1083" t="s">
        <v>3041</v>
      </c>
      <c r="C1342" s="1054">
        <v>95110</v>
      </c>
      <c r="H1342" s="1046"/>
      <c r="K1342" s="1046"/>
      <c r="P1342" s="1046"/>
    </row>
    <row r="1343" spans="1:16" x14ac:dyDescent="0.25">
      <c r="A1343" s="1054"/>
      <c r="B1343" s="1083" t="s">
        <v>3054</v>
      </c>
      <c r="C1343" s="1054">
        <v>95201</v>
      </c>
      <c r="H1343" s="1046"/>
      <c r="K1343" s="1046"/>
      <c r="P1343" s="1046"/>
    </row>
    <row r="1344" spans="1:16" x14ac:dyDescent="0.25">
      <c r="A1344" s="1054"/>
      <c r="B1344" s="1083" t="s">
        <v>3055</v>
      </c>
      <c r="C1344" s="1054">
        <v>95204</v>
      </c>
      <c r="H1344" s="1046"/>
      <c r="K1344" s="1046"/>
      <c r="P1344" s="1046"/>
    </row>
    <row r="1345" spans="1:16" x14ac:dyDescent="0.25">
      <c r="A1345" s="1054"/>
      <c r="B1345" s="1083" t="s">
        <v>4591</v>
      </c>
      <c r="C1345" s="1061">
        <v>99921</v>
      </c>
      <c r="H1345" s="1046"/>
      <c r="K1345" s="1046"/>
      <c r="P1345" s="1046"/>
    </row>
    <row r="1346" spans="1:16" x14ac:dyDescent="0.25">
      <c r="A1346" s="1054"/>
      <c r="B1346" s="1083" t="s">
        <v>2988</v>
      </c>
      <c r="C1346" s="1054">
        <v>94408</v>
      </c>
      <c r="H1346" s="1046"/>
      <c r="K1346" s="1046"/>
      <c r="P1346" s="1046"/>
    </row>
    <row r="1347" spans="1:16" x14ac:dyDescent="0.25">
      <c r="A1347" s="1054"/>
      <c r="B1347" s="1083" t="s">
        <v>4592</v>
      </c>
      <c r="C1347" s="1054">
        <v>91331</v>
      </c>
      <c r="H1347" s="1046"/>
      <c r="K1347" s="1046"/>
      <c r="P1347" s="1046"/>
    </row>
    <row r="1348" spans="1:16" x14ac:dyDescent="0.25">
      <c r="A1348" s="1054"/>
      <c r="B1348" s="1083" t="s">
        <v>4593</v>
      </c>
      <c r="C1348" s="1054">
        <v>93121</v>
      </c>
      <c r="H1348" s="1046"/>
      <c r="K1348" s="1046"/>
      <c r="P1348" s="1046"/>
    </row>
    <row r="1349" spans="1:16" x14ac:dyDescent="0.25">
      <c r="A1349" s="1054"/>
      <c r="B1349" s="1083" t="s">
        <v>2859</v>
      </c>
      <c r="C1349" s="1054">
        <v>93127</v>
      </c>
      <c r="H1349" s="1046"/>
      <c r="K1349" s="1046"/>
      <c r="P1349" s="1046"/>
    </row>
    <row r="1350" spans="1:16" x14ac:dyDescent="0.25">
      <c r="A1350" s="1054"/>
      <c r="B1350" s="1083" t="s">
        <v>4594</v>
      </c>
      <c r="C1350" s="1054">
        <v>95171</v>
      </c>
      <c r="H1350" s="1046"/>
      <c r="K1350" s="1046"/>
      <c r="P1350" s="1046"/>
    </row>
    <row r="1351" spans="1:16" x14ac:dyDescent="0.25">
      <c r="A1351" s="1054"/>
      <c r="B1351" s="1083" t="s">
        <v>4595</v>
      </c>
      <c r="C1351" s="1054">
        <v>93421</v>
      </c>
      <c r="H1351" s="1046"/>
      <c r="K1351" s="1046"/>
      <c r="P1351" s="1046"/>
    </row>
    <row r="1352" spans="1:16" x14ac:dyDescent="0.25">
      <c r="A1352" s="1054"/>
      <c r="B1352" s="1083" t="s">
        <v>3386</v>
      </c>
      <c r="C1352" s="1054">
        <v>99110</v>
      </c>
      <c r="H1352" s="1046"/>
      <c r="K1352" s="1046"/>
      <c r="P1352" s="1046"/>
    </row>
    <row r="1353" spans="1:16" x14ac:dyDescent="0.25">
      <c r="A1353" s="1054"/>
      <c r="B1353" s="1083" t="s">
        <v>4596</v>
      </c>
      <c r="C1353" s="1054">
        <v>99109</v>
      </c>
      <c r="H1353" s="1046"/>
      <c r="K1353" s="1046"/>
      <c r="P1353" s="1046"/>
    </row>
    <row r="1354" spans="1:16" x14ac:dyDescent="0.25">
      <c r="A1354" s="1054"/>
      <c r="B1354" s="1083" t="s">
        <v>4597</v>
      </c>
      <c r="C1354" s="1054">
        <v>92821</v>
      </c>
      <c r="H1354" s="1046"/>
      <c r="K1354" s="1046"/>
      <c r="P1354" s="1046"/>
    </row>
    <row r="1355" spans="1:16" x14ac:dyDescent="0.25">
      <c r="A1355" s="1054"/>
      <c r="B1355" s="1083" t="s">
        <v>4598</v>
      </c>
      <c r="C1355" s="1054">
        <v>98521</v>
      </c>
      <c r="H1355" s="1046"/>
      <c r="K1355" s="1046"/>
      <c r="P1355" s="1046"/>
    </row>
    <row r="1356" spans="1:16" x14ac:dyDescent="0.25">
      <c r="A1356" s="1054"/>
      <c r="B1356" s="1083" t="s">
        <v>4599</v>
      </c>
      <c r="C1356" s="1054">
        <v>92321</v>
      </c>
      <c r="H1356" s="1046"/>
      <c r="K1356" s="1046"/>
      <c r="P1356" s="1046"/>
    </row>
    <row r="1357" spans="1:16" x14ac:dyDescent="0.25">
      <c r="A1357" s="1054"/>
      <c r="B1357" s="1083" t="s">
        <v>2786</v>
      </c>
      <c r="C1357" s="1054">
        <v>92327</v>
      </c>
      <c r="H1357" s="1046"/>
      <c r="K1357" s="1046"/>
      <c r="P1357" s="1046"/>
    </row>
    <row r="1358" spans="1:16" x14ac:dyDescent="0.25">
      <c r="A1358" s="1054"/>
      <c r="B1358" s="1083" t="s">
        <v>4600</v>
      </c>
      <c r="C1358" s="1054">
        <v>95411</v>
      </c>
      <c r="H1358" s="1046"/>
      <c r="K1358" s="1046"/>
      <c r="P1358" s="1046"/>
    </row>
    <row r="1359" spans="1:16" x14ac:dyDescent="0.25">
      <c r="A1359" s="1054"/>
      <c r="B1359" s="1083" t="s">
        <v>4601</v>
      </c>
      <c r="C1359" s="1054">
        <v>95413</v>
      </c>
      <c r="H1359" s="1046"/>
      <c r="K1359" s="1046"/>
      <c r="P1359" s="1046"/>
    </row>
    <row r="1360" spans="1:16" x14ac:dyDescent="0.25">
      <c r="A1360" s="1054"/>
      <c r="B1360" s="1083" t="s">
        <v>4602</v>
      </c>
      <c r="C1360" s="1054">
        <v>95415</v>
      </c>
      <c r="H1360" s="1046"/>
      <c r="K1360" s="1046"/>
      <c r="P1360" s="1046"/>
    </row>
    <row r="1361" spans="1:16" x14ac:dyDescent="0.25">
      <c r="A1361" s="1054"/>
      <c r="B1361" s="1083" t="s">
        <v>4603</v>
      </c>
      <c r="C1361" s="1054">
        <v>92851</v>
      </c>
      <c r="H1361" s="1046"/>
      <c r="K1361" s="1046"/>
      <c r="P1361" s="1046"/>
    </row>
    <row r="1362" spans="1:16" x14ac:dyDescent="0.25">
      <c r="A1362" s="1054"/>
      <c r="B1362" s="1083" t="s">
        <v>4604</v>
      </c>
      <c r="C1362" s="1054">
        <v>99291</v>
      </c>
      <c r="H1362" s="1046"/>
      <c r="K1362" s="1046"/>
      <c r="P1362" s="1046"/>
    </row>
    <row r="1363" spans="1:16" x14ac:dyDescent="0.25">
      <c r="A1363" s="1054"/>
      <c r="B1363" s="1083" t="s">
        <v>4605</v>
      </c>
      <c r="C1363" s="1054">
        <v>96541</v>
      </c>
      <c r="H1363" s="1046"/>
      <c r="K1363" s="1046"/>
      <c r="P1363" s="1046"/>
    </row>
    <row r="1364" spans="1:16" x14ac:dyDescent="0.25">
      <c r="A1364" s="1054"/>
      <c r="B1364" s="1083" t="s">
        <v>4606</v>
      </c>
      <c r="C1364" s="1054">
        <v>95431</v>
      </c>
      <c r="H1364" s="1046"/>
      <c r="K1364" s="1046"/>
      <c r="P1364" s="1046"/>
    </row>
    <row r="1365" spans="1:16" x14ac:dyDescent="0.25">
      <c r="A1365" s="1054"/>
      <c r="B1365" s="1083" t="s">
        <v>4607</v>
      </c>
      <c r="C1365" s="1054">
        <v>98131</v>
      </c>
      <c r="H1365" s="1046"/>
      <c r="K1365" s="1046"/>
      <c r="P1365" s="1046"/>
    </row>
    <row r="1366" spans="1:16" x14ac:dyDescent="0.25">
      <c r="A1366" s="1054"/>
      <c r="B1366" s="1083" t="s">
        <v>4608</v>
      </c>
      <c r="C1366" s="1054">
        <v>92461</v>
      </c>
      <c r="H1366" s="1046"/>
      <c r="K1366" s="1046"/>
      <c r="P1366" s="1046"/>
    </row>
    <row r="1367" spans="1:16" x14ac:dyDescent="0.25">
      <c r="A1367" s="1054"/>
      <c r="B1367" s="1083" t="s">
        <v>2795</v>
      </c>
      <c r="C1367" s="1054">
        <v>92427</v>
      </c>
      <c r="H1367" s="1046"/>
      <c r="K1367" s="1046"/>
      <c r="P1367" s="1046"/>
    </row>
    <row r="1368" spans="1:16" x14ac:dyDescent="0.25">
      <c r="A1368" s="1054"/>
      <c r="B1368" s="1083" t="s">
        <v>4609</v>
      </c>
      <c r="C1368" s="1054">
        <v>98051</v>
      </c>
      <c r="H1368" s="1046"/>
      <c r="K1368" s="1046"/>
      <c r="P1368" s="1046"/>
    </row>
    <row r="1369" spans="1:16" x14ac:dyDescent="0.25">
      <c r="A1369" s="1054"/>
      <c r="B1369" s="1083" t="s">
        <v>2678</v>
      </c>
      <c r="C1369" s="1054">
        <v>91102</v>
      </c>
      <c r="H1369" s="1046"/>
      <c r="K1369" s="1046"/>
      <c r="P1369" s="1046"/>
    </row>
    <row r="1370" spans="1:16" x14ac:dyDescent="0.25">
      <c r="A1370" s="1054"/>
      <c r="B1370" s="1083" t="s">
        <v>4610</v>
      </c>
      <c r="C1370" s="1054">
        <v>94521</v>
      </c>
      <c r="H1370" s="1046"/>
      <c r="K1370" s="1046"/>
      <c r="P1370" s="1046"/>
    </row>
    <row r="1371" spans="1:16" x14ac:dyDescent="0.25">
      <c r="A1371" s="1054"/>
      <c r="B1371" s="1083" t="s">
        <v>3001</v>
      </c>
      <c r="C1371" s="1054">
        <v>94527</v>
      </c>
      <c r="H1371" s="1046"/>
      <c r="K1371" s="1046"/>
      <c r="P1371" s="1046"/>
    </row>
    <row r="1372" spans="1:16" x14ac:dyDescent="0.25">
      <c r="A1372" s="1054"/>
      <c r="B1372" s="1083" t="s">
        <v>4611</v>
      </c>
      <c r="C1372" s="1054">
        <v>98311</v>
      </c>
      <c r="H1372" s="1046"/>
      <c r="K1372" s="1046"/>
      <c r="P1372" s="1046"/>
    </row>
    <row r="1373" spans="1:16" x14ac:dyDescent="0.25">
      <c r="A1373" s="1054"/>
      <c r="B1373" s="1083" t="s">
        <v>3333</v>
      </c>
      <c r="C1373" s="1054">
        <v>98313</v>
      </c>
      <c r="H1373" s="1046"/>
      <c r="K1373" s="1046"/>
      <c r="P1373" s="1046"/>
    </row>
    <row r="1374" spans="1:16" x14ac:dyDescent="0.25">
      <c r="A1374" s="1054"/>
      <c r="B1374" s="1083" t="s">
        <v>3331</v>
      </c>
      <c r="C1374" s="1054">
        <v>98308</v>
      </c>
      <c r="H1374" s="1046"/>
      <c r="K1374" s="1046"/>
      <c r="P1374" s="1046"/>
    </row>
    <row r="1375" spans="1:16" x14ac:dyDescent="0.25">
      <c r="A1375" s="1054"/>
      <c r="B1375" s="1083" t="s">
        <v>4612</v>
      </c>
      <c r="C1375" s="1054">
        <v>92341</v>
      </c>
      <c r="H1375" s="1046"/>
      <c r="K1375" s="1046"/>
      <c r="P1375" s="1046"/>
    </row>
    <row r="1376" spans="1:16" x14ac:dyDescent="0.25">
      <c r="A1376" s="1054"/>
      <c r="B1376" s="1083" t="s">
        <v>3059</v>
      </c>
      <c r="C1376" s="1054">
        <v>95301</v>
      </c>
      <c r="H1376" s="1046"/>
      <c r="K1376" s="1046"/>
      <c r="P1376" s="1046"/>
    </row>
    <row r="1377" spans="1:16" x14ac:dyDescent="0.25">
      <c r="A1377" s="1054"/>
      <c r="B1377" s="1083" t="s">
        <v>4613</v>
      </c>
      <c r="C1377" s="1054">
        <v>91002</v>
      </c>
      <c r="H1377" s="1046"/>
      <c r="K1377" s="1046"/>
      <c r="P1377" s="1046"/>
    </row>
    <row r="1378" spans="1:16" x14ac:dyDescent="0.25">
      <c r="A1378" s="1054"/>
      <c r="B1378" s="1083" t="s">
        <v>4614</v>
      </c>
      <c r="C1378" s="1054">
        <v>91451</v>
      </c>
      <c r="H1378" s="1046"/>
      <c r="K1378" s="1046"/>
      <c r="P1378" s="1046"/>
    </row>
    <row r="1379" spans="1:16" x14ac:dyDescent="0.25">
      <c r="A1379" s="1054"/>
      <c r="B1379" s="1083" t="s">
        <v>4615</v>
      </c>
      <c r="C1379" s="1054">
        <v>91457</v>
      </c>
      <c r="H1379" s="1046"/>
      <c r="K1379" s="1046"/>
      <c r="P1379" s="1046"/>
    </row>
    <row r="1380" spans="1:16" x14ac:dyDescent="0.25">
      <c r="A1380" s="1054"/>
      <c r="B1380" s="1083" t="s">
        <v>3063</v>
      </c>
      <c r="C1380" s="1054">
        <v>95401</v>
      </c>
      <c r="H1380" s="1046"/>
      <c r="K1380" s="1046"/>
      <c r="P1380" s="1046"/>
    </row>
    <row r="1381" spans="1:16" x14ac:dyDescent="0.25">
      <c r="A1381" s="1054"/>
      <c r="B1381" s="1083" t="s">
        <v>3064</v>
      </c>
      <c r="C1381" s="1054">
        <v>95404</v>
      </c>
      <c r="H1381" s="1046"/>
      <c r="K1381" s="1046"/>
      <c r="P1381" s="1046"/>
    </row>
    <row r="1382" spans="1:16" x14ac:dyDescent="0.25">
      <c r="A1382" s="1054"/>
      <c r="B1382" s="1083" t="s">
        <v>2724</v>
      </c>
      <c r="C1382" s="1054">
        <v>91423</v>
      </c>
      <c r="H1382" s="1046"/>
      <c r="K1382" s="1046"/>
      <c r="P1382" s="1046"/>
    </row>
    <row r="1383" spans="1:16" x14ac:dyDescent="0.25">
      <c r="A1383" s="1054"/>
      <c r="B1383" s="1083" t="s">
        <v>4616</v>
      </c>
      <c r="C1383" s="1054">
        <v>90861</v>
      </c>
      <c r="H1383" s="1046"/>
      <c r="K1383" s="1046"/>
      <c r="P1383" s="1046"/>
    </row>
    <row r="1384" spans="1:16" x14ac:dyDescent="0.25">
      <c r="A1384" s="1054"/>
      <c r="B1384" s="1083" t="s">
        <v>4617</v>
      </c>
      <c r="C1384" s="1054">
        <v>93451</v>
      </c>
      <c r="H1384" s="1046"/>
      <c r="K1384" s="1046"/>
      <c r="P1384" s="1046"/>
    </row>
    <row r="1385" spans="1:16" x14ac:dyDescent="0.25">
      <c r="A1385" s="1054"/>
      <c r="B1385" s="1083" t="s">
        <v>4618</v>
      </c>
      <c r="C1385" s="1054">
        <v>92931</v>
      </c>
      <c r="H1385" s="1046"/>
      <c r="K1385" s="1046"/>
      <c r="P1385" s="1046"/>
    </row>
    <row r="1386" spans="1:16" x14ac:dyDescent="0.25">
      <c r="A1386" s="1054"/>
      <c r="B1386" s="1083" t="s">
        <v>2846</v>
      </c>
      <c r="C1386" s="1054">
        <v>92917</v>
      </c>
      <c r="H1386" s="1046"/>
      <c r="K1386" s="1046"/>
      <c r="P1386" s="1046"/>
    </row>
    <row r="1387" spans="1:16" x14ac:dyDescent="0.25">
      <c r="A1387" s="1054"/>
      <c r="B1387" s="1083" t="s">
        <v>4619</v>
      </c>
      <c r="C1387" s="1054">
        <v>97631</v>
      </c>
      <c r="H1387" s="1046"/>
      <c r="K1387" s="1046"/>
      <c r="P1387" s="1046"/>
    </row>
    <row r="1388" spans="1:16" x14ac:dyDescent="0.25">
      <c r="A1388" s="1054"/>
      <c r="B1388" s="1083" t="s">
        <v>3248</v>
      </c>
      <c r="C1388" s="1054">
        <v>97637</v>
      </c>
      <c r="H1388" s="1046"/>
      <c r="K1388" s="1046"/>
      <c r="P1388" s="1046"/>
    </row>
    <row r="1389" spans="1:16" x14ac:dyDescent="0.25">
      <c r="A1389" s="1054"/>
      <c r="B1389" s="1083" t="s">
        <v>4620</v>
      </c>
      <c r="C1389" s="1054">
        <v>90421</v>
      </c>
      <c r="H1389" s="1046"/>
      <c r="K1389" s="1046"/>
      <c r="P1389" s="1046"/>
    </row>
    <row r="1390" spans="1:16" x14ac:dyDescent="0.25">
      <c r="A1390" s="1054"/>
      <c r="B1390" s="1083" t="s">
        <v>4621</v>
      </c>
      <c r="C1390" s="1054">
        <v>94321</v>
      </c>
      <c r="H1390" s="1046"/>
      <c r="K1390" s="1046"/>
      <c r="P1390" s="1046"/>
    </row>
    <row r="1391" spans="1:16" x14ac:dyDescent="0.25">
      <c r="A1391" s="1054"/>
      <c r="B1391" s="1083" t="s">
        <v>3072</v>
      </c>
      <c r="C1391" s="1054">
        <v>95501</v>
      </c>
      <c r="H1391" s="1046"/>
      <c r="K1391" s="1046"/>
      <c r="P1391" s="1046"/>
    </row>
    <row r="1392" spans="1:16" x14ac:dyDescent="0.25">
      <c r="A1392" s="1054"/>
      <c r="B1392" s="1083" t="s">
        <v>3073</v>
      </c>
      <c r="C1392" s="1054">
        <v>95504</v>
      </c>
      <c r="H1392" s="1046"/>
      <c r="K1392" s="1046"/>
      <c r="P1392" s="1046"/>
    </row>
    <row r="1393" spans="1:16" x14ac:dyDescent="0.25">
      <c r="A1393" s="1054"/>
      <c r="B1393" s="1083" t="s">
        <v>4622</v>
      </c>
      <c r="C1393" s="1054">
        <v>95511</v>
      </c>
      <c r="H1393" s="1046"/>
      <c r="K1393" s="1046"/>
      <c r="P1393" s="1046"/>
    </row>
    <row r="1394" spans="1:16" x14ac:dyDescent="0.25">
      <c r="A1394" s="1054"/>
      <c r="B1394" s="1083" t="s">
        <v>4623</v>
      </c>
      <c r="C1394" s="1054">
        <v>95517</v>
      </c>
      <c r="H1394" s="1046"/>
      <c r="K1394" s="1046"/>
      <c r="P1394" s="1046"/>
    </row>
    <row r="1395" spans="1:16" x14ac:dyDescent="0.25">
      <c r="A1395" s="1054"/>
      <c r="B1395" s="1083" t="s">
        <v>3075</v>
      </c>
      <c r="C1395" s="1054">
        <v>95513</v>
      </c>
      <c r="H1395" s="1046"/>
      <c r="K1395" s="1046"/>
      <c r="P1395" s="1046"/>
    </row>
    <row r="1396" spans="1:16" x14ac:dyDescent="0.25">
      <c r="A1396" s="1054"/>
      <c r="B1396" s="1083" t="s">
        <v>4624</v>
      </c>
      <c r="C1396" s="1054">
        <v>92651</v>
      </c>
      <c r="H1396" s="1046"/>
      <c r="K1396" s="1046"/>
      <c r="P1396" s="1046"/>
    </row>
    <row r="1397" spans="1:16" x14ac:dyDescent="0.25">
      <c r="A1397" s="1054"/>
      <c r="B1397" s="1083" t="s">
        <v>4625</v>
      </c>
      <c r="C1397" s="1054">
        <v>94261</v>
      </c>
      <c r="H1397" s="1046"/>
      <c r="K1397" s="1046"/>
      <c r="P1397" s="1046"/>
    </row>
    <row r="1398" spans="1:16" x14ac:dyDescent="0.25">
      <c r="A1398" s="1054"/>
      <c r="B1398" s="1083" t="s">
        <v>4626</v>
      </c>
      <c r="C1398" s="1054">
        <v>98431</v>
      </c>
      <c r="H1398" s="1046"/>
      <c r="K1398" s="1046"/>
      <c r="P1398" s="1046"/>
    </row>
    <row r="1399" spans="1:16" x14ac:dyDescent="0.25">
      <c r="A1399" s="1054"/>
      <c r="B1399" s="1083" t="s">
        <v>3591</v>
      </c>
      <c r="C1399" s="1054">
        <v>98404</v>
      </c>
      <c r="H1399" s="1046"/>
      <c r="K1399" s="1046"/>
      <c r="P1399" s="1046"/>
    </row>
    <row r="1400" spans="1:16" x14ac:dyDescent="0.25">
      <c r="A1400" s="1054"/>
      <c r="B1400" s="1083" t="s">
        <v>4627</v>
      </c>
      <c r="C1400" s="1054">
        <v>91841</v>
      </c>
      <c r="H1400" s="1046"/>
      <c r="K1400" s="1046"/>
      <c r="P1400" s="1046"/>
    </row>
    <row r="1401" spans="1:16" x14ac:dyDescent="0.25">
      <c r="A1401" s="1054"/>
      <c r="B1401" s="1083" t="s">
        <v>4628</v>
      </c>
      <c r="C1401" s="1054">
        <v>93521</v>
      </c>
      <c r="H1401" s="1046"/>
      <c r="K1401" s="1046"/>
      <c r="P1401" s="1046"/>
    </row>
    <row r="1402" spans="1:16" x14ac:dyDescent="0.25">
      <c r="A1402" s="1054"/>
      <c r="B1402" s="1083" t="s">
        <v>2906</v>
      </c>
      <c r="C1402" s="1054">
        <v>93527</v>
      </c>
      <c r="H1402" s="1046"/>
      <c r="K1402" s="1046"/>
      <c r="P1402" s="1046"/>
    </row>
    <row r="1403" spans="1:16" x14ac:dyDescent="0.25">
      <c r="A1403" s="1054"/>
      <c r="B1403" s="1083" t="s">
        <v>4629</v>
      </c>
      <c r="C1403" s="1054">
        <v>93661</v>
      </c>
      <c r="H1403" s="1046"/>
      <c r="K1403" s="1046"/>
      <c r="P1403" s="1046"/>
    </row>
    <row r="1404" spans="1:16" x14ac:dyDescent="0.25">
      <c r="A1404" s="1054"/>
      <c r="B1404" s="1083" t="s">
        <v>4240</v>
      </c>
      <c r="C1404" s="1054">
        <v>96508</v>
      </c>
      <c r="H1404" s="1046"/>
      <c r="K1404" s="1046"/>
      <c r="P1404" s="1046"/>
    </row>
    <row r="1405" spans="1:16" x14ac:dyDescent="0.25">
      <c r="A1405" s="1054"/>
      <c r="B1405" s="1083" t="s">
        <v>4630</v>
      </c>
      <c r="C1405" s="1061">
        <v>99841</v>
      </c>
      <c r="H1405" s="1046"/>
      <c r="K1405" s="1046"/>
      <c r="P1405" s="1046"/>
    </row>
    <row r="1406" spans="1:16" x14ac:dyDescent="0.25">
      <c r="A1406" s="1054"/>
      <c r="B1406" s="1083" t="s">
        <v>3261</v>
      </c>
      <c r="C1406" s="1054">
        <v>97802</v>
      </c>
      <c r="H1406" s="1046"/>
      <c r="K1406" s="1046"/>
      <c r="P1406" s="1046"/>
    </row>
    <row r="1407" spans="1:16" x14ac:dyDescent="0.25">
      <c r="A1407" s="1054"/>
      <c r="B1407" s="1083" t="s">
        <v>4631</v>
      </c>
      <c r="C1407" s="1054">
        <v>97811</v>
      </c>
      <c r="H1407" s="1046"/>
      <c r="K1407" s="1046"/>
      <c r="P1407" s="1046"/>
    </row>
    <row r="1408" spans="1:16" x14ac:dyDescent="0.25">
      <c r="A1408" s="1054"/>
      <c r="B1408" s="1083" t="s">
        <v>3265</v>
      </c>
      <c r="C1408" s="1054">
        <v>97817</v>
      </c>
      <c r="H1408" s="1046"/>
      <c r="K1408" s="1046"/>
      <c r="P1408" s="1046"/>
    </row>
    <row r="1409" spans="1:16" x14ac:dyDescent="0.25">
      <c r="A1409" s="1054"/>
      <c r="B1409" s="1083" t="s">
        <v>4632</v>
      </c>
      <c r="C1409" s="1054">
        <v>97818</v>
      </c>
      <c r="H1409" s="1046"/>
      <c r="K1409" s="1046"/>
      <c r="P1409" s="1046"/>
    </row>
    <row r="1410" spans="1:16" x14ac:dyDescent="0.25">
      <c r="A1410" s="1054"/>
      <c r="B1410" s="1083" t="s">
        <v>4633</v>
      </c>
      <c r="C1410" s="1054">
        <v>93341</v>
      </c>
      <c r="H1410" s="1046"/>
      <c r="K1410" s="1046"/>
      <c r="P1410" s="1046"/>
    </row>
    <row r="1411" spans="1:16" x14ac:dyDescent="0.25">
      <c r="A1411" s="1054"/>
      <c r="B1411" s="1083" t="s">
        <v>3077</v>
      </c>
      <c r="C1411" s="1054">
        <v>95601</v>
      </c>
      <c r="H1411" s="1046"/>
      <c r="K1411" s="1046"/>
      <c r="P1411" s="1046"/>
    </row>
    <row r="1412" spans="1:16" x14ac:dyDescent="0.25">
      <c r="A1412" s="1054"/>
      <c r="B1412" s="1083" t="s">
        <v>4634</v>
      </c>
      <c r="C1412" s="1054">
        <v>97941</v>
      </c>
      <c r="H1412" s="1046"/>
      <c r="K1412" s="1046"/>
      <c r="P1412" s="1046"/>
    </row>
    <row r="1413" spans="1:16" x14ac:dyDescent="0.25">
      <c r="A1413" s="1054"/>
      <c r="B1413" s="1083" t="s">
        <v>3286</v>
      </c>
      <c r="C1413" s="1054">
        <v>97947</v>
      </c>
      <c r="H1413" s="1046"/>
      <c r="K1413" s="1046"/>
      <c r="P1413" s="1046"/>
    </row>
    <row r="1414" spans="1:16" x14ac:dyDescent="0.25">
      <c r="A1414" s="1054"/>
      <c r="B1414" s="1083" t="s">
        <v>3081</v>
      </c>
      <c r="C1414" s="1054">
        <v>95701</v>
      </c>
      <c r="H1414" s="1046"/>
      <c r="K1414" s="1046"/>
      <c r="P1414" s="1046"/>
    </row>
    <row r="1415" spans="1:16" x14ac:dyDescent="0.25">
      <c r="A1415" s="1054"/>
      <c r="B1415" s="1083" t="s">
        <v>3287</v>
      </c>
      <c r="C1415" s="1054">
        <v>97948</v>
      </c>
      <c r="H1415" s="1046"/>
      <c r="K1415" s="1046"/>
      <c r="P1415" s="1046"/>
    </row>
    <row r="1416" spans="1:16" x14ac:dyDescent="0.25">
      <c r="A1416" s="1054"/>
      <c r="B1416" s="1083" t="s">
        <v>4635</v>
      </c>
      <c r="C1416" s="1054">
        <v>94421</v>
      </c>
      <c r="H1416" s="1046"/>
      <c r="K1416" s="1046"/>
      <c r="P1416" s="1046"/>
    </row>
    <row r="1417" spans="1:16" x14ac:dyDescent="0.25">
      <c r="A1417" s="1054"/>
      <c r="B1417" s="1083" t="s">
        <v>2992</v>
      </c>
      <c r="C1417" s="1054">
        <v>94427</v>
      </c>
      <c r="H1417" s="1046"/>
      <c r="K1417" s="1046"/>
      <c r="P1417" s="1046"/>
    </row>
    <row r="1418" spans="1:16" x14ac:dyDescent="0.25">
      <c r="A1418" s="1054"/>
      <c r="B1418" s="1083" t="s">
        <v>4636</v>
      </c>
      <c r="C1418" s="1054">
        <v>94428</v>
      </c>
      <c r="H1418" s="1046"/>
      <c r="K1418" s="1046"/>
      <c r="P1418" s="1046"/>
    </row>
    <row r="1419" spans="1:16" x14ac:dyDescent="0.25">
      <c r="A1419" s="1054"/>
      <c r="B1419" s="1083" t="s">
        <v>4637</v>
      </c>
      <c r="C1419" s="1054">
        <v>93191</v>
      </c>
      <c r="H1419" s="1046"/>
      <c r="K1419" s="1046"/>
      <c r="P1419" s="1046"/>
    </row>
    <row r="1420" spans="1:16" x14ac:dyDescent="0.25">
      <c r="A1420" s="1054"/>
      <c r="B1420" s="1083" t="s">
        <v>4638</v>
      </c>
      <c r="C1420" s="1054">
        <v>91831</v>
      </c>
      <c r="H1420" s="1046"/>
      <c r="K1420" s="1046"/>
      <c r="P1420" s="1046"/>
    </row>
    <row r="1421" spans="1:16" x14ac:dyDescent="0.25">
      <c r="A1421" s="1054"/>
      <c r="B1421" s="1083" t="s">
        <v>4639</v>
      </c>
      <c r="C1421" s="1054">
        <v>92831</v>
      </c>
      <c r="H1421" s="1046"/>
      <c r="K1421" s="1046"/>
      <c r="P1421" s="1046"/>
    </row>
    <row r="1422" spans="1:16" x14ac:dyDescent="0.25">
      <c r="A1422" s="1054"/>
      <c r="B1422" s="1083" t="s">
        <v>4640</v>
      </c>
      <c r="C1422" s="1054">
        <v>95911</v>
      </c>
      <c r="H1422" s="1046"/>
      <c r="K1422" s="1046"/>
      <c r="P1422" s="1046"/>
    </row>
    <row r="1423" spans="1:16" x14ac:dyDescent="0.25">
      <c r="A1423" s="1054"/>
      <c r="B1423" s="1083" t="s">
        <v>3098</v>
      </c>
      <c r="C1423" s="1054">
        <v>95917</v>
      </c>
      <c r="H1423" s="1046"/>
      <c r="K1423" s="1046"/>
      <c r="P1423" s="1046"/>
    </row>
    <row r="1424" spans="1:16" x14ac:dyDescent="0.25">
      <c r="A1424" s="1054"/>
      <c r="B1424" s="1083" t="s">
        <v>4641</v>
      </c>
      <c r="C1424" s="1054">
        <v>95711</v>
      </c>
      <c r="H1424" s="1046"/>
      <c r="K1424" s="1046"/>
      <c r="P1424" s="1046"/>
    </row>
    <row r="1425" spans="1:16" x14ac:dyDescent="0.25">
      <c r="A1425" s="1054"/>
      <c r="B1425" s="1083" t="s">
        <v>4642</v>
      </c>
      <c r="C1425" s="1054">
        <v>95721</v>
      </c>
      <c r="H1425" s="1046"/>
      <c r="K1425" s="1046"/>
      <c r="P1425" s="1046"/>
    </row>
    <row r="1426" spans="1:16" x14ac:dyDescent="0.25">
      <c r="A1426" s="1054"/>
      <c r="B1426" s="1083" t="s">
        <v>4643</v>
      </c>
      <c r="C1426" s="1054">
        <v>99021</v>
      </c>
      <c r="H1426" s="1046"/>
      <c r="K1426" s="1046"/>
      <c r="P1426" s="1046"/>
    </row>
    <row r="1427" spans="1:16" x14ac:dyDescent="0.25">
      <c r="A1427" s="1054"/>
      <c r="B1427" s="1083" t="s">
        <v>4201</v>
      </c>
      <c r="C1427" s="1054">
        <v>95802</v>
      </c>
      <c r="H1427" s="1046"/>
      <c r="K1427" s="1046"/>
      <c r="P1427" s="1046"/>
    </row>
    <row r="1428" spans="1:16" x14ac:dyDescent="0.25">
      <c r="A1428" s="1054"/>
      <c r="B1428" s="1083" t="s">
        <v>3085</v>
      </c>
      <c r="C1428" s="1054">
        <v>95801</v>
      </c>
      <c r="H1428" s="1046"/>
      <c r="K1428" s="1046"/>
      <c r="P1428" s="1046"/>
    </row>
    <row r="1429" spans="1:16" x14ac:dyDescent="0.25">
      <c r="A1429" s="1054"/>
      <c r="B1429" s="1083" t="s">
        <v>3087</v>
      </c>
      <c r="C1429" s="1054">
        <v>95804</v>
      </c>
      <c r="H1429" s="1046"/>
      <c r="K1429" s="1046"/>
      <c r="P1429" s="1046"/>
    </row>
    <row r="1430" spans="1:16" x14ac:dyDescent="0.25">
      <c r="A1430" s="1054"/>
      <c r="B1430" s="1083" t="s">
        <v>4644</v>
      </c>
      <c r="C1430" s="1054">
        <v>90092</v>
      </c>
      <c r="H1430" s="1046"/>
      <c r="K1430" s="1046"/>
      <c r="P1430" s="1046"/>
    </row>
    <row r="1431" spans="1:16" x14ac:dyDescent="0.25">
      <c r="A1431" s="1054"/>
      <c r="B1431" s="1083" t="s">
        <v>4645</v>
      </c>
      <c r="C1431" s="1054">
        <v>99081</v>
      </c>
      <c r="H1431" s="1046"/>
      <c r="K1431" s="1046"/>
      <c r="P1431" s="1046"/>
    </row>
    <row r="1432" spans="1:16" x14ac:dyDescent="0.25">
      <c r="A1432" s="1054"/>
      <c r="B1432" s="1083" t="s">
        <v>4646</v>
      </c>
      <c r="C1432" s="1054">
        <v>96071</v>
      </c>
      <c r="H1432" s="1046"/>
      <c r="K1432" s="1046"/>
      <c r="P1432" s="1046"/>
    </row>
    <row r="1433" spans="1:16" x14ac:dyDescent="0.25">
      <c r="A1433" s="1054"/>
      <c r="B1433" s="1083" t="s">
        <v>2944</v>
      </c>
      <c r="C1433" s="1054">
        <v>94002</v>
      </c>
      <c r="H1433" s="1046"/>
      <c r="K1433" s="1046"/>
      <c r="P1433" s="1046"/>
    </row>
    <row r="1434" spans="1:16" x14ac:dyDescent="0.25">
      <c r="A1434" s="1054"/>
      <c r="B1434" s="1083" t="s">
        <v>4647</v>
      </c>
      <c r="C1434" s="1054">
        <v>97840</v>
      </c>
      <c r="H1434" s="1046"/>
      <c r="K1434" s="1046"/>
      <c r="P1434" s="1046"/>
    </row>
    <row r="1435" spans="1:16" x14ac:dyDescent="0.25">
      <c r="A1435" s="1054"/>
      <c r="B1435" s="1083" t="s">
        <v>3273</v>
      </c>
      <c r="C1435" s="1054">
        <v>97847</v>
      </c>
      <c r="H1435" s="1046"/>
      <c r="K1435" s="1046"/>
      <c r="P1435" s="1046"/>
    </row>
    <row r="1436" spans="1:16" x14ac:dyDescent="0.25">
      <c r="A1436" s="1054"/>
      <c r="B1436" s="1083" t="s">
        <v>4648</v>
      </c>
      <c r="C1436" s="1054">
        <v>97921</v>
      </c>
      <c r="H1436" s="1046"/>
      <c r="K1436" s="1046"/>
      <c r="P1436" s="1046"/>
    </row>
    <row r="1437" spans="1:16" x14ac:dyDescent="0.25">
      <c r="A1437" s="1054"/>
      <c r="B1437" s="1083" t="s">
        <v>4649</v>
      </c>
      <c r="C1437" s="1054">
        <v>95221</v>
      </c>
      <c r="H1437" s="1046"/>
      <c r="K1437" s="1046"/>
      <c r="P1437" s="1046"/>
    </row>
    <row r="1438" spans="1:16" x14ac:dyDescent="0.25">
      <c r="A1438" s="1054"/>
      <c r="B1438" s="1083" t="s">
        <v>4138</v>
      </c>
      <c r="C1438" s="1054">
        <v>93610</v>
      </c>
      <c r="H1438" s="1046"/>
      <c r="K1438" s="1046"/>
      <c r="P1438" s="1046"/>
    </row>
    <row r="1439" spans="1:16" x14ac:dyDescent="0.25">
      <c r="A1439" s="1054"/>
      <c r="B1439" s="1083" t="s">
        <v>3095</v>
      </c>
      <c r="C1439" s="1054">
        <v>95901</v>
      </c>
      <c r="H1439" s="1046"/>
      <c r="K1439" s="1046"/>
      <c r="P1439" s="1046"/>
    </row>
    <row r="1440" spans="1:16" x14ac:dyDescent="0.25">
      <c r="A1440" s="1054"/>
      <c r="B1440" s="1083" t="s">
        <v>4650</v>
      </c>
      <c r="C1440" s="1054">
        <v>90114</v>
      </c>
      <c r="H1440" s="1046"/>
      <c r="K1440" s="1046"/>
      <c r="P1440" s="1046"/>
    </row>
    <row r="1441" spans="1:16" x14ac:dyDescent="0.25">
      <c r="A1441" s="1054"/>
      <c r="B1441" s="1083" t="s">
        <v>3100</v>
      </c>
      <c r="C1441" s="1054">
        <v>96001</v>
      </c>
      <c r="H1441" s="1046"/>
      <c r="K1441" s="1046"/>
      <c r="P1441" s="1046"/>
    </row>
    <row r="1442" spans="1:16" x14ac:dyDescent="0.25">
      <c r="A1442" s="1054"/>
      <c r="B1442" s="1083" t="s">
        <v>3102</v>
      </c>
      <c r="C1442" s="1054">
        <v>96004</v>
      </c>
      <c r="H1442" s="1046"/>
      <c r="K1442" s="1046"/>
      <c r="P1442" s="1046"/>
    </row>
    <row r="1443" spans="1:16" x14ac:dyDescent="0.25">
      <c r="A1443" s="1054"/>
      <c r="B1443" s="1083" t="s">
        <v>4651</v>
      </c>
      <c r="C1443" s="1054">
        <v>96008</v>
      </c>
      <c r="H1443" s="1046"/>
      <c r="K1443" s="1046"/>
      <c r="P1443" s="1046"/>
    </row>
    <row r="1444" spans="1:16" x14ac:dyDescent="0.25">
      <c r="A1444" s="1054"/>
      <c r="B1444" s="1083" t="s">
        <v>2681</v>
      </c>
      <c r="C1444" s="1054">
        <v>91108</v>
      </c>
      <c r="H1444" s="1046"/>
      <c r="K1444" s="1046"/>
      <c r="P1444" s="1046"/>
    </row>
    <row r="1445" spans="1:16" x14ac:dyDescent="0.25">
      <c r="A1445" s="1054"/>
      <c r="B1445" s="1083" t="s">
        <v>3028</v>
      </c>
      <c r="C1445" s="1054">
        <v>94941</v>
      </c>
      <c r="H1445" s="1046"/>
      <c r="K1445" s="1046"/>
      <c r="P1445" s="1046"/>
    </row>
    <row r="1446" spans="1:16" x14ac:dyDescent="0.25">
      <c r="A1446" s="1054"/>
      <c r="B1446" s="1083" t="s">
        <v>4652</v>
      </c>
      <c r="C1446" s="1054">
        <v>95122</v>
      </c>
      <c r="H1446" s="1046"/>
      <c r="K1446" s="1046"/>
      <c r="P1446" s="1046"/>
    </row>
    <row r="1447" spans="1:16" x14ac:dyDescent="0.25">
      <c r="A1447" s="1054"/>
      <c r="B1447" s="1083" t="s">
        <v>2820</v>
      </c>
      <c r="C1447" s="1054">
        <v>92607</v>
      </c>
      <c r="H1447" s="1046"/>
      <c r="K1447" s="1046"/>
      <c r="P1447" s="1046"/>
    </row>
    <row r="1448" spans="1:16" x14ac:dyDescent="0.25">
      <c r="A1448" s="1054"/>
      <c r="B1448" s="1083" t="s">
        <v>4653</v>
      </c>
      <c r="C1448" s="1054">
        <v>96431</v>
      </c>
      <c r="H1448" s="1046"/>
      <c r="K1448" s="1046"/>
      <c r="P1448" s="1046"/>
    </row>
    <row r="1449" spans="1:16" x14ac:dyDescent="0.25">
      <c r="A1449" s="1054"/>
      <c r="B1449" s="1083" t="s">
        <v>2626</v>
      </c>
      <c r="C1449" s="1054">
        <v>90709</v>
      </c>
      <c r="H1449" s="1046"/>
      <c r="K1449" s="1046"/>
      <c r="P1449" s="1046"/>
    </row>
    <row r="1450" spans="1:16" x14ac:dyDescent="0.25">
      <c r="A1450" s="1054"/>
      <c r="B1450" s="1083" t="s">
        <v>4654</v>
      </c>
      <c r="C1450" s="1054">
        <v>91341</v>
      </c>
      <c r="H1450" s="1046"/>
      <c r="K1450" s="1046"/>
      <c r="P1450" s="1046"/>
    </row>
    <row r="1451" spans="1:16" x14ac:dyDescent="0.25">
      <c r="A1451" s="1054"/>
      <c r="B1451" s="1083" t="s">
        <v>4655</v>
      </c>
      <c r="C1451" s="1054">
        <v>92941</v>
      </c>
      <c r="H1451" s="1046"/>
      <c r="K1451" s="1046"/>
      <c r="P1451" s="1046"/>
    </row>
    <row r="1452" spans="1:16" x14ac:dyDescent="0.25">
      <c r="A1452" s="1054"/>
      <c r="B1452" s="1083" t="s">
        <v>4656</v>
      </c>
      <c r="C1452" s="1054">
        <v>94551</v>
      </c>
      <c r="H1452" s="1046"/>
      <c r="K1452" s="1046"/>
      <c r="P1452" s="1046"/>
    </row>
    <row r="1453" spans="1:16" x14ac:dyDescent="0.25">
      <c r="A1453" s="1054"/>
      <c r="B1453" s="1083" t="s">
        <v>4657</v>
      </c>
      <c r="C1453" s="1054">
        <v>99022</v>
      </c>
      <c r="H1453" s="1046"/>
      <c r="K1453" s="1046"/>
      <c r="P1453" s="1046"/>
    </row>
    <row r="1454" spans="1:16" x14ac:dyDescent="0.25">
      <c r="A1454" s="1054"/>
      <c r="B1454" s="1083" t="s">
        <v>4658</v>
      </c>
      <c r="C1454" s="1054">
        <v>96031</v>
      </c>
      <c r="H1454" s="1046"/>
      <c r="K1454" s="1046"/>
      <c r="P1454" s="1046"/>
    </row>
    <row r="1455" spans="1:16" x14ac:dyDescent="0.25">
      <c r="A1455" s="1054"/>
      <c r="B1455" s="1083" t="s">
        <v>4659</v>
      </c>
      <c r="C1455" s="1054">
        <v>98414</v>
      </c>
      <c r="H1455" s="1046"/>
      <c r="K1455" s="1046"/>
      <c r="P1455" s="1046"/>
    </row>
    <row r="1456" spans="1:16" x14ac:dyDescent="0.25">
      <c r="A1456" s="1054"/>
      <c r="B1456" s="1083" t="s">
        <v>3116</v>
      </c>
      <c r="C1456" s="1054">
        <v>96101</v>
      </c>
      <c r="H1456" s="1046"/>
      <c r="K1456" s="1046"/>
      <c r="P1456" s="1046"/>
    </row>
    <row r="1457" spans="1:16" x14ac:dyDescent="0.25">
      <c r="A1457" s="1054"/>
      <c r="B1457" s="1083" t="s">
        <v>4660</v>
      </c>
      <c r="C1457" s="1054">
        <v>96102</v>
      </c>
      <c r="H1457" s="1046"/>
      <c r="K1457" s="1046"/>
      <c r="P1457" s="1046"/>
    </row>
    <row r="1458" spans="1:16" x14ac:dyDescent="0.25">
      <c r="A1458" s="1054"/>
      <c r="B1458" s="1083" t="s">
        <v>4661</v>
      </c>
      <c r="C1458" s="1054">
        <v>93011</v>
      </c>
      <c r="H1458" s="1046"/>
      <c r="K1458" s="1046"/>
      <c r="P1458" s="1046"/>
    </row>
    <row r="1459" spans="1:16" x14ac:dyDescent="0.25">
      <c r="A1459" s="1054"/>
      <c r="B1459" s="1083" t="s">
        <v>4662</v>
      </c>
      <c r="C1459" s="1054">
        <v>99011</v>
      </c>
      <c r="H1459" s="1046"/>
      <c r="K1459" s="1046"/>
      <c r="P1459" s="1046"/>
    </row>
    <row r="1460" spans="1:16" x14ac:dyDescent="0.25">
      <c r="A1460" s="1054"/>
      <c r="B1460" s="1083" t="s">
        <v>3373</v>
      </c>
      <c r="C1460" s="1054">
        <v>99017</v>
      </c>
      <c r="H1460" s="1046"/>
      <c r="K1460" s="1046"/>
      <c r="P1460" s="1046"/>
    </row>
    <row r="1461" spans="1:16" x14ac:dyDescent="0.25">
      <c r="A1461" s="1054"/>
      <c r="B1461" s="1083" t="s">
        <v>4663</v>
      </c>
      <c r="C1461" s="1054">
        <v>99013</v>
      </c>
      <c r="H1461" s="1046"/>
      <c r="K1461" s="1046"/>
      <c r="P1461" s="1046"/>
    </row>
    <row r="1462" spans="1:16" x14ac:dyDescent="0.25">
      <c r="A1462" s="1054"/>
      <c r="B1462" s="1083" t="s">
        <v>3120</v>
      </c>
      <c r="C1462" s="1054">
        <v>96201</v>
      </c>
      <c r="H1462" s="1046"/>
      <c r="K1462" s="1046"/>
      <c r="P1462" s="1046"/>
    </row>
    <row r="1463" spans="1:16" x14ac:dyDescent="0.25">
      <c r="A1463" s="1054"/>
      <c r="B1463" s="1083" t="s">
        <v>3121</v>
      </c>
      <c r="C1463" s="1054">
        <v>96204</v>
      </c>
      <c r="H1463" s="1046"/>
      <c r="K1463" s="1046"/>
      <c r="P1463" s="1046"/>
    </row>
    <row r="1464" spans="1:16" x14ac:dyDescent="0.25">
      <c r="A1464" s="1054"/>
      <c r="B1464" s="1083" t="s">
        <v>4664</v>
      </c>
      <c r="C1464" s="1054">
        <v>91161</v>
      </c>
      <c r="H1464" s="1046"/>
      <c r="K1464" s="1046"/>
      <c r="P1464" s="1046"/>
    </row>
    <row r="1465" spans="1:16" x14ac:dyDescent="0.25">
      <c r="A1465" s="1054"/>
      <c r="B1465" s="1083" t="s">
        <v>3127</v>
      </c>
      <c r="C1465" s="1054">
        <v>96301</v>
      </c>
      <c r="H1465" s="1046"/>
      <c r="K1465" s="1046"/>
      <c r="P1465" s="1046"/>
    </row>
    <row r="1466" spans="1:16" x14ac:dyDescent="0.25">
      <c r="A1466" s="1054"/>
      <c r="B1466" s="1083" t="s">
        <v>3129</v>
      </c>
      <c r="C1466" s="1054">
        <v>96304</v>
      </c>
      <c r="H1466" s="1046"/>
      <c r="K1466" s="1046"/>
      <c r="P1466" s="1046"/>
    </row>
    <row r="1467" spans="1:16" x14ac:dyDescent="0.25">
      <c r="A1467" s="1054"/>
      <c r="B1467" s="1083" t="s">
        <v>3131</v>
      </c>
      <c r="C1467" s="1054">
        <v>96310</v>
      </c>
      <c r="H1467" s="1046"/>
      <c r="K1467" s="1046"/>
      <c r="P1467" s="1046"/>
    </row>
    <row r="1468" spans="1:16" x14ac:dyDescent="0.25">
      <c r="A1468" s="1054"/>
      <c r="B1468" s="1083" t="s">
        <v>3130</v>
      </c>
      <c r="C1468" s="1054">
        <v>96305</v>
      </c>
      <c r="H1468" s="1046"/>
      <c r="K1468" s="1046"/>
      <c r="P1468" s="1046"/>
    </row>
    <row r="1469" spans="1:16" x14ac:dyDescent="0.25">
      <c r="A1469" s="1054"/>
      <c r="B1469" s="1083" t="s">
        <v>4665</v>
      </c>
      <c r="C1469" s="1054">
        <v>94921</v>
      </c>
      <c r="H1469" s="1046"/>
      <c r="K1469" s="1046"/>
      <c r="P1469" s="1046"/>
    </row>
    <row r="1470" spans="1:16" x14ac:dyDescent="0.25">
      <c r="A1470" s="1054"/>
      <c r="B1470" s="1083" t="s">
        <v>3026</v>
      </c>
      <c r="C1470" s="1054">
        <v>94927</v>
      </c>
      <c r="H1470" s="1046"/>
      <c r="K1470" s="1046"/>
      <c r="P1470" s="1046"/>
    </row>
    <row r="1471" spans="1:16" x14ac:dyDescent="0.25">
      <c r="A1471" s="1054"/>
      <c r="B1471" s="1083" t="s">
        <v>3025</v>
      </c>
      <c r="C1471" s="1054">
        <v>94923</v>
      </c>
      <c r="H1471" s="1046"/>
      <c r="K1471" s="1046"/>
      <c r="P1471" s="1046"/>
    </row>
    <row r="1472" spans="1:16" x14ac:dyDescent="0.25">
      <c r="A1472" s="1054"/>
      <c r="B1472" s="1083" t="s">
        <v>4666</v>
      </c>
      <c r="C1472" s="1054">
        <v>91611</v>
      </c>
      <c r="H1472" s="1046"/>
      <c r="K1472" s="1046"/>
      <c r="P1472" s="1046"/>
    </row>
    <row r="1473" spans="1:16" x14ac:dyDescent="0.25">
      <c r="A1473" s="1054"/>
      <c r="B1473" s="1083" t="s">
        <v>4667</v>
      </c>
      <c r="C1473" s="1054">
        <v>91231</v>
      </c>
      <c r="H1473" s="1046"/>
      <c r="K1473" s="1046"/>
      <c r="P1473" s="1046"/>
    </row>
    <row r="1474" spans="1:16" x14ac:dyDescent="0.25">
      <c r="A1474" s="1054"/>
      <c r="B1474" s="1083" t="s">
        <v>2703</v>
      </c>
      <c r="C1474" s="1054">
        <v>91217</v>
      </c>
      <c r="H1474" s="1046"/>
      <c r="K1474" s="1046"/>
      <c r="P1474" s="1046"/>
    </row>
    <row r="1475" spans="1:16" x14ac:dyDescent="0.25">
      <c r="A1475" s="1054"/>
      <c r="B1475" s="1083" t="s">
        <v>2706</v>
      </c>
      <c r="C1475" s="1054">
        <v>91233</v>
      </c>
      <c r="H1475" s="1046"/>
      <c r="K1475" s="1046"/>
      <c r="P1475" s="1046"/>
    </row>
    <row r="1476" spans="1:16" x14ac:dyDescent="0.25">
      <c r="A1476" s="1054"/>
      <c r="B1476" s="1083" t="s">
        <v>4668</v>
      </c>
      <c r="C1476" s="1054">
        <v>99206</v>
      </c>
      <c r="H1476" s="1046"/>
      <c r="K1476" s="1046"/>
      <c r="P1476" s="1046"/>
    </row>
    <row r="1477" spans="1:16" x14ac:dyDescent="0.25">
      <c r="A1477" s="1054"/>
      <c r="B1477" s="1083" t="s">
        <v>4669</v>
      </c>
      <c r="C1477" s="1054">
        <v>90461</v>
      </c>
      <c r="H1477" s="1046"/>
      <c r="K1477" s="1046"/>
      <c r="P1477" s="1046"/>
    </row>
    <row r="1478" spans="1:16" x14ac:dyDescent="0.25">
      <c r="A1478" s="1054"/>
      <c r="B1478" s="1083" t="s">
        <v>4670</v>
      </c>
      <c r="C1478" s="1054">
        <v>98631</v>
      </c>
      <c r="H1478" s="1046"/>
      <c r="K1478" s="1046"/>
      <c r="P1478" s="1046"/>
    </row>
    <row r="1479" spans="1:16" x14ac:dyDescent="0.25">
      <c r="A1479" s="1054"/>
      <c r="B1479" s="1083" t="s">
        <v>3357</v>
      </c>
      <c r="C1479" s="1054">
        <v>98637</v>
      </c>
      <c r="H1479" s="1046"/>
      <c r="K1479" s="1046"/>
      <c r="P1479" s="1046"/>
    </row>
    <row r="1480" spans="1:16" x14ac:dyDescent="0.25">
      <c r="A1480" s="1054"/>
      <c r="B1480" s="1083" t="s">
        <v>4671</v>
      </c>
      <c r="C1480" s="1054">
        <v>96251</v>
      </c>
      <c r="H1480" s="1046"/>
      <c r="K1480" s="1046"/>
      <c r="P1480" s="1046"/>
    </row>
    <row r="1481" spans="1:16" x14ac:dyDescent="0.25">
      <c r="A1481" s="1054"/>
      <c r="B1481" s="1083" t="s">
        <v>4672</v>
      </c>
      <c r="C1481" s="1054">
        <v>93691</v>
      </c>
      <c r="H1481" s="1046"/>
      <c r="K1481" s="1046"/>
      <c r="P1481" s="1046"/>
    </row>
    <row r="1482" spans="1:16" x14ac:dyDescent="0.25">
      <c r="A1482" s="1054"/>
      <c r="B1482" s="1083" t="s">
        <v>4673</v>
      </c>
      <c r="C1482" s="1054">
        <v>99621</v>
      </c>
      <c r="H1482" s="1046"/>
      <c r="K1482" s="1046"/>
      <c r="P1482" s="1046"/>
    </row>
    <row r="1483" spans="1:16" x14ac:dyDescent="0.25">
      <c r="A1483" s="1054"/>
      <c r="B1483" s="1083" t="s">
        <v>4368</v>
      </c>
      <c r="C1483" s="1054">
        <v>99623</v>
      </c>
      <c r="H1483" s="1046"/>
      <c r="K1483" s="1046"/>
      <c r="P1483" s="1046"/>
    </row>
    <row r="1484" spans="1:16" x14ac:dyDescent="0.25">
      <c r="A1484" s="1054"/>
      <c r="B1484" s="1083" t="s">
        <v>4674</v>
      </c>
      <c r="C1484" s="1054">
        <v>91321</v>
      </c>
      <c r="H1484" s="1046"/>
      <c r="K1484" s="1046"/>
      <c r="P1484" s="1046"/>
    </row>
    <row r="1485" spans="1:16" x14ac:dyDescent="0.25">
      <c r="A1485" s="1054"/>
      <c r="B1485" s="1083" t="s">
        <v>4675</v>
      </c>
      <c r="C1485" s="1054">
        <v>91327</v>
      </c>
      <c r="H1485" s="1046"/>
      <c r="K1485" s="1046"/>
      <c r="P1485" s="1046"/>
    </row>
    <row r="1486" spans="1:16" x14ac:dyDescent="0.25">
      <c r="A1486" s="1054"/>
      <c r="B1486" s="1083" t="s">
        <v>4676</v>
      </c>
      <c r="C1486" s="1054">
        <v>94621</v>
      </c>
      <c r="H1486" s="1046"/>
      <c r="K1486" s="1046"/>
      <c r="P1486" s="1046"/>
    </row>
    <row r="1487" spans="1:16" x14ac:dyDescent="0.25">
      <c r="A1487" s="1054"/>
      <c r="B1487" s="1083" t="s">
        <v>4677</v>
      </c>
      <c r="C1487" s="1054">
        <v>92011</v>
      </c>
      <c r="H1487" s="1046"/>
      <c r="K1487" s="1046"/>
      <c r="P1487" s="1046"/>
    </row>
    <row r="1488" spans="1:16" x14ac:dyDescent="0.25">
      <c r="A1488" s="1054"/>
      <c r="B1488" s="1083" t="s">
        <v>2773</v>
      </c>
      <c r="C1488" s="1054">
        <v>92017</v>
      </c>
      <c r="H1488" s="1046"/>
      <c r="K1488" s="1046"/>
      <c r="P1488" s="1046"/>
    </row>
    <row r="1489" spans="1:16" x14ac:dyDescent="0.25">
      <c r="A1489" s="1054"/>
      <c r="B1489" s="1083" t="s">
        <v>3463</v>
      </c>
      <c r="C1489" s="1061">
        <v>99991</v>
      </c>
      <c r="H1489" s="1046"/>
      <c r="K1489" s="1046"/>
      <c r="P1489" s="1046"/>
    </row>
    <row r="1490" spans="1:16" x14ac:dyDescent="0.25">
      <c r="A1490" s="1054"/>
      <c r="B1490" s="1083" t="s">
        <v>3464</v>
      </c>
      <c r="C1490" s="1061">
        <v>99999</v>
      </c>
      <c r="H1490" s="1046"/>
      <c r="K1490" s="1046"/>
      <c r="P1490" s="1046"/>
    </row>
    <row r="1491" spans="1:16" x14ac:dyDescent="0.25">
      <c r="A1491" s="1054"/>
      <c r="B1491" s="1083" t="s">
        <v>4678</v>
      </c>
      <c r="C1491" s="1054">
        <v>92811</v>
      </c>
      <c r="H1491" s="1046"/>
      <c r="K1491" s="1046"/>
      <c r="P1491" s="1046"/>
    </row>
    <row r="1492" spans="1:16" x14ac:dyDescent="0.25">
      <c r="A1492" s="1054"/>
      <c r="B1492" s="1083" t="s">
        <v>2771</v>
      </c>
      <c r="C1492" s="1054">
        <v>92005</v>
      </c>
      <c r="H1492" s="1046"/>
      <c r="K1492" s="1046"/>
      <c r="P1492" s="1046"/>
    </row>
    <row r="1493" spans="1:16" x14ac:dyDescent="0.25">
      <c r="A1493" s="1054"/>
      <c r="B1493" s="1083" t="s">
        <v>3143</v>
      </c>
      <c r="C1493" s="1054">
        <v>96401</v>
      </c>
      <c r="H1493" s="1046"/>
      <c r="K1493" s="1046"/>
      <c r="P1493" s="1046"/>
    </row>
    <row r="1494" spans="1:16" x14ac:dyDescent="0.25">
      <c r="A1494" s="1054"/>
      <c r="B1494" s="1083" t="s">
        <v>3144</v>
      </c>
      <c r="C1494" s="1054">
        <v>96404</v>
      </c>
      <c r="H1494" s="1046"/>
      <c r="K1494" s="1046"/>
      <c r="P1494" s="1046"/>
    </row>
    <row r="1495" spans="1:16" x14ac:dyDescent="0.25">
      <c r="A1495" s="1054"/>
      <c r="B1495" s="1083" t="s">
        <v>4679</v>
      </c>
      <c r="C1495" s="1054">
        <v>96421</v>
      </c>
      <c r="H1495" s="1046"/>
      <c r="K1495" s="1046"/>
      <c r="P1495" s="1046"/>
    </row>
    <row r="1496" spans="1:16" x14ac:dyDescent="0.25">
      <c r="A1496" s="1054"/>
      <c r="B1496" s="1083" t="s">
        <v>4680</v>
      </c>
      <c r="C1496" s="1054">
        <v>91026</v>
      </c>
      <c r="H1496" s="1046"/>
      <c r="K1496" s="1046"/>
      <c r="P1496" s="1046"/>
    </row>
    <row r="1497" spans="1:16" x14ac:dyDescent="0.25">
      <c r="A1497" s="1054"/>
      <c r="B1497" s="1083" t="s">
        <v>3065</v>
      </c>
      <c r="C1497" s="1054">
        <v>95405</v>
      </c>
      <c r="H1497" s="1046"/>
      <c r="K1497" s="1046"/>
      <c r="P1497" s="1046"/>
    </row>
    <row r="1498" spans="1:16" x14ac:dyDescent="0.25">
      <c r="A1498" s="1054"/>
      <c r="B1498" s="1083" t="s">
        <v>2946</v>
      </c>
      <c r="C1498" s="1054">
        <v>94005</v>
      </c>
      <c r="H1498" s="1046"/>
      <c r="K1498" s="1046"/>
      <c r="P1498" s="1046"/>
    </row>
    <row r="1499" spans="1:16" x14ac:dyDescent="0.25">
      <c r="A1499" s="1054"/>
      <c r="B1499" s="1083" t="s">
        <v>3056</v>
      </c>
      <c r="C1499" s="1054">
        <v>95205</v>
      </c>
      <c r="H1499" s="1046"/>
      <c r="K1499" s="1046"/>
      <c r="P1499" s="1046"/>
    </row>
    <row r="1500" spans="1:16" x14ac:dyDescent="0.25">
      <c r="A1500" s="1054"/>
      <c r="B1500" s="1083" t="s">
        <v>2806</v>
      </c>
      <c r="C1500" s="1054">
        <v>92507</v>
      </c>
      <c r="H1500" s="1046"/>
      <c r="K1500" s="1046"/>
      <c r="P1500" s="1046"/>
    </row>
    <row r="1501" spans="1:16" x14ac:dyDescent="0.25">
      <c r="A1501" s="1054"/>
      <c r="B1501" s="1083" t="s">
        <v>4681</v>
      </c>
      <c r="C1501" s="1054">
        <v>92511</v>
      </c>
      <c r="H1501" s="1046"/>
      <c r="K1501" s="1046"/>
      <c r="P1501" s="1046"/>
    </row>
    <row r="1502" spans="1:16" x14ac:dyDescent="0.25">
      <c r="A1502" s="1054"/>
      <c r="B1502" s="1083" t="s">
        <v>4682</v>
      </c>
      <c r="C1502" s="1054">
        <v>92113</v>
      </c>
      <c r="H1502" s="1046"/>
      <c r="K1502" s="1046"/>
      <c r="P1502" s="1046"/>
    </row>
    <row r="1503" spans="1:16" x14ac:dyDescent="0.25">
      <c r="A1503" s="1054"/>
      <c r="B1503" s="1083" t="s">
        <v>4239</v>
      </c>
      <c r="C1503" s="1054">
        <v>96502</v>
      </c>
      <c r="H1503" s="1046"/>
      <c r="K1503" s="1046"/>
      <c r="P1503" s="1046"/>
    </row>
    <row r="1504" spans="1:16" x14ac:dyDescent="0.25">
      <c r="A1504" s="1054"/>
      <c r="B1504" s="1083" t="s">
        <v>3152</v>
      </c>
      <c r="C1504" s="1054">
        <v>96501</v>
      </c>
      <c r="H1504" s="1046"/>
      <c r="K1504" s="1046"/>
      <c r="P1504" s="1046"/>
    </row>
    <row r="1505" spans="1:16" x14ac:dyDescent="0.25">
      <c r="A1505" s="1054"/>
      <c r="B1505" s="1083" t="s">
        <v>3155</v>
      </c>
      <c r="C1505" s="1054">
        <v>96504</v>
      </c>
      <c r="H1505" s="1046"/>
      <c r="K1505" s="1046"/>
      <c r="P1505" s="1046"/>
    </row>
    <row r="1506" spans="1:16" x14ac:dyDescent="0.25">
      <c r="A1506" s="1054"/>
      <c r="B1506" s="1086" t="s">
        <v>4683</v>
      </c>
      <c r="C1506" s="1054">
        <v>98471</v>
      </c>
      <c r="H1506" s="1046"/>
      <c r="K1506" s="1046"/>
      <c r="P1506" s="1046"/>
    </row>
    <row r="1507" spans="1:16" x14ac:dyDescent="0.25">
      <c r="A1507" s="1054"/>
      <c r="B1507" s="1083" t="s">
        <v>4684</v>
      </c>
      <c r="C1507" s="1054">
        <v>97913</v>
      </c>
      <c r="H1507" s="1046"/>
      <c r="K1507" s="1046"/>
      <c r="P1507" s="1046"/>
    </row>
    <row r="1508" spans="1:16" x14ac:dyDescent="0.25">
      <c r="A1508" s="1054"/>
      <c r="B1508" s="1083" t="s">
        <v>4685</v>
      </c>
      <c r="C1508" s="1054">
        <v>90621</v>
      </c>
      <c r="H1508" s="1046"/>
      <c r="K1508" s="1046"/>
      <c r="P1508" s="1046"/>
    </row>
    <row r="1509" spans="1:16" x14ac:dyDescent="0.25">
      <c r="A1509" s="1054"/>
      <c r="B1509" s="1083" t="s">
        <v>4686</v>
      </c>
      <c r="C1509" s="1054">
        <v>91621</v>
      </c>
      <c r="H1509" s="1046"/>
      <c r="K1509" s="1046"/>
      <c r="P1509" s="1046"/>
    </row>
    <row r="1510" spans="1:16" x14ac:dyDescent="0.25">
      <c r="A1510" s="1054"/>
      <c r="B1510" s="1083" t="s">
        <v>4687</v>
      </c>
      <c r="C1510" s="1054">
        <v>91871</v>
      </c>
      <c r="H1510" s="1046"/>
      <c r="K1510" s="1046"/>
      <c r="P1510" s="1046"/>
    </row>
    <row r="1511" spans="1:16" x14ac:dyDescent="0.25">
      <c r="A1511" s="1054"/>
      <c r="B1511" s="1083" t="s">
        <v>4688</v>
      </c>
      <c r="C1511" s="1054">
        <v>98231</v>
      </c>
      <c r="H1511" s="1046"/>
      <c r="K1511" s="1046"/>
      <c r="P1511" s="1046"/>
    </row>
    <row r="1512" spans="1:16" x14ac:dyDescent="0.25">
      <c r="A1512" s="1054"/>
      <c r="B1512" s="1083" t="s">
        <v>4689</v>
      </c>
      <c r="C1512" s="1054">
        <v>99311</v>
      </c>
      <c r="H1512" s="1046"/>
      <c r="K1512" s="1046"/>
      <c r="P1512" s="1046"/>
    </row>
    <row r="1513" spans="1:16" x14ac:dyDescent="0.25">
      <c r="A1513" s="1054"/>
      <c r="B1513" s="1083" t="s">
        <v>4690</v>
      </c>
      <c r="C1513" s="1054">
        <v>96751</v>
      </c>
      <c r="H1513" s="1046"/>
      <c r="K1513" s="1046"/>
      <c r="P1513" s="1046"/>
    </row>
    <row r="1514" spans="1:16" x14ac:dyDescent="0.25">
      <c r="A1514" s="1054"/>
      <c r="B1514" s="1083" t="s">
        <v>4691</v>
      </c>
      <c r="C1514" s="1054">
        <v>99711</v>
      </c>
      <c r="H1514" s="1046"/>
      <c r="K1514" s="1046"/>
      <c r="P1514" s="1046"/>
    </row>
    <row r="1515" spans="1:16" x14ac:dyDescent="0.25">
      <c r="A1515" s="1054"/>
      <c r="B1515" s="1083" t="s">
        <v>4692</v>
      </c>
      <c r="C1515" s="1054">
        <v>99717</v>
      </c>
      <c r="H1515" s="1046"/>
      <c r="K1515" s="1046"/>
      <c r="P1515" s="1046"/>
    </row>
    <row r="1516" spans="1:16" x14ac:dyDescent="0.25">
      <c r="A1516" s="1054"/>
      <c r="B1516" s="1083" t="s">
        <v>3164</v>
      </c>
      <c r="C1516" s="1054">
        <v>96601</v>
      </c>
      <c r="H1516" s="1046"/>
      <c r="K1516" s="1046"/>
      <c r="P1516" s="1046"/>
    </row>
    <row r="1517" spans="1:16" x14ac:dyDescent="0.25">
      <c r="A1517" s="1054"/>
      <c r="B1517" s="1083" t="s">
        <v>3165</v>
      </c>
      <c r="C1517" s="1054">
        <v>96604</v>
      </c>
      <c r="H1517" s="1046"/>
      <c r="K1517" s="1046"/>
      <c r="P1517" s="1046"/>
    </row>
    <row r="1518" spans="1:16" x14ac:dyDescent="0.25">
      <c r="A1518" s="1054"/>
      <c r="B1518" s="1083" t="s">
        <v>4693</v>
      </c>
      <c r="C1518" s="1054">
        <v>91012</v>
      </c>
      <c r="H1518" s="1046"/>
      <c r="K1518" s="1046"/>
      <c r="P1518" s="1046"/>
    </row>
    <row r="1519" spans="1:16" x14ac:dyDescent="0.25">
      <c r="A1519" s="1054"/>
      <c r="B1519" s="1083" t="s">
        <v>2601</v>
      </c>
      <c r="C1519" s="1054">
        <v>90305</v>
      </c>
      <c r="H1519" s="1046"/>
      <c r="K1519" s="1046"/>
      <c r="P1519" s="1046"/>
    </row>
    <row r="1520" spans="1:16" x14ac:dyDescent="0.25">
      <c r="A1520" s="1054"/>
      <c r="B1520" s="1083" t="s">
        <v>4694</v>
      </c>
      <c r="C1520" s="1054">
        <v>98421</v>
      </c>
      <c r="H1520" s="1046"/>
      <c r="K1520" s="1046"/>
      <c r="P1520" s="1046"/>
    </row>
    <row r="1521" spans="1:16" x14ac:dyDescent="0.25">
      <c r="A1521" s="1054"/>
      <c r="B1521" s="1083" t="s">
        <v>4695</v>
      </c>
      <c r="C1521" s="1054">
        <v>98427</v>
      </c>
      <c r="H1521" s="1046"/>
      <c r="K1521" s="1046"/>
      <c r="P1521" s="1046"/>
    </row>
    <row r="1522" spans="1:16" x14ac:dyDescent="0.25">
      <c r="A1522" s="1054"/>
      <c r="B1522" s="1083" t="s">
        <v>4696</v>
      </c>
      <c r="C1522" s="1054">
        <v>95821</v>
      </c>
      <c r="H1522" s="1046"/>
      <c r="K1522" s="1046"/>
      <c r="P1522" s="1046"/>
    </row>
    <row r="1523" spans="1:16" x14ac:dyDescent="0.25">
      <c r="A1523" s="1054"/>
      <c r="B1523" s="1083" t="s">
        <v>4697</v>
      </c>
      <c r="C1523" s="1054">
        <v>91021</v>
      </c>
      <c r="H1523" s="1046"/>
      <c r="K1523" s="1046"/>
      <c r="P1523" s="1046"/>
    </row>
    <row r="1524" spans="1:16" x14ac:dyDescent="0.25">
      <c r="A1524" s="1054"/>
      <c r="B1524" s="1083" t="s">
        <v>4698</v>
      </c>
      <c r="C1524" s="1054">
        <v>91027</v>
      </c>
      <c r="H1524" s="1046"/>
      <c r="K1524" s="1046"/>
      <c r="P1524" s="1046"/>
    </row>
    <row r="1525" spans="1:16" x14ac:dyDescent="0.25">
      <c r="A1525" s="1054"/>
      <c r="B1525" s="1083" t="s">
        <v>4699</v>
      </c>
      <c r="C1525" s="1054">
        <v>94161</v>
      </c>
      <c r="H1525" s="1046"/>
      <c r="K1525" s="1046"/>
      <c r="P1525" s="1046"/>
    </row>
    <row r="1526" spans="1:16" x14ac:dyDescent="0.25">
      <c r="A1526" s="1054"/>
      <c r="B1526" s="1083" t="s">
        <v>4700</v>
      </c>
      <c r="C1526" s="1054">
        <v>98441</v>
      </c>
      <c r="H1526" s="1046"/>
      <c r="K1526" s="1046"/>
      <c r="P1526" s="1046"/>
    </row>
    <row r="1527" spans="1:16" x14ac:dyDescent="0.25">
      <c r="A1527" s="1054"/>
      <c r="B1527" s="1083" t="s">
        <v>4701</v>
      </c>
      <c r="C1527" s="1054">
        <v>91061</v>
      </c>
      <c r="H1527" s="1046"/>
      <c r="K1527" s="1046"/>
      <c r="P1527" s="1046"/>
    </row>
    <row r="1528" spans="1:16" x14ac:dyDescent="0.25">
      <c r="A1528" s="1054"/>
      <c r="B1528" s="1083" t="s">
        <v>2672</v>
      </c>
      <c r="C1528" s="1054">
        <v>91067</v>
      </c>
      <c r="H1528" s="1046"/>
      <c r="K1528" s="1046"/>
      <c r="P1528" s="1046"/>
    </row>
    <row r="1529" spans="1:16" x14ac:dyDescent="0.25">
      <c r="A1529" s="1054"/>
      <c r="B1529" s="1083" t="s">
        <v>4702</v>
      </c>
      <c r="C1529" s="1054">
        <v>94812</v>
      </c>
      <c r="H1529" s="1046"/>
      <c r="K1529" s="1046"/>
      <c r="P1529" s="1046"/>
    </row>
    <row r="1530" spans="1:16" x14ac:dyDescent="0.25">
      <c r="A1530" s="1054"/>
      <c r="B1530" s="1083" t="s">
        <v>4703</v>
      </c>
      <c r="C1530" s="1054">
        <v>95921</v>
      </c>
      <c r="H1530" s="1046"/>
      <c r="K1530" s="1046"/>
      <c r="P1530" s="1046"/>
    </row>
    <row r="1531" spans="1:16" x14ac:dyDescent="0.25">
      <c r="A1531" s="1054"/>
      <c r="B1531" s="1083" t="s">
        <v>3175</v>
      </c>
      <c r="C1531" s="1054">
        <v>96701</v>
      </c>
      <c r="H1531" s="1046"/>
      <c r="K1531" s="1046"/>
      <c r="P1531" s="1046"/>
    </row>
    <row r="1532" spans="1:16" x14ac:dyDescent="0.25">
      <c r="A1532" s="1054"/>
      <c r="B1532" s="1083" t="s">
        <v>3176</v>
      </c>
      <c r="C1532" s="1054">
        <v>96704</v>
      </c>
      <c r="H1532" s="1046"/>
      <c r="K1532" s="1046"/>
      <c r="P1532" s="1046"/>
    </row>
    <row r="1533" spans="1:16" x14ac:dyDescent="0.25">
      <c r="A1533" s="1054"/>
      <c r="B1533" s="1083" t="s">
        <v>3177</v>
      </c>
      <c r="C1533" s="1054">
        <v>96708</v>
      </c>
      <c r="H1533" s="1046"/>
      <c r="K1533" s="1046"/>
      <c r="P1533" s="1046"/>
    </row>
    <row r="1534" spans="1:16" x14ac:dyDescent="0.25">
      <c r="A1534" s="1054"/>
      <c r="B1534" s="1083" t="s">
        <v>3184</v>
      </c>
      <c r="C1534" s="1054">
        <v>96801</v>
      </c>
      <c r="H1534" s="1046"/>
      <c r="K1534" s="1046"/>
      <c r="P1534" s="1046"/>
    </row>
    <row r="1535" spans="1:16" x14ac:dyDescent="0.25">
      <c r="A1535" s="1054"/>
      <c r="B1535" s="1083" t="s">
        <v>3185</v>
      </c>
      <c r="C1535" s="1054">
        <v>96804</v>
      </c>
      <c r="H1535" s="1046"/>
      <c r="K1535" s="1046"/>
      <c r="P1535" s="1046"/>
    </row>
    <row r="1536" spans="1:16" x14ac:dyDescent="0.25">
      <c r="A1536" s="1054"/>
      <c r="B1536" s="1083" t="s">
        <v>3186</v>
      </c>
      <c r="C1536" s="1054">
        <v>96808</v>
      </c>
      <c r="H1536" s="1046"/>
      <c r="K1536" s="1046"/>
      <c r="P1536" s="1046"/>
    </row>
    <row r="1537" spans="1:16" x14ac:dyDescent="0.25">
      <c r="A1537" s="1054"/>
      <c r="B1537" s="1083" t="s">
        <v>4704</v>
      </c>
      <c r="C1537" s="1054">
        <v>96912</v>
      </c>
      <c r="H1537" s="1046"/>
      <c r="K1537" s="1046"/>
      <c r="P1537" s="1046"/>
    </row>
    <row r="1538" spans="1:16" x14ac:dyDescent="0.25">
      <c r="A1538" s="1054"/>
      <c r="B1538" s="1083" t="s">
        <v>4705</v>
      </c>
      <c r="C1538" s="1054">
        <v>93911</v>
      </c>
      <c r="H1538" s="1046"/>
      <c r="K1538" s="1046"/>
      <c r="P1538" s="1046"/>
    </row>
    <row r="1539" spans="1:16" x14ac:dyDescent="0.25">
      <c r="A1539" s="1054"/>
      <c r="B1539" s="1083" t="s">
        <v>2939</v>
      </c>
      <c r="C1539" s="1054">
        <v>93913</v>
      </c>
      <c r="H1539" s="1046"/>
      <c r="K1539" s="1046"/>
      <c r="P1539" s="1046"/>
    </row>
    <row r="1540" spans="1:16" x14ac:dyDescent="0.25">
      <c r="A1540" s="1054"/>
      <c r="B1540" s="1083" t="s">
        <v>3190</v>
      </c>
      <c r="C1540" s="1054">
        <v>96901</v>
      </c>
      <c r="H1540" s="1046"/>
      <c r="K1540" s="1046"/>
      <c r="P1540" s="1046"/>
    </row>
    <row r="1541" spans="1:16" x14ac:dyDescent="0.25">
      <c r="A1541" s="1054"/>
      <c r="B1541" s="1083" t="s">
        <v>4706</v>
      </c>
      <c r="C1541" s="1054">
        <v>97841</v>
      </c>
      <c r="H1541" s="1046"/>
      <c r="K1541" s="1046"/>
      <c r="P1541" s="1046"/>
    </row>
    <row r="1542" spans="1:16" x14ac:dyDescent="0.25">
      <c r="A1542" s="1054"/>
      <c r="B1542" s="1083" t="s">
        <v>2870</v>
      </c>
      <c r="C1542" s="1054">
        <v>93202</v>
      </c>
      <c r="H1542" s="1046"/>
      <c r="K1542" s="1046"/>
      <c r="P1542" s="1046"/>
    </row>
    <row r="1543" spans="1:16" x14ac:dyDescent="0.25">
      <c r="A1543" s="1054"/>
      <c r="B1543" s="1083" t="s">
        <v>2912</v>
      </c>
      <c r="C1543" s="1054">
        <v>93609</v>
      </c>
      <c r="H1543" s="1046"/>
      <c r="K1543" s="1046"/>
      <c r="P1543" s="1046"/>
    </row>
    <row r="1544" spans="1:16" x14ac:dyDescent="0.25">
      <c r="A1544" s="1054"/>
      <c r="B1544" s="1083" t="s">
        <v>3196</v>
      </c>
      <c r="C1544" s="1054">
        <v>97004</v>
      </c>
      <c r="H1544" s="1046"/>
      <c r="K1544" s="1046"/>
      <c r="P1544" s="1046"/>
    </row>
    <row r="1545" spans="1:16" x14ac:dyDescent="0.25">
      <c r="A1545" s="1054"/>
      <c r="B1545" s="1083" t="s">
        <v>3194</v>
      </c>
      <c r="C1545" s="1054">
        <v>97001</v>
      </c>
      <c r="H1545" s="1046"/>
      <c r="K1545" s="1046"/>
      <c r="P1545" s="1046"/>
    </row>
    <row r="1546" spans="1:16" x14ac:dyDescent="0.25">
      <c r="A1546" s="1054"/>
      <c r="B1546" s="1083" t="s">
        <v>3195</v>
      </c>
      <c r="C1546" s="1054">
        <v>97002</v>
      </c>
      <c r="H1546" s="1046"/>
      <c r="K1546" s="1046"/>
      <c r="P1546" s="1046"/>
    </row>
    <row r="1547" spans="1:16" x14ac:dyDescent="0.25">
      <c r="A1547" s="1054"/>
      <c r="B1547" s="1083" t="s">
        <v>3203</v>
      </c>
      <c r="C1547" s="1054">
        <v>97015</v>
      </c>
      <c r="H1547" s="1046"/>
      <c r="K1547" s="1046"/>
      <c r="P1547" s="1046"/>
    </row>
    <row r="1548" spans="1:16" x14ac:dyDescent="0.25">
      <c r="A1548" s="1054"/>
      <c r="B1548" s="1083" t="s">
        <v>4707</v>
      </c>
      <c r="C1548" s="1054">
        <v>90441</v>
      </c>
      <c r="H1548" s="1046"/>
      <c r="K1548" s="1046"/>
      <c r="P1548" s="1046"/>
    </row>
    <row r="1549" spans="1:16" x14ac:dyDescent="0.25">
      <c r="A1549" s="1054"/>
      <c r="B1549" s="1083" t="s">
        <v>4708</v>
      </c>
      <c r="C1549" s="1054">
        <v>97851</v>
      </c>
      <c r="H1549" s="1046"/>
      <c r="K1549" s="1046"/>
      <c r="P1549" s="1046"/>
    </row>
    <row r="1550" spans="1:16" x14ac:dyDescent="0.25">
      <c r="A1550" s="1054"/>
      <c r="B1550" s="1083" t="s">
        <v>3275</v>
      </c>
      <c r="C1550" s="1054">
        <v>97853</v>
      </c>
      <c r="H1550" s="1046"/>
      <c r="K1550" s="1046"/>
      <c r="P1550" s="1046"/>
    </row>
    <row r="1551" spans="1:16" x14ac:dyDescent="0.25">
      <c r="A1551" s="1054"/>
      <c r="B1551" s="1083" t="s">
        <v>3205</v>
      </c>
      <c r="C1551" s="1054">
        <v>97101</v>
      </c>
      <c r="H1551" s="1046"/>
      <c r="K1551" s="1046"/>
      <c r="P1551" s="1046"/>
    </row>
    <row r="1552" spans="1:16" x14ac:dyDescent="0.25">
      <c r="A1552" s="1054"/>
      <c r="B1552" s="1083" t="s">
        <v>3206</v>
      </c>
      <c r="C1552" s="1054">
        <v>97104</v>
      </c>
      <c r="H1552" s="1046"/>
      <c r="K1552" s="1046"/>
      <c r="P1552" s="1046"/>
    </row>
    <row r="1553" spans="1:16" x14ac:dyDescent="0.25">
      <c r="A1553" s="1054"/>
      <c r="B1553" s="1083" t="s">
        <v>3210</v>
      </c>
      <c r="C1553" s="1054">
        <v>97201</v>
      </c>
      <c r="H1553" s="1046"/>
      <c r="K1553" s="1046"/>
      <c r="P1553" s="1046"/>
    </row>
    <row r="1554" spans="1:16" x14ac:dyDescent="0.25">
      <c r="A1554" s="1054"/>
      <c r="B1554" s="1083" t="s">
        <v>4709</v>
      </c>
      <c r="C1554" s="1054">
        <v>97304</v>
      </c>
      <c r="H1554" s="1046"/>
      <c r="K1554" s="1046"/>
      <c r="P1554" s="1046"/>
    </row>
    <row r="1555" spans="1:16" x14ac:dyDescent="0.25">
      <c r="A1555" s="1054"/>
      <c r="B1555" s="1083" t="s">
        <v>3215</v>
      </c>
      <c r="C1555" s="1054">
        <v>97301</v>
      </c>
      <c r="H1555" s="1046"/>
      <c r="K1555" s="1046"/>
      <c r="P1555" s="1046"/>
    </row>
    <row r="1556" spans="1:16" x14ac:dyDescent="0.25">
      <c r="A1556" s="1054"/>
      <c r="B1556" s="1083" t="s">
        <v>3416</v>
      </c>
      <c r="C1556" s="1054">
        <v>99405</v>
      </c>
      <c r="H1556" s="1046"/>
      <c r="K1556" s="1046"/>
      <c r="P1556" s="1046"/>
    </row>
    <row r="1557" spans="1:16" x14ac:dyDescent="0.25">
      <c r="A1557" s="1054"/>
      <c r="B1557" s="1083" t="s">
        <v>2577</v>
      </c>
      <c r="C1557" s="1085">
        <v>72265</v>
      </c>
      <c r="H1557" s="1046"/>
      <c r="K1557" s="1046"/>
      <c r="P1557" s="1046"/>
    </row>
    <row r="1558" spans="1:16" x14ac:dyDescent="0.25">
      <c r="A1558" s="1054"/>
      <c r="B1558" s="1083" t="s">
        <v>4148</v>
      </c>
      <c r="C1558" s="1054">
        <v>94112</v>
      </c>
      <c r="H1558" s="1046"/>
      <c r="K1558" s="1046"/>
      <c r="P1558" s="1046"/>
    </row>
    <row r="1559" spans="1:16" x14ac:dyDescent="0.25">
      <c r="A1559" s="1054"/>
      <c r="B1559" s="1083" t="s">
        <v>2890</v>
      </c>
      <c r="C1559" s="1054">
        <v>93406</v>
      </c>
      <c r="H1559" s="1046"/>
      <c r="K1559" s="1046"/>
      <c r="P1559" s="1046"/>
    </row>
    <row r="1560" spans="1:16" x14ac:dyDescent="0.25">
      <c r="A1560" s="1054"/>
      <c r="B1560" s="1083" t="s">
        <v>4710</v>
      </c>
      <c r="C1560" s="1054">
        <v>99651</v>
      </c>
      <c r="H1560" s="1046"/>
      <c r="K1560" s="1046"/>
      <c r="P1560" s="1046"/>
    </row>
    <row r="1561" spans="1:16" x14ac:dyDescent="0.25">
      <c r="A1561" s="1054"/>
      <c r="B1561" s="1083" t="s">
        <v>4711</v>
      </c>
      <c r="C1561" s="1054">
        <v>98611</v>
      </c>
      <c r="H1561" s="1046"/>
      <c r="K1561" s="1046"/>
      <c r="P1561" s="1046"/>
    </row>
    <row r="1562" spans="1:16" x14ac:dyDescent="0.25">
      <c r="A1562" s="1054"/>
      <c r="B1562" s="1083" t="s">
        <v>3351</v>
      </c>
      <c r="C1562" s="1054">
        <v>98607</v>
      </c>
      <c r="H1562" s="1046"/>
      <c r="K1562" s="1046"/>
      <c r="P1562" s="1046"/>
    </row>
    <row r="1563" spans="1:16" x14ac:dyDescent="0.25">
      <c r="A1563" s="1054"/>
      <c r="B1563" s="1083" t="s">
        <v>4712</v>
      </c>
      <c r="C1563" s="1054">
        <v>91641</v>
      </c>
      <c r="H1563" s="1046"/>
      <c r="K1563" s="1046"/>
      <c r="P1563" s="1046"/>
    </row>
    <row r="1564" spans="1:16" x14ac:dyDescent="0.25">
      <c r="A1564" s="1054"/>
      <c r="B1564" s="1083" t="s">
        <v>4713</v>
      </c>
      <c r="C1564" s="1054">
        <v>95161</v>
      </c>
      <c r="H1564" s="1046"/>
      <c r="K1564" s="1046"/>
      <c r="P1564" s="1046"/>
    </row>
    <row r="1565" spans="1:16" x14ac:dyDescent="0.25">
      <c r="A1565" s="1054"/>
      <c r="B1565" s="1083" t="s">
        <v>4714</v>
      </c>
      <c r="C1565" s="1054">
        <v>96361</v>
      </c>
      <c r="H1565" s="1046"/>
      <c r="K1565" s="1046"/>
      <c r="P1565" s="1046"/>
    </row>
    <row r="1566" spans="1:16" x14ac:dyDescent="0.25">
      <c r="A1566" s="1054"/>
      <c r="B1566" s="1083" t="s">
        <v>2952</v>
      </c>
      <c r="C1566" s="1054">
        <v>94108</v>
      </c>
      <c r="H1566" s="1046"/>
      <c r="K1566" s="1046"/>
      <c r="P1566" s="1046"/>
    </row>
    <row r="1567" spans="1:16" x14ac:dyDescent="0.25">
      <c r="A1567" s="1054"/>
      <c r="B1567" s="1083" t="s">
        <v>4715</v>
      </c>
      <c r="C1567" s="1054">
        <v>96351</v>
      </c>
      <c r="H1567" s="1046"/>
      <c r="K1567" s="1046"/>
      <c r="P1567" s="1046"/>
    </row>
    <row r="1568" spans="1:16" x14ac:dyDescent="0.25">
      <c r="A1568" s="1054"/>
      <c r="B1568" s="1083" t="s">
        <v>4716</v>
      </c>
      <c r="C1568" s="1054">
        <v>93331</v>
      </c>
      <c r="H1568" s="1046"/>
      <c r="K1568" s="1046"/>
      <c r="P1568" s="1046"/>
    </row>
    <row r="1569" spans="1:16" x14ac:dyDescent="0.25">
      <c r="A1569" s="1054"/>
      <c r="B1569" s="1083" t="s">
        <v>4717</v>
      </c>
      <c r="C1569" s="1054">
        <v>96021</v>
      </c>
      <c r="H1569" s="1046"/>
      <c r="K1569" s="1046"/>
      <c r="P1569" s="1046"/>
    </row>
    <row r="1570" spans="1:16" x14ac:dyDescent="0.25">
      <c r="A1570" s="1054"/>
      <c r="B1570" s="1083" t="s">
        <v>4718</v>
      </c>
      <c r="C1570" s="1054">
        <v>95421</v>
      </c>
      <c r="H1570" s="1046"/>
      <c r="K1570" s="1046"/>
      <c r="P1570" s="1046"/>
    </row>
    <row r="1571" spans="1:16" x14ac:dyDescent="0.25">
      <c r="A1571" s="1054"/>
      <c r="B1571" s="1083" t="s">
        <v>3218</v>
      </c>
      <c r="C1571" s="1054">
        <v>97401</v>
      </c>
      <c r="H1571" s="1046"/>
      <c r="K1571" s="1046"/>
      <c r="P1571" s="1046"/>
    </row>
    <row r="1572" spans="1:16" x14ac:dyDescent="0.25">
      <c r="A1572" s="1054"/>
      <c r="B1572" s="1083" t="s">
        <v>3220</v>
      </c>
      <c r="C1572" s="1054">
        <v>97404</v>
      </c>
      <c r="H1572" s="1046"/>
      <c r="K1572" s="1046"/>
      <c r="P1572" s="1046"/>
    </row>
    <row r="1573" spans="1:16" x14ac:dyDescent="0.25">
      <c r="A1573" s="1054"/>
      <c r="B1573" s="1083" t="s">
        <v>4719</v>
      </c>
      <c r="C1573" s="1054">
        <v>97402</v>
      </c>
      <c r="H1573" s="1046"/>
      <c r="K1573" s="1046"/>
      <c r="P1573" s="1046"/>
    </row>
    <row r="1574" spans="1:16" x14ac:dyDescent="0.25">
      <c r="A1574" s="1054"/>
      <c r="B1574" s="1083" t="s">
        <v>4720</v>
      </c>
      <c r="C1574" s="1054">
        <v>91921</v>
      </c>
      <c r="H1574" s="1046"/>
      <c r="K1574" s="1046"/>
      <c r="P1574" s="1046"/>
    </row>
    <row r="1575" spans="1:16" x14ac:dyDescent="0.25">
      <c r="A1575" s="1054"/>
      <c r="B1575" s="1083" t="s">
        <v>3096</v>
      </c>
      <c r="C1575" s="1054">
        <v>95908</v>
      </c>
      <c r="H1575" s="1046"/>
      <c r="K1575" s="1046"/>
      <c r="P1575" s="1046"/>
    </row>
    <row r="1576" spans="1:16" x14ac:dyDescent="0.25">
      <c r="A1576" s="1054"/>
      <c r="B1576" s="1083" t="s">
        <v>4721</v>
      </c>
      <c r="C1576" s="1054">
        <v>99411</v>
      </c>
      <c r="H1576" s="1046"/>
      <c r="K1576" s="1046"/>
      <c r="P1576" s="1046"/>
    </row>
    <row r="1577" spans="1:16" x14ac:dyDescent="0.25">
      <c r="A1577" s="1054"/>
      <c r="B1577" s="1083" t="s">
        <v>3418</v>
      </c>
      <c r="C1577" s="1054">
        <v>99413</v>
      </c>
      <c r="H1577" s="1046"/>
      <c r="K1577" s="1046"/>
      <c r="P1577" s="1046"/>
    </row>
    <row r="1578" spans="1:16" x14ac:dyDescent="0.25">
      <c r="A1578" s="1054"/>
      <c r="B1578" s="1083" t="s">
        <v>3236</v>
      </c>
      <c r="C1578" s="1054">
        <v>97501</v>
      </c>
      <c r="H1578" s="1046"/>
      <c r="K1578" s="1046"/>
      <c r="P1578" s="1046"/>
    </row>
    <row r="1579" spans="1:16" x14ac:dyDescent="0.25">
      <c r="A1579" s="1054"/>
      <c r="B1579" s="1083" t="s">
        <v>4722</v>
      </c>
      <c r="C1579" s="1054">
        <v>90431</v>
      </c>
      <c r="H1579" s="1046"/>
      <c r="K1579" s="1046"/>
      <c r="P1579" s="1046"/>
    </row>
    <row r="1580" spans="1:16" x14ac:dyDescent="0.25">
      <c r="A1580" s="1054"/>
      <c r="B1580" s="1083" t="s">
        <v>4723</v>
      </c>
      <c r="C1580" s="1054">
        <v>95211</v>
      </c>
      <c r="H1580" s="1046"/>
      <c r="K1580" s="1046"/>
      <c r="P1580" s="1046"/>
    </row>
    <row r="1581" spans="1:16" x14ac:dyDescent="0.25">
      <c r="A1581" s="1054"/>
      <c r="B1581" s="1083" t="s">
        <v>4724</v>
      </c>
      <c r="C1581" s="1054">
        <v>95181</v>
      </c>
      <c r="H1581" s="1046"/>
      <c r="K1581" s="1046"/>
      <c r="P1581" s="1046"/>
    </row>
    <row r="1582" spans="1:16" x14ac:dyDescent="0.25">
      <c r="A1582" s="1054"/>
      <c r="B1582" s="1083" t="s">
        <v>4725</v>
      </c>
      <c r="C1582" s="1054">
        <v>93351</v>
      </c>
      <c r="H1582" s="1046"/>
      <c r="K1582" s="1046"/>
      <c r="P1582" s="1046"/>
    </row>
    <row r="1583" spans="1:16" x14ac:dyDescent="0.25">
      <c r="A1583" s="1054"/>
      <c r="B1583" s="1083" t="s">
        <v>3039</v>
      </c>
      <c r="C1583" s="1054">
        <v>95105</v>
      </c>
      <c r="H1583" s="1046"/>
      <c r="K1583" s="1046"/>
      <c r="P1583" s="1046"/>
    </row>
    <row r="1584" spans="1:16" x14ac:dyDescent="0.25">
      <c r="A1584" s="1054"/>
      <c r="B1584" s="1083" t="s">
        <v>4726</v>
      </c>
      <c r="C1584" s="1054">
        <v>94711</v>
      </c>
      <c r="H1584" s="1046"/>
      <c r="K1584" s="1046"/>
      <c r="P1584" s="1046"/>
    </row>
    <row r="1585" spans="1:16" x14ac:dyDescent="0.25">
      <c r="A1585" s="1054"/>
      <c r="B1585" s="1083" t="s">
        <v>4727</v>
      </c>
      <c r="C1585" s="1054">
        <v>99211</v>
      </c>
      <c r="H1585" s="1046"/>
      <c r="K1585" s="1046"/>
      <c r="P1585" s="1046"/>
    </row>
    <row r="1586" spans="1:16" x14ac:dyDescent="0.25">
      <c r="A1586" s="1054"/>
      <c r="B1586" s="1083" t="s">
        <v>4728</v>
      </c>
      <c r="C1586" s="1054">
        <v>99213</v>
      </c>
      <c r="H1586" s="1046"/>
      <c r="K1586" s="1046"/>
      <c r="P1586" s="1046"/>
    </row>
    <row r="1587" spans="1:16" x14ac:dyDescent="0.25">
      <c r="A1587" s="1054"/>
      <c r="B1587" s="1083" t="s">
        <v>3399</v>
      </c>
      <c r="C1587" s="1054">
        <v>99218</v>
      </c>
      <c r="H1587" s="1046"/>
      <c r="K1587" s="1046"/>
      <c r="P1587" s="1046"/>
    </row>
    <row r="1588" spans="1:16" x14ac:dyDescent="0.25">
      <c r="A1588" s="1054"/>
      <c r="B1588" s="1083" t="s">
        <v>4729</v>
      </c>
      <c r="C1588" s="1054">
        <v>97641</v>
      </c>
      <c r="H1588" s="1046"/>
      <c r="K1588" s="1046"/>
      <c r="P1588" s="1046"/>
    </row>
    <row r="1589" spans="1:16" x14ac:dyDescent="0.25">
      <c r="A1589" s="1054"/>
      <c r="B1589" s="1083" t="s">
        <v>4730</v>
      </c>
      <c r="C1589" s="1054">
        <v>97621</v>
      </c>
      <c r="H1589" s="1046"/>
      <c r="K1589" s="1046"/>
      <c r="P1589" s="1046"/>
    </row>
    <row r="1590" spans="1:16" x14ac:dyDescent="0.25">
      <c r="A1590" s="1054"/>
      <c r="B1590" s="1083" t="s">
        <v>4731</v>
      </c>
      <c r="C1590" s="1054">
        <v>97627</v>
      </c>
      <c r="H1590" s="1046"/>
      <c r="K1590" s="1046"/>
      <c r="P1590" s="1046"/>
    </row>
    <row r="1591" spans="1:16" x14ac:dyDescent="0.25">
      <c r="A1591" s="1054"/>
      <c r="B1591" s="1083" t="s">
        <v>4732</v>
      </c>
      <c r="C1591" s="1054">
        <v>97623</v>
      </c>
      <c r="H1591" s="1046"/>
      <c r="K1591" s="1046"/>
      <c r="P1591" s="1046"/>
    </row>
    <row r="1592" spans="1:16" x14ac:dyDescent="0.25">
      <c r="A1592" s="1054"/>
      <c r="B1592" s="1083" t="s">
        <v>3240</v>
      </c>
      <c r="C1592" s="1054">
        <v>97601</v>
      </c>
      <c r="H1592" s="1046"/>
      <c r="K1592" s="1046"/>
      <c r="P1592" s="1046"/>
    </row>
    <row r="1593" spans="1:16" x14ac:dyDescent="0.25">
      <c r="A1593" s="1054"/>
      <c r="B1593" s="1083" t="s">
        <v>4733</v>
      </c>
      <c r="C1593" s="1054">
        <v>93681</v>
      </c>
      <c r="H1593" s="1046"/>
      <c r="K1593" s="1046"/>
      <c r="P1593" s="1046"/>
    </row>
    <row r="1594" spans="1:16" x14ac:dyDescent="0.25">
      <c r="A1594" s="1054"/>
      <c r="B1594" s="1083" t="s">
        <v>4734</v>
      </c>
      <c r="C1594" s="1054">
        <v>97871</v>
      </c>
      <c r="H1594" s="1046"/>
      <c r="K1594" s="1046"/>
      <c r="P1594" s="1046"/>
    </row>
    <row r="1595" spans="1:16" x14ac:dyDescent="0.25">
      <c r="A1595" s="1054"/>
      <c r="B1595" s="1083" t="s">
        <v>3278</v>
      </c>
      <c r="C1595" s="1054">
        <v>97877</v>
      </c>
      <c r="H1595" s="1046"/>
      <c r="K1595" s="1046"/>
      <c r="P1595" s="1046"/>
    </row>
    <row r="1596" spans="1:16" x14ac:dyDescent="0.25">
      <c r="A1596" s="1054"/>
      <c r="B1596" s="1083" t="s">
        <v>3422</v>
      </c>
      <c r="C1596" s="1054">
        <v>99502</v>
      </c>
      <c r="H1596" s="1046"/>
      <c r="K1596" s="1046"/>
      <c r="P1596" s="1046"/>
    </row>
    <row r="1597" spans="1:16" x14ac:dyDescent="0.25">
      <c r="A1597" s="1054"/>
      <c r="B1597" s="1083" t="s">
        <v>4735</v>
      </c>
      <c r="C1597" s="1054">
        <v>97911</v>
      </c>
      <c r="H1597" s="1046"/>
      <c r="K1597" s="1046"/>
      <c r="P1597" s="1046"/>
    </row>
    <row r="1598" spans="1:16" x14ac:dyDescent="0.25">
      <c r="A1598" s="1054"/>
      <c r="B1598" s="1083" t="s">
        <v>3282</v>
      </c>
      <c r="C1598" s="1054">
        <v>97917</v>
      </c>
      <c r="H1598" s="1046"/>
      <c r="K1598" s="1046"/>
      <c r="P1598" s="1046"/>
    </row>
    <row r="1599" spans="1:16" x14ac:dyDescent="0.25">
      <c r="A1599" s="1054"/>
      <c r="B1599" s="1083" t="s">
        <v>4736</v>
      </c>
      <c r="C1599" s="1054">
        <v>96611</v>
      </c>
      <c r="H1599" s="1046"/>
      <c r="K1599" s="1046"/>
      <c r="P1599" s="1046"/>
    </row>
    <row r="1600" spans="1:16" x14ac:dyDescent="0.25">
      <c r="A1600" s="1054"/>
      <c r="B1600" s="1083" t="s">
        <v>4737</v>
      </c>
      <c r="C1600" s="1054">
        <v>96741</v>
      </c>
      <c r="H1600" s="1046"/>
      <c r="K1600" s="1046"/>
      <c r="P1600" s="1046"/>
    </row>
    <row r="1601" spans="1:16" x14ac:dyDescent="0.25">
      <c r="A1601" s="1054"/>
      <c r="B1601" s="1083" t="s">
        <v>3252</v>
      </c>
      <c r="C1601" s="1054">
        <v>97701</v>
      </c>
      <c r="H1601" s="1046"/>
      <c r="K1601" s="1046"/>
      <c r="P1601" s="1046"/>
    </row>
    <row r="1602" spans="1:16" x14ac:dyDescent="0.25">
      <c r="A1602" s="1054"/>
      <c r="B1602" s="1083" t="s">
        <v>4738</v>
      </c>
      <c r="C1602" s="1054">
        <v>92541</v>
      </c>
      <c r="H1602" s="1046"/>
      <c r="K1602" s="1046"/>
      <c r="P1602" s="1046"/>
    </row>
    <row r="1603" spans="1:16" x14ac:dyDescent="0.25">
      <c r="A1603" s="1054"/>
      <c r="B1603" s="1083" t="s">
        <v>4739</v>
      </c>
      <c r="C1603" s="1054">
        <v>94221</v>
      </c>
      <c r="H1603" s="1046"/>
      <c r="K1603" s="1046"/>
      <c r="P1603" s="1046"/>
    </row>
    <row r="1604" spans="1:16" x14ac:dyDescent="0.25">
      <c r="A1604" s="1054"/>
      <c r="B1604" s="1083" t="s">
        <v>2970</v>
      </c>
      <c r="C1604" s="1054">
        <v>94209</v>
      </c>
      <c r="H1604" s="1046"/>
      <c r="K1604" s="1046"/>
      <c r="P1604" s="1046"/>
    </row>
    <row r="1605" spans="1:16" x14ac:dyDescent="0.25">
      <c r="A1605" s="1054"/>
      <c r="B1605" s="1083" t="s">
        <v>4740</v>
      </c>
      <c r="C1605" s="1054">
        <v>96341</v>
      </c>
      <c r="H1605" s="1046"/>
      <c r="K1605" s="1046"/>
      <c r="P1605" s="1046"/>
    </row>
    <row r="1606" spans="1:16" x14ac:dyDescent="0.25">
      <c r="A1606" s="1054"/>
      <c r="B1606" s="1083" t="s">
        <v>4741</v>
      </c>
      <c r="C1606" s="1054">
        <v>93821</v>
      </c>
      <c r="H1606" s="1046"/>
      <c r="K1606" s="1046"/>
      <c r="P1606" s="1046"/>
    </row>
    <row r="1607" spans="1:16" x14ac:dyDescent="0.25">
      <c r="A1607" s="1054"/>
      <c r="B1607" s="1083" t="s">
        <v>4742</v>
      </c>
      <c r="C1607" s="1054">
        <v>95851</v>
      </c>
      <c r="H1607" s="1046"/>
      <c r="K1607" s="1046"/>
      <c r="P1607" s="1046"/>
    </row>
    <row r="1608" spans="1:16" x14ac:dyDescent="0.25">
      <c r="A1608" s="1054"/>
      <c r="B1608" s="1083" t="s">
        <v>3094</v>
      </c>
      <c r="C1608" s="1054">
        <v>95853</v>
      </c>
      <c r="H1608" s="1046"/>
      <c r="K1608" s="1046"/>
      <c r="P1608" s="1046"/>
    </row>
    <row r="1609" spans="1:16" x14ac:dyDescent="0.25">
      <c r="A1609" s="1054"/>
      <c r="B1609" s="1083" t="s">
        <v>3590</v>
      </c>
      <c r="C1609" s="1054">
        <v>97801</v>
      </c>
      <c r="H1609" s="1046"/>
      <c r="K1609" s="1046"/>
      <c r="P1609" s="1046"/>
    </row>
    <row r="1610" spans="1:16" x14ac:dyDescent="0.25">
      <c r="A1610" s="1054"/>
      <c r="B1610" s="1083" t="s">
        <v>3262</v>
      </c>
      <c r="C1610" s="1054">
        <v>97803</v>
      </c>
      <c r="H1610" s="1046"/>
      <c r="K1610" s="1046"/>
      <c r="P1610" s="1046"/>
    </row>
    <row r="1611" spans="1:16" x14ac:dyDescent="0.25">
      <c r="A1611" s="1054"/>
      <c r="B1611" s="1083" t="s">
        <v>3263</v>
      </c>
      <c r="C1611" s="1054">
        <v>97805</v>
      </c>
      <c r="H1611" s="1046"/>
      <c r="K1611" s="1046"/>
      <c r="P1611" s="1046"/>
    </row>
    <row r="1612" spans="1:16" x14ac:dyDescent="0.25">
      <c r="A1612" s="1054"/>
      <c r="B1612" s="1083" t="s">
        <v>4743</v>
      </c>
      <c r="C1612" s="1054">
        <v>97711</v>
      </c>
      <c r="H1612" s="1046"/>
      <c r="K1612" s="1046"/>
      <c r="P1612" s="1046"/>
    </row>
    <row r="1613" spans="1:16" x14ac:dyDescent="0.25">
      <c r="A1613" s="1054"/>
      <c r="B1613" s="1083" t="s">
        <v>4744</v>
      </c>
      <c r="C1613" s="1054">
        <v>97727</v>
      </c>
      <c r="H1613" s="1046"/>
      <c r="K1613" s="1046"/>
      <c r="P1613" s="1046"/>
    </row>
    <row r="1614" spans="1:16" x14ac:dyDescent="0.25">
      <c r="A1614" s="1054"/>
      <c r="B1614" s="1083" t="s">
        <v>3279</v>
      </c>
      <c r="C1614" s="1054">
        <v>97901</v>
      </c>
      <c r="H1614" s="1046"/>
      <c r="K1614" s="1046"/>
      <c r="P1614" s="1046"/>
    </row>
    <row r="1615" spans="1:16" x14ac:dyDescent="0.25">
      <c r="A1615" s="1054"/>
      <c r="B1615" s="1083" t="s">
        <v>3255</v>
      </c>
      <c r="C1615" s="1054">
        <v>97713</v>
      </c>
      <c r="H1615" s="1046"/>
      <c r="K1615" s="1046"/>
      <c r="P1615" s="1046"/>
    </row>
    <row r="1616" spans="1:16" x14ac:dyDescent="0.25">
      <c r="A1616" s="1054"/>
      <c r="B1616" s="1083" t="s">
        <v>4745</v>
      </c>
      <c r="C1616" s="1054">
        <v>98071</v>
      </c>
      <c r="H1616" s="1046"/>
      <c r="K1616" s="1046"/>
      <c r="P1616" s="1046"/>
    </row>
    <row r="1617" spans="1:16" x14ac:dyDescent="0.25">
      <c r="A1617" s="1054"/>
      <c r="B1617" s="1083" t="s">
        <v>4746</v>
      </c>
      <c r="C1617" s="1054">
        <v>93321</v>
      </c>
      <c r="H1617" s="1046"/>
      <c r="K1617" s="1046"/>
      <c r="P1617" s="1046"/>
    </row>
    <row r="1618" spans="1:16" x14ac:dyDescent="0.25">
      <c r="A1618" s="1054"/>
      <c r="B1618" s="1083" t="s">
        <v>2883</v>
      </c>
      <c r="C1618" s="1054">
        <v>93323</v>
      </c>
      <c r="H1618" s="1046"/>
      <c r="K1618" s="1046"/>
      <c r="P1618" s="1046"/>
    </row>
    <row r="1619" spans="1:16" x14ac:dyDescent="0.25">
      <c r="A1619" s="1054"/>
      <c r="B1619" s="1083" t="s">
        <v>2885</v>
      </c>
      <c r="C1619" s="1054">
        <v>93333</v>
      </c>
      <c r="H1619" s="1046"/>
      <c r="K1619" s="1046"/>
      <c r="P1619" s="1046"/>
    </row>
    <row r="1620" spans="1:16" x14ac:dyDescent="0.25">
      <c r="A1620" s="1054"/>
      <c r="B1620" s="1083" t="s">
        <v>4747</v>
      </c>
      <c r="C1620" s="1054">
        <v>99203</v>
      </c>
      <c r="H1620" s="1046"/>
      <c r="K1620" s="1046"/>
      <c r="P1620" s="1046"/>
    </row>
    <row r="1621" spans="1:16" x14ac:dyDescent="0.25">
      <c r="A1621" s="1054"/>
      <c r="B1621" s="1083" t="s">
        <v>4748</v>
      </c>
      <c r="C1621" s="1054">
        <v>99421</v>
      </c>
      <c r="H1621" s="1046"/>
      <c r="K1621" s="1046"/>
      <c r="P1621" s="1046"/>
    </row>
    <row r="1622" spans="1:16" x14ac:dyDescent="0.25">
      <c r="A1622" s="1054"/>
      <c r="B1622" s="1083" t="s">
        <v>4749</v>
      </c>
      <c r="C1622" s="1054">
        <v>93161</v>
      </c>
      <c r="H1622" s="1046"/>
      <c r="K1622" s="1046"/>
      <c r="P1622" s="1046"/>
    </row>
    <row r="1623" spans="1:16" x14ac:dyDescent="0.25">
      <c r="A1623" s="1054"/>
      <c r="B1623" s="1083" t="s">
        <v>4750</v>
      </c>
      <c r="C1623" s="1054">
        <v>98261</v>
      </c>
      <c r="H1623" s="1046"/>
      <c r="K1623" s="1046"/>
      <c r="P1623" s="1046"/>
    </row>
    <row r="1624" spans="1:16" x14ac:dyDescent="0.25">
      <c r="A1624" s="1054"/>
      <c r="B1624" s="1083" t="s">
        <v>3324</v>
      </c>
      <c r="C1624" s="1054">
        <v>98237</v>
      </c>
      <c r="H1624" s="1046"/>
      <c r="K1624" s="1046"/>
      <c r="P1624" s="1046"/>
    </row>
    <row r="1625" spans="1:16" x14ac:dyDescent="0.25">
      <c r="A1625" s="1054"/>
      <c r="B1625" s="1083" t="s">
        <v>3292</v>
      </c>
      <c r="C1625" s="1054">
        <v>98003</v>
      </c>
      <c r="H1625" s="1046"/>
      <c r="K1625" s="1046"/>
      <c r="P1625" s="1046"/>
    </row>
    <row r="1626" spans="1:16" x14ac:dyDescent="0.25">
      <c r="A1626" s="1054"/>
      <c r="B1626" s="1083" t="s">
        <v>4751</v>
      </c>
      <c r="C1626" s="1054">
        <v>98008</v>
      </c>
      <c r="H1626" s="1046"/>
      <c r="K1626" s="1046"/>
      <c r="P1626" s="1046"/>
    </row>
    <row r="1627" spans="1:16" x14ac:dyDescent="0.25">
      <c r="A1627" s="1054"/>
      <c r="B1627" s="1083" t="s">
        <v>3291</v>
      </c>
      <c r="C1627" s="1054">
        <v>98002</v>
      </c>
      <c r="H1627" s="1046"/>
      <c r="K1627" s="1046"/>
      <c r="P1627" s="1046"/>
    </row>
    <row r="1628" spans="1:16" x14ac:dyDescent="0.25">
      <c r="A1628" s="1054"/>
      <c r="B1628" s="1083" t="s">
        <v>3290</v>
      </c>
      <c r="C1628" s="1054">
        <v>98001</v>
      </c>
      <c r="H1628" s="1046"/>
      <c r="K1628" s="1046"/>
      <c r="P1628" s="1046"/>
    </row>
    <row r="1629" spans="1:16" x14ac:dyDescent="0.25">
      <c r="A1629" s="1054"/>
      <c r="B1629" s="1083" t="s">
        <v>3293</v>
      </c>
      <c r="C1629" s="1054">
        <v>98004</v>
      </c>
      <c r="H1629" s="1046"/>
      <c r="K1629" s="1046"/>
      <c r="P1629" s="1046"/>
    </row>
    <row r="1630" spans="1:16" x14ac:dyDescent="0.25">
      <c r="A1630" s="1054"/>
      <c r="B1630" s="1083" t="s">
        <v>4752</v>
      </c>
      <c r="C1630" s="1054">
        <v>97861</v>
      </c>
      <c r="H1630" s="1046"/>
      <c r="K1630" s="1046"/>
      <c r="P1630" s="1046"/>
    </row>
    <row r="1631" spans="1:16" x14ac:dyDescent="0.25">
      <c r="A1631" s="1054"/>
      <c r="B1631" s="1083" t="s">
        <v>4753</v>
      </c>
      <c r="C1631" s="1054">
        <v>97311</v>
      </c>
      <c r="H1631" s="1046"/>
      <c r="K1631" s="1046"/>
      <c r="P1631" s="1046"/>
    </row>
    <row r="1632" spans="1:16" x14ac:dyDescent="0.25">
      <c r="A1632" s="1054"/>
      <c r="B1632" s="1083" t="s">
        <v>4754</v>
      </c>
      <c r="C1632" s="1054">
        <v>93431</v>
      </c>
      <c r="H1632" s="1046"/>
      <c r="K1632" s="1046"/>
      <c r="P1632" s="1046"/>
    </row>
    <row r="1633" spans="1:16" x14ac:dyDescent="0.25">
      <c r="A1633" s="1054"/>
      <c r="B1633" s="1083" t="s">
        <v>4755</v>
      </c>
      <c r="C1633" s="1054">
        <v>91214</v>
      </c>
      <c r="H1633" s="1046"/>
      <c r="K1633" s="1046"/>
      <c r="P1633" s="1046"/>
    </row>
    <row r="1634" spans="1:16" x14ac:dyDescent="0.25">
      <c r="A1634" s="1054"/>
      <c r="B1634" s="1083" t="s">
        <v>3306</v>
      </c>
      <c r="C1634" s="1054">
        <v>98101</v>
      </c>
      <c r="H1634" s="1046"/>
      <c r="K1634" s="1046"/>
      <c r="P1634" s="1046"/>
    </row>
    <row r="1635" spans="1:16" x14ac:dyDescent="0.25">
      <c r="A1635" s="1054"/>
      <c r="B1635" s="1083" t="s">
        <v>4756</v>
      </c>
      <c r="C1635" s="1054">
        <v>98103</v>
      </c>
      <c r="H1635" s="1046"/>
      <c r="K1635" s="1046"/>
      <c r="P1635" s="1046"/>
    </row>
    <row r="1636" spans="1:16" x14ac:dyDescent="0.25">
      <c r="A1636" s="1054"/>
      <c r="B1636" s="1083" t="s">
        <v>4757</v>
      </c>
      <c r="C1636" s="1054">
        <v>98141</v>
      </c>
      <c r="H1636" s="1046"/>
      <c r="K1636" s="1046"/>
      <c r="P1636" s="1046"/>
    </row>
    <row r="1637" spans="1:16" x14ac:dyDescent="0.25">
      <c r="A1637" s="1054"/>
      <c r="B1637" s="1083" t="s">
        <v>4758</v>
      </c>
      <c r="C1637" s="1054">
        <v>98147</v>
      </c>
      <c r="H1637" s="1046"/>
      <c r="K1637" s="1046"/>
      <c r="P1637" s="1046"/>
    </row>
    <row r="1638" spans="1:16" x14ac:dyDescent="0.25">
      <c r="A1638" s="1054"/>
      <c r="B1638" s="1083" t="s">
        <v>4759</v>
      </c>
      <c r="C1638" s="1054">
        <v>91032</v>
      </c>
      <c r="H1638" s="1046"/>
      <c r="K1638" s="1046"/>
      <c r="P1638" s="1046"/>
    </row>
    <row r="1639" spans="1:16" x14ac:dyDescent="0.25">
      <c r="A1639" s="1054"/>
      <c r="B1639" s="1083" t="s">
        <v>4760</v>
      </c>
      <c r="C1639" s="1054">
        <v>97831</v>
      </c>
      <c r="H1639" s="1046"/>
      <c r="K1639" s="1046"/>
      <c r="P1639" s="1046"/>
    </row>
    <row r="1640" spans="1:16" x14ac:dyDescent="0.25">
      <c r="A1640" s="1054"/>
      <c r="B1640" s="1083" t="s">
        <v>4761</v>
      </c>
      <c r="C1640" s="1054">
        <v>97837</v>
      </c>
      <c r="H1640" s="1046"/>
      <c r="K1640" s="1046"/>
      <c r="P1640" s="1046"/>
    </row>
    <row r="1641" spans="1:16" x14ac:dyDescent="0.25">
      <c r="A1641" s="1054"/>
      <c r="B1641" s="1083" t="s">
        <v>4762</v>
      </c>
      <c r="C1641" s="1054">
        <v>98221</v>
      </c>
      <c r="H1641" s="1046"/>
      <c r="K1641" s="1046"/>
      <c r="P1641" s="1046"/>
    </row>
    <row r="1642" spans="1:16" x14ac:dyDescent="0.25">
      <c r="A1642" s="1054"/>
      <c r="B1642" s="1083" t="s">
        <v>4763</v>
      </c>
      <c r="C1642" s="1054">
        <v>98011</v>
      </c>
      <c r="H1642" s="1046"/>
      <c r="K1642" s="1046"/>
      <c r="P1642" s="1046"/>
    </row>
    <row r="1643" spans="1:16" x14ac:dyDescent="0.25">
      <c r="A1643" s="1054"/>
      <c r="B1643" s="1083" t="s">
        <v>4764</v>
      </c>
      <c r="C1643" s="1054">
        <v>98013</v>
      </c>
      <c r="H1643" s="1046"/>
      <c r="K1643" s="1046"/>
      <c r="P1643" s="1046"/>
    </row>
    <row r="1644" spans="1:16" x14ac:dyDescent="0.25">
      <c r="A1644" s="1054"/>
      <c r="B1644" s="1083" t="s">
        <v>4765</v>
      </c>
      <c r="C1644" s="1054">
        <v>97531</v>
      </c>
      <c r="H1644" s="1046"/>
      <c r="K1644" s="1046"/>
      <c r="P1644" s="1046"/>
    </row>
    <row r="1645" spans="1:16" x14ac:dyDescent="0.25">
      <c r="A1645" s="1054"/>
      <c r="B1645" s="1083" t="s">
        <v>3318</v>
      </c>
      <c r="C1645" s="1054">
        <v>98201</v>
      </c>
      <c r="H1645" s="1046"/>
      <c r="K1645" s="1046"/>
      <c r="P1645" s="1046"/>
    </row>
    <row r="1646" spans="1:16" x14ac:dyDescent="0.25">
      <c r="A1646" s="1054"/>
      <c r="B1646" s="1083" t="s">
        <v>3253</v>
      </c>
      <c r="C1646" s="1054">
        <v>97705</v>
      </c>
      <c r="H1646" s="1046"/>
      <c r="K1646" s="1046"/>
      <c r="P1646" s="1046"/>
    </row>
    <row r="1647" spans="1:16" x14ac:dyDescent="0.25">
      <c r="A1647" s="1054"/>
      <c r="B1647" s="1083" t="s">
        <v>3134</v>
      </c>
      <c r="C1647" s="1054">
        <v>96318</v>
      </c>
      <c r="H1647" s="1046"/>
      <c r="K1647" s="1046"/>
      <c r="P1647" s="1046"/>
    </row>
    <row r="1648" spans="1:16" x14ac:dyDescent="0.25">
      <c r="A1648" s="1054"/>
      <c r="B1648" s="1083" t="s">
        <v>4766</v>
      </c>
      <c r="C1648" s="1054">
        <v>95311</v>
      </c>
      <c r="H1648" s="1046"/>
      <c r="K1648" s="1046"/>
      <c r="P1648" s="1046"/>
    </row>
    <row r="1649" spans="1:16" x14ac:dyDescent="0.25">
      <c r="A1649" s="1054"/>
      <c r="B1649" s="1083" t="s">
        <v>3061</v>
      </c>
      <c r="C1649" s="1054">
        <v>95317</v>
      </c>
      <c r="H1649" s="1046"/>
      <c r="K1649" s="1046"/>
      <c r="P1649" s="1046"/>
    </row>
    <row r="1650" spans="1:16" x14ac:dyDescent="0.25">
      <c r="A1650" s="1054"/>
      <c r="B1650" s="1083" t="s">
        <v>4767</v>
      </c>
      <c r="C1650" s="1054">
        <v>91421</v>
      </c>
      <c r="H1650" s="1046"/>
      <c r="K1650" s="1046"/>
      <c r="P1650" s="1046"/>
    </row>
    <row r="1651" spans="1:16" x14ac:dyDescent="0.25">
      <c r="A1651" s="1054"/>
      <c r="B1651" s="1083" t="s">
        <v>3329</v>
      </c>
      <c r="C1651" s="1054">
        <v>98301</v>
      </c>
      <c r="H1651" s="1046"/>
      <c r="K1651" s="1046"/>
      <c r="P1651" s="1046"/>
    </row>
    <row r="1652" spans="1:16" x14ac:dyDescent="0.25">
      <c r="A1652" s="1054"/>
      <c r="B1652" s="1083" t="s">
        <v>3330</v>
      </c>
      <c r="C1652" s="1054">
        <v>98304</v>
      </c>
      <c r="H1652" s="1046"/>
      <c r="K1652" s="1046"/>
      <c r="P1652" s="1046"/>
    </row>
    <row r="1653" spans="1:16" x14ac:dyDescent="0.25">
      <c r="A1653" s="1054"/>
      <c r="B1653" s="1083" t="s">
        <v>4768</v>
      </c>
      <c r="C1653" s="1054">
        <v>94241</v>
      </c>
      <c r="H1653" s="1046"/>
      <c r="K1653" s="1046"/>
      <c r="P1653" s="1046"/>
    </row>
    <row r="1654" spans="1:16" x14ac:dyDescent="0.25">
      <c r="A1654" s="1054"/>
      <c r="B1654" s="1083" t="s">
        <v>4769</v>
      </c>
      <c r="C1654" s="1054">
        <v>96681</v>
      </c>
      <c r="H1654" s="1046"/>
      <c r="K1654" s="1046"/>
      <c r="P1654" s="1046"/>
    </row>
    <row r="1655" spans="1:16" x14ac:dyDescent="0.25">
      <c r="A1655" s="1054"/>
      <c r="B1655" s="1083" t="s">
        <v>4770</v>
      </c>
      <c r="C1655" s="1085">
        <v>72593</v>
      </c>
      <c r="H1655" s="1046"/>
      <c r="K1655" s="1046"/>
      <c r="P1655" s="1046"/>
    </row>
    <row r="1656" spans="1:16" x14ac:dyDescent="0.25">
      <c r="A1656" s="1054"/>
      <c r="B1656" s="1083" t="s">
        <v>4771</v>
      </c>
      <c r="C1656" s="1054">
        <v>95121</v>
      </c>
      <c r="H1656" s="1046"/>
      <c r="K1656" s="1046"/>
      <c r="P1656" s="1046"/>
    </row>
    <row r="1657" spans="1:16" x14ac:dyDescent="0.25">
      <c r="A1657" s="1054"/>
      <c r="B1657" s="1083" t="s">
        <v>3046</v>
      </c>
      <c r="C1657" s="1054">
        <v>95123</v>
      </c>
      <c r="H1657" s="1046"/>
      <c r="K1657" s="1046"/>
      <c r="P1657" s="1046"/>
    </row>
    <row r="1658" spans="1:16" x14ac:dyDescent="0.25">
      <c r="A1658" s="1054"/>
      <c r="B1658" s="1083" t="s">
        <v>4772</v>
      </c>
      <c r="C1658" s="1054">
        <v>99531</v>
      </c>
      <c r="H1658" s="1046"/>
      <c r="K1658" s="1046"/>
      <c r="P1658" s="1046"/>
    </row>
    <row r="1659" spans="1:16" x14ac:dyDescent="0.25">
      <c r="A1659" s="1054"/>
      <c r="B1659" s="1083" t="s">
        <v>4773</v>
      </c>
      <c r="C1659" s="1054">
        <v>96671</v>
      </c>
      <c r="H1659" s="1046"/>
      <c r="K1659" s="1046"/>
      <c r="P1659" s="1046"/>
    </row>
    <row r="1660" spans="1:16" x14ac:dyDescent="0.25">
      <c r="A1660" s="1054"/>
      <c r="B1660" s="1083" t="s">
        <v>4774</v>
      </c>
      <c r="C1660" s="1054">
        <v>91081</v>
      </c>
      <c r="H1660" s="1046"/>
      <c r="K1660" s="1046"/>
      <c r="P1660" s="1046"/>
    </row>
    <row r="1661" spans="1:16" x14ac:dyDescent="0.25">
      <c r="A1661" s="1054"/>
      <c r="B1661" s="1083" t="s">
        <v>2670</v>
      </c>
      <c r="C1661" s="1054">
        <v>91057</v>
      </c>
      <c r="H1661" s="1046"/>
      <c r="K1661" s="1046"/>
      <c r="P1661" s="1046"/>
    </row>
    <row r="1662" spans="1:16" x14ac:dyDescent="0.25">
      <c r="A1662" s="1054"/>
      <c r="B1662" s="1083" t="s">
        <v>4775</v>
      </c>
      <c r="C1662" s="1054">
        <v>96461</v>
      </c>
      <c r="H1662" s="1046"/>
      <c r="K1662" s="1046"/>
      <c r="P1662" s="1046"/>
    </row>
    <row r="1663" spans="1:16" x14ac:dyDescent="0.25">
      <c r="A1663" s="1054"/>
      <c r="B1663" s="1083" t="s">
        <v>4776</v>
      </c>
      <c r="C1663" s="1054">
        <v>92311</v>
      </c>
      <c r="H1663" s="1046"/>
      <c r="K1663" s="1046"/>
      <c r="P1663" s="1046"/>
    </row>
    <row r="1664" spans="1:16" x14ac:dyDescent="0.25">
      <c r="A1664" s="1054"/>
      <c r="B1664" s="1083" t="s">
        <v>2784</v>
      </c>
      <c r="C1664" s="1054">
        <v>92317</v>
      </c>
      <c r="H1664" s="1046"/>
      <c r="K1664" s="1046"/>
      <c r="P1664" s="1046"/>
    </row>
    <row r="1665" spans="1:16" x14ac:dyDescent="0.25">
      <c r="A1665" s="1054"/>
      <c r="B1665" s="1083" t="s">
        <v>3221</v>
      </c>
      <c r="C1665" s="1054">
        <v>97405</v>
      </c>
      <c r="H1665" s="1046"/>
      <c r="K1665" s="1046"/>
      <c r="P1665" s="1046"/>
    </row>
    <row r="1666" spans="1:16" x14ac:dyDescent="0.25">
      <c r="A1666" s="1054"/>
      <c r="B1666" s="1083" t="s">
        <v>4777</v>
      </c>
      <c r="C1666" s="1054">
        <v>91911</v>
      </c>
      <c r="H1666" s="1046"/>
      <c r="K1666" s="1046"/>
      <c r="P1666" s="1046"/>
    </row>
    <row r="1667" spans="1:16" x14ac:dyDescent="0.25">
      <c r="A1667" s="1054"/>
      <c r="B1667" s="1083" t="s">
        <v>2768</v>
      </c>
      <c r="C1667" s="1054">
        <v>91917</v>
      </c>
      <c r="H1667" s="1046"/>
      <c r="K1667" s="1046"/>
      <c r="P1667" s="1046"/>
    </row>
    <row r="1668" spans="1:16" x14ac:dyDescent="0.25">
      <c r="A1668" s="1054"/>
      <c r="B1668" s="1083" t="s">
        <v>4778</v>
      </c>
      <c r="C1668" s="1054">
        <v>97481</v>
      </c>
      <c r="H1668" s="1046"/>
      <c r="K1668" s="1046"/>
      <c r="P1668" s="1046"/>
    </row>
    <row r="1669" spans="1:16" x14ac:dyDescent="0.25">
      <c r="A1669" s="1054"/>
      <c r="B1669" s="1083" t="s">
        <v>2688</v>
      </c>
      <c r="C1669" s="1061">
        <v>91138</v>
      </c>
      <c r="H1669" s="1046"/>
      <c r="K1669" s="1046"/>
      <c r="P1669" s="1046"/>
    </row>
    <row r="1670" spans="1:16" x14ac:dyDescent="0.25">
      <c r="A1670" s="1054"/>
      <c r="B1670" s="1083" t="s">
        <v>4779</v>
      </c>
      <c r="C1670" s="1054">
        <v>95111</v>
      </c>
      <c r="H1670" s="1046"/>
      <c r="K1670" s="1046"/>
      <c r="P1670" s="1046"/>
    </row>
    <row r="1671" spans="1:16" x14ac:dyDescent="0.25">
      <c r="A1671" s="1054"/>
      <c r="B1671" s="1083" t="s">
        <v>3043</v>
      </c>
      <c r="C1671" s="1054">
        <v>95113</v>
      </c>
      <c r="H1671" s="1046"/>
      <c r="K1671" s="1046"/>
      <c r="P1671" s="1046"/>
    </row>
    <row r="1672" spans="1:16" x14ac:dyDescent="0.25">
      <c r="A1672" s="1054"/>
      <c r="B1672" s="1083" t="s">
        <v>4780</v>
      </c>
      <c r="C1672" s="1054">
        <v>94021</v>
      </c>
      <c r="H1672" s="1046"/>
      <c r="K1672" s="1046"/>
      <c r="P1672" s="1046"/>
    </row>
    <row r="1673" spans="1:16" x14ac:dyDescent="0.25">
      <c r="A1673" s="1054"/>
      <c r="B1673" s="1083" t="s">
        <v>2643</v>
      </c>
      <c r="C1673" s="1054">
        <v>90918</v>
      </c>
      <c r="H1673" s="1046"/>
      <c r="K1673" s="1046"/>
      <c r="P1673" s="1046"/>
    </row>
    <row r="1674" spans="1:16" x14ac:dyDescent="0.25">
      <c r="A1674" s="1054"/>
      <c r="B1674" s="1083" t="s">
        <v>2937</v>
      </c>
      <c r="C1674" s="1054">
        <v>93910</v>
      </c>
      <c r="H1674" s="1046"/>
      <c r="K1674" s="1046"/>
      <c r="P1674" s="1046"/>
    </row>
    <row r="1675" spans="1:16" x14ac:dyDescent="0.25">
      <c r="A1675" s="1054"/>
      <c r="B1675" s="1083" t="s">
        <v>2658</v>
      </c>
      <c r="C1675" s="1054">
        <v>91013</v>
      </c>
      <c r="H1675" s="1046"/>
      <c r="K1675" s="1046"/>
      <c r="P1675" s="1046"/>
    </row>
    <row r="1676" spans="1:16" x14ac:dyDescent="0.25">
      <c r="A1676" s="1054"/>
      <c r="B1676" s="1083" t="s">
        <v>4781</v>
      </c>
      <c r="C1676" s="1054">
        <v>96311</v>
      </c>
      <c r="H1676" s="1046"/>
      <c r="K1676" s="1046"/>
      <c r="P1676" s="1046"/>
    </row>
    <row r="1677" spans="1:16" x14ac:dyDescent="0.25">
      <c r="A1677" s="1054"/>
      <c r="B1677" s="1083" t="s">
        <v>4782</v>
      </c>
      <c r="C1677" s="1054">
        <v>92841</v>
      </c>
      <c r="H1677" s="1046"/>
      <c r="K1677" s="1046"/>
      <c r="P1677" s="1046"/>
    </row>
    <row r="1678" spans="1:16" x14ac:dyDescent="0.25">
      <c r="A1678" s="1054"/>
      <c r="B1678" s="1083" t="s">
        <v>3433</v>
      </c>
      <c r="C1678" s="1054">
        <v>99609</v>
      </c>
      <c r="H1678" s="1046"/>
      <c r="K1678" s="1046"/>
      <c r="P1678" s="1046"/>
    </row>
    <row r="1679" spans="1:16" x14ac:dyDescent="0.25">
      <c r="A1679" s="1054"/>
      <c r="B1679" s="1083" t="s">
        <v>4783</v>
      </c>
      <c r="C1679" s="1054">
        <v>91011</v>
      </c>
      <c r="H1679" s="1046"/>
      <c r="K1679" s="1046"/>
      <c r="P1679" s="1046"/>
    </row>
    <row r="1680" spans="1:16" x14ac:dyDescent="0.25">
      <c r="A1680" s="1054"/>
      <c r="B1680" s="1083" t="s">
        <v>4784</v>
      </c>
      <c r="C1680" s="1054">
        <v>91017</v>
      </c>
      <c r="H1680" s="1046"/>
      <c r="K1680" s="1046"/>
      <c r="P1680" s="1046"/>
    </row>
    <row r="1681" spans="1:16" x14ac:dyDescent="0.25">
      <c r="A1681" s="1054"/>
      <c r="B1681" s="1083" t="s">
        <v>3032</v>
      </c>
      <c r="C1681" s="1054">
        <v>95008</v>
      </c>
      <c r="H1681" s="1046"/>
      <c r="K1681" s="1046"/>
      <c r="P1681" s="1046"/>
    </row>
    <row r="1682" spans="1:16" x14ac:dyDescent="0.25">
      <c r="A1682" s="1054"/>
      <c r="B1682" s="1083" t="s">
        <v>4785</v>
      </c>
      <c r="C1682" s="1054">
        <v>72657</v>
      </c>
      <c r="H1682" s="1046"/>
      <c r="K1682" s="1046"/>
      <c r="P1682" s="1046"/>
    </row>
    <row r="1683" spans="1:16" x14ac:dyDescent="0.25">
      <c r="A1683" s="1054"/>
      <c r="B1683" s="1083" t="s">
        <v>4786</v>
      </c>
      <c r="C1683" s="1054">
        <v>90307</v>
      </c>
      <c r="H1683" s="1046"/>
      <c r="K1683" s="1046"/>
      <c r="P1683" s="1046"/>
    </row>
    <row r="1684" spans="1:16" x14ac:dyDescent="0.25">
      <c r="A1684" s="1054"/>
      <c r="B1684" s="1083" t="s">
        <v>4787</v>
      </c>
      <c r="C1684" s="1054">
        <v>98031</v>
      </c>
      <c r="H1684" s="1046"/>
      <c r="K1684" s="1046"/>
      <c r="P1684" s="1046"/>
    </row>
    <row r="1685" spans="1:16" x14ac:dyDescent="0.25">
      <c r="A1685" s="1054"/>
      <c r="B1685" s="1083" t="s">
        <v>4788</v>
      </c>
      <c r="C1685" s="1054">
        <v>98121</v>
      </c>
      <c r="H1685" s="1046"/>
      <c r="K1685" s="1046"/>
      <c r="P1685" s="1046"/>
    </row>
    <row r="1686" spans="1:16" x14ac:dyDescent="0.25">
      <c r="A1686" s="1054"/>
      <c r="B1686" s="1083" t="s">
        <v>4789</v>
      </c>
      <c r="C1686" s="1054">
        <v>96411</v>
      </c>
      <c r="H1686" s="1046"/>
      <c r="K1686" s="1046"/>
      <c r="P1686" s="1046"/>
    </row>
    <row r="1687" spans="1:16" x14ac:dyDescent="0.25">
      <c r="A1687" s="1054"/>
      <c r="B1687" s="1083" t="s">
        <v>4790</v>
      </c>
      <c r="C1687" s="1054">
        <v>92661</v>
      </c>
      <c r="H1687" s="1046"/>
      <c r="K1687" s="1046"/>
      <c r="P1687" s="1046"/>
    </row>
    <row r="1688" spans="1:16" x14ac:dyDescent="0.25">
      <c r="A1688" s="1054"/>
      <c r="B1688" s="1083" t="s">
        <v>4791</v>
      </c>
      <c r="C1688" s="1054">
        <v>96111</v>
      </c>
      <c r="H1688" s="1046"/>
      <c r="K1688" s="1046"/>
      <c r="P1688" s="1046"/>
    </row>
    <row r="1689" spans="1:16" x14ac:dyDescent="0.25">
      <c r="A1689" s="1054"/>
      <c r="B1689" s="1083" t="s">
        <v>4792</v>
      </c>
      <c r="C1689" s="1054">
        <v>96061</v>
      </c>
      <c r="H1689" s="1046"/>
      <c r="K1689" s="1046"/>
      <c r="P1689" s="1046"/>
    </row>
    <row r="1690" spans="1:16" x14ac:dyDescent="0.25">
      <c r="A1690" s="1054"/>
      <c r="B1690" s="1083" t="s">
        <v>4793</v>
      </c>
      <c r="C1690" s="1054">
        <v>98481</v>
      </c>
      <c r="H1690" s="1046"/>
      <c r="K1690" s="1046"/>
      <c r="P1690" s="1046"/>
    </row>
    <row r="1691" spans="1:16" x14ac:dyDescent="0.25">
      <c r="A1691" s="1054"/>
      <c r="B1691" s="1083" t="s">
        <v>4136</v>
      </c>
      <c r="C1691" s="1054">
        <v>93602</v>
      </c>
      <c r="H1691" s="1046"/>
      <c r="K1691" s="1046"/>
      <c r="P1691" s="1046"/>
    </row>
    <row r="1692" spans="1:16" x14ac:dyDescent="0.25">
      <c r="A1692" s="1054"/>
      <c r="B1692" s="1083" t="s">
        <v>3336</v>
      </c>
      <c r="C1692" s="1054">
        <v>98401</v>
      </c>
      <c r="H1692" s="1046"/>
      <c r="K1692" s="1046"/>
      <c r="P1692" s="1046"/>
    </row>
    <row r="1693" spans="1:16" x14ac:dyDescent="0.25">
      <c r="A1693" s="1054"/>
      <c r="B1693" s="1083" t="s">
        <v>4794</v>
      </c>
      <c r="C1693" s="1061">
        <v>99821</v>
      </c>
      <c r="H1693" s="1046"/>
      <c r="K1693" s="1046"/>
      <c r="P1693" s="1046"/>
    </row>
    <row r="1694" spans="1:16" x14ac:dyDescent="0.25">
      <c r="A1694" s="1054"/>
      <c r="B1694" s="1083" t="s">
        <v>4795</v>
      </c>
      <c r="C1694" s="1054">
        <v>96211</v>
      </c>
      <c r="H1694" s="1046"/>
      <c r="K1694" s="1046"/>
      <c r="P1694" s="1046"/>
    </row>
    <row r="1695" spans="1:16" x14ac:dyDescent="0.25">
      <c r="A1695" s="1054"/>
      <c r="B1695" s="1083" t="s">
        <v>4796</v>
      </c>
      <c r="C1695" s="1054">
        <v>94911</v>
      </c>
      <c r="H1695" s="1046"/>
      <c r="K1695" s="1046"/>
      <c r="P1695" s="1046"/>
    </row>
    <row r="1696" spans="1:16" x14ac:dyDescent="0.25">
      <c r="A1696" s="1054"/>
      <c r="B1696" s="1083" t="s">
        <v>3023</v>
      </c>
      <c r="C1696" s="1054">
        <v>94917</v>
      </c>
      <c r="H1696" s="1046"/>
      <c r="K1696" s="1046"/>
      <c r="P1696" s="1046"/>
    </row>
    <row r="1697" spans="1:16" x14ac:dyDescent="0.25">
      <c r="A1697" s="1054"/>
      <c r="B1697" s="1083" t="s">
        <v>4797</v>
      </c>
      <c r="C1697" s="1054">
        <v>92621</v>
      </c>
      <c r="H1697" s="1046"/>
      <c r="K1697" s="1046"/>
      <c r="P1697" s="1046"/>
    </row>
    <row r="1698" spans="1:16" x14ac:dyDescent="0.25">
      <c r="A1698" s="1054"/>
      <c r="B1698" s="1083" t="s">
        <v>3345</v>
      </c>
      <c r="C1698" s="1054">
        <v>98501</v>
      </c>
      <c r="H1698" s="1046"/>
      <c r="K1698" s="1046"/>
      <c r="P1698" s="1046"/>
    </row>
    <row r="1699" spans="1:16" x14ac:dyDescent="0.25">
      <c r="A1699" s="1054"/>
      <c r="B1699" s="1083" t="s">
        <v>4798</v>
      </c>
      <c r="C1699" s="1054">
        <v>97931</v>
      </c>
      <c r="H1699" s="1046"/>
      <c r="K1699" s="1046"/>
      <c r="P1699" s="1046"/>
    </row>
    <row r="1700" spans="1:16" x14ac:dyDescent="0.25">
      <c r="A1700" s="1054"/>
      <c r="B1700" s="1083" t="s">
        <v>4799</v>
      </c>
      <c r="C1700" s="1054">
        <v>93914</v>
      </c>
      <c r="H1700" s="1046"/>
      <c r="K1700" s="1046"/>
      <c r="P1700" s="1046"/>
    </row>
    <row r="1701" spans="1:16" x14ac:dyDescent="0.25">
      <c r="A1701" s="1054"/>
      <c r="B1701" s="1083" t="s">
        <v>4800</v>
      </c>
      <c r="C1701" s="1054">
        <v>90651</v>
      </c>
      <c r="H1701" s="1046"/>
      <c r="K1701" s="1046"/>
      <c r="P1701" s="1046"/>
    </row>
    <row r="1702" spans="1:16" x14ac:dyDescent="0.25">
      <c r="A1702" s="1054"/>
      <c r="B1702" s="1083" t="s">
        <v>4801</v>
      </c>
      <c r="C1702" s="1054">
        <v>94171</v>
      </c>
      <c r="H1702" s="1046"/>
      <c r="K1702" s="1046"/>
      <c r="P1702" s="1046"/>
    </row>
    <row r="1703" spans="1:16" x14ac:dyDescent="0.25">
      <c r="A1703" s="1054"/>
      <c r="B1703" s="1083" t="s">
        <v>2966</v>
      </c>
      <c r="C1703" s="1054">
        <v>94172</v>
      </c>
      <c r="H1703" s="1046"/>
      <c r="K1703" s="1046"/>
      <c r="P1703" s="1046"/>
    </row>
    <row r="1704" spans="1:16" x14ac:dyDescent="0.25">
      <c r="A1704" s="1054"/>
      <c r="B1704" s="1083" t="s">
        <v>4802</v>
      </c>
      <c r="C1704" s="1054">
        <v>91041</v>
      </c>
      <c r="H1704" s="1046"/>
      <c r="K1704" s="1046"/>
      <c r="P1704" s="1046"/>
    </row>
    <row r="1705" spans="1:16" x14ac:dyDescent="0.25">
      <c r="A1705" s="1054"/>
      <c r="B1705" s="1083" t="s">
        <v>4803</v>
      </c>
      <c r="C1705" s="1054">
        <v>91047</v>
      </c>
      <c r="H1705" s="1046"/>
      <c r="K1705" s="1046"/>
      <c r="P1705" s="1046"/>
    </row>
    <row r="1706" spans="1:16" x14ac:dyDescent="0.25">
      <c r="A1706" s="1054"/>
      <c r="B1706" s="1083" t="s">
        <v>4804</v>
      </c>
      <c r="C1706" s="1054">
        <v>97131</v>
      </c>
      <c r="H1706" s="1046"/>
      <c r="K1706" s="1046"/>
      <c r="P1706" s="1046"/>
    </row>
    <row r="1707" spans="1:16" x14ac:dyDescent="0.25">
      <c r="A1707" s="1054"/>
      <c r="B1707" s="1083" t="s">
        <v>3349</v>
      </c>
      <c r="C1707" s="1054">
        <v>98601</v>
      </c>
      <c r="H1707" s="1046"/>
      <c r="K1707" s="1046"/>
      <c r="P1707" s="1046"/>
    </row>
    <row r="1708" spans="1:16" x14ac:dyDescent="0.25">
      <c r="A1708" s="1054"/>
      <c r="B1708" s="1083" t="s">
        <v>3360</v>
      </c>
      <c r="C1708" s="1054">
        <v>98701</v>
      </c>
      <c r="H1708" s="1046"/>
      <c r="K1708" s="1046"/>
      <c r="P1708" s="1046"/>
    </row>
    <row r="1709" spans="1:16" x14ac:dyDescent="0.25">
      <c r="A1709" s="1054"/>
      <c r="B1709" s="1083" t="s">
        <v>4805</v>
      </c>
      <c r="C1709" s="1054">
        <v>96721</v>
      </c>
      <c r="H1709" s="1046"/>
      <c r="K1709" s="1046"/>
      <c r="P1709" s="1046"/>
    </row>
    <row r="1710" spans="1:16" x14ac:dyDescent="0.25">
      <c r="A1710" s="1054"/>
      <c r="B1710" s="1083" t="s">
        <v>4806</v>
      </c>
      <c r="C1710" s="1054">
        <v>95011</v>
      </c>
      <c r="H1710" s="1046"/>
      <c r="K1710" s="1046"/>
      <c r="P1710" s="1046"/>
    </row>
    <row r="1711" spans="1:16" x14ac:dyDescent="0.25">
      <c r="A1711" s="1054"/>
      <c r="B1711" s="1083" t="s">
        <v>4807</v>
      </c>
      <c r="C1711" s="1054">
        <v>92451</v>
      </c>
      <c r="H1711" s="1046"/>
      <c r="K1711" s="1046"/>
      <c r="P1711" s="1046"/>
    </row>
    <row r="1712" spans="1:16" x14ac:dyDescent="0.25">
      <c r="A1712" s="1054"/>
      <c r="B1712" s="1083" t="s">
        <v>4808</v>
      </c>
      <c r="C1712" s="1054">
        <v>93311</v>
      </c>
      <c r="H1712" s="1046"/>
      <c r="K1712" s="1046"/>
      <c r="P1712" s="1046"/>
    </row>
    <row r="1713" spans="1:16" x14ac:dyDescent="0.25">
      <c r="A1713" s="1054"/>
      <c r="B1713" s="1083" t="s">
        <v>2881</v>
      </c>
      <c r="C1713" s="1054">
        <v>93317</v>
      </c>
      <c r="H1713" s="1046"/>
      <c r="K1713" s="1046"/>
      <c r="P1713" s="1046"/>
    </row>
    <row r="1714" spans="1:16" x14ac:dyDescent="0.25">
      <c r="A1714" s="1054"/>
      <c r="B1714" s="1083" t="s">
        <v>4809</v>
      </c>
      <c r="C1714" s="1054">
        <v>90211</v>
      </c>
      <c r="H1714" s="1046"/>
      <c r="K1714" s="1046"/>
      <c r="P1714" s="1046"/>
    </row>
    <row r="1715" spans="1:16" x14ac:dyDescent="0.25">
      <c r="A1715" s="1054"/>
      <c r="B1715" s="1083" t="s">
        <v>4810</v>
      </c>
      <c r="C1715" s="1054">
        <v>96302</v>
      </c>
      <c r="H1715" s="1046"/>
      <c r="K1715" s="1046"/>
      <c r="P1715" s="1046"/>
    </row>
    <row r="1716" spans="1:16" x14ac:dyDescent="0.25">
      <c r="A1716" s="1054"/>
      <c r="B1716" s="1083" t="s">
        <v>4811</v>
      </c>
      <c r="C1716" s="1054">
        <v>93181</v>
      </c>
      <c r="H1716" s="1046"/>
      <c r="K1716" s="1046"/>
      <c r="P1716" s="1046"/>
    </row>
    <row r="1717" spans="1:16" x14ac:dyDescent="0.25">
      <c r="A1717" s="1054"/>
      <c r="B1717" s="1083" t="s">
        <v>4812</v>
      </c>
      <c r="C1717" s="1054">
        <v>92911</v>
      </c>
      <c r="H1717" s="1046"/>
      <c r="K1717" s="1046"/>
      <c r="P1717" s="1046"/>
    </row>
    <row r="1718" spans="1:16" x14ac:dyDescent="0.25">
      <c r="A1718" s="1054"/>
      <c r="B1718" s="1083" t="s">
        <v>3583</v>
      </c>
      <c r="C1718" s="1054">
        <v>92914</v>
      </c>
      <c r="H1718" s="1046"/>
      <c r="K1718" s="1046"/>
      <c r="P1718" s="1046"/>
    </row>
    <row r="1719" spans="1:16" x14ac:dyDescent="0.25">
      <c r="A1719" s="1054"/>
      <c r="B1719" s="1083" t="s">
        <v>2845</v>
      </c>
      <c r="C1719" s="1054">
        <v>92913</v>
      </c>
      <c r="H1719" s="1046"/>
      <c r="K1719" s="1046"/>
      <c r="P1719" s="1046"/>
    </row>
    <row r="1720" spans="1:16" x14ac:dyDescent="0.25">
      <c r="A1720" s="1054"/>
      <c r="B1720" s="1083" t="s">
        <v>4130</v>
      </c>
      <c r="C1720" s="1054">
        <v>93471</v>
      </c>
      <c r="H1720" s="1046"/>
      <c r="K1720" s="1046"/>
      <c r="P1720" s="1046"/>
    </row>
    <row r="1721" spans="1:16" x14ac:dyDescent="0.25">
      <c r="A1721" s="1054"/>
      <c r="B1721" s="1083" t="s">
        <v>2584</v>
      </c>
      <c r="C1721" s="1054">
        <v>90098</v>
      </c>
      <c r="H1721" s="1046"/>
      <c r="K1721" s="1046"/>
      <c r="P1721" s="1046"/>
    </row>
    <row r="1722" spans="1:16" x14ac:dyDescent="0.25">
      <c r="A1722" s="1054"/>
      <c r="B1722" s="1083" t="s">
        <v>4813</v>
      </c>
      <c r="C1722" s="1054">
        <v>97121</v>
      </c>
      <c r="H1722" s="1046"/>
      <c r="K1722" s="1046"/>
      <c r="P1722" s="1046"/>
    </row>
    <row r="1723" spans="1:16" x14ac:dyDescent="0.25">
      <c r="A1723" s="1054"/>
      <c r="B1723" s="1083" t="s">
        <v>3363</v>
      </c>
      <c r="C1723" s="1054">
        <v>98801</v>
      </c>
      <c r="H1723" s="1046"/>
      <c r="K1723" s="1046"/>
      <c r="P1723" s="1046"/>
    </row>
    <row r="1724" spans="1:16" x14ac:dyDescent="0.25">
      <c r="A1724" s="1054"/>
      <c r="B1724" s="1083" t="s">
        <v>4814</v>
      </c>
      <c r="C1724" s="1054">
        <v>92521</v>
      </c>
      <c r="H1724" s="1046"/>
      <c r="K1724" s="1046"/>
      <c r="P1724" s="1046"/>
    </row>
    <row r="1725" spans="1:16" x14ac:dyDescent="0.25">
      <c r="A1725" s="1054"/>
      <c r="B1725" s="1083" t="s">
        <v>2894</v>
      </c>
      <c r="C1725" s="1054">
        <v>93417</v>
      </c>
      <c r="H1725" s="1046"/>
      <c r="K1725" s="1046"/>
      <c r="P1725" s="1046"/>
    </row>
    <row r="1726" spans="1:16" x14ac:dyDescent="0.25">
      <c r="A1726" s="1054"/>
      <c r="B1726" s="1083" t="s">
        <v>2875</v>
      </c>
      <c r="C1726" s="1054">
        <v>93219</v>
      </c>
      <c r="H1726" s="1046"/>
      <c r="K1726" s="1046"/>
      <c r="P1726" s="1046"/>
    </row>
    <row r="1727" spans="1:16" x14ac:dyDescent="0.25">
      <c r="A1727" s="1054"/>
      <c r="B1727" s="1083" t="s">
        <v>2810</v>
      </c>
      <c r="C1727" s="1054">
        <v>92513</v>
      </c>
      <c r="H1727" s="1046"/>
      <c r="K1727" s="1046"/>
      <c r="P1727" s="1046"/>
    </row>
    <row r="1728" spans="1:16" x14ac:dyDescent="0.25">
      <c r="A1728" s="1054"/>
      <c r="B1728" s="1083" t="s">
        <v>4815</v>
      </c>
      <c r="C1728" s="1054">
        <v>97661</v>
      </c>
      <c r="H1728" s="1046"/>
      <c r="K1728" s="1046"/>
      <c r="P1728" s="1046"/>
    </row>
    <row r="1729" spans="1:16" x14ac:dyDescent="0.25">
      <c r="A1729" s="1054"/>
      <c r="B1729" s="1083" t="s">
        <v>4816</v>
      </c>
      <c r="C1729" s="1054">
        <v>94931</v>
      </c>
      <c r="H1729" s="1046"/>
      <c r="K1729" s="1046"/>
      <c r="P1729" s="1046"/>
    </row>
    <row r="1730" spans="1:16" x14ac:dyDescent="0.25">
      <c r="A1730" s="1054"/>
      <c r="B1730" s="1087" t="s">
        <v>4817</v>
      </c>
      <c r="C1730" s="1054">
        <v>94937</v>
      </c>
      <c r="H1730" s="1046"/>
      <c r="K1730" s="1046"/>
      <c r="P1730" s="1046"/>
    </row>
    <row r="1731" spans="1:16" x14ac:dyDescent="0.25">
      <c r="A1731" s="1054"/>
      <c r="B1731" s="1083" t="s">
        <v>4818</v>
      </c>
      <c r="C1731" s="1054">
        <v>96221</v>
      </c>
      <c r="H1731" s="1046"/>
      <c r="K1731" s="1046"/>
      <c r="P1731" s="1046"/>
    </row>
    <row r="1732" spans="1:16" x14ac:dyDescent="0.25">
      <c r="A1732" s="1054"/>
      <c r="B1732" s="1083" t="s">
        <v>4819</v>
      </c>
      <c r="C1732" s="1054">
        <v>97511</v>
      </c>
      <c r="H1732" s="1046"/>
      <c r="K1732" s="1046"/>
      <c r="P1732" s="1046"/>
    </row>
    <row r="1733" spans="1:16" x14ac:dyDescent="0.25">
      <c r="A1733" s="1054"/>
      <c r="B1733" s="1083" t="s">
        <v>3030</v>
      </c>
      <c r="C1733" s="1054">
        <v>95002</v>
      </c>
      <c r="H1733" s="1046"/>
      <c r="K1733" s="1046"/>
      <c r="P1733" s="1046"/>
    </row>
    <row r="1734" spans="1:16" x14ac:dyDescent="0.25">
      <c r="A1734" s="1054"/>
      <c r="B1734" s="1083" t="s">
        <v>4820</v>
      </c>
      <c r="C1734" s="1054">
        <v>98251</v>
      </c>
      <c r="H1734" s="1046"/>
      <c r="K1734" s="1046"/>
      <c r="P1734" s="1046"/>
    </row>
    <row r="1735" spans="1:16" x14ac:dyDescent="0.25">
      <c r="A1735" s="1054"/>
      <c r="B1735" s="1083" t="s">
        <v>3366</v>
      </c>
      <c r="C1735" s="1054">
        <v>98901</v>
      </c>
      <c r="H1735" s="1046"/>
      <c r="K1735" s="1046"/>
      <c r="P1735" s="1046"/>
    </row>
    <row r="1736" spans="1:16" x14ac:dyDescent="0.25">
      <c r="A1736" s="1054"/>
      <c r="B1736" s="1083" t="s">
        <v>4821</v>
      </c>
      <c r="C1736" s="1054">
        <v>98904</v>
      </c>
      <c r="H1736" s="1046"/>
      <c r="K1736" s="1046"/>
      <c r="P1736" s="1046"/>
    </row>
    <row r="1737" spans="1:16" x14ac:dyDescent="0.25">
      <c r="A1737" s="1054"/>
      <c r="B1737" s="1083" t="s">
        <v>3369</v>
      </c>
      <c r="C1737" s="1054">
        <v>99001</v>
      </c>
      <c r="H1737" s="1046"/>
      <c r="K1737" s="1046"/>
      <c r="P1737" s="1046"/>
    </row>
    <row r="1738" spans="1:16" x14ac:dyDescent="0.25">
      <c r="A1738" s="1054"/>
      <c r="B1738" s="1083" t="s">
        <v>4822</v>
      </c>
      <c r="C1738" s="1054">
        <v>99061</v>
      </c>
      <c r="H1738" s="1046"/>
      <c r="K1738" s="1046"/>
      <c r="P1738" s="1046"/>
    </row>
    <row r="1739" spans="1:16" x14ac:dyDescent="0.25">
      <c r="A1739" s="1054"/>
      <c r="B1739" s="1083" t="s">
        <v>2879</v>
      </c>
      <c r="C1739" s="1054">
        <v>93309</v>
      </c>
      <c r="H1739" s="1046"/>
      <c r="K1739" s="1046"/>
      <c r="P1739" s="1046"/>
    </row>
    <row r="1740" spans="1:16" x14ac:dyDescent="0.25">
      <c r="A1740" s="1054"/>
      <c r="B1740" s="1083" t="s">
        <v>4823</v>
      </c>
      <c r="C1740" s="1054">
        <v>91211</v>
      </c>
      <c r="H1740" s="1046"/>
      <c r="K1740" s="1046"/>
      <c r="P1740" s="1046"/>
    </row>
    <row r="1741" spans="1:16" x14ac:dyDescent="0.25">
      <c r="A1741" s="1054"/>
      <c r="B1741" s="1084" t="s">
        <v>4177</v>
      </c>
      <c r="C1741" s="1054">
        <v>94947</v>
      </c>
      <c r="H1741" s="1046"/>
      <c r="K1741" s="1046"/>
      <c r="P1741" s="1046"/>
    </row>
    <row r="1742" spans="1:16" x14ac:dyDescent="0.25">
      <c r="A1742" s="1054"/>
      <c r="B1742" s="1083" t="s">
        <v>2701</v>
      </c>
      <c r="C1742" s="1054">
        <v>91213</v>
      </c>
      <c r="H1742" s="1046"/>
      <c r="K1742" s="1046"/>
      <c r="P1742" s="1046"/>
    </row>
    <row r="1743" spans="1:16" x14ac:dyDescent="0.25">
      <c r="A1743" s="1054"/>
      <c r="B1743" s="1083" t="s">
        <v>3383</v>
      </c>
      <c r="C1743" s="1054">
        <v>99101</v>
      </c>
      <c r="H1743" s="1046"/>
      <c r="K1743" s="1046"/>
      <c r="P1743" s="1046"/>
    </row>
    <row r="1744" spans="1:16" x14ac:dyDescent="0.25">
      <c r="A1744" s="1054"/>
      <c r="B1744" s="1083" t="s">
        <v>4824</v>
      </c>
      <c r="C1744" s="1054">
        <v>99104</v>
      </c>
      <c r="H1744" s="1046"/>
      <c r="K1744" s="1046"/>
      <c r="P1744" s="1046"/>
    </row>
    <row r="1745" spans="1:16" x14ac:dyDescent="0.25">
      <c r="A1745" s="1054"/>
      <c r="B1745" s="1083" t="s">
        <v>4825</v>
      </c>
      <c r="C1745" s="1054">
        <v>92551</v>
      </c>
      <c r="H1745" s="1046"/>
      <c r="K1745" s="1046"/>
      <c r="P1745" s="1046"/>
    </row>
    <row r="1746" spans="1:16" x14ac:dyDescent="0.25">
      <c r="A1746" s="1054"/>
      <c r="B1746" s="1083" t="s">
        <v>4826</v>
      </c>
      <c r="C1746" s="1054">
        <v>96321</v>
      </c>
      <c r="H1746" s="1046"/>
      <c r="K1746" s="1046"/>
      <c r="P1746" s="1046"/>
    </row>
    <row r="1747" spans="1:16" x14ac:dyDescent="0.25">
      <c r="A1747" s="1054"/>
      <c r="B1747" s="1083" t="s">
        <v>3588</v>
      </c>
      <c r="C1747" s="1054">
        <v>95009</v>
      </c>
      <c r="H1747" s="1046"/>
      <c r="K1747" s="1046"/>
      <c r="P1747" s="1046"/>
    </row>
    <row r="1748" spans="1:16" x14ac:dyDescent="0.25">
      <c r="A1748" s="1054"/>
      <c r="B1748" s="1083" t="s">
        <v>4827</v>
      </c>
      <c r="C1748" s="1054">
        <v>92641</v>
      </c>
      <c r="H1748" s="1046"/>
      <c r="K1748" s="1046"/>
      <c r="P1748" s="1046"/>
    </row>
    <row r="1749" spans="1:16" x14ac:dyDescent="0.25">
      <c r="A1749" s="1054"/>
      <c r="B1749" s="1083" t="s">
        <v>4828</v>
      </c>
      <c r="C1749" s="1054">
        <v>90411</v>
      </c>
      <c r="H1749" s="1046"/>
      <c r="K1749" s="1046"/>
      <c r="P1749" s="1046"/>
    </row>
    <row r="1750" spans="1:16" x14ac:dyDescent="0.25">
      <c r="A1750" s="1054"/>
      <c r="B1750" s="1083" t="s">
        <v>2606</v>
      </c>
      <c r="C1750" s="1054">
        <v>90417</v>
      </c>
      <c r="H1750" s="1046"/>
      <c r="K1750" s="1046"/>
      <c r="P1750" s="1046"/>
    </row>
    <row r="1751" spans="1:16" x14ac:dyDescent="0.25">
      <c r="A1751" s="1054"/>
      <c r="B1751" s="1083" t="s">
        <v>2605</v>
      </c>
      <c r="C1751" s="1054">
        <v>90413</v>
      </c>
      <c r="H1751" s="1046"/>
      <c r="K1751" s="1046"/>
      <c r="P1751" s="1046"/>
    </row>
    <row r="1752" spans="1:16" x14ac:dyDescent="0.25">
      <c r="A1752" s="1054"/>
      <c r="B1752" s="1083" t="s">
        <v>4829</v>
      </c>
      <c r="C1752" s="1054">
        <v>98321</v>
      </c>
      <c r="H1752" s="1046"/>
      <c r="K1752" s="1046"/>
      <c r="P1752" s="1046"/>
    </row>
    <row r="1753" spans="1:16" x14ac:dyDescent="0.25">
      <c r="A1753" s="1054"/>
      <c r="B1753" s="1083" t="s">
        <v>3388</v>
      </c>
      <c r="C1753" s="1061">
        <v>99201</v>
      </c>
      <c r="H1753" s="1046"/>
      <c r="K1753" s="1046"/>
      <c r="P1753" s="1046"/>
    </row>
    <row r="1754" spans="1:16" x14ac:dyDescent="0.25">
      <c r="A1754" s="1054"/>
      <c r="B1754" s="1083" t="s">
        <v>3391</v>
      </c>
      <c r="C1754" s="1054">
        <v>99204</v>
      </c>
      <c r="H1754" s="1046"/>
      <c r="K1754" s="1046"/>
      <c r="P1754" s="1046"/>
    </row>
    <row r="1755" spans="1:16" x14ac:dyDescent="0.25">
      <c r="A1755" s="1054"/>
      <c r="B1755" s="1083" t="s">
        <v>3592</v>
      </c>
      <c r="C1755" s="1054">
        <v>99207</v>
      </c>
      <c r="H1755" s="1046"/>
      <c r="K1755" s="1046"/>
      <c r="P1755" s="1046"/>
    </row>
    <row r="1756" spans="1:16" x14ac:dyDescent="0.25">
      <c r="A1756" s="1054"/>
      <c r="B1756" s="1083" t="s">
        <v>4830</v>
      </c>
      <c r="C1756" s="1054">
        <v>99281</v>
      </c>
      <c r="H1756" s="1046"/>
      <c r="K1756" s="1046"/>
      <c r="P1756" s="1046"/>
    </row>
    <row r="1757" spans="1:16" x14ac:dyDescent="0.25">
      <c r="A1757" s="1054"/>
      <c r="B1757" s="1083" t="s">
        <v>4129</v>
      </c>
      <c r="C1757" s="1054">
        <v>93461</v>
      </c>
      <c r="H1757" s="1046"/>
      <c r="K1757" s="1046"/>
      <c r="P1757" s="1046"/>
    </row>
    <row r="1758" spans="1:16" x14ac:dyDescent="0.25">
      <c r="A1758" s="1054"/>
      <c r="B1758" s="1083" t="s">
        <v>4831</v>
      </c>
      <c r="C1758" s="1054">
        <v>93151</v>
      </c>
      <c r="H1758" s="1046"/>
      <c r="K1758" s="1046"/>
      <c r="P1758" s="1046"/>
    </row>
    <row r="1759" spans="1:16" x14ac:dyDescent="0.25">
      <c r="A1759" s="1054"/>
      <c r="B1759" s="1083" t="s">
        <v>2864</v>
      </c>
      <c r="C1759" s="1054">
        <v>93157</v>
      </c>
      <c r="H1759" s="1046"/>
      <c r="K1759" s="1046"/>
      <c r="P1759" s="1046"/>
    </row>
    <row r="1760" spans="1:16" x14ac:dyDescent="0.25">
      <c r="A1760" s="1054"/>
      <c r="B1760" s="1083" t="s">
        <v>4832</v>
      </c>
      <c r="C1760" s="1054">
        <v>98511</v>
      </c>
      <c r="H1760" s="1046"/>
      <c r="K1760" s="1046"/>
      <c r="P1760" s="1046"/>
    </row>
    <row r="1761" spans="1:16" x14ac:dyDescent="0.25">
      <c r="A1761" s="1054"/>
      <c r="B1761" s="1083" t="s">
        <v>3347</v>
      </c>
      <c r="C1761" s="1054">
        <v>98517</v>
      </c>
      <c r="H1761" s="1046"/>
      <c r="K1761" s="1046"/>
      <c r="P1761" s="1046"/>
    </row>
    <row r="1762" spans="1:16" x14ac:dyDescent="0.25">
      <c r="A1762" s="1054"/>
      <c r="B1762" s="1083" t="s">
        <v>4833</v>
      </c>
      <c r="C1762" s="1054">
        <v>99661</v>
      </c>
      <c r="H1762" s="1046"/>
      <c r="K1762" s="1046"/>
      <c r="P1762" s="1046"/>
    </row>
    <row r="1763" spans="1:16" x14ac:dyDescent="0.25">
      <c r="A1763" s="1054"/>
      <c r="B1763" s="1083" t="s">
        <v>4834</v>
      </c>
      <c r="C1763" s="1054">
        <v>94031</v>
      </c>
      <c r="H1763" s="1046"/>
      <c r="K1763" s="1046"/>
      <c r="P1763" s="1046"/>
    </row>
    <row r="1764" spans="1:16" x14ac:dyDescent="0.25">
      <c r="A1764" s="1054"/>
      <c r="B1764" s="1083" t="s">
        <v>3410</v>
      </c>
      <c r="C1764" s="1054">
        <v>99301</v>
      </c>
      <c r="H1764" s="1046"/>
      <c r="K1764" s="1046"/>
      <c r="P1764" s="1046"/>
    </row>
    <row r="1765" spans="1:16" x14ac:dyDescent="0.25">
      <c r="A1765" s="1054"/>
      <c r="B1765" s="1083" t="s">
        <v>3411</v>
      </c>
      <c r="C1765" s="1054">
        <v>99304</v>
      </c>
      <c r="H1765" s="1046"/>
      <c r="K1765" s="1046"/>
      <c r="P1765" s="1046"/>
    </row>
    <row r="1766" spans="1:16" x14ac:dyDescent="0.25">
      <c r="A1766" s="1054"/>
      <c r="B1766" s="1083" t="s">
        <v>4835</v>
      </c>
      <c r="C1766" s="1054">
        <v>99321</v>
      </c>
      <c r="H1766" s="1046"/>
      <c r="K1766" s="1046"/>
      <c r="P1766" s="1046"/>
    </row>
    <row r="1767" spans="1:16" x14ac:dyDescent="0.25">
      <c r="A1767" s="1054"/>
      <c r="B1767" s="1083" t="s">
        <v>4836</v>
      </c>
      <c r="C1767" s="1054">
        <v>93131</v>
      </c>
      <c r="H1767" s="1046"/>
      <c r="K1767" s="1046"/>
      <c r="P1767" s="1046"/>
    </row>
    <row r="1768" spans="1:16" x14ac:dyDescent="0.25">
      <c r="A1768" s="1054"/>
      <c r="B1768" s="1083" t="s">
        <v>2861</v>
      </c>
      <c r="C1768" s="1054">
        <v>93137</v>
      </c>
      <c r="H1768" s="1046"/>
      <c r="K1768" s="1046"/>
      <c r="P1768" s="1046"/>
    </row>
    <row r="1769" spans="1:16" x14ac:dyDescent="0.25">
      <c r="A1769" s="1054"/>
      <c r="B1769" s="1083" t="s">
        <v>4837</v>
      </c>
      <c r="C1769" s="1054">
        <v>90711</v>
      </c>
      <c r="H1769" s="1046"/>
      <c r="K1769" s="1046"/>
      <c r="P1769" s="1046"/>
    </row>
    <row r="1770" spans="1:16" x14ac:dyDescent="0.25">
      <c r="A1770" s="1054"/>
      <c r="B1770" s="1083" t="s">
        <v>3414</v>
      </c>
      <c r="C1770" s="1054">
        <v>99401</v>
      </c>
      <c r="H1770" s="1046"/>
      <c r="K1770" s="1046"/>
      <c r="P1770" s="1046"/>
    </row>
    <row r="1771" spans="1:16" x14ac:dyDescent="0.25">
      <c r="A1771" s="1054"/>
      <c r="B1771" s="1083" t="s">
        <v>3415</v>
      </c>
      <c r="C1771" s="1054">
        <v>99404</v>
      </c>
      <c r="H1771" s="1046"/>
      <c r="K1771" s="1046"/>
      <c r="P1771" s="1046"/>
    </row>
    <row r="1772" spans="1:16" x14ac:dyDescent="0.25">
      <c r="A1772" s="1054"/>
      <c r="B1772" s="1083" t="s">
        <v>4838</v>
      </c>
      <c r="C1772" s="1054">
        <v>90741</v>
      </c>
      <c r="H1772" s="1046"/>
      <c r="K1772" s="1046"/>
      <c r="P1772" s="1046"/>
    </row>
    <row r="1773" spans="1:16" x14ac:dyDescent="0.25">
      <c r="A1773" s="1054"/>
      <c r="B1773" s="1083" t="s">
        <v>3421</v>
      </c>
      <c r="C1773" s="1054">
        <v>99501</v>
      </c>
      <c r="H1773" s="1046"/>
      <c r="K1773" s="1046"/>
      <c r="P1773" s="1046"/>
    </row>
    <row r="1774" spans="1:16" x14ac:dyDescent="0.25">
      <c r="A1774" s="1054"/>
      <c r="B1774" s="1083" t="s">
        <v>3424</v>
      </c>
      <c r="C1774" s="1054">
        <v>99509</v>
      </c>
      <c r="H1774" s="1046"/>
      <c r="K1774" s="1046"/>
      <c r="P1774" s="1046"/>
    </row>
    <row r="1775" spans="1:16" x14ac:dyDescent="0.25">
      <c r="A1775" s="1054"/>
      <c r="B1775" s="1083" t="s">
        <v>4839</v>
      </c>
      <c r="C1775" s="1054">
        <v>91302</v>
      </c>
      <c r="H1775" s="1046"/>
      <c r="K1775" s="1046"/>
      <c r="P1775" s="1046"/>
    </row>
    <row r="1776" spans="1:16" x14ac:dyDescent="0.25">
      <c r="A1776" s="1054"/>
      <c r="B1776" s="1083" t="s">
        <v>4840</v>
      </c>
      <c r="C1776" s="1054">
        <v>99041</v>
      </c>
      <c r="H1776" s="1046"/>
      <c r="K1776" s="1046"/>
      <c r="P1776" s="1046"/>
    </row>
    <row r="1777" spans="1:16" x14ac:dyDescent="0.25">
      <c r="A1777" s="1054"/>
      <c r="B1777" s="1083" t="s">
        <v>3377</v>
      </c>
      <c r="C1777" s="1054">
        <v>99047</v>
      </c>
      <c r="H1777" s="1046"/>
      <c r="K1777" s="1046"/>
      <c r="P1777" s="1046"/>
    </row>
    <row r="1778" spans="1:16" x14ac:dyDescent="0.25">
      <c r="A1778" s="1054"/>
      <c r="B1778" s="1083" t="s">
        <v>3429</v>
      </c>
      <c r="C1778" s="1054">
        <v>99601</v>
      </c>
      <c r="H1778" s="1046"/>
      <c r="K1778" s="1046"/>
      <c r="P1778" s="1046"/>
    </row>
    <row r="1779" spans="1:16" x14ac:dyDescent="0.25">
      <c r="A1779" s="1054"/>
      <c r="B1779" s="1083" t="s">
        <v>3432</v>
      </c>
      <c r="C1779" s="1054">
        <v>99604</v>
      </c>
      <c r="H1779" s="1046"/>
      <c r="K1779" s="1046"/>
      <c r="P1779" s="1046"/>
    </row>
    <row r="1780" spans="1:16" x14ac:dyDescent="0.25">
      <c r="A1780" s="1054"/>
      <c r="B1780" s="1083" t="s">
        <v>4841</v>
      </c>
      <c r="C1780" s="1054">
        <v>94411</v>
      </c>
      <c r="H1780" s="1046"/>
      <c r="K1780" s="1046"/>
      <c r="P1780" s="1046"/>
    </row>
    <row r="1781" spans="1:16" x14ac:dyDescent="0.25">
      <c r="A1781" s="1054"/>
      <c r="B1781" s="1083" t="s">
        <v>2990</v>
      </c>
      <c r="C1781" s="1054">
        <v>94412</v>
      </c>
      <c r="H1781" s="1046"/>
      <c r="K1781" s="1046"/>
      <c r="P1781" s="1046"/>
    </row>
    <row r="1782" spans="1:16" x14ac:dyDescent="0.25">
      <c r="A1782" s="1054"/>
      <c r="B1782" s="1083" t="s">
        <v>4842</v>
      </c>
      <c r="C1782" s="1054">
        <v>91141</v>
      </c>
      <c r="H1782" s="1046"/>
      <c r="K1782" s="1046"/>
      <c r="P1782" s="1046"/>
    </row>
    <row r="1783" spans="1:16" x14ac:dyDescent="0.25">
      <c r="A1783" s="1054"/>
      <c r="B1783" s="1083" t="s">
        <v>2690</v>
      </c>
      <c r="C1783" s="1054">
        <v>91147</v>
      </c>
      <c r="H1783" s="1046"/>
      <c r="K1783" s="1046"/>
      <c r="P1783" s="1046"/>
    </row>
    <row r="1784" spans="1:16" x14ac:dyDescent="0.25">
      <c r="A1784" s="1054"/>
      <c r="B1784" s="1083" t="s">
        <v>4843</v>
      </c>
      <c r="C1784" s="1054">
        <v>99071</v>
      </c>
      <c r="H1784" s="1046"/>
      <c r="K1784" s="1046"/>
      <c r="P1784" s="1046"/>
    </row>
    <row r="1785" spans="1:16" x14ac:dyDescent="0.25">
      <c r="A1785" s="1054"/>
      <c r="B1785" s="1083" t="s">
        <v>4844</v>
      </c>
      <c r="C1785" s="1054">
        <v>94231</v>
      </c>
      <c r="H1785" s="1046"/>
      <c r="K1785" s="1046"/>
      <c r="P1785" s="1046"/>
    </row>
    <row r="1786" spans="1:16" x14ac:dyDescent="0.25">
      <c r="A1786" s="1054"/>
      <c r="B1786" s="1083" t="s">
        <v>4845</v>
      </c>
      <c r="C1786" s="1054">
        <v>99231</v>
      </c>
      <c r="H1786" s="1046"/>
      <c r="K1786" s="1046"/>
      <c r="P1786" s="1046"/>
    </row>
    <row r="1787" spans="1:16" x14ac:dyDescent="0.25">
      <c r="A1787" s="1054"/>
      <c r="B1787" s="1083" t="s">
        <v>4846</v>
      </c>
      <c r="C1787" s="1054">
        <v>99091</v>
      </c>
      <c r="H1787" s="1046"/>
      <c r="K1787" s="1046"/>
      <c r="P1787" s="1046"/>
    </row>
    <row r="1788" spans="1:16" x14ac:dyDescent="0.25">
      <c r="A1788" s="1054"/>
      <c r="B1788" s="1083" t="s">
        <v>2684</v>
      </c>
      <c r="C1788" s="1054">
        <v>91120</v>
      </c>
      <c r="H1788" s="1046"/>
      <c r="K1788" s="1046"/>
      <c r="P1788" s="1046"/>
    </row>
    <row r="1789" spans="1:16" x14ac:dyDescent="0.25">
      <c r="A1789" s="1054"/>
      <c r="B1789" s="1083" t="s">
        <v>2798</v>
      </c>
      <c r="C1789" s="1054">
        <v>92444</v>
      </c>
      <c r="H1789" s="1046"/>
      <c r="K1789" s="1046"/>
      <c r="P1789" s="1046"/>
    </row>
    <row r="1790" spans="1:16" x14ac:dyDescent="0.25">
      <c r="A1790" s="1054"/>
      <c r="B1790" s="1083" t="s">
        <v>4847</v>
      </c>
      <c r="C1790" s="1054">
        <v>90521</v>
      </c>
      <c r="H1790" s="1046"/>
      <c r="K1790" s="1046"/>
      <c r="P1790" s="1046"/>
    </row>
    <row r="1791" spans="1:16" x14ac:dyDescent="0.25">
      <c r="A1791" s="1054"/>
      <c r="B1791" s="1083" t="s">
        <v>1207</v>
      </c>
      <c r="C1791" s="1054">
        <v>90507</v>
      </c>
      <c r="H1791" s="1046"/>
      <c r="K1791" s="1046"/>
      <c r="P1791" s="1046"/>
    </row>
    <row r="1792" spans="1:16" x14ac:dyDescent="0.25">
      <c r="A1792" s="1054"/>
      <c r="B1792" s="1083" t="s">
        <v>2818</v>
      </c>
      <c r="C1792" s="1054">
        <v>92602</v>
      </c>
      <c r="H1792" s="1046"/>
      <c r="K1792" s="1046"/>
      <c r="P1792" s="1046"/>
    </row>
    <row r="1793" spans="1:16" x14ac:dyDescent="0.25">
      <c r="A1793" s="1054"/>
      <c r="B1793" s="1083" t="s">
        <v>2734</v>
      </c>
      <c r="C1793" s="1054">
        <v>91608</v>
      </c>
      <c r="H1793" s="1046"/>
      <c r="K1793" s="1046"/>
      <c r="P1793" s="1046"/>
    </row>
    <row r="1794" spans="1:16" x14ac:dyDescent="0.25">
      <c r="A1794" s="1054"/>
      <c r="B1794" s="1083" t="s">
        <v>1279</v>
      </c>
      <c r="C1794" s="1054">
        <v>91119</v>
      </c>
      <c r="H1794" s="1046"/>
      <c r="K1794" s="1046"/>
      <c r="P1794" s="1046"/>
    </row>
    <row r="1795" spans="1:16" x14ac:dyDescent="0.25">
      <c r="A1795" s="1054"/>
      <c r="B1795" s="1083" t="s">
        <v>3580</v>
      </c>
      <c r="C1795" s="1054">
        <v>91107</v>
      </c>
      <c r="H1795" s="1046"/>
      <c r="K1795" s="1046"/>
      <c r="P1795" s="1046"/>
    </row>
    <row r="1796" spans="1:16" x14ac:dyDescent="0.25">
      <c r="A1796" s="1054"/>
      <c r="B1796" s="1083" t="s">
        <v>4848</v>
      </c>
      <c r="C1796" s="1054">
        <v>91818</v>
      </c>
      <c r="H1796" s="1046"/>
      <c r="K1796" s="1046"/>
      <c r="P1796" s="1046"/>
    </row>
    <row r="1797" spans="1:16" x14ac:dyDescent="0.25">
      <c r="A1797" s="1054"/>
      <c r="B1797" s="1083" t="s">
        <v>2755</v>
      </c>
      <c r="C1797" s="1054">
        <v>91819</v>
      </c>
      <c r="H1797" s="1046"/>
      <c r="K1797" s="1046"/>
      <c r="P1797" s="1046"/>
    </row>
    <row r="1798" spans="1:16" x14ac:dyDescent="0.25">
      <c r="A1798" s="1054"/>
      <c r="B1798" s="1083" t="s">
        <v>4849</v>
      </c>
      <c r="C1798" s="1054">
        <v>96371</v>
      </c>
      <c r="H1798" s="1046"/>
      <c r="K1798" s="1046"/>
      <c r="P1798" s="1046"/>
    </row>
    <row r="1799" spans="1:16" x14ac:dyDescent="0.25">
      <c r="A1799" s="1054"/>
      <c r="B1799" s="1083" t="s">
        <v>4850</v>
      </c>
      <c r="C1799" s="1054">
        <v>96441</v>
      </c>
      <c r="H1799" s="1046"/>
      <c r="K1799" s="1046"/>
      <c r="P1799" s="1046"/>
    </row>
    <row r="1800" spans="1:16" x14ac:dyDescent="0.25">
      <c r="A1800" s="1054"/>
      <c r="B1800" s="1083" t="s">
        <v>4851</v>
      </c>
      <c r="C1800" s="1054">
        <v>90921</v>
      </c>
      <c r="H1800" s="1046"/>
      <c r="K1800" s="1046"/>
      <c r="P1800" s="1046"/>
    </row>
    <row r="1801" spans="1:16" x14ac:dyDescent="0.25">
      <c r="A1801" s="1054"/>
      <c r="B1801" s="1083" t="s">
        <v>4852</v>
      </c>
      <c r="C1801" s="1054">
        <v>92411</v>
      </c>
      <c r="H1801" s="1046"/>
      <c r="K1801" s="1046"/>
      <c r="P1801" s="1046"/>
    </row>
    <row r="1802" spans="1:16" x14ac:dyDescent="0.25">
      <c r="A1802" s="1054"/>
      <c r="B1802" s="1083" t="s">
        <v>2793</v>
      </c>
      <c r="C1802" s="1054">
        <v>92417</v>
      </c>
      <c r="H1802" s="1046"/>
      <c r="K1802" s="1046"/>
      <c r="P1802" s="1046"/>
    </row>
    <row r="1803" spans="1:16" x14ac:dyDescent="0.25">
      <c r="A1803" s="1054"/>
      <c r="B1803" s="1083" t="s">
        <v>2791</v>
      </c>
      <c r="C1803" s="1054">
        <v>92403</v>
      </c>
      <c r="H1803" s="1046"/>
      <c r="K1803" s="1046"/>
      <c r="P1803" s="1046"/>
    </row>
    <row r="1804" spans="1:16" x14ac:dyDescent="0.25">
      <c r="A1804" s="1054"/>
      <c r="B1804" s="1083" t="s">
        <v>3442</v>
      </c>
      <c r="C1804" s="1054">
        <v>99701</v>
      </c>
      <c r="H1804" s="1046"/>
      <c r="K1804" s="1046"/>
      <c r="P1804" s="1046"/>
    </row>
    <row r="1805" spans="1:16" x14ac:dyDescent="0.25">
      <c r="A1805" s="1054"/>
      <c r="B1805" s="1083" t="s">
        <v>4853</v>
      </c>
      <c r="C1805" s="1054">
        <v>99721</v>
      </c>
      <c r="H1805" s="1046"/>
      <c r="K1805" s="1046"/>
      <c r="P1805" s="1046"/>
    </row>
    <row r="1806" spans="1:16" x14ac:dyDescent="0.25">
      <c r="A1806" s="1054"/>
      <c r="B1806" s="1083" t="s">
        <v>3447</v>
      </c>
      <c r="C1806" s="1054">
        <v>99727</v>
      </c>
      <c r="H1806" s="1046"/>
      <c r="K1806" s="1046"/>
      <c r="P1806" s="1046"/>
    </row>
    <row r="1807" spans="1:16" x14ac:dyDescent="0.25">
      <c r="A1807" s="1054"/>
      <c r="B1807" s="1083" t="s">
        <v>4854</v>
      </c>
      <c r="C1807" s="1054">
        <v>95811</v>
      </c>
      <c r="H1807" s="1046"/>
      <c r="K1807" s="1046"/>
      <c r="P1807" s="1046"/>
    </row>
    <row r="1808" spans="1:16" x14ac:dyDescent="0.25">
      <c r="A1808" s="1054"/>
      <c r="B1808" s="1083" t="s">
        <v>3089</v>
      </c>
      <c r="C1808" s="1054">
        <v>95813</v>
      </c>
      <c r="H1808" s="1046"/>
      <c r="K1808" s="1046"/>
      <c r="P1808" s="1046"/>
    </row>
    <row r="1809" spans="1:16" x14ac:dyDescent="0.25">
      <c r="A1809" s="1054"/>
      <c r="B1809" s="1083" t="s">
        <v>4855</v>
      </c>
      <c r="C1809" s="1054">
        <v>96531</v>
      </c>
      <c r="H1809" s="1046"/>
      <c r="K1809" s="1046"/>
      <c r="P1809" s="1046"/>
    </row>
    <row r="1810" spans="1:16" x14ac:dyDescent="0.25">
      <c r="A1810" s="1054"/>
      <c r="B1810" s="1083" t="s">
        <v>3589</v>
      </c>
      <c r="C1810" s="1054">
        <v>96503</v>
      </c>
      <c r="H1810" s="1046"/>
      <c r="K1810" s="1046"/>
      <c r="P1810" s="1046"/>
    </row>
    <row r="1811" spans="1:16" x14ac:dyDescent="0.25">
      <c r="A1811" s="1054"/>
      <c r="B1811" s="1083" t="s">
        <v>4376</v>
      </c>
      <c r="C1811" s="1054">
        <v>99811</v>
      </c>
      <c r="H1811" s="1046"/>
      <c r="K1811" s="1046"/>
      <c r="P1811" s="1046"/>
    </row>
    <row r="1812" spans="1:16" x14ac:dyDescent="0.25">
      <c r="A1812" s="1054"/>
      <c r="B1812" s="1083" t="s">
        <v>4377</v>
      </c>
      <c r="C1812" s="1061">
        <v>99818</v>
      </c>
      <c r="H1812" s="1046"/>
      <c r="K1812" s="1046"/>
      <c r="P1812" s="1046"/>
    </row>
    <row r="1813" spans="1:16" x14ac:dyDescent="0.25">
      <c r="A1813" s="1054"/>
      <c r="B1813" s="1083" t="s">
        <v>3448</v>
      </c>
      <c r="C1813" s="1054">
        <v>99801</v>
      </c>
      <c r="H1813" s="1046"/>
      <c r="K1813" s="1046"/>
      <c r="P1813" s="1046"/>
    </row>
    <row r="1814" spans="1:16" x14ac:dyDescent="0.25">
      <c r="A1814" s="1054"/>
      <c r="B1814" s="1083" t="s">
        <v>3450</v>
      </c>
      <c r="C1814" s="1054">
        <v>99804</v>
      </c>
      <c r="H1814" s="1046"/>
      <c r="K1814" s="1046"/>
      <c r="P1814" s="1046"/>
    </row>
    <row r="1815" spans="1:16" x14ac:dyDescent="0.25">
      <c r="A1815" s="1054"/>
      <c r="B1815" s="1083" t="s">
        <v>4375</v>
      </c>
      <c r="C1815" s="1054">
        <v>99802</v>
      </c>
      <c r="H1815" s="1046"/>
      <c r="K1815" s="1046"/>
      <c r="P1815" s="1046"/>
    </row>
    <row r="1816" spans="1:16" x14ac:dyDescent="0.25">
      <c r="A1816" s="1054"/>
      <c r="B1816" s="1083" t="s">
        <v>3452</v>
      </c>
      <c r="C1816" s="1061">
        <v>99812</v>
      </c>
      <c r="H1816" s="1046"/>
      <c r="K1816" s="1046"/>
      <c r="P1816" s="1046"/>
    </row>
    <row r="1817" spans="1:16" x14ac:dyDescent="0.25">
      <c r="A1817" s="1054"/>
      <c r="B1817" s="1083" t="s">
        <v>4856</v>
      </c>
      <c r="C1817" s="1054">
        <v>95191</v>
      </c>
      <c r="H1817" s="1046"/>
      <c r="K1817" s="1046"/>
      <c r="P1817" s="1046"/>
    </row>
    <row r="1818" spans="1:16" x14ac:dyDescent="0.25">
      <c r="A1818" s="1054"/>
      <c r="B1818" s="1083" t="s">
        <v>4857</v>
      </c>
      <c r="C1818" s="1054">
        <v>90812</v>
      </c>
      <c r="H1818" s="1046"/>
      <c r="K1818" s="1046"/>
      <c r="P1818" s="1046"/>
    </row>
    <row r="1819" spans="1:16" x14ac:dyDescent="0.25">
      <c r="A1819" s="1054"/>
      <c r="B1819" s="1083" t="s">
        <v>4858</v>
      </c>
      <c r="C1819" s="1054">
        <v>97221</v>
      </c>
      <c r="H1819" s="1046"/>
      <c r="K1819" s="1046"/>
      <c r="P1819" s="1046"/>
    </row>
    <row r="1820" spans="1:16" x14ac:dyDescent="0.25">
      <c r="A1820" s="1054"/>
      <c r="B1820" s="1083" t="s">
        <v>4859</v>
      </c>
      <c r="C1820" s="1054">
        <v>99031</v>
      </c>
      <c r="H1820" s="1046"/>
      <c r="K1820" s="1046"/>
      <c r="P1820" s="1046"/>
    </row>
    <row r="1821" spans="1:16" x14ac:dyDescent="0.25">
      <c r="A1821" s="1054"/>
      <c r="B1821" s="1083" t="s">
        <v>4860</v>
      </c>
      <c r="C1821" s="1054">
        <v>93411</v>
      </c>
      <c r="H1821" s="1046"/>
      <c r="K1821" s="1046"/>
      <c r="P1821" s="1046"/>
    </row>
    <row r="1822" spans="1:16" x14ac:dyDescent="0.25">
      <c r="A1822" s="1054"/>
      <c r="B1822" s="1083" t="s">
        <v>2893</v>
      </c>
      <c r="C1822" s="1054">
        <v>93413</v>
      </c>
      <c r="H1822" s="1046"/>
      <c r="K1822" s="1046"/>
      <c r="P1822" s="1046"/>
    </row>
    <row r="1823" spans="1:16" x14ac:dyDescent="0.25">
      <c r="A1823" s="1054"/>
      <c r="B1823" s="1083" t="s">
        <v>4861</v>
      </c>
      <c r="C1823" s="1054">
        <v>97451</v>
      </c>
      <c r="H1823" s="1046"/>
      <c r="K1823" s="1046"/>
      <c r="P1823" s="1046"/>
    </row>
    <row r="1824" spans="1:16" x14ac:dyDescent="0.25">
      <c r="A1824" s="1054"/>
      <c r="B1824" s="1083" t="s">
        <v>4862</v>
      </c>
      <c r="C1824" s="1054">
        <v>94631</v>
      </c>
      <c r="H1824" s="1046"/>
      <c r="K1824" s="1046"/>
      <c r="P1824" s="1046"/>
    </row>
    <row r="1825" spans="1:16" x14ac:dyDescent="0.25">
      <c r="A1825" s="1054"/>
      <c r="B1825" s="1083" t="s">
        <v>4863</v>
      </c>
      <c r="C1825" s="1054">
        <v>91171</v>
      </c>
      <c r="H1825" s="1046"/>
      <c r="K1825" s="1046"/>
      <c r="P1825" s="1046"/>
    </row>
    <row r="1826" spans="1:16" x14ac:dyDescent="0.25">
      <c r="A1826" s="1054"/>
      <c r="B1826" s="1083" t="s">
        <v>2679</v>
      </c>
      <c r="C1826" s="1054">
        <v>91104</v>
      </c>
      <c r="H1826" s="1046"/>
      <c r="K1826" s="1046"/>
      <c r="P1826" s="1046"/>
    </row>
    <row r="1827" spans="1:16" x14ac:dyDescent="0.25">
      <c r="A1827" s="1054"/>
      <c r="B1827" s="1083" t="s">
        <v>4864</v>
      </c>
      <c r="C1827" s="1054">
        <v>91109</v>
      </c>
      <c r="H1827" s="1046"/>
      <c r="K1827" s="1046"/>
      <c r="P1827" s="1046"/>
    </row>
    <row r="1828" spans="1:16" x14ac:dyDescent="0.25">
      <c r="A1828" s="1054"/>
      <c r="B1828" s="1083" t="s">
        <v>4865</v>
      </c>
      <c r="C1828" s="1054">
        <v>96621</v>
      </c>
      <c r="H1828" s="1046"/>
      <c r="K1828" s="1046"/>
      <c r="P1828" s="1046"/>
    </row>
    <row r="1829" spans="1:16" x14ac:dyDescent="0.25">
      <c r="A1829" s="1054"/>
      <c r="B1829" s="1083" t="s">
        <v>4866</v>
      </c>
      <c r="C1829" s="1054">
        <v>96511</v>
      </c>
      <c r="H1829" s="1046"/>
      <c r="K1829" s="1046"/>
      <c r="P1829" s="1046"/>
    </row>
    <row r="1830" spans="1:16" x14ac:dyDescent="0.25">
      <c r="A1830" s="1054"/>
      <c r="B1830" s="1083" t="s">
        <v>3458</v>
      </c>
      <c r="C1830" s="1061">
        <v>99901</v>
      </c>
      <c r="H1830" s="1046"/>
      <c r="K1830" s="1046"/>
      <c r="P1830" s="1046"/>
    </row>
    <row r="1831" spans="1:16" x14ac:dyDescent="0.25">
      <c r="A1831" s="1054"/>
      <c r="B1831" s="1083" t="s">
        <v>4867</v>
      </c>
      <c r="C1831" s="1054">
        <v>98604</v>
      </c>
      <c r="H1831" s="1046"/>
      <c r="K1831" s="1046"/>
      <c r="P1831" s="1046"/>
    </row>
    <row r="1832" spans="1:16" x14ac:dyDescent="0.25">
      <c r="A1832" s="1054"/>
      <c r="B1832" s="1083" t="s">
        <v>3352</v>
      </c>
      <c r="C1832" s="1054">
        <v>98608</v>
      </c>
      <c r="H1832" s="1046"/>
      <c r="K1832" s="1046"/>
      <c r="P1832" s="1046"/>
    </row>
    <row r="1833" spans="1:16" x14ac:dyDescent="0.25">
      <c r="A1833" s="1054"/>
      <c r="B1833" s="1083" t="s">
        <v>4868</v>
      </c>
      <c r="C1833" s="1061">
        <v>99911</v>
      </c>
      <c r="H1833" s="1046"/>
      <c r="K1833" s="1046"/>
      <c r="P1833" s="1046"/>
    </row>
    <row r="1834" spans="1:16" x14ac:dyDescent="0.25">
      <c r="A1834" s="1054"/>
      <c r="B1834" s="1083" t="s">
        <v>2579</v>
      </c>
      <c r="C1834" s="1054">
        <v>90001</v>
      </c>
      <c r="H1834" s="1046"/>
      <c r="K1834" s="1046"/>
      <c r="P1834" s="1046"/>
    </row>
    <row r="1835" spans="1:16" x14ac:dyDescent="0.25">
      <c r="A1835" s="1054"/>
      <c r="B1835" s="1083" t="s">
        <v>4869</v>
      </c>
      <c r="C1835" s="1054">
        <v>90002</v>
      </c>
      <c r="H1835" s="1046"/>
      <c r="K1835" s="1046"/>
      <c r="P1835" s="1046"/>
    </row>
    <row r="1836" spans="1:16" x14ac:dyDescent="0.25">
      <c r="A1836" s="1054"/>
      <c r="B1836" s="1083" t="s">
        <v>4870</v>
      </c>
      <c r="C1836" s="1054">
        <v>91719</v>
      </c>
      <c r="H1836" s="1046"/>
      <c r="K1836" s="1046"/>
      <c r="P1836" s="1046"/>
    </row>
    <row r="1837" spans="1:16" x14ac:dyDescent="0.25">
      <c r="A1837" s="1054"/>
      <c r="B1837" s="1083" t="s">
        <v>4871</v>
      </c>
      <c r="C1837" s="1054">
        <v>93541</v>
      </c>
      <c r="H1837" s="1046"/>
      <c r="K1837" s="1046"/>
      <c r="P1837" s="1046"/>
    </row>
    <row r="1838" spans="1:16" x14ac:dyDescent="0.25">
      <c r="A1838" s="1054"/>
      <c r="B1838" s="1083" t="s">
        <v>4872</v>
      </c>
      <c r="C1838" s="1054">
        <v>99241</v>
      </c>
      <c r="H1838" s="1046"/>
      <c r="K1838" s="1046"/>
      <c r="P1838" s="1046"/>
    </row>
    <row r="1839" spans="1:16" x14ac:dyDescent="0.25">
      <c r="A1839" s="1054"/>
      <c r="B1839" s="1088"/>
      <c r="H1839" s="1046"/>
      <c r="K1839" s="1046"/>
      <c r="P1839" s="1046"/>
    </row>
    <row r="1840" spans="1:16" x14ac:dyDescent="0.25">
      <c r="B1840" s="1088"/>
      <c r="H1840" s="1046"/>
      <c r="K1840" s="1046"/>
      <c r="P1840" s="1046"/>
    </row>
    <row r="1841" spans="2:16" x14ac:dyDescent="0.25">
      <c r="B1841" s="1088"/>
      <c r="H1841" s="1046"/>
      <c r="K1841" s="1046"/>
      <c r="P1841" s="1046"/>
    </row>
    <row r="1842" spans="2:16" x14ac:dyDescent="0.25">
      <c r="B1842" s="1088"/>
      <c r="H1842" s="1046"/>
      <c r="K1842" s="1046"/>
      <c r="P1842" s="1046"/>
    </row>
    <row r="1843" spans="2:16" x14ac:dyDescent="0.25">
      <c r="B1843" s="1088"/>
      <c r="H1843" s="1046"/>
      <c r="K1843" s="1046"/>
      <c r="P1843" s="1046"/>
    </row>
    <row r="1844" spans="2:16" x14ac:dyDescent="0.25">
      <c r="B1844" s="1088"/>
      <c r="H1844" s="1046"/>
      <c r="K1844" s="1046"/>
      <c r="P1844" s="1046"/>
    </row>
    <row r="1845" spans="2:16" x14ac:dyDescent="0.25">
      <c r="B1845" s="1088"/>
      <c r="H1845" s="1046"/>
      <c r="K1845" s="1046"/>
      <c r="P1845" s="1046"/>
    </row>
    <row r="1846" spans="2:16" x14ac:dyDescent="0.25">
      <c r="B1846" s="1088"/>
      <c r="H1846" s="1046"/>
      <c r="K1846" s="1046"/>
      <c r="P1846" s="1046"/>
    </row>
    <row r="1847" spans="2:16" x14ac:dyDescent="0.25">
      <c r="B1847" s="1088"/>
      <c r="H1847" s="1046"/>
      <c r="K1847" s="1046"/>
      <c r="P1847" s="1046"/>
    </row>
    <row r="1848" spans="2:16" x14ac:dyDescent="0.25">
      <c r="B1848" s="1088"/>
      <c r="H1848" s="1046"/>
      <c r="K1848" s="1046"/>
      <c r="P1848" s="1046"/>
    </row>
    <row r="1849" spans="2:16" x14ac:dyDescent="0.25">
      <c r="B1849" s="1088"/>
      <c r="H1849" s="1046"/>
      <c r="K1849" s="1046"/>
      <c r="P1849" s="1046"/>
    </row>
    <row r="1850" spans="2:16" x14ac:dyDescent="0.25">
      <c r="B1850" s="1088"/>
      <c r="H1850" s="1046"/>
      <c r="K1850" s="1046"/>
      <c r="P1850" s="1046"/>
    </row>
    <row r="1851" spans="2:16" x14ac:dyDescent="0.25">
      <c r="B1851" s="1088"/>
      <c r="H1851" s="1046"/>
      <c r="K1851" s="1046"/>
      <c r="P1851" s="1046"/>
    </row>
    <row r="1852" spans="2:16" x14ac:dyDescent="0.25">
      <c r="B1852" s="1088"/>
      <c r="H1852" s="1046"/>
      <c r="K1852" s="1046"/>
      <c r="P1852" s="1046"/>
    </row>
    <row r="1853" spans="2:16" x14ac:dyDescent="0.25">
      <c r="B1853" s="1088"/>
      <c r="H1853" s="1046"/>
      <c r="K1853" s="1046"/>
      <c r="P1853" s="1046"/>
    </row>
    <row r="1854" spans="2:16" x14ac:dyDescent="0.25">
      <c r="B1854" s="1088"/>
      <c r="H1854" s="1046"/>
      <c r="K1854" s="1046"/>
      <c r="P1854" s="1046"/>
    </row>
    <row r="1855" spans="2:16" x14ac:dyDescent="0.25">
      <c r="B1855" s="1088"/>
      <c r="H1855" s="1046"/>
      <c r="K1855" s="1046"/>
      <c r="P1855" s="1046"/>
    </row>
    <row r="1856" spans="2:16" x14ac:dyDescent="0.25">
      <c r="B1856" s="1088"/>
      <c r="H1856" s="1046"/>
      <c r="K1856" s="1046"/>
      <c r="P1856" s="1046"/>
    </row>
    <row r="1857" spans="2:16" x14ac:dyDescent="0.25">
      <c r="B1857" s="1088"/>
      <c r="H1857" s="1046"/>
      <c r="K1857" s="1046"/>
      <c r="P1857" s="1046"/>
    </row>
    <row r="1858" spans="2:16" x14ac:dyDescent="0.25">
      <c r="B1858" s="1088"/>
      <c r="H1858" s="1046"/>
      <c r="K1858" s="1046"/>
      <c r="P1858" s="1046"/>
    </row>
    <row r="1859" spans="2:16" x14ac:dyDescent="0.25">
      <c r="B1859" s="1088"/>
      <c r="H1859" s="1046"/>
      <c r="K1859" s="1046"/>
      <c r="P1859" s="1046"/>
    </row>
    <row r="1860" spans="2:16" x14ac:dyDescent="0.25">
      <c r="B1860" s="1088"/>
      <c r="H1860" s="1046"/>
      <c r="K1860" s="1046"/>
      <c r="P1860" s="1046"/>
    </row>
    <row r="1861" spans="2:16" x14ac:dyDescent="0.25">
      <c r="B1861" s="1088"/>
      <c r="H1861" s="1046"/>
      <c r="K1861" s="1046"/>
      <c r="P1861" s="1046"/>
    </row>
    <row r="1862" spans="2:16" x14ac:dyDescent="0.25">
      <c r="B1862" s="1088"/>
      <c r="H1862" s="1046"/>
      <c r="K1862" s="1046"/>
      <c r="P1862" s="1046"/>
    </row>
    <row r="1863" spans="2:16" x14ac:dyDescent="0.25">
      <c r="B1863" s="1088"/>
      <c r="H1863" s="1046"/>
      <c r="K1863" s="1046"/>
      <c r="P1863" s="1046"/>
    </row>
    <row r="1864" spans="2:16" x14ac:dyDescent="0.25">
      <c r="B1864" s="1088"/>
      <c r="H1864" s="1046"/>
      <c r="K1864" s="1046"/>
      <c r="P1864" s="1046"/>
    </row>
    <row r="1865" spans="2:16" x14ac:dyDescent="0.25">
      <c r="B1865" s="1088"/>
      <c r="H1865" s="1046"/>
      <c r="K1865" s="1046"/>
      <c r="P1865" s="1046"/>
    </row>
    <row r="1866" spans="2:16" x14ac:dyDescent="0.25">
      <c r="B1866" s="1088"/>
      <c r="H1866" s="1046"/>
      <c r="K1866" s="1046"/>
      <c r="P1866" s="1046"/>
    </row>
    <row r="1867" spans="2:16" x14ac:dyDescent="0.25">
      <c r="B1867" s="1088"/>
      <c r="H1867" s="1046"/>
      <c r="K1867" s="1046"/>
      <c r="P1867" s="1046"/>
    </row>
    <row r="1868" spans="2:16" x14ac:dyDescent="0.25">
      <c r="B1868" s="1088"/>
      <c r="H1868" s="1046"/>
      <c r="K1868" s="1046"/>
      <c r="P1868" s="1046"/>
    </row>
    <row r="1869" spans="2:16" x14ac:dyDescent="0.25">
      <c r="B1869" s="1088"/>
      <c r="H1869" s="1046"/>
      <c r="K1869" s="1046"/>
      <c r="P1869" s="1046"/>
    </row>
    <row r="1870" spans="2:16" x14ac:dyDescent="0.25">
      <c r="B1870" s="1088"/>
      <c r="H1870" s="1046"/>
      <c r="K1870" s="1046"/>
      <c r="P1870" s="1046"/>
    </row>
    <row r="1871" spans="2:16" x14ac:dyDescent="0.25">
      <c r="B1871" s="1088"/>
      <c r="H1871" s="1046"/>
      <c r="K1871" s="1046"/>
      <c r="P1871" s="1046"/>
    </row>
    <row r="1872" spans="2:16" x14ac:dyDescent="0.25">
      <c r="B1872" s="1088"/>
      <c r="H1872" s="1046"/>
      <c r="K1872" s="1046"/>
      <c r="P1872" s="1046"/>
    </row>
    <row r="1873" spans="2:16" x14ac:dyDescent="0.25">
      <c r="B1873" s="1088"/>
      <c r="H1873" s="1046"/>
      <c r="K1873" s="1046"/>
      <c r="P1873" s="1046"/>
    </row>
    <row r="1874" spans="2:16" x14ac:dyDescent="0.25">
      <c r="B1874" s="1088"/>
      <c r="H1874" s="1046"/>
      <c r="K1874" s="1046"/>
      <c r="P1874" s="1046"/>
    </row>
    <row r="1875" spans="2:16" x14ac:dyDescent="0.25">
      <c r="B1875" s="1088"/>
      <c r="H1875" s="1046"/>
      <c r="K1875" s="1046"/>
      <c r="P1875" s="1046"/>
    </row>
    <row r="1876" spans="2:16" x14ac:dyDescent="0.25">
      <c r="B1876" s="1088"/>
      <c r="H1876" s="1046"/>
      <c r="K1876" s="1046"/>
      <c r="P1876" s="1046"/>
    </row>
    <row r="1877" spans="2:16" x14ac:dyDescent="0.25">
      <c r="B1877" s="1088"/>
      <c r="H1877" s="1046"/>
      <c r="K1877" s="1046"/>
      <c r="P1877" s="1046"/>
    </row>
    <row r="1878" spans="2:16" x14ac:dyDescent="0.25">
      <c r="B1878" s="1088"/>
      <c r="H1878" s="1046"/>
      <c r="K1878" s="1046"/>
      <c r="P1878" s="1046"/>
    </row>
    <row r="1879" spans="2:16" x14ac:dyDescent="0.25">
      <c r="B1879" s="1088"/>
      <c r="H1879" s="1046"/>
      <c r="K1879" s="1046"/>
      <c r="P1879" s="1046"/>
    </row>
    <row r="1880" spans="2:16" x14ac:dyDescent="0.25">
      <c r="B1880" s="1088"/>
      <c r="H1880" s="1046"/>
      <c r="K1880" s="1046"/>
      <c r="P1880" s="1046"/>
    </row>
    <row r="1881" spans="2:16" x14ac:dyDescent="0.25">
      <c r="B1881" s="1088"/>
      <c r="H1881" s="1046"/>
      <c r="K1881" s="1046"/>
      <c r="P1881" s="1046"/>
    </row>
    <row r="1882" spans="2:16" x14ac:dyDescent="0.25">
      <c r="B1882" s="1088"/>
      <c r="H1882" s="1046"/>
      <c r="K1882" s="1046"/>
      <c r="P1882" s="1046"/>
    </row>
    <row r="1883" spans="2:16" x14ac:dyDescent="0.25">
      <c r="B1883" s="1088"/>
      <c r="H1883" s="1046"/>
      <c r="K1883" s="1046"/>
      <c r="P1883" s="1046"/>
    </row>
    <row r="1884" spans="2:16" x14ac:dyDescent="0.25">
      <c r="B1884" s="1088"/>
      <c r="H1884" s="1046"/>
      <c r="K1884" s="1046"/>
      <c r="P1884" s="1046"/>
    </row>
    <row r="1885" spans="2:16" x14ac:dyDescent="0.25">
      <c r="B1885" s="1088"/>
      <c r="H1885" s="1046"/>
      <c r="K1885" s="1046"/>
      <c r="P1885" s="1046"/>
    </row>
    <row r="1886" spans="2:16" x14ac:dyDescent="0.25">
      <c r="B1886" s="1088"/>
      <c r="H1886" s="1046"/>
      <c r="K1886" s="1046"/>
      <c r="P1886" s="1046"/>
    </row>
    <row r="1887" spans="2:16" x14ac:dyDescent="0.25">
      <c r="B1887" s="1088"/>
      <c r="H1887" s="1046"/>
      <c r="K1887" s="1046"/>
      <c r="P1887" s="1046"/>
    </row>
    <row r="1888" spans="2:16" x14ac:dyDescent="0.25">
      <c r="B1888" s="1088"/>
      <c r="H1888" s="1046"/>
      <c r="K1888" s="1046"/>
      <c r="P1888" s="1046"/>
    </row>
    <row r="1889" spans="2:16" x14ac:dyDescent="0.25">
      <c r="B1889" s="1088"/>
      <c r="H1889" s="1046"/>
      <c r="K1889" s="1046"/>
      <c r="P1889" s="1046"/>
    </row>
    <row r="1890" spans="2:16" x14ac:dyDescent="0.25">
      <c r="B1890" s="1088"/>
      <c r="H1890" s="1046"/>
      <c r="K1890" s="1046"/>
      <c r="P1890" s="1046"/>
    </row>
    <row r="1891" spans="2:16" x14ac:dyDescent="0.25">
      <c r="B1891" s="1088"/>
      <c r="H1891" s="1046"/>
      <c r="K1891" s="1046"/>
      <c r="P1891" s="1046"/>
    </row>
    <row r="1892" spans="2:16" x14ac:dyDescent="0.25">
      <c r="B1892" s="1088"/>
      <c r="H1892" s="1046"/>
      <c r="K1892" s="1046"/>
      <c r="P1892" s="1046"/>
    </row>
    <row r="1893" spans="2:16" x14ac:dyDescent="0.25">
      <c r="B1893" s="1088"/>
      <c r="H1893" s="1046"/>
      <c r="K1893" s="1046"/>
      <c r="P1893" s="1046"/>
    </row>
    <row r="1894" spans="2:16" x14ac:dyDescent="0.25">
      <c r="B1894" s="1088"/>
      <c r="H1894" s="1046"/>
      <c r="K1894" s="1046"/>
      <c r="P1894" s="1046"/>
    </row>
    <row r="1895" spans="2:16" x14ac:dyDescent="0.25">
      <c r="B1895" s="1088"/>
      <c r="H1895" s="1046"/>
      <c r="K1895" s="1046"/>
      <c r="P1895" s="1046"/>
    </row>
    <row r="1896" spans="2:16" x14ac:dyDescent="0.25">
      <c r="B1896" s="1088"/>
      <c r="H1896" s="1046"/>
      <c r="K1896" s="1046"/>
      <c r="P1896" s="1046"/>
    </row>
    <row r="1897" spans="2:16" x14ac:dyDescent="0.25">
      <c r="B1897" s="1088"/>
      <c r="H1897" s="1046"/>
      <c r="K1897" s="1046"/>
      <c r="P1897" s="1046"/>
    </row>
    <row r="1898" spans="2:16" x14ac:dyDescent="0.25">
      <c r="B1898" s="1088"/>
      <c r="H1898" s="1046"/>
      <c r="K1898" s="1046"/>
      <c r="P1898" s="1046"/>
    </row>
    <row r="1899" spans="2:16" x14ac:dyDescent="0.25">
      <c r="B1899" s="1088"/>
      <c r="H1899" s="1046"/>
      <c r="K1899" s="1046"/>
      <c r="P1899" s="1046"/>
    </row>
    <row r="1900" spans="2:16" x14ac:dyDescent="0.25">
      <c r="B1900" s="1088"/>
      <c r="H1900" s="1046"/>
      <c r="K1900" s="1046"/>
      <c r="P1900" s="1046"/>
    </row>
    <row r="1901" spans="2:16" x14ac:dyDescent="0.25">
      <c r="B1901" s="1088"/>
      <c r="H1901" s="1046"/>
      <c r="K1901" s="1046"/>
      <c r="P1901" s="1046"/>
    </row>
    <row r="1902" spans="2:16" x14ac:dyDescent="0.25">
      <c r="B1902" s="1088"/>
      <c r="H1902" s="1046"/>
      <c r="K1902" s="1046"/>
      <c r="P1902" s="1046"/>
    </row>
    <row r="1903" spans="2:16" x14ac:dyDescent="0.25">
      <c r="B1903" s="1088"/>
      <c r="H1903" s="1046"/>
      <c r="K1903" s="1046"/>
      <c r="P1903" s="1046"/>
    </row>
    <row r="1904" spans="2:16" x14ac:dyDescent="0.25">
      <c r="B1904" s="1088"/>
      <c r="H1904" s="1046"/>
      <c r="K1904" s="1046"/>
      <c r="P1904" s="1046"/>
    </row>
    <row r="1905" spans="2:16" x14ac:dyDescent="0.25">
      <c r="B1905" s="1088"/>
      <c r="H1905" s="1046"/>
      <c r="K1905" s="1046"/>
      <c r="P1905" s="1046"/>
    </row>
    <row r="1906" spans="2:16" x14ac:dyDescent="0.25">
      <c r="B1906" s="1088"/>
      <c r="H1906" s="1046"/>
      <c r="K1906" s="1046"/>
      <c r="P1906" s="1046"/>
    </row>
    <row r="1907" spans="2:16" x14ac:dyDescent="0.25">
      <c r="B1907" s="1088"/>
      <c r="H1907" s="1046"/>
      <c r="K1907" s="1046"/>
      <c r="P1907" s="1046"/>
    </row>
    <row r="1908" spans="2:16" x14ac:dyDescent="0.25">
      <c r="B1908" s="1088"/>
      <c r="H1908" s="1046"/>
      <c r="K1908" s="1046"/>
      <c r="P1908" s="1046"/>
    </row>
  </sheetData>
  <pageMargins left="0.7" right="0.7" top="0.75" bottom="0.75" header="0.3" footer="0.3"/>
  <pageSetup paperSize="5" scale="40" fitToHeight="0" orientation="landscape" r:id="rId1"/>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A1:T1813"/>
  <sheetViews>
    <sheetView zoomScaleNormal="100" workbookViewId="0">
      <pane xSplit="2" ySplit="5" topLeftCell="C884" activePane="bottomRight" state="frozen"/>
      <selection pane="topRight" activeCell="C1" sqref="C1"/>
      <selection pane="bottomLeft" activeCell="A6" sqref="A6"/>
      <selection pane="bottomRight" activeCell="G909" sqref="G909"/>
    </sheetView>
  </sheetViews>
  <sheetFormatPr defaultRowHeight="15" x14ac:dyDescent="0.25"/>
  <cols>
    <col min="1" max="1" width="10.5703125" style="898" customWidth="1"/>
    <col min="2" max="2" width="43.7109375" style="898" customWidth="1"/>
    <col min="3" max="4" width="13.85546875" style="898" customWidth="1"/>
    <col min="5" max="5" width="18.28515625" style="898" customWidth="1"/>
    <col min="6" max="6" width="3.85546875" style="898" customWidth="1"/>
    <col min="7" max="7" width="18.28515625" style="898" customWidth="1"/>
    <col min="8" max="8" width="20" style="899" customWidth="1"/>
    <col min="9" max="9" width="14.42578125" style="898" customWidth="1"/>
    <col min="10" max="10" width="19.42578125" style="898" customWidth="1"/>
    <col min="11" max="11" width="20" style="899" customWidth="1"/>
    <col min="12" max="12" width="3.85546875" style="898" customWidth="1"/>
    <col min="13" max="13" width="18.28515625" style="898" customWidth="1"/>
    <col min="14" max="14" width="11.85546875" style="898" customWidth="1"/>
    <col min="15" max="15" width="19.42578125" style="898" customWidth="1"/>
    <col min="16" max="16" width="20" style="899" customWidth="1"/>
    <col min="17" max="17" width="3.85546875" style="898" customWidth="1"/>
    <col min="18" max="18" width="13.85546875" style="898" customWidth="1"/>
    <col min="19" max="19" width="22.42578125" style="898" customWidth="1"/>
    <col min="20" max="20" width="14.85546875" style="898" bestFit="1" customWidth="1"/>
    <col min="21" max="16384" width="9.140625" style="898"/>
  </cols>
  <sheetData>
    <row r="1" spans="1:20" x14ac:dyDescent="0.25">
      <c r="A1" s="898" t="s">
        <v>3574</v>
      </c>
      <c r="H1" s="898"/>
    </row>
    <row r="2" spans="1:20" x14ac:dyDescent="0.25">
      <c r="A2" s="898" t="s">
        <v>3575</v>
      </c>
      <c r="H2" s="898"/>
    </row>
    <row r="3" spans="1:20" x14ac:dyDescent="0.25">
      <c r="H3" s="898"/>
    </row>
    <row r="4" spans="1:20" x14ac:dyDescent="0.25">
      <c r="G4" s="900" t="s">
        <v>1156</v>
      </c>
      <c r="H4" s="900"/>
      <c r="I4" s="900"/>
      <c r="J4" s="900"/>
      <c r="K4" s="901"/>
      <c r="M4" s="900" t="s">
        <v>1157</v>
      </c>
      <c r="N4" s="900"/>
      <c r="O4" s="900"/>
      <c r="P4" s="901"/>
      <c r="R4" s="900" t="s">
        <v>1158</v>
      </c>
      <c r="S4" s="900"/>
      <c r="T4" s="900"/>
    </row>
    <row r="5" spans="1:20" ht="120" x14ac:dyDescent="0.25">
      <c r="A5" s="902" t="s">
        <v>1155</v>
      </c>
      <c r="B5" s="902" t="s">
        <v>1159</v>
      </c>
      <c r="C5" s="902" t="s">
        <v>2117</v>
      </c>
      <c r="D5" s="902" t="s">
        <v>2118</v>
      </c>
      <c r="E5" s="902" t="s">
        <v>1168</v>
      </c>
      <c r="F5" s="902"/>
      <c r="G5" s="902" t="s">
        <v>1161</v>
      </c>
      <c r="H5" s="903" t="s">
        <v>1162</v>
      </c>
      <c r="I5" s="902" t="s">
        <v>1163</v>
      </c>
      <c r="J5" s="902" t="s">
        <v>1164</v>
      </c>
      <c r="K5" s="903" t="s">
        <v>3576</v>
      </c>
      <c r="L5" s="902"/>
      <c r="M5" s="902" t="s">
        <v>1161</v>
      </c>
      <c r="N5" s="902" t="s">
        <v>1163</v>
      </c>
      <c r="O5" s="902" t="s">
        <v>1164</v>
      </c>
      <c r="P5" s="903" t="s">
        <v>3577</v>
      </c>
      <c r="Q5" s="902"/>
      <c r="R5" s="902" t="s">
        <v>1165</v>
      </c>
      <c r="S5" s="902" t="s">
        <v>1166</v>
      </c>
      <c r="T5" s="902" t="s">
        <v>1167</v>
      </c>
    </row>
    <row r="6" spans="1:20" x14ac:dyDescent="0.25">
      <c r="A6" s="904" t="s">
        <v>487</v>
      </c>
      <c r="B6" s="905" t="s">
        <v>2121</v>
      </c>
      <c r="C6" s="902"/>
      <c r="D6" s="902"/>
      <c r="E6" s="902"/>
      <c r="F6" s="902"/>
      <c r="G6" s="902"/>
      <c r="H6" s="903"/>
      <c r="I6" s="902"/>
      <c r="J6" s="902"/>
      <c r="K6" s="903"/>
      <c r="L6" s="902"/>
      <c r="M6" s="902"/>
      <c r="N6" s="902"/>
      <c r="O6" s="902"/>
      <c r="P6" s="903"/>
      <c r="Q6" s="902"/>
      <c r="R6" s="902"/>
      <c r="S6" s="902"/>
      <c r="T6" s="902"/>
    </row>
    <row r="7" spans="1:20" x14ac:dyDescent="0.25">
      <c r="A7" s="906">
        <v>70505</v>
      </c>
      <c r="B7" s="907" t="s">
        <v>2575</v>
      </c>
      <c r="C7" s="908">
        <v>4.147E-4</v>
      </c>
      <c r="D7" s="908">
        <v>4.6880000000000001E-4</v>
      </c>
      <c r="E7" s="909">
        <v>633547</v>
      </c>
      <c r="F7" s="909"/>
      <c r="G7" s="910">
        <v>36498</v>
      </c>
      <c r="H7" s="911">
        <v>153826</v>
      </c>
      <c r="I7" s="910">
        <v>90479</v>
      </c>
      <c r="J7" s="909">
        <v>0</v>
      </c>
      <c r="K7" s="911">
        <f t="shared" ref="K7:K70" si="0">G7+H7+I7+J7</f>
        <v>280803</v>
      </c>
      <c r="L7" s="909"/>
      <c r="M7" s="910">
        <v>17934</v>
      </c>
      <c r="N7" s="910">
        <v>0</v>
      </c>
      <c r="O7" s="909">
        <v>53472</v>
      </c>
      <c r="P7" s="911">
        <f t="shared" ref="P7:P70" si="1">M7+N7+O7</f>
        <v>71406</v>
      </c>
      <c r="Q7" s="909"/>
      <c r="R7" s="910">
        <v>213506</v>
      </c>
      <c r="S7" s="912">
        <v>-18259</v>
      </c>
      <c r="T7" s="912">
        <v>195247</v>
      </c>
    </row>
    <row r="8" spans="1:20" x14ac:dyDescent="0.25">
      <c r="A8" s="906">
        <v>72265</v>
      </c>
      <c r="B8" s="907" t="s">
        <v>2577</v>
      </c>
      <c r="C8" s="908">
        <v>1.4009999999999999E-4</v>
      </c>
      <c r="D8" s="908">
        <v>1.327E-4</v>
      </c>
      <c r="E8" s="909">
        <v>214034</v>
      </c>
      <c r="F8" s="909"/>
      <c r="G8" s="910">
        <v>12330</v>
      </c>
      <c r="H8" s="911">
        <v>51967</v>
      </c>
      <c r="I8" s="910">
        <v>30567</v>
      </c>
      <c r="J8" s="909">
        <v>6550</v>
      </c>
      <c r="K8" s="911">
        <f t="shared" si="0"/>
        <v>101414</v>
      </c>
      <c r="L8" s="909"/>
      <c r="M8" s="910">
        <v>6059</v>
      </c>
      <c r="N8" s="910">
        <v>0</v>
      </c>
      <c r="O8" s="909">
        <v>3729</v>
      </c>
      <c r="P8" s="911">
        <f t="shared" si="1"/>
        <v>9788</v>
      </c>
      <c r="Q8" s="909"/>
      <c r="R8" s="910">
        <v>72130</v>
      </c>
      <c r="S8" s="912">
        <v>3031</v>
      </c>
      <c r="T8" s="912">
        <v>75161</v>
      </c>
    </row>
    <row r="9" spans="1:20" x14ac:dyDescent="0.25">
      <c r="A9" s="906">
        <v>72593</v>
      </c>
      <c r="B9" s="907" t="s">
        <v>3578</v>
      </c>
      <c r="C9" s="908">
        <v>5.9000000000000003E-6</v>
      </c>
      <c r="D9" s="908">
        <v>0</v>
      </c>
      <c r="E9" s="909">
        <v>9014</v>
      </c>
      <c r="F9" s="909"/>
      <c r="G9" s="910">
        <v>519</v>
      </c>
      <c r="H9" s="911">
        <v>2188</v>
      </c>
      <c r="I9" s="910">
        <v>1287</v>
      </c>
      <c r="J9" s="909">
        <v>3014</v>
      </c>
      <c r="K9" s="911">
        <f t="shared" si="0"/>
        <v>7008</v>
      </c>
      <c r="L9" s="909"/>
      <c r="M9" s="910">
        <v>255</v>
      </c>
      <c r="N9" s="910">
        <v>0</v>
      </c>
      <c r="O9" s="909">
        <v>0</v>
      </c>
      <c r="P9" s="911">
        <f t="shared" si="1"/>
        <v>255</v>
      </c>
      <c r="Q9" s="909"/>
      <c r="R9" s="910">
        <v>3038</v>
      </c>
      <c r="S9" s="912">
        <v>753</v>
      </c>
      <c r="T9" s="912">
        <v>3791</v>
      </c>
    </row>
    <row r="10" spans="1:20" x14ac:dyDescent="0.25">
      <c r="A10" s="906">
        <v>72657</v>
      </c>
      <c r="B10" s="907" t="s">
        <v>2578</v>
      </c>
      <c r="C10" s="908">
        <v>3.9900000000000001E-5</v>
      </c>
      <c r="D10" s="908">
        <v>4.2799999999999997E-5</v>
      </c>
      <c r="E10" s="909">
        <v>60956</v>
      </c>
      <c r="F10" s="909"/>
      <c r="G10" s="910">
        <v>3512</v>
      </c>
      <c r="H10" s="911">
        <v>14801</v>
      </c>
      <c r="I10" s="910">
        <v>8705</v>
      </c>
      <c r="J10" s="909">
        <v>3272</v>
      </c>
      <c r="K10" s="911">
        <f t="shared" si="0"/>
        <v>30290</v>
      </c>
      <c r="L10" s="909"/>
      <c r="M10" s="910">
        <v>1725</v>
      </c>
      <c r="N10" s="910">
        <v>0</v>
      </c>
      <c r="O10" s="909">
        <v>6366</v>
      </c>
      <c r="P10" s="911">
        <f t="shared" si="1"/>
        <v>8091</v>
      </c>
      <c r="Q10" s="909"/>
      <c r="R10" s="910">
        <v>20542</v>
      </c>
      <c r="S10" s="912">
        <v>900</v>
      </c>
      <c r="T10" s="912">
        <v>21442</v>
      </c>
    </row>
    <row r="11" spans="1:20" x14ac:dyDescent="0.25">
      <c r="A11" s="906">
        <v>90001</v>
      </c>
      <c r="B11" s="907" t="s">
        <v>2579</v>
      </c>
      <c r="C11" s="908">
        <v>8.6030000000000004E-4</v>
      </c>
      <c r="D11" s="908">
        <v>8.6910000000000004E-4</v>
      </c>
      <c r="E11" s="909">
        <v>1314300</v>
      </c>
      <c r="F11" s="909"/>
      <c r="G11" s="910">
        <v>75716</v>
      </c>
      <c r="H11" s="911">
        <v>319114</v>
      </c>
      <c r="I11" s="910">
        <v>187700</v>
      </c>
      <c r="J11" s="909">
        <v>11972</v>
      </c>
      <c r="K11" s="911">
        <f t="shared" si="0"/>
        <v>594502</v>
      </c>
      <c r="L11" s="909"/>
      <c r="M11" s="910">
        <v>37204</v>
      </c>
      <c r="N11" s="910">
        <v>0</v>
      </c>
      <c r="O11" s="909">
        <v>15474</v>
      </c>
      <c r="P11" s="911">
        <f t="shared" si="1"/>
        <v>52678</v>
      </c>
      <c r="Q11" s="909"/>
      <c r="R11" s="910">
        <v>442920</v>
      </c>
      <c r="S11" s="912">
        <v>891</v>
      </c>
      <c r="T11" s="912">
        <f>443812-1</f>
        <v>443811</v>
      </c>
    </row>
    <row r="12" spans="1:20" x14ac:dyDescent="0.25">
      <c r="A12" s="906">
        <v>90002</v>
      </c>
      <c r="B12" s="907" t="s">
        <v>2580</v>
      </c>
      <c r="C12" s="908">
        <v>1.06E-5</v>
      </c>
      <c r="D12" s="908">
        <v>1.15E-5</v>
      </c>
      <c r="E12" s="909">
        <v>16194</v>
      </c>
      <c r="F12" s="909"/>
      <c r="G12" s="910">
        <v>933</v>
      </c>
      <c r="H12" s="911">
        <v>3932</v>
      </c>
      <c r="I12" s="910">
        <v>2313</v>
      </c>
      <c r="J12" s="909">
        <v>1497</v>
      </c>
      <c r="K12" s="911">
        <f t="shared" si="0"/>
        <v>8675</v>
      </c>
      <c r="L12" s="909"/>
      <c r="M12" s="910">
        <v>458</v>
      </c>
      <c r="N12" s="910">
        <v>0</v>
      </c>
      <c r="O12" s="909">
        <v>0</v>
      </c>
      <c r="P12" s="911">
        <f t="shared" si="1"/>
        <v>458</v>
      </c>
      <c r="Q12" s="909"/>
      <c r="R12" s="910">
        <v>5457</v>
      </c>
      <c r="S12" s="912">
        <v>563</v>
      </c>
      <c r="T12" s="912">
        <v>6020</v>
      </c>
    </row>
    <row r="13" spans="1:20" x14ac:dyDescent="0.25">
      <c r="A13" s="906">
        <v>90011</v>
      </c>
      <c r="B13" s="907" t="s">
        <v>2581</v>
      </c>
      <c r="C13" s="908">
        <v>1.974E-4</v>
      </c>
      <c r="D13" s="908">
        <v>2.0819999999999999E-4</v>
      </c>
      <c r="E13" s="909">
        <v>301573</v>
      </c>
      <c r="F13" s="909"/>
      <c r="G13" s="910">
        <v>17373</v>
      </c>
      <c r="H13" s="911">
        <v>73222</v>
      </c>
      <c r="I13" s="910">
        <v>43069</v>
      </c>
      <c r="J13" s="909">
        <v>2300</v>
      </c>
      <c r="K13" s="911">
        <f t="shared" si="0"/>
        <v>135964</v>
      </c>
      <c r="L13" s="909"/>
      <c r="M13" s="910">
        <v>8537</v>
      </c>
      <c r="N13" s="910">
        <v>0</v>
      </c>
      <c r="O13" s="909">
        <v>30094</v>
      </c>
      <c r="P13" s="911">
        <f t="shared" si="1"/>
        <v>38631</v>
      </c>
      <c r="Q13" s="909"/>
      <c r="R13" s="910">
        <v>101630</v>
      </c>
      <c r="S13" s="912">
        <v>-7615</v>
      </c>
      <c r="T13" s="912">
        <v>94015</v>
      </c>
    </row>
    <row r="14" spans="1:20" x14ac:dyDescent="0.25">
      <c r="A14" s="906">
        <v>90092</v>
      </c>
      <c r="B14" s="907" t="s">
        <v>2582</v>
      </c>
      <c r="C14" s="908">
        <v>3.5349999999999997E-4</v>
      </c>
      <c r="D14" s="908">
        <v>3.946E-4</v>
      </c>
      <c r="E14" s="909">
        <v>540050</v>
      </c>
      <c r="F14" s="909"/>
      <c r="G14" s="910">
        <v>31112</v>
      </c>
      <c r="H14" s="911">
        <v>131125</v>
      </c>
      <c r="I14" s="910">
        <v>77127</v>
      </c>
      <c r="J14" s="909">
        <v>0</v>
      </c>
      <c r="K14" s="911">
        <f t="shared" si="0"/>
        <v>239364</v>
      </c>
      <c r="L14" s="909"/>
      <c r="M14" s="910">
        <v>15287</v>
      </c>
      <c r="N14" s="910">
        <v>0</v>
      </c>
      <c r="O14" s="909">
        <v>83168</v>
      </c>
      <c r="P14" s="911">
        <f t="shared" si="1"/>
        <v>98455</v>
      </c>
      <c r="Q14" s="909"/>
      <c r="R14" s="910">
        <v>181997</v>
      </c>
      <c r="S14" s="912">
        <v>-42793</v>
      </c>
      <c r="T14" s="912">
        <f>139205-1</f>
        <v>139204</v>
      </c>
    </row>
    <row r="15" spans="1:20" x14ac:dyDescent="0.25">
      <c r="A15" s="906">
        <v>90096</v>
      </c>
      <c r="B15" s="907" t="s">
        <v>2583</v>
      </c>
      <c r="C15" s="908">
        <v>9.7559999999999997E-4</v>
      </c>
      <c r="D15" s="908">
        <v>1.3860999999999999E-3</v>
      </c>
      <c r="E15" s="909">
        <v>1490447</v>
      </c>
      <c r="F15" s="909"/>
      <c r="G15" s="910">
        <v>85864</v>
      </c>
      <c r="H15" s="911">
        <v>361882</v>
      </c>
      <c r="I15" s="910">
        <v>212856</v>
      </c>
      <c r="J15" s="909">
        <v>43597</v>
      </c>
      <c r="K15" s="911">
        <f t="shared" si="0"/>
        <v>704199</v>
      </c>
      <c r="L15" s="909"/>
      <c r="M15" s="910">
        <v>42190</v>
      </c>
      <c r="N15" s="910">
        <v>0</v>
      </c>
      <c r="O15" s="909">
        <v>238564</v>
      </c>
      <c r="P15" s="911">
        <f t="shared" si="1"/>
        <v>280754</v>
      </c>
      <c r="Q15" s="909"/>
      <c r="R15" s="910">
        <v>502282</v>
      </c>
      <c r="S15" s="912">
        <v>-27538</v>
      </c>
      <c r="T15" s="912">
        <v>474744</v>
      </c>
    </row>
    <row r="16" spans="1:20" x14ac:dyDescent="0.25">
      <c r="A16" s="906">
        <v>90098</v>
      </c>
      <c r="B16" s="907" t="s">
        <v>2584</v>
      </c>
      <c r="C16" s="908">
        <v>2.9599999999999998E-4</v>
      </c>
      <c r="D16" s="908">
        <v>2.9280000000000002E-4</v>
      </c>
      <c r="E16" s="909">
        <v>452206</v>
      </c>
      <c r="F16" s="909"/>
      <c r="G16" s="910">
        <v>26051</v>
      </c>
      <c r="H16" s="911">
        <v>109796</v>
      </c>
      <c r="I16" s="910">
        <v>64581</v>
      </c>
      <c r="J16" s="909">
        <v>5581</v>
      </c>
      <c r="K16" s="911">
        <f t="shared" si="0"/>
        <v>206009</v>
      </c>
      <c r="L16" s="909"/>
      <c r="M16" s="910">
        <v>12801</v>
      </c>
      <c r="N16" s="910">
        <v>0</v>
      </c>
      <c r="O16" s="909">
        <v>110893</v>
      </c>
      <c r="P16" s="911">
        <f t="shared" si="1"/>
        <v>123694</v>
      </c>
      <c r="Q16" s="909"/>
      <c r="R16" s="910">
        <v>152394</v>
      </c>
      <c r="S16" s="912">
        <v>-51374</v>
      </c>
      <c r="T16" s="912">
        <v>101020</v>
      </c>
    </row>
    <row r="17" spans="1:20" x14ac:dyDescent="0.25">
      <c r="A17" s="906">
        <v>90099</v>
      </c>
      <c r="B17" s="907" t="s">
        <v>2585</v>
      </c>
      <c r="C17" s="908">
        <v>6.6330000000000002E-4</v>
      </c>
      <c r="D17" s="908">
        <v>4.9330000000000001E-4</v>
      </c>
      <c r="E17" s="909">
        <v>1013339</v>
      </c>
      <c r="F17" s="909"/>
      <c r="G17" s="910">
        <v>58378</v>
      </c>
      <c r="H17" s="911">
        <v>246040</v>
      </c>
      <c r="I17" s="910">
        <v>144719</v>
      </c>
      <c r="J17" s="909">
        <v>89744</v>
      </c>
      <c r="K17" s="911">
        <f t="shared" si="0"/>
        <v>538881</v>
      </c>
      <c r="L17" s="909"/>
      <c r="M17" s="910">
        <v>28684</v>
      </c>
      <c r="N17" s="910">
        <v>0</v>
      </c>
      <c r="O17" s="909">
        <v>44006</v>
      </c>
      <c r="P17" s="911">
        <f t="shared" si="1"/>
        <v>72690</v>
      </c>
      <c r="Q17" s="909"/>
      <c r="R17" s="910">
        <v>341496</v>
      </c>
      <c r="S17" s="912">
        <v>7780</v>
      </c>
      <c r="T17" s="912">
        <v>349276</v>
      </c>
    </row>
    <row r="18" spans="1:20" x14ac:dyDescent="0.25">
      <c r="A18" s="906">
        <v>90101</v>
      </c>
      <c r="B18" s="907" t="s">
        <v>2586</v>
      </c>
      <c r="C18" s="908">
        <v>6.6312000000000003E-3</v>
      </c>
      <c r="D18" s="908">
        <v>6.3996000000000001E-3</v>
      </c>
      <c r="E18" s="909">
        <v>10130637</v>
      </c>
      <c r="F18" s="909"/>
      <c r="G18" s="910">
        <v>583619</v>
      </c>
      <c r="H18" s="911">
        <v>2459731</v>
      </c>
      <c r="I18" s="910">
        <v>1446795</v>
      </c>
      <c r="J18" s="909">
        <v>245836</v>
      </c>
      <c r="K18" s="911">
        <f t="shared" si="0"/>
        <v>4735981</v>
      </c>
      <c r="L18" s="909"/>
      <c r="M18" s="910">
        <v>286766</v>
      </c>
      <c r="N18" s="910">
        <v>0</v>
      </c>
      <c r="O18" s="909">
        <v>25616</v>
      </c>
      <c r="P18" s="911">
        <f t="shared" si="1"/>
        <v>312382</v>
      </c>
      <c r="Q18" s="909"/>
      <c r="R18" s="910">
        <v>3414034</v>
      </c>
      <c r="S18" s="912">
        <v>67895</v>
      </c>
      <c r="T18" s="912">
        <f>3481928+1</f>
        <v>3481929</v>
      </c>
    </row>
    <row r="19" spans="1:20" x14ac:dyDescent="0.25">
      <c r="A19" s="906">
        <v>90111</v>
      </c>
      <c r="B19" s="907" t="s">
        <v>2587</v>
      </c>
      <c r="C19" s="908">
        <v>4.9740000000000001E-3</v>
      </c>
      <c r="D19" s="908">
        <v>4.8874000000000001E-3</v>
      </c>
      <c r="E19" s="909">
        <v>7598894</v>
      </c>
      <c r="F19" s="909"/>
      <c r="G19" s="910">
        <v>437767</v>
      </c>
      <c r="H19" s="911">
        <v>1845021</v>
      </c>
      <c r="I19" s="910">
        <v>1085227</v>
      </c>
      <c r="J19" s="909">
        <v>15088</v>
      </c>
      <c r="K19" s="911">
        <f t="shared" si="0"/>
        <v>3383103</v>
      </c>
      <c r="L19" s="909"/>
      <c r="M19" s="910">
        <v>215101</v>
      </c>
      <c r="N19" s="910">
        <v>0</v>
      </c>
      <c r="O19" s="909">
        <v>106602</v>
      </c>
      <c r="P19" s="911">
        <f t="shared" si="1"/>
        <v>321703</v>
      </c>
      <c r="Q19" s="909"/>
      <c r="R19" s="910">
        <v>2560834</v>
      </c>
      <c r="S19" s="912">
        <v>-53609</v>
      </c>
      <c r="T19" s="912">
        <v>2507225</v>
      </c>
    </row>
    <row r="20" spans="1:20" x14ac:dyDescent="0.25">
      <c r="A20" s="906">
        <v>90114</v>
      </c>
      <c r="B20" s="907" t="s">
        <v>2588</v>
      </c>
      <c r="C20" s="908">
        <v>1.0919E-3</v>
      </c>
      <c r="D20" s="908">
        <v>1.0681E-3</v>
      </c>
      <c r="E20" s="909">
        <v>1668121</v>
      </c>
      <c r="F20" s="909"/>
      <c r="G20" s="910">
        <v>96099</v>
      </c>
      <c r="H20" s="911">
        <v>405022</v>
      </c>
      <c r="I20" s="910">
        <v>238231</v>
      </c>
      <c r="J20" s="909">
        <v>1077044</v>
      </c>
      <c r="K20" s="911">
        <f t="shared" si="0"/>
        <v>1816396</v>
      </c>
      <c r="L20" s="909"/>
      <c r="M20" s="910">
        <v>47219</v>
      </c>
      <c r="N20" s="910">
        <v>0</v>
      </c>
      <c r="O20" s="909">
        <v>0</v>
      </c>
      <c r="P20" s="911">
        <f t="shared" si="1"/>
        <v>47219</v>
      </c>
      <c r="Q20" s="909"/>
      <c r="R20" s="910">
        <v>562158</v>
      </c>
      <c r="S20" s="912">
        <v>371192</v>
      </c>
      <c r="T20" s="912">
        <v>933350</v>
      </c>
    </row>
    <row r="21" spans="1:20" x14ac:dyDescent="0.25">
      <c r="A21" s="906">
        <v>90117</v>
      </c>
      <c r="B21" s="907" t="s">
        <v>2589</v>
      </c>
      <c r="C21" s="908">
        <v>1.407E-4</v>
      </c>
      <c r="D21" s="908">
        <v>1.35E-4</v>
      </c>
      <c r="E21" s="909">
        <v>214951</v>
      </c>
      <c r="F21" s="909"/>
      <c r="G21" s="910">
        <v>12383</v>
      </c>
      <c r="H21" s="911">
        <v>52190</v>
      </c>
      <c r="I21" s="910">
        <v>30698</v>
      </c>
      <c r="J21" s="909">
        <v>44526</v>
      </c>
      <c r="K21" s="911">
        <f t="shared" si="0"/>
        <v>139797</v>
      </c>
      <c r="L21" s="909"/>
      <c r="M21" s="910">
        <v>6085</v>
      </c>
      <c r="N21" s="910">
        <v>0</v>
      </c>
      <c r="O21" s="909">
        <v>0</v>
      </c>
      <c r="P21" s="911">
        <f t="shared" si="1"/>
        <v>6085</v>
      </c>
      <c r="Q21" s="909"/>
      <c r="R21" s="910">
        <v>72439</v>
      </c>
      <c r="S21" s="912">
        <v>18359</v>
      </c>
      <c r="T21" s="912">
        <f>90797+1</f>
        <v>90798</v>
      </c>
    </row>
    <row r="22" spans="1:20" x14ac:dyDescent="0.25">
      <c r="A22" s="906">
        <v>90121</v>
      </c>
      <c r="B22" s="907" t="s">
        <v>2590</v>
      </c>
      <c r="C22" s="908">
        <v>1.0991E-3</v>
      </c>
      <c r="D22" s="908">
        <v>1.0789E-3</v>
      </c>
      <c r="E22" s="909">
        <v>1679120</v>
      </c>
      <c r="F22" s="909"/>
      <c r="G22" s="910">
        <v>96733</v>
      </c>
      <c r="H22" s="911">
        <v>407692</v>
      </c>
      <c r="I22" s="910">
        <v>239802</v>
      </c>
      <c r="J22" s="909">
        <v>3244</v>
      </c>
      <c r="K22" s="911">
        <f t="shared" si="0"/>
        <v>747471</v>
      </c>
      <c r="L22" s="909"/>
      <c r="M22" s="910">
        <v>47531</v>
      </c>
      <c r="N22" s="910">
        <v>0</v>
      </c>
      <c r="O22" s="909">
        <v>81552</v>
      </c>
      <c r="P22" s="911">
        <f t="shared" si="1"/>
        <v>129083</v>
      </c>
      <c r="Q22" s="909"/>
      <c r="R22" s="910">
        <v>565865</v>
      </c>
      <c r="S22" s="912">
        <v>-25049</v>
      </c>
      <c r="T22" s="912">
        <v>540816</v>
      </c>
    </row>
    <row r="23" spans="1:20" x14ac:dyDescent="0.25">
      <c r="A23" s="906">
        <v>90131</v>
      </c>
      <c r="B23" s="907" t="s">
        <v>2591</v>
      </c>
      <c r="C23" s="908">
        <v>4.7639999999999998E-4</v>
      </c>
      <c r="D23" s="908">
        <v>5.0440000000000001E-4</v>
      </c>
      <c r="E23" s="909">
        <v>727807</v>
      </c>
      <c r="F23" s="909"/>
      <c r="G23" s="910">
        <v>41928</v>
      </c>
      <c r="H23" s="911">
        <v>176712</v>
      </c>
      <c r="I23" s="910">
        <v>103941</v>
      </c>
      <c r="J23" s="909">
        <v>0</v>
      </c>
      <c r="K23" s="911">
        <f t="shared" si="0"/>
        <v>322581</v>
      </c>
      <c r="L23" s="909"/>
      <c r="M23" s="910">
        <v>20602</v>
      </c>
      <c r="N23" s="910">
        <v>0</v>
      </c>
      <c r="O23" s="909">
        <v>42066</v>
      </c>
      <c r="P23" s="911">
        <f t="shared" si="1"/>
        <v>62668</v>
      </c>
      <c r="Q23" s="909"/>
      <c r="R23" s="910">
        <v>245272</v>
      </c>
      <c r="S23" s="912">
        <v>-15937</v>
      </c>
      <c r="T23" s="912">
        <v>229335</v>
      </c>
    </row>
    <row r="24" spans="1:20" x14ac:dyDescent="0.25">
      <c r="A24" s="906">
        <v>90141</v>
      </c>
      <c r="B24" s="907" t="s">
        <v>2592</v>
      </c>
      <c r="C24" s="908">
        <v>1.4779999999999999E-4</v>
      </c>
      <c r="D24" s="908">
        <v>1.306E-4</v>
      </c>
      <c r="E24" s="909">
        <v>225797</v>
      </c>
      <c r="F24" s="909"/>
      <c r="G24" s="910">
        <v>13008</v>
      </c>
      <c r="H24" s="911">
        <v>54824</v>
      </c>
      <c r="I24" s="910">
        <v>32247</v>
      </c>
      <c r="J24" s="909">
        <v>8660</v>
      </c>
      <c r="K24" s="911">
        <f t="shared" si="0"/>
        <v>108739</v>
      </c>
      <c r="L24" s="909"/>
      <c r="M24" s="910">
        <v>6392</v>
      </c>
      <c r="N24" s="910">
        <v>0</v>
      </c>
      <c r="O24" s="909">
        <v>10174</v>
      </c>
      <c r="P24" s="911">
        <f t="shared" si="1"/>
        <v>16566</v>
      </c>
      <c r="Q24" s="909"/>
      <c r="R24" s="910">
        <v>76094</v>
      </c>
      <c r="S24" s="912">
        <v>-857</v>
      </c>
      <c r="T24" s="912">
        <v>75237</v>
      </c>
    </row>
    <row r="25" spans="1:20" x14ac:dyDescent="0.25">
      <c r="A25" s="906">
        <v>90151</v>
      </c>
      <c r="B25" s="907" t="s">
        <v>2593</v>
      </c>
      <c r="C25" s="908">
        <v>9.9000000000000001E-6</v>
      </c>
      <c r="D25" s="908">
        <v>1.0000000000000001E-5</v>
      </c>
      <c r="E25" s="909">
        <v>15124</v>
      </c>
      <c r="F25" s="909"/>
      <c r="G25" s="910">
        <v>871</v>
      </c>
      <c r="H25" s="911">
        <v>3672</v>
      </c>
      <c r="I25" s="910">
        <v>2160</v>
      </c>
      <c r="J25" s="909">
        <v>0</v>
      </c>
      <c r="K25" s="911">
        <f t="shared" si="0"/>
        <v>6703</v>
      </c>
      <c r="L25" s="909"/>
      <c r="M25" s="910">
        <v>428</v>
      </c>
      <c r="N25" s="910">
        <v>0</v>
      </c>
      <c r="O25" s="909">
        <v>2719</v>
      </c>
      <c r="P25" s="911">
        <f t="shared" si="1"/>
        <v>3147</v>
      </c>
      <c r="Q25" s="909"/>
      <c r="R25" s="910">
        <v>5097</v>
      </c>
      <c r="S25" s="912">
        <v>-1090</v>
      </c>
      <c r="T25" s="912">
        <v>4007</v>
      </c>
    </row>
    <row r="26" spans="1:20" x14ac:dyDescent="0.25">
      <c r="A26" s="906">
        <v>90161</v>
      </c>
      <c r="B26" s="907" t="s">
        <v>2594</v>
      </c>
      <c r="C26" s="908">
        <v>3.4199999999999998E-5</v>
      </c>
      <c r="D26" s="908">
        <v>3.4799999999999999E-5</v>
      </c>
      <c r="E26" s="909">
        <v>52248</v>
      </c>
      <c r="F26" s="909"/>
      <c r="G26" s="910">
        <v>3010</v>
      </c>
      <c r="H26" s="911">
        <v>12686</v>
      </c>
      <c r="I26" s="910">
        <v>7462</v>
      </c>
      <c r="J26" s="909">
        <v>4022</v>
      </c>
      <c r="K26" s="911">
        <f t="shared" si="0"/>
        <v>27180</v>
      </c>
      <c r="L26" s="909"/>
      <c r="M26" s="910">
        <v>1479</v>
      </c>
      <c r="N26" s="910">
        <v>0</v>
      </c>
      <c r="O26" s="909">
        <v>462</v>
      </c>
      <c r="P26" s="911">
        <f t="shared" si="1"/>
        <v>1941</v>
      </c>
      <c r="Q26" s="909"/>
      <c r="R26" s="910">
        <v>17608</v>
      </c>
      <c r="S26" s="912">
        <v>1591</v>
      </c>
      <c r="T26" s="912">
        <v>19199</v>
      </c>
    </row>
    <row r="27" spans="1:20" x14ac:dyDescent="0.25">
      <c r="A27" s="906">
        <v>90201</v>
      </c>
      <c r="B27" s="907" t="s">
        <v>2595</v>
      </c>
      <c r="C27" s="908">
        <v>1.2126999999999999E-3</v>
      </c>
      <c r="D27" s="908">
        <v>1.2419E-3</v>
      </c>
      <c r="E27" s="909">
        <v>1852670</v>
      </c>
      <c r="F27" s="909"/>
      <c r="G27" s="910">
        <v>106731</v>
      </c>
      <c r="H27" s="911">
        <v>449830</v>
      </c>
      <c r="I27" s="910">
        <v>264587</v>
      </c>
      <c r="J27" s="909">
        <v>36621</v>
      </c>
      <c r="K27" s="911">
        <f t="shared" si="0"/>
        <v>857769</v>
      </c>
      <c r="L27" s="909"/>
      <c r="M27" s="910">
        <v>52443</v>
      </c>
      <c r="N27" s="910">
        <v>0</v>
      </c>
      <c r="O27" s="909">
        <v>36396</v>
      </c>
      <c r="P27" s="911">
        <f t="shared" si="1"/>
        <v>88839</v>
      </c>
      <c r="Q27" s="909"/>
      <c r="R27" s="910">
        <v>624351</v>
      </c>
      <c r="S27" s="912">
        <v>24941</v>
      </c>
      <c r="T27" s="912">
        <v>649292</v>
      </c>
    </row>
    <row r="28" spans="1:20" x14ac:dyDescent="0.25">
      <c r="A28" s="906">
        <v>90203</v>
      </c>
      <c r="B28" s="907" t="s">
        <v>2596</v>
      </c>
      <c r="C28" s="908">
        <v>1.994E-4</v>
      </c>
      <c r="D28" s="908">
        <v>2.3680000000000001E-4</v>
      </c>
      <c r="E28" s="909">
        <v>304628</v>
      </c>
      <c r="F28" s="909"/>
      <c r="G28" s="910">
        <v>17549</v>
      </c>
      <c r="H28" s="911">
        <v>73964</v>
      </c>
      <c r="I28" s="910">
        <v>43505</v>
      </c>
      <c r="J28" s="909">
        <v>2154</v>
      </c>
      <c r="K28" s="911">
        <f t="shared" si="0"/>
        <v>137172</v>
      </c>
      <c r="L28" s="909"/>
      <c r="M28" s="910">
        <v>8623</v>
      </c>
      <c r="N28" s="910">
        <v>0</v>
      </c>
      <c r="O28" s="909">
        <v>49077</v>
      </c>
      <c r="P28" s="911">
        <f t="shared" si="1"/>
        <v>57700</v>
      </c>
      <c r="Q28" s="909"/>
      <c r="R28" s="910">
        <v>102660</v>
      </c>
      <c r="S28" s="912">
        <v>-18026</v>
      </c>
      <c r="T28" s="912">
        <v>84634</v>
      </c>
    </row>
    <row r="29" spans="1:20" x14ac:dyDescent="0.25">
      <c r="A29" s="906">
        <v>90205</v>
      </c>
      <c r="B29" s="907" t="s">
        <v>2597</v>
      </c>
      <c r="C29" s="908">
        <v>3.0000000000000001E-5</v>
      </c>
      <c r="D29" s="908">
        <v>3.3599999999999997E-5</v>
      </c>
      <c r="E29" s="909">
        <v>45832</v>
      </c>
      <c r="F29" s="909"/>
      <c r="G29" s="910">
        <v>2640</v>
      </c>
      <c r="H29" s="911">
        <v>11128</v>
      </c>
      <c r="I29" s="910">
        <v>6545</v>
      </c>
      <c r="J29" s="909">
        <v>769</v>
      </c>
      <c r="K29" s="911">
        <f t="shared" si="0"/>
        <v>21082</v>
      </c>
      <c r="L29" s="909"/>
      <c r="M29" s="910">
        <v>1297</v>
      </c>
      <c r="N29" s="910">
        <v>0</v>
      </c>
      <c r="O29" s="909">
        <v>2625</v>
      </c>
      <c r="P29" s="911">
        <f t="shared" si="1"/>
        <v>3922</v>
      </c>
      <c r="Q29" s="909"/>
      <c r="R29" s="910">
        <v>15445</v>
      </c>
      <c r="S29" s="912">
        <v>-105</v>
      </c>
      <c r="T29" s="912">
        <v>15340</v>
      </c>
    </row>
    <row r="30" spans="1:20" x14ac:dyDescent="0.25">
      <c r="A30" s="906">
        <v>90206</v>
      </c>
      <c r="B30" s="907" t="s">
        <v>2598</v>
      </c>
      <c r="C30" s="908">
        <v>4.2069999999999998E-4</v>
      </c>
      <c r="D30" s="908">
        <v>4.347E-4</v>
      </c>
      <c r="E30" s="909">
        <v>642713</v>
      </c>
      <c r="F30" s="909"/>
      <c r="G30" s="910">
        <v>37026</v>
      </c>
      <c r="H30" s="911">
        <v>156051</v>
      </c>
      <c r="I30" s="910">
        <v>91788</v>
      </c>
      <c r="J30" s="909">
        <v>8978</v>
      </c>
      <c r="K30" s="911">
        <f t="shared" si="0"/>
        <v>293843</v>
      </c>
      <c r="L30" s="909"/>
      <c r="M30" s="910">
        <v>18193</v>
      </c>
      <c r="N30" s="910">
        <v>0</v>
      </c>
      <c r="O30" s="909">
        <v>25382</v>
      </c>
      <c r="P30" s="911">
        <f t="shared" si="1"/>
        <v>43575</v>
      </c>
      <c r="Q30" s="909"/>
      <c r="R30" s="910">
        <v>216595</v>
      </c>
      <c r="S30" s="912">
        <v>1315</v>
      </c>
      <c r="T30" s="912">
        <v>217910</v>
      </c>
    </row>
    <row r="31" spans="1:20" x14ac:dyDescent="0.25">
      <c r="A31" s="906">
        <v>90211</v>
      </c>
      <c r="B31" s="907" t="s">
        <v>2599</v>
      </c>
      <c r="C31" s="908">
        <v>1.4799999999999999E-4</v>
      </c>
      <c r="D31" s="908">
        <v>1.5689999999999999E-4</v>
      </c>
      <c r="E31" s="909">
        <v>226103</v>
      </c>
      <c r="F31" s="909"/>
      <c r="G31" s="910">
        <v>13026</v>
      </c>
      <c r="H31" s="911">
        <v>54898</v>
      </c>
      <c r="I31" s="910">
        <v>32291</v>
      </c>
      <c r="J31" s="909">
        <v>0</v>
      </c>
      <c r="K31" s="911">
        <f t="shared" si="0"/>
        <v>100215</v>
      </c>
      <c r="L31" s="909"/>
      <c r="M31" s="910">
        <v>6400</v>
      </c>
      <c r="N31" s="910">
        <v>0</v>
      </c>
      <c r="O31" s="909">
        <v>15344</v>
      </c>
      <c r="P31" s="911">
        <f t="shared" si="1"/>
        <v>21744</v>
      </c>
      <c r="Q31" s="909"/>
      <c r="R31" s="910">
        <v>76197</v>
      </c>
      <c r="S31" s="912">
        <v>-6134</v>
      </c>
      <c r="T31" s="912">
        <v>70063</v>
      </c>
    </row>
    <row r="32" spans="1:20" x14ac:dyDescent="0.25">
      <c r="A32" s="906">
        <v>90301</v>
      </c>
      <c r="B32" s="907" t="s">
        <v>2600</v>
      </c>
      <c r="C32" s="908">
        <v>6.7040000000000003E-4</v>
      </c>
      <c r="D32" s="908">
        <v>6.4000000000000005E-4</v>
      </c>
      <c r="E32" s="909">
        <v>1024185</v>
      </c>
      <c r="F32" s="909"/>
      <c r="G32" s="910">
        <v>59003</v>
      </c>
      <c r="H32" s="911">
        <v>248673</v>
      </c>
      <c r="I32" s="910">
        <v>146268</v>
      </c>
      <c r="J32" s="909">
        <v>4314</v>
      </c>
      <c r="K32" s="911">
        <f t="shared" si="0"/>
        <v>458258</v>
      </c>
      <c r="L32" s="909"/>
      <c r="M32" s="910">
        <v>28991</v>
      </c>
      <c r="N32" s="910">
        <v>0</v>
      </c>
      <c r="O32" s="909">
        <v>13341</v>
      </c>
      <c r="P32" s="911">
        <f t="shared" si="1"/>
        <v>42332</v>
      </c>
      <c r="Q32" s="909"/>
      <c r="R32" s="910">
        <v>345151</v>
      </c>
      <c r="S32" s="912">
        <v>-5567</v>
      </c>
      <c r="T32" s="912">
        <v>339584</v>
      </c>
    </row>
    <row r="33" spans="1:20" x14ac:dyDescent="0.25">
      <c r="A33" s="906">
        <v>90305</v>
      </c>
      <c r="B33" s="907" t="s">
        <v>2601</v>
      </c>
      <c r="C33" s="908">
        <v>1.617E-4</v>
      </c>
      <c r="D33" s="908">
        <v>1.7009999999999999E-4</v>
      </c>
      <c r="E33" s="909">
        <v>247033</v>
      </c>
      <c r="F33" s="909"/>
      <c r="G33" s="910">
        <v>14231</v>
      </c>
      <c r="H33" s="911">
        <v>59980</v>
      </c>
      <c r="I33" s="910">
        <v>35280</v>
      </c>
      <c r="J33" s="909">
        <v>20715</v>
      </c>
      <c r="K33" s="911">
        <f t="shared" si="0"/>
        <v>130206</v>
      </c>
      <c r="L33" s="909"/>
      <c r="M33" s="910">
        <v>6993</v>
      </c>
      <c r="N33" s="910">
        <v>0</v>
      </c>
      <c r="O33" s="909">
        <v>0</v>
      </c>
      <c r="P33" s="911">
        <f t="shared" si="1"/>
        <v>6993</v>
      </c>
      <c r="Q33" s="909"/>
      <c r="R33" s="910">
        <v>83250</v>
      </c>
      <c r="S33" s="912">
        <v>10025</v>
      </c>
      <c r="T33" s="912">
        <v>93275</v>
      </c>
    </row>
    <row r="34" spans="1:20" x14ac:dyDescent="0.25">
      <c r="A34" s="906">
        <v>90307</v>
      </c>
      <c r="B34" s="907" t="s">
        <v>2602</v>
      </c>
      <c r="C34" s="908">
        <v>7.7999999999999999E-6</v>
      </c>
      <c r="D34" s="908">
        <v>7.7000000000000008E-6</v>
      </c>
      <c r="E34" s="909">
        <v>11916</v>
      </c>
      <c r="F34" s="909"/>
      <c r="G34" s="910">
        <v>686</v>
      </c>
      <c r="H34" s="911">
        <v>2893</v>
      </c>
      <c r="I34" s="910">
        <v>1702</v>
      </c>
      <c r="J34" s="909">
        <v>647</v>
      </c>
      <c r="K34" s="911">
        <f t="shared" si="0"/>
        <v>5928</v>
      </c>
      <c r="L34" s="909"/>
      <c r="M34" s="910">
        <v>337</v>
      </c>
      <c r="N34" s="910">
        <v>0</v>
      </c>
      <c r="O34" s="909">
        <v>40</v>
      </c>
      <c r="P34" s="911">
        <f t="shared" si="1"/>
        <v>377</v>
      </c>
      <c r="Q34" s="909"/>
      <c r="R34" s="910">
        <v>4016</v>
      </c>
      <c r="S34" s="912">
        <v>160</v>
      </c>
      <c r="T34" s="912">
        <v>4176</v>
      </c>
    </row>
    <row r="35" spans="1:20" x14ac:dyDescent="0.25">
      <c r="A35" s="906">
        <v>90401</v>
      </c>
      <c r="B35" s="907" t="s">
        <v>2603</v>
      </c>
      <c r="C35" s="908">
        <v>1.3270999999999999E-3</v>
      </c>
      <c r="D35" s="908">
        <v>1.3626999999999999E-3</v>
      </c>
      <c r="E35" s="909">
        <v>2027441</v>
      </c>
      <c r="F35" s="909"/>
      <c r="G35" s="910">
        <v>116799</v>
      </c>
      <c r="H35" s="911">
        <v>492266</v>
      </c>
      <c r="I35" s="910">
        <v>289547</v>
      </c>
      <c r="J35" s="909">
        <v>44019</v>
      </c>
      <c r="K35" s="911">
        <f t="shared" si="0"/>
        <v>942631</v>
      </c>
      <c r="L35" s="909"/>
      <c r="M35" s="910">
        <v>57390</v>
      </c>
      <c r="N35" s="910">
        <v>0</v>
      </c>
      <c r="O35" s="909">
        <v>11305</v>
      </c>
      <c r="P35" s="911">
        <f t="shared" si="1"/>
        <v>68695</v>
      </c>
      <c r="Q35" s="909"/>
      <c r="R35" s="910">
        <v>683249</v>
      </c>
      <c r="S35" s="912">
        <v>23981</v>
      </c>
      <c r="T35" s="912">
        <v>707230</v>
      </c>
    </row>
    <row r="36" spans="1:20" x14ac:dyDescent="0.25">
      <c r="A36" s="906">
        <v>90411</v>
      </c>
      <c r="B36" s="907" t="s">
        <v>2604</v>
      </c>
      <c r="C36" s="908">
        <v>3.5100000000000002E-4</v>
      </c>
      <c r="D36" s="908">
        <v>3.5490000000000001E-4</v>
      </c>
      <c r="E36" s="909">
        <v>536231</v>
      </c>
      <c r="F36" s="909"/>
      <c r="G36" s="910">
        <v>30892</v>
      </c>
      <c r="H36" s="911">
        <v>130197</v>
      </c>
      <c r="I36" s="910">
        <v>76581</v>
      </c>
      <c r="J36" s="909">
        <v>0</v>
      </c>
      <c r="K36" s="911">
        <f t="shared" si="0"/>
        <v>237670</v>
      </c>
      <c r="L36" s="909"/>
      <c r="M36" s="910">
        <v>15179</v>
      </c>
      <c r="N36" s="910">
        <v>0</v>
      </c>
      <c r="O36" s="909">
        <v>41985</v>
      </c>
      <c r="P36" s="911">
        <f t="shared" si="1"/>
        <v>57164</v>
      </c>
      <c r="Q36" s="909"/>
      <c r="R36" s="910">
        <v>180710</v>
      </c>
      <c r="S36" s="912">
        <v>-15971</v>
      </c>
      <c r="T36" s="912">
        <v>164739</v>
      </c>
    </row>
    <row r="37" spans="1:20" x14ac:dyDescent="0.25">
      <c r="A37" s="906">
        <v>90413</v>
      </c>
      <c r="B37" s="907" t="s">
        <v>2605</v>
      </c>
      <c r="C37" s="908">
        <v>3.4600000000000001E-5</v>
      </c>
      <c r="D37" s="908">
        <v>3.7299999999999999E-5</v>
      </c>
      <c r="E37" s="909">
        <v>52859</v>
      </c>
      <c r="F37" s="909"/>
      <c r="G37" s="910">
        <v>3045</v>
      </c>
      <c r="H37" s="911">
        <v>12834</v>
      </c>
      <c r="I37" s="910">
        <v>7549</v>
      </c>
      <c r="J37" s="909">
        <v>5923</v>
      </c>
      <c r="K37" s="911">
        <f t="shared" si="0"/>
        <v>29351</v>
      </c>
      <c r="L37" s="909"/>
      <c r="M37" s="910">
        <v>1496</v>
      </c>
      <c r="N37" s="910">
        <v>0</v>
      </c>
      <c r="O37" s="909">
        <v>916</v>
      </c>
      <c r="P37" s="911">
        <f t="shared" si="1"/>
        <v>2412</v>
      </c>
      <c r="Q37" s="909"/>
      <c r="R37" s="910">
        <v>17814</v>
      </c>
      <c r="S37" s="912">
        <v>3416</v>
      </c>
      <c r="T37" s="912">
        <v>21230</v>
      </c>
    </row>
    <row r="38" spans="1:20" x14ac:dyDescent="0.25">
      <c r="A38" s="906">
        <v>90417</v>
      </c>
      <c r="B38" s="907" t="s">
        <v>2606</v>
      </c>
      <c r="C38" s="908">
        <v>1.17E-5</v>
      </c>
      <c r="D38" s="908">
        <v>1.2099999999999999E-5</v>
      </c>
      <c r="E38" s="909">
        <v>17874</v>
      </c>
      <c r="F38" s="909"/>
      <c r="G38" s="910">
        <v>1030</v>
      </c>
      <c r="H38" s="911">
        <v>4340</v>
      </c>
      <c r="I38" s="910">
        <v>2553</v>
      </c>
      <c r="J38" s="909">
        <v>3477</v>
      </c>
      <c r="K38" s="911">
        <f t="shared" si="0"/>
        <v>11400</v>
      </c>
      <c r="L38" s="909"/>
      <c r="M38" s="910">
        <v>506</v>
      </c>
      <c r="N38" s="910">
        <v>0</v>
      </c>
      <c r="O38" s="909">
        <v>0</v>
      </c>
      <c r="P38" s="911">
        <f t="shared" si="1"/>
        <v>506</v>
      </c>
      <c r="Q38" s="909"/>
      <c r="R38" s="910">
        <v>6024</v>
      </c>
      <c r="S38" s="912">
        <v>1221</v>
      </c>
      <c r="T38" s="912">
        <f>7244+1</f>
        <v>7245</v>
      </c>
    </row>
    <row r="39" spans="1:20" x14ac:dyDescent="0.25">
      <c r="A39" s="906">
        <v>90421</v>
      </c>
      <c r="B39" s="907" t="s">
        <v>2607</v>
      </c>
      <c r="C39" s="908">
        <v>2.19E-5</v>
      </c>
      <c r="D39" s="908">
        <v>2.3600000000000001E-5</v>
      </c>
      <c r="E39" s="909">
        <v>33457</v>
      </c>
      <c r="F39" s="909"/>
      <c r="G39" s="910">
        <v>1927</v>
      </c>
      <c r="H39" s="911">
        <v>8123</v>
      </c>
      <c r="I39" s="910">
        <v>4778</v>
      </c>
      <c r="J39" s="909">
        <v>0</v>
      </c>
      <c r="K39" s="911">
        <f t="shared" si="0"/>
        <v>14828</v>
      </c>
      <c r="L39" s="909"/>
      <c r="M39" s="910">
        <v>947</v>
      </c>
      <c r="N39" s="910">
        <v>0</v>
      </c>
      <c r="O39" s="909">
        <v>4721</v>
      </c>
      <c r="P39" s="911">
        <f t="shared" si="1"/>
        <v>5668</v>
      </c>
      <c r="Q39" s="909"/>
      <c r="R39" s="910">
        <v>11275</v>
      </c>
      <c r="S39" s="912">
        <v>-1814</v>
      </c>
      <c r="T39" s="912">
        <v>9461</v>
      </c>
    </row>
    <row r="40" spans="1:20" x14ac:dyDescent="0.25">
      <c r="A40" s="906">
        <v>90431</v>
      </c>
      <c r="B40" s="907" t="s">
        <v>2608</v>
      </c>
      <c r="C40" s="908">
        <v>4.8300000000000002E-5</v>
      </c>
      <c r="D40" s="908">
        <v>4.2799999999999997E-5</v>
      </c>
      <c r="E40" s="909">
        <v>73789</v>
      </c>
      <c r="F40" s="909"/>
      <c r="G40" s="910">
        <v>4251</v>
      </c>
      <c r="H40" s="911">
        <v>17916</v>
      </c>
      <c r="I40" s="910">
        <v>10538</v>
      </c>
      <c r="J40" s="909">
        <v>8663</v>
      </c>
      <c r="K40" s="911">
        <f t="shared" si="0"/>
        <v>41368</v>
      </c>
      <c r="L40" s="909"/>
      <c r="M40" s="910">
        <v>2089</v>
      </c>
      <c r="N40" s="910">
        <v>0</v>
      </c>
      <c r="O40" s="909">
        <v>1273</v>
      </c>
      <c r="P40" s="911">
        <f t="shared" si="1"/>
        <v>3362</v>
      </c>
      <c r="Q40" s="909"/>
      <c r="R40" s="910">
        <v>24867</v>
      </c>
      <c r="S40" s="912">
        <v>3649</v>
      </c>
      <c r="T40" s="912">
        <v>28516</v>
      </c>
    </row>
    <row r="41" spans="1:20" x14ac:dyDescent="0.25">
      <c r="A41" s="906">
        <v>90441</v>
      </c>
      <c r="B41" s="907" t="s">
        <v>2609</v>
      </c>
      <c r="C41" s="908">
        <v>8.3999999999999992E-6</v>
      </c>
      <c r="D41" s="908">
        <v>9.3999999999999998E-6</v>
      </c>
      <c r="E41" s="909">
        <v>12833</v>
      </c>
      <c r="F41" s="909"/>
      <c r="G41" s="910">
        <v>739</v>
      </c>
      <c r="H41" s="911">
        <v>3115</v>
      </c>
      <c r="I41" s="910">
        <v>1833</v>
      </c>
      <c r="J41" s="909">
        <v>890</v>
      </c>
      <c r="K41" s="911">
        <f t="shared" si="0"/>
        <v>6577</v>
      </c>
      <c r="L41" s="909"/>
      <c r="M41" s="910">
        <v>363</v>
      </c>
      <c r="N41" s="910">
        <v>0</v>
      </c>
      <c r="O41" s="909">
        <v>129</v>
      </c>
      <c r="P41" s="911">
        <f t="shared" si="1"/>
        <v>492</v>
      </c>
      <c r="Q41" s="909"/>
      <c r="R41" s="910">
        <v>4325</v>
      </c>
      <c r="S41" s="912">
        <v>621</v>
      </c>
      <c r="T41" s="912">
        <v>4946</v>
      </c>
    </row>
    <row r="42" spans="1:20" x14ac:dyDescent="0.25">
      <c r="A42" s="906">
        <v>90451</v>
      </c>
      <c r="B42" s="907" t="s">
        <v>2610</v>
      </c>
      <c r="C42" s="908">
        <v>1.6699999999999999E-5</v>
      </c>
      <c r="D42" s="908">
        <v>1.7900000000000001E-5</v>
      </c>
      <c r="E42" s="909">
        <v>25513</v>
      </c>
      <c r="F42" s="909"/>
      <c r="G42" s="910">
        <v>1470</v>
      </c>
      <c r="H42" s="911">
        <v>6194</v>
      </c>
      <c r="I42" s="910">
        <v>3644</v>
      </c>
      <c r="J42" s="909">
        <v>2202</v>
      </c>
      <c r="K42" s="911">
        <f t="shared" si="0"/>
        <v>13510</v>
      </c>
      <c r="L42" s="909"/>
      <c r="M42" s="910">
        <v>722</v>
      </c>
      <c r="N42" s="910">
        <v>0</v>
      </c>
      <c r="O42" s="909">
        <v>903</v>
      </c>
      <c r="P42" s="911">
        <f t="shared" si="1"/>
        <v>1625</v>
      </c>
      <c r="Q42" s="909"/>
      <c r="R42" s="910">
        <v>8598</v>
      </c>
      <c r="S42" s="912">
        <v>635</v>
      </c>
      <c r="T42" s="912">
        <f>9232+1</f>
        <v>9233</v>
      </c>
    </row>
    <row r="43" spans="1:20" x14ac:dyDescent="0.25">
      <c r="A43" s="906">
        <v>90461</v>
      </c>
      <c r="B43" s="907" t="s">
        <v>2611</v>
      </c>
      <c r="C43" s="908">
        <v>7.4000000000000003E-6</v>
      </c>
      <c r="D43" s="908">
        <v>1.7200000000000001E-5</v>
      </c>
      <c r="E43" s="909">
        <v>11305</v>
      </c>
      <c r="F43" s="909"/>
      <c r="G43" s="910">
        <v>651</v>
      </c>
      <c r="H43" s="911">
        <v>2745</v>
      </c>
      <c r="I43" s="910">
        <v>1615</v>
      </c>
      <c r="J43" s="909">
        <v>3066</v>
      </c>
      <c r="K43" s="911">
        <f t="shared" si="0"/>
        <v>8077</v>
      </c>
      <c r="L43" s="909"/>
      <c r="M43" s="910">
        <v>320</v>
      </c>
      <c r="N43" s="910">
        <v>0</v>
      </c>
      <c r="O43" s="909">
        <v>7660</v>
      </c>
      <c r="P43" s="911">
        <f t="shared" si="1"/>
        <v>7980</v>
      </c>
      <c r="Q43" s="909"/>
      <c r="R43" s="910">
        <v>3810</v>
      </c>
      <c r="S43" s="912">
        <v>-1001</v>
      </c>
      <c r="T43" s="912">
        <f>2808+1</f>
        <v>2809</v>
      </c>
    </row>
    <row r="44" spans="1:20" x14ac:dyDescent="0.25">
      <c r="A44" s="906">
        <v>90501</v>
      </c>
      <c r="B44" s="907" t="s">
        <v>2612</v>
      </c>
      <c r="C44" s="908">
        <v>1.4176E-3</v>
      </c>
      <c r="D44" s="908">
        <v>1.4001E-3</v>
      </c>
      <c r="E44" s="909">
        <v>2165700</v>
      </c>
      <c r="F44" s="909"/>
      <c r="G44" s="910">
        <v>124764</v>
      </c>
      <c r="H44" s="911">
        <v>525835</v>
      </c>
      <c r="I44" s="910">
        <v>309292</v>
      </c>
      <c r="J44" s="909">
        <v>53925</v>
      </c>
      <c r="K44" s="911">
        <f t="shared" si="0"/>
        <v>1013816</v>
      </c>
      <c r="L44" s="909"/>
      <c r="M44" s="910">
        <v>61304</v>
      </c>
      <c r="N44" s="910">
        <v>0</v>
      </c>
      <c r="O44" s="909">
        <v>0</v>
      </c>
      <c r="P44" s="911">
        <f t="shared" si="1"/>
        <v>61304</v>
      </c>
      <c r="Q44" s="909"/>
      <c r="R44" s="910">
        <v>729843</v>
      </c>
      <c r="S44" s="912">
        <v>27148</v>
      </c>
      <c r="T44" s="912">
        <v>756991</v>
      </c>
    </row>
    <row r="45" spans="1:20" x14ac:dyDescent="0.25">
      <c r="A45" s="906">
        <v>90507</v>
      </c>
      <c r="B45" s="907" t="s">
        <v>1207</v>
      </c>
      <c r="C45" s="908">
        <v>6.6000000000000003E-6</v>
      </c>
      <c r="D45" s="908">
        <v>7.3000000000000004E-6</v>
      </c>
      <c r="E45" s="909">
        <v>10083</v>
      </c>
      <c r="F45" s="909"/>
      <c r="G45" s="910">
        <v>581</v>
      </c>
      <c r="H45" s="911">
        <v>2448</v>
      </c>
      <c r="I45" s="910">
        <v>1440</v>
      </c>
      <c r="J45" s="909">
        <v>11545</v>
      </c>
      <c r="K45" s="911">
        <f t="shared" si="0"/>
        <v>16014</v>
      </c>
      <c r="L45" s="909"/>
      <c r="M45" s="910">
        <v>285</v>
      </c>
      <c r="N45" s="910">
        <v>0</v>
      </c>
      <c r="O45" s="909">
        <v>0</v>
      </c>
      <c r="P45" s="911">
        <f t="shared" si="1"/>
        <v>285</v>
      </c>
      <c r="Q45" s="909"/>
      <c r="R45" s="910">
        <v>3398</v>
      </c>
      <c r="S45" s="912">
        <v>4117</v>
      </c>
      <c r="T45" s="912">
        <v>7515</v>
      </c>
    </row>
    <row r="46" spans="1:20" x14ac:dyDescent="0.25">
      <c r="A46" s="906">
        <v>90511</v>
      </c>
      <c r="B46" s="907" t="s">
        <v>2613</v>
      </c>
      <c r="C46" s="908">
        <v>8.7000000000000001E-5</v>
      </c>
      <c r="D46" s="908">
        <v>9.5500000000000004E-5</v>
      </c>
      <c r="E46" s="909">
        <v>132912</v>
      </c>
      <c r="F46" s="909"/>
      <c r="G46" s="910">
        <v>7657</v>
      </c>
      <c r="H46" s="911">
        <v>32271</v>
      </c>
      <c r="I46" s="910">
        <v>18982</v>
      </c>
      <c r="J46" s="909">
        <v>14433</v>
      </c>
      <c r="K46" s="911">
        <f t="shared" si="0"/>
        <v>73343</v>
      </c>
      <c r="L46" s="909"/>
      <c r="M46" s="910">
        <v>3762</v>
      </c>
      <c r="N46" s="910">
        <v>0</v>
      </c>
      <c r="O46" s="909">
        <v>0</v>
      </c>
      <c r="P46" s="911">
        <f t="shared" si="1"/>
        <v>3762</v>
      </c>
      <c r="Q46" s="909"/>
      <c r="R46" s="910">
        <v>44791</v>
      </c>
      <c r="S46" s="912">
        <v>6485</v>
      </c>
      <c r="T46" s="912">
        <f>51277-1</f>
        <v>51276</v>
      </c>
    </row>
    <row r="47" spans="1:20" x14ac:dyDescent="0.25">
      <c r="A47" s="906">
        <v>90521</v>
      </c>
      <c r="B47" s="907" t="s">
        <v>2614</v>
      </c>
      <c r="C47" s="908">
        <v>1.3880000000000001E-4</v>
      </c>
      <c r="D47" s="908">
        <v>1.395E-4</v>
      </c>
      <c r="E47" s="909">
        <v>212048</v>
      </c>
      <c r="F47" s="909"/>
      <c r="G47" s="910">
        <v>12216</v>
      </c>
      <c r="H47" s="911">
        <v>51485</v>
      </c>
      <c r="I47" s="910">
        <v>30283</v>
      </c>
      <c r="J47" s="909">
        <v>0</v>
      </c>
      <c r="K47" s="911">
        <f t="shared" si="0"/>
        <v>93984</v>
      </c>
      <c r="L47" s="909"/>
      <c r="M47" s="910">
        <v>6002</v>
      </c>
      <c r="N47" s="910">
        <v>0</v>
      </c>
      <c r="O47" s="909">
        <v>18446</v>
      </c>
      <c r="P47" s="911">
        <f t="shared" si="1"/>
        <v>24448</v>
      </c>
      <c r="Q47" s="909"/>
      <c r="R47" s="910">
        <v>71460</v>
      </c>
      <c r="S47" s="912">
        <v>-7131</v>
      </c>
      <c r="T47" s="912">
        <v>64329</v>
      </c>
    </row>
    <row r="48" spans="1:20" x14ac:dyDescent="0.25">
      <c r="A48" s="906">
        <v>90601</v>
      </c>
      <c r="B48" s="907" t="s">
        <v>2615</v>
      </c>
      <c r="C48" s="908">
        <v>1.1888000000000001E-3</v>
      </c>
      <c r="D48" s="908">
        <v>1.1785999999999999E-3</v>
      </c>
      <c r="E48" s="909">
        <v>1816157</v>
      </c>
      <c r="F48" s="909"/>
      <c r="G48" s="910">
        <v>104627</v>
      </c>
      <c r="H48" s="911">
        <v>440965</v>
      </c>
      <c r="I48" s="910">
        <v>259372</v>
      </c>
      <c r="J48" s="909">
        <v>20795</v>
      </c>
      <c r="K48" s="911">
        <f t="shared" si="0"/>
        <v>825759</v>
      </c>
      <c r="L48" s="909"/>
      <c r="M48" s="910">
        <v>51410</v>
      </c>
      <c r="N48" s="910">
        <v>0</v>
      </c>
      <c r="O48" s="909">
        <v>19784</v>
      </c>
      <c r="P48" s="911">
        <f t="shared" si="1"/>
        <v>71194</v>
      </c>
      <c r="Q48" s="909"/>
      <c r="R48" s="910">
        <v>612047</v>
      </c>
      <c r="S48" s="912">
        <v>8359</v>
      </c>
      <c r="T48" s="912">
        <v>620406</v>
      </c>
    </row>
    <row r="49" spans="1:20" x14ac:dyDescent="0.25">
      <c r="A49" s="906">
        <v>90602</v>
      </c>
      <c r="B49" s="907" t="s">
        <v>2122</v>
      </c>
      <c r="C49" s="908">
        <v>6.3899999999999995E-5</v>
      </c>
      <c r="D49" s="908">
        <v>6.3299999999999994E-5</v>
      </c>
      <c r="E49" s="909">
        <v>97621</v>
      </c>
      <c r="F49" s="909"/>
      <c r="G49" s="910">
        <v>5624</v>
      </c>
      <c r="H49" s="911">
        <v>23703</v>
      </c>
      <c r="I49" s="910">
        <v>13942</v>
      </c>
      <c r="J49" s="909">
        <v>38810</v>
      </c>
      <c r="K49" s="911">
        <f t="shared" si="0"/>
        <v>82079</v>
      </c>
      <c r="L49" s="909"/>
      <c r="M49" s="910">
        <v>2763</v>
      </c>
      <c r="N49" s="910">
        <v>0</v>
      </c>
      <c r="O49" s="909">
        <v>0</v>
      </c>
      <c r="P49" s="911">
        <f t="shared" si="1"/>
        <v>2763</v>
      </c>
      <c r="Q49" s="909"/>
      <c r="R49" s="910">
        <v>32899</v>
      </c>
      <c r="S49" s="912">
        <v>14161</v>
      </c>
      <c r="T49" s="912">
        <f>47059+1</f>
        <v>47060</v>
      </c>
    </row>
    <row r="50" spans="1:20" x14ac:dyDescent="0.25">
      <c r="A50" s="906">
        <v>90605</v>
      </c>
      <c r="B50" s="907" t="s">
        <v>2616</v>
      </c>
      <c r="C50" s="908">
        <v>4.1999999999999998E-5</v>
      </c>
      <c r="D50" s="908">
        <v>3.8399999999999998E-5</v>
      </c>
      <c r="E50" s="909">
        <v>64164</v>
      </c>
      <c r="F50" s="909"/>
      <c r="G50" s="910">
        <v>3696</v>
      </c>
      <c r="H50" s="911">
        <v>15579</v>
      </c>
      <c r="I50" s="910">
        <v>9164</v>
      </c>
      <c r="J50" s="909">
        <v>15425</v>
      </c>
      <c r="K50" s="911">
        <f t="shared" si="0"/>
        <v>43864</v>
      </c>
      <c r="L50" s="909"/>
      <c r="M50" s="910">
        <v>1816</v>
      </c>
      <c r="N50" s="910">
        <v>0</v>
      </c>
      <c r="O50" s="909">
        <v>0</v>
      </c>
      <c r="P50" s="911">
        <f t="shared" si="1"/>
        <v>1816</v>
      </c>
      <c r="Q50" s="909"/>
      <c r="R50" s="910">
        <v>21623</v>
      </c>
      <c r="S50" s="912">
        <v>5623</v>
      </c>
      <c r="T50" s="912">
        <f>27247-1</f>
        <v>27246</v>
      </c>
    </row>
    <row r="51" spans="1:20" x14ac:dyDescent="0.25">
      <c r="A51" s="906">
        <v>90611</v>
      </c>
      <c r="B51" s="907" t="s">
        <v>2617</v>
      </c>
      <c r="C51" s="908">
        <v>1.4880000000000001E-4</v>
      </c>
      <c r="D51" s="908">
        <v>1.5669999999999999E-4</v>
      </c>
      <c r="E51" s="909">
        <v>227325</v>
      </c>
      <c r="F51" s="909"/>
      <c r="G51" s="910">
        <v>13096</v>
      </c>
      <c r="H51" s="911">
        <v>55195</v>
      </c>
      <c r="I51" s="910">
        <v>32465</v>
      </c>
      <c r="J51" s="909">
        <v>2524</v>
      </c>
      <c r="K51" s="911">
        <f t="shared" si="0"/>
        <v>103280</v>
      </c>
      <c r="L51" s="909"/>
      <c r="M51" s="910">
        <v>6435</v>
      </c>
      <c r="N51" s="910">
        <v>0</v>
      </c>
      <c r="O51" s="909">
        <v>18006</v>
      </c>
      <c r="P51" s="911">
        <f t="shared" si="1"/>
        <v>24441</v>
      </c>
      <c r="Q51" s="909"/>
      <c r="R51" s="910">
        <v>76609</v>
      </c>
      <c r="S51" s="912">
        <v>-3082</v>
      </c>
      <c r="T51" s="912">
        <v>73527</v>
      </c>
    </row>
    <row r="52" spans="1:20" x14ac:dyDescent="0.25">
      <c r="A52" s="906">
        <v>90617</v>
      </c>
      <c r="B52" s="907" t="s">
        <v>2618</v>
      </c>
      <c r="C52" s="908">
        <v>2.5999999999999998E-5</v>
      </c>
      <c r="D52" s="908">
        <v>2.6800000000000001E-5</v>
      </c>
      <c r="E52" s="909">
        <v>39721</v>
      </c>
      <c r="F52" s="909"/>
      <c r="G52" s="910">
        <v>2288</v>
      </c>
      <c r="H52" s="911">
        <v>9644</v>
      </c>
      <c r="I52" s="910">
        <v>5673</v>
      </c>
      <c r="J52" s="909">
        <v>7632</v>
      </c>
      <c r="K52" s="911">
        <f t="shared" si="0"/>
        <v>25237</v>
      </c>
      <c r="L52" s="909"/>
      <c r="M52" s="910">
        <v>1124</v>
      </c>
      <c r="N52" s="910">
        <v>0</v>
      </c>
      <c r="O52" s="909">
        <v>0</v>
      </c>
      <c r="P52" s="911">
        <f t="shared" si="1"/>
        <v>1124</v>
      </c>
      <c r="Q52" s="909"/>
      <c r="R52" s="910">
        <v>13386</v>
      </c>
      <c r="S52" s="912">
        <v>4087</v>
      </c>
      <c r="T52" s="912">
        <v>17473</v>
      </c>
    </row>
    <row r="53" spans="1:20" x14ac:dyDescent="0.25">
      <c r="A53" s="906">
        <v>90621</v>
      </c>
      <c r="B53" s="907" t="s">
        <v>2619</v>
      </c>
      <c r="C53" s="908">
        <v>6.3999999999999997E-5</v>
      </c>
      <c r="D53" s="908">
        <v>8.2100000000000003E-5</v>
      </c>
      <c r="E53" s="909">
        <v>97774</v>
      </c>
      <c r="F53" s="909"/>
      <c r="G53" s="910">
        <v>5633</v>
      </c>
      <c r="H53" s="911">
        <v>23740</v>
      </c>
      <c r="I53" s="910">
        <v>13964</v>
      </c>
      <c r="J53" s="909">
        <v>588</v>
      </c>
      <c r="K53" s="911">
        <f t="shared" si="0"/>
        <v>43925</v>
      </c>
      <c r="L53" s="909"/>
      <c r="M53" s="910">
        <v>2768</v>
      </c>
      <c r="N53" s="910">
        <v>0</v>
      </c>
      <c r="O53" s="909">
        <v>19000</v>
      </c>
      <c r="P53" s="911">
        <f t="shared" si="1"/>
        <v>21768</v>
      </c>
      <c r="Q53" s="909"/>
      <c r="R53" s="910">
        <v>32950</v>
      </c>
      <c r="S53" s="912">
        <v>-5337</v>
      </c>
      <c r="T53" s="912">
        <v>27613</v>
      </c>
    </row>
    <row r="54" spans="1:20" x14ac:dyDescent="0.25">
      <c r="A54" s="906">
        <v>90631</v>
      </c>
      <c r="B54" s="907" t="s">
        <v>2620</v>
      </c>
      <c r="C54" s="908">
        <v>3.9560000000000002E-4</v>
      </c>
      <c r="D54" s="908">
        <v>3.8000000000000002E-4</v>
      </c>
      <c r="E54" s="909">
        <v>604367</v>
      </c>
      <c r="F54" s="909"/>
      <c r="G54" s="910">
        <v>34817</v>
      </c>
      <c r="H54" s="911">
        <v>146742</v>
      </c>
      <c r="I54" s="910">
        <v>86312</v>
      </c>
      <c r="J54" s="909">
        <v>17764</v>
      </c>
      <c r="K54" s="911">
        <f t="shared" si="0"/>
        <v>285635</v>
      </c>
      <c r="L54" s="909"/>
      <c r="M54" s="910">
        <v>17108</v>
      </c>
      <c r="N54" s="910">
        <v>0</v>
      </c>
      <c r="O54" s="909">
        <v>8233</v>
      </c>
      <c r="P54" s="911">
        <f t="shared" si="1"/>
        <v>25341</v>
      </c>
      <c r="Q54" s="909"/>
      <c r="R54" s="910">
        <v>203672</v>
      </c>
      <c r="S54" s="912">
        <v>-484</v>
      </c>
      <c r="T54" s="912">
        <f>203189-1</f>
        <v>203188</v>
      </c>
    </row>
    <row r="55" spans="1:20" x14ac:dyDescent="0.25">
      <c r="A55" s="906">
        <v>90641</v>
      </c>
      <c r="B55" s="907" t="s">
        <v>2621</v>
      </c>
      <c r="C55" s="908">
        <v>1.38E-5</v>
      </c>
      <c r="D55" s="908">
        <v>1.4399999999999999E-5</v>
      </c>
      <c r="E55" s="909">
        <v>21083</v>
      </c>
      <c r="F55" s="909"/>
      <c r="G55" s="910">
        <v>1215</v>
      </c>
      <c r="H55" s="911">
        <v>5118</v>
      </c>
      <c r="I55" s="910">
        <v>3011</v>
      </c>
      <c r="J55" s="909">
        <v>304</v>
      </c>
      <c r="K55" s="911">
        <f t="shared" si="0"/>
        <v>9648</v>
      </c>
      <c r="L55" s="909"/>
      <c r="M55" s="910">
        <v>597</v>
      </c>
      <c r="N55" s="910">
        <v>0</v>
      </c>
      <c r="O55" s="909">
        <v>517</v>
      </c>
      <c r="P55" s="911">
        <f t="shared" si="1"/>
        <v>1114</v>
      </c>
      <c r="Q55" s="909"/>
      <c r="R55" s="910">
        <v>7105</v>
      </c>
      <c r="S55" s="912">
        <v>-123</v>
      </c>
      <c r="T55" s="912">
        <v>6982</v>
      </c>
    </row>
    <row r="56" spans="1:20" x14ac:dyDescent="0.25">
      <c r="A56" s="906">
        <v>90651</v>
      </c>
      <c r="B56" s="907" t="s">
        <v>2622</v>
      </c>
      <c r="C56" s="908">
        <v>1E-4</v>
      </c>
      <c r="D56" s="908">
        <v>1.108E-4</v>
      </c>
      <c r="E56" s="909">
        <v>152772</v>
      </c>
      <c r="F56" s="909"/>
      <c r="G56" s="910">
        <v>8801</v>
      </c>
      <c r="H56" s="911">
        <v>37093</v>
      </c>
      <c r="I56" s="910">
        <v>21818</v>
      </c>
      <c r="J56" s="909">
        <v>85885</v>
      </c>
      <c r="K56" s="911">
        <f t="shared" si="0"/>
        <v>153597</v>
      </c>
      <c r="L56" s="909"/>
      <c r="M56" s="910">
        <v>4325</v>
      </c>
      <c r="N56" s="910">
        <v>0</v>
      </c>
      <c r="O56" s="909">
        <v>4659</v>
      </c>
      <c r="P56" s="911">
        <f t="shared" si="1"/>
        <v>8984</v>
      </c>
      <c r="Q56" s="909"/>
      <c r="R56" s="910">
        <v>51484</v>
      </c>
      <c r="S56" s="912">
        <v>25671</v>
      </c>
      <c r="T56" s="912">
        <f>77156-1</f>
        <v>77155</v>
      </c>
    </row>
    <row r="57" spans="1:20" x14ac:dyDescent="0.25">
      <c r="A57" s="906">
        <v>90701</v>
      </c>
      <c r="B57" s="907" t="s">
        <v>3579</v>
      </c>
      <c r="C57" s="908">
        <v>2.6581E-3</v>
      </c>
      <c r="D57" s="908">
        <v>2.3587E-3</v>
      </c>
      <c r="E57" s="909">
        <v>4060841</v>
      </c>
      <c r="F57" s="909"/>
      <c r="G57" s="910">
        <v>233942</v>
      </c>
      <c r="H57" s="911">
        <v>985977</v>
      </c>
      <c r="I57" s="910">
        <v>579944</v>
      </c>
      <c r="J57" s="909">
        <v>130818</v>
      </c>
      <c r="K57" s="911">
        <f t="shared" si="0"/>
        <v>1930681</v>
      </c>
      <c r="L57" s="909"/>
      <c r="M57" s="910">
        <v>114950</v>
      </c>
      <c r="N57" s="910">
        <v>0</v>
      </c>
      <c r="O57" s="909">
        <v>31847</v>
      </c>
      <c r="P57" s="911">
        <f t="shared" si="1"/>
        <v>146797</v>
      </c>
      <c r="Q57" s="909"/>
      <c r="R57" s="910">
        <v>1368507</v>
      </c>
      <c r="S57" s="912">
        <v>33872</v>
      </c>
      <c r="T57" s="912">
        <v>1402379</v>
      </c>
    </row>
    <row r="58" spans="1:20" x14ac:dyDescent="0.25">
      <c r="A58" s="906">
        <v>90704</v>
      </c>
      <c r="B58" s="907" t="s">
        <v>2624</v>
      </c>
      <c r="C58" s="908">
        <v>3.3300000000000003E-5</v>
      </c>
      <c r="D58" s="908">
        <v>3.4900000000000001E-5</v>
      </c>
      <c r="E58" s="909">
        <v>50873</v>
      </c>
      <c r="F58" s="909"/>
      <c r="G58" s="910">
        <v>2931</v>
      </c>
      <c r="H58" s="911">
        <v>12352</v>
      </c>
      <c r="I58" s="910">
        <v>7265</v>
      </c>
      <c r="J58" s="909">
        <v>14629</v>
      </c>
      <c r="K58" s="911">
        <f t="shared" si="0"/>
        <v>37177</v>
      </c>
      <c r="L58" s="909"/>
      <c r="M58" s="910">
        <v>1440</v>
      </c>
      <c r="N58" s="910">
        <v>0</v>
      </c>
      <c r="O58" s="909">
        <v>0</v>
      </c>
      <c r="P58" s="911">
        <f t="shared" si="1"/>
        <v>1440</v>
      </c>
      <c r="Q58" s="909"/>
      <c r="R58" s="910">
        <v>17144</v>
      </c>
      <c r="S58" s="912">
        <v>5643</v>
      </c>
      <c r="T58" s="912">
        <f>22788-1</f>
        <v>22787</v>
      </c>
    </row>
    <row r="59" spans="1:20" x14ac:dyDescent="0.25">
      <c r="A59" s="906">
        <v>90705</v>
      </c>
      <c r="B59" s="907" t="s">
        <v>2625</v>
      </c>
      <c r="C59" s="908">
        <v>5.3000000000000001E-5</v>
      </c>
      <c r="D59" s="908">
        <v>3.3899999999999997E-5</v>
      </c>
      <c r="E59" s="909">
        <v>80969</v>
      </c>
      <c r="F59" s="909"/>
      <c r="G59" s="910">
        <v>4665</v>
      </c>
      <c r="H59" s="911">
        <v>19659</v>
      </c>
      <c r="I59" s="910">
        <v>11564</v>
      </c>
      <c r="J59" s="909">
        <v>18366</v>
      </c>
      <c r="K59" s="911">
        <f t="shared" si="0"/>
        <v>54254</v>
      </c>
      <c r="L59" s="909"/>
      <c r="M59" s="910">
        <v>2292</v>
      </c>
      <c r="N59" s="910">
        <v>0</v>
      </c>
      <c r="O59" s="909">
        <v>0</v>
      </c>
      <c r="P59" s="911">
        <f t="shared" si="1"/>
        <v>2292</v>
      </c>
      <c r="Q59" s="909"/>
      <c r="R59" s="910">
        <v>27287</v>
      </c>
      <c r="S59" s="912">
        <v>6194</v>
      </c>
      <c r="T59" s="912">
        <v>33481</v>
      </c>
    </row>
    <row r="60" spans="1:20" x14ac:dyDescent="0.25">
      <c r="A60" s="906">
        <v>90709</v>
      </c>
      <c r="B60" s="907" t="s">
        <v>2626</v>
      </c>
      <c r="C60" s="908">
        <v>1.2650000000000001E-4</v>
      </c>
      <c r="D60" s="908">
        <v>1.4569999999999999E-4</v>
      </c>
      <c r="E60" s="909">
        <v>193257</v>
      </c>
      <c r="F60" s="909"/>
      <c r="G60" s="910">
        <v>11133</v>
      </c>
      <c r="H60" s="911">
        <v>46924</v>
      </c>
      <c r="I60" s="910">
        <v>27600</v>
      </c>
      <c r="J60" s="909">
        <v>5085</v>
      </c>
      <c r="K60" s="911">
        <f t="shared" si="0"/>
        <v>90742</v>
      </c>
      <c r="L60" s="909"/>
      <c r="M60" s="910">
        <v>5470</v>
      </c>
      <c r="N60" s="910">
        <v>0</v>
      </c>
      <c r="O60" s="909">
        <v>42511</v>
      </c>
      <c r="P60" s="911">
        <f t="shared" si="1"/>
        <v>47981</v>
      </c>
      <c r="Q60" s="909"/>
      <c r="R60" s="910">
        <v>65128</v>
      </c>
      <c r="S60" s="912">
        <v>-9374</v>
      </c>
      <c r="T60" s="912">
        <v>55754</v>
      </c>
    </row>
    <row r="61" spans="1:20" x14ac:dyDescent="0.25">
      <c r="A61" s="906">
        <v>90711</v>
      </c>
      <c r="B61" s="907" t="s">
        <v>2627</v>
      </c>
      <c r="C61" s="908">
        <v>1.6877000000000001E-3</v>
      </c>
      <c r="D61" s="908">
        <v>1.7302000000000001E-3</v>
      </c>
      <c r="E61" s="909">
        <v>2578338</v>
      </c>
      <c r="F61" s="909"/>
      <c r="G61" s="910">
        <v>148536</v>
      </c>
      <c r="H61" s="911">
        <v>626023</v>
      </c>
      <c r="I61" s="910">
        <v>368222</v>
      </c>
      <c r="J61" s="909">
        <v>0</v>
      </c>
      <c r="K61" s="911">
        <f t="shared" si="0"/>
        <v>1142781</v>
      </c>
      <c r="L61" s="909"/>
      <c r="M61" s="910">
        <v>72985</v>
      </c>
      <c r="N61" s="910">
        <v>0</v>
      </c>
      <c r="O61" s="909">
        <v>160849</v>
      </c>
      <c r="P61" s="911">
        <f t="shared" si="1"/>
        <v>233834</v>
      </c>
      <c r="Q61" s="909"/>
      <c r="R61" s="910">
        <v>868902</v>
      </c>
      <c r="S61" s="912">
        <v>-68798</v>
      </c>
      <c r="T61" s="912">
        <v>800104</v>
      </c>
    </row>
    <row r="62" spans="1:20" x14ac:dyDescent="0.25">
      <c r="A62" s="906">
        <v>90721</v>
      </c>
      <c r="B62" s="907" t="s">
        <v>2628</v>
      </c>
      <c r="C62" s="908">
        <v>2.8600000000000001E-5</v>
      </c>
      <c r="D62" s="908">
        <v>3.7299999999999999E-5</v>
      </c>
      <c r="E62" s="909">
        <v>43693</v>
      </c>
      <c r="F62" s="909"/>
      <c r="G62" s="910">
        <v>2517</v>
      </c>
      <c r="H62" s="911">
        <v>10608</v>
      </c>
      <c r="I62" s="910">
        <v>6240</v>
      </c>
      <c r="J62" s="909">
        <v>2956</v>
      </c>
      <c r="K62" s="911">
        <f t="shared" si="0"/>
        <v>22321</v>
      </c>
      <c r="L62" s="909"/>
      <c r="M62" s="910">
        <v>1237</v>
      </c>
      <c r="N62" s="910">
        <v>0</v>
      </c>
      <c r="O62" s="909">
        <v>4943</v>
      </c>
      <c r="P62" s="911">
        <f t="shared" si="1"/>
        <v>6180</v>
      </c>
      <c r="Q62" s="909"/>
      <c r="R62" s="910">
        <v>14725</v>
      </c>
      <c r="S62" s="912">
        <v>1072</v>
      </c>
      <c r="T62" s="912">
        <f>15796+1</f>
        <v>15797</v>
      </c>
    </row>
    <row r="63" spans="1:20" x14ac:dyDescent="0.25">
      <c r="A63" s="906">
        <v>90731</v>
      </c>
      <c r="B63" s="907" t="s">
        <v>2629</v>
      </c>
      <c r="C63" s="908">
        <v>1.741E-4</v>
      </c>
      <c r="D63" s="908">
        <v>1.917E-4</v>
      </c>
      <c r="E63" s="909">
        <v>265977</v>
      </c>
      <c r="F63" s="909"/>
      <c r="G63" s="910">
        <v>15323</v>
      </c>
      <c r="H63" s="911">
        <v>64580</v>
      </c>
      <c r="I63" s="910">
        <v>37985</v>
      </c>
      <c r="J63" s="909">
        <v>0</v>
      </c>
      <c r="K63" s="911">
        <f t="shared" si="0"/>
        <v>117888</v>
      </c>
      <c r="L63" s="909"/>
      <c r="M63" s="910">
        <v>7529</v>
      </c>
      <c r="N63" s="910">
        <v>0</v>
      </c>
      <c r="O63" s="909">
        <v>18148</v>
      </c>
      <c r="P63" s="911">
        <f t="shared" si="1"/>
        <v>25677</v>
      </c>
      <c r="Q63" s="909"/>
      <c r="R63" s="910">
        <v>89634</v>
      </c>
      <c r="S63" s="912">
        <v>-7025</v>
      </c>
      <c r="T63" s="912">
        <v>82609</v>
      </c>
    </row>
    <row r="64" spans="1:20" x14ac:dyDescent="0.25">
      <c r="A64" s="906">
        <v>90741</v>
      </c>
      <c r="B64" s="907" t="s">
        <v>2630</v>
      </c>
      <c r="C64" s="908">
        <v>9.0999999999999993E-6</v>
      </c>
      <c r="D64" s="908">
        <v>1.2099999999999999E-5</v>
      </c>
      <c r="E64" s="909">
        <v>13902</v>
      </c>
      <c r="F64" s="909"/>
      <c r="G64" s="910">
        <v>801</v>
      </c>
      <c r="H64" s="911">
        <v>3375</v>
      </c>
      <c r="I64" s="910">
        <v>1985</v>
      </c>
      <c r="J64" s="909">
        <v>2169</v>
      </c>
      <c r="K64" s="911">
        <f t="shared" si="0"/>
        <v>8330</v>
      </c>
      <c r="L64" s="909"/>
      <c r="M64" s="910">
        <v>394</v>
      </c>
      <c r="N64" s="910">
        <v>0</v>
      </c>
      <c r="O64" s="909">
        <v>952</v>
      </c>
      <c r="P64" s="911">
        <f t="shared" si="1"/>
        <v>1346</v>
      </c>
      <c r="Q64" s="909"/>
      <c r="R64" s="910">
        <v>4685</v>
      </c>
      <c r="S64" s="912">
        <v>235</v>
      </c>
      <c r="T64" s="912">
        <v>4920</v>
      </c>
    </row>
    <row r="65" spans="1:20" x14ac:dyDescent="0.25">
      <c r="A65" s="906">
        <v>90751</v>
      </c>
      <c r="B65" s="907" t="s">
        <v>2631</v>
      </c>
      <c r="C65" s="908">
        <v>6.8700000000000003E-5</v>
      </c>
      <c r="D65" s="908">
        <v>6.5599999999999995E-5</v>
      </c>
      <c r="E65" s="909">
        <v>104955</v>
      </c>
      <c r="F65" s="909"/>
      <c r="G65" s="910">
        <v>6046</v>
      </c>
      <c r="H65" s="911">
        <v>25483</v>
      </c>
      <c r="I65" s="910">
        <v>14989</v>
      </c>
      <c r="J65" s="909">
        <v>4940</v>
      </c>
      <c r="K65" s="911">
        <f t="shared" si="0"/>
        <v>51458</v>
      </c>
      <c r="L65" s="909"/>
      <c r="M65" s="910">
        <v>2971</v>
      </c>
      <c r="N65" s="910">
        <v>0</v>
      </c>
      <c r="O65" s="909">
        <v>1080</v>
      </c>
      <c r="P65" s="911">
        <f t="shared" si="1"/>
        <v>4051</v>
      </c>
      <c r="Q65" s="909"/>
      <c r="R65" s="910">
        <v>35370</v>
      </c>
      <c r="S65" s="912">
        <v>3400</v>
      </c>
      <c r="T65" s="912">
        <v>38770</v>
      </c>
    </row>
    <row r="66" spans="1:20" x14ac:dyDescent="0.25">
      <c r="A66" s="906">
        <v>90801</v>
      </c>
      <c r="B66" s="907" t="s">
        <v>2632</v>
      </c>
      <c r="C66" s="908">
        <v>1.3064000000000001E-3</v>
      </c>
      <c r="D66" s="908">
        <v>1.1404E-3</v>
      </c>
      <c r="E66" s="909">
        <v>1995817</v>
      </c>
      <c r="F66" s="909"/>
      <c r="G66" s="910">
        <v>114978</v>
      </c>
      <c r="H66" s="911">
        <v>484586</v>
      </c>
      <c r="I66" s="910">
        <v>285030</v>
      </c>
      <c r="J66" s="909">
        <v>151641</v>
      </c>
      <c r="K66" s="911">
        <f t="shared" si="0"/>
        <v>1036235</v>
      </c>
      <c r="L66" s="909"/>
      <c r="M66" s="910">
        <v>56495</v>
      </c>
      <c r="N66" s="910">
        <v>0</v>
      </c>
      <c r="O66" s="909">
        <v>0</v>
      </c>
      <c r="P66" s="911">
        <f t="shared" si="1"/>
        <v>56495</v>
      </c>
      <c r="Q66" s="909"/>
      <c r="R66" s="910">
        <v>672592</v>
      </c>
      <c r="S66" s="912">
        <v>65370</v>
      </c>
      <c r="T66" s="912">
        <v>737962</v>
      </c>
    </row>
    <row r="67" spans="1:20" x14ac:dyDescent="0.25">
      <c r="A67" s="906">
        <v>90804</v>
      </c>
      <c r="B67" s="907" t="s">
        <v>2633</v>
      </c>
      <c r="C67" s="908">
        <v>6.1999999999999999E-6</v>
      </c>
      <c r="D67" s="908">
        <v>6.0000000000000002E-6</v>
      </c>
      <c r="E67" s="909">
        <v>9472</v>
      </c>
      <c r="F67" s="909"/>
      <c r="G67" s="910">
        <v>546</v>
      </c>
      <c r="H67" s="911">
        <v>2300</v>
      </c>
      <c r="I67" s="910">
        <v>1353</v>
      </c>
      <c r="J67" s="909">
        <v>1462</v>
      </c>
      <c r="K67" s="911">
        <f t="shared" si="0"/>
        <v>5661</v>
      </c>
      <c r="L67" s="909"/>
      <c r="M67" s="910">
        <v>268</v>
      </c>
      <c r="N67" s="910">
        <v>0</v>
      </c>
      <c r="O67" s="909">
        <v>0</v>
      </c>
      <c r="P67" s="911">
        <f t="shared" si="1"/>
        <v>268</v>
      </c>
      <c r="Q67" s="909"/>
      <c r="R67" s="910">
        <v>3192</v>
      </c>
      <c r="S67" s="912">
        <v>893</v>
      </c>
      <c r="T67" s="912">
        <v>4085</v>
      </c>
    </row>
    <row r="68" spans="1:20" x14ac:dyDescent="0.25">
      <c r="A68" s="906">
        <v>90805</v>
      </c>
      <c r="B68" s="907" t="s">
        <v>2634</v>
      </c>
      <c r="C68" s="908">
        <v>5.1900000000000001E-5</v>
      </c>
      <c r="D68" s="908">
        <v>5.5099999999999998E-5</v>
      </c>
      <c r="E68" s="909">
        <v>79289</v>
      </c>
      <c r="F68" s="909"/>
      <c r="G68" s="910">
        <v>4568</v>
      </c>
      <c r="H68" s="911">
        <v>19252</v>
      </c>
      <c r="I68" s="910">
        <v>11324</v>
      </c>
      <c r="J68" s="909">
        <v>22022</v>
      </c>
      <c r="K68" s="911">
        <f t="shared" si="0"/>
        <v>57166</v>
      </c>
      <c r="L68" s="909"/>
      <c r="M68" s="910">
        <v>2244</v>
      </c>
      <c r="N68" s="910">
        <v>0</v>
      </c>
      <c r="O68" s="909">
        <v>0</v>
      </c>
      <c r="P68" s="911">
        <f t="shared" si="1"/>
        <v>2244</v>
      </c>
      <c r="Q68" s="909"/>
      <c r="R68" s="910">
        <v>26720</v>
      </c>
      <c r="S68" s="912">
        <v>9443</v>
      </c>
      <c r="T68" s="912">
        <v>36163</v>
      </c>
    </row>
    <row r="69" spans="1:20" x14ac:dyDescent="0.25">
      <c r="A69" s="906">
        <v>90808</v>
      </c>
      <c r="B69" s="907" t="s">
        <v>2635</v>
      </c>
      <c r="C69" s="908">
        <v>1.131E-4</v>
      </c>
      <c r="D69" s="908">
        <v>1.109E-4</v>
      </c>
      <c r="E69" s="909">
        <v>172785</v>
      </c>
      <c r="F69" s="909"/>
      <c r="G69" s="910">
        <v>9954</v>
      </c>
      <c r="H69" s="911">
        <v>41952</v>
      </c>
      <c r="I69" s="910">
        <v>24676</v>
      </c>
      <c r="J69" s="909">
        <v>5678</v>
      </c>
      <c r="K69" s="911">
        <f t="shared" si="0"/>
        <v>82260</v>
      </c>
      <c r="L69" s="909"/>
      <c r="M69" s="910">
        <v>4891</v>
      </c>
      <c r="N69" s="910">
        <v>0</v>
      </c>
      <c r="O69" s="909">
        <v>2008</v>
      </c>
      <c r="P69" s="911">
        <f t="shared" si="1"/>
        <v>6899</v>
      </c>
      <c r="Q69" s="909"/>
      <c r="R69" s="910">
        <v>58229</v>
      </c>
      <c r="S69" s="912">
        <v>731</v>
      </c>
      <c r="T69" s="912">
        <f>58959+1</f>
        <v>58960</v>
      </c>
    </row>
    <row r="70" spans="1:20" x14ac:dyDescent="0.25">
      <c r="A70" s="906">
        <v>90811</v>
      </c>
      <c r="B70" s="907" t="s">
        <v>2636</v>
      </c>
      <c r="C70" s="908">
        <v>3.3599999999999997E-5</v>
      </c>
      <c r="D70" s="908">
        <v>4.0000000000000003E-5</v>
      </c>
      <c r="E70" s="909">
        <v>51331</v>
      </c>
      <c r="F70" s="909"/>
      <c r="G70" s="910">
        <v>2957</v>
      </c>
      <c r="H70" s="911">
        <v>12463</v>
      </c>
      <c r="I70" s="910">
        <v>7331</v>
      </c>
      <c r="J70" s="909">
        <v>471</v>
      </c>
      <c r="K70" s="911">
        <f t="shared" si="0"/>
        <v>23222</v>
      </c>
      <c r="L70" s="909"/>
      <c r="M70" s="910">
        <v>1453</v>
      </c>
      <c r="N70" s="910">
        <v>0</v>
      </c>
      <c r="O70" s="909">
        <v>8846</v>
      </c>
      <c r="P70" s="911">
        <f t="shared" si="1"/>
        <v>10299</v>
      </c>
      <c r="Q70" s="909"/>
      <c r="R70" s="910">
        <v>17299</v>
      </c>
      <c r="S70" s="912">
        <v>-1986</v>
      </c>
      <c r="T70" s="912">
        <v>15313</v>
      </c>
    </row>
    <row r="71" spans="1:20" x14ac:dyDescent="0.25">
      <c r="A71" s="906">
        <v>90812</v>
      </c>
      <c r="B71" s="907" t="s">
        <v>2637</v>
      </c>
      <c r="C71" s="908">
        <v>2.2900000000000001E-4</v>
      </c>
      <c r="D71" s="908">
        <v>2.13E-4</v>
      </c>
      <c r="E71" s="909">
        <v>349849</v>
      </c>
      <c r="F71" s="909"/>
      <c r="G71" s="910">
        <v>20155</v>
      </c>
      <c r="H71" s="911">
        <v>84944</v>
      </c>
      <c r="I71" s="910">
        <v>49963</v>
      </c>
      <c r="J71" s="909">
        <v>15087</v>
      </c>
      <c r="K71" s="911">
        <f t="shared" ref="K71:K134" si="2">G71+H71+I71+J71</f>
        <v>170149</v>
      </c>
      <c r="L71" s="909"/>
      <c r="M71" s="910">
        <v>9903</v>
      </c>
      <c r="N71" s="910">
        <v>0</v>
      </c>
      <c r="O71" s="909">
        <v>10549</v>
      </c>
      <c r="P71" s="911">
        <f t="shared" ref="P71:P134" si="3">M71+N71+O71</f>
        <v>20452</v>
      </c>
      <c r="Q71" s="909"/>
      <c r="R71" s="910">
        <v>117899</v>
      </c>
      <c r="S71" s="912">
        <v>3117</v>
      </c>
      <c r="T71" s="912">
        <v>121016</v>
      </c>
    </row>
    <row r="72" spans="1:20" x14ac:dyDescent="0.25">
      <c r="A72" s="906">
        <v>90813</v>
      </c>
      <c r="B72" s="907" t="s">
        <v>2638</v>
      </c>
      <c r="C72" s="908">
        <v>5.3000000000000001E-6</v>
      </c>
      <c r="D72" s="908">
        <v>5.4999999999999999E-6</v>
      </c>
      <c r="E72" s="909">
        <v>8097</v>
      </c>
      <c r="F72" s="909"/>
      <c r="G72" s="910">
        <v>466</v>
      </c>
      <c r="H72" s="911">
        <v>1966</v>
      </c>
      <c r="I72" s="910">
        <v>1156</v>
      </c>
      <c r="J72" s="909">
        <v>0</v>
      </c>
      <c r="K72" s="911">
        <f t="shared" si="2"/>
        <v>3588</v>
      </c>
      <c r="L72" s="909"/>
      <c r="M72" s="910">
        <v>229</v>
      </c>
      <c r="N72" s="910">
        <v>0</v>
      </c>
      <c r="O72" s="909">
        <v>1124</v>
      </c>
      <c r="P72" s="911">
        <f t="shared" si="3"/>
        <v>1353</v>
      </c>
      <c r="Q72" s="909"/>
      <c r="R72" s="910">
        <v>2729</v>
      </c>
      <c r="S72" s="912">
        <v>-505</v>
      </c>
      <c r="T72" s="912">
        <f>2223+1</f>
        <v>2224</v>
      </c>
    </row>
    <row r="73" spans="1:20" x14ac:dyDescent="0.25">
      <c r="A73" s="906">
        <v>90861</v>
      </c>
      <c r="B73" s="907" t="s">
        <v>2639</v>
      </c>
      <c r="C73" s="908">
        <v>4.1999999999999996E-6</v>
      </c>
      <c r="D73" s="908">
        <v>4.7999999999999998E-6</v>
      </c>
      <c r="E73" s="909">
        <v>6416</v>
      </c>
      <c r="F73" s="909"/>
      <c r="G73" s="910">
        <v>370</v>
      </c>
      <c r="H73" s="911">
        <v>1558</v>
      </c>
      <c r="I73" s="910">
        <v>916</v>
      </c>
      <c r="J73" s="909">
        <v>3211</v>
      </c>
      <c r="K73" s="911">
        <f t="shared" si="2"/>
        <v>6055</v>
      </c>
      <c r="L73" s="909"/>
      <c r="M73" s="910">
        <v>182</v>
      </c>
      <c r="N73" s="910">
        <v>0</v>
      </c>
      <c r="O73" s="909">
        <v>1117</v>
      </c>
      <c r="P73" s="911">
        <f t="shared" si="3"/>
        <v>1299</v>
      </c>
      <c r="Q73" s="909"/>
      <c r="R73" s="910">
        <v>2162</v>
      </c>
      <c r="S73" s="912">
        <v>191</v>
      </c>
      <c r="T73" s="912">
        <v>2353</v>
      </c>
    </row>
    <row r="74" spans="1:20" x14ac:dyDescent="0.25">
      <c r="A74" s="906">
        <v>90901</v>
      </c>
      <c r="B74" s="907" t="s">
        <v>2640</v>
      </c>
      <c r="C74" s="908">
        <v>2.1814999999999998E-3</v>
      </c>
      <c r="D74" s="908">
        <v>2.1302999999999999E-3</v>
      </c>
      <c r="E74" s="909">
        <v>3332728</v>
      </c>
      <c r="F74" s="909"/>
      <c r="G74" s="910">
        <v>191996</v>
      </c>
      <c r="H74" s="911">
        <v>809191</v>
      </c>
      <c r="I74" s="910">
        <v>475960</v>
      </c>
      <c r="J74" s="909">
        <v>22389</v>
      </c>
      <c r="K74" s="911">
        <f t="shared" si="2"/>
        <v>1499536</v>
      </c>
      <c r="L74" s="909"/>
      <c r="M74" s="910">
        <v>94339</v>
      </c>
      <c r="N74" s="910">
        <v>0</v>
      </c>
      <c r="O74" s="909">
        <v>38005</v>
      </c>
      <c r="P74" s="911">
        <f t="shared" si="3"/>
        <v>132344</v>
      </c>
      <c r="Q74" s="909"/>
      <c r="R74" s="910">
        <v>1123132</v>
      </c>
      <c r="S74" s="912">
        <v>-5969</v>
      </c>
      <c r="T74" s="912">
        <v>1117163</v>
      </c>
    </row>
    <row r="75" spans="1:20" x14ac:dyDescent="0.25">
      <c r="A75" s="906">
        <v>90911</v>
      </c>
      <c r="B75" s="907" t="s">
        <v>2641</v>
      </c>
      <c r="C75" s="908">
        <v>3.9780000000000002E-4</v>
      </c>
      <c r="D75" s="908">
        <v>3.6010000000000003E-4</v>
      </c>
      <c r="E75" s="909">
        <v>607728</v>
      </c>
      <c r="F75" s="909"/>
      <c r="G75" s="910">
        <v>35011</v>
      </c>
      <c r="H75" s="911">
        <v>147557</v>
      </c>
      <c r="I75" s="910">
        <v>86792</v>
      </c>
      <c r="J75" s="909">
        <v>6806</v>
      </c>
      <c r="K75" s="911">
        <f t="shared" si="2"/>
        <v>276166</v>
      </c>
      <c r="L75" s="909"/>
      <c r="M75" s="910">
        <v>17203</v>
      </c>
      <c r="N75" s="910">
        <v>0</v>
      </c>
      <c r="O75" s="909">
        <v>31482</v>
      </c>
      <c r="P75" s="911">
        <f t="shared" si="3"/>
        <v>48685</v>
      </c>
      <c r="Q75" s="909"/>
      <c r="R75" s="910">
        <v>204805</v>
      </c>
      <c r="S75" s="912">
        <v>-18326</v>
      </c>
      <c r="T75" s="912">
        <v>186479</v>
      </c>
    </row>
    <row r="76" spans="1:20" x14ac:dyDescent="0.25">
      <c r="A76" s="906">
        <v>90917</v>
      </c>
      <c r="B76" s="907" t="s">
        <v>2642</v>
      </c>
      <c r="C76" s="908">
        <v>1.4399999999999999E-5</v>
      </c>
      <c r="D76" s="908">
        <v>1.42E-5</v>
      </c>
      <c r="E76" s="909">
        <v>21999</v>
      </c>
      <c r="F76" s="909"/>
      <c r="G76" s="910">
        <v>1267</v>
      </c>
      <c r="H76" s="911">
        <v>5342</v>
      </c>
      <c r="I76" s="910">
        <v>3142</v>
      </c>
      <c r="J76" s="909">
        <v>1461</v>
      </c>
      <c r="K76" s="911">
        <f t="shared" si="2"/>
        <v>11212</v>
      </c>
      <c r="L76" s="909"/>
      <c r="M76" s="910">
        <v>623</v>
      </c>
      <c r="N76" s="910">
        <v>0</v>
      </c>
      <c r="O76" s="909">
        <v>966</v>
      </c>
      <c r="P76" s="911">
        <f t="shared" si="3"/>
        <v>1589</v>
      </c>
      <c r="Q76" s="909"/>
      <c r="R76" s="910">
        <v>7414</v>
      </c>
      <c r="S76" s="912">
        <v>-22</v>
      </c>
      <c r="T76" s="912">
        <v>7392</v>
      </c>
    </row>
    <row r="77" spans="1:20" x14ac:dyDescent="0.25">
      <c r="A77" s="906">
        <v>90918</v>
      </c>
      <c r="B77" s="907" t="s">
        <v>2643</v>
      </c>
      <c r="C77" s="908">
        <v>1.19E-5</v>
      </c>
      <c r="D77" s="908">
        <v>1.24E-5</v>
      </c>
      <c r="E77" s="909">
        <v>18180</v>
      </c>
      <c r="F77" s="909"/>
      <c r="G77" s="910">
        <v>1047</v>
      </c>
      <c r="H77" s="911">
        <v>4414</v>
      </c>
      <c r="I77" s="910">
        <v>2596</v>
      </c>
      <c r="J77" s="909">
        <v>0</v>
      </c>
      <c r="K77" s="911">
        <f t="shared" si="2"/>
        <v>8057</v>
      </c>
      <c r="L77" s="909"/>
      <c r="M77" s="910">
        <v>515</v>
      </c>
      <c r="N77" s="910">
        <v>0</v>
      </c>
      <c r="O77" s="909">
        <v>2553</v>
      </c>
      <c r="P77" s="911">
        <f t="shared" si="3"/>
        <v>3068</v>
      </c>
      <c r="Q77" s="909"/>
      <c r="R77" s="910">
        <v>6127</v>
      </c>
      <c r="S77" s="912">
        <v>-1087</v>
      </c>
      <c r="T77" s="912">
        <f>5039+1</f>
        <v>5040</v>
      </c>
    </row>
    <row r="78" spans="1:20" x14ac:dyDescent="0.25">
      <c r="A78" s="906">
        <v>90921</v>
      </c>
      <c r="B78" s="907" t="s">
        <v>2644</v>
      </c>
      <c r="C78" s="908">
        <v>1.2970000000000001E-4</v>
      </c>
      <c r="D78" s="908">
        <v>8.7399999999999997E-5</v>
      </c>
      <c r="E78" s="909">
        <v>198146</v>
      </c>
      <c r="F78" s="909"/>
      <c r="G78" s="910">
        <v>11415</v>
      </c>
      <c r="H78" s="911">
        <v>48110</v>
      </c>
      <c r="I78" s="910">
        <v>28298</v>
      </c>
      <c r="J78" s="909">
        <v>31212</v>
      </c>
      <c r="K78" s="911">
        <f t="shared" si="2"/>
        <v>119035</v>
      </c>
      <c r="L78" s="909"/>
      <c r="M78" s="910">
        <v>5609</v>
      </c>
      <c r="N78" s="910">
        <v>0</v>
      </c>
      <c r="O78" s="909">
        <v>7007</v>
      </c>
      <c r="P78" s="911">
        <f t="shared" si="3"/>
        <v>12616</v>
      </c>
      <c r="Q78" s="909"/>
      <c r="R78" s="910">
        <v>66775</v>
      </c>
      <c r="S78" s="912">
        <v>5102</v>
      </c>
      <c r="T78" s="912">
        <v>71877</v>
      </c>
    </row>
    <row r="79" spans="1:20" x14ac:dyDescent="0.25">
      <c r="A79" s="906">
        <v>90931</v>
      </c>
      <c r="B79" s="907" t="s">
        <v>2645</v>
      </c>
      <c r="C79" s="908">
        <v>4.07E-5</v>
      </c>
      <c r="D79" s="908">
        <v>5.1900000000000001E-5</v>
      </c>
      <c r="E79" s="909">
        <v>62178</v>
      </c>
      <c r="F79" s="909"/>
      <c r="G79" s="910">
        <v>3582</v>
      </c>
      <c r="H79" s="911">
        <v>15097</v>
      </c>
      <c r="I79" s="910">
        <v>8880</v>
      </c>
      <c r="J79" s="909">
        <v>3743</v>
      </c>
      <c r="K79" s="911">
        <f t="shared" si="2"/>
        <v>31302</v>
      </c>
      <c r="L79" s="909"/>
      <c r="M79" s="910">
        <v>1760</v>
      </c>
      <c r="N79" s="910">
        <v>0</v>
      </c>
      <c r="O79" s="909">
        <v>14137</v>
      </c>
      <c r="P79" s="911">
        <f t="shared" si="3"/>
        <v>15897</v>
      </c>
      <c r="Q79" s="909"/>
      <c r="R79" s="910">
        <v>20954</v>
      </c>
      <c r="S79" s="912">
        <v>-1298</v>
      </c>
      <c r="T79" s="912">
        <v>19656</v>
      </c>
    </row>
    <row r="80" spans="1:20" x14ac:dyDescent="0.25">
      <c r="A80" s="906">
        <v>90941</v>
      </c>
      <c r="B80" s="907" t="s">
        <v>2646</v>
      </c>
      <c r="C80" s="908">
        <v>7.0300000000000001E-5</v>
      </c>
      <c r="D80" s="908">
        <v>9.0799999999999998E-5</v>
      </c>
      <c r="E80" s="909">
        <v>107399</v>
      </c>
      <c r="F80" s="909"/>
      <c r="G80" s="910">
        <v>6187</v>
      </c>
      <c r="H80" s="911">
        <v>26076</v>
      </c>
      <c r="I80" s="910">
        <v>15338</v>
      </c>
      <c r="J80" s="909">
        <v>1686</v>
      </c>
      <c r="K80" s="911">
        <f t="shared" si="2"/>
        <v>49287</v>
      </c>
      <c r="L80" s="909"/>
      <c r="M80" s="910">
        <v>3040</v>
      </c>
      <c r="N80" s="910">
        <v>0</v>
      </c>
      <c r="O80" s="909">
        <v>16031</v>
      </c>
      <c r="P80" s="911">
        <f t="shared" si="3"/>
        <v>19071</v>
      </c>
      <c r="Q80" s="909"/>
      <c r="R80" s="910">
        <v>36194</v>
      </c>
      <c r="S80" s="912">
        <v>-4988</v>
      </c>
      <c r="T80" s="912">
        <f>31205+1</f>
        <v>31206</v>
      </c>
    </row>
    <row r="81" spans="1:20" x14ac:dyDescent="0.25">
      <c r="A81" s="906">
        <v>91001</v>
      </c>
      <c r="B81" s="907" t="s">
        <v>2647</v>
      </c>
      <c r="C81" s="908">
        <v>6.6703999999999999E-3</v>
      </c>
      <c r="D81" s="908">
        <v>6.6189999999999999E-3</v>
      </c>
      <c r="E81" s="909">
        <v>10190523</v>
      </c>
      <c r="F81" s="909"/>
      <c r="G81" s="910">
        <v>587069</v>
      </c>
      <c r="H81" s="911">
        <v>2474271</v>
      </c>
      <c r="I81" s="910">
        <v>1455348</v>
      </c>
      <c r="J81" s="909">
        <v>35831</v>
      </c>
      <c r="K81" s="911">
        <f t="shared" si="2"/>
        <v>4552519</v>
      </c>
      <c r="L81" s="909"/>
      <c r="M81" s="910">
        <v>288461</v>
      </c>
      <c r="N81" s="910">
        <v>0</v>
      </c>
      <c r="O81" s="909">
        <v>269013</v>
      </c>
      <c r="P81" s="911">
        <f t="shared" si="3"/>
        <v>557474</v>
      </c>
      <c r="Q81" s="909"/>
      <c r="R81" s="910">
        <v>3434215</v>
      </c>
      <c r="S81" s="912">
        <v>-50061</v>
      </c>
      <c r="T81" s="912">
        <v>3384154</v>
      </c>
    </row>
    <row r="82" spans="1:20" x14ac:dyDescent="0.25">
      <c r="A82" s="906">
        <v>91002</v>
      </c>
      <c r="B82" s="907" t="s">
        <v>2648</v>
      </c>
      <c r="C82" s="908">
        <v>6.8860000000000004E-4</v>
      </c>
      <c r="D82" s="908">
        <v>5.6360000000000004E-4</v>
      </c>
      <c r="E82" s="909">
        <v>1051990</v>
      </c>
      <c r="F82" s="909"/>
      <c r="G82" s="910">
        <v>60604</v>
      </c>
      <c r="H82" s="911">
        <v>255424</v>
      </c>
      <c r="I82" s="910">
        <v>150239</v>
      </c>
      <c r="J82" s="909">
        <v>39390</v>
      </c>
      <c r="K82" s="911">
        <f t="shared" si="2"/>
        <v>505657</v>
      </c>
      <c r="L82" s="909"/>
      <c r="M82" s="910">
        <v>29779</v>
      </c>
      <c r="N82" s="910">
        <v>0</v>
      </c>
      <c r="O82" s="909">
        <v>48600</v>
      </c>
      <c r="P82" s="911">
        <f t="shared" si="3"/>
        <v>78379</v>
      </c>
      <c r="Q82" s="909"/>
      <c r="R82" s="910">
        <v>354522</v>
      </c>
      <c r="S82" s="912">
        <v>-8849</v>
      </c>
      <c r="T82" s="912">
        <v>345673</v>
      </c>
    </row>
    <row r="83" spans="1:20" x14ac:dyDescent="0.25">
      <c r="A83" s="906">
        <v>91003</v>
      </c>
      <c r="B83" s="907" t="s">
        <v>2649</v>
      </c>
      <c r="C83" s="908">
        <v>5.7260000000000004E-4</v>
      </c>
      <c r="D83" s="908">
        <v>5.6550000000000003E-4</v>
      </c>
      <c r="E83" s="909">
        <v>874774</v>
      </c>
      <c r="F83" s="909"/>
      <c r="G83" s="910">
        <v>50395</v>
      </c>
      <c r="H83" s="911">
        <v>212396</v>
      </c>
      <c r="I83" s="910">
        <v>124930</v>
      </c>
      <c r="J83" s="909">
        <v>27734</v>
      </c>
      <c r="K83" s="911">
        <f t="shared" si="2"/>
        <v>415455</v>
      </c>
      <c r="L83" s="909"/>
      <c r="M83" s="910">
        <v>24762</v>
      </c>
      <c r="N83" s="910">
        <v>0</v>
      </c>
      <c r="O83" s="909">
        <v>28524</v>
      </c>
      <c r="P83" s="911">
        <f t="shared" si="3"/>
        <v>53286</v>
      </c>
      <c r="Q83" s="909"/>
      <c r="R83" s="910">
        <v>294800</v>
      </c>
      <c r="S83" s="912">
        <v>7266</v>
      </c>
      <c r="T83" s="912">
        <v>302066</v>
      </c>
    </row>
    <row r="84" spans="1:20" x14ac:dyDescent="0.25">
      <c r="A84" s="906">
        <v>91004</v>
      </c>
      <c r="B84" s="907" t="s">
        <v>2650</v>
      </c>
      <c r="C84" s="908">
        <v>2.58E-5</v>
      </c>
      <c r="D84" s="908">
        <v>1.7499999999999998E-5</v>
      </c>
      <c r="E84" s="909">
        <v>39415</v>
      </c>
      <c r="F84" s="909"/>
      <c r="G84" s="910">
        <v>2271</v>
      </c>
      <c r="H84" s="911">
        <v>9571</v>
      </c>
      <c r="I84" s="910">
        <v>5629</v>
      </c>
      <c r="J84" s="909">
        <v>12153</v>
      </c>
      <c r="K84" s="911">
        <f t="shared" si="2"/>
        <v>29624</v>
      </c>
      <c r="L84" s="909"/>
      <c r="M84" s="910">
        <v>1116</v>
      </c>
      <c r="N84" s="910">
        <v>0</v>
      </c>
      <c r="O84" s="909">
        <v>108</v>
      </c>
      <c r="P84" s="911">
        <f t="shared" si="3"/>
        <v>1224</v>
      </c>
      <c r="Q84" s="909"/>
      <c r="R84" s="910">
        <v>13283</v>
      </c>
      <c r="S84" s="912">
        <v>4277</v>
      </c>
      <c r="T84" s="912">
        <v>17560</v>
      </c>
    </row>
    <row r="85" spans="1:20" x14ac:dyDescent="0.25">
      <c r="A85" s="906">
        <v>91006</v>
      </c>
      <c r="B85" s="907" t="s">
        <v>2651</v>
      </c>
      <c r="C85" s="908">
        <v>1.0317E-3</v>
      </c>
      <c r="D85" s="908">
        <v>1.0096E-3</v>
      </c>
      <c r="E85" s="909">
        <v>1576152</v>
      </c>
      <c r="F85" s="909"/>
      <c r="G85" s="910">
        <v>90801</v>
      </c>
      <c r="H85" s="911">
        <v>382692</v>
      </c>
      <c r="I85" s="910">
        <v>225096</v>
      </c>
      <c r="J85" s="909">
        <v>18199</v>
      </c>
      <c r="K85" s="911">
        <f t="shared" si="2"/>
        <v>716788</v>
      </c>
      <c r="L85" s="909"/>
      <c r="M85" s="910">
        <v>44616</v>
      </c>
      <c r="N85" s="910">
        <v>0</v>
      </c>
      <c r="O85" s="909">
        <v>22958</v>
      </c>
      <c r="P85" s="911">
        <f t="shared" si="3"/>
        <v>67574</v>
      </c>
      <c r="Q85" s="909"/>
      <c r="R85" s="910">
        <v>531165</v>
      </c>
      <c r="S85" s="912">
        <v>3230</v>
      </c>
      <c r="T85" s="912">
        <v>534395</v>
      </c>
    </row>
    <row r="86" spans="1:20" x14ac:dyDescent="0.25">
      <c r="A86" s="906">
        <v>91007</v>
      </c>
      <c r="B86" s="907" t="s">
        <v>2652</v>
      </c>
      <c r="C86" s="908">
        <v>9.5000000000000005E-6</v>
      </c>
      <c r="D86" s="908">
        <v>1.2500000000000001E-5</v>
      </c>
      <c r="E86" s="909">
        <v>14513</v>
      </c>
      <c r="F86" s="909"/>
      <c r="G86" s="910">
        <v>836</v>
      </c>
      <c r="H86" s="911">
        <v>3524</v>
      </c>
      <c r="I86" s="910">
        <v>2073</v>
      </c>
      <c r="J86" s="909">
        <v>7476</v>
      </c>
      <c r="K86" s="911">
        <f t="shared" si="2"/>
        <v>13909</v>
      </c>
      <c r="L86" s="909"/>
      <c r="M86" s="910">
        <v>411</v>
      </c>
      <c r="N86" s="910">
        <v>0</v>
      </c>
      <c r="O86" s="909">
        <v>507</v>
      </c>
      <c r="P86" s="911">
        <f t="shared" si="3"/>
        <v>918</v>
      </c>
      <c r="Q86" s="909"/>
      <c r="R86" s="910">
        <v>4891</v>
      </c>
      <c r="S86" s="912">
        <v>2150</v>
      </c>
      <c r="T86" s="912">
        <v>7041</v>
      </c>
    </row>
    <row r="87" spans="1:20" x14ac:dyDescent="0.25">
      <c r="A87" s="906">
        <v>91008</v>
      </c>
      <c r="B87" s="907" t="s">
        <v>2653</v>
      </c>
      <c r="C87" s="908">
        <v>1.236E-4</v>
      </c>
      <c r="D87" s="908">
        <v>1.273E-4</v>
      </c>
      <c r="E87" s="909">
        <v>188827</v>
      </c>
      <c r="F87" s="909"/>
      <c r="G87" s="910">
        <v>10878</v>
      </c>
      <c r="H87" s="911">
        <v>45847</v>
      </c>
      <c r="I87" s="910">
        <v>26967</v>
      </c>
      <c r="J87" s="909">
        <v>37042</v>
      </c>
      <c r="K87" s="911">
        <f t="shared" si="2"/>
        <v>120734</v>
      </c>
      <c r="L87" s="909"/>
      <c r="M87" s="910">
        <v>5345</v>
      </c>
      <c r="N87" s="910">
        <v>0</v>
      </c>
      <c r="O87" s="909">
        <v>0</v>
      </c>
      <c r="P87" s="911">
        <f t="shared" si="3"/>
        <v>5345</v>
      </c>
      <c r="Q87" s="909"/>
      <c r="R87" s="910">
        <v>63635</v>
      </c>
      <c r="S87" s="912">
        <v>17548</v>
      </c>
      <c r="T87" s="912">
        <v>81183</v>
      </c>
    </row>
    <row r="88" spans="1:20" x14ac:dyDescent="0.25">
      <c r="A88" s="906">
        <v>91009</v>
      </c>
      <c r="B88" s="907" t="s">
        <v>2654</v>
      </c>
      <c r="C88" s="908">
        <v>1.7499999999999998E-5</v>
      </c>
      <c r="D88" s="908">
        <v>1.8700000000000001E-5</v>
      </c>
      <c r="E88" s="909">
        <v>26735</v>
      </c>
      <c r="F88" s="909"/>
      <c r="G88" s="910">
        <v>1540</v>
      </c>
      <c r="H88" s="911">
        <v>6491</v>
      </c>
      <c r="I88" s="910">
        <v>3818</v>
      </c>
      <c r="J88" s="909">
        <v>4951</v>
      </c>
      <c r="K88" s="911">
        <f t="shared" si="2"/>
        <v>16800</v>
      </c>
      <c r="L88" s="909"/>
      <c r="M88" s="910">
        <v>757</v>
      </c>
      <c r="N88" s="910">
        <v>0</v>
      </c>
      <c r="O88" s="909">
        <v>2458</v>
      </c>
      <c r="P88" s="911">
        <f t="shared" si="3"/>
        <v>3215</v>
      </c>
      <c r="Q88" s="909"/>
      <c r="R88" s="910">
        <v>9010</v>
      </c>
      <c r="S88" s="912">
        <v>187</v>
      </c>
      <c r="T88" s="912">
        <v>9197</v>
      </c>
    </row>
    <row r="89" spans="1:20" x14ac:dyDescent="0.25">
      <c r="A89" s="906">
        <v>91010</v>
      </c>
      <c r="B89" s="907" t="s">
        <v>2655</v>
      </c>
      <c r="C89" s="908">
        <v>7.0099999999999996E-5</v>
      </c>
      <c r="D89" s="908">
        <v>6.8399999999999996E-5</v>
      </c>
      <c r="E89" s="909">
        <v>107093</v>
      </c>
      <c r="F89" s="909"/>
      <c r="G89" s="910">
        <v>6170</v>
      </c>
      <c r="H89" s="911">
        <v>26003</v>
      </c>
      <c r="I89" s="910">
        <v>15294</v>
      </c>
      <c r="J89" s="909">
        <v>7603</v>
      </c>
      <c r="K89" s="911">
        <f t="shared" si="2"/>
        <v>55070</v>
      </c>
      <c r="L89" s="909"/>
      <c r="M89" s="910">
        <v>3031</v>
      </c>
      <c r="N89" s="910">
        <v>0</v>
      </c>
      <c r="O89" s="909">
        <v>296</v>
      </c>
      <c r="P89" s="911">
        <f t="shared" si="3"/>
        <v>3327</v>
      </c>
      <c r="Q89" s="909"/>
      <c r="R89" s="910">
        <v>36091</v>
      </c>
      <c r="S89" s="912">
        <v>4736</v>
      </c>
      <c r="T89" s="912">
        <v>40827</v>
      </c>
    </row>
    <row r="90" spans="1:20" x14ac:dyDescent="0.25">
      <c r="A90" s="906">
        <v>91011</v>
      </c>
      <c r="B90" s="907" t="s">
        <v>2656</v>
      </c>
      <c r="C90" s="908">
        <v>3.5760000000000002E-4</v>
      </c>
      <c r="D90" s="908">
        <v>3.1789999999999998E-4</v>
      </c>
      <c r="E90" s="909">
        <v>546314</v>
      </c>
      <c r="F90" s="909"/>
      <c r="G90" s="910">
        <v>31473</v>
      </c>
      <c r="H90" s="911">
        <v>132645</v>
      </c>
      <c r="I90" s="910">
        <v>78021</v>
      </c>
      <c r="J90" s="909">
        <v>43643</v>
      </c>
      <c r="K90" s="911">
        <f t="shared" si="2"/>
        <v>285782</v>
      </c>
      <c r="L90" s="909"/>
      <c r="M90" s="910">
        <v>15464</v>
      </c>
      <c r="N90" s="910">
        <v>0</v>
      </c>
      <c r="O90" s="909">
        <v>0</v>
      </c>
      <c r="P90" s="911">
        <f t="shared" si="3"/>
        <v>15464</v>
      </c>
      <c r="Q90" s="909"/>
      <c r="R90" s="910">
        <v>184108</v>
      </c>
      <c r="S90" s="912">
        <v>16126</v>
      </c>
      <c r="T90" s="912">
        <v>200234</v>
      </c>
    </row>
    <row r="91" spans="1:20" x14ac:dyDescent="0.25">
      <c r="A91" s="906">
        <v>91012</v>
      </c>
      <c r="B91" s="907" t="s">
        <v>2657</v>
      </c>
      <c r="C91" s="908">
        <v>1.9300000000000002E-5</v>
      </c>
      <c r="D91" s="908">
        <v>1.49E-5</v>
      </c>
      <c r="E91" s="909">
        <v>29485</v>
      </c>
      <c r="F91" s="909"/>
      <c r="G91" s="910">
        <v>1699</v>
      </c>
      <c r="H91" s="911">
        <v>7159</v>
      </c>
      <c r="I91" s="910">
        <v>4211</v>
      </c>
      <c r="J91" s="909">
        <v>5400</v>
      </c>
      <c r="K91" s="911">
        <f t="shared" si="2"/>
        <v>18469</v>
      </c>
      <c r="L91" s="909"/>
      <c r="M91" s="910">
        <v>835</v>
      </c>
      <c r="N91" s="910">
        <v>0</v>
      </c>
      <c r="O91" s="909">
        <v>2458</v>
      </c>
      <c r="P91" s="911">
        <f t="shared" si="3"/>
        <v>3293</v>
      </c>
      <c r="Q91" s="909"/>
      <c r="R91" s="910">
        <v>9936</v>
      </c>
      <c r="S91" s="912">
        <v>-662</v>
      </c>
      <c r="T91" s="912">
        <f>9275-1</f>
        <v>9274</v>
      </c>
    </row>
    <row r="92" spans="1:20" x14ac:dyDescent="0.25">
      <c r="A92" s="906">
        <v>91013</v>
      </c>
      <c r="B92" s="907" t="s">
        <v>2658</v>
      </c>
      <c r="C92" s="908">
        <v>2.34E-5</v>
      </c>
      <c r="D92" s="908">
        <v>2.1800000000000001E-5</v>
      </c>
      <c r="E92" s="909">
        <v>35749</v>
      </c>
      <c r="F92" s="909"/>
      <c r="G92" s="910">
        <v>2059</v>
      </c>
      <c r="H92" s="911">
        <v>8680</v>
      </c>
      <c r="I92" s="910">
        <v>5105</v>
      </c>
      <c r="J92" s="909">
        <v>31764</v>
      </c>
      <c r="K92" s="911">
        <f t="shared" si="2"/>
        <v>47608</v>
      </c>
      <c r="L92" s="909"/>
      <c r="M92" s="910">
        <v>1012</v>
      </c>
      <c r="N92" s="910">
        <v>0</v>
      </c>
      <c r="O92" s="909">
        <v>0</v>
      </c>
      <c r="P92" s="911">
        <f t="shared" si="3"/>
        <v>1012</v>
      </c>
      <c r="Q92" s="909"/>
      <c r="R92" s="910">
        <v>12047</v>
      </c>
      <c r="S92" s="912">
        <v>9518</v>
      </c>
      <c r="T92" s="912">
        <v>21565</v>
      </c>
    </row>
    <row r="93" spans="1:20" x14ac:dyDescent="0.25">
      <c r="A93" s="906">
        <v>91014</v>
      </c>
      <c r="B93" s="907" t="s">
        <v>2659</v>
      </c>
      <c r="C93" s="908">
        <v>2.22E-4</v>
      </c>
      <c r="D93" s="908">
        <v>2.1499999999999999E-4</v>
      </c>
      <c r="E93" s="909">
        <v>339155</v>
      </c>
      <c r="F93" s="909"/>
      <c r="G93" s="910">
        <v>19538</v>
      </c>
      <c r="H93" s="911">
        <v>82347</v>
      </c>
      <c r="I93" s="910">
        <v>48436</v>
      </c>
      <c r="J93" s="909">
        <v>1313</v>
      </c>
      <c r="K93" s="911">
        <f t="shared" si="2"/>
        <v>151634</v>
      </c>
      <c r="L93" s="909"/>
      <c r="M93" s="910">
        <v>9600</v>
      </c>
      <c r="N93" s="910">
        <v>0</v>
      </c>
      <c r="O93" s="909">
        <v>11287</v>
      </c>
      <c r="P93" s="911">
        <f t="shared" si="3"/>
        <v>20887</v>
      </c>
      <c r="Q93" s="909"/>
      <c r="R93" s="910">
        <v>114295</v>
      </c>
      <c r="S93" s="912">
        <v>-6129</v>
      </c>
      <c r="T93" s="912">
        <f>108167-1</f>
        <v>108166</v>
      </c>
    </row>
    <row r="94" spans="1:20" x14ac:dyDescent="0.25">
      <c r="A94" s="906">
        <v>91017</v>
      </c>
      <c r="B94" s="907" t="s">
        <v>2660</v>
      </c>
      <c r="C94" s="908">
        <v>2.4300000000000001E-5</v>
      </c>
      <c r="D94" s="908">
        <v>2.3E-5</v>
      </c>
      <c r="E94" s="909">
        <v>37124</v>
      </c>
      <c r="F94" s="909"/>
      <c r="G94" s="910">
        <v>2139</v>
      </c>
      <c r="H94" s="911">
        <v>9014</v>
      </c>
      <c r="I94" s="910">
        <v>5302</v>
      </c>
      <c r="J94" s="909">
        <v>10242</v>
      </c>
      <c r="K94" s="911">
        <f t="shared" si="2"/>
        <v>26697</v>
      </c>
      <c r="L94" s="909"/>
      <c r="M94" s="910">
        <v>1051</v>
      </c>
      <c r="N94" s="910">
        <v>0</v>
      </c>
      <c r="O94" s="909">
        <v>0</v>
      </c>
      <c r="P94" s="911">
        <f t="shared" si="3"/>
        <v>1051</v>
      </c>
      <c r="Q94" s="909"/>
      <c r="R94" s="910">
        <v>12511</v>
      </c>
      <c r="S94" s="912">
        <v>4025</v>
      </c>
      <c r="T94" s="912">
        <v>16536</v>
      </c>
    </row>
    <row r="95" spans="1:20" x14ac:dyDescent="0.25">
      <c r="A95" s="906">
        <v>91020</v>
      </c>
      <c r="B95" s="907" t="s">
        <v>2661</v>
      </c>
      <c r="C95" s="908">
        <v>2.27E-5</v>
      </c>
      <c r="D95" s="908">
        <v>1.9899999999999999E-5</v>
      </c>
      <c r="E95" s="909">
        <v>34679</v>
      </c>
      <c r="F95" s="909"/>
      <c r="G95" s="910">
        <v>1998</v>
      </c>
      <c r="H95" s="911">
        <v>8420</v>
      </c>
      <c r="I95" s="910">
        <v>4953</v>
      </c>
      <c r="J95" s="909">
        <v>4064</v>
      </c>
      <c r="K95" s="911">
        <f t="shared" si="2"/>
        <v>19435</v>
      </c>
      <c r="L95" s="909"/>
      <c r="M95" s="910">
        <v>982</v>
      </c>
      <c r="N95" s="910">
        <v>0</v>
      </c>
      <c r="O95" s="909">
        <v>376</v>
      </c>
      <c r="P95" s="911">
        <f t="shared" si="3"/>
        <v>1358</v>
      </c>
      <c r="Q95" s="909"/>
      <c r="R95" s="910">
        <v>11687</v>
      </c>
      <c r="S95" s="912">
        <v>1259</v>
      </c>
      <c r="T95" s="912">
        <v>12946</v>
      </c>
    </row>
    <row r="96" spans="1:20" x14ac:dyDescent="0.25">
      <c r="A96" s="906">
        <v>91021</v>
      </c>
      <c r="B96" s="907" t="s">
        <v>2662</v>
      </c>
      <c r="C96" s="908">
        <v>8.6450000000000003E-4</v>
      </c>
      <c r="D96" s="908">
        <v>8.6989999999999995E-4</v>
      </c>
      <c r="E96" s="909">
        <v>1320717</v>
      </c>
      <c r="F96" s="909"/>
      <c r="G96" s="910">
        <v>76086</v>
      </c>
      <c r="H96" s="911">
        <v>320672</v>
      </c>
      <c r="I96" s="910">
        <v>188617</v>
      </c>
      <c r="J96" s="909">
        <v>0</v>
      </c>
      <c r="K96" s="911">
        <f t="shared" si="2"/>
        <v>585375</v>
      </c>
      <c r="L96" s="909"/>
      <c r="M96" s="910">
        <v>37385</v>
      </c>
      <c r="N96" s="910">
        <v>0</v>
      </c>
      <c r="O96" s="909">
        <v>82677</v>
      </c>
      <c r="P96" s="911">
        <f t="shared" si="3"/>
        <v>120062</v>
      </c>
      <c r="Q96" s="909"/>
      <c r="R96" s="910">
        <v>445083</v>
      </c>
      <c r="S96" s="912">
        <v>-48679</v>
      </c>
      <c r="T96" s="912">
        <v>396404</v>
      </c>
    </row>
    <row r="97" spans="1:20" x14ac:dyDescent="0.25">
      <c r="A97" s="906">
        <v>91024</v>
      </c>
      <c r="B97" s="907" t="s">
        <v>2663</v>
      </c>
      <c r="C97" s="908">
        <v>7.2999999999999999E-5</v>
      </c>
      <c r="D97" s="908">
        <v>6.6299999999999999E-5</v>
      </c>
      <c r="E97" s="909">
        <v>111524</v>
      </c>
      <c r="F97" s="909"/>
      <c r="G97" s="910">
        <v>6425</v>
      </c>
      <c r="H97" s="911">
        <v>27078</v>
      </c>
      <c r="I97" s="910">
        <v>15927</v>
      </c>
      <c r="J97" s="909">
        <v>24081</v>
      </c>
      <c r="K97" s="911">
        <f t="shared" si="2"/>
        <v>73511</v>
      </c>
      <c r="L97" s="909"/>
      <c r="M97" s="910">
        <v>3157</v>
      </c>
      <c r="N97" s="910">
        <v>0</v>
      </c>
      <c r="O97" s="909">
        <v>0</v>
      </c>
      <c r="P97" s="911">
        <f t="shared" si="3"/>
        <v>3157</v>
      </c>
      <c r="Q97" s="909"/>
      <c r="R97" s="910">
        <v>37584</v>
      </c>
      <c r="S97" s="912">
        <v>10843</v>
      </c>
      <c r="T97" s="912">
        <f>48426+1</f>
        <v>48427</v>
      </c>
    </row>
    <row r="98" spans="1:20" x14ac:dyDescent="0.25">
      <c r="A98" s="906">
        <v>91026</v>
      </c>
      <c r="B98" s="907" t="s">
        <v>1258</v>
      </c>
      <c r="C98" s="908">
        <v>4.18E-5</v>
      </c>
      <c r="D98" s="908">
        <v>6.0900000000000003E-5</v>
      </c>
      <c r="E98" s="909">
        <v>63859</v>
      </c>
      <c r="F98" s="909"/>
      <c r="G98" s="910">
        <v>3679</v>
      </c>
      <c r="H98" s="911">
        <v>15505</v>
      </c>
      <c r="I98" s="910">
        <v>9120</v>
      </c>
      <c r="J98" s="909">
        <v>34468</v>
      </c>
      <c r="K98" s="911">
        <f t="shared" si="2"/>
        <v>62772</v>
      </c>
      <c r="L98" s="909"/>
      <c r="M98" s="910">
        <v>1808</v>
      </c>
      <c r="N98" s="910">
        <v>0</v>
      </c>
      <c r="O98" s="909">
        <v>3103</v>
      </c>
      <c r="P98" s="911">
        <f t="shared" si="3"/>
        <v>4911</v>
      </c>
      <c r="Q98" s="909"/>
      <c r="R98" s="910">
        <v>21520</v>
      </c>
      <c r="S98" s="912">
        <v>11546</v>
      </c>
      <c r="T98" s="912">
        <v>33066</v>
      </c>
    </row>
    <row r="99" spans="1:20" x14ac:dyDescent="0.25">
      <c r="A99" s="906">
        <v>91027</v>
      </c>
      <c r="B99" s="907" t="s">
        <v>2664</v>
      </c>
      <c r="C99" s="908">
        <v>1.4E-5</v>
      </c>
      <c r="D99" s="908">
        <v>1.6099999999999998E-5</v>
      </c>
      <c r="E99" s="909">
        <v>21388</v>
      </c>
      <c r="F99" s="909"/>
      <c r="G99" s="910">
        <v>1232</v>
      </c>
      <c r="H99" s="911">
        <v>5193</v>
      </c>
      <c r="I99" s="910">
        <v>3055</v>
      </c>
      <c r="J99" s="909">
        <v>16343</v>
      </c>
      <c r="K99" s="911">
        <f t="shared" si="2"/>
        <v>25823</v>
      </c>
      <c r="L99" s="909"/>
      <c r="M99" s="910">
        <v>605</v>
      </c>
      <c r="N99" s="910">
        <v>0</v>
      </c>
      <c r="O99" s="909">
        <v>0</v>
      </c>
      <c r="P99" s="911">
        <f t="shared" si="3"/>
        <v>605</v>
      </c>
      <c r="Q99" s="909"/>
      <c r="R99" s="910">
        <v>7208</v>
      </c>
      <c r="S99" s="912">
        <v>6601</v>
      </c>
      <c r="T99" s="912">
        <f>13808+1</f>
        <v>13809</v>
      </c>
    </row>
    <row r="100" spans="1:20" x14ac:dyDescent="0.25">
      <c r="A100" s="906">
        <v>91032</v>
      </c>
      <c r="B100" s="907" t="s">
        <v>2665</v>
      </c>
      <c r="C100" s="908">
        <v>1.8E-5</v>
      </c>
      <c r="D100" s="908">
        <v>1.8600000000000001E-5</v>
      </c>
      <c r="E100" s="909">
        <v>27499</v>
      </c>
      <c r="F100" s="909"/>
      <c r="G100" s="910">
        <v>1584</v>
      </c>
      <c r="H100" s="911">
        <v>6677</v>
      </c>
      <c r="I100" s="910">
        <v>3927</v>
      </c>
      <c r="J100" s="909">
        <v>14996</v>
      </c>
      <c r="K100" s="911">
        <f t="shared" si="2"/>
        <v>27184</v>
      </c>
      <c r="L100" s="909"/>
      <c r="M100" s="910">
        <v>778</v>
      </c>
      <c r="N100" s="910">
        <v>0</v>
      </c>
      <c r="O100" s="909">
        <v>0</v>
      </c>
      <c r="P100" s="911">
        <f t="shared" si="3"/>
        <v>778</v>
      </c>
      <c r="Q100" s="909"/>
      <c r="R100" s="910">
        <v>9267</v>
      </c>
      <c r="S100" s="912">
        <v>6458</v>
      </c>
      <c r="T100" s="912">
        <v>15725</v>
      </c>
    </row>
    <row r="101" spans="1:20" x14ac:dyDescent="0.25">
      <c r="A101" s="906">
        <v>91041</v>
      </c>
      <c r="B101" s="907" t="s">
        <v>2666</v>
      </c>
      <c r="C101" s="908">
        <v>4.0400000000000001E-4</v>
      </c>
      <c r="D101" s="908">
        <v>4.3609999999999998E-4</v>
      </c>
      <c r="E101" s="909">
        <v>617200</v>
      </c>
      <c r="F101" s="909"/>
      <c r="G101" s="910">
        <v>35556</v>
      </c>
      <c r="H101" s="911">
        <v>149857</v>
      </c>
      <c r="I101" s="910">
        <v>88145</v>
      </c>
      <c r="J101" s="909">
        <v>0</v>
      </c>
      <c r="K101" s="911">
        <f t="shared" si="2"/>
        <v>273558</v>
      </c>
      <c r="L101" s="909"/>
      <c r="M101" s="910">
        <v>17471</v>
      </c>
      <c r="N101" s="910">
        <v>0</v>
      </c>
      <c r="O101" s="909">
        <v>109443</v>
      </c>
      <c r="P101" s="911">
        <f t="shared" si="3"/>
        <v>126914</v>
      </c>
      <c r="Q101" s="909"/>
      <c r="R101" s="910">
        <v>207997</v>
      </c>
      <c r="S101" s="912">
        <v>-39088</v>
      </c>
      <c r="T101" s="912">
        <v>168909</v>
      </c>
    </row>
    <row r="102" spans="1:20" x14ac:dyDescent="0.25">
      <c r="A102" s="906">
        <v>91042</v>
      </c>
      <c r="B102" s="907" t="s">
        <v>2667</v>
      </c>
      <c r="C102" s="908">
        <v>2.3360000000000001E-4</v>
      </c>
      <c r="D102" s="908">
        <v>2.062E-4</v>
      </c>
      <c r="E102" s="909">
        <v>356876</v>
      </c>
      <c r="F102" s="909"/>
      <c r="G102" s="910">
        <v>20559</v>
      </c>
      <c r="H102" s="911">
        <v>86650</v>
      </c>
      <c r="I102" s="910">
        <v>50967</v>
      </c>
      <c r="J102" s="909">
        <v>12354</v>
      </c>
      <c r="K102" s="911">
        <f t="shared" si="2"/>
        <v>170530</v>
      </c>
      <c r="L102" s="909"/>
      <c r="M102" s="910">
        <v>10102</v>
      </c>
      <c r="N102" s="910">
        <v>0</v>
      </c>
      <c r="O102" s="909">
        <v>6985</v>
      </c>
      <c r="P102" s="911">
        <f t="shared" si="3"/>
        <v>17087</v>
      </c>
      <c r="Q102" s="909"/>
      <c r="R102" s="910">
        <v>120268</v>
      </c>
      <c r="S102" s="912">
        <v>717</v>
      </c>
      <c r="T102" s="912">
        <f>120984+1</f>
        <v>120985</v>
      </c>
    </row>
    <row r="103" spans="1:20" x14ac:dyDescent="0.25">
      <c r="A103" s="906">
        <v>91047</v>
      </c>
      <c r="B103" s="907" t="s">
        <v>2668</v>
      </c>
      <c r="C103" s="908">
        <v>1.31E-5</v>
      </c>
      <c r="D103" s="908">
        <v>1.3200000000000001E-5</v>
      </c>
      <c r="E103" s="909">
        <v>20013</v>
      </c>
      <c r="F103" s="909"/>
      <c r="G103" s="910">
        <v>1153</v>
      </c>
      <c r="H103" s="911">
        <v>4859</v>
      </c>
      <c r="I103" s="910">
        <v>2858</v>
      </c>
      <c r="J103" s="909">
        <v>20507</v>
      </c>
      <c r="K103" s="911">
        <f t="shared" si="2"/>
        <v>29377</v>
      </c>
      <c r="L103" s="909"/>
      <c r="M103" s="910">
        <v>567</v>
      </c>
      <c r="N103" s="910">
        <v>0</v>
      </c>
      <c r="O103" s="909">
        <v>0</v>
      </c>
      <c r="P103" s="911">
        <f t="shared" si="3"/>
        <v>567</v>
      </c>
      <c r="Q103" s="909"/>
      <c r="R103" s="910">
        <v>6744</v>
      </c>
      <c r="S103" s="912">
        <v>7559</v>
      </c>
      <c r="T103" s="912">
        <v>14303</v>
      </c>
    </row>
    <row r="104" spans="1:20" x14ac:dyDescent="0.25">
      <c r="A104" s="906">
        <v>91051</v>
      </c>
      <c r="B104" s="907" t="s">
        <v>2669</v>
      </c>
      <c r="C104" s="908">
        <v>6.6400000000000001E-5</v>
      </c>
      <c r="D104" s="908">
        <v>7.6600000000000005E-5</v>
      </c>
      <c r="E104" s="909">
        <v>101441</v>
      </c>
      <c r="F104" s="909"/>
      <c r="G104" s="910">
        <v>5844</v>
      </c>
      <c r="H104" s="911">
        <v>24630</v>
      </c>
      <c r="I104" s="910">
        <v>14487</v>
      </c>
      <c r="J104" s="909">
        <v>1619</v>
      </c>
      <c r="K104" s="911">
        <f t="shared" si="2"/>
        <v>46580</v>
      </c>
      <c r="L104" s="909"/>
      <c r="M104" s="910">
        <v>2871</v>
      </c>
      <c r="N104" s="910">
        <v>0</v>
      </c>
      <c r="O104" s="909">
        <v>8430</v>
      </c>
      <c r="P104" s="911">
        <f t="shared" si="3"/>
        <v>11301</v>
      </c>
      <c r="Q104" s="909"/>
      <c r="R104" s="910">
        <v>34186</v>
      </c>
      <c r="S104" s="912">
        <v>-1576</v>
      </c>
      <c r="T104" s="912">
        <f>32609+1</f>
        <v>32610</v>
      </c>
    </row>
    <row r="105" spans="1:20" x14ac:dyDescent="0.25">
      <c r="A105" s="906">
        <v>91057</v>
      </c>
      <c r="B105" s="907" t="s">
        <v>2670</v>
      </c>
      <c r="C105" s="908">
        <v>1.4399999999999999E-5</v>
      </c>
      <c r="D105" s="908">
        <v>1.5E-5</v>
      </c>
      <c r="E105" s="909">
        <v>21999</v>
      </c>
      <c r="F105" s="909"/>
      <c r="G105" s="910">
        <v>1267</v>
      </c>
      <c r="H105" s="911">
        <v>5342</v>
      </c>
      <c r="I105" s="910">
        <v>3142</v>
      </c>
      <c r="J105" s="909">
        <v>5805</v>
      </c>
      <c r="K105" s="911">
        <f t="shared" si="2"/>
        <v>15556</v>
      </c>
      <c r="L105" s="909"/>
      <c r="M105" s="910">
        <v>623</v>
      </c>
      <c r="N105" s="910">
        <v>0</v>
      </c>
      <c r="O105" s="909">
        <v>0</v>
      </c>
      <c r="P105" s="911">
        <f t="shared" si="3"/>
        <v>623</v>
      </c>
      <c r="Q105" s="909"/>
      <c r="R105" s="910">
        <v>7414</v>
      </c>
      <c r="S105" s="912">
        <v>2191</v>
      </c>
      <c r="T105" s="912">
        <v>9605</v>
      </c>
    </row>
    <row r="106" spans="1:20" x14ac:dyDescent="0.25">
      <c r="A106" s="906">
        <v>91061</v>
      </c>
      <c r="B106" s="907" t="s">
        <v>2671</v>
      </c>
      <c r="C106" s="908">
        <v>4.104E-4</v>
      </c>
      <c r="D106" s="908">
        <v>3.7730000000000001E-4</v>
      </c>
      <c r="E106" s="909">
        <v>626978</v>
      </c>
      <c r="F106" s="909"/>
      <c r="G106" s="910">
        <v>36120</v>
      </c>
      <c r="H106" s="911">
        <v>152231</v>
      </c>
      <c r="I106" s="910">
        <v>89541</v>
      </c>
      <c r="J106" s="909">
        <v>19267</v>
      </c>
      <c r="K106" s="911">
        <f t="shared" si="2"/>
        <v>297159</v>
      </c>
      <c r="L106" s="909"/>
      <c r="M106" s="910">
        <v>17748</v>
      </c>
      <c r="N106" s="910">
        <v>0</v>
      </c>
      <c r="O106" s="909">
        <v>27800</v>
      </c>
      <c r="P106" s="911">
        <f t="shared" si="3"/>
        <v>45548</v>
      </c>
      <c r="Q106" s="909"/>
      <c r="R106" s="910">
        <v>211292</v>
      </c>
      <c r="S106" s="912">
        <v>-13384</v>
      </c>
      <c r="T106" s="912">
        <v>197908</v>
      </c>
    </row>
    <row r="107" spans="1:20" x14ac:dyDescent="0.25">
      <c r="A107" s="906">
        <v>91067</v>
      </c>
      <c r="B107" s="907" t="s">
        <v>2672</v>
      </c>
      <c r="C107" s="908">
        <v>1.5699999999999999E-5</v>
      </c>
      <c r="D107" s="908">
        <v>1.8499999999999999E-5</v>
      </c>
      <c r="E107" s="909">
        <v>23985</v>
      </c>
      <c r="F107" s="909"/>
      <c r="G107" s="910">
        <v>1382</v>
      </c>
      <c r="H107" s="911">
        <v>5824</v>
      </c>
      <c r="I107" s="910">
        <v>3425</v>
      </c>
      <c r="J107" s="909">
        <v>2413</v>
      </c>
      <c r="K107" s="911">
        <f t="shared" si="2"/>
        <v>13044</v>
      </c>
      <c r="L107" s="909"/>
      <c r="M107" s="910">
        <v>679</v>
      </c>
      <c r="N107" s="910">
        <v>0</v>
      </c>
      <c r="O107" s="909">
        <v>406</v>
      </c>
      <c r="P107" s="911">
        <f t="shared" si="3"/>
        <v>1085</v>
      </c>
      <c r="Q107" s="909"/>
      <c r="R107" s="910">
        <v>8083</v>
      </c>
      <c r="S107" s="912">
        <v>1156</v>
      </c>
      <c r="T107" s="912">
        <v>9239</v>
      </c>
    </row>
    <row r="108" spans="1:20" x14ac:dyDescent="0.25">
      <c r="A108" s="906">
        <v>91071</v>
      </c>
      <c r="B108" s="907" t="s">
        <v>2673</v>
      </c>
      <c r="C108" s="908">
        <v>2.2770000000000001E-4</v>
      </c>
      <c r="D108" s="908">
        <v>2.4379999999999999E-4</v>
      </c>
      <c r="E108" s="909">
        <v>347863</v>
      </c>
      <c r="F108" s="909"/>
      <c r="G108" s="910">
        <v>20040</v>
      </c>
      <c r="H108" s="911">
        <v>84462</v>
      </c>
      <c r="I108" s="910">
        <v>49680</v>
      </c>
      <c r="J108" s="909">
        <v>8372</v>
      </c>
      <c r="K108" s="911">
        <f t="shared" si="2"/>
        <v>162554</v>
      </c>
      <c r="L108" s="909"/>
      <c r="M108" s="910">
        <v>9847</v>
      </c>
      <c r="N108" s="910">
        <v>0</v>
      </c>
      <c r="O108" s="909">
        <v>22478</v>
      </c>
      <c r="P108" s="911">
        <f t="shared" si="3"/>
        <v>32325</v>
      </c>
      <c r="Q108" s="909"/>
      <c r="R108" s="910">
        <v>117230</v>
      </c>
      <c r="S108" s="912">
        <v>2353</v>
      </c>
      <c r="T108" s="912">
        <v>119583</v>
      </c>
    </row>
    <row r="109" spans="1:20" x14ac:dyDescent="0.25">
      <c r="A109" s="906">
        <v>91077</v>
      </c>
      <c r="B109" s="907" t="s">
        <v>2674</v>
      </c>
      <c r="C109" s="908">
        <v>3.5999999999999998E-6</v>
      </c>
      <c r="D109" s="908">
        <v>3.9999999999999998E-6</v>
      </c>
      <c r="E109" s="909">
        <v>5500</v>
      </c>
      <c r="F109" s="909"/>
      <c r="G109" s="910">
        <v>317</v>
      </c>
      <c r="H109" s="911">
        <v>1336</v>
      </c>
      <c r="I109" s="910">
        <v>785</v>
      </c>
      <c r="J109" s="909">
        <v>1826</v>
      </c>
      <c r="K109" s="911">
        <f t="shared" si="2"/>
        <v>4264</v>
      </c>
      <c r="L109" s="909"/>
      <c r="M109" s="910">
        <v>156</v>
      </c>
      <c r="N109" s="910">
        <v>0</v>
      </c>
      <c r="O109" s="909">
        <v>51</v>
      </c>
      <c r="P109" s="911">
        <f t="shared" si="3"/>
        <v>207</v>
      </c>
      <c r="Q109" s="909"/>
      <c r="R109" s="910">
        <v>1853</v>
      </c>
      <c r="S109" s="912">
        <v>551</v>
      </c>
      <c r="T109" s="912">
        <f>2405-1</f>
        <v>2404</v>
      </c>
    </row>
    <row r="110" spans="1:20" x14ac:dyDescent="0.25">
      <c r="A110" s="906">
        <v>91081</v>
      </c>
      <c r="B110" s="907" t="s">
        <v>2675</v>
      </c>
      <c r="C110" s="908">
        <v>3.6240000000000003E-4</v>
      </c>
      <c r="D110" s="908">
        <v>3.6499999999999998E-4</v>
      </c>
      <c r="E110" s="909">
        <v>553647</v>
      </c>
      <c r="F110" s="909"/>
      <c r="G110" s="910">
        <v>31895</v>
      </c>
      <c r="H110" s="911">
        <v>134426</v>
      </c>
      <c r="I110" s="910">
        <v>79068</v>
      </c>
      <c r="J110" s="909">
        <v>1618</v>
      </c>
      <c r="K110" s="911">
        <f t="shared" si="2"/>
        <v>247007</v>
      </c>
      <c r="L110" s="909"/>
      <c r="M110" s="910">
        <v>15672</v>
      </c>
      <c r="N110" s="910">
        <v>0</v>
      </c>
      <c r="O110" s="909">
        <v>13549</v>
      </c>
      <c r="P110" s="911">
        <f t="shared" si="3"/>
        <v>29221</v>
      </c>
      <c r="Q110" s="909"/>
      <c r="R110" s="910">
        <v>186579</v>
      </c>
      <c r="S110" s="912">
        <v>-13101</v>
      </c>
      <c r="T110" s="912">
        <v>173478</v>
      </c>
    </row>
    <row r="111" spans="1:20" x14ac:dyDescent="0.25">
      <c r="A111" s="906">
        <v>91091</v>
      </c>
      <c r="B111" s="907" t="s">
        <v>2676</v>
      </c>
      <c r="C111" s="908">
        <v>5.3790000000000001E-4</v>
      </c>
      <c r="D111" s="908">
        <v>5.6380000000000004E-4</v>
      </c>
      <c r="E111" s="909">
        <v>821762</v>
      </c>
      <c r="F111" s="909"/>
      <c r="G111" s="910">
        <v>47341</v>
      </c>
      <c r="H111" s="911">
        <v>199525</v>
      </c>
      <c r="I111" s="910">
        <v>117359</v>
      </c>
      <c r="J111" s="909">
        <v>0</v>
      </c>
      <c r="K111" s="911">
        <f t="shared" si="2"/>
        <v>364225</v>
      </c>
      <c r="L111" s="909"/>
      <c r="M111" s="910">
        <v>23261</v>
      </c>
      <c r="N111" s="910">
        <v>0</v>
      </c>
      <c r="O111" s="909">
        <v>66212</v>
      </c>
      <c r="P111" s="911">
        <f t="shared" si="3"/>
        <v>89473</v>
      </c>
      <c r="Q111" s="909"/>
      <c r="R111" s="910">
        <v>276935</v>
      </c>
      <c r="S111" s="912">
        <v>-30835</v>
      </c>
      <c r="T111" s="912">
        <f>246099+1</f>
        <v>246100</v>
      </c>
    </row>
    <row r="112" spans="1:20" x14ac:dyDescent="0.25">
      <c r="A112" s="906">
        <v>91101</v>
      </c>
      <c r="B112" s="907" t="s">
        <v>2677</v>
      </c>
      <c r="C112" s="908">
        <v>1.35581E-2</v>
      </c>
      <c r="D112" s="908">
        <v>1.36685E-2</v>
      </c>
      <c r="E112" s="909">
        <v>20713021</v>
      </c>
      <c r="F112" s="909"/>
      <c r="G112" s="910">
        <v>1193262</v>
      </c>
      <c r="H112" s="911">
        <v>5029146</v>
      </c>
      <c r="I112" s="910">
        <v>2958106</v>
      </c>
      <c r="J112" s="909">
        <v>471609</v>
      </c>
      <c r="K112" s="911">
        <f t="shared" si="2"/>
        <v>9652123</v>
      </c>
      <c r="L112" s="909"/>
      <c r="M112" s="910">
        <v>586320</v>
      </c>
      <c r="N112" s="910">
        <v>0</v>
      </c>
      <c r="O112" s="909">
        <v>587664</v>
      </c>
      <c r="P112" s="911">
        <f t="shared" si="3"/>
        <v>1173984</v>
      </c>
      <c r="Q112" s="909"/>
      <c r="R112" s="910">
        <v>6980306</v>
      </c>
      <c r="S112" s="912">
        <v>147859</v>
      </c>
      <c r="T112" s="912">
        <v>7128165</v>
      </c>
    </row>
    <row r="113" spans="1:20" x14ac:dyDescent="0.25">
      <c r="A113" s="906">
        <v>91102</v>
      </c>
      <c r="B113" s="907" t="s">
        <v>2678</v>
      </c>
      <c r="C113" s="908">
        <v>3.2919999999999998E-4</v>
      </c>
      <c r="D113" s="908">
        <v>3.034E-4</v>
      </c>
      <c r="E113" s="909">
        <v>502926</v>
      </c>
      <c r="F113" s="909"/>
      <c r="G113" s="910">
        <v>28973</v>
      </c>
      <c r="H113" s="911">
        <v>122111</v>
      </c>
      <c r="I113" s="910">
        <v>71825</v>
      </c>
      <c r="J113" s="909">
        <v>35240</v>
      </c>
      <c r="K113" s="911">
        <f t="shared" si="2"/>
        <v>258149</v>
      </c>
      <c r="L113" s="909"/>
      <c r="M113" s="910">
        <v>14236</v>
      </c>
      <c r="N113" s="910">
        <v>0</v>
      </c>
      <c r="O113" s="909">
        <v>33978</v>
      </c>
      <c r="P113" s="911">
        <f t="shared" si="3"/>
        <v>48214</v>
      </c>
      <c r="Q113" s="909"/>
      <c r="R113" s="910">
        <v>169487</v>
      </c>
      <c r="S113" s="912">
        <v>-8323</v>
      </c>
      <c r="T113" s="912">
        <f>161163+1</f>
        <v>161164</v>
      </c>
    </row>
    <row r="114" spans="1:20" x14ac:dyDescent="0.25">
      <c r="A114" s="906">
        <v>91104</v>
      </c>
      <c r="B114" s="907" t="s">
        <v>2679</v>
      </c>
      <c r="C114" s="908">
        <v>7.9000000000000006E-6</v>
      </c>
      <c r="D114" s="908">
        <v>8.1999999999999994E-6</v>
      </c>
      <c r="E114" s="909">
        <v>12069</v>
      </c>
      <c r="F114" s="909"/>
      <c r="G114" s="910">
        <v>695</v>
      </c>
      <c r="H114" s="911">
        <v>2930</v>
      </c>
      <c r="I114" s="910">
        <v>1724</v>
      </c>
      <c r="J114" s="909">
        <v>2115</v>
      </c>
      <c r="K114" s="911">
        <f t="shared" si="2"/>
        <v>7464</v>
      </c>
      <c r="L114" s="909"/>
      <c r="M114" s="910">
        <v>342</v>
      </c>
      <c r="N114" s="910">
        <v>0</v>
      </c>
      <c r="O114" s="909">
        <v>39</v>
      </c>
      <c r="P114" s="911">
        <f t="shared" si="3"/>
        <v>381</v>
      </c>
      <c r="Q114" s="909"/>
      <c r="R114" s="910">
        <v>4067</v>
      </c>
      <c r="S114" s="912">
        <v>589</v>
      </c>
      <c r="T114" s="912">
        <v>4656</v>
      </c>
    </row>
    <row r="115" spans="1:20" x14ac:dyDescent="0.25">
      <c r="A115" s="906">
        <v>91107</v>
      </c>
      <c r="B115" s="907" t="s">
        <v>3580</v>
      </c>
      <c r="C115" s="908">
        <v>7.08E-5</v>
      </c>
      <c r="D115" s="908">
        <v>6.7899999999999997E-5</v>
      </c>
      <c r="E115" s="909">
        <v>108163</v>
      </c>
      <c r="F115" s="909"/>
      <c r="G115" s="910">
        <v>6231</v>
      </c>
      <c r="H115" s="911">
        <v>26263</v>
      </c>
      <c r="I115" s="910">
        <v>15447</v>
      </c>
      <c r="J115" s="909">
        <v>13143</v>
      </c>
      <c r="K115" s="911">
        <f t="shared" si="2"/>
        <v>61084</v>
      </c>
      <c r="L115" s="909"/>
      <c r="M115" s="910">
        <v>3062</v>
      </c>
      <c r="N115" s="910">
        <v>0</v>
      </c>
      <c r="O115" s="909">
        <v>0</v>
      </c>
      <c r="P115" s="911">
        <f t="shared" si="3"/>
        <v>3062</v>
      </c>
      <c r="Q115" s="909"/>
      <c r="R115" s="910">
        <v>36451</v>
      </c>
      <c r="S115" s="912">
        <v>5162</v>
      </c>
      <c r="T115" s="912">
        <v>41613</v>
      </c>
    </row>
    <row r="116" spans="1:20" x14ac:dyDescent="0.25">
      <c r="A116" s="906">
        <v>91108</v>
      </c>
      <c r="B116" s="907" t="s">
        <v>2681</v>
      </c>
      <c r="C116" s="908">
        <v>1.2413999999999999E-3</v>
      </c>
      <c r="D116" s="908">
        <v>1.2622E-3</v>
      </c>
      <c r="E116" s="909">
        <v>1896515</v>
      </c>
      <c r="F116" s="909"/>
      <c r="G116" s="910">
        <v>109257</v>
      </c>
      <c r="H116" s="911">
        <v>460476</v>
      </c>
      <c r="I116" s="910">
        <v>270849</v>
      </c>
      <c r="J116" s="909">
        <v>74887</v>
      </c>
      <c r="K116" s="911">
        <f t="shared" si="2"/>
        <v>915469</v>
      </c>
      <c r="L116" s="909"/>
      <c r="M116" s="910">
        <v>53684</v>
      </c>
      <c r="N116" s="910">
        <v>0</v>
      </c>
      <c r="O116" s="909">
        <v>0</v>
      </c>
      <c r="P116" s="911">
        <f t="shared" si="3"/>
        <v>53684</v>
      </c>
      <c r="Q116" s="909"/>
      <c r="R116" s="910">
        <v>639127</v>
      </c>
      <c r="S116" s="912">
        <v>34876</v>
      </c>
      <c r="T116" s="912">
        <v>674003</v>
      </c>
    </row>
    <row r="117" spans="1:20" x14ac:dyDescent="0.25">
      <c r="A117" s="906">
        <v>91109</v>
      </c>
      <c r="B117" s="907" t="s">
        <v>2682</v>
      </c>
      <c r="C117" s="908">
        <v>9.9599999999999995E-5</v>
      </c>
      <c r="D117" s="908">
        <v>9.2100000000000003E-5</v>
      </c>
      <c r="E117" s="909">
        <v>152161</v>
      </c>
      <c r="F117" s="909"/>
      <c r="G117" s="910">
        <v>8766</v>
      </c>
      <c r="H117" s="911">
        <v>36945</v>
      </c>
      <c r="I117" s="910">
        <v>21731</v>
      </c>
      <c r="J117" s="909">
        <v>5921</v>
      </c>
      <c r="K117" s="911">
        <f t="shared" si="2"/>
        <v>73363</v>
      </c>
      <c r="L117" s="909"/>
      <c r="M117" s="910">
        <v>4307</v>
      </c>
      <c r="N117" s="910">
        <v>0</v>
      </c>
      <c r="O117" s="909">
        <v>920</v>
      </c>
      <c r="P117" s="911">
        <f t="shared" si="3"/>
        <v>5227</v>
      </c>
      <c r="Q117" s="909"/>
      <c r="R117" s="910">
        <v>51278</v>
      </c>
      <c r="S117" s="912">
        <v>1215</v>
      </c>
      <c r="T117" s="912">
        <v>52493</v>
      </c>
    </row>
    <row r="118" spans="1:20" x14ac:dyDescent="0.25">
      <c r="A118" s="906">
        <v>91111</v>
      </c>
      <c r="B118" s="907" t="s">
        <v>2683</v>
      </c>
      <c r="C118" s="908">
        <v>2.2719999999999999E-4</v>
      </c>
      <c r="D118" s="908">
        <v>2.2359999999999999E-4</v>
      </c>
      <c r="E118" s="909">
        <v>347099</v>
      </c>
      <c r="F118" s="909"/>
      <c r="G118" s="910">
        <v>19996</v>
      </c>
      <c r="H118" s="911">
        <v>84276</v>
      </c>
      <c r="I118" s="910">
        <v>49570</v>
      </c>
      <c r="J118" s="909">
        <v>25492</v>
      </c>
      <c r="K118" s="911">
        <f t="shared" si="2"/>
        <v>179334</v>
      </c>
      <c r="L118" s="909"/>
      <c r="M118" s="910">
        <v>9825</v>
      </c>
      <c r="N118" s="910">
        <v>0</v>
      </c>
      <c r="O118" s="909">
        <v>0</v>
      </c>
      <c r="P118" s="911">
        <f t="shared" si="3"/>
        <v>9825</v>
      </c>
      <c r="Q118" s="909"/>
      <c r="R118" s="910">
        <v>116973</v>
      </c>
      <c r="S118" s="912">
        <v>10793</v>
      </c>
      <c r="T118" s="912">
        <v>127766</v>
      </c>
    </row>
    <row r="119" spans="1:20" x14ac:dyDescent="0.25">
      <c r="A119" s="906">
        <v>91119</v>
      </c>
      <c r="B119" s="907" t="s">
        <v>1279</v>
      </c>
      <c r="C119" s="908">
        <v>0</v>
      </c>
      <c r="D119" s="908">
        <v>0</v>
      </c>
      <c r="E119" s="909">
        <v>0</v>
      </c>
      <c r="F119" s="909"/>
      <c r="G119" s="910">
        <v>0</v>
      </c>
      <c r="H119" s="911">
        <v>0</v>
      </c>
      <c r="I119" s="910">
        <v>0</v>
      </c>
      <c r="J119" s="909">
        <v>0</v>
      </c>
      <c r="K119" s="911">
        <f t="shared" si="2"/>
        <v>0</v>
      </c>
      <c r="L119" s="909"/>
      <c r="M119" s="910">
        <v>0</v>
      </c>
      <c r="N119" s="910">
        <v>0</v>
      </c>
      <c r="O119" s="909">
        <v>321091</v>
      </c>
      <c r="P119" s="911">
        <f t="shared" si="3"/>
        <v>321091</v>
      </c>
      <c r="Q119" s="909"/>
      <c r="R119" s="910">
        <v>0</v>
      </c>
      <c r="S119" s="912">
        <v>-324334</v>
      </c>
      <c r="T119" s="912">
        <v>-324334</v>
      </c>
    </row>
    <row r="120" spans="1:20" x14ac:dyDescent="0.25">
      <c r="A120" s="906">
        <v>91120</v>
      </c>
      <c r="B120" s="907" t="s">
        <v>2684</v>
      </c>
      <c r="C120" s="908">
        <v>1.3019999999999999E-4</v>
      </c>
      <c r="D120" s="908">
        <v>1.184E-4</v>
      </c>
      <c r="E120" s="909">
        <v>198910</v>
      </c>
      <c r="F120" s="909"/>
      <c r="G120" s="910">
        <v>11459</v>
      </c>
      <c r="H120" s="911">
        <v>48295</v>
      </c>
      <c r="I120" s="910">
        <v>28407</v>
      </c>
      <c r="J120" s="909">
        <v>0</v>
      </c>
      <c r="K120" s="911">
        <f t="shared" si="2"/>
        <v>88161</v>
      </c>
      <c r="L120" s="909"/>
      <c r="M120" s="910">
        <v>5630</v>
      </c>
      <c r="N120" s="910">
        <v>0</v>
      </c>
      <c r="O120" s="909">
        <v>21939</v>
      </c>
      <c r="P120" s="911">
        <f t="shared" si="3"/>
        <v>27569</v>
      </c>
      <c r="Q120" s="909"/>
      <c r="R120" s="910">
        <v>67033</v>
      </c>
      <c r="S120" s="912">
        <v>-12131</v>
      </c>
      <c r="T120" s="912">
        <v>54902</v>
      </c>
    </row>
    <row r="121" spans="1:20" x14ac:dyDescent="0.25">
      <c r="A121" s="906">
        <v>91121</v>
      </c>
      <c r="B121" s="907" t="s">
        <v>2685</v>
      </c>
      <c r="C121" s="908">
        <v>9.9927999999999996E-3</v>
      </c>
      <c r="D121" s="908">
        <v>9.7842999999999992E-3</v>
      </c>
      <c r="E121" s="909">
        <v>15266230</v>
      </c>
      <c r="F121" s="909"/>
      <c r="G121" s="910">
        <v>879476</v>
      </c>
      <c r="H121" s="911">
        <v>3706660</v>
      </c>
      <c r="I121" s="910">
        <v>2180229</v>
      </c>
      <c r="J121" s="909">
        <v>0</v>
      </c>
      <c r="K121" s="911">
        <f t="shared" si="2"/>
        <v>6766365</v>
      </c>
      <c r="L121" s="909"/>
      <c r="M121" s="910">
        <v>432139</v>
      </c>
      <c r="N121" s="910">
        <v>0</v>
      </c>
      <c r="O121" s="909">
        <v>650994</v>
      </c>
      <c r="P121" s="911">
        <f t="shared" si="3"/>
        <v>1083133</v>
      </c>
      <c r="Q121" s="909"/>
      <c r="R121" s="910">
        <v>5144733</v>
      </c>
      <c r="S121" s="912">
        <v>-324255</v>
      </c>
      <c r="T121" s="912">
        <f>4820479-1</f>
        <v>4820478</v>
      </c>
    </row>
    <row r="122" spans="1:20" x14ac:dyDescent="0.25">
      <c r="A122" s="906">
        <v>91127</v>
      </c>
      <c r="B122" s="907" t="s">
        <v>2686</v>
      </c>
      <c r="C122" s="908">
        <v>2.6879999999999997E-4</v>
      </c>
      <c r="D122" s="908">
        <v>2.8229999999999998E-4</v>
      </c>
      <c r="E122" s="909">
        <v>410652</v>
      </c>
      <c r="F122" s="909"/>
      <c r="G122" s="910">
        <v>23657</v>
      </c>
      <c r="H122" s="911">
        <v>99706</v>
      </c>
      <c r="I122" s="910">
        <v>58647</v>
      </c>
      <c r="J122" s="909">
        <v>46863</v>
      </c>
      <c r="K122" s="911">
        <f t="shared" si="2"/>
        <v>228873</v>
      </c>
      <c r="L122" s="909"/>
      <c r="M122" s="910">
        <v>11624</v>
      </c>
      <c r="N122" s="910">
        <v>0</v>
      </c>
      <c r="O122" s="909">
        <v>0</v>
      </c>
      <c r="P122" s="911">
        <f t="shared" si="3"/>
        <v>11624</v>
      </c>
      <c r="Q122" s="909"/>
      <c r="R122" s="910">
        <v>138390</v>
      </c>
      <c r="S122" s="912">
        <v>25061</v>
      </c>
      <c r="T122" s="912">
        <v>163451</v>
      </c>
    </row>
    <row r="123" spans="1:20" x14ac:dyDescent="0.25">
      <c r="A123" s="906">
        <v>91128</v>
      </c>
      <c r="B123" s="907" t="s">
        <v>2687</v>
      </c>
      <c r="C123" s="908">
        <v>5.2380000000000005E-4</v>
      </c>
      <c r="D123" s="908">
        <v>5.0929999999999997E-4</v>
      </c>
      <c r="E123" s="909">
        <v>800221</v>
      </c>
      <c r="F123" s="909"/>
      <c r="G123" s="910">
        <v>46100</v>
      </c>
      <c r="H123" s="911">
        <v>194295</v>
      </c>
      <c r="I123" s="910">
        <v>114283</v>
      </c>
      <c r="J123" s="909">
        <v>15169</v>
      </c>
      <c r="K123" s="911">
        <f t="shared" si="2"/>
        <v>369847</v>
      </c>
      <c r="L123" s="909"/>
      <c r="M123" s="910">
        <v>22652</v>
      </c>
      <c r="N123" s="910">
        <v>0</v>
      </c>
      <c r="O123" s="909">
        <v>6263</v>
      </c>
      <c r="P123" s="911">
        <f t="shared" si="3"/>
        <v>28915</v>
      </c>
      <c r="Q123" s="909"/>
      <c r="R123" s="910">
        <v>269675</v>
      </c>
      <c r="S123" s="912">
        <v>-679</v>
      </c>
      <c r="T123" s="912">
        <v>268996</v>
      </c>
    </row>
    <row r="124" spans="1:20" x14ac:dyDescent="0.25">
      <c r="A124" s="906">
        <v>91138</v>
      </c>
      <c r="B124" s="907" t="s">
        <v>2688</v>
      </c>
      <c r="C124" s="908">
        <v>6.2629999999999999E-4</v>
      </c>
      <c r="D124" s="908">
        <v>6.2350000000000003E-4</v>
      </c>
      <c r="E124" s="909">
        <v>956813</v>
      </c>
      <c r="F124" s="909"/>
      <c r="G124" s="910">
        <v>55121</v>
      </c>
      <c r="H124" s="911">
        <v>232316</v>
      </c>
      <c r="I124" s="910">
        <v>136646</v>
      </c>
      <c r="J124" s="909">
        <v>0</v>
      </c>
      <c r="K124" s="911">
        <f t="shared" si="2"/>
        <v>424083</v>
      </c>
      <c r="L124" s="909"/>
      <c r="M124" s="910">
        <v>27084</v>
      </c>
      <c r="N124" s="910">
        <v>0</v>
      </c>
      <c r="O124" s="909">
        <v>127984</v>
      </c>
      <c r="P124" s="911">
        <f t="shared" si="3"/>
        <v>155068</v>
      </c>
      <c r="Q124" s="909"/>
      <c r="R124" s="910">
        <v>322447</v>
      </c>
      <c r="S124" s="912">
        <v>-48531</v>
      </c>
      <c r="T124" s="912">
        <v>273916</v>
      </c>
    </row>
    <row r="125" spans="1:20" x14ac:dyDescent="0.25">
      <c r="A125" s="906">
        <v>91141</v>
      </c>
      <c r="B125" s="907" t="s">
        <v>2689</v>
      </c>
      <c r="C125" s="908">
        <v>5.7569999999999995E-4</v>
      </c>
      <c r="D125" s="908">
        <v>5.5679999999999998E-4</v>
      </c>
      <c r="E125" s="909">
        <v>879510</v>
      </c>
      <c r="F125" s="909"/>
      <c r="G125" s="910">
        <v>50668</v>
      </c>
      <c r="H125" s="911">
        <v>213546</v>
      </c>
      <c r="I125" s="910">
        <v>125606</v>
      </c>
      <c r="J125" s="909">
        <v>0</v>
      </c>
      <c r="K125" s="911">
        <f t="shared" si="2"/>
        <v>389820</v>
      </c>
      <c r="L125" s="909"/>
      <c r="M125" s="910">
        <v>24896</v>
      </c>
      <c r="N125" s="910">
        <v>0</v>
      </c>
      <c r="O125" s="909">
        <v>80393</v>
      </c>
      <c r="P125" s="911">
        <f t="shared" si="3"/>
        <v>105289</v>
      </c>
      <c r="Q125" s="909"/>
      <c r="R125" s="910">
        <v>296396</v>
      </c>
      <c r="S125" s="912">
        <v>-38126</v>
      </c>
      <c r="T125" s="912">
        <v>258270</v>
      </c>
    </row>
    <row r="126" spans="1:20" x14ac:dyDescent="0.25">
      <c r="A126" s="906">
        <v>91147</v>
      </c>
      <c r="B126" s="907" t="s">
        <v>2690</v>
      </c>
      <c r="C126" s="908">
        <v>2.6699999999999998E-5</v>
      </c>
      <c r="D126" s="908">
        <v>2.4199999999999999E-5</v>
      </c>
      <c r="E126" s="909">
        <v>40790</v>
      </c>
      <c r="F126" s="909"/>
      <c r="G126" s="910">
        <v>2350</v>
      </c>
      <c r="H126" s="911">
        <v>9904</v>
      </c>
      <c r="I126" s="910">
        <v>5825</v>
      </c>
      <c r="J126" s="909">
        <v>8489</v>
      </c>
      <c r="K126" s="911">
        <f t="shared" si="2"/>
        <v>26568</v>
      </c>
      <c r="L126" s="909"/>
      <c r="M126" s="910">
        <v>1155</v>
      </c>
      <c r="N126" s="910">
        <v>0</v>
      </c>
      <c r="O126" s="909">
        <v>0</v>
      </c>
      <c r="P126" s="911">
        <f t="shared" si="3"/>
        <v>1155</v>
      </c>
      <c r="Q126" s="909"/>
      <c r="R126" s="910">
        <v>13746</v>
      </c>
      <c r="S126" s="912">
        <v>4333</v>
      </c>
      <c r="T126" s="912">
        <f>18080-1</f>
        <v>18079</v>
      </c>
    </row>
    <row r="127" spans="1:20" x14ac:dyDescent="0.25">
      <c r="A127" s="906">
        <v>91151</v>
      </c>
      <c r="B127" s="907" t="s">
        <v>2691</v>
      </c>
      <c r="C127" s="908">
        <v>6.3409999999999996E-4</v>
      </c>
      <c r="D127" s="908">
        <v>6.1180000000000002E-4</v>
      </c>
      <c r="E127" s="909">
        <v>968729</v>
      </c>
      <c r="F127" s="909"/>
      <c r="G127" s="910">
        <v>55808</v>
      </c>
      <c r="H127" s="911">
        <v>235208</v>
      </c>
      <c r="I127" s="910">
        <v>138348</v>
      </c>
      <c r="J127" s="909">
        <v>6907</v>
      </c>
      <c r="K127" s="911">
        <f t="shared" si="2"/>
        <v>436271</v>
      </c>
      <c r="L127" s="909"/>
      <c r="M127" s="910">
        <v>27422</v>
      </c>
      <c r="N127" s="910">
        <v>0</v>
      </c>
      <c r="O127" s="909">
        <v>49311</v>
      </c>
      <c r="P127" s="911">
        <f t="shared" si="3"/>
        <v>76733</v>
      </c>
      <c r="Q127" s="909"/>
      <c r="R127" s="910">
        <v>326463</v>
      </c>
      <c r="S127" s="912">
        <v>-15290</v>
      </c>
      <c r="T127" s="912">
        <f>311172+1</f>
        <v>311173</v>
      </c>
    </row>
    <row r="128" spans="1:20" x14ac:dyDescent="0.25">
      <c r="A128" s="906">
        <v>91154</v>
      </c>
      <c r="B128" s="907" t="s">
        <v>2692</v>
      </c>
      <c r="C128" s="908">
        <v>2.6299999999999999E-5</v>
      </c>
      <c r="D128" s="908">
        <v>1.9599999999999999E-5</v>
      </c>
      <c r="E128" s="909">
        <v>40179</v>
      </c>
      <c r="F128" s="909"/>
      <c r="G128" s="910">
        <v>2315</v>
      </c>
      <c r="H128" s="911">
        <v>9756</v>
      </c>
      <c r="I128" s="910">
        <v>5738</v>
      </c>
      <c r="J128" s="909">
        <v>7326</v>
      </c>
      <c r="K128" s="911">
        <f t="shared" si="2"/>
        <v>25135</v>
      </c>
      <c r="L128" s="909"/>
      <c r="M128" s="910">
        <v>1137</v>
      </c>
      <c r="N128" s="910">
        <v>0</v>
      </c>
      <c r="O128" s="909">
        <v>0</v>
      </c>
      <c r="P128" s="911">
        <f t="shared" si="3"/>
        <v>1137</v>
      </c>
      <c r="Q128" s="909"/>
      <c r="R128" s="910">
        <v>13540</v>
      </c>
      <c r="S128" s="912">
        <v>2962</v>
      </c>
      <c r="T128" s="912">
        <f>16503-1</f>
        <v>16502</v>
      </c>
    </row>
    <row r="129" spans="1:20" x14ac:dyDescent="0.25">
      <c r="A129" s="906">
        <v>91161</v>
      </c>
      <c r="B129" s="907" t="s">
        <v>2693</v>
      </c>
      <c r="C129" s="908">
        <v>9.2600000000000001E-5</v>
      </c>
      <c r="D129" s="908">
        <v>9.4599999999999996E-5</v>
      </c>
      <c r="E129" s="909">
        <v>141467</v>
      </c>
      <c r="F129" s="909"/>
      <c r="G129" s="910">
        <v>8150</v>
      </c>
      <c r="H129" s="911">
        <v>34348</v>
      </c>
      <c r="I129" s="910">
        <v>20203</v>
      </c>
      <c r="J129" s="909">
        <v>5327</v>
      </c>
      <c r="K129" s="911">
        <f t="shared" si="2"/>
        <v>68028</v>
      </c>
      <c r="L129" s="909"/>
      <c r="M129" s="910">
        <v>4004</v>
      </c>
      <c r="N129" s="910">
        <v>0</v>
      </c>
      <c r="O129" s="909">
        <v>3079</v>
      </c>
      <c r="P129" s="911">
        <f t="shared" si="3"/>
        <v>7083</v>
      </c>
      <c r="Q129" s="909"/>
      <c r="R129" s="910">
        <v>47675</v>
      </c>
      <c r="S129" s="912">
        <v>935</v>
      </c>
      <c r="T129" s="912">
        <v>48610</v>
      </c>
    </row>
    <row r="130" spans="1:20" x14ac:dyDescent="0.25">
      <c r="A130" s="906">
        <v>91171</v>
      </c>
      <c r="B130" s="907" t="s">
        <v>2694</v>
      </c>
      <c r="C130" s="908">
        <v>1.95E-4</v>
      </c>
      <c r="D130" s="908">
        <v>2.5589999999999999E-4</v>
      </c>
      <c r="E130" s="909">
        <v>297906</v>
      </c>
      <c r="F130" s="909"/>
      <c r="G130" s="910">
        <v>17162</v>
      </c>
      <c r="H130" s="911">
        <v>72331</v>
      </c>
      <c r="I130" s="910">
        <v>42545</v>
      </c>
      <c r="J130" s="909">
        <v>0</v>
      </c>
      <c r="K130" s="911">
        <f t="shared" si="2"/>
        <v>132038</v>
      </c>
      <c r="L130" s="909"/>
      <c r="M130" s="910">
        <v>8433</v>
      </c>
      <c r="N130" s="910">
        <v>0</v>
      </c>
      <c r="O130" s="909">
        <v>58020</v>
      </c>
      <c r="P130" s="911">
        <f t="shared" si="3"/>
        <v>66453</v>
      </c>
      <c r="Q130" s="909"/>
      <c r="R130" s="910">
        <v>100395</v>
      </c>
      <c r="S130" s="912">
        <v>-21400</v>
      </c>
      <c r="T130" s="912">
        <f>78994+1</f>
        <v>78995</v>
      </c>
    </row>
    <row r="131" spans="1:20" x14ac:dyDescent="0.25">
      <c r="A131" s="906">
        <v>91201</v>
      </c>
      <c r="B131" s="907" t="s">
        <v>2695</v>
      </c>
      <c r="C131" s="908">
        <v>2.2878E-3</v>
      </c>
      <c r="D131" s="908">
        <v>2.3127999999999998E-3</v>
      </c>
      <c r="E131" s="909">
        <v>3495125</v>
      </c>
      <c r="F131" s="909"/>
      <c r="G131" s="910">
        <v>201352</v>
      </c>
      <c r="H131" s="911">
        <v>848620</v>
      </c>
      <c r="I131" s="910">
        <v>499152</v>
      </c>
      <c r="J131" s="909">
        <v>40348</v>
      </c>
      <c r="K131" s="911">
        <f t="shared" si="2"/>
        <v>1589472</v>
      </c>
      <c r="L131" s="909"/>
      <c r="M131" s="910">
        <v>98936</v>
      </c>
      <c r="N131" s="910">
        <v>0</v>
      </c>
      <c r="O131" s="909">
        <v>96428</v>
      </c>
      <c r="P131" s="911">
        <f t="shared" si="3"/>
        <v>195364</v>
      </c>
      <c r="Q131" s="909"/>
      <c r="R131" s="910">
        <v>1177860</v>
      </c>
      <c r="S131" s="912">
        <v>-568</v>
      </c>
      <c r="T131" s="912">
        <v>1177292</v>
      </c>
    </row>
    <row r="132" spans="1:20" x14ac:dyDescent="0.25">
      <c r="A132" s="906">
        <v>91202</v>
      </c>
      <c r="B132" s="907" t="s">
        <v>2696</v>
      </c>
      <c r="C132" s="908">
        <v>1.9330000000000001E-4</v>
      </c>
      <c r="D132" s="908">
        <v>1.897E-4</v>
      </c>
      <c r="E132" s="909">
        <v>295309</v>
      </c>
      <c r="F132" s="909"/>
      <c r="G132" s="910">
        <v>17013</v>
      </c>
      <c r="H132" s="911">
        <v>71701</v>
      </c>
      <c r="I132" s="910">
        <v>42174</v>
      </c>
      <c r="J132" s="909">
        <v>27893</v>
      </c>
      <c r="K132" s="911">
        <f t="shared" si="2"/>
        <v>158781</v>
      </c>
      <c r="L132" s="909"/>
      <c r="M132" s="910">
        <v>8359</v>
      </c>
      <c r="N132" s="910">
        <v>0</v>
      </c>
      <c r="O132" s="909">
        <v>0</v>
      </c>
      <c r="P132" s="911">
        <f t="shared" si="3"/>
        <v>8359</v>
      </c>
      <c r="Q132" s="909"/>
      <c r="R132" s="910">
        <v>99519</v>
      </c>
      <c r="S132" s="912">
        <v>12367</v>
      </c>
      <c r="T132" s="912">
        <v>111886</v>
      </c>
    </row>
    <row r="133" spans="1:20" x14ac:dyDescent="0.25">
      <c r="A133" s="906">
        <v>91203</v>
      </c>
      <c r="B133" s="907" t="s">
        <v>2697</v>
      </c>
      <c r="C133" s="908">
        <v>2.1939999999999999E-4</v>
      </c>
      <c r="D133" s="908">
        <v>2.4479999999999999E-4</v>
      </c>
      <c r="E133" s="909">
        <v>335182</v>
      </c>
      <c r="F133" s="909"/>
      <c r="G133" s="910">
        <v>19310</v>
      </c>
      <c r="H133" s="911">
        <v>81383</v>
      </c>
      <c r="I133" s="910">
        <v>47869</v>
      </c>
      <c r="J133" s="909">
        <v>25236</v>
      </c>
      <c r="K133" s="911">
        <f t="shared" si="2"/>
        <v>173798</v>
      </c>
      <c r="L133" s="909"/>
      <c r="M133" s="910">
        <v>9488</v>
      </c>
      <c r="N133" s="910">
        <v>0</v>
      </c>
      <c r="O133" s="909">
        <v>0</v>
      </c>
      <c r="P133" s="911">
        <f t="shared" si="3"/>
        <v>9488</v>
      </c>
      <c r="Q133" s="909"/>
      <c r="R133" s="910">
        <v>112957</v>
      </c>
      <c r="S133" s="912">
        <v>12508</v>
      </c>
      <c r="T133" s="912">
        <f>125464+1</f>
        <v>125465</v>
      </c>
    </row>
    <row r="134" spans="1:20" x14ac:dyDescent="0.25">
      <c r="A134" s="906">
        <v>91206</v>
      </c>
      <c r="B134" s="907" t="s">
        <v>2698</v>
      </c>
      <c r="C134" s="908">
        <v>8.6450000000000003E-4</v>
      </c>
      <c r="D134" s="908">
        <v>8.2129999999999996E-4</v>
      </c>
      <c r="E134" s="909">
        <v>1320717</v>
      </c>
      <c r="F134" s="909"/>
      <c r="G134" s="910">
        <v>76086</v>
      </c>
      <c r="H134" s="911">
        <v>320672</v>
      </c>
      <c r="I134" s="910">
        <v>188617</v>
      </c>
      <c r="J134" s="909">
        <v>32943</v>
      </c>
      <c r="K134" s="911">
        <f t="shared" si="2"/>
        <v>618318</v>
      </c>
      <c r="L134" s="909"/>
      <c r="M134" s="910">
        <v>37385</v>
      </c>
      <c r="N134" s="910">
        <v>0</v>
      </c>
      <c r="O134" s="909">
        <v>1131</v>
      </c>
      <c r="P134" s="911">
        <f t="shared" si="3"/>
        <v>38516</v>
      </c>
      <c r="Q134" s="909"/>
      <c r="R134" s="910">
        <v>445083</v>
      </c>
      <c r="S134" s="912">
        <v>15708</v>
      </c>
      <c r="T134" s="912">
        <v>460791</v>
      </c>
    </row>
    <row r="135" spans="1:20" x14ac:dyDescent="0.25">
      <c r="A135" s="906">
        <v>91208</v>
      </c>
      <c r="B135" s="907" t="s">
        <v>2699</v>
      </c>
      <c r="C135" s="908">
        <v>1.42E-5</v>
      </c>
      <c r="D135" s="908">
        <v>1.3699999999999999E-5</v>
      </c>
      <c r="E135" s="909">
        <v>21694</v>
      </c>
      <c r="F135" s="909"/>
      <c r="G135" s="910">
        <v>1250</v>
      </c>
      <c r="H135" s="911">
        <v>5267</v>
      </c>
      <c r="I135" s="910">
        <v>3098</v>
      </c>
      <c r="J135" s="909">
        <v>3961</v>
      </c>
      <c r="K135" s="911">
        <f t="shared" ref="K135:K198" si="4">G135+H135+I135+J135</f>
        <v>13576</v>
      </c>
      <c r="L135" s="909"/>
      <c r="M135" s="910">
        <v>614</v>
      </c>
      <c r="N135" s="910">
        <v>0</v>
      </c>
      <c r="O135" s="909">
        <v>0</v>
      </c>
      <c r="P135" s="911">
        <f t="shared" ref="P135:P198" si="5">M135+N135+O135</f>
        <v>614</v>
      </c>
      <c r="Q135" s="909"/>
      <c r="R135" s="910">
        <v>7311</v>
      </c>
      <c r="S135" s="912">
        <v>3460</v>
      </c>
      <c r="T135" s="912">
        <v>10771</v>
      </c>
    </row>
    <row r="136" spans="1:20" x14ac:dyDescent="0.25">
      <c r="A136" s="906">
        <v>91211</v>
      </c>
      <c r="B136" s="907" t="s">
        <v>2700</v>
      </c>
      <c r="C136" s="908">
        <v>4.5530000000000001E-4</v>
      </c>
      <c r="D136" s="908">
        <v>4.6789999999999999E-4</v>
      </c>
      <c r="E136" s="909">
        <v>695572</v>
      </c>
      <c r="F136" s="909"/>
      <c r="G136" s="910">
        <v>40071</v>
      </c>
      <c r="H136" s="911">
        <v>168886</v>
      </c>
      <c r="I136" s="910">
        <v>99337</v>
      </c>
      <c r="J136" s="909">
        <v>6745</v>
      </c>
      <c r="K136" s="911">
        <f t="shared" si="4"/>
        <v>315039</v>
      </c>
      <c r="L136" s="909"/>
      <c r="M136" s="910">
        <v>19689</v>
      </c>
      <c r="N136" s="910">
        <v>0</v>
      </c>
      <c r="O136" s="909">
        <v>3315</v>
      </c>
      <c r="P136" s="911">
        <f t="shared" si="5"/>
        <v>23004</v>
      </c>
      <c r="Q136" s="909"/>
      <c r="R136" s="910">
        <v>234408</v>
      </c>
      <c r="S136" s="912">
        <v>1355</v>
      </c>
      <c r="T136" s="912">
        <v>235763</v>
      </c>
    </row>
    <row r="137" spans="1:20" x14ac:dyDescent="0.25">
      <c r="A137" s="906">
        <v>91213</v>
      </c>
      <c r="B137" s="907" t="s">
        <v>2701</v>
      </c>
      <c r="C137" s="908">
        <v>3.2499999999999997E-5</v>
      </c>
      <c r="D137" s="908">
        <v>3.57E-5</v>
      </c>
      <c r="E137" s="909">
        <v>49651</v>
      </c>
      <c r="F137" s="909"/>
      <c r="G137" s="910">
        <v>2860</v>
      </c>
      <c r="H137" s="911">
        <v>12056</v>
      </c>
      <c r="I137" s="910">
        <v>7091</v>
      </c>
      <c r="J137" s="909">
        <v>0</v>
      </c>
      <c r="K137" s="911">
        <f t="shared" si="4"/>
        <v>22007</v>
      </c>
      <c r="L137" s="909"/>
      <c r="M137" s="910">
        <v>1405</v>
      </c>
      <c r="N137" s="910">
        <v>0</v>
      </c>
      <c r="O137" s="909">
        <v>7680</v>
      </c>
      <c r="P137" s="911">
        <f t="shared" si="5"/>
        <v>9085</v>
      </c>
      <c r="Q137" s="909"/>
      <c r="R137" s="910">
        <v>16732</v>
      </c>
      <c r="S137" s="912">
        <v>-2660</v>
      </c>
      <c r="T137" s="912">
        <v>14072</v>
      </c>
    </row>
    <row r="138" spans="1:20" x14ac:dyDescent="0.25">
      <c r="A138" s="906">
        <v>91214</v>
      </c>
      <c r="B138" s="907" t="s">
        <v>2702</v>
      </c>
      <c r="C138" s="908">
        <v>2.9300000000000001E-5</v>
      </c>
      <c r="D138" s="908">
        <v>2.8200000000000001E-5</v>
      </c>
      <c r="E138" s="909">
        <v>44762</v>
      </c>
      <c r="F138" s="909"/>
      <c r="G138" s="910">
        <v>2579</v>
      </c>
      <c r="H138" s="911">
        <v>10868</v>
      </c>
      <c r="I138" s="910">
        <v>6393</v>
      </c>
      <c r="J138" s="909">
        <v>1300</v>
      </c>
      <c r="K138" s="911">
        <f t="shared" si="4"/>
        <v>21140</v>
      </c>
      <c r="L138" s="909"/>
      <c r="M138" s="910">
        <v>1267</v>
      </c>
      <c r="N138" s="910">
        <v>0</v>
      </c>
      <c r="O138" s="909">
        <v>3669</v>
      </c>
      <c r="P138" s="911">
        <f t="shared" si="5"/>
        <v>4936</v>
      </c>
      <c r="Q138" s="909"/>
      <c r="R138" s="910">
        <v>15085</v>
      </c>
      <c r="S138" s="912">
        <v>-283</v>
      </c>
      <c r="T138" s="912">
        <v>14802</v>
      </c>
    </row>
    <row r="139" spans="1:20" x14ac:dyDescent="0.25">
      <c r="A139" s="906">
        <v>91217</v>
      </c>
      <c r="B139" s="907" t="s">
        <v>2703</v>
      </c>
      <c r="C139" s="908">
        <v>2.8799999999999999E-5</v>
      </c>
      <c r="D139" s="908">
        <v>2.6699999999999998E-5</v>
      </c>
      <c r="E139" s="909">
        <v>43998</v>
      </c>
      <c r="F139" s="909"/>
      <c r="G139" s="910">
        <v>2535</v>
      </c>
      <c r="H139" s="911">
        <v>10683</v>
      </c>
      <c r="I139" s="910">
        <v>6284</v>
      </c>
      <c r="J139" s="909">
        <v>10784</v>
      </c>
      <c r="K139" s="911">
        <f t="shared" si="4"/>
        <v>30286</v>
      </c>
      <c r="L139" s="909"/>
      <c r="M139" s="910">
        <v>1245</v>
      </c>
      <c r="N139" s="910">
        <v>0</v>
      </c>
      <c r="O139" s="909">
        <v>0</v>
      </c>
      <c r="P139" s="911">
        <f t="shared" si="5"/>
        <v>1245</v>
      </c>
      <c r="Q139" s="909"/>
      <c r="R139" s="910">
        <v>14828</v>
      </c>
      <c r="S139" s="912">
        <v>4311</v>
      </c>
      <c r="T139" s="912">
        <v>19139</v>
      </c>
    </row>
    <row r="140" spans="1:20" x14ac:dyDescent="0.25">
      <c r="A140" s="906">
        <v>91221</v>
      </c>
      <c r="B140" s="907" t="s">
        <v>2704</v>
      </c>
      <c r="C140" s="908">
        <v>1.3359999999999999E-4</v>
      </c>
      <c r="D140" s="908">
        <v>1.294E-4</v>
      </c>
      <c r="E140" s="909">
        <v>204104</v>
      </c>
      <c r="F140" s="909"/>
      <c r="G140" s="910">
        <v>11758</v>
      </c>
      <c r="H140" s="911">
        <v>49557</v>
      </c>
      <c r="I140" s="910">
        <v>29149</v>
      </c>
      <c r="J140" s="909">
        <v>5038</v>
      </c>
      <c r="K140" s="911">
        <f t="shared" si="4"/>
        <v>95502</v>
      </c>
      <c r="L140" s="909"/>
      <c r="M140" s="910">
        <v>5778</v>
      </c>
      <c r="N140" s="910">
        <v>0</v>
      </c>
      <c r="O140" s="909">
        <v>7113</v>
      </c>
      <c r="P140" s="911">
        <f t="shared" si="5"/>
        <v>12891</v>
      </c>
      <c r="Q140" s="909"/>
      <c r="R140" s="910">
        <v>68783</v>
      </c>
      <c r="S140" s="912">
        <v>1397</v>
      </c>
      <c r="T140" s="912">
        <v>70180</v>
      </c>
    </row>
    <row r="141" spans="1:20" x14ac:dyDescent="0.25">
      <c r="A141" s="906">
        <v>91231</v>
      </c>
      <c r="B141" s="907" t="s">
        <v>2705</v>
      </c>
      <c r="C141" s="908">
        <v>1.8856000000000001E-3</v>
      </c>
      <c r="D141" s="908">
        <v>1.9957E-3</v>
      </c>
      <c r="E141" s="909">
        <v>2880674</v>
      </c>
      <c r="F141" s="909"/>
      <c r="G141" s="910">
        <v>165954</v>
      </c>
      <c r="H141" s="911">
        <v>699431</v>
      </c>
      <c r="I141" s="910">
        <v>411400</v>
      </c>
      <c r="J141" s="909">
        <v>10587</v>
      </c>
      <c r="K141" s="911">
        <f t="shared" si="4"/>
        <v>1287372</v>
      </c>
      <c r="L141" s="909"/>
      <c r="M141" s="910">
        <v>81543</v>
      </c>
      <c r="N141" s="910">
        <v>0</v>
      </c>
      <c r="O141" s="909">
        <v>132995</v>
      </c>
      <c r="P141" s="911">
        <f t="shared" si="5"/>
        <v>214538</v>
      </c>
      <c r="Q141" s="909"/>
      <c r="R141" s="910">
        <v>970790</v>
      </c>
      <c r="S141" s="912">
        <v>-32073</v>
      </c>
      <c r="T141" s="912">
        <v>938717</v>
      </c>
    </row>
    <row r="142" spans="1:20" x14ac:dyDescent="0.25">
      <c r="A142" s="906">
        <v>91233</v>
      </c>
      <c r="B142" s="907" t="s">
        <v>2706</v>
      </c>
      <c r="C142" s="908">
        <v>5.8100000000000003E-5</v>
      </c>
      <c r="D142" s="908">
        <v>4.5599999999999997E-5</v>
      </c>
      <c r="E142" s="909">
        <v>88761</v>
      </c>
      <c r="F142" s="909"/>
      <c r="G142" s="910">
        <v>5113</v>
      </c>
      <c r="H142" s="911">
        <v>21551</v>
      </c>
      <c r="I142" s="910">
        <v>12676</v>
      </c>
      <c r="J142" s="909">
        <v>9544</v>
      </c>
      <c r="K142" s="911">
        <f t="shared" si="4"/>
        <v>48884</v>
      </c>
      <c r="L142" s="909"/>
      <c r="M142" s="910">
        <v>2513</v>
      </c>
      <c r="N142" s="910">
        <v>0</v>
      </c>
      <c r="O142" s="909">
        <v>117</v>
      </c>
      <c r="P142" s="911">
        <f t="shared" si="5"/>
        <v>2630</v>
      </c>
      <c r="Q142" s="909"/>
      <c r="R142" s="910">
        <v>29912</v>
      </c>
      <c r="S142" s="912">
        <v>4289</v>
      </c>
      <c r="T142" s="912">
        <f>34202-1</f>
        <v>34201</v>
      </c>
    </row>
    <row r="143" spans="1:20" x14ac:dyDescent="0.25">
      <c r="A143" s="906">
        <v>91241</v>
      </c>
      <c r="B143" s="907" t="s">
        <v>2707</v>
      </c>
      <c r="C143" s="908">
        <v>3.5500000000000002E-5</v>
      </c>
      <c r="D143" s="908">
        <v>3.68E-5</v>
      </c>
      <c r="E143" s="909">
        <v>54234</v>
      </c>
      <c r="F143" s="909"/>
      <c r="G143" s="910">
        <v>3124</v>
      </c>
      <c r="H143" s="911">
        <v>13168</v>
      </c>
      <c r="I143" s="910">
        <v>7745</v>
      </c>
      <c r="J143" s="909">
        <v>0</v>
      </c>
      <c r="K143" s="911">
        <f t="shared" si="4"/>
        <v>24037</v>
      </c>
      <c r="L143" s="909"/>
      <c r="M143" s="910">
        <v>1535</v>
      </c>
      <c r="N143" s="910">
        <v>0</v>
      </c>
      <c r="O143" s="909">
        <v>4391</v>
      </c>
      <c r="P143" s="911">
        <f t="shared" si="5"/>
        <v>5926</v>
      </c>
      <c r="Q143" s="909"/>
      <c r="R143" s="910">
        <v>18277</v>
      </c>
      <c r="S143" s="912">
        <v>-2564</v>
      </c>
      <c r="T143" s="912">
        <v>15713</v>
      </c>
    </row>
    <row r="144" spans="1:20" x14ac:dyDescent="0.25">
      <c r="A144" s="906">
        <v>91251</v>
      </c>
      <c r="B144" s="907" t="s">
        <v>2708</v>
      </c>
      <c r="C144" s="908">
        <v>1.9899999999999999E-5</v>
      </c>
      <c r="D144" s="908">
        <v>2.65E-5</v>
      </c>
      <c r="E144" s="909">
        <v>30402</v>
      </c>
      <c r="F144" s="909"/>
      <c r="G144" s="910">
        <v>1751</v>
      </c>
      <c r="H144" s="911">
        <v>7381</v>
      </c>
      <c r="I144" s="910">
        <v>4342</v>
      </c>
      <c r="J144" s="909">
        <v>2341</v>
      </c>
      <c r="K144" s="911">
        <f t="shared" si="4"/>
        <v>15815</v>
      </c>
      <c r="L144" s="909"/>
      <c r="M144" s="910">
        <v>861</v>
      </c>
      <c r="N144" s="910">
        <v>0</v>
      </c>
      <c r="O144" s="909">
        <v>3540</v>
      </c>
      <c r="P144" s="911">
        <f t="shared" si="5"/>
        <v>4401</v>
      </c>
      <c r="Q144" s="909"/>
      <c r="R144" s="910">
        <v>10245</v>
      </c>
      <c r="S144" s="912">
        <v>1340</v>
      </c>
      <c r="T144" s="912">
        <f>11586-1</f>
        <v>11585</v>
      </c>
    </row>
    <row r="145" spans="1:20" x14ac:dyDescent="0.25">
      <c r="A145" s="906">
        <v>91261</v>
      </c>
      <c r="B145" s="907" t="s">
        <v>2709</v>
      </c>
      <c r="C145" s="908">
        <v>1.03E-5</v>
      </c>
      <c r="D145" s="908">
        <v>9.5000000000000005E-6</v>
      </c>
      <c r="E145" s="909">
        <v>15736</v>
      </c>
      <c r="F145" s="909"/>
      <c r="G145" s="910">
        <v>907</v>
      </c>
      <c r="H145" s="911">
        <v>3821</v>
      </c>
      <c r="I145" s="910">
        <v>2247</v>
      </c>
      <c r="J145" s="909">
        <v>1784</v>
      </c>
      <c r="K145" s="911">
        <f t="shared" si="4"/>
        <v>8759</v>
      </c>
      <c r="L145" s="909"/>
      <c r="M145" s="910">
        <v>445</v>
      </c>
      <c r="N145" s="910">
        <v>0</v>
      </c>
      <c r="O145" s="909">
        <v>0</v>
      </c>
      <c r="P145" s="911">
        <f t="shared" si="5"/>
        <v>445</v>
      </c>
      <c r="Q145" s="909"/>
      <c r="R145" s="910">
        <v>5303</v>
      </c>
      <c r="S145" s="912">
        <v>850</v>
      </c>
      <c r="T145" s="912">
        <v>6153</v>
      </c>
    </row>
    <row r="146" spans="1:20" x14ac:dyDescent="0.25">
      <c r="A146" s="906">
        <v>91301</v>
      </c>
      <c r="B146" s="907" t="s">
        <v>2710</v>
      </c>
      <c r="C146" s="908">
        <v>7.6985999999999999E-3</v>
      </c>
      <c r="D146" s="908">
        <v>7.7765000000000004E-3</v>
      </c>
      <c r="E146" s="909">
        <v>11761328</v>
      </c>
      <c r="F146" s="909"/>
      <c r="G146" s="910">
        <v>677561</v>
      </c>
      <c r="H146" s="911">
        <v>2855665</v>
      </c>
      <c r="I146" s="910">
        <v>1679681</v>
      </c>
      <c r="J146" s="909">
        <v>19915</v>
      </c>
      <c r="K146" s="911">
        <f t="shared" si="4"/>
        <v>5232822</v>
      </c>
      <c r="L146" s="909"/>
      <c r="M146" s="910">
        <v>332926</v>
      </c>
      <c r="N146" s="910">
        <v>0</v>
      </c>
      <c r="O146" s="909">
        <v>249856</v>
      </c>
      <c r="P146" s="911">
        <f t="shared" si="5"/>
        <v>582782</v>
      </c>
      <c r="Q146" s="909"/>
      <c r="R146" s="910">
        <v>3963578</v>
      </c>
      <c r="S146" s="912">
        <v>-98741</v>
      </c>
      <c r="T146" s="912">
        <v>3864837</v>
      </c>
    </row>
    <row r="147" spans="1:20" x14ac:dyDescent="0.25">
      <c r="A147" s="913">
        <v>91302</v>
      </c>
      <c r="B147" s="907" t="s">
        <v>3581</v>
      </c>
      <c r="C147" s="908">
        <v>6.0300000000000002E-4</v>
      </c>
      <c r="D147" s="908">
        <v>5.9190000000000002E-4</v>
      </c>
      <c r="E147" s="909">
        <v>921217</v>
      </c>
      <c r="F147" s="909"/>
      <c r="G147" s="910">
        <v>53071</v>
      </c>
      <c r="H147" s="911">
        <v>223673</v>
      </c>
      <c r="I147" s="910">
        <v>131563</v>
      </c>
      <c r="J147" s="909">
        <v>32897</v>
      </c>
      <c r="K147" s="911">
        <f t="shared" si="4"/>
        <v>441204</v>
      </c>
      <c r="L147" s="909"/>
      <c r="M147" s="910">
        <v>26077</v>
      </c>
      <c r="N147" s="910">
        <v>0</v>
      </c>
      <c r="O147" s="909">
        <v>6670</v>
      </c>
      <c r="P147" s="911">
        <f t="shared" si="5"/>
        <v>32747</v>
      </c>
      <c r="Q147" s="909"/>
      <c r="R147" s="910">
        <v>310451</v>
      </c>
      <c r="S147" s="912">
        <v>18435</v>
      </c>
      <c r="T147" s="912">
        <v>328886</v>
      </c>
    </row>
    <row r="148" spans="1:20" x14ac:dyDescent="0.25">
      <c r="A148" s="913">
        <v>91306</v>
      </c>
      <c r="B148" s="907" t="s">
        <v>2712</v>
      </c>
      <c r="C148" s="908">
        <v>1.6412E-3</v>
      </c>
      <c r="D148" s="908">
        <v>1.6676E-3</v>
      </c>
      <c r="E148" s="909">
        <v>2507299</v>
      </c>
      <c r="F148" s="909"/>
      <c r="G148" s="910">
        <v>144444</v>
      </c>
      <c r="H148" s="911">
        <v>608776</v>
      </c>
      <c r="I148" s="910">
        <v>358077</v>
      </c>
      <c r="J148" s="909">
        <v>113707</v>
      </c>
      <c r="K148" s="911">
        <f t="shared" si="4"/>
        <v>1225004</v>
      </c>
      <c r="L148" s="909"/>
      <c r="M148" s="910">
        <v>70974</v>
      </c>
      <c r="N148" s="910">
        <v>0</v>
      </c>
      <c r="O148" s="909">
        <v>7101</v>
      </c>
      <c r="P148" s="911">
        <f t="shared" si="5"/>
        <v>78075</v>
      </c>
      <c r="Q148" s="909"/>
      <c r="R148" s="910">
        <v>844962</v>
      </c>
      <c r="S148" s="912">
        <v>59215</v>
      </c>
      <c r="T148" s="912">
        <v>904177</v>
      </c>
    </row>
    <row r="149" spans="1:20" x14ac:dyDescent="0.25">
      <c r="A149" s="913">
        <v>91308</v>
      </c>
      <c r="B149" s="907" t="s">
        <v>2713</v>
      </c>
      <c r="C149" s="908">
        <v>1.8009999999999999E-4</v>
      </c>
      <c r="D149" s="908">
        <v>2.05E-4</v>
      </c>
      <c r="E149" s="909">
        <v>275143</v>
      </c>
      <c r="F149" s="909"/>
      <c r="G149" s="910">
        <v>15851</v>
      </c>
      <c r="H149" s="911">
        <v>66805</v>
      </c>
      <c r="I149" s="910">
        <v>39294</v>
      </c>
      <c r="J149" s="909">
        <v>2442</v>
      </c>
      <c r="K149" s="911">
        <f t="shared" si="4"/>
        <v>124392</v>
      </c>
      <c r="L149" s="909"/>
      <c r="M149" s="910">
        <v>7788</v>
      </c>
      <c r="N149" s="910">
        <v>0</v>
      </c>
      <c r="O149" s="909">
        <v>21144</v>
      </c>
      <c r="P149" s="911">
        <f t="shared" si="5"/>
        <v>28932</v>
      </c>
      <c r="Q149" s="909"/>
      <c r="R149" s="910">
        <v>92723</v>
      </c>
      <c r="S149" s="912">
        <v>-3684</v>
      </c>
      <c r="T149" s="912">
        <f>89040-1</f>
        <v>89039</v>
      </c>
    </row>
    <row r="150" spans="1:20" x14ac:dyDescent="0.25">
      <c r="A150" s="906">
        <v>91311</v>
      </c>
      <c r="B150" s="907" t="s">
        <v>2714</v>
      </c>
      <c r="C150" s="908">
        <v>7.6685E-3</v>
      </c>
      <c r="D150" s="908">
        <v>7.6649999999999999E-3</v>
      </c>
      <c r="E150" s="909">
        <v>11715344</v>
      </c>
      <c r="F150" s="909"/>
      <c r="G150" s="910">
        <v>674912</v>
      </c>
      <c r="H150" s="911">
        <v>2844500</v>
      </c>
      <c r="I150" s="910">
        <v>1673113</v>
      </c>
      <c r="J150" s="909">
        <v>78345</v>
      </c>
      <c r="K150" s="911">
        <f t="shared" si="4"/>
        <v>5270870</v>
      </c>
      <c r="L150" s="909"/>
      <c r="M150" s="910">
        <v>331624</v>
      </c>
      <c r="N150" s="910">
        <v>0</v>
      </c>
      <c r="O150" s="909">
        <v>516736</v>
      </c>
      <c r="P150" s="911">
        <f t="shared" si="5"/>
        <v>848360</v>
      </c>
      <c r="Q150" s="909"/>
      <c r="R150" s="910">
        <v>3948081</v>
      </c>
      <c r="S150" s="912">
        <v>-187514</v>
      </c>
      <c r="T150" s="912">
        <v>3760567</v>
      </c>
    </row>
    <row r="151" spans="1:20" x14ac:dyDescent="0.25">
      <c r="A151" s="906">
        <v>91317</v>
      </c>
      <c r="B151" s="907" t="s">
        <v>2715</v>
      </c>
      <c r="C151" s="908">
        <v>1.016E-4</v>
      </c>
      <c r="D151" s="908">
        <v>9.0500000000000004E-5</v>
      </c>
      <c r="E151" s="909">
        <v>155217</v>
      </c>
      <c r="F151" s="909"/>
      <c r="G151" s="910">
        <v>8942</v>
      </c>
      <c r="H151" s="911">
        <v>37687</v>
      </c>
      <c r="I151" s="910">
        <v>22167</v>
      </c>
      <c r="J151" s="909">
        <v>13159</v>
      </c>
      <c r="K151" s="911">
        <f t="shared" si="4"/>
        <v>81955</v>
      </c>
      <c r="L151" s="909"/>
      <c r="M151" s="910">
        <v>4394</v>
      </c>
      <c r="N151" s="910">
        <v>0</v>
      </c>
      <c r="O151" s="909">
        <v>1760</v>
      </c>
      <c r="P151" s="911">
        <f t="shared" si="5"/>
        <v>6154</v>
      </c>
      <c r="Q151" s="909"/>
      <c r="R151" s="910">
        <v>52308</v>
      </c>
      <c r="S151" s="912">
        <v>2823</v>
      </c>
      <c r="T151" s="912">
        <f>55132-1</f>
        <v>55131</v>
      </c>
    </row>
    <row r="152" spans="1:20" x14ac:dyDescent="0.25">
      <c r="A152" s="906">
        <v>91321</v>
      </c>
      <c r="B152" s="907" t="s">
        <v>2716</v>
      </c>
      <c r="C152" s="908">
        <v>4.2799999999999997E-5</v>
      </c>
      <c r="D152" s="908">
        <v>4.1999999999999998E-5</v>
      </c>
      <c r="E152" s="909">
        <v>65387</v>
      </c>
      <c r="F152" s="909"/>
      <c r="G152" s="910">
        <v>3767</v>
      </c>
      <c r="H152" s="911">
        <v>15876</v>
      </c>
      <c r="I152" s="910">
        <v>9338</v>
      </c>
      <c r="J152" s="909">
        <v>18992</v>
      </c>
      <c r="K152" s="911">
        <f t="shared" si="4"/>
        <v>47973</v>
      </c>
      <c r="L152" s="909"/>
      <c r="M152" s="910">
        <v>1851</v>
      </c>
      <c r="N152" s="910">
        <v>0</v>
      </c>
      <c r="O152" s="909">
        <v>3760</v>
      </c>
      <c r="P152" s="911">
        <f t="shared" si="5"/>
        <v>5611</v>
      </c>
      <c r="Q152" s="909"/>
      <c r="R152" s="910">
        <v>22035</v>
      </c>
      <c r="S152" s="912">
        <v>3437</v>
      </c>
      <c r="T152" s="912">
        <v>25472</v>
      </c>
    </row>
    <row r="153" spans="1:20" x14ac:dyDescent="0.25">
      <c r="A153" s="906">
        <v>91327</v>
      </c>
      <c r="B153" s="907" t="s">
        <v>2717</v>
      </c>
      <c r="C153" s="908">
        <v>8.1999999999999994E-6</v>
      </c>
      <c r="D153" s="908">
        <v>1.03E-5</v>
      </c>
      <c r="E153" s="909">
        <v>12527</v>
      </c>
      <c r="F153" s="909"/>
      <c r="G153" s="910">
        <v>722</v>
      </c>
      <c r="H153" s="911">
        <v>3042</v>
      </c>
      <c r="I153" s="910">
        <v>1789</v>
      </c>
      <c r="J153" s="909">
        <v>36</v>
      </c>
      <c r="K153" s="911">
        <f t="shared" si="4"/>
        <v>5589</v>
      </c>
      <c r="L153" s="909"/>
      <c r="M153" s="910">
        <v>355</v>
      </c>
      <c r="N153" s="910">
        <v>0</v>
      </c>
      <c r="O153" s="909">
        <v>1563</v>
      </c>
      <c r="P153" s="911">
        <f t="shared" si="5"/>
        <v>1918</v>
      </c>
      <c r="Q153" s="909"/>
      <c r="R153" s="910">
        <v>4222</v>
      </c>
      <c r="S153" s="912">
        <v>-481</v>
      </c>
      <c r="T153" s="912">
        <v>3741</v>
      </c>
    </row>
    <row r="154" spans="1:20" x14ac:dyDescent="0.25">
      <c r="A154" s="906">
        <v>91331</v>
      </c>
      <c r="B154" s="907" t="s">
        <v>2718</v>
      </c>
      <c r="C154" s="908">
        <v>3.0033E-3</v>
      </c>
      <c r="D154" s="908">
        <v>2.8509999999999998E-3</v>
      </c>
      <c r="E154" s="909">
        <v>4588210</v>
      </c>
      <c r="F154" s="909"/>
      <c r="G154" s="910">
        <v>264323</v>
      </c>
      <c r="H154" s="911">
        <v>1114023</v>
      </c>
      <c r="I154" s="910">
        <v>655260</v>
      </c>
      <c r="J154" s="909">
        <v>0</v>
      </c>
      <c r="K154" s="911">
        <f t="shared" si="4"/>
        <v>2033606</v>
      </c>
      <c r="L154" s="909"/>
      <c r="M154" s="910">
        <v>129878</v>
      </c>
      <c r="N154" s="910">
        <v>0</v>
      </c>
      <c r="O154" s="909">
        <v>342951</v>
      </c>
      <c r="P154" s="911">
        <f t="shared" si="5"/>
        <v>472829</v>
      </c>
      <c r="Q154" s="909"/>
      <c r="R154" s="910">
        <v>1546231</v>
      </c>
      <c r="S154" s="912">
        <v>-176510</v>
      </c>
      <c r="T154" s="912">
        <v>1369721</v>
      </c>
    </row>
    <row r="155" spans="1:20" x14ac:dyDescent="0.25">
      <c r="A155" s="906">
        <v>91341</v>
      </c>
      <c r="B155" s="907" t="s">
        <v>2719</v>
      </c>
      <c r="C155" s="908">
        <v>2.51E-5</v>
      </c>
      <c r="D155" s="908">
        <v>1.4399999999999999E-5</v>
      </c>
      <c r="E155" s="909">
        <v>38346</v>
      </c>
      <c r="F155" s="909"/>
      <c r="G155" s="910">
        <v>2209</v>
      </c>
      <c r="H155" s="911">
        <v>9311</v>
      </c>
      <c r="I155" s="910">
        <v>5476</v>
      </c>
      <c r="J155" s="909">
        <v>5566</v>
      </c>
      <c r="K155" s="911">
        <f t="shared" si="4"/>
        <v>22562</v>
      </c>
      <c r="L155" s="909"/>
      <c r="M155" s="910">
        <v>1085</v>
      </c>
      <c r="N155" s="910">
        <v>0</v>
      </c>
      <c r="O155" s="909">
        <v>1759</v>
      </c>
      <c r="P155" s="911">
        <f t="shared" si="5"/>
        <v>2844</v>
      </c>
      <c r="Q155" s="909"/>
      <c r="R155" s="910">
        <v>12923</v>
      </c>
      <c r="S155" s="912">
        <v>939</v>
      </c>
      <c r="T155" s="912">
        <f>13861+1</f>
        <v>13862</v>
      </c>
    </row>
    <row r="156" spans="1:20" x14ac:dyDescent="0.25">
      <c r="A156" s="906">
        <v>91401</v>
      </c>
      <c r="B156" s="907" t="s">
        <v>2720</v>
      </c>
      <c r="C156" s="908">
        <v>3.5885000000000001E-3</v>
      </c>
      <c r="D156" s="908">
        <v>3.6841E-3</v>
      </c>
      <c r="E156" s="909">
        <v>5482234</v>
      </c>
      <c r="F156" s="909"/>
      <c r="G156" s="910">
        <v>315827</v>
      </c>
      <c r="H156" s="911">
        <v>1331093</v>
      </c>
      <c r="I156" s="910">
        <v>782939</v>
      </c>
      <c r="J156" s="909">
        <v>17446</v>
      </c>
      <c r="K156" s="911">
        <f t="shared" si="4"/>
        <v>2447305</v>
      </c>
      <c r="L156" s="909"/>
      <c r="M156" s="910">
        <v>155185</v>
      </c>
      <c r="N156" s="910">
        <v>0</v>
      </c>
      <c r="O156" s="909">
        <v>142927</v>
      </c>
      <c r="P156" s="911">
        <f t="shared" si="5"/>
        <v>298112</v>
      </c>
      <c r="Q156" s="909"/>
      <c r="R156" s="910">
        <v>1847518</v>
      </c>
      <c r="S156" s="912">
        <v>-23160</v>
      </c>
      <c r="T156" s="912">
        <v>1824358</v>
      </c>
    </row>
    <row r="157" spans="1:20" x14ac:dyDescent="0.25">
      <c r="A157" s="906">
        <v>91411</v>
      </c>
      <c r="B157" s="907" t="s">
        <v>2721</v>
      </c>
      <c r="C157" s="908">
        <v>3.7829999999999998E-4</v>
      </c>
      <c r="D157" s="908">
        <v>3.5379999999999998E-4</v>
      </c>
      <c r="E157" s="909">
        <v>577938</v>
      </c>
      <c r="F157" s="909"/>
      <c r="G157" s="910">
        <v>33295</v>
      </c>
      <c r="H157" s="911">
        <v>140324</v>
      </c>
      <c r="I157" s="910">
        <v>82537</v>
      </c>
      <c r="J157" s="909">
        <v>28581</v>
      </c>
      <c r="K157" s="911">
        <f t="shared" si="4"/>
        <v>284737</v>
      </c>
      <c r="L157" s="909"/>
      <c r="M157" s="910">
        <v>16360</v>
      </c>
      <c r="N157" s="910">
        <v>0</v>
      </c>
      <c r="O157" s="909">
        <v>1394</v>
      </c>
      <c r="P157" s="911">
        <f t="shared" si="5"/>
        <v>17754</v>
      </c>
      <c r="Q157" s="909"/>
      <c r="R157" s="910">
        <v>194765</v>
      </c>
      <c r="S157" s="912">
        <v>7766</v>
      </c>
      <c r="T157" s="912">
        <v>202531</v>
      </c>
    </row>
    <row r="158" spans="1:20" x14ac:dyDescent="0.25">
      <c r="A158" s="906">
        <v>91417</v>
      </c>
      <c r="B158" s="907" t="s">
        <v>2722</v>
      </c>
      <c r="C158" s="908">
        <v>9.3000000000000007E-6</v>
      </c>
      <c r="D158" s="908">
        <v>9.9000000000000001E-6</v>
      </c>
      <c r="E158" s="909">
        <v>14208</v>
      </c>
      <c r="F158" s="909"/>
      <c r="G158" s="910">
        <v>819</v>
      </c>
      <c r="H158" s="911">
        <v>3450</v>
      </c>
      <c r="I158" s="910">
        <v>2029</v>
      </c>
      <c r="J158" s="909">
        <v>2388</v>
      </c>
      <c r="K158" s="911">
        <f t="shared" si="4"/>
        <v>8686</v>
      </c>
      <c r="L158" s="909"/>
      <c r="M158" s="910">
        <v>402</v>
      </c>
      <c r="N158" s="910">
        <v>0</v>
      </c>
      <c r="O158" s="909">
        <v>0</v>
      </c>
      <c r="P158" s="911">
        <f t="shared" si="5"/>
        <v>402</v>
      </c>
      <c r="Q158" s="909"/>
      <c r="R158" s="910">
        <v>4788</v>
      </c>
      <c r="S158" s="912">
        <v>1814</v>
      </c>
      <c r="T158" s="912">
        <v>6602</v>
      </c>
    </row>
    <row r="159" spans="1:20" x14ac:dyDescent="0.25">
      <c r="A159" s="906">
        <v>91421</v>
      </c>
      <c r="B159" s="907" t="s">
        <v>2723</v>
      </c>
      <c r="C159" s="908">
        <v>6.9499999999999995E-5</v>
      </c>
      <c r="D159" s="908">
        <v>7.0400000000000004E-5</v>
      </c>
      <c r="E159" s="909">
        <v>106177</v>
      </c>
      <c r="F159" s="909"/>
      <c r="G159" s="910">
        <v>6117</v>
      </c>
      <c r="H159" s="911">
        <v>25779</v>
      </c>
      <c r="I159" s="910">
        <v>15164</v>
      </c>
      <c r="J159" s="909">
        <v>4339</v>
      </c>
      <c r="K159" s="911">
        <f t="shared" si="4"/>
        <v>51399</v>
      </c>
      <c r="L159" s="909"/>
      <c r="M159" s="910">
        <v>3006</v>
      </c>
      <c r="N159" s="910">
        <v>0</v>
      </c>
      <c r="O159" s="909">
        <v>3143</v>
      </c>
      <c r="P159" s="911">
        <f t="shared" si="5"/>
        <v>6149</v>
      </c>
      <c r="Q159" s="909"/>
      <c r="R159" s="910">
        <v>35782</v>
      </c>
      <c r="S159" s="912">
        <v>365</v>
      </c>
      <c r="T159" s="912">
        <v>36147</v>
      </c>
    </row>
    <row r="160" spans="1:20" x14ac:dyDescent="0.25">
      <c r="A160" s="906">
        <v>91423</v>
      </c>
      <c r="B160" s="907" t="s">
        <v>2724</v>
      </c>
      <c r="C160" s="908">
        <v>5.38E-5</v>
      </c>
      <c r="D160" s="908">
        <v>3.8699999999999999E-5</v>
      </c>
      <c r="E160" s="909">
        <v>82191</v>
      </c>
      <c r="F160" s="909"/>
      <c r="G160" s="910">
        <v>4735</v>
      </c>
      <c r="H160" s="911">
        <v>19956</v>
      </c>
      <c r="I160" s="910">
        <v>11738</v>
      </c>
      <c r="J160" s="909">
        <v>13454</v>
      </c>
      <c r="K160" s="911">
        <f t="shared" si="4"/>
        <v>49883</v>
      </c>
      <c r="L160" s="909"/>
      <c r="M160" s="910">
        <v>2327</v>
      </c>
      <c r="N160" s="910">
        <v>0</v>
      </c>
      <c r="O160" s="909">
        <v>2026</v>
      </c>
      <c r="P160" s="911">
        <f t="shared" si="5"/>
        <v>4353</v>
      </c>
      <c r="Q160" s="909"/>
      <c r="R160" s="910">
        <v>27699</v>
      </c>
      <c r="S160" s="912">
        <v>3208</v>
      </c>
      <c r="T160" s="912">
        <f>30906+1</f>
        <v>30907</v>
      </c>
    </row>
    <row r="161" spans="1:20" x14ac:dyDescent="0.25">
      <c r="A161" s="906">
        <v>91431</v>
      </c>
      <c r="B161" s="907" t="s">
        <v>2725</v>
      </c>
      <c r="C161" s="908">
        <v>1.562E-4</v>
      </c>
      <c r="D161" s="908">
        <v>1.417E-4</v>
      </c>
      <c r="E161" s="909">
        <v>238630</v>
      </c>
      <c r="F161" s="909"/>
      <c r="G161" s="910">
        <v>13747</v>
      </c>
      <c r="H161" s="911">
        <v>57939</v>
      </c>
      <c r="I161" s="910">
        <v>34080</v>
      </c>
      <c r="J161" s="909">
        <v>17694</v>
      </c>
      <c r="K161" s="911">
        <f t="shared" si="4"/>
        <v>123460</v>
      </c>
      <c r="L161" s="909"/>
      <c r="M161" s="910">
        <v>6755</v>
      </c>
      <c r="N161" s="910">
        <v>0</v>
      </c>
      <c r="O161" s="909">
        <v>1767</v>
      </c>
      <c r="P161" s="911">
        <f t="shared" si="5"/>
        <v>8522</v>
      </c>
      <c r="Q161" s="909"/>
      <c r="R161" s="910">
        <v>80419</v>
      </c>
      <c r="S161" s="912">
        <v>4026</v>
      </c>
      <c r="T161" s="912">
        <v>84445</v>
      </c>
    </row>
    <row r="162" spans="1:20" x14ac:dyDescent="0.25">
      <c r="A162" s="906">
        <v>91441</v>
      </c>
      <c r="B162" s="907" t="s">
        <v>2726</v>
      </c>
      <c r="C162" s="908">
        <v>9.5140000000000003E-4</v>
      </c>
      <c r="D162" s="908">
        <v>7.3800000000000005E-4</v>
      </c>
      <c r="E162" s="909">
        <v>1453476</v>
      </c>
      <c r="F162" s="909"/>
      <c r="G162" s="910">
        <v>83734</v>
      </c>
      <c r="H162" s="911">
        <v>352905</v>
      </c>
      <c r="I162" s="910">
        <v>207576</v>
      </c>
      <c r="J162" s="909">
        <v>46954</v>
      </c>
      <c r="K162" s="911">
        <f t="shared" si="4"/>
        <v>691169</v>
      </c>
      <c r="L162" s="909"/>
      <c r="M162" s="910">
        <v>41143</v>
      </c>
      <c r="N162" s="910">
        <v>0</v>
      </c>
      <c r="O162" s="909">
        <v>103301</v>
      </c>
      <c r="P162" s="911">
        <f t="shared" si="5"/>
        <v>144444</v>
      </c>
      <c r="Q162" s="909"/>
      <c r="R162" s="910">
        <v>489823</v>
      </c>
      <c r="S162" s="912">
        <v>-39929</v>
      </c>
      <c r="T162" s="912">
        <v>449894</v>
      </c>
    </row>
    <row r="163" spans="1:20" x14ac:dyDescent="0.25">
      <c r="A163" s="906">
        <v>91451</v>
      </c>
      <c r="B163" s="907" t="s">
        <v>2727</v>
      </c>
      <c r="C163" s="908">
        <v>1.4760000000000001E-3</v>
      </c>
      <c r="D163" s="908">
        <v>1.5629000000000001E-3</v>
      </c>
      <c r="E163" s="909">
        <v>2254919</v>
      </c>
      <c r="F163" s="909"/>
      <c r="G163" s="910">
        <v>129904</v>
      </c>
      <c r="H163" s="911">
        <v>547497</v>
      </c>
      <c r="I163" s="910">
        <v>322034</v>
      </c>
      <c r="J163" s="909">
        <v>0</v>
      </c>
      <c r="K163" s="911">
        <f t="shared" si="4"/>
        <v>999435</v>
      </c>
      <c r="L163" s="909"/>
      <c r="M163" s="910">
        <v>63830</v>
      </c>
      <c r="N163" s="910">
        <v>0</v>
      </c>
      <c r="O163" s="909">
        <v>199933</v>
      </c>
      <c r="P163" s="911">
        <f t="shared" si="5"/>
        <v>263763</v>
      </c>
      <c r="Q163" s="909"/>
      <c r="R163" s="910">
        <v>759910</v>
      </c>
      <c r="S163" s="912">
        <v>-85072</v>
      </c>
      <c r="T163" s="912">
        <v>674838</v>
      </c>
    </row>
    <row r="164" spans="1:20" x14ac:dyDescent="0.25">
      <c r="A164" s="906">
        <v>91457</v>
      </c>
      <c r="B164" s="907" t="s">
        <v>2728</v>
      </c>
      <c r="C164" s="908">
        <v>2.23E-5</v>
      </c>
      <c r="D164" s="908">
        <v>2.58E-5</v>
      </c>
      <c r="E164" s="909">
        <v>34068</v>
      </c>
      <c r="F164" s="909"/>
      <c r="G164" s="910">
        <v>1963</v>
      </c>
      <c r="H164" s="911">
        <v>8272</v>
      </c>
      <c r="I164" s="910">
        <v>4865</v>
      </c>
      <c r="J164" s="909">
        <v>30858</v>
      </c>
      <c r="K164" s="911">
        <f t="shared" si="4"/>
        <v>45958</v>
      </c>
      <c r="L164" s="909"/>
      <c r="M164" s="910">
        <v>964</v>
      </c>
      <c r="N164" s="910">
        <v>0</v>
      </c>
      <c r="O164" s="909">
        <v>0</v>
      </c>
      <c r="P164" s="911">
        <f t="shared" si="5"/>
        <v>964</v>
      </c>
      <c r="Q164" s="909"/>
      <c r="R164" s="910">
        <v>11481</v>
      </c>
      <c r="S164" s="912">
        <v>10929</v>
      </c>
      <c r="T164" s="912">
        <v>22410</v>
      </c>
    </row>
    <row r="165" spans="1:20" x14ac:dyDescent="0.25">
      <c r="A165" s="906">
        <v>91461</v>
      </c>
      <c r="B165" s="907" t="s">
        <v>2729</v>
      </c>
      <c r="C165" s="908">
        <v>9.3999999999999998E-6</v>
      </c>
      <c r="D165" s="908">
        <v>8.6999999999999997E-6</v>
      </c>
      <c r="E165" s="909">
        <v>14361</v>
      </c>
      <c r="F165" s="909"/>
      <c r="G165" s="910">
        <v>827</v>
      </c>
      <c r="H165" s="911">
        <v>3487</v>
      </c>
      <c r="I165" s="910">
        <v>2051</v>
      </c>
      <c r="J165" s="909">
        <v>2052</v>
      </c>
      <c r="K165" s="911">
        <f t="shared" si="4"/>
        <v>8417</v>
      </c>
      <c r="L165" s="909"/>
      <c r="M165" s="910">
        <v>407</v>
      </c>
      <c r="N165" s="910">
        <v>0</v>
      </c>
      <c r="O165" s="909">
        <v>637</v>
      </c>
      <c r="P165" s="911">
        <f t="shared" si="5"/>
        <v>1044</v>
      </c>
      <c r="Q165" s="909"/>
      <c r="R165" s="910">
        <v>4840</v>
      </c>
      <c r="S165" s="912">
        <v>945</v>
      </c>
      <c r="T165" s="912">
        <f>5784+1</f>
        <v>5785</v>
      </c>
    </row>
    <row r="166" spans="1:20" x14ac:dyDescent="0.25">
      <c r="A166" s="906">
        <v>91501</v>
      </c>
      <c r="B166" s="907" t="s">
        <v>2730</v>
      </c>
      <c r="C166" s="908">
        <v>4.9700000000000005E-4</v>
      </c>
      <c r="D166" s="908">
        <v>5.1099999999999995E-4</v>
      </c>
      <c r="E166" s="909">
        <v>759278</v>
      </c>
      <c r="F166" s="909"/>
      <c r="G166" s="910">
        <v>43741</v>
      </c>
      <c r="H166" s="911">
        <v>184353</v>
      </c>
      <c r="I166" s="910">
        <v>108435</v>
      </c>
      <c r="J166" s="909">
        <v>24430</v>
      </c>
      <c r="K166" s="911">
        <f t="shared" si="4"/>
        <v>360959</v>
      </c>
      <c r="L166" s="909"/>
      <c r="M166" s="910">
        <v>21493</v>
      </c>
      <c r="N166" s="910">
        <v>0</v>
      </c>
      <c r="O166" s="909">
        <v>6922</v>
      </c>
      <c r="P166" s="911">
        <f t="shared" si="5"/>
        <v>28415</v>
      </c>
      <c r="Q166" s="909"/>
      <c r="R166" s="910">
        <v>255877</v>
      </c>
      <c r="S166" s="912">
        <v>15592</v>
      </c>
      <c r="T166" s="912">
        <v>271469</v>
      </c>
    </row>
    <row r="167" spans="1:20" x14ac:dyDescent="0.25">
      <c r="A167" s="906">
        <v>91504</v>
      </c>
      <c r="B167" s="907" t="s">
        <v>2731</v>
      </c>
      <c r="C167" s="908">
        <v>9.7000000000000003E-6</v>
      </c>
      <c r="D167" s="908">
        <v>1.0200000000000001E-5</v>
      </c>
      <c r="E167" s="909">
        <v>14819</v>
      </c>
      <c r="F167" s="909"/>
      <c r="G167" s="910">
        <v>854</v>
      </c>
      <c r="H167" s="911">
        <v>3599</v>
      </c>
      <c r="I167" s="910">
        <v>2116</v>
      </c>
      <c r="J167" s="909">
        <v>5620</v>
      </c>
      <c r="K167" s="911">
        <f t="shared" si="4"/>
        <v>12189</v>
      </c>
      <c r="L167" s="909"/>
      <c r="M167" s="910">
        <v>419</v>
      </c>
      <c r="N167" s="910">
        <v>0</v>
      </c>
      <c r="O167" s="909">
        <v>0</v>
      </c>
      <c r="P167" s="911">
        <f t="shared" si="5"/>
        <v>419</v>
      </c>
      <c r="Q167" s="909"/>
      <c r="R167" s="910">
        <v>4994</v>
      </c>
      <c r="S167" s="912">
        <v>2602</v>
      </c>
      <c r="T167" s="912">
        <v>7596</v>
      </c>
    </row>
    <row r="168" spans="1:20" x14ac:dyDescent="0.25">
      <c r="A168" s="906">
        <v>91601</v>
      </c>
      <c r="B168" s="907" t="s">
        <v>2732</v>
      </c>
      <c r="C168" s="908">
        <v>2.8040000000000001E-3</v>
      </c>
      <c r="D168" s="908">
        <v>2.9077999999999999E-3</v>
      </c>
      <c r="E168" s="909">
        <v>4283735</v>
      </c>
      <c r="F168" s="909"/>
      <c r="G168" s="910">
        <v>246783</v>
      </c>
      <c r="H168" s="911">
        <v>1040096</v>
      </c>
      <c r="I168" s="910">
        <v>611777</v>
      </c>
      <c r="J168" s="909">
        <v>168530</v>
      </c>
      <c r="K168" s="911">
        <f t="shared" si="4"/>
        <v>2067186</v>
      </c>
      <c r="L168" s="909"/>
      <c r="M168" s="910">
        <v>121259</v>
      </c>
      <c r="N168" s="910">
        <v>0</v>
      </c>
      <c r="O168" s="909">
        <v>40367</v>
      </c>
      <c r="P168" s="911">
        <f t="shared" si="5"/>
        <v>161626</v>
      </c>
      <c r="Q168" s="909"/>
      <c r="R168" s="910">
        <v>1443623</v>
      </c>
      <c r="S168" s="912">
        <v>76132</v>
      </c>
      <c r="T168" s="912">
        <v>1519755</v>
      </c>
    </row>
    <row r="169" spans="1:20" x14ac:dyDescent="0.25">
      <c r="A169" s="906">
        <v>91604</v>
      </c>
      <c r="B169" s="907" t="s">
        <v>2733</v>
      </c>
      <c r="C169" s="908">
        <v>8.8499999999999996E-5</v>
      </c>
      <c r="D169" s="908">
        <v>8.6799999999999996E-5</v>
      </c>
      <c r="E169" s="909">
        <v>135203</v>
      </c>
      <c r="F169" s="909"/>
      <c r="G169" s="910">
        <v>7789</v>
      </c>
      <c r="H169" s="911">
        <v>32827</v>
      </c>
      <c r="I169" s="910">
        <v>19309</v>
      </c>
      <c r="J169" s="909">
        <v>20977</v>
      </c>
      <c r="K169" s="911">
        <f t="shared" si="4"/>
        <v>80902</v>
      </c>
      <c r="L169" s="909"/>
      <c r="M169" s="910">
        <v>3827</v>
      </c>
      <c r="N169" s="910">
        <v>0</v>
      </c>
      <c r="O169" s="909">
        <v>0</v>
      </c>
      <c r="P169" s="911">
        <f t="shared" si="5"/>
        <v>3827</v>
      </c>
      <c r="Q169" s="909"/>
      <c r="R169" s="910">
        <v>45564</v>
      </c>
      <c r="S169" s="912">
        <v>7680</v>
      </c>
      <c r="T169" s="912">
        <v>53244</v>
      </c>
    </row>
    <row r="170" spans="1:20" x14ac:dyDescent="0.25">
      <c r="A170" s="906">
        <v>91608</v>
      </c>
      <c r="B170" s="907" t="s">
        <v>2734</v>
      </c>
      <c r="C170" s="908">
        <v>1.5349999999999999E-4</v>
      </c>
      <c r="D170" s="908">
        <v>1.208E-4</v>
      </c>
      <c r="E170" s="909">
        <v>234505</v>
      </c>
      <c r="F170" s="909"/>
      <c r="G170" s="910">
        <v>13510</v>
      </c>
      <c r="H170" s="911">
        <v>56938</v>
      </c>
      <c r="I170" s="910">
        <v>33491</v>
      </c>
      <c r="J170" s="909">
        <v>2430</v>
      </c>
      <c r="K170" s="911">
        <f t="shared" si="4"/>
        <v>106369</v>
      </c>
      <c r="L170" s="909"/>
      <c r="M170" s="910">
        <v>6638</v>
      </c>
      <c r="N170" s="910">
        <v>0</v>
      </c>
      <c r="O170" s="909">
        <v>28763</v>
      </c>
      <c r="P170" s="911">
        <f t="shared" si="5"/>
        <v>35401</v>
      </c>
      <c r="Q170" s="909"/>
      <c r="R170" s="910">
        <v>79029</v>
      </c>
      <c r="S170" s="912">
        <v>-12888</v>
      </c>
      <c r="T170" s="912">
        <f>66140+1</f>
        <v>66141</v>
      </c>
    </row>
    <row r="171" spans="1:20" x14ac:dyDescent="0.25">
      <c r="A171" s="906">
        <v>91611</v>
      </c>
      <c r="B171" s="907" t="s">
        <v>2735</v>
      </c>
      <c r="C171" s="908">
        <v>1.4708E-3</v>
      </c>
      <c r="D171" s="908">
        <v>1.4345E-3</v>
      </c>
      <c r="E171" s="909">
        <v>2246975</v>
      </c>
      <c r="F171" s="909"/>
      <c r="G171" s="910">
        <v>129447</v>
      </c>
      <c r="H171" s="911">
        <v>545569</v>
      </c>
      <c r="I171" s="910">
        <v>320899</v>
      </c>
      <c r="J171" s="909">
        <v>19333</v>
      </c>
      <c r="K171" s="911">
        <f t="shared" si="4"/>
        <v>1015248</v>
      </c>
      <c r="L171" s="909"/>
      <c r="M171" s="910">
        <v>63605</v>
      </c>
      <c r="N171" s="910">
        <v>0</v>
      </c>
      <c r="O171" s="909">
        <v>53335</v>
      </c>
      <c r="P171" s="911">
        <f t="shared" si="5"/>
        <v>116940</v>
      </c>
      <c r="Q171" s="909"/>
      <c r="R171" s="910">
        <v>757233</v>
      </c>
      <c r="S171" s="912">
        <v>2483</v>
      </c>
      <c r="T171" s="912">
        <f>759715+1</f>
        <v>759716</v>
      </c>
    </row>
    <row r="172" spans="1:20" x14ac:dyDescent="0.25">
      <c r="A172" s="906">
        <v>91621</v>
      </c>
      <c r="B172" s="907" t="s">
        <v>2736</v>
      </c>
      <c r="C172" s="908">
        <v>2.7050000000000002E-4</v>
      </c>
      <c r="D172" s="908">
        <v>2.5240000000000001E-4</v>
      </c>
      <c r="E172" s="909">
        <v>413249</v>
      </c>
      <c r="F172" s="909"/>
      <c r="G172" s="910">
        <v>23807</v>
      </c>
      <c r="H172" s="911">
        <v>100337</v>
      </c>
      <c r="I172" s="910">
        <v>59018</v>
      </c>
      <c r="J172" s="909">
        <v>13260</v>
      </c>
      <c r="K172" s="911">
        <f t="shared" si="4"/>
        <v>196422</v>
      </c>
      <c r="L172" s="909"/>
      <c r="M172" s="910">
        <v>11698</v>
      </c>
      <c r="N172" s="910">
        <v>0</v>
      </c>
      <c r="O172" s="909">
        <v>14620</v>
      </c>
      <c r="P172" s="911">
        <f t="shared" si="5"/>
        <v>26318</v>
      </c>
      <c r="Q172" s="909"/>
      <c r="R172" s="910">
        <v>139265</v>
      </c>
      <c r="S172" s="912">
        <v>-4185</v>
      </c>
      <c r="T172" s="912">
        <v>135080</v>
      </c>
    </row>
    <row r="173" spans="1:20" x14ac:dyDescent="0.25">
      <c r="A173" s="906">
        <v>91631</v>
      </c>
      <c r="B173" s="907" t="s">
        <v>2737</v>
      </c>
      <c r="C173" s="908">
        <v>5.2249999999999996E-4</v>
      </c>
      <c r="D173" s="908">
        <v>5.3870000000000003E-4</v>
      </c>
      <c r="E173" s="909">
        <v>798235</v>
      </c>
      <c r="F173" s="909"/>
      <c r="G173" s="910">
        <v>45986</v>
      </c>
      <c r="H173" s="911">
        <v>193812</v>
      </c>
      <c r="I173" s="910">
        <v>113999</v>
      </c>
      <c r="J173" s="909">
        <v>0</v>
      </c>
      <c r="K173" s="911">
        <f t="shared" si="4"/>
        <v>353797</v>
      </c>
      <c r="L173" s="909"/>
      <c r="M173" s="910">
        <v>22596</v>
      </c>
      <c r="N173" s="910">
        <v>0</v>
      </c>
      <c r="O173" s="909">
        <v>52272</v>
      </c>
      <c r="P173" s="911">
        <f t="shared" si="5"/>
        <v>74868</v>
      </c>
      <c r="Q173" s="909"/>
      <c r="R173" s="910">
        <v>269006</v>
      </c>
      <c r="S173" s="912">
        <v>-16747</v>
      </c>
      <c r="T173" s="912">
        <v>252259</v>
      </c>
    </row>
    <row r="174" spans="1:20" x14ac:dyDescent="0.25">
      <c r="A174" s="906">
        <v>91633</v>
      </c>
      <c r="B174" s="907" t="s">
        <v>2738</v>
      </c>
      <c r="C174" s="908">
        <v>2.51E-5</v>
      </c>
      <c r="D174" s="908">
        <v>2.3799999999999999E-5</v>
      </c>
      <c r="E174" s="909">
        <v>38346</v>
      </c>
      <c r="F174" s="909"/>
      <c r="G174" s="910">
        <v>2209</v>
      </c>
      <c r="H174" s="911">
        <v>9311</v>
      </c>
      <c r="I174" s="910">
        <v>5476</v>
      </c>
      <c r="J174" s="909">
        <v>1513</v>
      </c>
      <c r="K174" s="911">
        <f t="shared" si="4"/>
        <v>18509</v>
      </c>
      <c r="L174" s="909"/>
      <c r="M174" s="910">
        <v>1085</v>
      </c>
      <c r="N174" s="910">
        <v>0</v>
      </c>
      <c r="O174" s="909">
        <v>3215</v>
      </c>
      <c r="P174" s="911">
        <f t="shared" si="5"/>
        <v>4300</v>
      </c>
      <c r="Q174" s="909"/>
      <c r="R174" s="910">
        <v>12923</v>
      </c>
      <c r="S174" s="912">
        <v>-1367</v>
      </c>
      <c r="T174" s="912">
        <f>11555+1</f>
        <v>11556</v>
      </c>
    </row>
    <row r="175" spans="1:20" x14ac:dyDescent="0.25">
      <c r="A175" s="906">
        <v>91641</v>
      </c>
      <c r="B175" s="907" t="s">
        <v>2739</v>
      </c>
      <c r="C175" s="908">
        <v>3.1139999999999998E-4</v>
      </c>
      <c r="D175" s="908">
        <v>2.742E-4</v>
      </c>
      <c r="E175" s="909">
        <v>475733</v>
      </c>
      <c r="F175" s="909"/>
      <c r="G175" s="910">
        <v>27407</v>
      </c>
      <c r="H175" s="911">
        <v>115509</v>
      </c>
      <c r="I175" s="910">
        <v>67941</v>
      </c>
      <c r="J175" s="909">
        <v>0</v>
      </c>
      <c r="K175" s="911">
        <f t="shared" si="4"/>
        <v>210857</v>
      </c>
      <c r="L175" s="909"/>
      <c r="M175" s="910">
        <v>13466</v>
      </c>
      <c r="N175" s="910">
        <v>0</v>
      </c>
      <c r="O175" s="909">
        <v>55139</v>
      </c>
      <c r="P175" s="911">
        <f t="shared" si="5"/>
        <v>68605</v>
      </c>
      <c r="Q175" s="909"/>
      <c r="R175" s="910">
        <v>160322</v>
      </c>
      <c r="S175" s="912">
        <v>-25877</v>
      </c>
      <c r="T175" s="912">
        <v>134445</v>
      </c>
    </row>
    <row r="176" spans="1:20" x14ac:dyDescent="0.25">
      <c r="A176" s="906">
        <v>91651</v>
      </c>
      <c r="B176" s="907" t="s">
        <v>2740</v>
      </c>
      <c r="C176" s="908">
        <v>4.4440000000000001E-4</v>
      </c>
      <c r="D176" s="908">
        <v>4.6099999999999998E-4</v>
      </c>
      <c r="E176" s="909">
        <v>678920</v>
      </c>
      <c r="F176" s="909"/>
      <c r="G176" s="910">
        <v>39112</v>
      </c>
      <c r="H176" s="911">
        <v>164843</v>
      </c>
      <c r="I176" s="910">
        <v>96959</v>
      </c>
      <c r="J176" s="909">
        <v>0</v>
      </c>
      <c r="K176" s="911">
        <f t="shared" si="4"/>
        <v>300914</v>
      </c>
      <c r="L176" s="909"/>
      <c r="M176" s="910">
        <v>19218</v>
      </c>
      <c r="N176" s="910">
        <v>0</v>
      </c>
      <c r="O176" s="909">
        <v>30696</v>
      </c>
      <c r="P176" s="911">
        <f t="shared" si="5"/>
        <v>49914</v>
      </c>
      <c r="Q176" s="909"/>
      <c r="R176" s="910">
        <v>228797</v>
      </c>
      <c r="S176" s="912">
        <v>-12407</v>
      </c>
      <c r="T176" s="912">
        <v>216390</v>
      </c>
    </row>
    <row r="177" spans="1:20" x14ac:dyDescent="0.25">
      <c r="A177" s="906">
        <v>91661</v>
      </c>
      <c r="B177" s="907" t="s">
        <v>2741</v>
      </c>
      <c r="C177" s="908">
        <v>1.673E-4</v>
      </c>
      <c r="D177" s="908">
        <v>1.6750000000000001E-4</v>
      </c>
      <c r="E177" s="909">
        <v>255588</v>
      </c>
      <c r="F177" s="909"/>
      <c r="G177" s="910">
        <v>14724</v>
      </c>
      <c r="H177" s="911">
        <v>62057</v>
      </c>
      <c r="I177" s="910">
        <v>36502</v>
      </c>
      <c r="J177" s="909">
        <v>0</v>
      </c>
      <c r="K177" s="911">
        <f t="shared" si="4"/>
        <v>113283</v>
      </c>
      <c r="L177" s="909"/>
      <c r="M177" s="910">
        <v>7235</v>
      </c>
      <c r="N177" s="910">
        <v>0</v>
      </c>
      <c r="O177" s="909">
        <v>45519</v>
      </c>
      <c r="P177" s="911">
        <f t="shared" si="5"/>
        <v>52754</v>
      </c>
      <c r="Q177" s="909"/>
      <c r="R177" s="910">
        <v>86133</v>
      </c>
      <c r="S177" s="912">
        <v>-16188</v>
      </c>
      <c r="T177" s="912">
        <v>69945</v>
      </c>
    </row>
    <row r="178" spans="1:20" x14ac:dyDescent="0.25">
      <c r="A178" s="906">
        <v>91671</v>
      </c>
      <c r="B178" s="907" t="s">
        <v>2742</v>
      </c>
      <c r="C178" s="908">
        <v>9.6700000000000006E-5</v>
      </c>
      <c r="D178" s="908">
        <v>9.7600000000000001E-5</v>
      </c>
      <c r="E178" s="909">
        <v>147731</v>
      </c>
      <c r="F178" s="909"/>
      <c r="G178" s="910">
        <v>8511</v>
      </c>
      <c r="H178" s="911">
        <v>35869</v>
      </c>
      <c r="I178" s="910">
        <v>21098</v>
      </c>
      <c r="J178" s="909">
        <v>11497</v>
      </c>
      <c r="K178" s="911">
        <f t="shared" si="4"/>
        <v>76975</v>
      </c>
      <c r="L178" s="909"/>
      <c r="M178" s="910">
        <v>4182</v>
      </c>
      <c r="N178" s="910">
        <v>0</v>
      </c>
      <c r="O178" s="909">
        <v>1197</v>
      </c>
      <c r="P178" s="911">
        <f t="shared" si="5"/>
        <v>5379</v>
      </c>
      <c r="Q178" s="909"/>
      <c r="R178" s="910">
        <v>49785</v>
      </c>
      <c r="S178" s="912">
        <v>5725</v>
      </c>
      <c r="T178" s="912">
        <v>55510</v>
      </c>
    </row>
    <row r="179" spans="1:20" x14ac:dyDescent="0.25">
      <c r="A179" s="906">
        <v>91681</v>
      </c>
      <c r="B179" s="907" t="s">
        <v>2743</v>
      </c>
      <c r="C179" s="908">
        <v>4.728E-4</v>
      </c>
      <c r="D179" s="908">
        <v>4.7130000000000002E-4</v>
      </c>
      <c r="E179" s="909">
        <v>722307</v>
      </c>
      <c r="F179" s="909"/>
      <c r="G179" s="910">
        <v>41612</v>
      </c>
      <c r="H179" s="911">
        <v>175378</v>
      </c>
      <c r="I179" s="910">
        <v>103156</v>
      </c>
      <c r="J179" s="909">
        <v>274278</v>
      </c>
      <c r="K179" s="911">
        <f t="shared" si="4"/>
        <v>594424</v>
      </c>
      <c r="L179" s="909"/>
      <c r="M179" s="910">
        <v>20446</v>
      </c>
      <c r="N179" s="910">
        <v>0</v>
      </c>
      <c r="O179" s="909">
        <v>4516</v>
      </c>
      <c r="P179" s="911">
        <f t="shared" si="5"/>
        <v>24962</v>
      </c>
      <c r="Q179" s="909"/>
      <c r="R179" s="910">
        <v>243418</v>
      </c>
      <c r="S179" s="912">
        <v>89641</v>
      </c>
      <c r="T179" s="912">
        <v>333059</v>
      </c>
    </row>
    <row r="180" spans="1:20" x14ac:dyDescent="0.25">
      <c r="A180" s="906">
        <v>91691</v>
      </c>
      <c r="B180" s="907" t="s">
        <v>2744</v>
      </c>
      <c r="C180" s="908">
        <v>2.3200000000000001E-5</v>
      </c>
      <c r="D180" s="908">
        <v>2.4199999999999999E-5</v>
      </c>
      <c r="E180" s="909">
        <v>35443</v>
      </c>
      <c r="F180" s="909"/>
      <c r="G180" s="910">
        <v>2042</v>
      </c>
      <c r="H180" s="911">
        <v>8605</v>
      </c>
      <c r="I180" s="910">
        <v>5062</v>
      </c>
      <c r="J180" s="909">
        <v>1782</v>
      </c>
      <c r="K180" s="911">
        <f t="shared" si="4"/>
        <v>17491</v>
      </c>
      <c r="L180" s="909"/>
      <c r="M180" s="910">
        <v>1003</v>
      </c>
      <c r="N180" s="910">
        <v>0</v>
      </c>
      <c r="O180" s="909">
        <v>1533</v>
      </c>
      <c r="P180" s="911">
        <f t="shared" si="5"/>
        <v>2536</v>
      </c>
      <c r="Q180" s="909"/>
      <c r="R180" s="910">
        <v>11944</v>
      </c>
      <c r="S180" s="912">
        <v>129</v>
      </c>
      <c r="T180" s="912">
        <f>12074-1</f>
        <v>12073</v>
      </c>
    </row>
    <row r="181" spans="1:20" x14ac:dyDescent="0.25">
      <c r="A181" s="906">
        <v>91701</v>
      </c>
      <c r="B181" s="907" t="s">
        <v>2745</v>
      </c>
      <c r="C181" s="908">
        <v>1.2451999999999999E-3</v>
      </c>
      <c r="D181" s="908">
        <v>1.0897000000000001E-3</v>
      </c>
      <c r="E181" s="909">
        <v>1902321</v>
      </c>
      <c r="F181" s="909"/>
      <c r="G181" s="910">
        <v>109591</v>
      </c>
      <c r="H181" s="911">
        <v>461886</v>
      </c>
      <c r="I181" s="910">
        <v>271678</v>
      </c>
      <c r="J181" s="909">
        <v>95964</v>
      </c>
      <c r="K181" s="911">
        <f t="shared" si="4"/>
        <v>939119</v>
      </c>
      <c r="L181" s="909"/>
      <c r="M181" s="910">
        <v>53849</v>
      </c>
      <c r="N181" s="910">
        <v>0</v>
      </c>
      <c r="O181" s="909">
        <v>6949</v>
      </c>
      <c r="P181" s="911">
        <f t="shared" si="5"/>
        <v>60798</v>
      </c>
      <c r="Q181" s="909"/>
      <c r="R181" s="910">
        <v>641084</v>
      </c>
      <c r="S181" s="912">
        <v>18725</v>
      </c>
      <c r="T181" s="912">
        <v>659809</v>
      </c>
    </row>
    <row r="182" spans="1:20" x14ac:dyDescent="0.25">
      <c r="A182" s="906">
        <v>91704</v>
      </c>
      <c r="B182" s="907" t="s">
        <v>2746</v>
      </c>
      <c r="C182" s="908">
        <v>1.73E-5</v>
      </c>
      <c r="D182" s="908">
        <v>1.6699999999999999E-5</v>
      </c>
      <c r="E182" s="909">
        <v>26430</v>
      </c>
      <c r="F182" s="909"/>
      <c r="G182" s="910">
        <v>1523</v>
      </c>
      <c r="H182" s="911">
        <v>6417</v>
      </c>
      <c r="I182" s="910">
        <v>3775</v>
      </c>
      <c r="J182" s="909">
        <v>1084</v>
      </c>
      <c r="K182" s="911">
        <f t="shared" si="4"/>
        <v>12799</v>
      </c>
      <c r="L182" s="909"/>
      <c r="M182" s="910">
        <v>748</v>
      </c>
      <c r="N182" s="910">
        <v>0</v>
      </c>
      <c r="O182" s="909">
        <v>0</v>
      </c>
      <c r="P182" s="911">
        <f t="shared" si="5"/>
        <v>748</v>
      </c>
      <c r="Q182" s="909"/>
      <c r="R182" s="910">
        <v>8907</v>
      </c>
      <c r="S182" s="912">
        <v>641</v>
      </c>
      <c r="T182" s="912">
        <v>9548</v>
      </c>
    </row>
    <row r="183" spans="1:20" x14ac:dyDescent="0.25">
      <c r="A183" s="906">
        <v>91706</v>
      </c>
      <c r="B183" s="907" t="s">
        <v>2747</v>
      </c>
      <c r="C183" s="908">
        <v>2.4340000000000001E-4</v>
      </c>
      <c r="D183" s="908">
        <v>2.4279999999999999E-4</v>
      </c>
      <c r="E183" s="909">
        <v>371848</v>
      </c>
      <c r="F183" s="909"/>
      <c r="G183" s="910">
        <v>21422</v>
      </c>
      <c r="H183" s="911">
        <v>90285</v>
      </c>
      <c r="I183" s="910">
        <v>53105</v>
      </c>
      <c r="J183" s="909">
        <v>9101</v>
      </c>
      <c r="K183" s="911">
        <f t="shared" si="4"/>
        <v>173913</v>
      </c>
      <c r="L183" s="909"/>
      <c r="M183" s="910">
        <v>10526</v>
      </c>
      <c r="N183" s="910">
        <v>0</v>
      </c>
      <c r="O183" s="909">
        <v>8271</v>
      </c>
      <c r="P183" s="911">
        <f t="shared" si="5"/>
        <v>18797</v>
      </c>
      <c r="Q183" s="909"/>
      <c r="R183" s="910">
        <v>125313</v>
      </c>
      <c r="S183" s="912">
        <v>-4120</v>
      </c>
      <c r="T183" s="912">
        <v>121193</v>
      </c>
    </row>
    <row r="184" spans="1:20" x14ac:dyDescent="0.25">
      <c r="A184" s="906">
        <v>91719</v>
      </c>
      <c r="B184" s="907" t="s">
        <v>2748</v>
      </c>
      <c r="C184" s="908">
        <v>4.9700000000000002E-5</v>
      </c>
      <c r="D184" s="908">
        <v>4.9299999999999999E-5</v>
      </c>
      <c r="E184" s="909">
        <v>75928</v>
      </c>
      <c r="F184" s="909"/>
      <c r="G184" s="910">
        <v>4374</v>
      </c>
      <c r="H184" s="911">
        <v>18435</v>
      </c>
      <c r="I184" s="910">
        <v>10844</v>
      </c>
      <c r="J184" s="909">
        <v>4395</v>
      </c>
      <c r="K184" s="911">
        <f t="shared" si="4"/>
        <v>38048</v>
      </c>
      <c r="L184" s="909"/>
      <c r="M184" s="910">
        <v>2149</v>
      </c>
      <c r="N184" s="910">
        <v>0</v>
      </c>
      <c r="O184" s="909">
        <v>4419</v>
      </c>
      <c r="P184" s="911">
        <f t="shared" si="5"/>
        <v>6568</v>
      </c>
      <c r="Q184" s="909"/>
      <c r="R184" s="910">
        <v>25588</v>
      </c>
      <c r="S184" s="912">
        <v>37</v>
      </c>
      <c r="T184" s="912">
        <v>25625</v>
      </c>
    </row>
    <row r="185" spans="1:20" x14ac:dyDescent="0.25">
      <c r="A185" s="906">
        <v>91801</v>
      </c>
      <c r="B185" s="907" t="s">
        <v>2749</v>
      </c>
      <c r="C185" s="908">
        <v>8.0961000000000002E-3</v>
      </c>
      <c r="D185" s="908">
        <v>8.3853999999999995E-3</v>
      </c>
      <c r="E185" s="909">
        <v>12368598</v>
      </c>
      <c r="F185" s="909"/>
      <c r="G185" s="910">
        <v>712546</v>
      </c>
      <c r="H185" s="911">
        <v>3003111</v>
      </c>
      <c r="I185" s="910">
        <v>1766407</v>
      </c>
      <c r="J185" s="909">
        <v>0</v>
      </c>
      <c r="K185" s="911">
        <f t="shared" si="4"/>
        <v>5482064</v>
      </c>
      <c r="L185" s="909"/>
      <c r="M185" s="910">
        <v>350116</v>
      </c>
      <c r="N185" s="910">
        <v>0</v>
      </c>
      <c r="O185" s="909">
        <v>242225</v>
      </c>
      <c r="P185" s="911">
        <f t="shared" si="5"/>
        <v>592341</v>
      </c>
      <c r="Q185" s="909"/>
      <c r="R185" s="910">
        <v>4168229</v>
      </c>
      <c r="S185" s="912">
        <v>-87031</v>
      </c>
      <c r="T185" s="912">
        <f>4081197+1</f>
        <v>4081198</v>
      </c>
    </row>
    <row r="186" spans="1:20" x14ac:dyDescent="0.25">
      <c r="A186" s="906">
        <v>91804</v>
      </c>
      <c r="B186" s="907" t="s">
        <v>2750</v>
      </c>
      <c r="C186" s="908">
        <v>1.3439999999999999E-4</v>
      </c>
      <c r="D186" s="908">
        <v>1.462E-4</v>
      </c>
      <c r="E186" s="909">
        <v>205326</v>
      </c>
      <c r="F186" s="909"/>
      <c r="G186" s="910">
        <v>11829</v>
      </c>
      <c r="H186" s="911">
        <v>49854</v>
      </c>
      <c r="I186" s="910">
        <v>29323</v>
      </c>
      <c r="J186" s="909">
        <v>55699</v>
      </c>
      <c r="K186" s="911">
        <f t="shared" si="4"/>
        <v>146705</v>
      </c>
      <c r="L186" s="909"/>
      <c r="M186" s="910">
        <v>5812</v>
      </c>
      <c r="N186" s="910">
        <v>0</v>
      </c>
      <c r="O186" s="909">
        <v>0</v>
      </c>
      <c r="P186" s="911">
        <f t="shared" si="5"/>
        <v>5812</v>
      </c>
      <c r="Q186" s="909"/>
      <c r="R186" s="910">
        <v>69195</v>
      </c>
      <c r="S186" s="912">
        <v>23621</v>
      </c>
      <c r="T186" s="912">
        <v>92816</v>
      </c>
    </row>
    <row r="187" spans="1:20" x14ac:dyDescent="0.25">
      <c r="A187" s="906">
        <v>91811</v>
      </c>
      <c r="B187" s="907" t="s">
        <v>2751</v>
      </c>
      <c r="C187" s="908">
        <v>4.5555999999999999E-3</v>
      </c>
      <c r="D187" s="908">
        <v>4.6454000000000001E-3</v>
      </c>
      <c r="E187" s="909">
        <v>6959695</v>
      </c>
      <c r="F187" s="909"/>
      <c r="G187" s="910">
        <v>400943</v>
      </c>
      <c r="H187" s="911">
        <v>1689822</v>
      </c>
      <c r="I187" s="910">
        <v>993941</v>
      </c>
      <c r="J187" s="909">
        <v>0</v>
      </c>
      <c r="K187" s="911">
        <f t="shared" si="4"/>
        <v>3084706</v>
      </c>
      <c r="L187" s="909"/>
      <c r="M187" s="910">
        <v>197007</v>
      </c>
      <c r="N187" s="910">
        <v>0</v>
      </c>
      <c r="O187" s="909">
        <v>519421</v>
      </c>
      <c r="P187" s="911">
        <f t="shared" si="5"/>
        <v>716428</v>
      </c>
      <c r="Q187" s="909"/>
      <c r="R187" s="910">
        <v>2345423</v>
      </c>
      <c r="S187" s="912">
        <v>-197590</v>
      </c>
      <c r="T187" s="912">
        <v>2147833</v>
      </c>
    </row>
    <row r="188" spans="1:20" x14ac:dyDescent="0.25">
      <c r="A188" s="906">
        <v>91812</v>
      </c>
      <c r="B188" s="907" t="s">
        <v>2752</v>
      </c>
      <c r="C188" s="908">
        <v>5.0800000000000002E-5</v>
      </c>
      <c r="D188" s="908">
        <v>5.8199999999999998E-5</v>
      </c>
      <c r="E188" s="909">
        <v>77608</v>
      </c>
      <c r="F188" s="909"/>
      <c r="G188" s="910">
        <v>4471</v>
      </c>
      <c r="H188" s="911">
        <v>18843</v>
      </c>
      <c r="I188" s="910">
        <v>11084</v>
      </c>
      <c r="J188" s="909">
        <v>11326</v>
      </c>
      <c r="K188" s="911">
        <f t="shared" si="4"/>
        <v>45724</v>
      </c>
      <c r="L188" s="909"/>
      <c r="M188" s="910">
        <v>2197</v>
      </c>
      <c r="N188" s="910">
        <v>0</v>
      </c>
      <c r="O188" s="909">
        <v>2710</v>
      </c>
      <c r="P188" s="911">
        <f t="shared" si="5"/>
        <v>4907</v>
      </c>
      <c r="Q188" s="909"/>
      <c r="R188" s="910">
        <v>26154</v>
      </c>
      <c r="S188" s="912">
        <v>4584</v>
      </c>
      <c r="T188" s="912">
        <v>30738</v>
      </c>
    </row>
    <row r="189" spans="1:20" x14ac:dyDescent="0.25">
      <c r="A189" s="906">
        <v>91813</v>
      </c>
      <c r="B189" s="907" t="s">
        <v>2753</v>
      </c>
      <c r="C189" s="908">
        <v>8.6100000000000006E-5</v>
      </c>
      <c r="D189" s="908">
        <v>1.083E-4</v>
      </c>
      <c r="E189" s="909">
        <v>131537</v>
      </c>
      <c r="F189" s="909"/>
      <c r="G189" s="910">
        <v>7578</v>
      </c>
      <c r="H189" s="911">
        <v>31938</v>
      </c>
      <c r="I189" s="910">
        <v>18785</v>
      </c>
      <c r="J189" s="909">
        <v>10986</v>
      </c>
      <c r="K189" s="911">
        <f t="shared" si="4"/>
        <v>69287</v>
      </c>
      <c r="L189" s="909"/>
      <c r="M189" s="910">
        <v>3723</v>
      </c>
      <c r="N189" s="910">
        <v>0</v>
      </c>
      <c r="O189" s="909">
        <v>13565</v>
      </c>
      <c r="P189" s="911">
        <f t="shared" si="5"/>
        <v>17288</v>
      </c>
      <c r="Q189" s="909"/>
      <c r="R189" s="910">
        <v>44328</v>
      </c>
      <c r="S189" s="912">
        <v>-155</v>
      </c>
      <c r="T189" s="912">
        <v>44173</v>
      </c>
    </row>
    <row r="190" spans="1:20" x14ac:dyDescent="0.25">
      <c r="A190" s="906">
        <v>91818</v>
      </c>
      <c r="B190" s="907" t="s">
        <v>2754</v>
      </c>
      <c r="C190" s="908">
        <v>4.0079999999999998E-4</v>
      </c>
      <c r="D190" s="908">
        <v>3.8559999999999999E-4</v>
      </c>
      <c r="E190" s="909">
        <v>612311</v>
      </c>
      <c r="F190" s="909"/>
      <c r="G190" s="910">
        <v>35275</v>
      </c>
      <c r="H190" s="911">
        <v>148670</v>
      </c>
      <c r="I190" s="910">
        <v>87447</v>
      </c>
      <c r="J190" s="909">
        <v>469231</v>
      </c>
      <c r="K190" s="911">
        <f t="shared" si="4"/>
        <v>740623</v>
      </c>
      <c r="L190" s="909"/>
      <c r="M190" s="910">
        <v>17333</v>
      </c>
      <c r="N190" s="910">
        <v>0</v>
      </c>
      <c r="O190" s="909">
        <v>5024</v>
      </c>
      <c r="P190" s="911">
        <f t="shared" si="5"/>
        <v>22357</v>
      </c>
      <c r="Q190" s="909"/>
      <c r="R190" s="910">
        <v>206349</v>
      </c>
      <c r="S190" s="912">
        <v>155106</v>
      </c>
      <c r="T190" s="912">
        <f>361456-1</f>
        <v>361455</v>
      </c>
    </row>
    <row r="191" spans="1:20" x14ac:dyDescent="0.25">
      <c r="A191" s="906">
        <v>91819</v>
      </c>
      <c r="B191" s="907" t="s">
        <v>2755</v>
      </c>
      <c r="C191" s="908">
        <v>2.8489999999999999E-4</v>
      </c>
      <c r="D191" s="908">
        <v>2.8200000000000002E-4</v>
      </c>
      <c r="E191" s="909">
        <v>435248</v>
      </c>
      <c r="F191" s="909"/>
      <c r="G191" s="910">
        <v>25074</v>
      </c>
      <c r="H191" s="911">
        <v>105678</v>
      </c>
      <c r="I191" s="910">
        <v>62159</v>
      </c>
      <c r="J191" s="909">
        <v>15073</v>
      </c>
      <c r="K191" s="911">
        <f t="shared" si="4"/>
        <v>207984</v>
      </c>
      <c r="L191" s="909"/>
      <c r="M191" s="910">
        <v>12321</v>
      </c>
      <c r="N191" s="910">
        <v>0</v>
      </c>
      <c r="O191" s="909">
        <v>8276</v>
      </c>
      <c r="P191" s="911">
        <f t="shared" si="5"/>
        <v>20597</v>
      </c>
      <c r="Q191" s="909"/>
      <c r="R191" s="910">
        <v>146679</v>
      </c>
      <c r="S191" s="912">
        <v>5278</v>
      </c>
      <c r="T191" s="912">
        <v>151957</v>
      </c>
    </row>
    <row r="192" spans="1:20" x14ac:dyDescent="0.25">
      <c r="A192" s="906">
        <v>91821</v>
      </c>
      <c r="B192" s="907" t="s">
        <v>2756</v>
      </c>
      <c r="C192" s="908">
        <v>1.7330000000000001E-4</v>
      </c>
      <c r="D192" s="908">
        <v>1.63E-4</v>
      </c>
      <c r="E192" s="909">
        <v>264754</v>
      </c>
      <c r="F192" s="909"/>
      <c r="G192" s="910">
        <v>15252</v>
      </c>
      <c r="H192" s="911">
        <v>64283</v>
      </c>
      <c r="I192" s="910">
        <v>37811</v>
      </c>
      <c r="J192" s="909">
        <v>2434</v>
      </c>
      <c r="K192" s="911">
        <f t="shared" si="4"/>
        <v>119780</v>
      </c>
      <c r="L192" s="909"/>
      <c r="M192" s="910">
        <v>7494</v>
      </c>
      <c r="N192" s="910">
        <v>0</v>
      </c>
      <c r="O192" s="909">
        <v>1112</v>
      </c>
      <c r="P192" s="911">
        <f t="shared" si="5"/>
        <v>8606</v>
      </c>
      <c r="Q192" s="909"/>
      <c r="R192" s="910">
        <v>89222</v>
      </c>
      <c r="S192" s="912">
        <v>1572</v>
      </c>
      <c r="T192" s="912">
        <f>90795-1</f>
        <v>90794</v>
      </c>
    </row>
    <row r="193" spans="1:20" x14ac:dyDescent="0.25">
      <c r="A193" s="906">
        <v>91831</v>
      </c>
      <c r="B193" s="907" t="s">
        <v>2757</v>
      </c>
      <c r="C193" s="908">
        <v>3.366E-4</v>
      </c>
      <c r="D193" s="908">
        <v>3.414E-4</v>
      </c>
      <c r="E193" s="909">
        <v>514232</v>
      </c>
      <c r="F193" s="909"/>
      <c r="G193" s="910">
        <v>29625</v>
      </c>
      <c r="H193" s="911">
        <v>124856</v>
      </c>
      <c r="I193" s="910">
        <v>73439</v>
      </c>
      <c r="J193" s="909">
        <v>7847</v>
      </c>
      <c r="K193" s="911">
        <f t="shared" si="4"/>
        <v>235767</v>
      </c>
      <c r="L193" s="909"/>
      <c r="M193" s="910">
        <v>14556</v>
      </c>
      <c r="N193" s="910">
        <v>0</v>
      </c>
      <c r="O193" s="909">
        <v>13475</v>
      </c>
      <c r="P193" s="911">
        <f t="shared" si="5"/>
        <v>28031</v>
      </c>
      <c r="Q193" s="909"/>
      <c r="R193" s="910">
        <v>173296</v>
      </c>
      <c r="S193" s="912">
        <v>520</v>
      </c>
      <c r="T193" s="912">
        <v>173816</v>
      </c>
    </row>
    <row r="194" spans="1:20" x14ac:dyDescent="0.25">
      <c r="A194" s="906">
        <v>91841</v>
      </c>
      <c r="B194" s="907" t="s">
        <v>2758</v>
      </c>
      <c r="C194" s="908">
        <v>2.5339999999999998E-4</v>
      </c>
      <c r="D194" s="908">
        <v>2.63E-4</v>
      </c>
      <c r="E194" s="909">
        <v>387125</v>
      </c>
      <c r="F194" s="909"/>
      <c r="G194" s="910">
        <v>22302</v>
      </c>
      <c r="H194" s="911">
        <v>93994</v>
      </c>
      <c r="I194" s="910">
        <v>55287</v>
      </c>
      <c r="J194" s="909">
        <v>1681</v>
      </c>
      <c r="K194" s="911">
        <f t="shared" si="4"/>
        <v>173264</v>
      </c>
      <c r="L194" s="909"/>
      <c r="M194" s="910">
        <v>10958</v>
      </c>
      <c r="N194" s="910">
        <v>0</v>
      </c>
      <c r="O194" s="909">
        <v>14711</v>
      </c>
      <c r="P194" s="911">
        <f t="shared" si="5"/>
        <v>25669</v>
      </c>
      <c r="Q194" s="909"/>
      <c r="R194" s="910">
        <v>130461</v>
      </c>
      <c r="S194" s="912">
        <v>-9727</v>
      </c>
      <c r="T194" s="912">
        <v>120734</v>
      </c>
    </row>
    <row r="195" spans="1:20" x14ac:dyDescent="0.25">
      <c r="A195" s="906">
        <v>91851</v>
      </c>
      <c r="B195" s="907" t="s">
        <v>2759</v>
      </c>
      <c r="C195" s="908">
        <v>7.4910000000000005E-4</v>
      </c>
      <c r="D195" s="908">
        <v>7.2059999999999995E-4</v>
      </c>
      <c r="E195" s="909">
        <v>1144417</v>
      </c>
      <c r="F195" s="909"/>
      <c r="G195" s="910">
        <v>65929</v>
      </c>
      <c r="H195" s="911">
        <v>277866</v>
      </c>
      <c r="I195" s="910">
        <v>163439</v>
      </c>
      <c r="J195" s="909">
        <v>9030</v>
      </c>
      <c r="K195" s="911">
        <f t="shared" si="4"/>
        <v>516264</v>
      </c>
      <c r="L195" s="909"/>
      <c r="M195" s="910">
        <v>32395</v>
      </c>
      <c r="N195" s="910">
        <v>0</v>
      </c>
      <c r="O195" s="909">
        <v>44287</v>
      </c>
      <c r="P195" s="911">
        <f t="shared" si="5"/>
        <v>76682</v>
      </c>
      <c r="Q195" s="909"/>
      <c r="R195" s="910">
        <v>385670</v>
      </c>
      <c r="S195" s="912">
        <v>-13424</v>
      </c>
      <c r="T195" s="912">
        <v>372246</v>
      </c>
    </row>
    <row r="196" spans="1:20" x14ac:dyDescent="0.25">
      <c r="A196" s="906">
        <v>91861</v>
      </c>
      <c r="B196" s="907" t="s">
        <v>2760</v>
      </c>
      <c r="C196" s="908">
        <v>1.9700000000000001E-5</v>
      </c>
      <c r="D196" s="908">
        <v>1.9899999999999999E-5</v>
      </c>
      <c r="E196" s="909">
        <v>30096</v>
      </c>
      <c r="F196" s="909"/>
      <c r="G196" s="910">
        <v>1734</v>
      </c>
      <c r="H196" s="911">
        <v>7308</v>
      </c>
      <c r="I196" s="910">
        <v>4298</v>
      </c>
      <c r="J196" s="909">
        <v>2050</v>
      </c>
      <c r="K196" s="911">
        <f t="shared" si="4"/>
        <v>15390</v>
      </c>
      <c r="L196" s="909"/>
      <c r="M196" s="910">
        <v>852</v>
      </c>
      <c r="N196" s="910">
        <v>0</v>
      </c>
      <c r="O196" s="909">
        <v>1061</v>
      </c>
      <c r="P196" s="911">
        <f t="shared" si="5"/>
        <v>1913</v>
      </c>
      <c r="Q196" s="909"/>
      <c r="R196" s="910">
        <v>10142</v>
      </c>
      <c r="S196" s="912">
        <v>692</v>
      </c>
      <c r="T196" s="912">
        <f>10835-1</f>
        <v>10834</v>
      </c>
    </row>
    <row r="197" spans="1:20" x14ac:dyDescent="0.25">
      <c r="A197" s="906">
        <v>91871</v>
      </c>
      <c r="B197" s="907" t="s">
        <v>2761</v>
      </c>
      <c r="C197" s="908">
        <v>1.3319E-3</v>
      </c>
      <c r="D197" s="908">
        <v>1.2712000000000001E-3</v>
      </c>
      <c r="E197" s="909">
        <v>2034774</v>
      </c>
      <c r="F197" s="909"/>
      <c r="G197" s="910">
        <v>117222</v>
      </c>
      <c r="H197" s="911">
        <v>494045</v>
      </c>
      <c r="I197" s="910">
        <v>290594</v>
      </c>
      <c r="J197" s="909">
        <v>22538</v>
      </c>
      <c r="K197" s="911">
        <f t="shared" si="4"/>
        <v>924399</v>
      </c>
      <c r="L197" s="909"/>
      <c r="M197" s="910">
        <v>57598</v>
      </c>
      <c r="N197" s="910">
        <v>0</v>
      </c>
      <c r="O197" s="909">
        <v>73797</v>
      </c>
      <c r="P197" s="911">
        <f t="shared" si="5"/>
        <v>131395</v>
      </c>
      <c r="Q197" s="909"/>
      <c r="R197" s="910">
        <v>685721</v>
      </c>
      <c r="S197" s="912">
        <v>-28802</v>
      </c>
      <c r="T197" s="912">
        <v>656919</v>
      </c>
    </row>
    <row r="198" spans="1:20" x14ac:dyDescent="0.25">
      <c r="A198" s="906">
        <v>91881</v>
      </c>
      <c r="B198" s="907" t="s">
        <v>2762</v>
      </c>
      <c r="C198" s="908">
        <v>9.3000000000000007E-6</v>
      </c>
      <c r="D198" s="908">
        <v>1.01E-5</v>
      </c>
      <c r="E198" s="909">
        <v>14208</v>
      </c>
      <c r="F198" s="909"/>
      <c r="G198" s="910">
        <v>819</v>
      </c>
      <c r="H198" s="911">
        <v>3450</v>
      </c>
      <c r="I198" s="910">
        <v>2029</v>
      </c>
      <c r="J198" s="909">
        <v>1155</v>
      </c>
      <c r="K198" s="911">
        <f t="shared" si="4"/>
        <v>7453</v>
      </c>
      <c r="L198" s="909"/>
      <c r="M198" s="910">
        <v>402</v>
      </c>
      <c r="N198" s="910">
        <v>0</v>
      </c>
      <c r="O198" s="909">
        <v>8809</v>
      </c>
      <c r="P198" s="911">
        <f t="shared" si="5"/>
        <v>9211</v>
      </c>
      <c r="Q198" s="909"/>
      <c r="R198" s="910">
        <v>4788</v>
      </c>
      <c r="S198" s="912">
        <v>-5615</v>
      </c>
      <c r="T198" s="912">
        <v>-827</v>
      </c>
    </row>
    <row r="199" spans="1:20" x14ac:dyDescent="0.25">
      <c r="A199" s="906">
        <v>91901</v>
      </c>
      <c r="B199" s="907" t="s">
        <v>2763</v>
      </c>
      <c r="C199" s="908">
        <v>3.6706999999999998E-3</v>
      </c>
      <c r="D199" s="908">
        <v>3.6564000000000002E-3</v>
      </c>
      <c r="E199" s="909">
        <v>5607813</v>
      </c>
      <c r="F199" s="909"/>
      <c r="G199" s="910">
        <v>323062</v>
      </c>
      <c r="H199" s="911">
        <v>1361584</v>
      </c>
      <c r="I199" s="910">
        <v>800873</v>
      </c>
      <c r="J199" s="909">
        <v>89719</v>
      </c>
      <c r="K199" s="911">
        <f t="shared" ref="K199:K262" si="6">G199+H199+I199+J199</f>
        <v>2575238</v>
      </c>
      <c r="L199" s="909"/>
      <c r="M199" s="910">
        <v>158739</v>
      </c>
      <c r="N199" s="910">
        <v>0</v>
      </c>
      <c r="O199" s="909">
        <v>16546</v>
      </c>
      <c r="P199" s="911">
        <f t="shared" ref="P199:P262" si="7">M199+N199+O199</f>
        <v>175285</v>
      </c>
      <c r="Q199" s="909"/>
      <c r="R199" s="910">
        <v>1889838</v>
      </c>
      <c r="S199" s="912">
        <v>53714</v>
      </c>
      <c r="T199" s="912">
        <v>1943552</v>
      </c>
    </row>
    <row r="200" spans="1:20" x14ac:dyDescent="0.25">
      <c r="A200" s="906">
        <v>91903</v>
      </c>
      <c r="B200" s="907" t="s">
        <v>2764</v>
      </c>
      <c r="C200" s="908">
        <v>8.6999999999999997E-6</v>
      </c>
      <c r="D200" s="908">
        <v>8.3999999999999992E-6</v>
      </c>
      <c r="E200" s="909">
        <v>13291</v>
      </c>
      <c r="F200" s="909"/>
      <c r="G200" s="910">
        <v>766</v>
      </c>
      <c r="H200" s="911">
        <v>3227</v>
      </c>
      <c r="I200" s="910">
        <v>1898</v>
      </c>
      <c r="J200" s="909">
        <v>2037</v>
      </c>
      <c r="K200" s="911">
        <f t="shared" si="6"/>
        <v>7928</v>
      </c>
      <c r="L200" s="909"/>
      <c r="M200" s="910">
        <v>376</v>
      </c>
      <c r="N200" s="910">
        <v>0</v>
      </c>
      <c r="O200" s="909">
        <v>3011</v>
      </c>
      <c r="P200" s="911">
        <f t="shared" si="7"/>
        <v>3387</v>
      </c>
      <c r="Q200" s="909"/>
      <c r="R200" s="910">
        <v>4479</v>
      </c>
      <c r="S200" s="912">
        <v>-2426</v>
      </c>
      <c r="T200" s="912">
        <v>2053</v>
      </c>
    </row>
    <row r="201" spans="1:20" x14ac:dyDescent="0.25">
      <c r="A201" s="906">
        <v>91904</v>
      </c>
      <c r="B201" s="907" t="s">
        <v>2765</v>
      </c>
      <c r="C201" s="908">
        <v>3.3399999999999999E-5</v>
      </c>
      <c r="D201" s="908">
        <v>2.3300000000000001E-5</v>
      </c>
      <c r="E201" s="909">
        <v>51026</v>
      </c>
      <c r="F201" s="909"/>
      <c r="G201" s="910">
        <v>2940</v>
      </c>
      <c r="H201" s="911">
        <v>12389</v>
      </c>
      <c r="I201" s="910">
        <v>7287</v>
      </c>
      <c r="J201" s="909">
        <v>11190</v>
      </c>
      <c r="K201" s="911">
        <f t="shared" si="6"/>
        <v>33806</v>
      </c>
      <c r="L201" s="909"/>
      <c r="M201" s="910">
        <v>1444</v>
      </c>
      <c r="N201" s="910">
        <v>0</v>
      </c>
      <c r="O201" s="909">
        <v>0</v>
      </c>
      <c r="P201" s="911">
        <f t="shared" si="7"/>
        <v>1444</v>
      </c>
      <c r="Q201" s="909"/>
      <c r="R201" s="910">
        <v>17196</v>
      </c>
      <c r="S201" s="912">
        <v>4334</v>
      </c>
      <c r="T201" s="912">
        <v>21530</v>
      </c>
    </row>
    <row r="202" spans="1:20" x14ac:dyDescent="0.25">
      <c r="A202" s="906">
        <v>91908</v>
      </c>
      <c r="B202" s="907" t="s">
        <v>2766</v>
      </c>
      <c r="C202" s="908">
        <v>1.6900000000000001E-5</v>
      </c>
      <c r="D202" s="908">
        <v>1.3699999999999999E-5</v>
      </c>
      <c r="E202" s="909">
        <v>25819</v>
      </c>
      <c r="F202" s="909"/>
      <c r="G202" s="910">
        <v>1487</v>
      </c>
      <c r="H202" s="911">
        <v>6269</v>
      </c>
      <c r="I202" s="910">
        <v>3687</v>
      </c>
      <c r="J202" s="909">
        <v>935</v>
      </c>
      <c r="K202" s="911">
        <f t="shared" si="6"/>
        <v>12378</v>
      </c>
      <c r="L202" s="909"/>
      <c r="M202" s="910">
        <v>731</v>
      </c>
      <c r="N202" s="910">
        <v>0</v>
      </c>
      <c r="O202" s="909">
        <v>2553</v>
      </c>
      <c r="P202" s="911">
        <f t="shared" si="7"/>
        <v>3284</v>
      </c>
      <c r="Q202" s="909"/>
      <c r="R202" s="910">
        <v>8701</v>
      </c>
      <c r="S202" s="912">
        <v>-56</v>
      </c>
      <c r="T202" s="912">
        <v>8645</v>
      </c>
    </row>
    <row r="203" spans="1:20" x14ac:dyDescent="0.25">
      <c r="A203" s="906">
        <v>91911</v>
      </c>
      <c r="B203" s="907" t="s">
        <v>2767</v>
      </c>
      <c r="C203" s="908">
        <v>4.5580000000000002E-4</v>
      </c>
      <c r="D203" s="908">
        <v>4.639E-4</v>
      </c>
      <c r="E203" s="909">
        <v>696336</v>
      </c>
      <c r="F203" s="909"/>
      <c r="G203" s="910">
        <v>40115</v>
      </c>
      <c r="H203" s="911">
        <v>169071</v>
      </c>
      <c r="I203" s="910">
        <v>99446</v>
      </c>
      <c r="J203" s="909">
        <v>13510</v>
      </c>
      <c r="K203" s="911">
        <f t="shared" si="6"/>
        <v>322142</v>
      </c>
      <c r="L203" s="909"/>
      <c r="M203" s="910">
        <v>19711</v>
      </c>
      <c r="N203" s="910">
        <v>0</v>
      </c>
      <c r="O203" s="909">
        <v>5011</v>
      </c>
      <c r="P203" s="911">
        <f t="shared" si="7"/>
        <v>24722</v>
      </c>
      <c r="Q203" s="909"/>
      <c r="R203" s="910">
        <v>234666</v>
      </c>
      <c r="S203" s="912">
        <v>598</v>
      </c>
      <c r="T203" s="912">
        <v>235264</v>
      </c>
    </row>
    <row r="204" spans="1:20" x14ac:dyDescent="0.25">
      <c r="A204" s="906">
        <v>91917</v>
      </c>
      <c r="B204" s="907" t="s">
        <v>2768</v>
      </c>
      <c r="C204" s="908">
        <v>1.22E-5</v>
      </c>
      <c r="D204" s="908">
        <v>1.36E-5</v>
      </c>
      <c r="E204" s="909">
        <v>18638</v>
      </c>
      <c r="F204" s="909"/>
      <c r="G204" s="910">
        <v>1074</v>
      </c>
      <c r="H204" s="911">
        <v>4526</v>
      </c>
      <c r="I204" s="910">
        <v>2662</v>
      </c>
      <c r="J204" s="909">
        <v>527</v>
      </c>
      <c r="K204" s="911">
        <f t="shared" si="6"/>
        <v>8789</v>
      </c>
      <c r="L204" s="909"/>
      <c r="M204" s="910">
        <v>528</v>
      </c>
      <c r="N204" s="910">
        <v>0</v>
      </c>
      <c r="O204" s="909">
        <v>310</v>
      </c>
      <c r="P204" s="911">
        <f t="shared" si="7"/>
        <v>838</v>
      </c>
      <c r="Q204" s="909"/>
      <c r="R204" s="910">
        <v>6281</v>
      </c>
      <c r="S204" s="912">
        <v>126</v>
      </c>
      <c r="T204" s="912">
        <v>6407</v>
      </c>
    </row>
    <row r="205" spans="1:20" x14ac:dyDescent="0.25">
      <c r="A205" s="906">
        <v>91921</v>
      </c>
      <c r="B205" s="907" t="s">
        <v>2769</v>
      </c>
      <c r="C205" s="908">
        <v>3.769E-4</v>
      </c>
      <c r="D205" s="908">
        <v>3.6600000000000001E-4</v>
      </c>
      <c r="E205" s="909">
        <v>575799</v>
      </c>
      <c r="F205" s="909"/>
      <c r="G205" s="910">
        <v>33171</v>
      </c>
      <c r="H205" s="911">
        <v>139804</v>
      </c>
      <c r="I205" s="910">
        <v>82232</v>
      </c>
      <c r="J205" s="909">
        <v>0</v>
      </c>
      <c r="K205" s="911">
        <f t="shared" si="6"/>
        <v>255207</v>
      </c>
      <c r="L205" s="909"/>
      <c r="M205" s="910">
        <v>16299</v>
      </c>
      <c r="N205" s="910">
        <v>0</v>
      </c>
      <c r="O205" s="909">
        <v>10651</v>
      </c>
      <c r="P205" s="911">
        <f t="shared" si="7"/>
        <v>26950</v>
      </c>
      <c r="Q205" s="909"/>
      <c r="R205" s="910">
        <v>194045</v>
      </c>
      <c r="S205" s="912">
        <v>-5316</v>
      </c>
      <c r="T205" s="912">
        <v>188729</v>
      </c>
    </row>
    <row r="206" spans="1:20" x14ac:dyDescent="0.25">
      <c r="A206" s="906">
        <v>92001</v>
      </c>
      <c r="B206" s="907" t="s">
        <v>2770</v>
      </c>
      <c r="C206" s="908">
        <v>1.8143E-3</v>
      </c>
      <c r="D206" s="908">
        <v>1.9604000000000002E-3</v>
      </c>
      <c r="E206" s="909">
        <v>2771748</v>
      </c>
      <c r="F206" s="909"/>
      <c r="G206" s="910">
        <v>159678</v>
      </c>
      <c r="H206" s="911">
        <v>672984</v>
      </c>
      <c r="I206" s="910">
        <v>395844</v>
      </c>
      <c r="J206" s="909">
        <v>48219</v>
      </c>
      <c r="K206" s="911">
        <f t="shared" si="6"/>
        <v>1276725</v>
      </c>
      <c r="L206" s="909"/>
      <c r="M206" s="910">
        <v>78459</v>
      </c>
      <c r="N206" s="910">
        <v>0</v>
      </c>
      <c r="O206" s="909">
        <v>157894</v>
      </c>
      <c r="P206" s="911">
        <f t="shared" si="7"/>
        <v>236353</v>
      </c>
      <c r="Q206" s="909"/>
      <c r="R206" s="910">
        <v>934081</v>
      </c>
      <c r="S206" s="912">
        <v>-42009</v>
      </c>
      <c r="T206" s="912">
        <f>892073-1</f>
        <v>892072</v>
      </c>
    </row>
    <row r="207" spans="1:20" x14ac:dyDescent="0.25">
      <c r="A207" s="906">
        <v>92005</v>
      </c>
      <c r="B207" s="907" t="s">
        <v>2771</v>
      </c>
      <c r="C207" s="908">
        <v>4.1399999999999997E-5</v>
      </c>
      <c r="D207" s="908">
        <v>4.6499999999999999E-5</v>
      </c>
      <c r="E207" s="909">
        <v>63248</v>
      </c>
      <c r="F207" s="909"/>
      <c r="G207" s="910">
        <v>3644</v>
      </c>
      <c r="H207" s="911">
        <v>15356</v>
      </c>
      <c r="I207" s="910">
        <v>9033</v>
      </c>
      <c r="J207" s="909">
        <v>1741</v>
      </c>
      <c r="K207" s="911">
        <f t="shared" si="6"/>
        <v>29774</v>
      </c>
      <c r="L207" s="909"/>
      <c r="M207" s="910">
        <v>1790</v>
      </c>
      <c r="N207" s="910">
        <v>0</v>
      </c>
      <c r="O207" s="909">
        <v>2252</v>
      </c>
      <c r="P207" s="911">
        <f t="shared" si="7"/>
        <v>4042</v>
      </c>
      <c r="Q207" s="909"/>
      <c r="R207" s="910">
        <v>21315</v>
      </c>
      <c r="S207" s="912">
        <v>208</v>
      </c>
      <c r="T207" s="912">
        <f>21522+1</f>
        <v>21523</v>
      </c>
    </row>
    <row r="208" spans="1:20" x14ac:dyDescent="0.25">
      <c r="A208" s="906">
        <v>92011</v>
      </c>
      <c r="B208" s="907" t="s">
        <v>2772</v>
      </c>
      <c r="C208" s="908">
        <v>2.0049999999999999E-4</v>
      </c>
      <c r="D208" s="908">
        <v>1.8660000000000001E-4</v>
      </c>
      <c r="E208" s="909">
        <v>306308</v>
      </c>
      <c r="F208" s="909"/>
      <c r="G208" s="910">
        <v>17646</v>
      </c>
      <c r="H208" s="911">
        <v>74372</v>
      </c>
      <c r="I208" s="910">
        <v>43745</v>
      </c>
      <c r="J208" s="909">
        <v>17614</v>
      </c>
      <c r="K208" s="911">
        <f t="shared" si="6"/>
        <v>153377</v>
      </c>
      <c r="L208" s="909"/>
      <c r="M208" s="910">
        <v>8671</v>
      </c>
      <c r="N208" s="910">
        <v>0</v>
      </c>
      <c r="O208" s="909">
        <v>0</v>
      </c>
      <c r="P208" s="911">
        <f t="shared" si="7"/>
        <v>8671</v>
      </c>
      <c r="Q208" s="909"/>
      <c r="R208" s="910">
        <v>103226</v>
      </c>
      <c r="S208" s="912">
        <v>9780</v>
      </c>
      <c r="T208" s="912">
        <v>113006</v>
      </c>
    </row>
    <row r="209" spans="1:20" x14ac:dyDescent="0.25">
      <c r="A209" s="906">
        <v>92017</v>
      </c>
      <c r="B209" s="907" t="s">
        <v>2773</v>
      </c>
      <c r="C209" s="908">
        <v>3.4199999999999998E-5</v>
      </c>
      <c r="D209" s="908">
        <v>3.5099999999999999E-5</v>
      </c>
      <c r="E209" s="909">
        <v>52248</v>
      </c>
      <c r="F209" s="909"/>
      <c r="G209" s="910">
        <v>3010</v>
      </c>
      <c r="H209" s="911">
        <v>12686</v>
      </c>
      <c r="I209" s="910">
        <v>7462</v>
      </c>
      <c r="J209" s="909">
        <v>639</v>
      </c>
      <c r="K209" s="911">
        <f t="shared" si="6"/>
        <v>23797</v>
      </c>
      <c r="L209" s="909"/>
      <c r="M209" s="910">
        <v>1479</v>
      </c>
      <c r="N209" s="910">
        <v>0</v>
      </c>
      <c r="O209" s="909">
        <v>1257</v>
      </c>
      <c r="P209" s="911">
        <f t="shared" si="7"/>
        <v>2736</v>
      </c>
      <c r="Q209" s="909"/>
      <c r="R209" s="910">
        <v>17608</v>
      </c>
      <c r="S209" s="912">
        <v>-668</v>
      </c>
      <c r="T209" s="912">
        <f>16939+1</f>
        <v>16940</v>
      </c>
    </row>
    <row r="210" spans="1:20" x14ac:dyDescent="0.25">
      <c r="A210" s="906">
        <v>92021</v>
      </c>
      <c r="B210" s="907" t="s">
        <v>2774</v>
      </c>
      <c r="C210" s="908">
        <v>1.5779999999999999E-4</v>
      </c>
      <c r="D210" s="908">
        <v>1.4249999999999999E-4</v>
      </c>
      <c r="E210" s="909">
        <v>241075</v>
      </c>
      <c r="F210" s="909"/>
      <c r="G210" s="910">
        <v>13888</v>
      </c>
      <c r="H210" s="911">
        <v>58533</v>
      </c>
      <c r="I210" s="910">
        <v>34429</v>
      </c>
      <c r="J210" s="909">
        <v>30504</v>
      </c>
      <c r="K210" s="911">
        <f t="shared" si="6"/>
        <v>137354</v>
      </c>
      <c r="L210" s="909"/>
      <c r="M210" s="910">
        <v>6824</v>
      </c>
      <c r="N210" s="910">
        <v>0</v>
      </c>
      <c r="O210" s="909">
        <v>11142</v>
      </c>
      <c r="P210" s="911">
        <f t="shared" si="7"/>
        <v>17966</v>
      </c>
      <c r="Q210" s="909"/>
      <c r="R210" s="910">
        <v>81242</v>
      </c>
      <c r="S210" s="912">
        <v>1771</v>
      </c>
      <c r="T210" s="912">
        <f>83014-1</f>
        <v>83013</v>
      </c>
    </row>
    <row r="211" spans="1:20" x14ac:dyDescent="0.25">
      <c r="A211" s="906">
        <v>92101</v>
      </c>
      <c r="B211" s="907" t="s">
        <v>2775</v>
      </c>
      <c r="C211" s="908">
        <v>8.5209999999999995E-4</v>
      </c>
      <c r="D211" s="908">
        <v>8.6870000000000003E-4</v>
      </c>
      <c r="E211" s="909">
        <v>1301773</v>
      </c>
      <c r="F211" s="909"/>
      <c r="G211" s="910">
        <v>74994</v>
      </c>
      <c r="H211" s="911">
        <v>316072</v>
      </c>
      <c r="I211" s="910">
        <v>185911</v>
      </c>
      <c r="J211" s="909">
        <v>9505</v>
      </c>
      <c r="K211" s="911">
        <f t="shared" si="6"/>
        <v>586482</v>
      </c>
      <c r="L211" s="909"/>
      <c r="M211" s="910">
        <v>36849</v>
      </c>
      <c r="N211" s="910">
        <v>0</v>
      </c>
      <c r="O211" s="909">
        <v>63189</v>
      </c>
      <c r="P211" s="911">
        <f t="shared" si="7"/>
        <v>100038</v>
      </c>
      <c r="Q211" s="909"/>
      <c r="R211" s="910">
        <v>438699</v>
      </c>
      <c r="S211" s="912">
        <v>-10164</v>
      </c>
      <c r="T211" s="912">
        <v>428535</v>
      </c>
    </row>
    <row r="212" spans="1:20" x14ac:dyDescent="0.25">
      <c r="A212" s="906">
        <v>92104</v>
      </c>
      <c r="B212" s="907" t="s">
        <v>2776</v>
      </c>
      <c r="C212" s="908">
        <v>8.6000000000000007E-6</v>
      </c>
      <c r="D212" s="908">
        <v>8.8000000000000004E-6</v>
      </c>
      <c r="E212" s="909">
        <v>13138</v>
      </c>
      <c r="F212" s="909"/>
      <c r="G212" s="910">
        <v>757</v>
      </c>
      <c r="H212" s="911">
        <v>3190</v>
      </c>
      <c r="I212" s="910">
        <v>1876</v>
      </c>
      <c r="J212" s="909">
        <v>3377</v>
      </c>
      <c r="K212" s="911">
        <f t="shared" si="6"/>
        <v>9200</v>
      </c>
      <c r="L212" s="909"/>
      <c r="M212" s="910">
        <v>372</v>
      </c>
      <c r="N212" s="910">
        <v>0</v>
      </c>
      <c r="O212" s="909">
        <v>0</v>
      </c>
      <c r="P212" s="911">
        <f t="shared" si="7"/>
        <v>372</v>
      </c>
      <c r="Q212" s="909"/>
      <c r="R212" s="910">
        <v>4428</v>
      </c>
      <c r="S212" s="912">
        <v>1850</v>
      </c>
      <c r="T212" s="912">
        <f>6277+1</f>
        <v>6278</v>
      </c>
    </row>
    <row r="213" spans="1:20" x14ac:dyDescent="0.25">
      <c r="A213" s="906">
        <v>92109</v>
      </c>
      <c r="B213" s="907" t="s">
        <v>2777</v>
      </c>
      <c r="C213" s="908">
        <v>1.8809999999999999E-4</v>
      </c>
      <c r="D213" s="908">
        <v>1.7909999999999999E-4</v>
      </c>
      <c r="E213" s="909">
        <v>287365</v>
      </c>
      <c r="F213" s="909"/>
      <c r="G213" s="910">
        <v>16555</v>
      </c>
      <c r="H213" s="911">
        <v>69773</v>
      </c>
      <c r="I213" s="910">
        <v>41040</v>
      </c>
      <c r="J213" s="909">
        <v>2067</v>
      </c>
      <c r="K213" s="911">
        <f t="shared" si="6"/>
        <v>129435</v>
      </c>
      <c r="L213" s="909"/>
      <c r="M213" s="910">
        <v>8134</v>
      </c>
      <c r="N213" s="910">
        <v>0</v>
      </c>
      <c r="O213" s="909">
        <v>12612</v>
      </c>
      <c r="P213" s="911">
        <f t="shared" si="7"/>
        <v>20746</v>
      </c>
      <c r="Q213" s="909"/>
      <c r="R213" s="910">
        <v>96842</v>
      </c>
      <c r="S213" s="912">
        <v>-5396</v>
      </c>
      <c r="T213" s="912">
        <v>91446</v>
      </c>
    </row>
    <row r="214" spans="1:20" x14ac:dyDescent="0.25">
      <c r="A214" s="906">
        <v>92111</v>
      </c>
      <c r="B214" s="907" t="s">
        <v>2778</v>
      </c>
      <c r="C214" s="908">
        <v>5.0460000000000001E-4</v>
      </c>
      <c r="D214" s="908">
        <v>5.0009999999999996E-4</v>
      </c>
      <c r="E214" s="909">
        <v>770889</v>
      </c>
      <c r="F214" s="909"/>
      <c r="G214" s="910">
        <v>44410</v>
      </c>
      <c r="H214" s="911">
        <v>187173</v>
      </c>
      <c r="I214" s="910">
        <v>110094</v>
      </c>
      <c r="J214" s="909">
        <v>10602</v>
      </c>
      <c r="K214" s="911">
        <f t="shared" si="6"/>
        <v>352279</v>
      </c>
      <c r="L214" s="909"/>
      <c r="M214" s="910">
        <v>21821</v>
      </c>
      <c r="N214" s="910">
        <v>0</v>
      </c>
      <c r="O214" s="909">
        <v>13269</v>
      </c>
      <c r="P214" s="911">
        <f t="shared" si="7"/>
        <v>35090</v>
      </c>
      <c r="Q214" s="909"/>
      <c r="R214" s="910">
        <v>259790</v>
      </c>
      <c r="S214" s="912">
        <v>2449</v>
      </c>
      <c r="T214" s="912">
        <v>262239</v>
      </c>
    </row>
    <row r="215" spans="1:20" x14ac:dyDescent="0.25">
      <c r="A215" s="906">
        <v>92113</v>
      </c>
      <c r="B215" s="907" t="s">
        <v>2779</v>
      </c>
      <c r="C215" s="908">
        <v>1.4399999999999999E-5</v>
      </c>
      <c r="D215" s="908">
        <v>2.2099999999999998E-5</v>
      </c>
      <c r="E215" s="909">
        <v>21999</v>
      </c>
      <c r="F215" s="909"/>
      <c r="G215" s="910">
        <v>1267</v>
      </c>
      <c r="H215" s="911">
        <v>5342</v>
      </c>
      <c r="I215" s="910">
        <v>3142</v>
      </c>
      <c r="J215" s="909">
        <v>17604</v>
      </c>
      <c r="K215" s="911">
        <f t="shared" si="6"/>
        <v>27355</v>
      </c>
      <c r="L215" s="909"/>
      <c r="M215" s="910">
        <v>623</v>
      </c>
      <c r="N215" s="910">
        <v>0</v>
      </c>
      <c r="O215" s="909">
        <v>2179</v>
      </c>
      <c r="P215" s="911">
        <f t="shared" si="7"/>
        <v>2802</v>
      </c>
      <c r="Q215" s="909"/>
      <c r="R215" s="910">
        <v>7414</v>
      </c>
      <c r="S215" s="912">
        <v>7173</v>
      </c>
      <c r="T215" s="912">
        <v>14587</v>
      </c>
    </row>
    <row r="216" spans="1:20" x14ac:dyDescent="0.25">
      <c r="A216" s="906">
        <v>92201</v>
      </c>
      <c r="B216" s="907" t="s">
        <v>2780</v>
      </c>
      <c r="C216" s="908">
        <v>9.3389999999999999E-4</v>
      </c>
      <c r="D216" s="908">
        <v>1.0267E-3</v>
      </c>
      <c r="E216" s="909">
        <v>1426741</v>
      </c>
      <c r="F216" s="909"/>
      <c r="G216" s="910">
        <v>82193</v>
      </c>
      <c r="H216" s="911">
        <v>346414</v>
      </c>
      <c r="I216" s="910">
        <v>203758</v>
      </c>
      <c r="J216" s="909">
        <v>36804</v>
      </c>
      <c r="K216" s="911">
        <f t="shared" si="6"/>
        <v>669169</v>
      </c>
      <c r="L216" s="909"/>
      <c r="M216" s="910">
        <v>40387</v>
      </c>
      <c r="N216" s="910">
        <v>0</v>
      </c>
      <c r="O216" s="909">
        <v>43356</v>
      </c>
      <c r="P216" s="911">
        <f t="shared" si="7"/>
        <v>83743</v>
      </c>
      <c r="Q216" s="909"/>
      <c r="R216" s="910">
        <v>480813</v>
      </c>
      <c r="S216" s="912">
        <v>13056</v>
      </c>
      <c r="T216" s="912">
        <v>493869</v>
      </c>
    </row>
    <row r="217" spans="1:20" x14ac:dyDescent="0.25">
      <c r="A217" s="906">
        <v>92301</v>
      </c>
      <c r="B217" s="907" t="s">
        <v>2781</v>
      </c>
      <c r="C217" s="908">
        <v>5.2129999999999998E-3</v>
      </c>
      <c r="D217" s="908">
        <v>5.2411000000000003E-3</v>
      </c>
      <c r="E217" s="909">
        <v>7964020</v>
      </c>
      <c r="F217" s="909"/>
      <c r="G217" s="910">
        <v>458801</v>
      </c>
      <c r="H217" s="911">
        <v>1933674</v>
      </c>
      <c r="I217" s="910">
        <v>1137372</v>
      </c>
      <c r="J217" s="909">
        <v>53669</v>
      </c>
      <c r="K217" s="911">
        <f t="shared" si="6"/>
        <v>3583516</v>
      </c>
      <c r="L217" s="909"/>
      <c r="M217" s="910">
        <v>225436</v>
      </c>
      <c r="N217" s="910">
        <v>0</v>
      </c>
      <c r="O217" s="909">
        <v>40357</v>
      </c>
      <c r="P217" s="911">
        <f t="shared" si="7"/>
        <v>265793</v>
      </c>
      <c r="Q217" s="909"/>
      <c r="R217" s="910">
        <v>2683882</v>
      </c>
      <c r="S217" s="912">
        <v>7360</v>
      </c>
      <c r="T217" s="912">
        <v>2691242</v>
      </c>
    </row>
    <row r="218" spans="1:20" x14ac:dyDescent="0.25">
      <c r="A218" s="906">
        <v>92302</v>
      </c>
      <c r="B218" s="907" t="s">
        <v>3582</v>
      </c>
      <c r="C218" s="908">
        <v>2.9740000000000002E-4</v>
      </c>
      <c r="D218" s="908">
        <v>3.168E-4</v>
      </c>
      <c r="E218" s="909">
        <v>454345</v>
      </c>
      <c r="F218" s="909"/>
      <c r="G218" s="910">
        <v>26174</v>
      </c>
      <c r="H218" s="911">
        <v>110316</v>
      </c>
      <c r="I218" s="910">
        <v>64887</v>
      </c>
      <c r="J218" s="909">
        <v>0</v>
      </c>
      <c r="K218" s="911">
        <f t="shared" si="6"/>
        <v>201377</v>
      </c>
      <c r="L218" s="909"/>
      <c r="M218" s="910">
        <v>12861</v>
      </c>
      <c r="N218" s="910">
        <v>0</v>
      </c>
      <c r="O218" s="909">
        <v>28639</v>
      </c>
      <c r="P218" s="911">
        <f t="shared" si="7"/>
        <v>41500</v>
      </c>
      <c r="Q218" s="909"/>
      <c r="R218" s="910">
        <v>153115</v>
      </c>
      <c r="S218" s="912">
        <v>-9739</v>
      </c>
      <c r="T218" s="912">
        <v>143376</v>
      </c>
    </row>
    <row r="219" spans="1:20" x14ac:dyDescent="0.25">
      <c r="A219" s="906">
        <v>92311</v>
      </c>
      <c r="B219" s="907" t="s">
        <v>2783</v>
      </c>
      <c r="C219" s="908">
        <v>2.2504999999999999E-3</v>
      </c>
      <c r="D219" s="908">
        <v>2.1857000000000001E-3</v>
      </c>
      <c r="E219" s="909">
        <v>3438141</v>
      </c>
      <c r="F219" s="909"/>
      <c r="G219" s="910">
        <v>198069</v>
      </c>
      <c r="H219" s="911">
        <v>834785</v>
      </c>
      <c r="I219" s="910">
        <v>491014</v>
      </c>
      <c r="J219" s="909">
        <v>8358</v>
      </c>
      <c r="K219" s="911">
        <f t="shared" si="6"/>
        <v>1532226</v>
      </c>
      <c r="L219" s="909"/>
      <c r="M219" s="910">
        <v>97323</v>
      </c>
      <c r="N219" s="910">
        <v>0</v>
      </c>
      <c r="O219" s="909">
        <v>54246</v>
      </c>
      <c r="P219" s="911">
        <f t="shared" si="7"/>
        <v>151569</v>
      </c>
      <c r="Q219" s="909"/>
      <c r="R219" s="910">
        <v>1158656</v>
      </c>
      <c r="S219" s="912">
        <v>-36529</v>
      </c>
      <c r="T219" s="912">
        <v>1122127</v>
      </c>
    </row>
    <row r="220" spans="1:20" x14ac:dyDescent="0.25">
      <c r="A220" s="906">
        <v>92317</v>
      </c>
      <c r="B220" s="907" t="s">
        <v>2784</v>
      </c>
      <c r="C220" s="908">
        <v>2.94E-5</v>
      </c>
      <c r="D220" s="908">
        <v>2.9600000000000001E-5</v>
      </c>
      <c r="E220" s="909">
        <v>44915</v>
      </c>
      <c r="F220" s="909"/>
      <c r="G220" s="910">
        <v>2588</v>
      </c>
      <c r="H220" s="911">
        <v>10905</v>
      </c>
      <c r="I220" s="910">
        <v>6414</v>
      </c>
      <c r="J220" s="909">
        <v>15615</v>
      </c>
      <c r="K220" s="911">
        <f t="shared" si="6"/>
        <v>35522</v>
      </c>
      <c r="L220" s="909"/>
      <c r="M220" s="910">
        <v>1271</v>
      </c>
      <c r="N220" s="910">
        <v>0</v>
      </c>
      <c r="O220" s="909">
        <v>0</v>
      </c>
      <c r="P220" s="911">
        <f t="shared" si="7"/>
        <v>1271</v>
      </c>
      <c r="Q220" s="909"/>
      <c r="R220" s="910">
        <v>15136</v>
      </c>
      <c r="S220" s="912">
        <v>6218</v>
      </c>
      <c r="T220" s="912">
        <v>21354</v>
      </c>
    </row>
    <row r="221" spans="1:20" x14ac:dyDescent="0.25">
      <c r="A221" s="906">
        <v>92321</v>
      </c>
      <c r="B221" s="907" t="s">
        <v>2785</v>
      </c>
      <c r="C221" s="908">
        <v>1.1773E-3</v>
      </c>
      <c r="D221" s="908">
        <v>1.2218999999999999E-3</v>
      </c>
      <c r="E221" s="909">
        <v>1798588</v>
      </c>
      <c r="F221" s="909"/>
      <c r="G221" s="910">
        <v>103615</v>
      </c>
      <c r="H221" s="911">
        <v>436700</v>
      </c>
      <c r="I221" s="910">
        <v>256863</v>
      </c>
      <c r="J221" s="909">
        <v>35464</v>
      </c>
      <c r="K221" s="911">
        <f t="shared" si="6"/>
        <v>832642</v>
      </c>
      <c r="L221" s="909"/>
      <c r="M221" s="910">
        <v>50912</v>
      </c>
      <c r="N221" s="910">
        <v>0</v>
      </c>
      <c r="O221" s="909">
        <v>20669</v>
      </c>
      <c r="P221" s="911">
        <f t="shared" si="7"/>
        <v>71581</v>
      </c>
      <c r="Q221" s="909"/>
      <c r="R221" s="910">
        <v>606126</v>
      </c>
      <c r="S221" s="912">
        <v>20498</v>
      </c>
      <c r="T221" s="912">
        <v>626624</v>
      </c>
    </row>
    <row r="222" spans="1:20" x14ac:dyDescent="0.25">
      <c r="A222" s="906">
        <v>92327</v>
      </c>
      <c r="B222" s="907" t="s">
        <v>2786</v>
      </c>
      <c r="C222" s="908">
        <v>5.6999999999999996E-6</v>
      </c>
      <c r="D222" s="908">
        <v>7.6000000000000001E-6</v>
      </c>
      <c r="E222" s="909">
        <v>8708</v>
      </c>
      <c r="F222" s="909"/>
      <c r="G222" s="910">
        <v>502</v>
      </c>
      <c r="H222" s="911">
        <v>2115</v>
      </c>
      <c r="I222" s="910">
        <v>1244</v>
      </c>
      <c r="J222" s="909">
        <v>2932</v>
      </c>
      <c r="K222" s="911">
        <f t="shared" si="6"/>
        <v>6793</v>
      </c>
      <c r="L222" s="909"/>
      <c r="M222" s="910">
        <v>246</v>
      </c>
      <c r="N222" s="910">
        <v>0</v>
      </c>
      <c r="O222" s="909">
        <v>0</v>
      </c>
      <c r="P222" s="911">
        <f t="shared" si="7"/>
        <v>246</v>
      </c>
      <c r="Q222" s="909"/>
      <c r="R222" s="910">
        <v>2935</v>
      </c>
      <c r="S222" s="912">
        <v>1142</v>
      </c>
      <c r="T222" s="912">
        <v>4077</v>
      </c>
    </row>
    <row r="223" spans="1:20" x14ac:dyDescent="0.25">
      <c r="A223" s="906">
        <v>92331</v>
      </c>
      <c r="B223" s="907" t="s">
        <v>2787</v>
      </c>
      <c r="C223" s="908">
        <v>1.3970000000000001E-4</v>
      </c>
      <c r="D223" s="908">
        <v>1.393E-4</v>
      </c>
      <c r="E223" s="909">
        <v>213423</v>
      </c>
      <c r="F223" s="909"/>
      <c r="G223" s="910">
        <v>12295</v>
      </c>
      <c r="H223" s="911">
        <v>51819</v>
      </c>
      <c r="I223" s="910">
        <v>30480</v>
      </c>
      <c r="J223" s="909">
        <v>2070</v>
      </c>
      <c r="K223" s="911">
        <f t="shared" si="6"/>
        <v>96664</v>
      </c>
      <c r="L223" s="909"/>
      <c r="M223" s="910">
        <v>6041</v>
      </c>
      <c r="N223" s="910">
        <v>0</v>
      </c>
      <c r="O223" s="909">
        <v>7559</v>
      </c>
      <c r="P223" s="911">
        <f t="shared" si="7"/>
        <v>13600</v>
      </c>
      <c r="Q223" s="909"/>
      <c r="R223" s="910">
        <v>71924</v>
      </c>
      <c r="S223" s="912">
        <v>-755</v>
      </c>
      <c r="T223" s="912">
        <v>71169</v>
      </c>
    </row>
    <row r="224" spans="1:20" x14ac:dyDescent="0.25">
      <c r="A224" s="906">
        <v>92341</v>
      </c>
      <c r="B224" s="907" t="s">
        <v>2788</v>
      </c>
      <c r="C224" s="908">
        <v>9.7999999999999993E-6</v>
      </c>
      <c r="D224" s="908">
        <v>7.9000000000000006E-6</v>
      </c>
      <c r="E224" s="909">
        <v>14972</v>
      </c>
      <c r="F224" s="909"/>
      <c r="G224" s="910">
        <v>863</v>
      </c>
      <c r="H224" s="911">
        <v>3635</v>
      </c>
      <c r="I224" s="910">
        <v>2138</v>
      </c>
      <c r="J224" s="909">
        <v>523</v>
      </c>
      <c r="K224" s="911">
        <f t="shared" si="6"/>
        <v>7159</v>
      </c>
      <c r="L224" s="909"/>
      <c r="M224" s="910">
        <v>424</v>
      </c>
      <c r="N224" s="910">
        <v>0</v>
      </c>
      <c r="O224" s="909">
        <v>1977</v>
      </c>
      <c r="P224" s="911">
        <f t="shared" si="7"/>
        <v>2401</v>
      </c>
      <c r="Q224" s="909"/>
      <c r="R224" s="910">
        <v>5045</v>
      </c>
      <c r="S224" s="912">
        <v>-859</v>
      </c>
      <c r="T224" s="912">
        <f>4187-1</f>
        <v>4186</v>
      </c>
    </row>
    <row r="225" spans="1:20" x14ac:dyDescent="0.25">
      <c r="A225" s="906">
        <v>92351</v>
      </c>
      <c r="B225" s="907" t="s">
        <v>2789</v>
      </c>
      <c r="C225" s="908">
        <v>1.8600000000000001E-5</v>
      </c>
      <c r="D225" s="908">
        <v>1.95E-5</v>
      </c>
      <c r="E225" s="909">
        <v>28416</v>
      </c>
      <c r="F225" s="909"/>
      <c r="G225" s="910">
        <v>1637</v>
      </c>
      <c r="H225" s="911">
        <v>6899</v>
      </c>
      <c r="I225" s="910">
        <v>4058</v>
      </c>
      <c r="J225" s="909">
        <v>746</v>
      </c>
      <c r="K225" s="911">
        <f t="shared" si="6"/>
        <v>13340</v>
      </c>
      <c r="L225" s="909"/>
      <c r="M225" s="910">
        <v>804</v>
      </c>
      <c r="N225" s="910">
        <v>0</v>
      </c>
      <c r="O225" s="909">
        <v>4166</v>
      </c>
      <c r="P225" s="911">
        <f t="shared" si="7"/>
        <v>4970</v>
      </c>
      <c r="Q225" s="909"/>
      <c r="R225" s="910">
        <v>9576</v>
      </c>
      <c r="S225" s="912">
        <v>-1010</v>
      </c>
      <c r="T225" s="912">
        <f>8567-1</f>
        <v>8566</v>
      </c>
    </row>
    <row r="226" spans="1:20" x14ac:dyDescent="0.25">
      <c r="A226" s="906">
        <v>92401</v>
      </c>
      <c r="B226" s="907" t="s">
        <v>2790</v>
      </c>
      <c r="C226" s="908">
        <v>2.6890999999999998E-3</v>
      </c>
      <c r="D226" s="908">
        <v>2.7449000000000002E-3</v>
      </c>
      <c r="E226" s="909">
        <v>4108200</v>
      </c>
      <c r="F226" s="909"/>
      <c r="G226" s="910">
        <v>236670</v>
      </c>
      <c r="H226" s="911">
        <v>997476</v>
      </c>
      <c r="I226" s="910">
        <v>586708</v>
      </c>
      <c r="J226" s="909">
        <v>34938</v>
      </c>
      <c r="K226" s="911">
        <f t="shared" si="6"/>
        <v>1855792</v>
      </c>
      <c r="L226" s="909"/>
      <c r="M226" s="910">
        <v>116290</v>
      </c>
      <c r="N226" s="910">
        <v>0</v>
      </c>
      <c r="O226" s="909">
        <v>3448</v>
      </c>
      <c r="P226" s="911">
        <f t="shared" si="7"/>
        <v>119738</v>
      </c>
      <c r="Q226" s="909"/>
      <c r="R226" s="910">
        <v>1384467</v>
      </c>
      <c r="S226" s="912">
        <v>19009</v>
      </c>
      <c r="T226" s="912">
        <v>1403476</v>
      </c>
    </row>
    <row r="227" spans="1:20" x14ac:dyDescent="0.25">
      <c r="A227" s="906">
        <v>92403</v>
      </c>
      <c r="B227" s="907" t="s">
        <v>2791</v>
      </c>
      <c r="C227" s="908">
        <v>1.11E-5</v>
      </c>
      <c r="D227" s="908">
        <v>9.7999999999999993E-6</v>
      </c>
      <c r="E227" s="909">
        <v>16958</v>
      </c>
      <c r="F227" s="909"/>
      <c r="G227" s="910">
        <v>977</v>
      </c>
      <c r="H227" s="911">
        <v>4117</v>
      </c>
      <c r="I227" s="910">
        <v>2422</v>
      </c>
      <c r="J227" s="909">
        <v>1858</v>
      </c>
      <c r="K227" s="911">
        <f t="shared" si="6"/>
        <v>9374</v>
      </c>
      <c r="L227" s="909"/>
      <c r="M227" s="910">
        <v>480</v>
      </c>
      <c r="N227" s="910">
        <v>0</v>
      </c>
      <c r="O227" s="909">
        <v>1307</v>
      </c>
      <c r="P227" s="911">
        <f t="shared" si="7"/>
        <v>1787</v>
      </c>
      <c r="Q227" s="909"/>
      <c r="R227" s="910">
        <v>5715</v>
      </c>
      <c r="S227" s="912">
        <v>135</v>
      </c>
      <c r="T227" s="912">
        <f>5849+1</f>
        <v>5850</v>
      </c>
    </row>
    <row r="228" spans="1:20" x14ac:dyDescent="0.25">
      <c r="A228" s="906">
        <v>92411</v>
      </c>
      <c r="B228" s="907" t="s">
        <v>2792</v>
      </c>
      <c r="C228" s="908">
        <v>5.0469999999999996E-4</v>
      </c>
      <c r="D228" s="908">
        <v>4.8030000000000002E-4</v>
      </c>
      <c r="E228" s="909">
        <v>771042</v>
      </c>
      <c r="F228" s="909"/>
      <c r="G228" s="910">
        <v>44419</v>
      </c>
      <c r="H228" s="911">
        <v>187210</v>
      </c>
      <c r="I228" s="910">
        <v>110115</v>
      </c>
      <c r="J228" s="909">
        <v>369</v>
      </c>
      <c r="K228" s="911">
        <f t="shared" si="6"/>
        <v>342113</v>
      </c>
      <c r="L228" s="909"/>
      <c r="M228" s="910">
        <v>21826</v>
      </c>
      <c r="N228" s="910">
        <v>0</v>
      </c>
      <c r="O228" s="909">
        <v>44165</v>
      </c>
      <c r="P228" s="911">
        <f t="shared" si="7"/>
        <v>65991</v>
      </c>
      <c r="Q228" s="909"/>
      <c r="R228" s="910">
        <v>259842</v>
      </c>
      <c r="S228" s="912">
        <v>-17900</v>
      </c>
      <c r="T228" s="912">
        <v>241942</v>
      </c>
    </row>
    <row r="229" spans="1:20" x14ac:dyDescent="0.25">
      <c r="A229" s="906">
        <v>92414</v>
      </c>
      <c r="B229" s="907" t="s">
        <v>1389</v>
      </c>
      <c r="C229" s="908">
        <v>0</v>
      </c>
      <c r="D229" s="908">
        <v>0</v>
      </c>
      <c r="E229" s="909">
        <v>0</v>
      </c>
      <c r="F229" s="909"/>
      <c r="G229" s="910">
        <v>0</v>
      </c>
      <c r="H229" s="911">
        <v>0</v>
      </c>
      <c r="I229" s="910">
        <v>0</v>
      </c>
      <c r="J229" s="909">
        <v>0</v>
      </c>
      <c r="K229" s="911">
        <f t="shared" si="6"/>
        <v>0</v>
      </c>
      <c r="L229" s="909"/>
      <c r="M229" s="910">
        <v>0</v>
      </c>
      <c r="N229" s="910">
        <v>0</v>
      </c>
      <c r="O229" s="909">
        <v>5712</v>
      </c>
      <c r="P229" s="911">
        <f t="shared" si="7"/>
        <v>5712</v>
      </c>
      <c r="Q229" s="909"/>
      <c r="R229" s="910">
        <v>0</v>
      </c>
      <c r="S229" s="912">
        <v>-2445</v>
      </c>
      <c r="T229" s="912">
        <v>-2445</v>
      </c>
    </row>
    <row r="230" spans="1:20" x14ac:dyDescent="0.25">
      <c r="A230" s="906">
        <v>92417</v>
      </c>
      <c r="B230" s="907" t="s">
        <v>2793</v>
      </c>
      <c r="C230" s="908">
        <v>1.8300000000000001E-5</v>
      </c>
      <c r="D230" s="908">
        <v>1.77E-5</v>
      </c>
      <c r="E230" s="909">
        <v>27957</v>
      </c>
      <c r="F230" s="909"/>
      <c r="G230" s="910">
        <v>1611</v>
      </c>
      <c r="H230" s="911">
        <v>6788</v>
      </c>
      <c r="I230" s="910">
        <v>3993</v>
      </c>
      <c r="J230" s="909">
        <v>0</v>
      </c>
      <c r="K230" s="911">
        <f t="shared" si="6"/>
        <v>12392</v>
      </c>
      <c r="L230" s="909"/>
      <c r="M230" s="910">
        <v>791</v>
      </c>
      <c r="N230" s="910">
        <v>0</v>
      </c>
      <c r="O230" s="909">
        <v>2726</v>
      </c>
      <c r="P230" s="911">
        <f t="shared" si="7"/>
        <v>3517</v>
      </c>
      <c r="Q230" s="909"/>
      <c r="R230" s="910">
        <v>9422</v>
      </c>
      <c r="S230" s="912">
        <v>-895</v>
      </c>
      <c r="T230" s="912">
        <v>8527</v>
      </c>
    </row>
    <row r="231" spans="1:20" x14ac:dyDescent="0.25">
      <c r="A231" s="906">
        <v>92421</v>
      </c>
      <c r="B231" s="907" t="s">
        <v>2794</v>
      </c>
      <c r="C231" s="908">
        <v>8.8000000000000004E-6</v>
      </c>
      <c r="D231" s="908">
        <v>9.0000000000000002E-6</v>
      </c>
      <c r="E231" s="909">
        <v>13444</v>
      </c>
      <c r="F231" s="909"/>
      <c r="G231" s="910">
        <v>774</v>
      </c>
      <c r="H231" s="911">
        <v>3264</v>
      </c>
      <c r="I231" s="910">
        <v>1920</v>
      </c>
      <c r="J231" s="909">
        <v>3546</v>
      </c>
      <c r="K231" s="911">
        <f t="shared" si="6"/>
        <v>9504</v>
      </c>
      <c r="L231" s="909"/>
      <c r="M231" s="910">
        <v>381</v>
      </c>
      <c r="N231" s="910">
        <v>0</v>
      </c>
      <c r="O231" s="909">
        <v>1149</v>
      </c>
      <c r="P231" s="911">
        <f t="shared" si="7"/>
        <v>1530</v>
      </c>
      <c r="Q231" s="909"/>
      <c r="R231" s="910">
        <v>4531</v>
      </c>
      <c r="S231" s="912">
        <v>935</v>
      </c>
      <c r="T231" s="912">
        <v>5466</v>
      </c>
    </row>
    <row r="232" spans="1:20" x14ac:dyDescent="0.25">
      <c r="A232" s="906">
        <v>92427</v>
      </c>
      <c r="B232" s="907" t="s">
        <v>2795</v>
      </c>
      <c r="C232" s="908">
        <v>3.9999999999999998E-7</v>
      </c>
      <c r="D232" s="908">
        <v>6.9999999999999997E-7</v>
      </c>
      <c r="E232" s="909">
        <v>611</v>
      </c>
      <c r="F232" s="909"/>
      <c r="G232" s="910">
        <v>35</v>
      </c>
      <c r="H232" s="911">
        <v>148</v>
      </c>
      <c r="I232" s="910">
        <v>87</v>
      </c>
      <c r="J232" s="909">
        <v>1998</v>
      </c>
      <c r="K232" s="911">
        <f t="shared" si="6"/>
        <v>2268</v>
      </c>
      <c r="L232" s="909"/>
      <c r="M232" s="910">
        <v>17</v>
      </c>
      <c r="N232" s="910">
        <v>0</v>
      </c>
      <c r="O232" s="909">
        <v>0</v>
      </c>
      <c r="P232" s="911">
        <f t="shared" si="7"/>
        <v>17</v>
      </c>
      <c r="Q232" s="909"/>
      <c r="R232" s="910">
        <v>206</v>
      </c>
      <c r="S232" s="912">
        <v>841</v>
      </c>
      <c r="T232" s="912">
        <v>1047</v>
      </c>
    </row>
    <row r="233" spans="1:20" x14ac:dyDescent="0.25">
      <c r="A233" s="906">
        <v>92431</v>
      </c>
      <c r="B233" s="907" t="s">
        <v>2796</v>
      </c>
      <c r="C233" s="908">
        <v>3.0800000000000003E-5</v>
      </c>
      <c r="D233" s="908">
        <v>1.8499999999999999E-5</v>
      </c>
      <c r="E233" s="909">
        <v>47054</v>
      </c>
      <c r="F233" s="909"/>
      <c r="G233" s="910">
        <v>2711</v>
      </c>
      <c r="H233" s="911">
        <v>11425</v>
      </c>
      <c r="I233" s="910">
        <v>6720</v>
      </c>
      <c r="J233" s="909">
        <v>18832</v>
      </c>
      <c r="K233" s="911">
        <f t="shared" si="6"/>
        <v>39688</v>
      </c>
      <c r="L233" s="909"/>
      <c r="M233" s="910">
        <v>1332</v>
      </c>
      <c r="N233" s="910">
        <v>0</v>
      </c>
      <c r="O233" s="909">
        <v>3766</v>
      </c>
      <c r="P233" s="911">
        <f t="shared" si="7"/>
        <v>5098</v>
      </c>
      <c r="Q233" s="909"/>
      <c r="R233" s="910">
        <v>15857</v>
      </c>
      <c r="S233" s="912">
        <v>4147</v>
      </c>
      <c r="T233" s="912">
        <v>20004</v>
      </c>
    </row>
    <row r="234" spans="1:20" x14ac:dyDescent="0.25">
      <c r="A234" s="906">
        <v>92441</v>
      </c>
      <c r="B234" s="907" t="s">
        <v>2797</v>
      </c>
      <c r="C234" s="908">
        <v>7.7999999999999999E-5</v>
      </c>
      <c r="D234" s="908">
        <v>9.2299999999999994E-5</v>
      </c>
      <c r="E234" s="909">
        <v>119162</v>
      </c>
      <c r="F234" s="909"/>
      <c r="G234" s="910">
        <v>6865</v>
      </c>
      <c r="H234" s="911">
        <v>28933</v>
      </c>
      <c r="I234" s="910">
        <v>17018</v>
      </c>
      <c r="J234" s="909">
        <v>0</v>
      </c>
      <c r="K234" s="911">
        <f t="shared" si="6"/>
        <v>52816</v>
      </c>
      <c r="L234" s="909"/>
      <c r="M234" s="910">
        <v>3373</v>
      </c>
      <c r="N234" s="910">
        <v>0</v>
      </c>
      <c r="O234" s="909">
        <v>15306</v>
      </c>
      <c r="P234" s="911">
        <f t="shared" si="7"/>
        <v>18679</v>
      </c>
      <c r="Q234" s="909"/>
      <c r="R234" s="910">
        <v>40158</v>
      </c>
      <c r="S234" s="912">
        <v>-6990</v>
      </c>
      <c r="T234" s="912">
        <f>33167+1</f>
        <v>33168</v>
      </c>
    </row>
    <row r="235" spans="1:20" x14ac:dyDescent="0.25">
      <c r="A235" s="906">
        <v>92444</v>
      </c>
      <c r="B235" s="907" t="s">
        <v>2798</v>
      </c>
      <c r="C235" s="908">
        <v>1.7999999999999999E-6</v>
      </c>
      <c r="D235" s="908">
        <v>1.9999999999999999E-6</v>
      </c>
      <c r="E235" s="909">
        <v>2750</v>
      </c>
      <c r="F235" s="909"/>
      <c r="G235" s="910">
        <v>158</v>
      </c>
      <c r="H235" s="911">
        <v>667</v>
      </c>
      <c r="I235" s="910">
        <v>393</v>
      </c>
      <c r="J235" s="909">
        <v>2573</v>
      </c>
      <c r="K235" s="911">
        <f t="shared" si="6"/>
        <v>3791</v>
      </c>
      <c r="L235" s="909"/>
      <c r="M235" s="910">
        <v>78</v>
      </c>
      <c r="N235" s="910">
        <v>0</v>
      </c>
      <c r="O235" s="909">
        <v>0</v>
      </c>
      <c r="P235" s="911">
        <f t="shared" si="7"/>
        <v>78</v>
      </c>
      <c r="Q235" s="909"/>
      <c r="R235" s="910">
        <v>927</v>
      </c>
      <c r="S235" s="912">
        <v>1194</v>
      </c>
      <c r="T235" s="912">
        <v>2121</v>
      </c>
    </row>
    <row r="236" spans="1:20" x14ac:dyDescent="0.25">
      <c r="A236" s="906">
        <v>92451</v>
      </c>
      <c r="B236" s="907" t="s">
        <v>2799</v>
      </c>
      <c r="C236" s="908">
        <v>1.3070000000000001E-4</v>
      </c>
      <c r="D236" s="908">
        <v>1.4559999999999999E-4</v>
      </c>
      <c r="E236" s="909">
        <v>199673</v>
      </c>
      <c r="F236" s="909"/>
      <c r="G236" s="910">
        <v>11503</v>
      </c>
      <c r="H236" s="911">
        <v>48481</v>
      </c>
      <c r="I236" s="910">
        <v>28516</v>
      </c>
      <c r="J236" s="909">
        <v>29255</v>
      </c>
      <c r="K236" s="911">
        <f t="shared" si="6"/>
        <v>117755</v>
      </c>
      <c r="L236" s="909"/>
      <c r="M236" s="910">
        <v>5652</v>
      </c>
      <c r="N236" s="910">
        <v>0</v>
      </c>
      <c r="O236" s="909">
        <v>0</v>
      </c>
      <c r="P236" s="911">
        <f t="shared" si="7"/>
        <v>5652</v>
      </c>
      <c r="Q236" s="909"/>
      <c r="R236" s="910">
        <v>67290</v>
      </c>
      <c r="S236" s="912">
        <v>12363</v>
      </c>
      <c r="T236" s="912">
        <v>79653</v>
      </c>
    </row>
    <row r="237" spans="1:20" x14ac:dyDescent="0.25">
      <c r="A237" s="906">
        <v>92461</v>
      </c>
      <c r="B237" s="907" t="s">
        <v>2800</v>
      </c>
      <c r="C237" s="908">
        <v>7.1099999999999994E-5</v>
      </c>
      <c r="D237" s="908">
        <v>7.2999999999999999E-5</v>
      </c>
      <c r="E237" s="909">
        <v>108621</v>
      </c>
      <c r="F237" s="909"/>
      <c r="G237" s="910">
        <v>6258</v>
      </c>
      <c r="H237" s="911">
        <v>26373</v>
      </c>
      <c r="I237" s="910">
        <v>15513</v>
      </c>
      <c r="J237" s="909">
        <v>12982</v>
      </c>
      <c r="K237" s="911">
        <f t="shared" si="6"/>
        <v>61126</v>
      </c>
      <c r="L237" s="909"/>
      <c r="M237" s="910">
        <v>3075</v>
      </c>
      <c r="N237" s="910">
        <v>0</v>
      </c>
      <c r="O237" s="909">
        <v>4965</v>
      </c>
      <c r="P237" s="911">
        <f t="shared" si="7"/>
        <v>8040</v>
      </c>
      <c r="Q237" s="909"/>
      <c r="R237" s="910">
        <v>36605</v>
      </c>
      <c r="S237" s="912">
        <v>1157</v>
      </c>
      <c r="T237" s="912">
        <f>37763-1</f>
        <v>37762</v>
      </c>
    </row>
    <row r="238" spans="1:20" x14ac:dyDescent="0.25">
      <c r="A238" s="906">
        <v>92501</v>
      </c>
      <c r="B238" s="907" t="s">
        <v>2801</v>
      </c>
      <c r="C238" s="908">
        <v>3.8252E-3</v>
      </c>
      <c r="D238" s="908">
        <v>3.8141E-3</v>
      </c>
      <c r="E238" s="909">
        <v>5843846</v>
      </c>
      <c r="F238" s="909"/>
      <c r="G238" s="910">
        <v>336660</v>
      </c>
      <c r="H238" s="911">
        <v>1418892</v>
      </c>
      <c r="I238" s="910">
        <v>834582</v>
      </c>
      <c r="J238" s="909">
        <v>137822</v>
      </c>
      <c r="K238" s="911">
        <f t="shared" si="6"/>
        <v>2727956</v>
      </c>
      <c r="L238" s="909"/>
      <c r="M238" s="910">
        <v>165421</v>
      </c>
      <c r="N238" s="910">
        <v>0</v>
      </c>
      <c r="O238" s="909">
        <v>9032</v>
      </c>
      <c r="P238" s="911">
        <f t="shared" si="7"/>
        <v>174453</v>
      </c>
      <c r="Q238" s="909"/>
      <c r="R238" s="910">
        <v>1969381</v>
      </c>
      <c r="S238" s="912">
        <v>45362</v>
      </c>
      <c r="T238" s="912">
        <v>2014743</v>
      </c>
    </row>
    <row r="239" spans="1:20" x14ac:dyDescent="0.25">
      <c r="A239" s="906">
        <v>92502</v>
      </c>
      <c r="B239" s="907" t="s">
        <v>2802</v>
      </c>
      <c r="C239" s="908">
        <v>2.7500000000000001E-5</v>
      </c>
      <c r="D239" s="908">
        <v>2.8799999999999999E-5</v>
      </c>
      <c r="E239" s="909">
        <v>42012</v>
      </c>
      <c r="F239" s="909"/>
      <c r="G239" s="910">
        <v>2420</v>
      </c>
      <c r="H239" s="911">
        <v>10201</v>
      </c>
      <c r="I239" s="910">
        <v>6000</v>
      </c>
      <c r="J239" s="909">
        <v>3940</v>
      </c>
      <c r="K239" s="911">
        <f t="shared" si="6"/>
        <v>22561</v>
      </c>
      <c r="L239" s="909"/>
      <c r="M239" s="910">
        <v>1189</v>
      </c>
      <c r="N239" s="910">
        <v>0</v>
      </c>
      <c r="O239" s="909">
        <v>2154</v>
      </c>
      <c r="P239" s="911">
        <f t="shared" si="7"/>
        <v>3343</v>
      </c>
      <c r="Q239" s="909"/>
      <c r="R239" s="910">
        <v>14158</v>
      </c>
      <c r="S239" s="912">
        <v>-13</v>
      </c>
      <c r="T239" s="912">
        <v>14145</v>
      </c>
    </row>
    <row r="240" spans="1:20" x14ac:dyDescent="0.25">
      <c r="A240" s="906">
        <v>92504</v>
      </c>
      <c r="B240" s="907" t="s">
        <v>2803</v>
      </c>
      <c r="C240" s="908">
        <v>8.4300000000000003E-5</v>
      </c>
      <c r="D240" s="908">
        <v>7.2799999999999994E-5</v>
      </c>
      <c r="E240" s="909">
        <v>128787</v>
      </c>
      <c r="F240" s="909"/>
      <c r="G240" s="910">
        <v>7419</v>
      </c>
      <c r="H240" s="911">
        <v>31269</v>
      </c>
      <c r="I240" s="910">
        <v>18393</v>
      </c>
      <c r="J240" s="909">
        <v>29049</v>
      </c>
      <c r="K240" s="911">
        <f t="shared" si="6"/>
        <v>86130</v>
      </c>
      <c r="L240" s="909"/>
      <c r="M240" s="910">
        <v>3646</v>
      </c>
      <c r="N240" s="910">
        <v>0</v>
      </c>
      <c r="O240" s="909">
        <v>27</v>
      </c>
      <c r="P240" s="911">
        <f t="shared" si="7"/>
        <v>3673</v>
      </c>
      <c r="Q240" s="909"/>
      <c r="R240" s="910">
        <v>43401</v>
      </c>
      <c r="S240" s="912">
        <v>10026</v>
      </c>
      <c r="T240" s="912">
        <v>53427</v>
      </c>
    </row>
    <row r="241" spans="1:20" x14ac:dyDescent="0.25">
      <c r="A241" s="906">
        <v>92505</v>
      </c>
      <c r="B241" s="907" t="s">
        <v>2804</v>
      </c>
      <c r="C241" s="908">
        <v>1.9239999999999999E-4</v>
      </c>
      <c r="D241" s="908">
        <v>1.8709999999999999E-4</v>
      </c>
      <c r="E241" s="909">
        <v>293934</v>
      </c>
      <c r="F241" s="909"/>
      <c r="G241" s="910">
        <v>16933</v>
      </c>
      <c r="H241" s="911">
        <v>71367</v>
      </c>
      <c r="I241" s="910">
        <v>41978</v>
      </c>
      <c r="J241" s="909">
        <v>59108</v>
      </c>
      <c r="K241" s="911">
        <f t="shared" si="6"/>
        <v>189386</v>
      </c>
      <c r="L241" s="909"/>
      <c r="M241" s="910">
        <v>8320</v>
      </c>
      <c r="N241" s="910">
        <v>0</v>
      </c>
      <c r="O241" s="909">
        <v>0</v>
      </c>
      <c r="P241" s="911">
        <f t="shared" si="7"/>
        <v>8320</v>
      </c>
      <c r="Q241" s="909"/>
      <c r="R241" s="910">
        <v>99056</v>
      </c>
      <c r="S241" s="912">
        <v>23320</v>
      </c>
      <c r="T241" s="912">
        <v>122376</v>
      </c>
    </row>
    <row r="242" spans="1:20" x14ac:dyDescent="0.25">
      <c r="A242" s="906">
        <v>92506</v>
      </c>
      <c r="B242" s="907" t="s">
        <v>2805</v>
      </c>
      <c r="C242" s="908">
        <v>4.7500000000000003E-5</v>
      </c>
      <c r="D242" s="908">
        <v>4.3699999999999998E-5</v>
      </c>
      <c r="E242" s="909">
        <v>72567</v>
      </c>
      <c r="F242" s="909"/>
      <c r="G242" s="910">
        <v>4181</v>
      </c>
      <c r="H242" s="911">
        <v>17619</v>
      </c>
      <c r="I242" s="910">
        <v>10364</v>
      </c>
      <c r="J242" s="909">
        <v>17893</v>
      </c>
      <c r="K242" s="911">
        <f t="shared" si="6"/>
        <v>50057</v>
      </c>
      <c r="L242" s="909"/>
      <c r="M242" s="910">
        <v>2054</v>
      </c>
      <c r="N242" s="910">
        <v>0</v>
      </c>
      <c r="O242" s="909">
        <v>0</v>
      </c>
      <c r="P242" s="911">
        <f t="shared" si="7"/>
        <v>2054</v>
      </c>
      <c r="Q242" s="909"/>
      <c r="R242" s="910">
        <v>24455</v>
      </c>
      <c r="S242" s="912">
        <v>7399</v>
      </c>
      <c r="T242" s="912">
        <v>31854</v>
      </c>
    </row>
    <row r="243" spans="1:20" x14ac:dyDescent="0.25">
      <c r="A243" s="906">
        <v>92507</v>
      </c>
      <c r="B243" s="907" t="s">
        <v>2806</v>
      </c>
      <c r="C243" s="908">
        <v>9.5699999999999995E-5</v>
      </c>
      <c r="D243" s="908">
        <v>7.6799999999999997E-5</v>
      </c>
      <c r="E243" s="909">
        <v>146203</v>
      </c>
      <c r="F243" s="909"/>
      <c r="G243" s="910">
        <v>8423</v>
      </c>
      <c r="H243" s="911">
        <v>35498</v>
      </c>
      <c r="I243" s="910">
        <v>20880</v>
      </c>
      <c r="J243" s="909">
        <v>10349</v>
      </c>
      <c r="K243" s="911">
        <f t="shared" si="6"/>
        <v>75150</v>
      </c>
      <c r="L243" s="909"/>
      <c r="M243" s="910">
        <v>4139</v>
      </c>
      <c r="N243" s="910">
        <v>0</v>
      </c>
      <c r="O243" s="909">
        <v>14283</v>
      </c>
      <c r="P243" s="911">
        <f t="shared" si="7"/>
        <v>18422</v>
      </c>
      <c r="Q243" s="909"/>
      <c r="R243" s="910">
        <v>49271</v>
      </c>
      <c r="S243" s="912">
        <v>-5512</v>
      </c>
      <c r="T243" s="912">
        <f>43758+1</f>
        <v>43759</v>
      </c>
    </row>
    <row r="244" spans="1:20" x14ac:dyDescent="0.25">
      <c r="A244" s="906">
        <v>92508</v>
      </c>
      <c r="B244" s="907" t="s">
        <v>2807</v>
      </c>
      <c r="C244" s="908">
        <v>3.1E-4</v>
      </c>
      <c r="D244" s="908">
        <v>3.1930000000000001E-4</v>
      </c>
      <c r="E244" s="909">
        <v>473594</v>
      </c>
      <c r="F244" s="909"/>
      <c r="G244" s="910">
        <v>27283</v>
      </c>
      <c r="H244" s="911">
        <v>114989</v>
      </c>
      <c r="I244" s="910">
        <v>67636</v>
      </c>
      <c r="J244" s="909">
        <v>5884</v>
      </c>
      <c r="K244" s="911">
        <f t="shared" si="6"/>
        <v>215792</v>
      </c>
      <c r="L244" s="909"/>
      <c r="M244" s="910">
        <v>13406</v>
      </c>
      <c r="N244" s="910">
        <v>0</v>
      </c>
      <c r="O244" s="909">
        <v>1407</v>
      </c>
      <c r="P244" s="911">
        <f t="shared" si="7"/>
        <v>14813</v>
      </c>
      <c r="Q244" s="909"/>
      <c r="R244" s="910">
        <v>159602</v>
      </c>
      <c r="S244" s="912">
        <v>3411</v>
      </c>
      <c r="T244" s="912">
        <v>163013</v>
      </c>
    </row>
    <row r="245" spans="1:20" x14ac:dyDescent="0.25">
      <c r="A245" s="906">
        <v>92511</v>
      </c>
      <c r="B245" s="907" t="s">
        <v>2809</v>
      </c>
      <c r="C245" s="908">
        <v>3.3240000000000001E-3</v>
      </c>
      <c r="D245" s="908">
        <v>3.4164E-3</v>
      </c>
      <c r="E245" s="909">
        <v>5078151</v>
      </c>
      <c r="F245" s="909"/>
      <c r="G245" s="910">
        <v>292549</v>
      </c>
      <c r="H245" s="911">
        <v>1232981</v>
      </c>
      <c r="I245" s="910">
        <v>725230</v>
      </c>
      <c r="J245" s="909">
        <v>12146</v>
      </c>
      <c r="K245" s="911">
        <f t="shared" si="6"/>
        <v>2262906</v>
      </c>
      <c r="L245" s="909"/>
      <c r="M245" s="910">
        <v>143746</v>
      </c>
      <c r="N245" s="910">
        <v>0</v>
      </c>
      <c r="O245" s="909">
        <v>237633</v>
      </c>
      <c r="P245" s="911">
        <f t="shared" si="7"/>
        <v>381379</v>
      </c>
      <c r="Q245" s="909"/>
      <c r="R245" s="910">
        <v>1711341</v>
      </c>
      <c r="S245" s="912">
        <v>-72839</v>
      </c>
      <c r="T245" s="912">
        <f>1638503-1</f>
        <v>1638502</v>
      </c>
    </row>
    <row r="246" spans="1:20" x14ac:dyDescent="0.25">
      <c r="A246" s="906">
        <v>92513</v>
      </c>
      <c r="B246" s="907" t="s">
        <v>2810</v>
      </c>
      <c r="C246" s="908">
        <v>4.0328999999999999E-3</v>
      </c>
      <c r="D246" s="908">
        <v>3.9753000000000002E-3</v>
      </c>
      <c r="E246" s="909">
        <v>6161154</v>
      </c>
      <c r="F246" s="909"/>
      <c r="G246" s="910">
        <v>354940</v>
      </c>
      <c r="H246" s="911">
        <v>1495936</v>
      </c>
      <c r="I246" s="910">
        <v>879898</v>
      </c>
      <c r="J246" s="909">
        <f>1481541+87063+162533</f>
        <v>1731137</v>
      </c>
      <c r="K246" s="911">
        <f t="shared" si="6"/>
        <v>4461911</v>
      </c>
      <c r="L246" s="909"/>
      <c r="M246" s="910">
        <v>174403</v>
      </c>
      <c r="N246" s="910">
        <v>0</v>
      </c>
      <c r="O246" s="909">
        <f>106570+867533+690246</f>
        <v>1664349</v>
      </c>
      <c r="P246" s="911">
        <f t="shared" si="7"/>
        <v>1838752</v>
      </c>
      <c r="Q246" s="909"/>
      <c r="R246" s="910">
        <v>2076314</v>
      </c>
      <c r="S246" s="912">
        <f>491379-223763-102954</f>
        <v>164662</v>
      </c>
      <c r="T246" s="912">
        <f>2567693-223763-102954</f>
        <v>2240976</v>
      </c>
    </row>
    <row r="247" spans="1:20" x14ac:dyDescent="0.25">
      <c r="A247" s="906">
        <v>92521</v>
      </c>
      <c r="B247" s="907" t="s">
        <v>2811</v>
      </c>
      <c r="C247" s="908">
        <v>8.6899999999999998E-5</v>
      </c>
      <c r="D247" s="908">
        <v>8.9800000000000001E-5</v>
      </c>
      <c r="E247" s="909">
        <v>132759</v>
      </c>
      <c r="F247" s="909"/>
      <c r="G247" s="910">
        <v>7648</v>
      </c>
      <c r="H247" s="911">
        <v>32235</v>
      </c>
      <c r="I247" s="910">
        <v>18960</v>
      </c>
      <c r="J247" s="909">
        <v>3168</v>
      </c>
      <c r="K247" s="911">
        <f t="shared" si="6"/>
        <v>62011</v>
      </c>
      <c r="L247" s="909"/>
      <c r="M247" s="910">
        <v>3758</v>
      </c>
      <c r="N247" s="910">
        <v>0</v>
      </c>
      <c r="O247" s="909">
        <v>10611</v>
      </c>
      <c r="P247" s="911">
        <f t="shared" si="7"/>
        <v>14369</v>
      </c>
      <c r="Q247" s="909"/>
      <c r="R247" s="910">
        <v>44740</v>
      </c>
      <c r="S247" s="912">
        <v>-2554</v>
      </c>
      <c r="T247" s="912">
        <v>42186</v>
      </c>
    </row>
    <row r="248" spans="1:20" x14ac:dyDescent="0.25">
      <c r="A248" s="906">
        <v>92531</v>
      </c>
      <c r="B248" s="907" t="s">
        <v>2812</v>
      </c>
      <c r="C248" s="908">
        <v>8.6490000000000004E-4</v>
      </c>
      <c r="D248" s="908">
        <v>8.3779999999999998E-4</v>
      </c>
      <c r="E248" s="909">
        <v>1321328</v>
      </c>
      <c r="F248" s="909"/>
      <c r="G248" s="910">
        <v>76121</v>
      </c>
      <c r="H248" s="911">
        <v>320820</v>
      </c>
      <c r="I248" s="910">
        <v>188704</v>
      </c>
      <c r="J248" s="909">
        <v>0</v>
      </c>
      <c r="K248" s="911">
        <f t="shared" si="6"/>
        <v>585645</v>
      </c>
      <c r="L248" s="909"/>
      <c r="M248" s="910">
        <v>37403</v>
      </c>
      <c r="N248" s="910">
        <v>0</v>
      </c>
      <c r="O248" s="909">
        <v>124043</v>
      </c>
      <c r="P248" s="911">
        <f t="shared" si="7"/>
        <v>161446</v>
      </c>
      <c r="Q248" s="909"/>
      <c r="R248" s="910">
        <v>445289</v>
      </c>
      <c r="S248" s="912">
        <v>-61397</v>
      </c>
      <c r="T248" s="912">
        <v>383892</v>
      </c>
    </row>
    <row r="249" spans="1:20" x14ac:dyDescent="0.25">
      <c r="A249" s="906">
        <v>92541</v>
      </c>
      <c r="B249" s="907" t="s">
        <v>2813</v>
      </c>
      <c r="C249" s="908">
        <v>1.4469999999999999E-4</v>
      </c>
      <c r="D249" s="908">
        <v>1.4300000000000001E-4</v>
      </c>
      <c r="E249" s="909">
        <v>221062</v>
      </c>
      <c r="F249" s="909"/>
      <c r="G249" s="910">
        <v>12735</v>
      </c>
      <c r="H249" s="911">
        <v>53674</v>
      </c>
      <c r="I249" s="910">
        <v>31571</v>
      </c>
      <c r="J249" s="909">
        <v>7292</v>
      </c>
      <c r="K249" s="911">
        <f t="shared" si="6"/>
        <v>105272</v>
      </c>
      <c r="L249" s="909"/>
      <c r="M249" s="910">
        <v>6258</v>
      </c>
      <c r="N249" s="910">
        <v>0</v>
      </c>
      <c r="O249" s="909">
        <v>7300</v>
      </c>
      <c r="P249" s="911">
        <f t="shared" si="7"/>
        <v>13558</v>
      </c>
      <c r="Q249" s="909"/>
      <c r="R249" s="910">
        <v>74498</v>
      </c>
      <c r="S249" s="912">
        <v>2019</v>
      </c>
      <c r="T249" s="912">
        <v>76517</v>
      </c>
    </row>
    <row r="250" spans="1:20" x14ac:dyDescent="0.25">
      <c r="A250" s="906">
        <v>92551</v>
      </c>
      <c r="B250" s="907" t="s">
        <v>2814</v>
      </c>
      <c r="C250" s="908">
        <v>5.3300000000000001E-5</v>
      </c>
      <c r="D250" s="908">
        <v>4.18E-5</v>
      </c>
      <c r="E250" s="909">
        <v>81428</v>
      </c>
      <c r="F250" s="909"/>
      <c r="G250" s="910">
        <v>4691</v>
      </c>
      <c r="H250" s="911">
        <v>19771</v>
      </c>
      <c r="I250" s="910">
        <v>11629</v>
      </c>
      <c r="J250" s="909">
        <v>7529</v>
      </c>
      <c r="K250" s="911">
        <f t="shared" si="6"/>
        <v>43620</v>
      </c>
      <c r="L250" s="909"/>
      <c r="M250" s="910">
        <v>2305</v>
      </c>
      <c r="N250" s="910">
        <v>0</v>
      </c>
      <c r="O250" s="909">
        <v>8359</v>
      </c>
      <c r="P250" s="911">
        <f t="shared" si="7"/>
        <v>10664</v>
      </c>
      <c r="Q250" s="909"/>
      <c r="R250" s="910">
        <v>27441</v>
      </c>
      <c r="S250" s="912">
        <v>961</v>
      </c>
      <c r="T250" s="912">
        <v>28402</v>
      </c>
    </row>
    <row r="251" spans="1:20" x14ac:dyDescent="0.25">
      <c r="A251" s="906">
        <v>92561</v>
      </c>
      <c r="B251" s="907" t="s">
        <v>2815</v>
      </c>
      <c r="C251" s="908">
        <v>2.2200000000000001E-5</v>
      </c>
      <c r="D251" s="908">
        <v>2.2900000000000001E-5</v>
      </c>
      <c r="E251" s="909">
        <v>33915</v>
      </c>
      <c r="F251" s="909"/>
      <c r="G251" s="910">
        <v>1954</v>
      </c>
      <c r="H251" s="911">
        <v>8235</v>
      </c>
      <c r="I251" s="910">
        <v>4844</v>
      </c>
      <c r="J251" s="909">
        <v>5369</v>
      </c>
      <c r="K251" s="911">
        <f t="shared" si="6"/>
        <v>20402</v>
      </c>
      <c r="L251" s="909"/>
      <c r="M251" s="910">
        <v>960</v>
      </c>
      <c r="N251" s="910">
        <v>0</v>
      </c>
      <c r="O251" s="909">
        <v>0</v>
      </c>
      <c r="P251" s="911">
        <f t="shared" si="7"/>
        <v>960</v>
      </c>
      <c r="Q251" s="909"/>
      <c r="R251" s="910">
        <v>11430</v>
      </c>
      <c r="S251" s="912">
        <v>2639</v>
      </c>
      <c r="T251" s="912">
        <f>14068+1</f>
        <v>14069</v>
      </c>
    </row>
    <row r="252" spans="1:20" x14ac:dyDescent="0.25">
      <c r="A252" s="906">
        <v>92571</v>
      </c>
      <c r="B252" s="907" t="s">
        <v>2816</v>
      </c>
      <c r="C252" s="908">
        <v>1.01E-5</v>
      </c>
      <c r="D252" s="908">
        <v>3.1E-6</v>
      </c>
      <c r="E252" s="909">
        <v>15430</v>
      </c>
      <c r="F252" s="909"/>
      <c r="G252" s="910">
        <v>889</v>
      </c>
      <c r="H252" s="911">
        <v>3746</v>
      </c>
      <c r="I252" s="910">
        <v>2204</v>
      </c>
      <c r="J252" s="909">
        <v>9367</v>
      </c>
      <c r="K252" s="911">
        <f t="shared" si="6"/>
        <v>16206</v>
      </c>
      <c r="L252" s="909"/>
      <c r="M252" s="910">
        <v>437</v>
      </c>
      <c r="N252" s="910">
        <v>0</v>
      </c>
      <c r="O252" s="909">
        <v>100</v>
      </c>
      <c r="P252" s="911">
        <f t="shared" si="7"/>
        <v>537</v>
      </c>
      <c r="Q252" s="909"/>
      <c r="R252" s="910">
        <v>5200</v>
      </c>
      <c r="S252" s="912">
        <v>2687</v>
      </c>
      <c r="T252" s="912">
        <v>7887</v>
      </c>
    </row>
    <row r="253" spans="1:20" x14ac:dyDescent="0.25">
      <c r="A253" s="906">
        <v>92601</v>
      </c>
      <c r="B253" s="907" t="s">
        <v>2817</v>
      </c>
      <c r="C253" s="908">
        <v>1.51874E-2</v>
      </c>
      <c r="D253" s="908">
        <v>1.54185E-2</v>
      </c>
      <c r="E253" s="909">
        <v>23202140</v>
      </c>
      <c r="F253" s="909"/>
      <c r="G253" s="910">
        <v>1336658</v>
      </c>
      <c r="H253" s="911">
        <v>5633508</v>
      </c>
      <c r="I253" s="910">
        <v>3313587</v>
      </c>
      <c r="J253" s="909">
        <v>134811</v>
      </c>
      <c r="K253" s="911">
        <f t="shared" si="6"/>
        <v>10418564</v>
      </c>
      <c r="L253" s="909"/>
      <c r="M253" s="910">
        <v>656779</v>
      </c>
      <c r="N253" s="910">
        <v>0</v>
      </c>
      <c r="O253" s="909">
        <v>46060</v>
      </c>
      <c r="P253" s="911">
        <f t="shared" si="7"/>
        <v>702839</v>
      </c>
      <c r="Q253" s="909"/>
      <c r="R253" s="910">
        <v>7819142</v>
      </c>
      <c r="S253" s="912">
        <v>112074</v>
      </c>
      <c r="T253" s="912">
        <f>7931215+1</f>
        <v>7931216</v>
      </c>
    </row>
    <row r="254" spans="1:20" x14ac:dyDescent="0.25">
      <c r="A254" s="906">
        <v>92602</v>
      </c>
      <c r="B254" s="907" t="s">
        <v>2818</v>
      </c>
      <c r="C254" s="908">
        <v>8.3000000000000002E-6</v>
      </c>
      <c r="D254" s="908">
        <v>8.1999999999999994E-6</v>
      </c>
      <c r="E254" s="909">
        <v>12680</v>
      </c>
      <c r="F254" s="909"/>
      <c r="G254" s="910">
        <v>730</v>
      </c>
      <c r="H254" s="911">
        <v>3079</v>
      </c>
      <c r="I254" s="910">
        <v>1811</v>
      </c>
      <c r="J254" s="909">
        <v>352</v>
      </c>
      <c r="K254" s="911">
        <f t="shared" si="6"/>
        <v>5972</v>
      </c>
      <c r="L254" s="909"/>
      <c r="M254" s="910">
        <v>359</v>
      </c>
      <c r="N254" s="910">
        <v>0</v>
      </c>
      <c r="O254" s="909">
        <v>927</v>
      </c>
      <c r="P254" s="911">
        <f t="shared" si="7"/>
        <v>1286</v>
      </c>
      <c r="Q254" s="909"/>
      <c r="R254" s="910">
        <v>4273</v>
      </c>
      <c r="S254" s="912">
        <v>-99</v>
      </c>
      <c r="T254" s="912">
        <v>4174</v>
      </c>
    </row>
    <row r="255" spans="1:20" x14ac:dyDescent="0.25">
      <c r="A255" s="906">
        <v>92604</v>
      </c>
      <c r="B255" s="907" t="s">
        <v>2819</v>
      </c>
      <c r="C255" s="908">
        <v>3.4099999999999999E-4</v>
      </c>
      <c r="D255" s="908">
        <v>3.4380000000000001E-4</v>
      </c>
      <c r="E255" s="909">
        <v>520954</v>
      </c>
      <c r="F255" s="909"/>
      <c r="G255" s="910">
        <v>30012</v>
      </c>
      <c r="H255" s="911">
        <v>126488</v>
      </c>
      <c r="I255" s="910">
        <v>74399</v>
      </c>
      <c r="J255" s="909">
        <v>52760</v>
      </c>
      <c r="K255" s="911">
        <f t="shared" si="6"/>
        <v>283659</v>
      </c>
      <c r="L255" s="909"/>
      <c r="M255" s="910">
        <v>14747</v>
      </c>
      <c r="N255" s="910">
        <v>0</v>
      </c>
      <c r="O255" s="909">
        <v>0</v>
      </c>
      <c r="P255" s="911">
        <f t="shared" si="7"/>
        <v>14747</v>
      </c>
      <c r="Q255" s="909"/>
      <c r="R255" s="910">
        <v>175562</v>
      </c>
      <c r="S255" s="912">
        <v>23975</v>
      </c>
      <c r="T255" s="912">
        <v>199537</v>
      </c>
    </row>
    <row r="256" spans="1:20" x14ac:dyDescent="0.25">
      <c r="A256" s="906">
        <v>92607</v>
      </c>
      <c r="B256" s="907" t="s">
        <v>2820</v>
      </c>
      <c r="C256" s="908">
        <v>6.6400000000000001E-5</v>
      </c>
      <c r="D256" s="908">
        <v>7.0400000000000004E-5</v>
      </c>
      <c r="E256" s="909">
        <v>101441</v>
      </c>
      <c r="F256" s="909"/>
      <c r="G256" s="910">
        <v>5844</v>
      </c>
      <c r="H256" s="911">
        <v>24630</v>
      </c>
      <c r="I256" s="910">
        <v>14487</v>
      </c>
      <c r="J256" s="909">
        <v>9416</v>
      </c>
      <c r="K256" s="911">
        <f t="shared" si="6"/>
        <v>54377</v>
      </c>
      <c r="L256" s="909"/>
      <c r="M256" s="910">
        <v>2871</v>
      </c>
      <c r="N256" s="910">
        <v>0</v>
      </c>
      <c r="O256" s="909">
        <v>0</v>
      </c>
      <c r="P256" s="911">
        <f t="shared" si="7"/>
        <v>2871</v>
      </c>
      <c r="Q256" s="909"/>
      <c r="R256" s="910">
        <v>34186</v>
      </c>
      <c r="S256" s="912">
        <v>4781</v>
      </c>
      <c r="T256" s="912">
        <f>38966+1</f>
        <v>38967</v>
      </c>
    </row>
    <row r="257" spans="1:20" x14ac:dyDescent="0.25">
      <c r="A257" s="906">
        <v>92608</v>
      </c>
      <c r="B257" s="907" t="s">
        <v>2821</v>
      </c>
      <c r="C257" s="908">
        <v>0</v>
      </c>
      <c r="D257" s="908">
        <v>0</v>
      </c>
      <c r="E257" s="909">
        <v>0</v>
      </c>
      <c r="F257" s="909"/>
      <c r="G257" s="910">
        <v>0</v>
      </c>
      <c r="H257" s="911">
        <v>0</v>
      </c>
      <c r="I257" s="910">
        <v>0</v>
      </c>
      <c r="J257" s="909">
        <v>0</v>
      </c>
      <c r="K257" s="911">
        <f t="shared" si="6"/>
        <v>0</v>
      </c>
      <c r="L257" s="909"/>
      <c r="M257" s="910">
        <v>0</v>
      </c>
      <c r="N257" s="910">
        <v>0</v>
      </c>
      <c r="O257" s="909">
        <v>69935</v>
      </c>
      <c r="P257" s="911">
        <f t="shared" si="7"/>
        <v>69935</v>
      </c>
      <c r="Q257" s="909"/>
      <c r="R257" s="910">
        <v>0</v>
      </c>
      <c r="S257" s="912">
        <v>-69872</v>
      </c>
      <c r="T257" s="912">
        <v>-69872</v>
      </c>
    </row>
    <row r="258" spans="1:20" x14ac:dyDescent="0.25">
      <c r="A258" s="906">
        <v>92611</v>
      </c>
      <c r="B258" s="907" t="s">
        <v>2822</v>
      </c>
      <c r="C258" s="908">
        <v>1.3080899999999999E-2</v>
      </c>
      <c r="D258" s="908">
        <v>1.3650799999999999E-2</v>
      </c>
      <c r="E258" s="909">
        <v>19983992</v>
      </c>
      <c r="F258" s="909"/>
      <c r="G258" s="910">
        <v>1151263</v>
      </c>
      <c r="H258" s="911">
        <v>4852137</v>
      </c>
      <c r="I258" s="910">
        <v>2853991</v>
      </c>
      <c r="J258" s="909">
        <v>10109</v>
      </c>
      <c r="K258" s="911">
        <f t="shared" si="6"/>
        <v>8867500</v>
      </c>
      <c r="L258" s="909"/>
      <c r="M258" s="910">
        <v>565684</v>
      </c>
      <c r="N258" s="910">
        <v>0</v>
      </c>
      <c r="O258" s="909">
        <v>976593</v>
      </c>
      <c r="P258" s="911">
        <f t="shared" si="7"/>
        <v>1542277</v>
      </c>
      <c r="Q258" s="909"/>
      <c r="R258" s="910">
        <v>6734623</v>
      </c>
      <c r="S258" s="912">
        <v>-313138</v>
      </c>
      <c r="T258" s="912">
        <v>6421485</v>
      </c>
    </row>
    <row r="259" spans="1:20" x14ac:dyDescent="0.25">
      <c r="A259" s="906">
        <v>92613</v>
      </c>
      <c r="B259" s="907" t="s">
        <v>2823</v>
      </c>
      <c r="C259" s="908">
        <v>2.6439999999999998E-4</v>
      </c>
      <c r="D259" s="908">
        <v>2.81E-4</v>
      </c>
      <c r="E259" s="909">
        <v>403930</v>
      </c>
      <c r="F259" s="909"/>
      <c r="G259" s="910">
        <v>23270</v>
      </c>
      <c r="H259" s="911">
        <v>98075</v>
      </c>
      <c r="I259" s="910">
        <v>57687</v>
      </c>
      <c r="J259" s="909">
        <v>84489</v>
      </c>
      <c r="K259" s="911">
        <f t="shared" si="6"/>
        <v>263521</v>
      </c>
      <c r="L259" s="909"/>
      <c r="M259" s="910">
        <v>11434</v>
      </c>
      <c r="N259" s="910">
        <v>0</v>
      </c>
      <c r="O259" s="909">
        <v>941</v>
      </c>
      <c r="P259" s="911">
        <f t="shared" si="7"/>
        <v>12375</v>
      </c>
      <c r="Q259" s="909"/>
      <c r="R259" s="910">
        <v>136125</v>
      </c>
      <c r="S259" s="912">
        <v>41506</v>
      </c>
      <c r="T259" s="912">
        <v>177631</v>
      </c>
    </row>
    <row r="260" spans="1:20" x14ac:dyDescent="0.25">
      <c r="A260" s="906">
        <v>92614</v>
      </c>
      <c r="B260" s="907" t="s">
        <v>2824</v>
      </c>
      <c r="C260" s="908">
        <v>5.7273000000000003E-3</v>
      </c>
      <c r="D260" s="908">
        <v>5.6468000000000004E-3</v>
      </c>
      <c r="E260" s="909">
        <v>8749728</v>
      </c>
      <c r="F260" s="909"/>
      <c r="G260" s="910">
        <v>504065</v>
      </c>
      <c r="H260" s="911">
        <v>2124444</v>
      </c>
      <c r="I260" s="910">
        <v>1249582</v>
      </c>
      <c r="J260" s="909">
        <v>3908054</v>
      </c>
      <c r="K260" s="911">
        <f t="shared" si="6"/>
        <v>7786145</v>
      </c>
      <c r="L260" s="909"/>
      <c r="M260" s="910">
        <v>247677</v>
      </c>
      <c r="N260" s="910">
        <v>0</v>
      </c>
      <c r="O260" s="909">
        <v>0</v>
      </c>
      <c r="P260" s="911">
        <f t="shared" si="7"/>
        <v>247677</v>
      </c>
      <c r="Q260" s="909"/>
      <c r="R260" s="910">
        <v>2948666</v>
      </c>
      <c r="S260" s="912">
        <v>1416067</v>
      </c>
      <c r="T260" s="912">
        <v>4364733</v>
      </c>
    </row>
    <row r="261" spans="1:20" x14ac:dyDescent="0.25">
      <c r="A261" s="906">
        <v>92621</v>
      </c>
      <c r="B261" s="907" t="s">
        <v>2825</v>
      </c>
      <c r="C261" s="908">
        <v>2.72E-5</v>
      </c>
      <c r="D261" s="908">
        <v>3.2799999999999998E-5</v>
      </c>
      <c r="E261" s="909">
        <v>41554</v>
      </c>
      <c r="F261" s="909"/>
      <c r="G261" s="910">
        <v>2394</v>
      </c>
      <c r="H261" s="911">
        <v>10089</v>
      </c>
      <c r="I261" s="910">
        <v>5934</v>
      </c>
      <c r="J261" s="909">
        <v>872</v>
      </c>
      <c r="K261" s="911">
        <f t="shared" si="6"/>
        <v>19289</v>
      </c>
      <c r="L261" s="909"/>
      <c r="M261" s="910">
        <v>1176</v>
      </c>
      <c r="N261" s="910">
        <v>0</v>
      </c>
      <c r="O261" s="909">
        <v>6521</v>
      </c>
      <c r="P261" s="911">
        <f t="shared" si="7"/>
        <v>7697</v>
      </c>
      <c r="Q261" s="909"/>
      <c r="R261" s="910">
        <v>14004</v>
      </c>
      <c r="S261" s="912">
        <v>-1988</v>
      </c>
      <c r="T261" s="912">
        <v>12016</v>
      </c>
    </row>
    <row r="262" spans="1:20" x14ac:dyDescent="0.25">
      <c r="A262" s="906">
        <v>92631</v>
      </c>
      <c r="B262" s="907" t="s">
        <v>2826</v>
      </c>
      <c r="C262" s="908">
        <v>9.2710000000000004E-4</v>
      </c>
      <c r="D262" s="908">
        <v>1.0068E-3</v>
      </c>
      <c r="E262" s="909">
        <v>1416352</v>
      </c>
      <c r="F262" s="909"/>
      <c r="G262" s="910">
        <v>81595</v>
      </c>
      <c r="H262" s="911">
        <v>343892</v>
      </c>
      <c r="I262" s="910">
        <v>202275</v>
      </c>
      <c r="J262" s="909">
        <v>0</v>
      </c>
      <c r="K262" s="911">
        <f t="shared" si="6"/>
        <v>627762</v>
      </c>
      <c r="L262" s="909"/>
      <c r="M262" s="910">
        <v>40092</v>
      </c>
      <c r="N262" s="910">
        <v>0</v>
      </c>
      <c r="O262" s="909">
        <v>146834</v>
      </c>
      <c r="P262" s="911">
        <f t="shared" si="7"/>
        <v>186926</v>
      </c>
      <c r="Q262" s="909"/>
      <c r="R262" s="910">
        <v>477312</v>
      </c>
      <c r="S262" s="912">
        <v>-49734</v>
      </c>
      <c r="T262" s="912">
        <v>427578</v>
      </c>
    </row>
    <row r="263" spans="1:20" x14ac:dyDescent="0.25">
      <c r="A263" s="906">
        <v>92641</v>
      </c>
      <c r="B263" s="907" t="s">
        <v>2827</v>
      </c>
      <c r="C263" s="908">
        <v>1.0200000000000001E-5</v>
      </c>
      <c r="D263" s="908">
        <v>1.03E-5</v>
      </c>
      <c r="E263" s="909">
        <v>15583</v>
      </c>
      <c r="F263" s="909"/>
      <c r="G263" s="910">
        <v>898</v>
      </c>
      <c r="H263" s="911">
        <v>3784</v>
      </c>
      <c r="I263" s="910">
        <v>2225</v>
      </c>
      <c r="J263" s="909">
        <v>2556</v>
      </c>
      <c r="K263" s="911">
        <f t="shared" ref="K263:K326" si="8">G263+H263+I263+J263</f>
        <v>9463</v>
      </c>
      <c r="L263" s="909"/>
      <c r="M263" s="910">
        <v>441</v>
      </c>
      <c r="N263" s="910">
        <v>0</v>
      </c>
      <c r="O263" s="909">
        <v>945</v>
      </c>
      <c r="P263" s="911">
        <f t="shared" ref="P263:P326" si="9">M263+N263+O263</f>
        <v>1386</v>
      </c>
      <c r="Q263" s="909"/>
      <c r="R263" s="910">
        <v>5251</v>
      </c>
      <c r="S263" s="912">
        <v>173</v>
      </c>
      <c r="T263" s="912">
        <v>5424</v>
      </c>
    </row>
    <row r="264" spans="1:20" x14ac:dyDescent="0.25">
      <c r="A264" s="906">
        <v>92651</v>
      </c>
      <c r="B264" s="907" t="s">
        <v>2828</v>
      </c>
      <c r="C264" s="908">
        <v>2.6000000000000001E-6</v>
      </c>
      <c r="D264" s="908">
        <v>2.6000000000000001E-6</v>
      </c>
      <c r="E264" s="909">
        <v>3972</v>
      </c>
      <c r="F264" s="909"/>
      <c r="G264" s="910">
        <v>229</v>
      </c>
      <c r="H264" s="911">
        <v>964</v>
      </c>
      <c r="I264" s="910">
        <v>567</v>
      </c>
      <c r="J264" s="909">
        <v>3432</v>
      </c>
      <c r="K264" s="911">
        <f t="shared" si="8"/>
        <v>5192</v>
      </c>
      <c r="L264" s="909"/>
      <c r="M264" s="910">
        <v>112</v>
      </c>
      <c r="N264" s="910">
        <v>0</v>
      </c>
      <c r="O264" s="909">
        <v>0</v>
      </c>
      <c r="P264" s="911">
        <f t="shared" si="9"/>
        <v>112</v>
      </c>
      <c r="Q264" s="909"/>
      <c r="R264" s="910">
        <v>1339</v>
      </c>
      <c r="S264" s="912">
        <v>1345</v>
      </c>
      <c r="T264" s="912">
        <f>2683+1</f>
        <v>2684</v>
      </c>
    </row>
    <row r="265" spans="1:20" x14ac:dyDescent="0.25">
      <c r="A265" s="906">
        <v>92661</v>
      </c>
      <c r="B265" s="907" t="s">
        <v>2829</v>
      </c>
      <c r="C265" s="908">
        <v>6.9999999999999999E-4</v>
      </c>
      <c r="D265" s="908">
        <v>6.6299999999999996E-4</v>
      </c>
      <c r="E265" s="909">
        <v>1069406</v>
      </c>
      <c r="F265" s="909"/>
      <c r="G265" s="910">
        <v>61608</v>
      </c>
      <c r="H265" s="911">
        <v>259653</v>
      </c>
      <c r="I265" s="910">
        <v>152726</v>
      </c>
      <c r="J265" s="909">
        <v>446841</v>
      </c>
      <c r="K265" s="911">
        <f t="shared" si="8"/>
        <v>920828</v>
      </c>
      <c r="L265" s="909"/>
      <c r="M265" s="910">
        <v>30272</v>
      </c>
      <c r="N265" s="910">
        <v>0</v>
      </c>
      <c r="O265" s="909">
        <v>16877</v>
      </c>
      <c r="P265" s="911">
        <f t="shared" si="9"/>
        <v>47149</v>
      </c>
      <c r="Q265" s="909"/>
      <c r="R265" s="910">
        <v>360391</v>
      </c>
      <c r="S265" s="912">
        <v>130287</v>
      </c>
      <c r="T265" s="912">
        <v>490678</v>
      </c>
    </row>
    <row r="266" spans="1:20" x14ac:dyDescent="0.25">
      <c r="A266" s="906">
        <v>92671</v>
      </c>
      <c r="B266" s="907" t="s">
        <v>2830</v>
      </c>
      <c r="C266" s="908">
        <v>2.6000000000000001E-6</v>
      </c>
      <c r="D266" s="908">
        <v>2.9000000000000002E-6</v>
      </c>
      <c r="E266" s="909">
        <v>3972</v>
      </c>
      <c r="F266" s="909"/>
      <c r="G266" s="910">
        <v>229</v>
      </c>
      <c r="H266" s="911">
        <v>964</v>
      </c>
      <c r="I266" s="910">
        <v>567</v>
      </c>
      <c r="J266" s="909">
        <v>6237</v>
      </c>
      <c r="K266" s="911">
        <f t="shared" si="8"/>
        <v>7997</v>
      </c>
      <c r="L266" s="909"/>
      <c r="M266" s="910">
        <v>112</v>
      </c>
      <c r="N266" s="910">
        <v>0</v>
      </c>
      <c r="O266" s="909">
        <v>0</v>
      </c>
      <c r="P266" s="911">
        <f t="shared" si="9"/>
        <v>112</v>
      </c>
      <c r="Q266" s="909"/>
      <c r="R266" s="910">
        <v>1339</v>
      </c>
      <c r="S266" s="912">
        <v>2205</v>
      </c>
      <c r="T266" s="912">
        <f>3543+1</f>
        <v>3544</v>
      </c>
    </row>
    <row r="267" spans="1:20" x14ac:dyDescent="0.25">
      <c r="A267" s="906">
        <v>92681</v>
      </c>
      <c r="B267" s="907" t="s">
        <v>2831</v>
      </c>
      <c r="C267" s="908">
        <v>1.17E-5</v>
      </c>
      <c r="D267" s="908">
        <v>1.01E-5</v>
      </c>
      <c r="E267" s="909">
        <v>17874</v>
      </c>
      <c r="F267" s="909"/>
      <c r="G267" s="910">
        <v>1030</v>
      </c>
      <c r="H267" s="911">
        <v>4340</v>
      </c>
      <c r="I267" s="910">
        <v>2553</v>
      </c>
      <c r="J267" s="909">
        <v>13621</v>
      </c>
      <c r="K267" s="911">
        <f t="shared" si="8"/>
        <v>21544</v>
      </c>
      <c r="L267" s="909"/>
      <c r="M267" s="910">
        <v>506</v>
      </c>
      <c r="N267" s="910">
        <v>0</v>
      </c>
      <c r="O267" s="909">
        <v>0</v>
      </c>
      <c r="P267" s="911">
        <f t="shared" si="9"/>
        <v>506</v>
      </c>
      <c r="Q267" s="909"/>
      <c r="R267" s="910">
        <v>6024</v>
      </c>
      <c r="S267" s="912">
        <v>4960</v>
      </c>
      <c r="T267" s="912">
        <v>10984</v>
      </c>
    </row>
    <row r="268" spans="1:20" x14ac:dyDescent="0.25">
      <c r="A268" s="906">
        <v>92701</v>
      </c>
      <c r="B268" s="907" t="s">
        <v>2832</v>
      </c>
      <c r="C268" s="908">
        <v>3.0777000000000001E-3</v>
      </c>
      <c r="D268" s="908">
        <v>2.9588000000000001E-3</v>
      </c>
      <c r="E268" s="909">
        <v>4701873</v>
      </c>
      <c r="F268" s="909"/>
      <c r="G268" s="910">
        <v>270871</v>
      </c>
      <c r="H268" s="911">
        <v>1141620</v>
      </c>
      <c r="I268" s="910">
        <v>671493</v>
      </c>
      <c r="J268" s="909">
        <v>48990</v>
      </c>
      <c r="K268" s="911">
        <f t="shared" si="8"/>
        <v>2132974</v>
      </c>
      <c r="L268" s="909"/>
      <c r="M268" s="910">
        <v>133095</v>
      </c>
      <c r="N268" s="910">
        <v>0</v>
      </c>
      <c r="O268" s="909">
        <v>42924</v>
      </c>
      <c r="P268" s="911">
        <f t="shared" si="9"/>
        <v>176019</v>
      </c>
      <c r="Q268" s="909"/>
      <c r="R268" s="910">
        <v>1584535</v>
      </c>
      <c r="S268" s="912">
        <v>-25139</v>
      </c>
      <c r="T268" s="912">
        <f>1559397-1</f>
        <v>1559396</v>
      </c>
    </row>
    <row r="269" spans="1:20" x14ac:dyDescent="0.25">
      <c r="A269" s="906">
        <v>92704</v>
      </c>
      <c r="B269" s="907" t="s">
        <v>2833</v>
      </c>
      <c r="C269" s="908">
        <v>4.1600000000000002E-5</v>
      </c>
      <c r="D269" s="908">
        <v>4.7700000000000001E-5</v>
      </c>
      <c r="E269" s="909">
        <v>63553</v>
      </c>
      <c r="F269" s="909"/>
      <c r="G269" s="910">
        <v>3661</v>
      </c>
      <c r="H269" s="911">
        <v>15431</v>
      </c>
      <c r="I269" s="910">
        <v>9076</v>
      </c>
      <c r="J269" s="909">
        <v>1560</v>
      </c>
      <c r="K269" s="911">
        <f t="shared" si="8"/>
        <v>29728</v>
      </c>
      <c r="L269" s="909"/>
      <c r="M269" s="910">
        <v>1799</v>
      </c>
      <c r="N269" s="910">
        <v>0</v>
      </c>
      <c r="O269" s="909">
        <v>5674</v>
      </c>
      <c r="P269" s="911">
        <f t="shared" si="9"/>
        <v>7473</v>
      </c>
      <c r="Q269" s="909"/>
      <c r="R269" s="910">
        <v>21418</v>
      </c>
      <c r="S269" s="912">
        <v>-706</v>
      </c>
      <c r="T269" s="912">
        <f>20711+1</f>
        <v>20712</v>
      </c>
    </row>
    <row r="270" spans="1:20" x14ac:dyDescent="0.25">
      <c r="A270" s="906">
        <v>92801</v>
      </c>
      <c r="B270" s="907" t="s">
        <v>2834</v>
      </c>
      <c r="C270" s="908">
        <v>5.0951E-3</v>
      </c>
      <c r="D270" s="908">
        <v>5.1701000000000004E-3</v>
      </c>
      <c r="E270" s="909">
        <v>7783901</v>
      </c>
      <c r="F270" s="909"/>
      <c r="G270" s="910">
        <v>448425</v>
      </c>
      <c r="H270" s="911">
        <v>1889940</v>
      </c>
      <c r="I270" s="910">
        <v>1111649</v>
      </c>
      <c r="J270" s="909">
        <v>152907</v>
      </c>
      <c r="K270" s="911">
        <f t="shared" si="8"/>
        <v>3602921</v>
      </c>
      <c r="L270" s="909"/>
      <c r="M270" s="910">
        <v>220338</v>
      </c>
      <c r="N270" s="910">
        <v>0</v>
      </c>
      <c r="O270" s="909">
        <v>0</v>
      </c>
      <c r="P270" s="911">
        <f t="shared" si="9"/>
        <v>220338</v>
      </c>
      <c r="Q270" s="909"/>
      <c r="R270" s="910">
        <v>2623182</v>
      </c>
      <c r="S270" s="912">
        <v>81450</v>
      </c>
      <c r="T270" s="912">
        <f>2704631+1</f>
        <v>2704632</v>
      </c>
    </row>
    <row r="271" spans="1:20" x14ac:dyDescent="0.25">
      <c r="A271" s="906">
        <v>92802</v>
      </c>
      <c r="B271" s="907" t="s">
        <v>2835</v>
      </c>
      <c r="C271" s="908">
        <v>1.2970000000000001E-4</v>
      </c>
      <c r="D271" s="908">
        <v>1.3410000000000001E-4</v>
      </c>
      <c r="E271" s="909">
        <v>198146</v>
      </c>
      <c r="F271" s="909"/>
      <c r="G271" s="910">
        <v>11415</v>
      </c>
      <c r="H271" s="911">
        <v>48110</v>
      </c>
      <c r="I271" s="910">
        <v>28298</v>
      </c>
      <c r="J271" s="909">
        <v>0</v>
      </c>
      <c r="K271" s="911">
        <f t="shared" si="8"/>
        <v>87823</v>
      </c>
      <c r="L271" s="909"/>
      <c r="M271" s="910">
        <v>5609</v>
      </c>
      <c r="N271" s="910">
        <v>0</v>
      </c>
      <c r="O271" s="909">
        <v>17517</v>
      </c>
      <c r="P271" s="911">
        <f t="shared" si="9"/>
        <v>23126</v>
      </c>
      <c r="Q271" s="909"/>
      <c r="R271" s="910">
        <v>66775</v>
      </c>
      <c r="S271" s="912">
        <v>-6938</v>
      </c>
      <c r="T271" s="912">
        <v>59837</v>
      </c>
    </row>
    <row r="272" spans="1:20" x14ac:dyDescent="0.25">
      <c r="A272" s="906">
        <v>92804</v>
      </c>
      <c r="B272" s="907" t="s">
        <v>2836</v>
      </c>
      <c r="C272" s="908">
        <v>1.36E-4</v>
      </c>
      <c r="D272" s="908">
        <v>1.47E-4</v>
      </c>
      <c r="E272" s="909">
        <v>207770</v>
      </c>
      <c r="F272" s="909"/>
      <c r="G272" s="910">
        <v>11969</v>
      </c>
      <c r="H272" s="911">
        <v>50447</v>
      </c>
      <c r="I272" s="910">
        <v>29672</v>
      </c>
      <c r="J272" s="909">
        <v>8730</v>
      </c>
      <c r="K272" s="911">
        <f t="shared" si="8"/>
        <v>100818</v>
      </c>
      <c r="L272" s="909"/>
      <c r="M272" s="910">
        <v>5881</v>
      </c>
      <c r="N272" s="910">
        <v>0</v>
      </c>
      <c r="O272" s="909">
        <v>12427</v>
      </c>
      <c r="P272" s="911">
        <f t="shared" si="9"/>
        <v>18308</v>
      </c>
      <c r="Q272" s="909"/>
      <c r="R272" s="910">
        <v>70019</v>
      </c>
      <c r="S272" s="912">
        <v>-172</v>
      </c>
      <c r="T272" s="912">
        <v>69847</v>
      </c>
    </row>
    <row r="273" spans="1:20" x14ac:dyDescent="0.25">
      <c r="A273" s="906">
        <v>92811</v>
      </c>
      <c r="B273" s="907" t="s">
        <v>2837</v>
      </c>
      <c r="C273" s="908">
        <v>1.0036000000000001E-3</v>
      </c>
      <c r="D273" s="908">
        <v>9.8569999999999994E-4</v>
      </c>
      <c r="E273" s="909">
        <v>1533223</v>
      </c>
      <c r="F273" s="909"/>
      <c r="G273" s="910">
        <v>88328</v>
      </c>
      <c r="H273" s="911">
        <v>372269</v>
      </c>
      <c r="I273" s="910">
        <v>218965</v>
      </c>
      <c r="J273" s="909">
        <v>0</v>
      </c>
      <c r="K273" s="911">
        <f t="shared" si="8"/>
        <v>679562</v>
      </c>
      <c r="L273" s="909"/>
      <c r="M273" s="910">
        <v>43401</v>
      </c>
      <c r="N273" s="910">
        <v>0</v>
      </c>
      <c r="O273" s="909">
        <v>85272</v>
      </c>
      <c r="P273" s="911">
        <f t="shared" si="9"/>
        <v>128673</v>
      </c>
      <c r="Q273" s="909"/>
      <c r="R273" s="910">
        <v>516697</v>
      </c>
      <c r="S273" s="912">
        <v>-36667</v>
      </c>
      <c r="T273" s="912">
        <v>480030</v>
      </c>
    </row>
    <row r="274" spans="1:20" x14ac:dyDescent="0.25">
      <c r="A274" s="906">
        <v>92821</v>
      </c>
      <c r="B274" s="907" t="s">
        <v>2838</v>
      </c>
      <c r="C274" s="908">
        <v>9.9400000000000009E-4</v>
      </c>
      <c r="D274" s="908">
        <v>1.0139999999999999E-3</v>
      </c>
      <c r="E274" s="909">
        <v>1518557</v>
      </c>
      <c r="F274" s="909"/>
      <c r="G274" s="910">
        <v>87483</v>
      </c>
      <c r="H274" s="911">
        <v>368707</v>
      </c>
      <c r="I274" s="910">
        <v>216871</v>
      </c>
      <c r="J274" s="909">
        <v>24870</v>
      </c>
      <c r="K274" s="911">
        <f t="shared" si="8"/>
        <v>697931</v>
      </c>
      <c r="L274" s="909"/>
      <c r="M274" s="910">
        <v>42986</v>
      </c>
      <c r="N274" s="910">
        <v>0</v>
      </c>
      <c r="O274" s="909">
        <v>0</v>
      </c>
      <c r="P274" s="911">
        <f t="shared" si="9"/>
        <v>42986</v>
      </c>
      <c r="Q274" s="909"/>
      <c r="R274" s="910">
        <v>511755</v>
      </c>
      <c r="S274" s="912">
        <v>10495</v>
      </c>
      <c r="T274" s="912">
        <v>522250</v>
      </c>
    </row>
    <row r="275" spans="1:20" x14ac:dyDescent="0.25">
      <c r="A275" s="906">
        <v>92831</v>
      </c>
      <c r="B275" s="907" t="s">
        <v>2839</v>
      </c>
      <c r="C275" s="908">
        <v>2.1829999999999999E-4</v>
      </c>
      <c r="D275" s="908">
        <v>2.476E-4</v>
      </c>
      <c r="E275" s="909">
        <v>333502</v>
      </c>
      <c r="F275" s="909"/>
      <c r="G275" s="910">
        <v>19213</v>
      </c>
      <c r="H275" s="911">
        <v>80975</v>
      </c>
      <c r="I275" s="910">
        <v>47629</v>
      </c>
      <c r="J275" s="909">
        <v>19156</v>
      </c>
      <c r="K275" s="911">
        <f t="shared" si="8"/>
        <v>166973</v>
      </c>
      <c r="L275" s="909"/>
      <c r="M275" s="910">
        <v>9440</v>
      </c>
      <c r="N275" s="910">
        <v>0</v>
      </c>
      <c r="O275" s="909">
        <v>2159</v>
      </c>
      <c r="P275" s="911">
        <f t="shared" si="9"/>
        <v>11599</v>
      </c>
      <c r="Q275" s="909"/>
      <c r="R275" s="910">
        <v>112390</v>
      </c>
      <c r="S275" s="912">
        <v>9503</v>
      </c>
      <c r="T275" s="912">
        <f>121894-1</f>
        <v>121893</v>
      </c>
    </row>
    <row r="276" spans="1:20" x14ac:dyDescent="0.25">
      <c r="A276" s="906">
        <v>92841</v>
      </c>
      <c r="B276" s="907" t="s">
        <v>2840</v>
      </c>
      <c r="C276" s="908">
        <v>2.7809999999999998E-4</v>
      </c>
      <c r="D276" s="908">
        <v>2.8160000000000001E-4</v>
      </c>
      <c r="E276" s="909">
        <v>424860</v>
      </c>
      <c r="F276" s="909"/>
      <c r="G276" s="910">
        <v>24476</v>
      </c>
      <c r="H276" s="911">
        <v>103157</v>
      </c>
      <c r="I276" s="910">
        <v>60676</v>
      </c>
      <c r="J276" s="909">
        <v>5821</v>
      </c>
      <c r="K276" s="911">
        <f t="shared" si="8"/>
        <v>194130</v>
      </c>
      <c r="L276" s="909"/>
      <c r="M276" s="910">
        <v>12026</v>
      </c>
      <c r="N276" s="910">
        <v>0</v>
      </c>
      <c r="O276" s="909">
        <v>13149</v>
      </c>
      <c r="P276" s="911">
        <f t="shared" si="9"/>
        <v>25175</v>
      </c>
      <c r="Q276" s="909"/>
      <c r="R276" s="910">
        <v>143178</v>
      </c>
      <c r="S276" s="912">
        <v>2288</v>
      </c>
      <c r="T276" s="912">
        <v>145466</v>
      </c>
    </row>
    <row r="277" spans="1:20" x14ac:dyDescent="0.25">
      <c r="A277" s="906">
        <v>92851</v>
      </c>
      <c r="B277" s="907" t="s">
        <v>2841</v>
      </c>
      <c r="C277" s="908">
        <v>4.6079999999999998E-4</v>
      </c>
      <c r="D277" s="908">
        <v>4.3909999999999999E-4</v>
      </c>
      <c r="E277" s="909">
        <v>703975</v>
      </c>
      <c r="F277" s="909"/>
      <c r="G277" s="910">
        <v>40555</v>
      </c>
      <c r="H277" s="911">
        <v>170926</v>
      </c>
      <c r="I277" s="910">
        <v>100537</v>
      </c>
      <c r="J277" s="909">
        <v>0</v>
      </c>
      <c r="K277" s="911">
        <f t="shared" si="8"/>
        <v>312018</v>
      </c>
      <c r="L277" s="909"/>
      <c r="M277" s="910">
        <v>19927</v>
      </c>
      <c r="N277" s="910">
        <v>0</v>
      </c>
      <c r="O277" s="909">
        <v>62664</v>
      </c>
      <c r="P277" s="911">
        <f t="shared" si="9"/>
        <v>82591</v>
      </c>
      <c r="Q277" s="909"/>
      <c r="R277" s="910">
        <v>237240</v>
      </c>
      <c r="S277" s="912">
        <v>-35531</v>
      </c>
      <c r="T277" s="912">
        <v>201709</v>
      </c>
    </row>
    <row r="278" spans="1:20" x14ac:dyDescent="0.25">
      <c r="A278" s="906">
        <v>92861</v>
      </c>
      <c r="B278" s="907" t="s">
        <v>2842</v>
      </c>
      <c r="C278" s="908">
        <v>3.6010000000000003E-4</v>
      </c>
      <c r="D278" s="908">
        <v>3.3629999999999999E-4</v>
      </c>
      <c r="E278" s="909">
        <v>550133</v>
      </c>
      <c r="F278" s="909"/>
      <c r="G278" s="910">
        <v>31693</v>
      </c>
      <c r="H278" s="911">
        <v>133573</v>
      </c>
      <c r="I278" s="910">
        <v>78567</v>
      </c>
      <c r="J278" s="909">
        <v>0</v>
      </c>
      <c r="K278" s="911">
        <f t="shared" si="8"/>
        <v>243833</v>
      </c>
      <c r="L278" s="909"/>
      <c r="M278" s="910">
        <v>15573</v>
      </c>
      <c r="N278" s="910">
        <v>0</v>
      </c>
      <c r="O278" s="909">
        <v>83092</v>
      </c>
      <c r="P278" s="911">
        <f t="shared" si="9"/>
        <v>98665</v>
      </c>
      <c r="Q278" s="909"/>
      <c r="R278" s="910">
        <v>185395</v>
      </c>
      <c r="S278" s="912">
        <v>-36908</v>
      </c>
      <c r="T278" s="912">
        <f>148488-1</f>
        <v>148487</v>
      </c>
    </row>
    <row r="279" spans="1:20" x14ac:dyDescent="0.25">
      <c r="A279" s="906">
        <v>92901</v>
      </c>
      <c r="B279" s="907" t="s">
        <v>2843</v>
      </c>
      <c r="C279" s="908">
        <v>5.5082999999999998E-3</v>
      </c>
      <c r="D279" s="908">
        <v>5.7581000000000004E-3</v>
      </c>
      <c r="E279" s="909">
        <v>8415157</v>
      </c>
      <c r="F279" s="909"/>
      <c r="G279" s="910">
        <v>484791</v>
      </c>
      <c r="H279" s="911">
        <v>2043211</v>
      </c>
      <c r="I279" s="910">
        <v>1201801</v>
      </c>
      <c r="J279" s="909">
        <v>65697</v>
      </c>
      <c r="K279" s="911">
        <f t="shared" si="8"/>
        <v>3795500</v>
      </c>
      <c r="L279" s="909"/>
      <c r="M279" s="910">
        <v>238206</v>
      </c>
      <c r="N279" s="910">
        <v>0</v>
      </c>
      <c r="O279" s="909">
        <v>124949</v>
      </c>
      <c r="P279" s="911">
        <f t="shared" si="9"/>
        <v>363155</v>
      </c>
      <c r="Q279" s="909"/>
      <c r="R279" s="910">
        <v>2835915</v>
      </c>
      <c r="S279" s="912">
        <v>6522</v>
      </c>
      <c r="T279" s="912">
        <f>2842438-1</f>
        <v>2842437</v>
      </c>
    </row>
    <row r="280" spans="1:20" x14ac:dyDescent="0.25">
      <c r="A280" s="906">
        <v>92911</v>
      </c>
      <c r="B280" s="907" t="s">
        <v>2844</v>
      </c>
      <c r="C280" s="908">
        <v>1.9548999999999999E-3</v>
      </c>
      <c r="D280" s="908">
        <v>1.9442999999999999E-3</v>
      </c>
      <c r="E280" s="909">
        <v>2986546</v>
      </c>
      <c r="F280" s="909"/>
      <c r="G280" s="910">
        <v>172053</v>
      </c>
      <c r="H280" s="911">
        <v>725137</v>
      </c>
      <c r="I280" s="910">
        <v>426520</v>
      </c>
      <c r="J280" s="909">
        <v>28442</v>
      </c>
      <c r="K280" s="911">
        <f t="shared" si="8"/>
        <v>1352152</v>
      </c>
      <c r="L280" s="909"/>
      <c r="M280" s="910">
        <v>84540</v>
      </c>
      <c r="N280" s="910">
        <v>0</v>
      </c>
      <c r="O280" s="909">
        <v>113525</v>
      </c>
      <c r="P280" s="911">
        <f t="shared" si="9"/>
        <v>198065</v>
      </c>
      <c r="Q280" s="909"/>
      <c r="R280" s="910">
        <v>1006469</v>
      </c>
      <c r="S280" s="912">
        <v>-55041</v>
      </c>
      <c r="T280" s="912">
        <v>951428</v>
      </c>
    </row>
    <row r="281" spans="1:20" x14ac:dyDescent="0.25">
      <c r="A281" s="906">
        <v>92913</v>
      </c>
      <c r="B281" s="907" t="s">
        <v>2845</v>
      </c>
      <c r="C281" s="908">
        <v>2.1999999999999999E-5</v>
      </c>
      <c r="D281" s="908">
        <v>2.37E-5</v>
      </c>
      <c r="E281" s="909">
        <v>33610</v>
      </c>
      <c r="F281" s="909"/>
      <c r="G281" s="910">
        <v>1936</v>
      </c>
      <c r="H281" s="911">
        <v>8160</v>
      </c>
      <c r="I281" s="910">
        <v>4800</v>
      </c>
      <c r="J281" s="909">
        <v>79442</v>
      </c>
      <c r="K281" s="911">
        <f t="shared" si="8"/>
        <v>94338</v>
      </c>
      <c r="L281" s="909"/>
      <c r="M281" s="910">
        <v>951</v>
      </c>
      <c r="N281" s="910">
        <v>0</v>
      </c>
      <c r="O281" s="909">
        <v>2047</v>
      </c>
      <c r="P281" s="911">
        <f t="shared" si="9"/>
        <v>2998</v>
      </c>
      <c r="Q281" s="909"/>
      <c r="R281" s="910">
        <v>11327</v>
      </c>
      <c r="S281" s="912">
        <v>25513</v>
      </c>
      <c r="T281" s="912">
        <v>36840</v>
      </c>
    </row>
    <row r="282" spans="1:20" x14ac:dyDescent="0.25">
      <c r="A282" s="906">
        <v>92914</v>
      </c>
      <c r="B282" s="907" t="s">
        <v>3583</v>
      </c>
      <c r="C282" s="908">
        <v>2.8900000000000001E-5</v>
      </c>
      <c r="D282" s="908">
        <v>0</v>
      </c>
      <c r="E282" s="909">
        <v>44151</v>
      </c>
      <c r="F282" s="909"/>
      <c r="G282" s="910">
        <v>2544</v>
      </c>
      <c r="H282" s="911">
        <v>10720</v>
      </c>
      <c r="I282" s="910">
        <v>6305</v>
      </c>
      <c r="J282" s="909">
        <v>17173</v>
      </c>
      <c r="K282" s="911">
        <f t="shared" si="8"/>
        <v>36742</v>
      </c>
      <c r="L282" s="909"/>
      <c r="M282" s="910">
        <v>1250</v>
      </c>
      <c r="N282" s="910">
        <v>0</v>
      </c>
      <c r="O282" s="909">
        <v>0</v>
      </c>
      <c r="P282" s="911">
        <f t="shared" si="9"/>
        <v>1250</v>
      </c>
      <c r="Q282" s="909"/>
      <c r="R282" s="910">
        <v>14879</v>
      </c>
      <c r="S282" s="912">
        <v>4293</v>
      </c>
      <c r="T282" s="912">
        <v>19172</v>
      </c>
    </row>
    <row r="283" spans="1:20" x14ac:dyDescent="0.25">
      <c r="A283" s="906">
        <v>92917</v>
      </c>
      <c r="B283" s="907" t="s">
        <v>2846</v>
      </c>
      <c r="C283" s="908">
        <v>1.4800000000000001E-5</v>
      </c>
      <c r="D283" s="908">
        <v>2.0000000000000002E-5</v>
      </c>
      <c r="E283" s="909">
        <v>22610</v>
      </c>
      <c r="F283" s="909"/>
      <c r="G283" s="910">
        <v>1303</v>
      </c>
      <c r="H283" s="911">
        <v>5490</v>
      </c>
      <c r="I283" s="910">
        <v>3229</v>
      </c>
      <c r="J283" s="909">
        <v>13223</v>
      </c>
      <c r="K283" s="911">
        <f t="shared" si="8"/>
        <v>23245</v>
      </c>
      <c r="L283" s="909"/>
      <c r="M283" s="910">
        <v>640</v>
      </c>
      <c r="N283" s="910">
        <v>0</v>
      </c>
      <c r="O283" s="909">
        <v>0</v>
      </c>
      <c r="P283" s="911">
        <f t="shared" si="9"/>
        <v>640</v>
      </c>
      <c r="Q283" s="909"/>
      <c r="R283" s="910">
        <v>7620</v>
      </c>
      <c r="S283" s="912">
        <v>6352</v>
      </c>
      <c r="T283" s="912">
        <f>13971+1</f>
        <v>13972</v>
      </c>
    </row>
    <row r="284" spans="1:20" x14ac:dyDescent="0.25">
      <c r="A284" s="906">
        <v>92921</v>
      </c>
      <c r="B284" s="907" t="s">
        <v>2847</v>
      </c>
      <c r="C284" s="908">
        <v>7.4400000000000006E-5</v>
      </c>
      <c r="D284" s="908">
        <v>6.2899999999999997E-5</v>
      </c>
      <c r="E284" s="909">
        <v>113663</v>
      </c>
      <c r="F284" s="909"/>
      <c r="G284" s="910">
        <v>6548</v>
      </c>
      <c r="H284" s="911">
        <v>27597</v>
      </c>
      <c r="I284" s="910">
        <v>16233</v>
      </c>
      <c r="J284" s="909">
        <v>13244</v>
      </c>
      <c r="K284" s="911">
        <f t="shared" si="8"/>
        <v>63622</v>
      </c>
      <c r="L284" s="909"/>
      <c r="M284" s="910">
        <v>3217</v>
      </c>
      <c r="N284" s="910">
        <v>0</v>
      </c>
      <c r="O284" s="909">
        <v>7831</v>
      </c>
      <c r="P284" s="911">
        <f t="shared" si="9"/>
        <v>11048</v>
      </c>
      <c r="Q284" s="909"/>
      <c r="R284" s="910">
        <v>38304</v>
      </c>
      <c r="S284" s="912">
        <v>-2914</v>
      </c>
      <c r="T284" s="912">
        <v>35390</v>
      </c>
    </row>
    <row r="285" spans="1:20" x14ac:dyDescent="0.25">
      <c r="A285" s="906">
        <v>92931</v>
      </c>
      <c r="B285" s="907" t="s">
        <v>2848</v>
      </c>
      <c r="C285" s="908">
        <v>2.3996E-3</v>
      </c>
      <c r="D285" s="908">
        <v>2.5048000000000002E-3</v>
      </c>
      <c r="E285" s="909">
        <v>3665924</v>
      </c>
      <c r="F285" s="909"/>
      <c r="G285" s="910">
        <v>211191</v>
      </c>
      <c r="H285" s="911">
        <v>890091</v>
      </c>
      <c r="I285" s="910">
        <v>523545</v>
      </c>
      <c r="J285" s="909">
        <v>7721</v>
      </c>
      <c r="K285" s="911">
        <f t="shared" si="8"/>
        <v>1632548</v>
      </c>
      <c r="L285" s="909"/>
      <c r="M285" s="910">
        <v>103771</v>
      </c>
      <c r="N285" s="910">
        <v>0</v>
      </c>
      <c r="O285" s="909">
        <v>147858</v>
      </c>
      <c r="P285" s="911">
        <f t="shared" si="9"/>
        <v>251629</v>
      </c>
      <c r="Q285" s="909"/>
      <c r="R285" s="910">
        <v>1235420</v>
      </c>
      <c r="S285" s="912">
        <v>-41276</v>
      </c>
      <c r="T285" s="912">
        <v>1194144</v>
      </c>
    </row>
    <row r="286" spans="1:20" x14ac:dyDescent="0.25">
      <c r="A286" s="906">
        <v>92941</v>
      </c>
      <c r="B286" s="907" t="s">
        <v>1445</v>
      </c>
      <c r="C286" s="908">
        <v>1.2300000000000001E-5</v>
      </c>
      <c r="D286" s="908">
        <v>1.84E-5</v>
      </c>
      <c r="E286" s="909">
        <v>18791</v>
      </c>
      <c r="F286" s="909"/>
      <c r="G286" s="910">
        <v>1083</v>
      </c>
      <c r="H286" s="911">
        <v>4563</v>
      </c>
      <c r="I286" s="910">
        <v>2684</v>
      </c>
      <c r="J286" s="909">
        <v>6612</v>
      </c>
      <c r="K286" s="911">
        <f t="shared" si="8"/>
        <v>14942</v>
      </c>
      <c r="L286" s="909"/>
      <c r="M286" s="910">
        <v>532</v>
      </c>
      <c r="N286" s="910">
        <v>0</v>
      </c>
      <c r="O286" s="909">
        <v>1770</v>
      </c>
      <c r="P286" s="911">
        <f t="shared" si="9"/>
        <v>2302</v>
      </c>
      <c r="Q286" s="909"/>
      <c r="R286" s="910">
        <v>6333</v>
      </c>
      <c r="S286" s="912">
        <v>3162</v>
      </c>
      <c r="T286" s="912">
        <v>9495</v>
      </c>
    </row>
    <row r="287" spans="1:20" x14ac:dyDescent="0.25">
      <c r="A287" s="906">
        <v>93001</v>
      </c>
      <c r="B287" s="907" t="s">
        <v>2849</v>
      </c>
      <c r="C287" s="908">
        <v>2.2227000000000002E-3</v>
      </c>
      <c r="D287" s="908">
        <v>2.2739000000000001E-3</v>
      </c>
      <c r="E287" s="909">
        <v>3395670</v>
      </c>
      <c r="F287" s="909"/>
      <c r="G287" s="910">
        <v>195622</v>
      </c>
      <c r="H287" s="911">
        <v>824473</v>
      </c>
      <c r="I287" s="910">
        <v>484949</v>
      </c>
      <c r="J287" s="909">
        <v>8733</v>
      </c>
      <c r="K287" s="911">
        <f t="shared" si="8"/>
        <v>1513777</v>
      </c>
      <c r="L287" s="909"/>
      <c r="M287" s="910">
        <v>96121</v>
      </c>
      <c r="N287" s="910">
        <v>0</v>
      </c>
      <c r="O287" s="909">
        <v>123729</v>
      </c>
      <c r="P287" s="911">
        <f t="shared" si="9"/>
        <v>219850</v>
      </c>
      <c r="Q287" s="909"/>
      <c r="R287" s="910">
        <v>1144344</v>
      </c>
      <c r="S287" s="912">
        <v>-57358</v>
      </c>
      <c r="T287" s="912">
        <v>1086986</v>
      </c>
    </row>
    <row r="288" spans="1:20" x14ac:dyDescent="0.25">
      <c r="A288" s="906">
        <v>93009</v>
      </c>
      <c r="B288" s="907" t="s">
        <v>2850</v>
      </c>
      <c r="C288" s="908">
        <v>1.47E-5</v>
      </c>
      <c r="D288" s="908">
        <v>1.5400000000000002E-5</v>
      </c>
      <c r="E288" s="909">
        <v>22458</v>
      </c>
      <c r="F288" s="909"/>
      <c r="G288" s="910">
        <v>1294</v>
      </c>
      <c r="H288" s="911">
        <v>5453</v>
      </c>
      <c r="I288" s="910">
        <v>3207</v>
      </c>
      <c r="J288" s="909">
        <v>0</v>
      </c>
      <c r="K288" s="911">
        <f t="shared" si="8"/>
        <v>9954</v>
      </c>
      <c r="L288" s="909"/>
      <c r="M288" s="910">
        <v>636</v>
      </c>
      <c r="N288" s="910">
        <v>0</v>
      </c>
      <c r="O288" s="909">
        <v>4280</v>
      </c>
      <c r="P288" s="911">
        <f t="shared" si="9"/>
        <v>4916</v>
      </c>
      <c r="Q288" s="909"/>
      <c r="R288" s="910">
        <v>7568</v>
      </c>
      <c r="S288" s="912">
        <v>-1918</v>
      </c>
      <c r="T288" s="912">
        <v>5650</v>
      </c>
    </row>
    <row r="289" spans="1:20" x14ac:dyDescent="0.25">
      <c r="A289" s="906">
        <v>93011</v>
      </c>
      <c r="B289" s="907" t="s">
        <v>2851</v>
      </c>
      <c r="C289" s="908">
        <v>2.2699999999999999E-4</v>
      </c>
      <c r="D289" s="908">
        <v>2.6160000000000002E-4</v>
      </c>
      <c r="E289" s="909">
        <v>346793</v>
      </c>
      <c r="F289" s="909"/>
      <c r="G289" s="910">
        <v>19978</v>
      </c>
      <c r="H289" s="911">
        <v>84202</v>
      </c>
      <c r="I289" s="910">
        <v>49527</v>
      </c>
      <c r="J289" s="909">
        <v>1542</v>
      </c>
      <c r="K289" s="911">
        <f t="shared" si="8"/>
        <v>155249</v>
      </c>
      <c r="L289" s="909"/>
      <c r="M289" s="910">
        <v>9817</v>
      </c>
      <c r="N289" s="910">
        <v>0</v>
      </c>
      <c r="O289" s="909">
        <v>15019</v>
      </c>
      <c r="P289" s="911">
        <f t="shared" si="9"/>
        <v>24836</v>
      </c>
      <c r="Q289" s="909"/>
      <c r="R289" s="910">
        <v>116870</v>
      </c>
      <c r="S289" s="912">
        <v>-3863</v>
      </c>
      <c r="T289" s="912">
        <v>113007</v>
      </c>
    </row>
    <row r="290" spans="1:20" x14ac:dyDescent="0.25">
      <c r="A290" s="906">
        <v>93021</v>
      </c>
      <c r="B290" s="907" t="s">
        <v>2852</v>
      </c>
      <c r="C290" s="908">
        <v>3.4199999999999998E-5</v>
      </c>
      <c r="D290" s="908">
        <v>2.8900000000000001E-5</v>
      </c>
      <c r="E290" s="909">
        <v>52248</v>
      </c>
      <c r="F290" s="909"/>
      <c r="G290" s="910">
        <v>3010</v>
      </c>
      <c r="H290" s="911">
        <v>12686</v>
      </c>
      <c r="I290" s="910">
        <v>7462</v>
      </c>
      <c r="J290" s="909">
        <v>3788</v>
      </c>
      <c r="K290" s="911">
        <f t="shared" si="8"/>
        <v>26946</v>
      </c>
      <c r="L290" s="909"/>
      <c r="M290" s="910">
        <v>1479</v>
      </c>
      <c r="N290" s="910">
        <v>0</v>
      </c>
      <c r="O290" s="909">
        <v>4978</v>
      </c>
      <c r="P290" s="911">
        <f t="shared" si="9"/>
        <v>6457</v>
      </c>
      <c r="Q290" s="909"/>
      <c r="R290" s="910">
        <v>17608</v>
      </c>
      <c r="S290" s="912">
        <v>260</v>
      </c>
      <c r="T290" s="912">
        <v>17868</v>
      </c>
    </row>
    <row r="291" spans="1:20" x14ac:dyDescent="0.25">
      <c r="A291" s="906">
        <v>93027</v>
      </c>
      <c r="B291" s="907" t="s">
        <v>2853</v>
      </c>
      <c r="C291" s="908">
        <v>1.6699999999999999E-5</v>
      </c>
      <c r="D291" s="908">
        <v>1.6699999999999999E-5</v>
      </c>
      <c r="E291" s="909">
        <v>25513</v>
      </c>
      <c r="F291" s="909"/>
      <c r="G291" s="910">
        <v>1470</v>
      </c>
      <c r="H291" s="911">
        <v>6194</v>
      </c>
      <c r="I291" s="910">
        <v>3644</v>
      </c>
      <c r="J291" s="909">
        <v>1152</v>
      </c>
      <c r="K291" s="911">
        <f t="shared" si="8"/>
        <v>12460</v>
      </c>
      <c r="L291" s="909"/>
      <c r="M291" s="910">
        <v>722</v>
      </c>
      <c r="N291" s="910">
        <v>0</v>
      </c>
      <c r="O291" s="909">
        <v>834</v>
      </c>
      <c r="P291" s="911">
        <f t="shared" si="9"/>
        <v>1556</v>
      </c>
      <c r="Q291" s="909"/>
      <c r="R291" s="910">
        <v>8598</v>
      </c>
      <c r="S291" s="912">
        <v>-308</v>
      </c>
      <c r="T291" s="912">
        <v>8290</v>
      </c>
    </row>
    <row r="292" spans="1:20" x14ac:dyDescent="0.25">
      <c r="A292" s="906">
        <v>93031</v>
      </c>
      <c r="B292" s="907" t="s">
        <v>2854</v>
      </c>
      <c r="C292" s="908">
        <v>2.1699999999999999E-5</v>
      </c>
      <c r="D292" s="908">
        <v>2.2399999999999999E-5</v>
      </c>
      <c r="E292" s="909">
        <v>33152</v>
      </c>
      <c r="F292" s="909"/>
      <c r="G292" s="910">
        <v>1910</v>
      </c>
      <c r="H292" s="911">
        <v>8050</v>
      </c>
      <c r="I292" s="910">
        <v>4735</v>
      </c>
      <c r="J292" s="909">
        <v>18910</v>
      </c>
      <c r="K292" s="911">
        <f t="shared" si="8"/>
        <v>33605</v>
      </c>
      <c r="L292" s="909"/>
      <c r="M292" s="910">
        <v>938</v>
      </c>
      <c r="N292" s="910">
        <v>0</v>
      </c>
      <c r="O292" s="909">
        <v>221</v>
      </c>
      <c r="P292" s="911">
        <f t="shared" si="9"/>
        <v>1159</v>
      </c>
      <c r="Q292" s="909"/>
      <c r="R292" s="910">
        <v>11172</v>
      </c>
      <c r="S292" s="912">
        <v>5880</v>
      </c>
      <c r="T292" s="912">
        <v>17052</v>
      </c>
    </row>
    <row r="293" spans="1:20" x14ac:dyDescent="0.25">
      <c r="A293" s="906">
        <v>93101</v>
      </c>
      <c r="B293" s="907" t="s">
        <v>2855</v>
      </c>
      <c r="C293" s="908">
        <v>3.5159000000000002E-3</v>
      </c>
      <c r="D293" s="908">
        <v>3.5771000000000002E-3</v>
      </c>
      <c r="E293" s="909">
        <v>5371321</v>
      </c>
      <c r="F293" s="909"/>
      <c r="G293" s="910">
        <v>309438</v>
      </c>
      <c r="H293" s="911">
        <v>1304163</v>
      </c>
      <c r="I293" s="910">
        <v>767099</v>
      </c>
      <c r="J293" s="909">
        <v>104257</v>
      </c>
      <c r="K293" s="911">
        <f t="shared" si="8"/>
        <v>2484957</v>
      </c>
      <c r="L293" s="909"/>
      <c r="M293" s="910">
        <v>152045</v>
      </c>
      <c r="N293" s="910">
        <v>0</v>
      </c>
      <c r="O293" s="909">
        <v>115334</v>
      </c>
      <c r="P293" s="911">
        <f t="shared" si="9"/>
        <v>267379</v>
      </c>
      <c r="Q293" s="909"/>
      <c r="R293" s="910">
        <v>1810140</v>
      </c>
      <c r="S293" s="912">
        <v>39451</v>
      </c>
      <c r="T293" s="912">
        <v>1849591</v>
      </c>
    </row>
    <row r="294" spans="1:20" x14ac:dyDescent="0.25">
      <c r="A294" s="906">
        <v>93103</v>
      </c>
      <c r="B294" s="907" t="s">
        <v>2123</v>
      </c>
      <c r="C294" s="908">
        <v>1.7099999999999999E-5</v>
      </c>
      <c r="D294" s="908">
        <v>1.7200000000000001E-5</v>
      </c>
      <c r="E294" s="909">
        <v>26124</v>
      </c>
      <c r="F294" s="909"/>
      <c r="G294" s="910">
        <v>1505</v>
      </c>
      <c r="H294" s="911">
        <v>6343</v>
      </c>
      <c r="I294" s="910">
        <v>3731</v>
      </c>
      <c r="J294" s="909">
        <v>6718</v>
      </c>
      <c r="K294" s="911">
        <f t="shared" si="8"/>
        <v>18297</v>
      </c>
      <c r="L294" s="909"/>
      <c r="M294" s="910">
        <v>739</v>
      </c>
      <c r="N294" s="910">
        <v>0</v>
      </c>
      <c r="O294" s="909">
        <v>1798</v>
      </c>
      <c r="P294" s="911">
        <f t="shared" si="9"/>
        <v>2537</v>
      </c>
      <c r="Q294" s="909"/>
      <c r="R294" s="910">
        <v>8804</v>
      </c>
      <c r="S294" s="912">
        <v>2085</v>
      </c>
      <c r="T294" s="912">
        <v>10889</v>
      </c>
    </row>
    <row r="295" spans="1:20" x14ac:dyDescent="0.25">
      <c r="A295" s="906">
        <v>93108</v>
      </c>
      <c r="B295" s="907" t="s">
        <v>2856</v>
      </c>
      <c r="C295" s="908">
        <v>2.6624999999999999E-3</v>
      </c>
      <c r="D295" s="908">
        <v>2.5661999999999998E-3</v>
      </c>
      <c r="E295" s="909">
        <v>4067562</v>
      </c>
      <c r="F295" s="909"/>
      <c r="G295" s="910">
        <v>234329</v>
      </c>
      <c r="H295" s="911">
        <v>987609</v>
      </c>
      <c r="I295" s="910">
        <v>580904</v>
      </c>
      <c r="J295" s="909">
        <v>274861</v>
      </c>
      <c r="K295" s="911">
        <f t="shared" si="8"/>
        <v>2077703</v>
      </c>
      <c r="L295" s="909"/>
      <c r="M295" s="910">
        <v>115140</v>
      </c>
      <c r="N295" s="910">
        <v>0</v>
      </c>
      <c r="O295" s="909">
        <v>0</v>
      </c>
      <c r="P295" s="911">
        <f t="shared" si="9"/>
        <v>115140</v>
      </c>
      <c r="Q295" s="909"/>
      <c r="R295" s="910">
        <v>1370772</v>
      </c>
      <c r="S295" s="912">
        <v>189775</v>
      </c>
      <c r="T295" s="912">
        <v>1560547</v>
      </c>
    </row>
    <row r="296" spans="1:20" x14ac:dyDescent="0.25">
      <c r="A296" s="906">
        <v>93111</v>
      </c>
      <c r="B296" s="907" t="s">
        <v>2857</v>
      </c>
      <c r="C296" s="908">
        <v>5.8499999999999999E-5</v>
      </c>
      <c r="D296" s="908">
        <v>7.08E-5</v>
      </c>
      <c r="E296" s="909">
        <v>89372</v>
      </c>
      <c r="F296" s="909"/>
      <c r="G296" s="910">
        <v>5149</v>
      </c>
      <c r="H296" s="911">
        <v>21700</v>
      </c>
      <c r="I296" s="910">
        <v>12764</v>
      </c>
      <c r="J296" s="909">
        <v>0</v>
      </c>
      <c r="K296" s="911">
        <f t="shared" si="8"/>
        <v>39613</v>
      </c>
      <c r="L296" s="909"/>
      <c r="M296" s="910">
        <v>2530</v>
      </c>
      <c r="N296" s="910">
        <v>0</v>
      </c>
      <c r="O296" s="909">
        <v>15463</v>
      </c>
      <c r="P296" s="911">
        <f t="shared" si="9"/>
        <v>17993</v>
      </c>
      <c r="Q296" s="909"/>
      <c r="R296" s="910">
        <v>30118</v>
      </c>
      <c r="S296" s="912">
        <v>-5541</v>
      </c>
      <c r="T296" s="912">
        <f>24578-1</f>
        <v>24577</v>
      </c>
    </row>
    <row r="297" spans="1:20" x14ac:dyDescent="0.25">
      <c r="A297" s="906">
        <v>93121</v>
      </c>
      <c r="B297" s="907" t="s">
        <v>2858</v>
      </c>
      <c r="C297" s="908">
        <v>6.2299999999999996E-5</v>
      </c>
      <c r="D297" s="908">
        <v>5.8900000000000002E-5</v>
      </c>
      <c r="E297" s="909">
        <v>95177</v>
      </c>
      <c r="F297" s="909"/>
      <c r="G297" s="910">
        <v>5483</v>
      </c>
      <c r="H297" s="911">
        <v>23109</v>
      </c>
      <c r="I297" s="910">
        <v>13593</v>
      </c>
      <c r="J297" s="909">
        <v>2043</v>
      </c>
      <c r="K297" s="911">
        <f t="shared" si="8"/>
        <v>44228</v>
      </c>
      <c r="L297" s="909"/>
      <c r="M297" s="910">
        <v>2694</v>
      </c>
      <c r="N297" s="910">
        <v>0</v>
      </c>
      <c r="O297" s="909">
        <v>9059</v>
      </c>
      <c r="P297" s="911">
        <f t="shared" si="9"/>
        <v>11753</v>
      </c>
      <c r="Q297" s="909"/>
      <c r="R297" s="910">
        <v>32075</v>
      </c>
      <c r="S297" s="912">
        <v>-3552</v>
      </c>
      <c r="T297" s="912">
        <f>28522+1</f>
        <v>28523</v>
      </c>
    </row>
    <row r="298" spans="1:20" x14ac:dyDescent="0.25">
      <c r="A298" s="906">
        <v>93127</v>
      </c>
      <c r="B298" s="907" t="s">
        <v>2859</v>
      </c>
      <c r="C298" s="908">
        <v>6.9E-6</v>
      </c>
      <c r="D298" s="908">
        <v>6.8000000000000001E-6</v>
      </c>
      <c r="E298" s="909">
        <v>10541</v>
      </c>
      <c r="F298" s="909"/>
      <c r="G298" s="910">
        <v>607</v>
      </c>
      <c r="H298" s="911">
        <v>2560</v>
      </c>
      <c r="I298" s="910">
        <v>1505</v>
      </c>
      <c r="J298" s="909">
        <v>124</v>
      </c>
      <c r="K298" s="911">
        <f t="shared" si="8"/>
        <v>4796</v>
      </c>
      <c r="L298" s="909"/>
      <c r="M298" s="910">
        <v>298</v>
      </c>
      <c r="N298" s="910">
        <v>0</v>
      </c>
      <c r="O298" s="909">
        <v>731</v>
      </c>
      <c r="P298" s="911">
        <f t="shared" si="9"/>
        <v>1029</v>
      </c>
      <c r="Q298" s="909"/>
      <c r="R298" s="910">
        <v>3552</v>
      </c>
      <c r="S298" s="912">
        <v>-369</v>
      </c>
      <c r="T298" s="912">
        <v>3183</v>
      </c>
    </row>
    <row r="299" spans="1:20" x14ac:dyDescent="0.25">
      <c r="A299" s="906">
        <v>93131</v>
      </c>
      <c r="B299" s="907" t="s">
        <v>2860</v>
      </c>
      <c r="C299" s="908">
        <v>2.218E-4</v>
      </c>
      <c r="D299" s="908">
        <v>2.3939999999999999E-4</v>
      </c>
      <c r="E299" s="909">
        <v>338849</v>
      </c>
      <c r="F299" s="909"/>
      <c r="G299" s="910">
        <v>19521</v>
      </c>
      <c r="H299" s="911">
        <v>82273</v>
      </c>
      <c r="I299" s="910">
        <v>48392</v>
      </c>
      <c r="J299" s="909">
        <v>7888</v>
      </c>
      <c r="K299" s="911">
        <f t="shared" si="8"/>
        <v>158074</v>
      </c>
      <c r="L299" s="909"/>
      <c r="M299" s="910">
        <v>9592</v>
      </c>
      <c r="N299" s="910">
        <v>0</v>
      </c>
      <c r="O299" s="909">
        <v>21906</v>
      </c>
      <c r="P299" s="911">
        <f t="shared" si="9"/>
        <v>31498</v>
      </c>
      <c r="Q299" s="909"/>
      <c r="R299" s="910">
        <v>114192</v>
      </c>
      <c r="S299" s="912">
        <v>-530</v>
      </c>
      <c r="T299" s="912">
        <v>113662</v>
      </c>
    </row>
    <row r="300" spans="1:20" x14ac:dyDescent="0.25">
      <c r="A300" s="906">
        <v>93137</v>
      </c>
      <c r="B300" s="907" t="s">
        <v>2861</v>
      </c>
      <c r="C300" s="908">
        <v>3.3000000000000002E-6</v>
      </c>
      <c r="D300" s="908">
        <v>1.9E-6</v>
      </c>
      <c r="E300" s="909">
        <v>5041</v>
      </c>
      <c r="F300" s="909"/>
      <c r="G300" s="910">
        <v>290</v>
      </c>
      <c r="H300" s="911">
        <v>1224</v>
      </c>
      <c r="I300" s="910">
        <v>720</v>
      </c>
      <c r="J300" s="909">
        <v>2709</v>
      </c>
      <c r="K300" s="911">
        <f t="shared" si="8"/>
        <v>4943</v>
      </c>
      <c r="L300" s="909"/>
      <c r="M300" s="910">
        <v>143</v>
      </c>
      <c r="N300" s="910">
        <v>0</v>
      </c>
      <c r="O300" s="909">
        <v>0</v>
      </c>
      <c r="P300" s="911">
        <f t="shared" si="9"/>
        <v>143</v>
      </c>
      <c r="Q300" s="909"/>
      <c r="R300" s="910">
        <v>1699</v>
      </c>
      <c r="S300" s="912">
        <v>839</v>
      </c>
      <c r="T300" s="912">
        <v>2538</v>
      </c>
    </row>
    <row r="301" spans="1:20" x14ac:dyDescent="0.25">
      <c r="A301" s="906">
        <v>93141</v>
      </c>
      <c r="B301" s="907" t="s">
        <v>2862</v>
      </c>
      <c r="C301" s="908">
        <v>4.1100000000000003E-5</v>
      </c>
      <c r="D301" s="908">
        <v>4.5500000000000001E-5</v>
      </c>
      <c r="E301" s="909">
        <v>62789</v>
      </c>
      <c r="F301" s="909"/>
      <c r="G301" s="910">
        <v>3617</v>
      </c>
      <c r="H301" s="911">
        <v>15246</v>
      </c>
      <c r="I301" s="910">
        <v>8967</v>
      </c>
      <c r="J301" s="909">
        <v>2083</v>
      </c>
      <c r="K301" s="911">
        <f t="shared" si="8"/>
        <v>29913</v>
      </c>
      <c r="L301" s="909"/>
      <c r="M301" s="910">
        <v>1777</v>
      </c>
      <c r="N301" s="910">
        <v>0</v>
      </c>
      <c r="O301" s="909">
        <v>7408</v>
      </c>
      <c r="P301" s="911">
        <f t="shared" si="9"/>
        <v>9185</v>
      </c>
      <c r="Q301" s="909"/>
      <c r="R301" s="910">
        <v>21160</v>
      </c>
      <c r="S301" s="912">
        <v>-351</v>
      </c>
      <c r="T301" s="912">
        <v>20809</v>
      </c>
    </row>
    <row r="302" spans="1:20" x14ac:dyDescent="0.25">
      <c r="A302" s="906">
        <v>93151</v>
      </c>
      <c r="B302" s="907" t="s">
        <v>2863</v>
      </c>
      <c r="C302" s="908">
        <v>3.4279999999999998E-4</v>
      </c>
      <c r="D302" s="908">
        <v>3.6539999999999999E-4</v>
      </c>
      <c r="E302" s="909">
        <v>523703</v>
      </c>
      <c r="F302" s="909"/>
      <c r="G302" s="910">
        <v>30170</v>
      </c>
      <c r="H302" s="911">
        <v>127156</v>
      </c>
      <c r="I302" s="910">
        <v>74792</v>
      </c>
      <c r="J302" s="909">
        <v>3795</v>
      </c>
      <c r="K302" s="911">
        <f t="shared" si="8"/>
        <v>235913</v>
      </c>
      <c r="L302" s="909"/>
      <c r="M302" s="910">
        <v>14824</v>
      </c>
      <c r="N302" s="910">
        <v>0</v>
      </c>
      <c r="O302" s="909">
        <v>19989</v>
      </c>
      <c r="P302" s="911">
        <f t="shared" si="9"/>
        <v>34813</v>
      </c>
      <c r="Q302" s="909"/>
      <c r="R302" s="910">
        <v>176489</v>
      </c>
      <c r="S302" s="912">
        <v>-4355</v>
      </c>
      <c r="T302" s="912">
        <f>172133+1</f>
        <v>172134</v>
      </c>
    </row>
    <row r="303" spans="1:20" x14ac:dyDescent="0.25">
      <c r="A303" s="906">
        <v>93157</v>
      </c>
      <c r="B303" s="907" t="s">
        <v>2864</v>
      </c>
      <c r="C303" s="908">
        <v>3.5999999999999998E-6</v>
      </c>
      <c r="D303" s="908">
        <v>3.8E-6</v>
      </c>
      <c r="E303" s="909">
        <v>5500</v>
      </c>
      <c r="F303" s="909"/>
      <c r="G303" s="910">
        <v>317</v>
      </c>
      <c r="H303" s="911">
        <v>1336</v>
      </c>
      <c r="I303" s="910">
        <v>785</v>
      </c>
      <c r="J303" s="909">
        <v>6931</v>
      </c>
      <c r="K303" s="911">
        <f t="shared" si="8"/>
        <v>9369</v>
      </c>
      <c r="L303" s="909"/>
      <c r="M303" s="910">
        <v>156</v>
      </c>
      <c r="N303" s="910">
        <v>0</v>
      </c>
      <c r="O303" s="909">
        <v>340</v>
      </c>
      <c r="P303" s="911">
        <f t="shared" si="9"/>
        <v>496</v>
      </c>
      <c r="Q303" s="909"/>
      <c r="R303" s="910">
        <v>1853</v>
      </c>
      <c r="S303" s="912">
        <v>2783</v>
      </c>
      <c r="T303" s="912">
        <f>4637-1</f>
        <v>4636</v>
      </c>
    </row>
    <row r="304" spans="1:20" x14ac:dyDescent="0.25">
      <c r="A304" s="906">
        <v>93161</v>
      </c>
      <c r="B304" s="907" t="s">
        <v>2865</v>
      </c>
      <c r="C304" s="908">
        <v>1.038E-4</v>
      </c>
      <c r="D304" s="908">
        <v>6.2500000000000001E-5</v>
      </c>
      <c r="E304" s="909">
        <v>158578</v>
      </c>
      <c r="F304" s="909"/>
      <c r="G304" s="910">
        <v>9136</v>
      </c>
      <c r="H304" s="911">
        <v>38503</v>
      </c>
      <c r="I304" s="910">
        <v>22647</v>
      </c>
      <c r="J304" s="909">
        <v>35990</v>
      </c>
      <c r="K304" s="911">
        <f t="shared" si="8"/>
        <v>106276</v>
      </c>
      <c r="L304" s="909"/>
      <c r="M304" s="910">
        <v>4489</v>
      </c>
      <c r="N304" s="910">
        <v>0</v>
      </c>
      <c r="O304" s="909">
        <v>0</v>
      </c>
      <c r="P304" s="911">
        <f t="shared" si="9"/>
        <v>4489</v>
      </c>
      <c r="Q304" s="909"/>
      <c r="R304" s="910">
        <v>53441</v>
      </c>
      <c r="S304" s="912">
        <v>13001</v>
      </c>
      <c r="T304" s="912">
        <v>66442</v>
      </c>
    </row>
    <row r="305" spans="1:20" x14ac:dyDescent="0.25">
      <c r="A305" s="906">
        <v>93171</v>
      </c>
      <c r="B305" s="907" t="s">
        <v>2866</v>
      </c>
      <c r="C305" s="908">
        <v>5.2000000000000002E-6</v>
      </c>
      <c r="D305" s="908">
        <v>5.8000000000000004E-6</v>
      </c>
      <c r="E305" s="909">
        <v>7944</v>
      </c>
      <c r="F305" s="909"/>
      <c r="G305" s="910">
        <v>458</v>
      </c>
      <c r="H305" s="911">
        <v>1929</v>
      </c>
      <c r="I305" s="910">
        <v>1135</v>
      </c>
      <c r="J305" s="909">
        <v>1960</v>
      </c>
      <c r="K305" s="911">
        <f t="shared" si="8"/>
        <v>5482</v>
      </c>
      <c r="L305" s="909"/>
      <c r="M305" s="910">
        <v>225</v>
      </c>
      <c r="N305" s="910">
        <v>0</v>
      </c>
      <c r="O305" s="909">
        <v>0</v>
      </c>
      <c r="P305" s="911">
        <f t="shared" si="9"/>
        <v>225</v>
      </c>
      <c r="Q305" s="909"/>
      <c r="R305" s="910">
        <v>2677</v>
      </c>
      <c r="S305" s="912">
        <v>791</v>
      </c>
      <c r="T305" s="912">
        <v>3468</v>
      </c>
    </row>
    <row r="306" spans="1:20" x14ac:dyDescent="0.25">
      <c r="A306" s="906">
        <v>93181</v>
      </c>
      <c r="B306" s="907" t="s">
        <v>2867</v>
      </c>
      <c r="C306" s="908">
        <v>1.13E-5</v>
      </c>
      <c r="D306" s="908">
        <v>1.1E-5</v>
      </c>
      <c r="E306" s="909">
        <v>17263</v>
      </c>
      <c r="F306" s="909"/>
      <c r="G306" s="910">
        <v>995</v>
      </c>
      <c r="H306" s="911">
        <v>4191</v>
      </c>
      <c r="I306" s="910">
        <v>2465</v>
      </c>
      <c r="J306" s="909">
        <v>772</v>
      </c>
      <c r="K306" s="911">
        <f t="shared" si="8"/>
        <v>8423</v>
      </c>
      <c r="L306" s="909"/>
      <c r="M306" s="910">
        <v>489</v>
      </c>
      <c r="N306" s="910">
        <v>0</v>
      </c>
      <c r="O306" s="909">
        <v>28</v>
      </c>
      <c r="P306" s="911">
        <f t="shared" si="9"/>
        <v>517</v>
      </c>
      <c r="Q306" s="909"/>
      <c r="R306" s="910">
        <v>5818</v>
      </c>
      <c r="S306" s="912">
        <v>412</v>
      </c>
      <c r="T306" s="912">
        <v>6230</v>
      </c>
    </row>
    <row r="307" spans="1:20" x14ac:dyDescent="0.25">
      <c r="A307" s="906">
        <v>93191</v>
      </c>
      <c r="B307" s="907" t="s">
        <v>2868</v>
      </c>
      <c r="C307" s="908">
        <v>2.4600000000000002E-5</v>
      </c>
      <c r="D307" s="908">
        <v>3.3000000000000003E-5</v>
      </c>
      <c r="E307" s="909">
        <v>37582</v>
      </c>
      <c r="F307" s="909"/>
      <c r="G307" s="910">
        <v>2165</v>
      </c>
      <c r="H307" s="911">
        <v>9125</v>
      </c>
      <c r="I307" s="910">
        <v>5367</v>
      </c>
      <c r="J307" s="909">
        <v>1713</v>
      </c>
      <c r="K307" s="911">
        <f t="shared" si="8"/>
        <v>18370</v>
      </c>
      <c r="L307" s="909"/>
      <c r="M307" s="910">
        <v>1064</v>
      </c>
      <c r="N307" s="910">
        <v>0</v>
      </c>
      <c r="O307" s="909">
        <v>2443</v>
      </c>
      <c r="P307" s="911">
        <f t="shared" si="9"/>
        <v>3507</v>
      </c>
      <c r="Q307" s="909"/>
      <c r="R307" s="910">
        <v>12665</v>
      </c>
      <c r="S307" s="912">
        <v>-169</v>
      </c>
      <c r="T307" s="912">
        <v>12496</v>
      </c>
    </row>
    <row r="308" spans="1:20" x14ac:dyDescent="0.25">
      <c r="A308" s="906">
        <v>93201</v>
      </c>
      <c r="B308" s="907" t="s">
        <v>2869</v>
      </c>
      <c r="C308" s="908">
        <v>1.5517E-2</v>
      </c>
      <c r="D308" s="908">
        <v>1.5819699999999999E-2</v>
      </c>
      <c r="E308" s="909">
        <v>23705678</v>
      </c>
      <c r="F308" s="909"/>
      <c r="G308" s="910">
        <v>1365667</v>
      </c>
      <c r="H308" s="911">
        <v>5755768</v>
      </c>
      <c r="I308" s="910">
        <v>3385499</v>
      </c>
      <c r="J308" s="909">
        <v>809545</v>
      </c>
      <c r="K308" s="911">
        <f t="shared" si="8"/>
        <v>11316479</v>
      </c>
      <c r="L308" s="909"/>
      <c r="M308" s="910">
        <v>671033</v>
      </c>
      <c r="N308" s="910">
        <v>0</v>
      </c>
      <c r="O308" s="909">
        <v>206420</v>
      </c>
      <c r="P308" s="911">
        <f t="shared" si="9"/>
        <v>877453</v>
      </c>
      <c r="Q308" s="909"/>
      <c r="R308" s="910">
        <v>7988834</v>
      </c>
      <c r="S308" s="912">
        <v>397964</v>
      </c>
      <c r="T308" s="912">
        <f>8386799-1</f>
        <v>8386798</v>
      </c>
    </row>
    <row r="309" spans="1:20" x14ac:dyDescent="0.25">
      <c r="A309" s="906">
        <v>93202</v>
      </c>
      <c r="B309" s="907" t="s">
        <v>2870</v>
      </c>
      <c r="C309" s="908">
        <v>0</v>
      </c>
      <c r="D309" s="908">
        <v>0</v>
      </c>
      <c r="E309" s="909">
        <v>0</v>
      </c>
      <c r="F309" s="909"/>
      <c r="G309" s="910">
        <v>0</v>
      </c>
      <c r="H309" s="911">
        <v>0</v>
      </c>
      <c r="I309" s="910">
        <v>0</v>
      </c>
      <c r="J309" s="909">
        <v>0</v>
      </c>
      <c r="K309" s="911">
        <f t="shared" si="8"/>
        <v>0</v>
      </c>
      <c r="L309" s="909"/>
      <c r="M309" s="910">
        <v>0</v>
      </c>
      <c r="N309" s="910">
        <v>0</v>
      </c>
      <c r="O309" s="909">
        <v>212519</v>
      </c>
      <c r="P309" s="911">
        <f t="shared" si="9"/>
        <v>212519</v>
      </c>
      <c r="Q309" s="909"/>
      <c r="R309" s="910">
        <v>0</v>
      </c>
      <c r="S309" s="912">
        <v>-109544</v>
      </c>
      <c r="T309" s="912">
        <v>-109544</v>
      </c>
    </row>
    <row r="310" spans="1:20" x14ac:dyDescent="0.25">
      <c r="A310" s="906">
        <v>93204</v>
      </c>
      <c r="B310" s="907" t="s">
        <v>2871</v>
      </c>
      <c r="C310" s="908">
        <v>3.0279999999999999E-4</v>
      </c>
      <c r="D310" s="908">
        <v>2.9480000000000001E-4</v>
      </c>
      <c r="E310" s="909">
        <v>462595</v>
      </c>
      <c r="F310" s="909"/>
      <c r="G310" s="910">
        <v>26650</v>
      </c>
      <c r="H310" s="911">
        <v>112319</v>
      </c>
      <c r="I310" s="910">
        <v>66065</v>
      </c>
      <c r="J310" s="909">
        <v>24167</v>
      </c>
      <c r="K310" s="911">
        <f t="shared" si="8"/>
        <v>229201</v>
      </c>
      <c r="L310" s="909"/>
      <c r="M310" s="910">
        <v>13095</v>
      </c>
      <c r="N310" s="910">
        <v>0</v>
      </c>
      <c r="O310" s="909">
        <v>9452</v>
      </c>
      <c r="P310" s="911">
        <f t="shared" si="9"/>
        <v>22547</v>
      </c>
      <c r="Q310" s="909"/>
      <c r="R310" s="910">
        <v>155895</v>
      </c>
      <c r="S310" s="912">
        <v>782</v>
      </c>
      <c r="T310" s="912">
        <v>156677</v>
      </c>
    </row>
    <row r="311" spans="1:20" x14ac:dyDescent="0.25">
      <c r="A311" s="906">
        <v>93209</v>
      </c>
      <c r="B311" s="907" t="s">
        <v>2872</v>
      </c>
      <c r="C311" s="908">
        <v>4.6693999999999998E-3</v>
      </c>
      <c r="D311" s="908">
        <v>4.5113999999999996E-3</v>
      </c>
      <c r="E311" s="909">
        <v>7133550</v>
      </c>
      <c r="F311" s="909"/>
      <c r="G311" s="910">
        <v>410959</v>
      </c>
      <c r="H311" s="911">
        <v>1732035</v>
      </c>
      <c r="I311" s="910">
        <v>1018770</v>
      </c>
      <c r="J311" s="909">
        <v>838336</v>
      </c>
      <c r="K311" s="911">
        <f t="shared" si="8"/>
        <v>4000100</v>
      </c>
      <c r="L311" s="909"/>
      <c r="M311" s="910">
        <v>201928</v>
      </c>
      <c r="N311" s="910">
        <v>0</v>
      </c>
      <c r="O311" s="909">
        <v>0</v>
      </c>
      <c r="P311" s="911">
        <f t="shared" si="9"/>
        <v>201928</v>
      </c>
      <c r="Q311" s="909"/>
      <c r="R311" s="910">
        <v>2404013</v>
      </c>
      <c r="S311" s="912">
        <v>551077</v>
      </c>
      <c r="T311" s="912">
        <v>2955090</v>
      </c>
    </row>
    <row r="312" spans="1:20" x14ac:dyDescent="0.25">
      <c r="A312" s="906">
        <v>93211</v>
      </c>
      <c r="B312" s="907" t="s">
        <v>2873</v>
      </c>
      <c r="C312" s="908">
        <v>2.0374099999999999E-2</v>
      </c>
      <c r="D312" s="908">
        <v>2.0456800000000001E-2</v>
      </c>
      <c r="E312" s="909">
        <v>31125981</v>
      </c>
      <c r="F312" s="909"/>
      <c r="G312" s="910">
        <v>1793145</v>
      </c>
      <c r="H312" s="911">
        <v>7557426</v>
      </c>
      <c r="I312" s="910">
        <v>4445221</v>
      </c>
      <c r="J312" s="909">
        <v>0</v>
      </c>
      <c r="K312" s="911">
        <f t="shared" si="8"/>
        <v>13795792</v>
      </c>
      <c r="L312" s="909"/>
      <c r="M312" s="910">
        <v>881078</v>
      </c>
      <c r="N312" s="910">
        <v>0</v>
      </c>
      <c r="O312" s="909">
        <v>991023</v>
      </c>
      <c r="P312" s="911">
        <f t="shared" si="9"/>
        <v>1872101</v>
      </c>
      <c r="Q312" s="909"/>
      <c r="R312" s="910">
        <v>10489483</v>
      </c>
      <c r="S312" s="912">
        <v>-507236</v>
      </c>
      <c r="T312" s="912">
        <v>9982247</v>
      </c>
    </row>
    <row r="313" spans="1:20" x14ac:dyDescent="0.25">
      <c r="A313" s="906">
        <v>93212</v>
      </c>
      <c r="B313" s="907" t="s">
        <v>2874</v>
      </c>
      <c r="C313" s="908">
        <v>2.2130000000000001E-4</v>
      </c>
      <c r="D313" s="908">
        <v>2.052E-4</v>
      </c>
      <c r="E313" s="909">
        <v>338085</v>
      </c>
      <c r="F313" s="909"/>
      <c r="G313" s="910">
        <v>19477</v>
      </c>
      <c r="H313" s="911">
        <v>82087</v>
      </c>
      <c r="I313" s="910">
        <v>48283</v>
      </c>
      <c r="J313" s="909">
        <v>158429</v>
      </c>
      <c r="K313" s="911">
        <f t="shared" si="8"/>
        <v>308276</v>
      </c>
      <c r="L313" s="909"/>
      <c r="M313" s="910">
        <v>9570</v>
      </c>
      <c r="N313" s="910">
        <v>0</v>
      </c>
      <c r="O313" s="909">
        <v>0</v>
      </c>
      <c r="P313" s="911">
        <f t="shared" si="9"/>
        <v>9570</v>
      </c>
      <c r="Q313" s="909"/>
      <c r="R313" s="910">
        <v>113935</v>
      </c>
      <c r="S313" s="912">
        <v>53448</v>
      </c>
      <c r="T313" s="912">
        <v>167383</v>
      </c>
    </row>
    <row r="314" spans="1:20" x14ac:dyDescent="0.25">
      <c r="A314" s="906">
        <v>93219</v>
      </c>
      <c r="B314" s="907" t="s">
        <v>2875</v>
      </c>
      <c r="C314" s="908">
        <v>2.6289999999999999E-4</v>
      </c>
      <c r="D314" s="908">
        <v>2.286E-4</v>
      </c>
      <c r="E314" s="909">
        <v>401638</v>
      </c>
      <c r="F314" s="909"/>
      <c r="G314" s="910">
        <v>23138</v>
      </c>
      <c r="H314" s="911">
        <v>97518</v>
      </c>
      <c r="I314" s="910">
        <v>57360</v>
      </c>
      <c r="J314" s="909">
        <v>22706</v>
      </c>
      <c r="K314" s="911">
        <f t="shared" si="8"/>
        <v>200722</v>
      </c>
      <c r="L314" s="909"/>
      <c r="M314" s="910">
        <v>11369</v>
      </c>
      <c r="N314" s="910">
        <v>0</v>
      </c>
      <c r="O314" s="909">
        <v>9094</v>
      </c>
      <c r="P314" s="911">
        <f t="shared" si="9"/>
        <v>20463</v>
      </c>
      <c r="Q314" s="909"/>
      <c r="R314" s="910">
        <v>135352</v>
      </c>
      <c r="S314" s="912">
        <v>1456</v>
      </c>
      <c r="T314" s="912">
        <f>136809-1</f>
        <v>136808</v>
      </c>
    </row>
    <row r="315" spans="1:20" x14ac:dyDescent="0.25">
      <c r="A315" s="906">
        <v>93301</v>
      </c>
      <c r="B315" s="907" t="s">
        <v>2876</v>
      </c>
      <c r="C315" s="908">
        <v>2.5243000000000002E-3</v>
      </c>
      <c r="D315" s="908">
        <v>2.5330999999999999E-3</v>
      </c>
      <c r="E315" s="909">
        <v>3856431</v>
      </c>
      <c r="F315" s="909"/>
      <c r="G315" s="910">
        <v>222166</v>
      </c>
      <c r="H315" s="911">
        <v>936346</v>
      </c>
      <c r="I315" s="910">
        <v>550752</v>
      </c>
      <c r="J315" s="909">
        <v>47371</v>
      </c>
      <c r="K315" s="911">
        <f t="shared" si="8"/>
        <v>1756635</v>
      </c>
      <c r="L315" s="909"/>
      <c r="M315" s="910">
        <v>109163</v>
      </c>
      <c r="N315" s="910">
        <v>0</v>
      </c>
      <c r="O315" s="909">
        <v>61692</v>
      </c>
      <c r="P315" s="911">
        <f t="shared" si="9"/>
        <v>170855</v>
      </c>
      <c r="Q315" s="909"/>
      <c r="R315" s="910">
        <v>1299621</v>
      </c>
      <c r="S315" s="912">
        <v>-19789</v>
      </c>
      <c r="T315" s="912">
        <f>1279831+1</f>
        <v>1279832</v>
      </c>
    </row>
    <row r="316" spans="1:20" x14ac:dyDescent="0.25">
      <c r="A316" s="906">
        <v>93304</v>
      </c>
      <c r="B316" s="907" t="s">
        <v>2877</v>
      </c>
      <c r="C316" s="908">
        <v>3.0300000000000001E-5</v>
      </c>
      <c r="D316" s="908">
        <v>3.4400000000000003E-5</v>
      </c>
      <c r="E316" s="909">
        <v>46290</v>
      </c>
      <c r="F316" s="909"/>
      <c r="G316" s="910">
        <v>2667</v>
      </c>
      <c r="H316" s="911">
        <v>11239</v>
      </c>
      <c r="I316" s="910">
        <v>6611</v>
      </c>
      <c r="J316" s="909">
        <v>9418</v>
      </c>
      <c r="K316" s="911">
        <f t="shared" si="8"/>
        <v>29935</v>
      </c>
      <c r="L316" s="909"/>
      <c r="M316" s="910">
        <v>1310</v>
      </c>
      <c r="N316" s="910">
        <v>0</v>
      </c>
      <c r="O316" s="909">
        <v>0</v>
      </c>
      <c r="P316" s="911">
        <f t="shared" si="9"/>
        <v>1310</v>
      </c>
      <c r="Q316" s="909"/>
      <c r="R316" s="910">
        <v>15600</v>
      </c>
      <c r="S316" s="912">
        <v>5129</v>
      </c>
      <c r="T316" s="912">
        <v>20729</v>
      </c>
    </row>
    <row r="317" spans="1:20" x14ac:dyDescent="0.25">
      <c r="A317" s="906">
        <v>93305</v>
      </c>
      <c r="B317" s="907" t="s">
        <v>2878</v>
      </c>
      <c r="C317" s="908">
        <v>4.6999999999999997E-5</v>
      </c>
      <c r="D317" s="908">
        <v>4.9400000000000001E-5</v>
      </c>
      <c r="E317" s="909">
        <v>71803</v>
      </c>
      <c r="F317" s="909"/>
      <c r="G317" s="910">
        <v>4137</v>
      </c>
      <c r="H317" s="911">
        <v>17434</v>
      </c>
      <c r="I317" s="910">
        <v>10254</v>
      </c>
      <c r="J317" s="909">
        <v>0</v>
      </c>
      <c r="K317" s="911">
        <f t="shared" si="8"/>
        <v>31825</v>
      </c>
      <c r="L317" s="909"/>
      <c r="M317" s="910">
        <v>2033</v>
      </c>
      <c r="N317" s="910">
        <v>0</v>
      </c>
      <c r="O317" s="909">
        <v>5631</v>
      </c>
      <c r="P317" s="911">
        <f t="shared" si="9"/>
        <v>7664</v>
      </c>
      <c r="Q317" s="909"/>
      <c r="R317" s="910">
        <v>24198</v>
      </c>
      <c r="S317" s="912">
        <v>-1929</v>
      </c>
      <c r="T317" s="912">
        <v>22269</v>
      </c>
    </row>
    <row r="318" spans="1:20" x14ac:dyDescent="0.25">
      <c r="A318" s="906">
        <v>93309</v>
      </c>
      <c r="B318" s="907" t="s">
        <v>2879</v>
      </c>
      <c r="C318" s="908">
        <v>1.63E-4</v>
      </c>
      <c r="D318" s="908">
        <v>1.716E-4</v>
      </c>
      <c r="E318" s="909">
        <v>249019</v>
      </c>
      <c r="F318" s="909"/>
      <c r="G318" s="910">
        <v>14346</v>
      </c>
      <c r="H318" s="911">
        <v>60462</v>
      </c>
      <c r="I318" s="910">
        <v>35563</v>
      </c>
      <c r="J318" s="909">
        <v>22457</v>
      </c>
      <c r="K318" s="911">
        <f t="shared" si="8"/>
        <v>132828</v>
      </c>
      <c r="L318" s="909"/>
      <c r="M318" s="910">
        <v>7049</v>
      </c>
      <c r="N318" s="910">
        <v>0</v>
      </c>
      <c r="O318" s="909">
        <v>981</v>
      </c>
      <c r="P318" s="911">
        <f t="shared" si="9"/>
        <v>8030</v>
      </c>
      <c r="Q318" s="909"/>
      <c r="R318" s="910">
        <v>83920</v>
      </c>
      <c r="S318" s="912">
        <v>7147</v>
      </c>
      <c r="T318" s="912">
        <v>91067</v>
      </c>
    </row>
    <row r="319" spans="1:20" x14ac:dyDescent="0.25">
      <c r="A319" s="906">
        <v>93311</v>
      </c>
      <c r="B319" s="907" t="s">
        <v>2880</v>
      </c>
      <c r="C319" s="908">
        <v>1.1665E-3</v>
      </c>
      <c r="D319" s="908">
        <v>1.1567000000000001E-3</v>
      </c>
      <c r="E319" s="909">
        <v>1782089</v>
      </c>
      <c r="F319" s="909"/>
      <c r="G319" s="910">
        <v>102665</v>
      </c>
      <c r="H319" s="911">
        <v>432693</v>
      </c>
      <c r="I319" s="910">
        <v>254507</v>
      </c>
      <c r="J319" s="909">
        <v>1699</v>
      </c>
      <c r="K319" s="911">
        <f t="shared" si="8"/>
        <v>791564</v>
      </c>
      <c r="L319" s="909"/>
      <c r="M319" s="910">
        <v>50445</v>
      </c>
      <c r="N319" s="910">
        <v>0</v>
      </c>
      <c r="O319" s="909">
        <v>83745</v>
      </c>
      <c r="P319" s="911">
        <f t="shared" si="9"/>
        <v>134190</v>
      </c>
      <c r="Q319" s="909"/>
      <c r="R319" s="910">
        <v>600566</v>
      </c>
      <c r="S319" s="912">
        <v>-37677</v>
      </c>
      <c r="T319" s="912">
        <v>562889</v>
      </c>
    </row>
    <row r="320" spans="1:20" x14ac:dyDescent="0.25">
      <c r="A320" s="906">
        <v>93317</v>
      </c>
      <c r="B320" s="907" t="s">
        <v>2881</v>
      </c>
      <c r="C320" s="908">
        <v>5.0099999999999998E-5</v>
      </c>
      <c r="D320" s="908">
        <v>4.8099999999999997E-5</v>
      </c>
      <c r="E320" s="909">
        <v>76539</v>
      </c>
      <c r="F320" s="909"/>
      <c r="G320" s="910">
        <v>4409</v>
      </c>
      <c r="H320" s="911">
        <v>18583</v>
      </c>
      <c r="I320" s="910">
        <v>10931</v>
      </c>
      <c r="J320" s="909">
        <v>805</v>
      </c>
      <c r="K320" s="911">
        <f t="shared" si="8"/>
        <v>34728</v>
      </c>
      <c r="L320" s="909"/>
      <c r="M320" s="910">
        <v>2167</v>
      </c>
      <c r="N320" s="910">
        <v>0</v>
      </c>
      <c r="O320" s="909">
        <v>277</v>
      </c>
      <c r="P320" s="911">
        <f t="shared" si="9"/>
        <v>2444</v>
      </c>
      <c r="Q320" s="909"/>
      <c r="R320" s="910">
        <v>25794</v>
      </c>
      <c r="S320" s="912">
        <v>-23</v>
      </c>
      <c r="T320" s="912">
        <f>25770+1</f>
        <v>25771</v>
      </c>
    </row>
    <row r="321" spans="1:20" x14ac:dyDescent="0.25">
      <c r="A321" s="906">
        <v>93321</v>
      </c>
      <c r="B321" s="907" t="s">
        <v>2882</v>
      </c>
      <c r="C321" s="908">
        <v>7.3600000000000002E-3</v>
      </c>
      <c r="D321" s="908">
        <v>7.4706E-3</v>
      </c>
      <c r="E321" s="909">
        <v>11244041</v>
      </c>
      <c r="F321" s="909"/>
      <c r="G321" s="910">
        <v>647761</v>
      </c>
      <c r="H321" s="911">
        <v>2730067</v>
      </c>
      <c r="I321" s="910">
        <v>1605805</v>
      </c>
      <c r="J321" s="909">
        <v>0</v>
      </c>
      <c r="K321" s="911">
        <f t="shared" si="8"/>
        <v>4983633</v>
      </c>
      <c r="L321" s="909"/>
      <c r="M321" s="910">
        <v>318283</v>
      </c>
      <c r="N321" s="910">
        <v>0</v>
      </c>
      <c r="O321" s="909">
        <v>681688</v>
      </c>
      <c r="P321" s="911">
        <f t="shared" si="9"/>
        <v>999971</v>
      </c>
      <c r="Q321" s="909"/>
      <c r="R321" s="910">
        <v>3789252</v>
      </c>
      <c r="S321" s="912">
        <v>-330030</v>
      </c>
      <c r="T321" s="912">
        <f>3459221+1</f>
        <v>3459222</v>
      </c>
    </row>
    <row r="322" spans="1:20" x14ac:dyDescent="0.25">
      <c r="A322" s="906">
        <v>93323</v>
      </c>
      <c r="B322" s="907" t="s">
        <v>2883</v>
      </c>
      <c r="C322" s="908">
        <v>2.19E-5</v>
      </c>
      <c r="D322" s="908">
        <v>1.0200000000000001E-5</v>
      </c>
      <c r="E322" s="909">
        <v>33457</v>
      </c>
      <c r="F322" s="909"/>
      <c r="G322" s="910">
        <v>1927</v>
      </c>
      <c r="H322" s="911">
        <v>8123</v>
      </c>
      <c r="I322" s="910">
        <v>4778</v>
      </c>
      <c r="J322" s="909">
        <v>8607</v>
      </c>
      <c r="K322" s="911">
        <f t="shared" si="8"/>
        <v>23435</v>
      </c>
      <c r="L322" s="909"/>
      <c r="M322" s="910">
        <v>947</v>
      </c>
      <c r="N322" s="910">
        <v>0</v>
      </c>
      <c r="O322" s="909">
        <v>1100</v>
      </c>
      <c r="P322" s="911">
        <f t="shared" si="9"/>
        <v>2047</v>
      </c>
      <c r="Q322" s="909"/>
      <c r="R322" s="910">
        <v>11275</v>
      </c>
      <c r="S322" s="912">
        <v>2519</v>
      </c>
      <c r="T322" s="912">
        <v>13794</v>
      </c>
    </row>
    <row r="323" spans="1:20" x14ac:dyDescent="0.25">
      <c r="A323" s="906">
        <v>93331</v>
      </c>
      <c r="B323" s="907" t="s">
        <v>2884</v>
      </c>
      <c r="C323" s="908">
        <v>1.208E-4</v>
      </c>
      <c r="D323" s="908">
        <v>1.3090000000000001E-4</v>
      </c>
      <c r="E323" s="909">
        <v>184549</v>
      </c>
      <c r="F323" s="909"/>
      <c r="G323" s="910">
        <v>10632</v>
      </c>
      <c r="H323" s="911">
        <v>44809</v>
      </c>
      <c r="I323" s="910">
        <v>26356</v>
      </c>
      <c r="J323" s="909">
        <v>2512</v>
      </c>
      <c r="K323" s="911">
        <f t="shared" si="8"/>
        <v>84309</v>
      </c>
      <c r="L323" s="909"/>
      <c r="M323" s="910">
        <v>5224</v>
      </c>
      <c r="N323" s="910">
        <v>0</v>
      </c>
      <c r="O323" s="909">
        <v>11531</v>
      </c>
      <c r="P323" s="911">
        <f t="shared" si="9"/>
        <v>16755</v>
      </c>
      <c r="Q323" s="909"/>
      <c r="R323" s="910">
        <v>62193</v>
      </c>
      <c r="S323" s="912">
        <v>-2506</v>
      </c>
      <c r="T323" s="912">
        <v>59687</v>
      </c>
    </row>
    <row r="324" spans="1:20" x14ac:dyDescent="0.25">
      <c r="A324" s="906">
        <v>93333</v>
      </c>
      <c r="B324" s="907" t="s">
        <v>2885</v>
      </c>
      <c r="C324" s="908">
        <v>1.796E-4</v>
      </c>
      <c r="D324" s="908">
        <v>1.9990000000000001E-4</v>
      </c>
      <c r="E324" s="909">
        <v>274379</v>
      </c>
      <c r="F324" s="909"/>
      <c r="G324" s="910">
        <v>15807</v>
      </c>
      <c r="H324" s="911">
        <v>66619</v>
      </c>
      <c r="I324" s="910">
        <v>39185</v>
      </c>
      <c r="J324" s="909">
        <v>194737</v>
      </c>
      <c r="K324" s="911">
        <f t="shared" si="8"/>
        <v>316348</v>
      </c>
      <c r="L324" s="909"/>
      <c r="M324" s="910">
        <v>7767</v>
      </c>
      <c r="N324" s="910">
        <v>0</v>
      </c>
      <c r="O324" s="909">
        <v>0</v>
      </c>
      <c r="P324" s="911">
        <f t="shared" si="9"/>
        <v>7767</v>
      </c>
      <c r="Q324" s="909"/>
      <c r="R324" s="910">
        <v>92466</v>
      </c>
      <c r="S324" s="912">
        <v>74695</v>
      </c>
      <c r="T324" s="912">
        <v>167161</v>
      </c>
    </row>
    <row r="325" spans="1:20" x14ac:dyDescent="0.25">
      <c r="A325" s="906">
        <v>93341</v>
      </c>
      <c r="B325" s="907" t="s">
        <v>2886</v>
      </c>
      <c r="C325" s="908">
        <v>2.34E-5</v>
      </c>
      <c r="D325" s="908">
        <v>2.73E-5</v>
      </c>
      <c r="E325" s="909">
        <v>35749</v>
      </c>
      <c r="F325" s="909"/>
      <c r="G325" s="910">
        <v>2059</v>
      </c>
      <c r="H325" s="911">
        <v>8680</v>
      </c>
      <c r="I325" s="910">
        <v>5105</v>
      </c>
      <c r="J325" s="909">
        <v>1866</v>
      </c>
      <c r="K325" s="911">
        <f t="shared" si="8"/>
        <v>17710</v>
      </c>
      <c r="L325" s="909"/>
      <c r="M325" s="910">
        <v>1012</v>
      </c>
      <c r="N325" s="910">
        <v>0</v>
      </c>
      <c r="O325" s="909">
        <v>863</v>
      </c>
      <c r="P325" s="911">
        <f t="shared" si="9"/>
        <v>1875</v>
      </c>
      <c r="Q325" s="909"/>
      <c r="R325" s="910">
        <v>12047</v>
      </c>
      <c r="S325" s="912">
        <v>708</v>
      </c>
      <c r="T325" s="912">
        <v>12755</v>
      </c>
    </row>
    <row r="326" spans="1:20" x14ac:dyDescent="0.25">
      <c r="A326" s="906">
        <v>93351</v>
      </c>
      <c r="B326" s="907" t="s">
        <v>2887</v>
      </c>
      <c r="C326" s="908">
        <v>3.4E-5</v>
      </c>
      <c r="D326" s="908">
        <v>1.5999999999999999E-5</v>
      </c>
      <c r="E326" s="909">
        <v>51943</v>
      </c>
      <c r="F326" s="909"/>
      <c r="G326" s="910">
        <v>2992</v>
      </c>
      <c r="H326" s="911">
        <v>12611</v>
      </c>
      <c r="I326" s="910">
        <v>7418</v>
      </c>
      <c r="J326" s="909">
        <v>18867</v>
      </c>
      <c r="K326" s="911">
        <f t="shared" si="8"/>
        <v>41888</v>
      </c>
      <c r="L326" s="909"/>
      <c r="M326" s="910">
        <v>1470</v>
      </c>
      <c r="N326" s="910">
        <v>0</v>
      </c>
      <c r="O326" s="909">
        <v>4169</v>
      </c>
      <c r="P326" s="911">
        <f t="shared" si="9"/>
        <v>5639</v>
      </c>
      <c r="Q326" s="909"/>
      <c r="R326" s="910">
        <v>17505</v>
      </c>
      <c r="S326" s="912">
        <v>2906</v>
      </c>
      <c r="T326" s="912">
        <f>20410+1</f>
        <v>20411</v>
      </c>
    </row>
    <row r="327" spans="1:20" x14ac:dyDescent="0.25">
      <c r="A327" s="906">
        <v>93401</v>
      </c>
      <c r="B327" s="907" t="s">
        <v>2888</v>
      </c>
      <c r="C327" s="908">
        <v>1.3834900000000001E-2</v>
      </c>
      <c r="D327" s="908">
        <v>1.37997E-2</v>
      </c>
      <c r="E327" s="909">
        <v>21135895</v>
      </c>
      <c r="F327" s="909"/>
      <c r="G327" s="910">
        <v>1217623</v>
      </c>
      <c r="H327" s="911">
        <v>5131821</v>
      </c>
      <c r="I327" s="910">
        <v>3018498</v>
      </c>
      <c r="J327" s="909">
        <v>99926</v>
      </c>
      <c r="K327" s="911">
        <f t="shared" ref="K327:K390" si="10">G327+H327+I327+J327</f>
        <v>9467868</v>
      </c>
      <c r="L327" s="909"/>
      <c r="M327" s="910">
        <v>598290</v>
      </c>
      <c r="N327" s="910">
        <v>0</v>
      </c>
      <c r="O327" s="909">
        <v>186001</v>
      </c>
      <c r="P327" s="911">
        <f t="shared" ref="P327:P390" si="11">M327+N327+O327</f>
        <v>784291</v>
      </c>
      <c r="Q327" s="909"/>
      <c r="R327" s="910">
        <v>7122815</v>
      </c>
      <c r="S327" s="912">
        <v>-76616</v>
      </c>
      <c r="T327" s="912">
        <v>7046199</v>
      </c>
    </row>
    <row r="328" spans="1:20" x14ac:dyDescent="0.25">
      <c r="A328" s="906">
        <v>93402</v>
      </c>
      <c r="B328" s="907" t="s">
        <v>2889</v>
      </c>
      <c r="C328" s="908">
        <v>9.8800000000000003E-5</v>
      </c>
      <c r="D328" s="908">
        <v>9.2999999999999997E-5</v>
      </c>
      <c r="E328" s="909">
        <v>150939</v>
      </c>
      <c r="F328" s="909"/>
      <c r="G328" s="910">
        <v>8695</v>
      </c>
      <c r="H328" s="911">
        <v>36648</v>
      </c>
      <c r="I328" s="910">
        <v>21556</v>
      </c>
      <c r="J328" s="909">
        <v>5545</v>
      </c>
      <c r="K328" s="911">
        <f t="shared" si="10"/>
        <v>72444</v>
      </c>
      <c r="L328" s="909"/>
      <c r="M328" s="910">
        <v>4273</v>
      </c>
      <c r="N328" s="910">
        <v>0</v>
      </c>
      <c r="O328" s="909">
        <v>3446</v>
      </c>
      <c r="P328" s="911">
        <f t="shared" si="11"/>
        <v>7719</v>
      </c>
      <c r="Q328" s="909"/>
      <c r="R328" s="910">
        <v>50867</v>
      </c>
      <c r="S328" s="912">
        <v>3029</v>
      </c>
      <c r="T328" s="912">
        <f>53895+1</f>
        <v>53896</v>
      </c>
    </row>
    <row r="329" spans="1:20" x14ac:dyDescent="0.25">
      <c r="A329" s="906">
        <v>93406</v>
      </c>
      <c r="B329" s="907" t="s">
        <v>2890</v>
      </c>
      <c r="C329" s="908">
        <v>6.5059999999999998E-4</v>
      </c>
      <c r="D329" s="908">
        <v>7.1170000000000001E-4</v>
      </c>
      <c r="E329" s="909">
        <v>993937</v>
      </c>
      <c r="F329" s="909"/>
      <c r="G329" s="910">
        <v>57260</v>
      </c>
      <c r="H329" s="911">
        <v>241329</v>
      </c>
      <c r="I329" s="910">
        <v>141948</v>
      </c>
      <c r="J329" s="909">
        <v>26056</v>
      </c>
      <c r="K329" s="911">
        <f t="shared" si="10"/>
        <v>466593</v>
      </c>
      <c r="L329" s="909"/>
      <c r="M329" s="910">
        <v>28135</v>
      </c>
      <c r="N329" s="910">
        <v>0</v>
      </c>
      <c r="O329" s="909">
        <v>48133</v>
      </c>
      <c r="P329" s="911">
        <f t="shared" si="11"/>
        <v>76268</v>
      </c>
      <c r="Q329" s="909"/>
      <c r="R329" s="910">
        <v>334958</v>
      </c>
      <c r="S329" s="912">
        <v>7011</v>
      </c>
      <c r="T329" s="912">
        <f>341968+1</f>
        <v>341969</v>
      </c>
    </row>
    <row r="330" spans="1:20" x14ac:dyDescent="0.25">
      <c r="A330" s="906">
        <v>93408</v>
      </c>
      <c r="B330" s="907" t="s">
        <v>2891</v>
      </c>
      <c r="C330" s="908">
        <v>0</v>
      </c>
      <c r="D330" s="908">
        <v>1.8967999999999999E-3</v>
      </c>
      <c r="E330" s="909">
        <v>0</v>
      </c>
      <c r="F330" s="909"/>
      <c r="G330" s="910">
        <v>0</v>
      </c>
      <c r="H330" s="911">
        <v>0</v>
      </c>
      <c r="I330" s="910">
        <v>0</v>
      </c>
      <c r="J330" s="909">
        <v>173575</v>
      </c>
      <c r="K330" s="911">
        <f t="shared" si="10"/>
        <v>173575</v>
      </c>
      <c r="L330" s="909"/>
      <c r="M330" s="910">
        <v>0</v>
      </c>
      <c r="N330" s="910">
        <v>0</v>
      </c>
      <c r="O330" s="909">
        <v>1605024</v>
      </c>
      <c r="P330" s="911">
        <f t="shared" si="11"/>
        <v>1605024</v>
      </c>
      <c r="Q330" s="909"/>
      <c r="R330" s="910">
        <v>0</v>
      </c>
      <c r="S330" s="912">
        <v>-292149</v>
      </c>
      <c r="T330" s="912">
        <v>-292149</v>
      </c>
    </row>
    <row r="331" spans="1:20" x14ac:dyDescent="0.25">
      <c r="A331" s="906">
        <v>93411</v>
      </c>
      <c r="B331" s="907" t="s">
        <v>2892</v>
      </c>
      <c r="C331" s="908">
        <v>1.7454999999999998E-2</v>
      </c>
      <c r="D331" s="908">
        <v>1.73309E-2</v>
      </c>
      <c r="E331" s="909">
        <v>26666405</v>
      </c>
      <c r="F331" s="909"/>
      <c r="G331" s="910">
        <v>1536232</v>
      </c>
      <c r="H331" s="911">
        <v>6474635</v>
      </c>
      <c r="I331" s="910">
        <v>3808332</v>
      </c>
      <c r="J331" s="909">
        <v>250711</v>
      </c>
      <c r="K331" s="911">
        <f t="shared" si="10"/>
        <v>12069910</v>
      </c>
      <c r="L331" s="909"/>
      <c r="M331" s="910">
        <v>754841</v>
      </c>
      <c r="N331" s="910">
        <v>0</v>
      </c>
      <c r="O331" s="909">
        <v>594754</v>
      </c>
      <c r="P331" s="911">
        <f t="shared" si="11"/>
        <v>1349595</v>
      </c>
      <c r="Q331" s="909"/>
      <c r="R331" s="910">
        <v>8986602</v>
      </c>
      <c r="S331" s="912">
        <v>-306468</v>
      </c>
      <c r="T331" s="912">
        <v>8680134</v>
      </c>
    </row>
    <row r="332" spans="1:20" x14ac:dyDescent="0.25">
      <c r="A332" s="906">
        <v>93413</v>
      </c>
      <c r="B332" s="907" t="s">
        <v>2893</v>
      </c>
      <c r="C332" s="908">
        <v>7.7070000000000003E-4</v>
      </c>
      <c r="D332" s="908">
        <v>8.0130000000000002E-4</v>
      </c>
      <c r="E332" s="909">
        <v>1177416</v>
      </c>
      <c r="F332" s="909"/>
      <c r="G332" s="910">
        <v>67830</v>
      </c>
      <c r="H332" s="911">
        <v>285878</v>
      </c>
      <c r="I332" s="910">
        <v>168151</v>
      </c>
      <c r="J332" s="909">
        <v>0</v>
      </c>
      <c r="K332" s="911">
        <f t="shared" si="10"/>
        <v>521859</v>
      </c>
      <c r="L332" s="909"/>
      <c r="M332" s="910">
        <v>33329</v>
      </c>
      <c r="N332" s="910">
        <v>0</v>
      </c>
      <c r="O332" s="909">
        <v>35372</v>
      </c>
      <c r="P332" s="911">
        <f t="shared" si="11"/>
        <v>68701</v>
      </c>
      <c r="Q332" s="909"/>
      <c r="R332" s="910">
        <v>396790</v>
      </c>
      <c r="S332" s="912">
        <v>-17507</v>
      </c>
      <c r="T332" s="912">
        <v>379283</v>
      </c>
    </row>
    <row r="333" spans="1:20" x14ac:dyDescent="0.25">
      <c r="A333" s="906">
        <v>93417</v>
      </c>
      <c r="B333" s="907" t="s">
        <v>2894</v>
      </c>
      <c r="C333" s="908">
        <v>3.4430000000000002E-4</v>
      </c>
      <c r="D333" s="908">
        <v>4.1130000000000002E-4</v>
      </c>
      <c r="E333" s="909">
        <v>525995</v>
      </c>
      <c r="F333" s="909"/>
      <c r="G333" s="910">
        <v>30302</v>
      </c>
      <c r="H333" s="911">
        <v>127712</v>
      </c>
      <c r="I333" s="910">
        <v>75119</v>
      </c>
      <c r="J333" s="909">
        <v>15432</v>
      </c>
      <c r="K333" s="911">
        <f t="shared" si="10"/>
        <v>248565</v>
      </c>
      <c r="L333" s="909"/>
      <c r="M333" s="910">
        <v>14889</v>
      </c>
      <c r="N333" s="910">
        <v>0</v>
      </c>
      <c r="O333" s="909">
        <v>33069</v>
      </c>
      <c r="P333" s="911">
        <f t="shared" si="11"/>
        <v>47958</v>
      </c>
      <c r="Q333" s="909"/>
      <c r="R333" s="910">
        <v>177261</v>
      </c>
      <c r="S333" s="912">
        <v>5883</v>
      </c>
      <c r="T333" s="912">
        <v>183144</v>
      </c>
    </row>
    <row r="334" spans="1:20" x14ac:dyDescent="0.25">
      <c r="A334" s="906">
        <v>93421</v>
      </c>
      <c r="B334" s="907" t="s">
        <v>2895</v>
      </c>
      <c r="C334" s="908">
        <v>2.1294999999999999E-3</v>
      </c>
      <c r="D334" s="908">
        <v>2.1646E-3</v>
      </c>
      <c r="E334" s="909">
        <v>3253286</v>
      </c>
      <c r="F334" s="909"/>
      <c r="G334" s="910">
        <v>187419</v>
      </c>
      <c r="H334" s="911">
        <v>789902</v>
      </c>
      <c r="I334" s="910">
        <v>464614</v>
      </c>
      <c r="J334" s="909">
        <v>0</v>
      </c>
      <c r="K334" s="911">
        <f t="shared" si="10"/>
        <v>1441935</v>
      </c>
      <c r="L334" s="909"/>
      <c r="M334" s="910">
        <v>92090</v>
      </c>
      <c r="N334" s="910">
        <v>0</v>
      </c>
      <c r="O334" s="909">
        <v>273225</v>
      </c>
      <c r="P334" s="911">
        <f t="shared" si="11"/>
        <v>365315</v>
      </c>
      <c r="Q334" s="909"/>
      <c r="R334" s="910">
        <v>1096360</v>
      </c>
      <c r="S334" s="912">
        <v>-126565</v>
      </c>
      <c r="T334" s="912">
        <v>969795</v>
      </c>
    </row>
    <row r="335" spans="1:20" x14ac:dyDescent="0.25">
      <c r="A335" s="906">
        <v>93431</v>
      </c>
      <c r="B335" s="907" t="s">
        <v>2896</v>
      </c>
      <c r="C335" s="908">
        <v>1.2689999999999999E-4</v>
      </c>
      <c r="D335" s="908">
        <v>1.127E-4</v>
      </c>
      <c r="E335" s="909">
        <v>193868</v>
      </c>
      <c r="F335" s="909"/>
      <c r="G335" s="910">
        <v>11169</v>
      </c>
      <c r="H335" s="911">
        <v>47071</v>
      </c>
      <c r="I335" s="910">
        <v>27687</v>
      </c>
      <c r="J335" s="909">
        <v>12612</v>
      </c>
      <c r="K335" s="911">
        <f t="shared" si="10"/>
        <v>98539</v>
      </c>
      <c r="L335" s="909"/>
      <c r="M335" s="910">
        <v>5488</v>
      </c>
      <c r="N335" s="910">
        <v>0</v>
      </c>
      <c r="O335" s="909">
        <v>5397</v>
      </c>
      <c r="P335" s="911">
        <f t="shared" si="11"/>
        <v>10885</v>
      </c>
      <c r="Q335" s="909"/>
      <c r="R335" s="910">
        <v>65334</v>
      </c>
      <c r="S335" s="912">
        <v>1734</v>
      </c>
      <c r="T335" s="912">
        <v>67068</v>
      </c>
    </row>
    <row r="336" spans="1:20" x14ac:dyDescent="0.25">
      <c r="A336" s="906">
        <v>93441</v>
      </c>
      <c r="B336" s="907" t="s">
        <v>2897</v>
      </c>
      <c r="C336" s="908">
        <v>1.54E-4</v>
      </c>
      <c r="D336" s="908">
        <v>1.4970000000000001E-4</v>
      </c>
      <c r="E336" s="909">
        <v>235269</v>
      </c>
      <c r="F336" s="909"/>
      <c r="G336" s="910">
        <v>13554</v>
      </c>
      <c r="H336" s="911">
        <v>57124</v>
      </c>
      <c r="I336" s="910">
        <v>33600</v>
      </c>
      <c r="J336" s="909">
        <v>30786</v>
      </c>
      <c r="K336" s="911">
        <f t="shared" si="10"/>
        <v>135064</v>
      </c>
      <c r="L336" s="909"/>
      <c r="M336" s="910">
        <v>6660</v>
      </c>
      <c r="N336" s="910">
        <v>0</v>
      </c>
      <c r="O336" s="909">
        <v>0</v>
      </c>
      <c r="P336" s="911">
        <f t="shared" si="11"/>
        <v>6660</v>
      </c>
      <c r="Q336" s="909"/>
      <c r="R336" s="910">
        <v>79286</v>
      </c>
      <c r="S336" s="912">
        <v>14822</v>
      </c>
      <c r="T336" s="912">
        <v>94108</v>
      </c>
    </row>
    <row r="337" spans="1:20" x14ac:dyDescent="0.25">
      <c r="A337" s="906">
        <v>93442</v>
      </c>
      <c r="B337" s="907" t="s">
        <v>2898</v>
      </c>
      <c r="C337" s="908">
        <v>1.505E-4</v>
      </c>
      <c r="D337" s="908">
        <v>1.3540000000000001E-4</v>
      </c>
      <c r="E337" s="909">
        <v>229922</v>
      </c>
      <c r="F337" s="909"/>
      <c r="G337" s="910">
        <v>13246</v>
      </c>
      <c r="H337" s="911">
        <v>55826</v>
      </c>
      <c r="I337" s="910">
        <v>32836</v>
      </c>
      <c r="J337" s="909">
        <v>5191</v>
      </c>
      <c r="K337" s="911">
        <f t="shared" si="10"/>
        <v>107099</v>
      </c>
      <c r="L337" s="909"/>
      <c r="M337" s="910">
        <v>6508</v>
      </c>
      <c r="N337" s="910">
        <v>0</v>
      </c>
      <c r="O337" s="909">
        <v>20988</v>
      </c>
      <c r="P337" s="911">
        <f t="shared" si="11"/>
        <v>27496</v>
      </c>
      <c r="Q337" s="909"/>
      <c r="R337" s="910">
        <v>77484</v>
      </c>
      <c r="S337" s="912">
        <v>-6353</v>
      </c>
      <c r="T337" s="912">
        <v>71131</v>
      </c>
    </row>
    <row r="338" spans="1:20" x14ac:dyDescent="0.25">
      <c r="A338" s="906">
        <v>93451</v>
      </c>
      <c r="B338" s="907" t="s">
        <v>2899</v>
      </c>
      <c r="C338" s="908">
        <v>7.0900000000000002E-5</v>
      </c>
      <c r="D338" s="908">
        <v>7.6899999999999999E-5</v>
      </c>
      <c r="E338" s="909">
        <v>108316</v>
      </c>
      <c r="F338" s="909"/>
      <c r="G338" s="910">
        <v>6240</v>
      </c>
      <c r="H338" s="911">
        <v>26299</v>
      </c>
      <c r="I338" s="910">
        <v>15469</v>
      </c>
      <c r="J338" s="909">
        <v>16242</v>
      </c>
      <c r="K338" s="911">
        <f t="shared" si="10"/>
        <v>64250</v>
      </c>
      <c r="L338" s="909"/>
      <c r="M338" s="910">
        <v>3066</v>
      </c>
      <c r="N338" s="910">
        <v>0</v>
      </c>
      <c r="O338" s="909">
        <v>1492</v>
      </c>
      <c r="P338" s="911">
        <f t="shared" si="11"/>
        <v>4558</v>
      </c>
      <c r="Q338" s="909"/>
      <c r="R338" s="910">
        <v>36502</v>
      </c>
      <c r="S338" s="912">
        <v>5181</v>
      </c>
      <c r="T338" s="912">
        <f>41684-1</f>
        <v>41683</v>
      </c>
    </row>
    <row r="339" spans="1:20" x14ac:dyDescent="0.25">
      <c r="A339" s="906">
        <v>93461</v>
      </c>
      <c r="B339" s="907" t="s">
        <v>2900</v>
      </c>
      <c r="C339" s="908">
        <v>1.66E-5</v>
      </c>
      <c r="D339" s="908">
        <v>1.7200000000000001E-5</v>
      </c>
      <c r="E339" s="909">
        <v>25360</v>
      </c>
      <c r="F339" s="909"/>
      <c r="G339" s="910">
        <v>1461</v>
      </c>
      <c r="H339" s="911">
        <v>6157</v>
      </c>
      <c r="I339" s="910">
        <v>3622</v>
      </c>
      <c r="J339" s="909">
        <v>580</v>
      </c>
      <c r="K339" s="911">
        <f t="shared" si="10"/>
        <v>11820</v>
      </c>
      <c r="L339" s="909"/>
      <c r="M339" s="910">
        <v>718</v>
      </c>
      <c r="N339" s="910">
        <v>0</v>
      </c>
      <c r="O339" s="909">
        <v>0</v>
      </c>
      <c r="P339" s="911">
        <f t="shared" si="11"/>
        <v>718</v>
      </c>
      <c r="Q339" s="909"/>
      <c r="R339" s="910">
        <v>8546</v>
      </c>
      <c r="S339" s="912">
        <v>254</v>
      </c>
      <c r="T339" s="912">
        <f>8801-1</f>
        <v>8800</v>
      </c>
    </row>
    <row r="340" spans="1:20" x14ac:dyDescent="0.25">
      <c r="A340" s="906">
        <v>93471</v>
      </c>
      <c r="B340" s="907" t="s">
        <v>2901</v>
      </c>
      <c r="C340" s="908">
        <v>1.31E-5</v>
      </c>
      <c r="D340" s="908">
        <v>1.1800000000000001E-5</v>
      </c>
      <c r="E340" s="909">
        <v>20013</v>
      </c>
      <c r="F340" s="909"/>
      <c r="G340" s="910">
        <v>1153</v>
      </c>
      <c r="H340" s="911">
        <v>4859</v>
      </c>
      <c r="I340" s="910">
        <v>2858</v>
      </c>
      <c r="J340" s="909">
        <v>4280</v>
      </c>
      <c r="K340" s="911">
        <f t="shared" si="10"/>
        <v>13150</v>
      </c>
      <c r="L340" s="909"/>
      <c r="M340" s="910">
        <v>567</v>
      </c>
      <c r="N340" s="910">
        <v>0</v>
      </c>
      <c r="O340" s="909">
        <v>63</v>
      </c>
      <c r="P340" s="911">
        <f t="shared" si="11"/>
        <v>630</v>
      </c>
      <c r="Q340" s="909"/>
      <c r="R340" s="910">
        <v>6744</v>
      </c>
      <c r="S340" s="912">
        <v>1243</v>
      </c>
      <c r="T340" s="912">
        <v>7987</v>
      </c>
    </row>
    <row r="341" spans="1:20" x14ac:dyDescent="0.25">
      <c r="A341" s="906">
        <v>93501</v>
      </c>
      <c r="B341" s="907" t="s">
        <v>2902</v>
      </c>
      <c r="C341" s="908">
        <v>3.6113999999999999E-3</v>
      </c>
      <c r="D341" s="908">
        <v>3.4039000000000001E-3</v>
      </c>
      <c r="E341" s="909">
        <v>5517219</v>
      </c>
      <c r="F341" s="909"/>
      <c r="G341" s="910">
        <v>317843</v>
      </c>
      <c r="H341" s="911">
        <v>1339587</v>
      </c>
      <c r="I341" s="910">
        <v>787935</v>
      </c>
      <c r="J341" s="909">
        <v>233815</v>
      </c>
      <c r="K341" s="911">
        <f t="shared" si="10"/>
        <v>2679180</v>
      </c>
      <c r="L341" s="909"/>
      <c r="M341" s="910">
        <v>156175</v>
      </c>
      <c r="N341" s="910">
        <v>0</v>
      </c>
      <c r="O341" s="909">
        <v>57589</v>
      </c>
      <c r="P341" s="911">
        <f t="shared" si="11"/>
        <v>213764</v>
      </c>
      <c r="Q341" s="909"/>
      <c r="R341" s="910">
        <v>1859308</v>
      </c>
      <c r="S341" s="912">
        <v>88331</v>
      </c>
      <c r="T341" s="912">
        <v>1947639</v>
      </c>
    </row>
    <row r="342" spans="1:20" x14ac:dyDescent="0.25">
      <c r="A342" s="906">
        <v>93511</v>
      </c>
      <c r="B342" s="907" t="s">
        <v>2903</v>
      </c>
      <c r="C342" s="908">
        <v>8.8300000000000005E-5</v>
      </c>
      <c r="D342" s="908">
        <v>9.8999999999999994E-5</v>
      </c>
      <c r="E342" s="909">
        <v>134898</v>
      </c>
      <c r="F342" s="909"/>
      <c r="G342" s="910">
        <v>7771</v>
      </c>
      <c r="H342" s="911">
        <v>32753</v>
      </c>
      <c r="I342" s="910">
        <v>19265</v>
      </c>
      <c r="J342" s="909">
        <v>2589</v>
      </c>
      <c r="K342" s="911">
        <f t="shared" si="10"/>
        <v>62378</v>
      </c>
      <c r="L342" s="909"/>
      <c r="M342" s="910">
        <v>3819</v>
      </c>
      <c r="N342" s="910">
        <v>0</v>
      </c>
      <c r="O342" s="909">
        <v>13801</v>
      </c>
      <c r="P342" s="911">
        <f t="shared" si="11"/>
        <v>17620</v>
      </c>
      <c r="Q342" s="909"/>
      <c r="R342" s="910">
        <v>45461</v>
      </c>
      <c r="S342" s="912">
        <v>-2683</v>
      </c>
      <c r="T342" s="912">
        <v>42778</v>
      </c>
    </row>
    <row r="343" spans="1:20" x14ac:dyDescent="0.25">
      <c r="A343" s="906">
        <v>93517</v>
      </c>
      <c r="B343" s="907" t="s">
        <v>2904</v>
      </c>
      <c r="C343" s="908">
        <v>6.0000000000000002E-6</v>
      </c>
      <c r="D343" s="908">
        <v>6.4999999999999996E-6</v>
      </c>
      <c r="E343" s="909">
        <v>9166</v>
      </c>
      <c r="F343" s="909"/>
      <c r="G343" s="910">
        <v>528</v>
      </c>
      <c r="H343" s="911">
        <v>2226</v>
      </c>
      <c r="I343" s="910">
        <v>1309</v>
      </c>
      <c r="J343" s="909">
        <v>3133</v>
      </c>
      <c r="K343" s="911">
        <f t="shared" si="10"/>
        <v>7196</v>
      </c>
      <c r="L343" s="909"/>
      <c r="M343" s="910">
        <v>259</v>
      </c>
      <c r="N343" s="910">
        <v>0</v>
      </c>
      <c r="O343" s="909">
        <v>503</v>
      </c>
      <c r="P343" s="911">
        <f t="shared" si="11"/>
        <v>762</v>
      </c>
      <c r="Q343" s="909"/>
      <c r="R343" s="910">
        <v>3089</v>
      </c>
      <c r="S343" s="912">
        <v>771</v>
      </c>
      <c r="T343" s="912">
        <v>3860</v>
      </c>
    </row>
    <row r="344" spans="1:20" x14ac:dyDescent="0.25">
      <c r="A344" s="906">
        <v>93521</v>
      </c>
      <c r="B344" s="907" t="s">
        <v>2905</v>
      </c>
      <c r="C344" s="908">
        <v>4.5649999999999998E-4</v>
      </c>
      <c r="D344" s="908">
        <v>5.6389999999999999E-4</v>
      </c>
      <c r="E344" s="909">
        <v>697406</v>
      </c>
      <c r="F344" s="909"/>
      <c r="G344" s="910">
        <v>40177</v>
      </c>
      <c r="H344" s="911">
        <v>169331</v>
      </c>
      <c r="I344" s="910">
        <v>99599</v>
      </c>
      <c r="J344" s="909">
        <v>7159</v>
      </c>
      <c r="K344" s="911">
        <f t="shared" si="10"/>
        <v>316266</v>
      </c>
      <c r="L344" s="909"/>
      <c r="M344" s="910">
        <v>19741</v>
      </c>
      <c r="N344" s="910">
        <v>0</v>
      </c>
      <c r="O344" s="909">
        <v>74583</v>
      </c>
      <c r="P344" s="911">
        <f t="shared" si="11"/>
        <v>94324</v>
      </c>
      <c r="Q344" s="909"/>
      <c r="R344" s="910">
        <v>235026</v>
      </c>
      <c r="S344" s="912">
        <v>-19847</v>
      </c>
      <c r="T344" s="912">
        <f>215180-1</f>
        <v>215179</v>
      </c>
    </row>
    <row r="345" spans="1:20" x14ac:dyDescent="0.25">
      <c r="A345" s="906">
        <v>93527</v>
      </c>
      <c r="B345" s="907" t="s">
        <v>2906</v>
      </c>
      <c r="C345" s="908">
        <v>1.2099999999999999E-5</v>
      </c>
      <c r="D345" s="908">
        <v>5.4E-6</v>
      </c>
      <c r="E345" s="909">
        <v>18485</v>
      </c>
      <c r="F345" s="909"/>
      <c r="G345" s="910">
        <v>1065</v>
      </c>
      <c r="H345" s="911">
        <v>4488</v>
      </c>
      <c r="I345" s="910">
        <v>2640</v>
      </c>
      <c r="J345" s="909">
        <v>15016</v>
      </c>
      <c r="K345" s="911">
        <f t="shared" si="10"/>
        <v>23209</v>
      </c>
      <c r="L345" s="909"/>
      <c r="M345" s="910">
        <v>523</v>
      </c>
      <c r="N345" s="910">
        <v>0</v>
      </c>
      <c r="O345" s="909">
        <v>0</v>
      </c>
      <c r="P345" s="911">
        <f t="shared" si="11"/>
        <v>523</v>
      </c>
      <c r="Q345" s="909"/>
      <c r="R345" s="910">
        <v>6230</v>
      </c>
      <c r="S345" s="912">
        <v>5872</v>
      </c>
      <c r="T345" s="912">
        <f>12101+1</f>
        <v>12102</v>
      </c>
    </row>
    <row r="346" spans="1:20" x14ac:dyDescent="0.25">
      <c r="A346" s="906">
        <v>93531</v>
      </c>
      <c r="B346" s="907" t="s">
        <v>2907</v>
      </c>
      <c r="C346" s="908">
        <v>1.7E-5</v>
      </c>
      <c r="D346" s="908">
        <v>2.4000000000000001E-5</v>
      </c>
      <c r="E346" s="909">
        <v>25971</v>
      </c>
      <c r="F346" s="909"/>
      <c r="G346" s="910">
        <v>1496</v>
      </c>
      <c r="H346" s="911">
        <v>6306</v>
      </c>
      <c r="I346" s="910">
        <v>3709</v>
      </c>
      <c r="J346" s="909">
        <v>791</v>
      </c>
      <c r="K346" s="911">
        <f t="shared" si="10"/>
        <v>12302</v>
      </c>
      <c r="L346" s="909"/>
      <c r="M346" s="910">
        <v>735</v>
      </c>
      <c r="N346" s="910">
        <v>0</v>
      </c>
      <c r="O346" s="909">
        <v>2743</v>
      </c>
      <c r="P346" s="911">
        <f t="shared" si="11"/>
        <v>3478</v>
      </c>
      <c r="Q346" s="909"/>
      <c r="R346" s="910">
        <v>8752</v>
      </c>
      <c r="S346" s="912">
        <v>-1210</v>
      </c>
      <c r="T346" s="912">
        <v>7542</v>
      </c>
    </row>
    <row r="347" spans="1:20" x14ac:dyDescent="0.25">
      <c r="A347" s="906">
        <v>93537</v>
      </c>
      <c r="B347" s="907" t="s">
        <v>2908</v>
      </c>
      <c r="C347" s="908">
        <v>1.1199999999999999E-5</v>
      </c>
      <c r="D347" s="908">
        <v>1.17E-5</v>
      </c>
      <c r="E347" s="909">
        <v>17110</v>
      </c>
      <c r="F347" s="909"/>
      <c r="G347" s="910">
        <v>986</v>
      </c>
      <c r="H347" s="911">
        <v>4154</v>
      </c>
      <c r="I347" s="910">
        <v>2444</v>
      </c>
      <c r="J347" s="909">
        <v>0</v>
      </c>
      <c r="K347" s="911">
        <f t="shared" si="10"/>
        <v>7584</v>
      </c>
      <c r="L347" s="909"/>
      <c r="M347" s="910">
        <v>484</v>
      </c>
      <c r="N347" s="910">
        <v>0</v>
      </c>
      <c r="O347" s="909">
        <v>1898</v>
      </c>
      <c r="P347" s="911">
        <f t="shared" si="11"/>
        <v>2382</v>
      </c>
      <c r="Q347" s="909"/>
      <c r="R347" s="910">
        <v>5766</v>
      </c>
      <c r="S347" s="912">
        <v>-575</v>
      </c>
      <c r="T347" s="912">
        <v>5191</v>
      </c>
    </row>
    <row r="348" spans="1:20" x14ac:dyDescent="0.25">
      <c r="A348" s="906">
        <v>93541</v>
      </c>
      <c r="B348" s="907" t="s">
        <v>2909</v>
      </c>
      <c r="C348" s="908">
        <v>1.0560000000000001E-4</v>
      </c>
      <c r="D348" s="908">
        <v>1.061E-4</v>
      </c>
      <c r="E348" s="909">
        <v>161328</v>
      </c>
      <c r="F348" s="909"/>
      <c r="G348" s="910">
        <v>9294</v>
      </c>
      <c r="H348" s="911">
        <v>39171</v>
      </c>
      <c r="I348" s="910">
        <v>23040</v>
      </c>
      <c r="J348" s="909">
        <v>4560</v>
      </c>
      <c r="K348" s="911">
        <f t="shared" si="10"/>
        <v>76065</v>
      </c>
      <c r="L348" s="909"/>
      <c r="M348" s="910">
        <v>4567</v>
      </c>
      <c r="N348" s="910">
        <v>0</v>
      </c>
      <c r="O348" s="909">
        <v>781</v>
      </c>
      <c r="P348" s="911">
        <f t="shared" si="11"/>
        <v>5348</v>
      </c>
      <c r="Q348" s="909"/>
      <c r="R348" s="910">
        <v>54368</v>
      </c>
      <c r="S348" s="912">
        <v>4003</v>
      </c>
      <c r="T348" s="912">
        <f>58370+1</f>
        <v>58371</v>
      </c>
    </row>
    <row r="349" spans="1:20" x14ac:dyDescent="0.25">
      <c r="A349" s="906">
        <v>93601</v>
      </c>
      <c r="B349" s="907" t="s">
        <v>2910</v>
      </c>
      <c r="C349" s="908">
        <v>1.0721400000000001E-2</v>
      </c>
      <c r="D349" s="908">
        <v>1.1139899999999999E-2</v>
      </c>
      <c r="E349" s="909">
        <v>16379329</v>
      </c>
      <c r="F349" s="909"/>
      <c r="G349" s="910">
        <v>943601</v>
      </c>
      <c r="H349" s="911">
        <v>3976921</v>
      </c>
      <c r="I349" s="910">
        <v>2339195</v>
      </c>
      <c r="J349" s="909">
        <v>65732</v>
      </c>
      <c r="K349" s="911">
        <f t="shared" si="10"/>
        <v>7325449</v>
      </c>
      <c r="L349" s="909"/>
      <c r="M349" s="910">
        <v>463647</v>
      </c>
      <c r="N349" s="910">
        <v>0</v>
      </c>
      <c r="O349" s="909">
        <v>282932</v>
      </c>
      <c r="P349" s="911">
        <f t="shared" si="11"/>
        <v>746579</v>
      </c>
      <c r="Q349" s="909"/>
      <c r="R349" s="910">
        <v>5519848</v>
      </c>
      <c r="S349" s="912">
        <v>-87424</v>
      </c>
      <c r="T349" s="912">
        <f>5432425-1</f>
        <v>5432424</v>
      </c>
    </row>
    <row r="350" spans="1:20" x14ac:dyDescent="0.25">
      <c r="A350" s="906">
        <v>93602</v>
      </c>
      <c r="B350" s="907" t="s">
        <v>2911</v>
      </c>
      <c r="C350" s="908">
        <v>1.7540000000000001E-4</v>
      </c>
      <c r="D350" s="908">
        <v>1.7200000000000001E-4</v>
      </c>
      <c r="E350" s="909">
        <v>267963</v>
      </c>
      <c r="F350" s="909"/>
      <c r="G350" s="910">
        <v>15437</v>
      </c>
      <c r="H350" s="911">
        <v>65062</v>
      </c>
      <c r="I350" s="910">
        <v>38269</v>
      </c>
      <c r="J350" s="909">
        <v>4381</v>
      </c>
      <c r="K350" s="911">
        <f t="shared" si="10"/>
        <v>123149</v>
      </c>
      <c r="L350" s="909"/>
      <c r="M350" s="910">
        <v>7585</v>
      </c>
      <c r="N350" s="910">
        <v>0</v>
      </c>
      <c r="O350" s="909">
        <v>10262</v>
      </c>
      <c r="P350" s="911">
        <f t="shared" si="11"/>
        <v>17847</v>
      </c>
      <c r="Q350" s="909"/>
      <c r="R350" s="910">
        <v>90304</v>
      </c>
      <c r="S350" s="912">
        <v>-2871</v>
      </c>
      <c r="T350" s="912">
        <v>87433</v>
      </c>
    </row>
    <row r="351" spans="1:20" x14ac:dyDescent="0.25">
      <c r="A351" s="906">
        <v>93609</v>
      </c>
      <c r="B351" s="907" t="s">
        <v>2912</v>
      </c>
      <c r="C351" s="908">
        <v>3.7629999999999999E-3</v>
      </c>
      <c r="D351" s="908">
        <v>3.0569E-3</v>
      </c>
      <c r="E351" s="909">
        <v>5748822</v>
      </c>
      <c r="F351" s="909"/>
      <c r="G351" s="910">
        <v>331185</v>
      </c>
      <c r="H351" s="911">
        <v>1395821</v>
      </c>
      <c r="I351" s="910">
        <v>821011</v>
      </c>
      <c r="J351" s="909">
        <v>823315</v>
      </c>
      <c r="K351" s="911">
        <f t="shared" si="10"/>
        <v>3371332</v>
      </c>
      <c r="L351" s="909"/>
      <c r="M351" s="910">
        <v>162731</v>
      </c>
      <c r="N351" s="910">
        <v>0</v>
      </c>
      <c r="O351" s="909">
        <v>0</v>
      </c>
      <c r="P351" s="911">
        <f t="shared" si="11"/>
        <v>162731</v>
      </c>
      <c r="Q351" s="909"/>
      <c r="R351" s="910">
        <v>1937358</v>
      </c>
      <c r="S351" s="912">
        <v>360052</v>
      </c>
      <c r="T351" s="912">
        <v>2297410</v>
      </c>
    </row>
    <row r="352" spans="1:20" x14ac:dyDescent="0.25">
      <c r="A352" s="906">
        <v>93610</v>
      </c>
      <c r="B352" s="907" t="s">
        <v>2913</v>
      </c>
      <c r="C352" s="908">
        <v>1.33E-5</v>
      </c>
      <c r="D352" s="908">
        <v>6.4999999999999996E-6</v>
      </c>
      <c r="E352" s="909">
        <v>20319</v>
      </c>
      <c r="F352" s="909"/>
      <c r="G352" s="910">
        <v>1171</v>
      </c>
      <c r="H352" s="911">
        <v>4933</v>
      </c>
      <c r="I352" s="910">
        <v>2902</v>
      </c>
      <c r="J352" s="909">
        <v>6303</v>
      </c>
      <c r="K352" s="911">
        <f t="shared" si="10"/>
        <v>15309</v>
      </c>
      <c r="L352" s="909"/>
      <c r="M352" s="910">
        <v>575</v>
      </c>
      <c r="N352" s="910">
        <v>0</v>
      </c>
      <c r="O352" s="909">
        <v>3373</v>
      </c>
      <c r="P352" s="911">
        <f t="shared" si="11"/>
        <v>3948</v>
      </c>
      <c r="Q352" s="909"/>
      <c r="R352" s="910">
        <v>6847</v>
      </c>
      <c r="S352" s="912">
        <v>1242</v>
      </c>
      <c r="T352" s="912">
        <f>8090-1</f>
        <v>8089</v>
      </c>
    </row>
    <row r="353" spans="1:20" x14ac:dyDescent="0.25">
      <c r="A353" s="906">
        <v>93611</v>
      </c>
      <c r="B353" s="907" t="s">
        <v>2914</v>
      </c>
      <c r="C353" s="908">
        <v>6.9544000000000003E-3</v>
      </c>
      <c r="D353" s="908">
        <v>6.9325000000000003E-3</v>
      </c>
      <c r="E353" s="909">
        <v>10624397</v>
      </c>
      <c r="F353" s="909"/>
      <c r="G353" s="910">
        <v>612064</v>
      </c>
      <c r="H353" s="911">
        <v>2579617</v>
      </c>
      <c r="I353" s="910">
        <v>1517311</v>
      </c>
      <c r="J353" s="909">
        <v>61146</v>
      </c>
      <c r="K353" s="911">
        <f t="shared" si="10"/>
        <v>4770138</v>
      </c>
      <c r="L353" s="909"/>
      <c r="M353" s="910">
        <v>300743</v>
      </c>
      <c r="N353" s="910">
        <v>0</v>
      </c>
      <c r="O353" s="909">
        <v>153061</v>
      </c>
      <c r="P353" s="911">
        <f t="shared" si="11"/>
        <v>453804</v>
      </c>
      <c r="Q353" s="909"/>
      <c r="R353" s="910">
        <v>3580431</v>
      </c>
      <c r="S353" s="912">
        <v>-98066</v>
      </c>
      <c r="T353" s="912">
        <v>3482365</v>
      </c>
    </row>
    <row r="354" spans="1:20" x14ac:dyDescent="0.25">
      <c r="A354" s="906">
        <v>93617</v>
      </c>
      <c r="B354" s="907" t="s">
        <v>2915</v>
      </c>
      <c r="C354" s="908">
        <v>8.2799999999999993E-5</v>
      </c>
      <c r="D354" s="908">
        <v>9.5000000000000005E-5</v>
      </c>
      <c r="E354" s="909">
        <v>126495</v>
      </c>
      <c r="F354" s="909"/>
      <c r="G354" s="910">
        <v>7287</v>
      </c>
      <c r="H354" s="911">
        <v>30714</v>
      </c>
      <c r="I354" s="910">
        <v>18065</v>
      </c>
      <c r="J354" s="909">
        <v>19622</v>
      </c>
      <c r="K354" s="911">
        <f t="shared" si="10"/>
        <v>75688</v>
      </c>
      <c r="L354" s="909"/>
      <c r="M354" s="910">
        <v>3581</v>
      </c>
      <c r="N354" s="910">
        <v>0</v>
      </c>
      <c r="O354" s="909">
        <v>0</v>
      </c>
      <c r="P354" s="911">
        <f t="shared" si="11"/>
        <v>3581</v>
      </c>
      <c r="Q354" s="909"/>
      <c r="R354" s="910">
        <v>42629</v>
      </c>
      <c r="S354" s="912">
        <v>10180</v>
      </c>
      <c r="T354" s="912">
        <v>52809</v>
      </c>
    </row>
    <row r="355" spans="1:20" x14ac:dyDescent="0.25">
      <c r="A355" s="906">
        <v>93618</v>
      </c>
      <c r="B355" s="907" t="s">
        <v>2916</v>
      </c>
      <c r="C355" s="908">
        <v>1.11E-5</v>
      </c>
      <c r="D355" s="908">
        <v>1.17E-5</v>
      </c>
      <c r="E355" s="909">
        <v>16958</v>
      </c>
      <c r="F355" s="909"/>
      <c r="G355" s="910">
        <v>977</v>
      </c>
      <c r="H355" s="911">
        <v>4117</v>
      </c>
      <c r="I355" s="910">
        <v>2422</v>
      </c>
      <c r="J355" s="909">
        <v>33625</v>
      </c>
      <c r="K355" s="911">
        <f t="shared" si="10"/>
        <v>41141</v>
      </c>
      <c r="L355" s="909"/>
      <c r="M355" s="910">
        <v>480</v>
      </c>
      <c r="N355" s="910">
        <v>0</v>
      </c>
      <c r="O355" s="909">
        <v>0</v>
      </c>
      <c r="P355" s="911">
        <f t="shared" si="11"/>
        <v>480</v>
      </c>
      <c r="Q355" s="909"/>
      <c r="R355" s="910">
        <v>5715</v>
      </c>
      <c r="S355" s="912">
        <v>12182</v>
      </c>
      <c r="T355" s="912">
        <v>17897</v>
      </c>
    </row>
    <row r="356" spans="1:20" x14ac:dyDescent="0.25">
      <c r="A356" s="906">
        <v>93621</v>
      </c>
      <c r="B356" s="907" t="s">
        <v>2917</v>
      </c>
      <c r="C356" s="908">
        <v>9.5719999999999996E-4</v>
      </c>
      <c r="D356" s="908">
        <v>8.5320000000000003E-4</v>
      </c>
      <c r="E356" s="909">
        <v>1462336</v>
      </c>
      <c r="F356" s="909"/>
      <c r="G356" s="910">
        <v>84244</v>
      </c>
      <c r="H356" s="911">
        <v>355057</v>
      </c>
      <c r="I356" s="910">
        <v>208842</v>
      </c>
      <c r="J356" s="909">
        <v>48292</v>
      </c>
      <c r="K356" s="911">
        <f t="shared" si="10"/>
        <v>696435</v>
      </c>
      <c r="L356" s="909"/>
      <c r="M356" s="910">
        <v>41394</v>
      </c>
      <c r="N356" s="910">
        <v>0</v>
      </c>
      <c r="O356" s="909">
        <v>79767</v>
      </c>
      <c r="P356" s="911">
        <f t="shared" si="11"/>
        <v>121161</v>
      </c>
      <c r="Q356" s="909"/>
      <c r="R356" s="910">
        <v>492809</v>
      </c>
      <c r="S356" s="912">
        <v>-26570</v>
      </c>
      <c r="T356" s="912">
        <f>466238+1</f>
        <v>466239</v>
      </c>
    </row>
    <row r="357" spans="1:20" x14ac:dyDescent="0.25">
      <c r="A357" s="906">
        <v>93623</v>
      </c>
      <c r="B357" s="907" t="s">
        <v>2918</v>
      </c>
      <c r="C357" s="908">
        <v>1.2799999999999999E-5</v>
      </c>
      <c r="D357" s="908">
        <v>1.2500000000000001E-5</v>
      </c>
      <c r="E357" s="909">
        <v>19555</v>
      </c>
      <c r="F357" s="909"/>
      <c r="G357" s="910">
        <v>1127</v>
      </c>
      <c r="H357" s="911">
        <v>4748</v>
      </c>
      <c r="I357" s="910">
        <v>2793</v>
      </c>
      <c r="J357" s="909">
        <v>5501</v>
      </c>
      <c r="K357" s="911">
        <f t="shared" si="10"/>
        <v>14169</v>
      </c>
      <c r="L357" s="909"/>
      <c r="M357" s="910">
        <v>554</v>
      </c>
      <c r="N357" s="910">
        <v>0</v>
      </c>
      <c r="O357" s="909">
        <v>1</v>
      </c>
      <c r="P357" s="911">
        <f t="shared" si="11"/>
        <v>555</v>
      </c>
      <c r="Q357" s="909"/>
      <c r="R357" s="910">
        <v>6590</v>
      </c>
      <c r="S357" s="912">
        <v>1908</v>
      </c>
      <c r="T357" s="912">
        <v>8498</v>
      </c>
    </row>
    <row r="358" spans="1:20" x14ac:dyDescent="0.25">
      <c r="A358" s="906">
        <v>93631</v>
      </c>
      <c r="B358" s="907" t="s">
        <v>2919</v>
      </c>
      <c r="C358" s="908">
        <v>2.252E-4</v>
      </c>
      <c r="D358" s="908">
        <v>2.3440000000000001E-4</v>
      </c>
      <c r="E358" s="909">
        <v>344043</v>
      </c>
      <c r="F358" s="909"/>
      <c r="G358" s="910">
        <v>19820</v>
      </c>
      <c r="H358" s="911">
        <v>83534</v>
      </c>
      <c r="I358" s="910">
        <v>49134</v>
      </c>
      <c r="J358" s="909">
        <v>435</v>
      </c>
      <c r="K358" s="911">
        <f t="shared" si="10"/>
        <v>152923</v>
      </c>
      <c r="L358" s="909"/>
      <c r="M358" s="910">
        <v>9739</v>
      </c>
      <c r="N358" s="910">
        <v>0</v>
      </c>
      <c r="O358" s="909">
        <v>20459</v>
      </c>
      <c r="P358" s="911">
        <f t="shared" si="11"/>
        <v>30198</v>
      </c>
      <c r="Q358" s="909"/>
      <c r="R358" s="910">
        <v>115943</v>
      </c>
      <c r="S358" s="912">
        <v>-7001</v>
      </c>
      <c r="T358" s="912">
        <v>108942</v>
      </c>
    </row>
    <row r="359" spans="1:20" x14ac:dyDescent="0.25">
      <c r="A359" s="906">
        <v>93641</v>
      </c>
      <c r="B359" s="907" t="s">
        <v>2920</v>
      </c>
      <c r="C359" s="908">
        <v>4.0450000000000002E-4</v>
      </c>
      <c r="D359" s="908">
        <v>4.3550000000000001E-4</v>
      </c>
      <c r="E359" s="909">
        <v>617964</v>
      </c>
      <c r="F359" s="909"/>
      <c r="G359" s="910">
        <v>35600</v>
      </c>
      <c r="H359" s="911">
        <v>150042</v>
      </c>
      <c r="I359" s="910">
        <v>88254</v>
      </c>
      <c r="J359" s="909">
        <v>14033</v>
      </c>
      <c r="K359" s="911">
        <f t="shared" si="10"/>
        <v>287929</v>
      </c>
      <c r="L359" s="909"/>
      <c r="M359" s="910">
        <v>17493</v>
      </c>
      <c r="N359" s="910">
        <v>0</v>
      </c>
      <c r="O359" s="909">
        <v>11062</v>
      </c>
      <c r="P359" s="911">
        <f t="shared" si="11"/>
        <v>28555</v>
      </c>
      <c r="Q359" s="909"/>
      <c r="R359" s="910">
        <v>208254</v>
      </c>
      <c r="S359" s="912">
        <v>4772</v>
      </c>
      <c r="T359" s="912">
        <v>213026</v>
      </c>
    </row>
    <row r="360" spans="1:20" x14ac:dyDescent="0.25">
      <c r="A360" s="906">
        <v>93647</v>
      </c>
      <c r="B360" s="907" t="s">
        <v>2921</v>
      </c>
      <c r="C360" s="908">
        <v>6.0000000000000002E-6</v>
      </c>
      <c r="D360" s="908">
        <v>6.1E-6</v>
      </c>
      <c r="E360" s="909">
        <v>9166</v>
      </c>
      <c r="F360" s="909"/>
      <c r="G360" s="910">
        <v>528</v>
      </c>
      <c r="H360" s="911">
        <v>2226</v>
      </c>
      <c r="I360" s="910">
        <v>1309</v>
      </c>
      <c r="J360" s="909">
        <v>12039</v>
      </c>
      <c r="K360" s="911">
        <f t="shared" si="10"/>
        <v>16102</v>
      </c>
      <c r="L360" s="909"/>
      <c r="M360" s="910">
        <v>259</v>
      </c>
      <c r="N360" s="910">
        <v>0</v>
      </c>
      <c r="O360" s="909">
        <v>0</v>
      </c>
      <c r="P360" s="911">
        <f t="shared" si="11"/>
        <v>259</v>
      </c>
      <c r="Q360" s="909"/>
      <c r="R360" s="910">
        <v>3089</v>
      </c>
      <c r="S360" s="912">
        <v>4642</v>
      </c>
      <c r="T360" s="912">
        <v>7731</v>
      </c>
    </row>
    <row r="361" spans="1:20" x14ac:dyDescent="0.25">
      <c r="A361" s="906">
        <v>93651</v>
      </c>
      <c r="B361" s="907" t="s">
        <v>2922</v>
      </c>
      <c r="C361" s="908">
        <v>4.3800000000000002E-4</v>
      </c>
      <c r="D361" s="908">
        <v>4.282E-4</v>
      </c>
      <c r="E361" s="909">
        <v>669143</v>
      </c>
      <c r="F361" s="909"/>
      <c r="G361" s="910">
        <v>38549</v>
      </c>
      <c r="H361" s="911">
        <v>162468</v>
      </c>
      <c r="I361" s="910">
        <v>95563</v>
      </c>
      <c r="J361" s="909">
        <v>5830</v>
      </c>
      <c r="K361" s="911">
        <f t="shared" si="10"/>
        <v>302410</v>
      </c>
      <c r="L361" s="909"/>
      <c r="M361" s="910">
        <v>18941</v>
      </c>
      <c r="N361" s="910">
        <v>0</v>
      </c>
      <c r="O361" s="909">
        <v>13910</v>
      </c>
      <c r="P361" s="911">
        <f t="shared" si="11"/>
        <v>32851</v>
      </c>
      <c r="Q361" s="909"/>
      <c r="R361" s="910">
        <v>225502</v>
      </c>
      <c r="S361" s="912">
        <v>-1521</v>
      </c>
      <c r="T361" s="912">
        <f>223980+1</f>
        <v>223981</v>
      </c>
    </row>
    <row r="362" spans="1:20" x14ac:dyDescent="0.25">
      <c r="A362" s="906">
        <v>93661</v>
      </c>
      <c r="B362" s="907" t="s">
        <v>2923</v>
      </c>
      <c r="C362" s="908">
        <v>1.3410000000000001E-4</v>
      </c>
      <c r="D362" s="908">
        <v>1.3420000000000001E-4</v>
      </c>
      <c r="E362" s="909">
        <v>204868</v>
      </c>
      <c r="F362" s="909"/>
      <c r="G362" s="910">
        <v>11802</v>
      </c>
      <c r="H362" s="911">
        <v>49742</v>
      </c>
      <c r="I362" s="910">
        <v>29258</v>
      </c>
      <c r="J362" s="909">
        <v>11769</v>
      </c>
      <c r="K362" s="911">
        <f t="shared" si="10"/>
        <v>102571</v>
      </c>
      <c r="L362" s="909"/>
      <c r="M362" s="910">
        <v>5799</v>
      </c>
      <c r="N362" s="910">
        <v>0</v>
      </c>
      <c r="O362" s="909">
        <v>0</v>
      </c>
      <c r="P362" s="911">
        <f t="shared" si="11"/>
        <v>5799</v>
      </c>
      <c r="Q362" s="909"/>
      <c r="R362" s="910">
        <v>69041</v>
      </c>
      <c r="S362" s="912">
        <v>4842</v>
      </c>
      <c r="T362" s="912">
        <v>73883</v>
      </c>
    </row>
    <row r="363" spans="1:20" x14ac:dyDescent="0.25">
      <c r="A363" s="906">
        <v>93671</v>
      </c>
      <c r="B363" s="907" t="s">
        <v>2924</v>
      </c>
      <c r="C363" s="908">
        <v>3.5530000000000002E-4</v>
      </c>
      <c r="D363" s="908">
        <v>3.6900000000000002E-4</v>
      </c>
      <c r="E363" s="909">
        <v>542800</v>
      </c>
      <c r="F363" s="909"/>
      <c r="G363" s="910">
        <v>31270</v>
      </c>
      <c r="H363" s="911">
        <v>131793</v>
      </c>
      <c r="I363" s="910">
        <v>77519</v>
      </c>
      <c r="J363" s="909">
        <v>38666</v>
      </c>
      <c r="K363" s="911">
        <f t="shared" si="10"/>
        <v>279248</v>
      </c>
      <c r="L363" s="909"/>
      <c r="M363" s="910">
        <v>15365</v>
      </c>
      <c r="N363" s="910">
        <v>0</v>
      </c>
      <c r="O363" s="909">
        <v>2899</v>
      </c>
      <c r="P363" s="911">
        <f t="shared" si="11"/>
        <v>18264</v>
      </c>
      <c r="Q363" s="909"/>
      <c r="R363" s="910">
        <v>182924</v>
      </c>
      <c r="S363" s="912">
        <v>28467</v>
      </c>
      <c r="T363" s="912">
        <v>211391</v>
      </c>
    </row>
    <row r="364" spans="1:20" x14ac:dyDescent="0.25">
      <c r="A364" s="906">
        <v>93677</v>
      </c>
      <c r="B364" s="907" t="s">
        <v>1522</v>
      </c>
      <c r="C364" s="908">
        <v>0</v>
      </c>
      <c r="D364" s="908">
        <v>0</v>
      </c>
      <c r="E364" s="909">
        <v>0</v>
      </c>
      <c r="F364" s="909"/>
      <c r="G364" s="910">
        <v>0</v>
      </c>
      <c r="H364" s="911">
        <v>0</v>
      </c>
      <c r="I364" s="910">
        <v>0</v>
      </c>
      <c r="J364" s="909">
        <v>0</v>
      </c>
      <c r="K364" s="911">
        <f t="shared" si="10"/>
        <v>0</v>
      </c>
      <c r="L364" s="909"/>
      <c r="M364" s="910">
        <v>0</v>
      </c>
      <c r="N364" s="910">
        <v>0</v>
      </c>
      <c r="O364" s="909">
        <v>718</v>
      </c>
      <c r="P364" s="911">
        <f t="shared" si="11"/>
        <v>718</v>
      </c>
      <c r="Q364" s="909"/>
      <c r="R364" s="910">
        <v>0</v>
      </c>
      <c r="S364" s="912">
        <v>-725</v>
      </c>
      <c r="T364" s="912">
        <v>-725</v>
      </c>
    </row>
    <row r="365" spans="1:20" x14ac:dyDescent="0.25">
      <c r="A365" s="906">
        <v>93681</v>
      </c>
      <c r="B365" s="907" t="s">
        <v>2925</v>
      </c>
      <c r="C365" s="908">
        <v>1.1179999999999999E-4</v>
      </c>
      <c r="D365" s="908">
        <v>1.1010000000000001E-4</v>
      </c>
      <c r="E365" s="909">
        <v>170799</v>
      </c>
      <c r="F365" s="909"/>
      <c r="G365" s="910">
        <v>9840</v>
      </c>
      <c r="H365" s="911">
        <v>41470</v>
      </c>
      <c r="I365" s="910">
        <v>24393</v>
      </c>
      <c r="J365" s="909">
        <v>264</v>
      </c>
      <c r="K365" s="911">
        <f t="shared" si="10"/>
        <v>75967</v>
      </c>
      <c r="L365" s="909"/>
      <c r="M365" s="910">
        <v>4835</v>
      </c>
      <c r="N365" s="910">
        <v>0</v>
      </c>
      <c r="O365" s="909">
        <v>12629</v>
      </c>
      <c r="P365" s="911">
        <f t="shared" si="11"/>
        <v>17464</v>
      </c>
      <c r="Q365" s="909"/>
      <c r="R365" s="910">
        <v>57560</v>
      </c>
      <c r="S365" s="912">
        <v>-6498</v>
      </c>
      <c r="T365" s="912">
        <f>51061+1</f>
        <v>51062</v>
      </c>
    </row>
    <row r="366" spans="1:20" x14ac:dyDescent="0.25">
      <c r="A366" s="906">
        <v>93691</v>
      </c>
      <c r="B366" s="907" t="s">
        <v>2926</v>
      </c>
      <c r="C366" s="908">
        <v>1.0858E-3</v>
      </c>
      <c r="D366" s="908">
        <v>1.1251E-3</v>
      </c>
      <c r="E366" s="909">
        <v>1658802</v>
      </c>
      <c r="F366" s="909"/>
      <c r="G366" s="910">
        <v>95562</v>
      </c>
      <c r="H366" s="911">
        <v>402759</v>
      </c>
      <c r="I366" s="910">
        <v>236900</v>
      </c>
      <c r="J366" s="909">
        <v>0</v>
      </c>
      <c r="K366" s="911">
        <f t="shared" si="10"/>
        <v>735221</v>
      </c>
      <c r="L366" s="909"/>
      <c r="M366" s="910">
        <v>46955</v>
      </c>
      <c r="N366" s="910">
        <v>0</v>
      </c>
      <c r="O366" s="909">
        <v>115438</v>
      </c>
      <c r="P366" s="911">
        <f t="shared" si="11"/>
        <v>162393</v>
      </c>
      <c r="Q366" s="909"/>
      <c r="R366" s="910">
        <v>559018</v>
      </c>
      <c r="S366" s="912">
        <v>-42411</v>
      </c>
      <c r="T366" s="912">
        <v>516607</v>
      </c>
    </row>
    <row r="367" spans="1:20" x14ac:dyDescent="0.25">
      <c r="A367" s="906">
        <v>93701</v>
      </c>
      <c r="B367" s="907" t="s">
        <v>3584</v>
      </c>
      <c r="C367" s="908">
        <v>4.5800000000000002E-4</v>
      </c>
      <c r="D367" s="908">
        <v>4.6200000000000001E-4</v>
      </c>
      <c r="E367" s="909">
        <v>699697</v>
      </c>
      <c r="F367" s="909"/>
      <c r="G367" s="910">
        <v>40309</v>
      </c>
      <c r="H367" s="911">
        <v>169888</v>
      </c>
      <c r="I367" s="910">
        <v>99926</v>
      </c>
      <c r="J367" s="909">
        <v>7923</v>
      </c>
      <c r="K367" s="911">
        <f t="shared" si="10"/>
        <v>318046</v>
      </c>
      <c r="L367" s="909"/>
      <c r="M367" s="910">
        <v>19806</v>
      </c>
      <c r="N367" s="910">
        <v>0</v>
      </c>
      <c r="O367" s="909">
        <v>17631</v>
      </c>
      <c r="P367" s="911">
        <f t="shared" si="11"/>
        <v>37437</v>
      </c>
      <c r="Q367" s="909"/>
      <c r="R367" s="910">
        <v>235799</v>
      </c>
      <c r="S367" s="912">
        <v>566</v>
      </c>
      <c r="T367" s="912">
        <v>236365</v>
      </c>
    </row>
    <row r="368" spans="1:20" x14ac:dyDescent="0.25">
      <c r="A368" s="906">
        <v>93704</v>
      </c>
      <c r="B368" s="907" t="s">
        <v>2928</v>
      </c>
      <c r="C368" s="908">
        <v>3.0000000000000001E-6</v>
      </c>
      <c r="D368" s="908">
        <v>3.3000000000000002E-6</v>
      </c>
      <c r="E368" s="909">
        <v>4583</v>
      </c>
      <c r="F368" s="909"/>
      <c r="G368" s="910">
        <v>264</v>
      </c>
      <c r="H368" s="911">
        <v>1113</v>
      </c>
      <c r="I368" s="910">
        <v>655</v>
      </c>
      <c r="J368" s="909">
        <v>578</v>
      </c>
      <c r="K368" s="911">
        <f t="shared" si="10"/>
        <v>2610</v>
      </c>
      <c r="L368" s="909"/>
      <c r="M368" s="910">
        <v>130</v>
      </c>
      <c r="N368" s="910">
        <v>0</v>
      </c>
      <c r="O368" s="909">
        <v>49</v>
      </c>
      <c r="P368" s="911">
        <f t="shared" si="11"/>
        <v>179</v>
      </c>
      <c r="Q368" s="909"/>
      <c r="R368" s="910">
        <v>1545</v>
      </c>
      <c r="S368" s="912">
        <v>136</v>
      </c>
      <c r="T368" s="912">
        <v>1681</v>
      </c>
    </row>
    <row r="369" spans="1:20" x14ac:dyDescent="0.25">
      <c r="A369" s="906">
        <v>93801</v>
      </c>
      <c r="B369" s="907" t="s">
        <v>2929</v>
      </c>
      <c r="C369" s="908">
        <v>4.7889999999999999E-4</v>
      </c>
      <c r="D369" s="908">
        <v>5.4180000000000005E-4</v>
      </c>
      <c r="E369" s="909">
        <v>731627</v>
      </c>
      <c r="F369" s="909"/>
      <c r="G369" s="910">
        <v>42148</v>
      </c>
      <c r="H369" s="911">
        <v>177639</v>
      </c>
      <c r="I369" s="910">
        <v>104486</v>
      </c>
      <c r="J369" s="909">
        <v>113630</v>
      </c>
      <c r="K369" s="911">
        <f t="shared" si="10"/>
        <v>437903</v>
      </c>
      <c r="L369" s="909"/>
      <c r="M369" s="910">
        <v>20710</v>
      </c>
      <c r="N369" s="910">
        <v>0</v>
      </c>
      <c r="O369" s="909">
        <v>54734</v>
      </c>
      <c r="P369" s="911">
        <f t="shared" si="11"/>
        <v>75444</v>
      </c>
      <c r="Q369" s="909"/>
      <c r="R369" s="910">
        <v>246559</v>
      </c>
      <c r="S369" s="912">
        <v>28052</v>
      </c>
      <c r="T369" s="912">
        <v>274611</v>
      </c>
    </row>
    <row r="370" spans="1:20" x14ac:dyDescent="0.25">
      <c r="A370" s="906">
        <v>93803</v>
      </c>
      <c r="B370" s="907" t="s">
        <v>2930</v>
      </c>
      <c r="C370" s="908">
        <v>1.1900000000000001E-4</v>
      </c>
      <c r="D370" s="908">
        <v>1.4469999999999999E-4</v>
      </c>
      <c r="E370" s="909">
        <v>181799</v>
      </c>
      <c r="F370" s="909"/>
      <c r="G370" s="910">
        <v>10473</v>
      </c>
      <c r="H370" s="911">
        <v>44141</v>
      </c>
      <c r="I370" s="910">
        <v>25963</v>
      </c>
      <c r="J370" s="909">
        <v>0</v>
      </c>
      <c r="K370" s="911">
        <f t="shared" si="10"/>
        <v>80577</v>
      </c>
      <c r="L370" s="909"/>
      <c r="M370" s="910">
        <v>5146</v>
      </c>
      <c r="N370" s="910">
        <v>0</v>
      </c>
      <c r="O370" s="909">
        <v>42594</v>
      </c>
      <c r="P370" s="911">
        <f t="shared" si="11"/>
        <v>47740</v>
      </c>
      <c r="Q370" s="909"/>
      <c r="R370" s="910">
        <v>61266</v>
      </c>
      <c r="S370" s="912">
        <v>-17510</v>
      </c>
      <c r="T370" s="912">
        <v>43756</v>
      </c>
    </row>
    <row r="371" spans="1:20" x14ac:dyDescent="0.25">
      <c r="A371" s="906">
        <v>93806</v>
      </c>
      <c r="B371" s="907" t="s">
        <v>2931</v>
      </c>
      <c r="C371" s="908">
        <v>9.3900000000000006E-5</v>
      </c>
      <c r="D371" s="908">
        <v>7.3700000000000002E-5</v>
      </c>
      <c r="E371" s="909">
        <v>143453</v>
      </c>
      <c r="F371" s="909"/>
      <c r="G371" s="910">
        <v>8264</v>
      </c>
      <c r="H371" s="911">
        <v>34831</v>
      </c>
      <c r="I371" s="910">
        <v>20487</v>
      </c>
      <c r="J371" s="909">
        <v>13283</v>
      </c>
      <c r="K371" s="911">
        <f t="shared" si="10"/>
        <v>76865</v>
      </c>
      <c r="L371" s="909"/>
      <c r="M371" s="910">
        <v>4061</v>
      </c>
      <c r="N371" s="910">
        <v>0</v>
      </c>
      <c r="O371" s="909">
        <v>10049</v>
      </c>
      <c r="P371" s="911">
        <f t="shared" si="11"/>
        <v>14110</v>
      </c>
      <c r="Q371" s="909"/>
      <c r="R371" s="910">
        <v>48344</v>
      </c>
      <c r="S371" s="912">
        <v>-6121</v>
      </c>
      <c r="T371" s="912">
        <v>42223</v>
      </c>
    </row>
    <row r="372" spans="1:20" x14ac:dyDescent="0.25">
      <c r="A372" s="906">
        <v>93821</v>
      </c>
      <c r="B372" s="907" t="s">
        <v>2932</v>
      </c>
      <c r="C372" s="908">
        <v>2.9899999999999998E-5</v>
      </c>
      <c r="D372" s="908">
        <v>5.7200000000000001E-5</v>
      </c>
      <c r="E372" s="909">
        <v>45679</v>
      </c>
      <c r="F372" s="909"/>
      <c r="G372" s="910">
        <v>2632</v>
      </c>
      <c r="H372" s="911">
        <v>11090</v>
      </c>
      <c r="I372" s="910">
        <v>6524</v>
      </c>
      <c r="J372" s="909">
        <v>18424</v>
      </c>
      <c r="K372" s="911">
        <f t="shared" si="10"/>
        <v>38670</v>
      </c>
      <c r="L372" s="909"/>
      <c r="M372" s="910">
        <v>1293</v>
      </c>
      <c r="N372" s="910">
        <v>0</v>
      </c>
      <c r="O372" s="909">
        <v>343</v>
      </c>
      <c r="P372" s="911">
        <f t="shared" si="11"/>
        <v>1636</v>
      </c>
      <c r="Q372" s="909"/>
      <c r="R372" s="910">
        <v>15394</v>
      </c>
      <c r="S372" s="912">
        <v>7633</v>
      </c>
      <c r="T372" s="912">
        <f>23026+1</f>
        <v>23027</v>
      </c>
    </row>
    <row r="373" spans="1:20" x14ac:dyDescent="0.25">
      <c r="A373" s="906">
        <v>93901</v>
      </c>
      <c r="B373" s="907" t="s">
        <v>2933</v>
      </c>
      <c r="C373" s="908">
        <v>1.7974E-3</v>
      </c>
      <c r="D373" s="908">
        <v>1.8059E-3</v>
      </c>
      <c r="E373" s="909">
        <v>2745929</v>
      </c>
      <c r="F373" s="909"/>
      <c r="G373" s="910">
        <v>158191</v>
      </c>
      <c r="H373" s="911">
        <v>666715</v>
      </c>
      <c r="I373" s="910">
        <v>392157</v>
      </c>
      <c r="J373" s="909">
        <v>89069</v>
      </c>
      <c r="K373" s="911">
        <f t="shared" si="10"/>
        <v>1306132</v>
      </c>
      <c r="L373" s="909"/>
      <c r="M373" s="910">
        <v>77729</v>
      </c>
      <c r="N373" s="910">
        <v>0</v>
      </c>
      <c r="O373" s="909">
        <v>0</v>
      </c>
      <c r="P373" s="911">
        <f t="shared" si="11"/>
        <v>77729</v>
      </c>
      <c r="Q373" s="909"/>
      <c r="R373" s="910">
        <v>925381</v>
      </c>
      <c r="S373" s="912">
        <v>32657</v>
      </c>
      <c r="T373" s="912">
        <v>958038</v>
      </c>
    </row>
    <row r="374" spans="1:20" x14ac:dyDescent="0.25">
      <c r="A374" s="906">
        <v>93904</v>
      </c>
      <c r="B374" s="907" t="s">
        <v>2934</v>
      </c>
      <c r="C374" s="908">
        <v>3.0000000000000001E-5</v>
      </c>
      <c r="D374" s="908">
        <v>2.4700000000000001E-5</v>
      </c>
      <c r="E374" s="909">
        <v>45832</v>
      </c>
      <c r="F374" s="909"/>
      <c r="G374" s="910">
        <v>2640</v>
      </c>
      <c r="H374" s="911">
        <v>11128</v>
      </c>
      <c r="I374" s="910">
        <v>6545</v>
      </c>
      <c r="J374" s="909">
        <v>9710</v>
      </c>
      <c r="K374" s="911">
        <f t="shared" si="10"/>
        <v>30023</v>
      </c>
      <c r="L374" s="909"/>
      <c r="M374" s="910">
        <v>1297</v>
      </c>
      <c r="N374" s="910">
        <v>0</v>
      </c>
      <c r="O374" s="909">
        <v>28</v>
      </c>
      <c r="P374" s="911">
        <f t="shared" si="11"/>
        <v>1325</v>
      </c>
      <c r="Q374" s="909"/>
      <c r="R374" s="910">
        <v>15445</v>
      </c>
      <c r="S374" s="912">
        <v>3144</v>
      </c>
      <c r="T374" s="912">
        <v>18589</v>
      </c>
    </row>
    <row r="375" spans="1:20" x14ac:dyDescent="0.25">
      <c r="A375" s="906">
        <v>93906</v>
      </c>
      <c r="B375" s="907" t="s">
        <v>2935</v>
      </c>
      <c r="C375" s="908">
        <v>3.3882000000000001E-3</v>
      </c>
      <c r="D375" s="908">
        <v>3.4513E-3</v>
      </c>
      <c r="E375" s="909">
        <v>5176231</v>
      </c>
      <c r="F375" s="909"/>
      <c r="G375" s="910">
        <v>298199</v>
      </c>
      <c r="H375" s="911">
        <v>1256796</v>
      </c>
      <c r="I375" s="910">
        <v>739237</v>
      </c>
      <c r="J375" s="909">
        <v>14983</v>
      </c>
      <c r="K375" s="911">
        <f t="shared" si="10"/>
        <v>2309215</v>
      </c>
      <c r="L375" s="909"/>
      <c r="M375" s="910">
        <v>146523</v>
      </c>
      <c r="N375" s="910">
        <v>0</v>
      </c>
      <c r="O375" s="909">
        <v>222323</v>
      </c>
      <c r="P375" s="911">
        <f t="shared" si="11"/>
        <v>368846</v>
      </c>
      <c r="Q375" s="909"/>
      <c r="R375" s="910">
        <v>1744394</v>
      </c>
      <c r="S375" s="912">
        <v>-70525</v>
      </c>
      <c r="T375" s="912">
        <v>1673869</v>
      </c>
    </row>
    <row r="376" spans="1:20" x14ac:dyDescent="0.25">
      <c r="A376" s="906">
        <v>93908</v>
      </c>
      <c r="B376" s="907" t="s">
        <v>3585</v>
      </c>
      <c r="C376" s="908">
        <v>5.1219999999999998E-4</v>
      </c>
      <c r="D376" s="908">
        <v>5.0239999999999996E-4</v>
      </c>
      <c r="E376" s="909">
        <v>782500</v>
      </c>
      <c r="F376" s="909"/>
      <c r="G376" s="910">
        <v>45079</v>
      </c>
      <c r="H376" s="911">
        <v>189992</v>
      </c>
      <c r="I376" s="910">
        <v>111752</v>
      </c>
      <c r="J376" s="909">
        <v>12340</v>
      </c>
      <c r="K376" s="911">
        <f t="shared" si="10"/>
        <v>359163</v>
      </c>
      <c r="L376" s="909"/>
      <c r="M376" s="910">
        <v>22150</v>
      </c>
      <c r="N376" s="910">
        <v>0</v>
      </c>
      <c r="O376" s="909">
        <v>16479</v>
      </c>
      <c r="P376" s="911">
        <f t="shared" si="11"/>
        <v>38629</v>
      </c>
      <c r="Q376" s="909"/>
      <c r="R376" s="910">
        <v>263703</v>
      </c>
      <c r="S376" s="912">
        <v>-2302</v>
      </c>
      <c r="T376" s="912">
        <v>261401</v>
      </c>
    </row>
    <row r="377" spans="1:20" x14ac:dyDescent="0.25">
      <c r="A377" s="906">
        <v>93910</v>
      </c>
      <c r="B377" s="907" t="s">
        <v>2937</v>
      </c>
      <c r="C377" s="908">
        <v>2.786E-4</v>
      </c>
      <c r="D377" s="908">
        <v>2.9129999999999998E-4</v>
      </c>
      <c r="E377" s="909">
        <v>425624</v>
      </c>
      <c r="F377" s="909"/>
      <c r="G377" s="910">
        <v>24520</v>
      </c>
      <c r="H377" s="911">
        <v>103342</v>
      </c>
      <c r="I377" s="910">
        <v>60785</v>
      </c>
      <c r="J377" s="909">
        <v>0</v>
      </c>
      <c r="K377" s="911">
        <f t="shared" si="10"/>
        <v>188647</v>
      </c>
      <c r="L377" s="909"/>
      <c r="M377" s="910">
        <v>12048</v>
      </c>
      <c r="N377" s="910">
        <v>0</v>
      </c>
      <c r="O377" s="909">
        <v>34002</v>
      </c>
      <c r="P377" s="911">
        <f t="shared" si="11"/>
        <v>46050</v>
      </c>
      <c r="Q377" s="909"/>
      <c r="R377" s="910">
        <v>143436</v>
      </c>
      <c r="S377" s="912">
        <v>-14513</v>
      </c>
      <c r="T377" s="912">
        <v>128923</v>
      </c>
    </row>
    <row r="378" spans="1:20" x14ac:dyDescent="0.25">
      <c r="A378" s="906">
        <v>93911</v>
      </c>
      <c r="B378" s="907" t="s">
        <v>2938</v>
      </c>
      <c r="C378" s="908">
        <v>6.3429999999999997E-4</v>
      </c>
      <c r="D378" s="908">
        <v>6.9890000000000002E-4</v>
      </c>
      <c r="E378" s="909">
        <v>969035</v>
      </c>
      <c r="F378" s="909"/>
      <c r="G378" s="910">
        <v>55825</v>
      </c>
      <c r="H378" s="911">
        <v>235283</v>
      </c>
      <c r="I378" s="910">
        <v>138392</v>
      </c>
      <c r="J378" s="909">
        <v>13175</v>
      </c>
      <c r="K378" s="911">
        <f t="shared" si="10"/>
        <v>442675</v>
      </c>
      <c r="L378" s="909"/>
      <c r="M378" s="910">
        <v>27430</v>
      </c>
      <c r="N378" s="910">
        <v>0</v>
      </c>
      <c r="O378" s="909">
        <v>54353</v>
      </c>
      <c r="P378" s="911">
        <f t="shared" si="11"/>
        <v>81783</v>
      </c>
      <c r="Q378" s="909"/>
      <c r="R378" s="910">
        <v>326566</v>
      </c>
      <c r="S378" s="912">
        <v>-6922</v>
      </c>
      <c r="T378" s="912">
        <v>319644</v>
      </c>
    </row>
    <row r="379" spans="1:20" x14ac:dyDescent="0.25">
      <c r="A379" s="906">
        <v>93913</v>
      </c>
      <c r="B379" s="907" t="s">
        <v>2939</v>
      </c>
      <c r="C379" s="908">
        <v>5.8799999999999999E-5</v>
      </c>
      <c r="D379" s="908">
        <v>6.2600000000000004E-5</v>
      </c>
      <c r="E379" s="909">
        <v>89830</v>
      </c>
      <c r="F379" s="909"/>
      <c r="G379" s="910">
        <v>5175</v>
      </c>
      <c r="H379" s="911">
        <v>21810</v>
      </c>
      <c r="I379" s="910">
        <v>12829</v>
      </c>
      <c r="J379" s="909">
        <v>2902</v>
      </c>
      <c r="K379" s="911">
        <f t="shared" si="10"/>
        <v>42716</v>
      </c>
      <c r="L379" s="909"/>
      <c r="M379" s="910">
        <v>2543</v>
      </c>
      <c r="N379" s="910">
        <v>0</v>
      </c>
      <c r="O379" s="909">
        <v>1064</v>
      </c>
      <c r="P379" s="911">
        <f t="shared" si="11"/>
        <v>3607</v>
      </c>
      <c r="Q379" s="909"/>
      <c r="R379" s="910">
        <v>30273</v>
      </c>
      <c r="S379" s="912">
        <v>476</v>
      </c>
      <c r="T379" s="912">
        <v>30749</v>
      </c>
    </row>
    <row r="380" spans="1:20" x14ac:dyDescent="0.25">
      <c r="A380" s="906">
        <v>93914</v>
      </c>
      <c r="B380" s="907" t="s">
        <v>2940</v>
      </c>
      <c r="C380" s="908">
        <v>8.1000000000000004E-6</v>
      </c>
      <c r="D380" s="908">
        <v>9.0999999999999993E-6</v>
      </c>
      <c r="E380" s="909">
        <v>12375</v>
      </c>
      <c r="F380" s="909"/>
      <c r="G380" s="910">
        <v>713</v>
      </c>
      <c r="H380" s="911">
        <v>3005</v>
      </c>
      <c r="I380" s="910">
        <v>1767</v>
      </c>
      <c r="J380" s="909">
        <v>3568</v>
      </c>
      <c r="K380" s="911">
        <f t="shared" si="10"/>
        <v>9053</v>
      </c>
      <c r="L380" s="909"/>
      <c r="M380" s="910">
        <v>350</v>
      </c>
      <c r="N380" s="910">
        <v>0</v>
      </c>
      <c r="O380" s="909">
        <v>0</v>
      </c>
      <c r="P380" s="911">
        <f t="shared" si="11"/>
        <v>350</v>
      </c>
      <c r="Q380" s="909"/>
      <c r="R380" s="910">
        <v>4170</v>
      </c>
      <c r="S380" s="912">
        <v>1520</v>
      </c>
      <c r="T380" s="912">
        <v>5690</v>
      </c>
    </row>
    <row r="381" spans="1:20" x14ac:dyDescent="0.25">
      <c r="A381" s="906">
        <v>93921</v>
      </c>
      <c r="B381" s="907" t="s">
        <v>2941</v>
      </c>
      <c r="C381" s="908">
        <v>2.9020000000000001E-4</v>
      </c>
      <c r="D381" s="908">
        <v>2.7139999999999998E-4</v>
      </c>
      <c r="E381" s="909">
        <v>443345</v>
      </c>
      <c r="F381" s="909"/>
      <c r="G381" s="910">
        <v>25541</v>
      </c>
      <c r="H381" s="911">
        <v>107645</v>
      </c>
      <c r="I381" s="910">
        <v>63316</v>
      </c>
      <c r="J381" s="909">
        <v>16222</v>
      </c>
      <c r="K381" s="911">
        <f t="shared" si="10"/>
        <v>212724</v>
      </c>
      <c r="L381" s="909"/>
      <c r="M381" s="910">
        <v>12550</v>
      </c>
      <c r="N381" s="910">
        <v>0</v>
      </c>
      <c r="O381" s="909">
        <v>5036</v>
      </c>
      <c r="P381" s="911">
        <f t="shared" si="11"/>
        <v>17586</v>
      </c>
      <c r="Q381" s="909"/>
      <c r="R381" s="910">
        <v>149408</v>
      </c>
      <c r="S381" s="912">
        <v>6326</v>
      </c>
      <c r="T381" s="912">
        <v>155734</v>
      </c>
    </row>
    <row r="382" spans="1:20" x14ac:dyDescent="0.25">
      <c r="A382" s="906">
        <v>93931</v>
      </c>
      <c r="B382" s="907" t="s">
        <v>2942</v>
      </c>
      <c r="C382" s="908">
        <v>5.0029999999999996E-4</v>
      </c>
      <c r="D382" s="908">
        <v>5.2260000000000002E-4</v>
      </c>
      <c r="E382" s="909">
        <v>764320</v>
      </c>
      <c r="F382" s="909"/>
      <c r="G382" s="910">
        <v>44032</v>
      </c>
      <c r="H382" s="911">
        <v>185578</v>
      </c>
      <c r="I382" s="910">
        <v>109155</v>
      </c>
      <c r="J382" s="909">
        <v>107572</v>
      </c>
      <c r="K382" s="911">
        <f t="shared" si="10"/>
        <v>446337</v>
      </c>
      <c r="L382" s="909"/>
      <c r="M382" s="910">
        <v>21635</v>
      </c>
      <c r="N382" s="910">
        <v>0</v>
      </c>
      <c r="O382" s="909">
        <v>39017</v>
      </c>
      <c r="P382" s="911">
        <f t="shared" si="11"/>
        <v>60652</v>
      </c>
      <c r="Q382" s="909"/>
      <c r="R382" s="910">
        <v>257576</v>
      </c>
      <c r="S382" s="912">
        <v>79129</v>
      </c>
      <c r="T382" s="912">
        <v>336705</v>
      </c>
    </row>
    <row r="383" spans="1:20" x14ac:dyDescent="0.25">
      <c r="A383" s="906">
        <v>94001</v>
      </c>
      <c r="B383" s="907" t="s">
        <v>2943</v>
      </c>
      <c r="C383" s="908">
        <v>9.209E-4</v>
      </c>
      <c r="D383" s="908">
        <v>9.0240000000000003E-4</v>
      </c>
      <c r="E383" s="909">
        <v>1406880</v>
      </c>
      <c r="F383" s="909"/>
      <c r="G383" s="910">
        <v>81049</v>
      </c>
      <c r="H383" s="911">
        <v>341592</v>
      </c>
      <c r="I383" s="910">
        <v>200922</v>
      </c>
      <c r="J383" s="909">
        <v>45532</v>
      </c>
      <c r="K383" s="911">
        <f t="shared" si="10"/>
        <v>669095</v>
      </c>
      <c r="L383" s="909"/>
      <c r="M383" s="910">
        <v>39824</v>
      </c>
      <c r="N383" s="910">
        <v>0</v>
      </c>
      <c r="O383" s="909">
        <v>27168</v>
      </c>
      <c r="P383" s="911">
        <f t="shared" si="11"/>
        <v>66992</v>
      </c>
      <c r="Q383" s="909"/>
      <c r="R383" s="910">
        <v>474120</v>
      </c>
      <c r="S383" s="912">
        <v>-12411</v>
      </c>
      <c r="T383" s="912">
        <v>461709</v>
      </c>
    </row>
    <row r="384" spans="1:20" x14ac:dyDescent="0.25">
      <c r="A384" s="906">
        <v>94002</v>
      </c>
      <c r="B384" s="907" t="s">
        <v>2944</v>
      </c>
      <c r="C384" s="908">
        <v>7.0999999999999998E-6</v>
      </c>
      <c r="D384" s="908">
        <v>7.6000000000000001E-6</v>
      </c>
      <c r="E384" s="909">
        <v>10847</v>
      </c>
      <c r="F384" s="909"/>
      <c r="G384" s="910">
        <v>625</v>
      </c>
      <c r="H384" s="911">
        <v>2633</v>
      </c>
      <c r="I384" s="910">
        <v>1549</v>
      </c>
      <c r="J384" s="909">
        <v>1428</v>
      </c>
      <c r="K384" s="911">
        <f t="shared" si="10"/>
        <v>6235</v>
      </c>
      <c r="L384" s="909"/>
      <c r="M384" s="910">
        <v>307</v>
      </c>
      <c r="N384" s="910">
        <v>0</v>
      </c>
      <c r="O384" s="909">
        <v>214</v>
      </c>
      <c r="P384" s="911">
        <f t="shared" si="11"/>
        <v>521</v>
      </c>
      <c r="Q384" s="909"/>
      <c r="R384" s="910">
        <v>3655</v>
      </c>
      <c r="S384" s="912">
        <v>237</v>
      </c>
      <c r="T384" s="912">
        <v>3892</v>
      </c>
    </row>
    <row r="385" spans="1:20" x14ac:dyDescent="0.25">
      <c r="A385" s="906">
        <v>94004</v>
      </c>
      <c r="B385" s="907" t="s">
        <v>2945</v>
      </c>
      <c r="C385" s="908">
        <v>7.3000000000000004E-6</v>
      </c>
      <c r="D385" s="908">
        <v>2.7999999999999999E-6</v>
      </c>
      <c r="E385" s="909">
        <v>11152</v>
      </c>
      <c r="F385" s="909"/>
      <c r="G385" s="910">
        <v>642</v>
      </c>
      <c r="H385" s="911">
        <v>2708</v>
      </c>
      <c r="I385" s="910">
        <v>1593</v>
      </c>
      <c r="J385" s="909">
        <v>4768</v>
      </c>
      <c r="K385" s="911">
        <f t="shared" si="10"/>
        <v>9711</v>
      </c>
      <c r="L385" s="909"/>
      <c r="M385" s="910">
        <v>316</v>
      </c>
      <c r="N385" s="910">
        <v>0</v>
      </c>
      <c r="O385" s="909">
        <v>626</v>
      </c>
      <c r="P385" s="911">
        <f t="shared" si="11"/>
        <v>942</v>
      </c>
      <c r="Q385" s="909"/>
      <c r="R385" s="910">
        <v>3758</v>
      </c>
      <c r="S385" s="912">
        <v>706</v>
      </c>
      <c r="T385" s="912">
        <v>4464</v>
      </c>
    </row>
    <row r="386" spans="1:20" x14ac:dyDescent="0.25">
      <c r="A386" s="906">
        <v>94005</v>
      </c>
      <c r="B386" s="907" t="s">
        <v>2946</v>
      </c>
      <c r="C386" s="908">
        <v>0</v>
      </c>
      <c r="D386" s="908">
        <v>5.4999999999999999E-6</v>
      </c>
      <c r="E386" s="909">
        <v>0</v>
      </c>
      <c r="F386" s="909"/>
      <c r="G386" s="910">
        <v>0</v>
      </c>
      <c r="H386" s="911">
        <v>0</v>
      </c>
      <c r="I386" s="910">
        <v>0</v>
      </c>
      <c r="J386" s="909">
        <v>0</v>
      </c>
      <c r="K386" s="911">
        <f t="shared" si="10"/>
        <v>0</v>
      </c>
      <c r="L386" s="909"/>
      <c r="M386" s="910">
        <v>0</v>
      </c>
      <c r="N386" s="910">
        <v>0</v>
      </c>
      <c r="O386" s="909">
        <v>5864</v>
      </c>
      <c r="P386" s="911">
        <f t="shared" si="11"/>
        <v>5864</v>
      </c>
      <c r="Q386" s="909"/>
      <c r="R386" s="910">
        <v>0</v>
      </c>
      <c r="S386" s="912">
        <v>-1984</v>
      </c>
      <c r="T386" s="912">
        <v>-1984</v>
      </c>
    </row>
    <row r="387" spans="1:20" x14ac:dyDescent="0.25">
      <c r="A387" s="906">
        <v>94011</v>
      </c>
      <c r="B387" s="907" t="s">
        <v>2947</v>
      </c>
      <c r="C387" s="908">
        <v>2.3600000000000001E-5</v>
      </c>
      <c r="D387" s="908">
        <v>2.5599999999999999E-5</v>
      </c>
      <c r="E387" s="909">
        <v>36054</v>
      </c>
      <c r="F387" s="909"/>
      <c r="G387" s="910">
        <v>2077</v>
      </c>
      <c r="H387" s="911">
        <v>8754</v>
      </c>
      <c r="I387" s="910">
        <v>5149</v>
      </c>
      <c r="J387" s="909">
        <v>3216</v>
      </c>
      <c r="K387" s="911">
        <f t="shared" si="10"/>
        <v>19196</v>
      </c>
      <c r="L387" s="909"/>
      <c r="M387" s="910">
        <v>1021</v>
      </c>
      <c r="N387" s="910">
        <v>0</v>
      </c>
      <c r="O387" s="909">
        <v>3156</v>
      </c>
      <c r="P387" s="911">
        <f t="shared" si="11"/>
        <v>4177</v>
      </c>
      <c r="Q387" s="909"/>
      <c r="R387" s="910">
        <v>12150</v>
      </c>
      <c r="S387" s="912">
        <v>-16</v>
      </c>
      <c r="T387" s="912">
        <v>12134</v>
      </c>
    </row>
    <row r="388" spans="1:20" x14ac:dyDescent="0.25">
      <c r="A388" s="906">
        <v>94021</v>
      </c>
      <c r="B388" s="907" t="s">
        <v>2948</v>
      </c>
      <c r="C388" s="908">
        <v>9.3399999999999993E-5</v>
      </c>
      <c r="D388" s="908">
        <v>8.1699999999999994E-5</v>
      </c>
      <c r="E388" s="909">
        <v>142689</v>
      </c>
      <c r="F388" s="909"/>
      <c r="G388" s="910">
        <v>8220</v>
      </c>
      <c r="H388" s="911">
        <v>34645</v>
      </c>
      <c r="I388" s="910">
        <v>20378</v>
      </c>
      <c r="J388" s="909">
        <v>20025</v>
      </c>
      <c r="K388" s="911">
        <f t="shared" si="10"/>
        <v>83268</v>
      </c>
      <c r="L388" s="909"/>
      <c r="M388" s="910">
        <v>4039</v>
      </c>
      <c r="N388" s="910">
        <v>0</v>
      </c>
      <c r="O388" s="909">
        <v>0</v>
      </c>
      <c r="P388" s="911">
        <f t="shared" si="11"/>
        <v>4039</v>
      </c>
      <c r="Q388" s="909"/>
      <c r="R388" s="910">
        <v>48086</v>
      </c>
      <c r="S388" s="912">
        <v>8567</v>
      </c>
      <c r="T388" s="912">
        <v>56653</v>
      </c>
    </row>
    <row r="389" spans="1:20" x14ac:dyDescent="0.25">
      <c r="A389" s="906">
        <v>94031</v>
      </c>
      <c r="B389" s="907" t="s">
        <v>2949</v>
      </c>
      <c r="C389" s="908">
        <v>5.4E-6</v>
      </c>
      <c r="D389" s="908">
        <v>8.1000000000000004E-6</v>
      </c>
      <c r="E389" s="909">
        <v>8250</v>
      </c>
      <c r="F389" s="909"/>
      <c r="G389" s="910">
        <v>475</v>
      </c>
      <c r="H389" s="911">
        <v>2003</v>
      </c>
      <c r="I389" s="910">
        <v>1178</v>
      </c>
      <c r="J389" s="909">
        <v>7232</v>
      </c>
      <c r="K389" s="911">
        <f t="shared" si="10"/>
        <v>10888</v>
      </c>
      <c r="L389" s="909"/>
      <c r="M389" s="910">
        <v>234</v>
      </c>
      <c r="N389" s="910">
        <v>0</v>
      </c>
      <c r="O389" s="909">
        <v>41</v>
      </c>
      <c r="P389" s="911">
        <f t="shared" si="11"/>
        <v>275</v>
      </c>
      <c r="Q389" s="909"/>
      <c r="R389" s="910">
        <v>2780</v>
      </c>
      <c r="S389" s="912">
        <v>2829</v>
      </c>
      <c r="T389" s="912">
        <v>5609</v>
      </c>
    </row>
    <row r="390" spans="1:20" x14ac:dyDescent="0.25">
      <c r="A390" s="906">
        <v>94101</v>
      </c>
      <c r="B390" s="907" t="s">
        <v>2950</v>
      </c>
      <c r="C390" s="908">
        <v>1.8321799999999999E-2</v>
      </c>
      <c r="D390" s="908">
        <v>1.85028E-2</v>
      </c>
      <c r="E390" s="909">
        <v>27990635</v>
      </c>
      <c r="F390" s="909"/>
      <c r="G390" s="910">
        <v>1612520</v>
      </c>
      <c r="H390" s="911">
        <v>6796161</v>
      </c>
      <c r="I390" s="910">
        <v>3997450</v>
      </c>
      <c r="J390" s="909">
        <v>271577</v>
      </c>
      <c r="K390" s="911">
        <f t="shared" si="10"/>
        <v>12677708</v>
      </c>
      <c r="L390" s="909"/>
      <c r="M390" s="910">
        <v>792326</v>
      </c>
      <c r="N390" s="910">
        <v>0</v>
      </c>
      <c r="O390" s="909">
        <v>721969</v>
      </c>
      <c r="P390" s="911">
        <f t="shared" si="11"/>
        <v>1514295</v>
      </c>
      <c r="Q390" s="909"/>
      <c r="R390" s="910">
        <v>9432869</v>
      </c>
      <c r="S390" s="912">
        <v>-270678</v>
      </c>
      <c r="T390" s="912">
        <v>9162191</v>
      </c>
    </row>
    <row r="391" spans="1:20" x14ac:dyDescent="0.25">
      <c r="A391" s="906">
        <v>94102</v>
      </c>
      <c r="B391" s="907" t="s">
        <v>2951</v>
      </c>
      <c r="C391" s="908">
        <v>2.965E-4</v>
      </c>
      <c r="D391" s="908">
        <v>2.7569999999999998E-4</v>
      </c>
      <c r="E391" s="909">
        <v>452970</v>
      </c>
      <c r="F391" s="909"/>
      <c r="G391" s="910">
        <v>26095</v>
      </c>
      <c r="H391" s="911">
        <v>109981</v>
      </c>
      <c r="I391" s="910">
        <v>64690</v>
      </c>
      <c r="J391" s="909">
        <v>2570</v>
      </c>
      <c r="K391" s="911">
        <f t="shared" ref="K391:K454" si="12">G391+H391+I391+J391</f>
        <v>203336</v>
      </c>
      <c r="L391" s="909"/>
      <c r="M391" s="910">
        <v>12822</v>
      </c>
      <c r="N391" s="910">
        <v>0</v>
      </c>
      <c r="O391" s="909">
        <v>36856</v>
      </c>
      <c r="P391" s="911">
        <f t="shared" ref="P391:P454" si="13">M391+N391+O391</f>
        <v>49678</v>
      </c>
      <c r="Q391" s="909"/>
      <c r="R391" s="910">
        <v>152651</v>
      </c>
      <c r="S391" s="912">
        <v>-11311</v>
      </c>
      <c r="T391" s="912">
        <v>141340</v>
      </c>
    </row>
    <row r="392" spans="1:20" x14ac:dyDescent="0.25">
      <c r="A392" s="906">
        <v>94108</v>
      </c>
      <c r="B392" s="907" t="s">
        <v>2952</v>
      </c>
      <c r="C392" s="908">
        <v>3.1389999999999999E-4</v>
      </c>
      <c r="D392" s="908">
        <v>3.1809999999999998E-4</v>
      </c>
      <c r="E392" s="909">
        <v>479552</v>
      </c>
      <c r="F392" s="909"/>
      <c r="G392" s="910">
        <v>27627</v>
      </c>
      <c r="H392" s="911">
        <v>116436</v>
      </c>
      <c r="I392" s="910">
        <v>68487</v>
      </c>
      <c r="J392" s="909">
        <v>0</v>
      </c>
      <c r="K392" s="911">
        <f t="shared" si="12"/>
        <v>212550</v>
      </c>
      <c r="L392" s="909"/>
      <c r="M392" s="910">
        <v>13575</v>
      </c>
      <c r="N392" s="910">
        <v>0</v>
      </c>
      <c r="O392" s="909">
        <v>108607</v>
      </c>
      <c r="P392" s="911">
        <f t="shared" si="13"/>
        <v>122182</v>
      </c>
      <c r="Q392" s="909"/>
      <c r="R392" s="910">
        <v>161610</v>
      </c>
      <c r="S392" s="912">
        <v>-47459</v>
      </c>
      <c r="T392" s="912">
        <v>114151</v>
      </c>
    </row>
    <row r="393" spans="1:20" x14ac:dyDescent="0.25">
      <c r="A393" s="906">
        <v>94109</v>
      </c>
      <c r="B393" s="907" t="s">
        <v>2953</v>
      </c>
      <c r="C393" s="908">
        <v>9.09E-5</v>
      </c>
      <c r="D393" s="908">
        <v>1.0399999999999999E-4</v>
      </c>
      <c r="E393" s="909">
        <v>138870</v>
      </c>
      <c r="F393" s="909"/>
      <c r="G393" s="910">
        <v>8000</v>
      </c>
      <c r="H393" s="911">
        <v>33718</v>
      </c>
      <c r="I393" s="910">
        <v>19833</v>
      </c>
      <c r="J393" s="909">
        <v>796</v>
      </c>
      <c r="K393" s="911">
        <f t="shared" si="12"/>
        <v>62347</v>
      </c>
      <c r="L393" s="909"/>
      <c r="M393" s="910">
        <v>3931</v>
      </c>
      <c r="N393" s="910">
        <v>0</v>
      </c>
      <c r="O393" s="909">
        <v>41294</v>
      </c>
      <c r="P393" s="911">
        <f t="shared" si="13"/>
        <v>45225</v>
      </c>
      <c r="Q393" s="909"/>
      <c r="R393" s="910">
        <v>46799</v>
      </c>
      <c r="S393" s="912">
        <v>-12890</v>
      </c>
      <c r="T393" s="912">
        <v>33909</v>
      </c>
    </row>
    <row r="394" spans="1:20" x14ac:dyDescent="0.25">
      <c r="A394" s="906">
        <v>94111</v>
      </c>
      <c r="B394" s="907" t="s">
        <v>2954</v>
      </c>
      <c r="C394" s="908">
        <v>2.5682300000000002E-2</v>
      </c>
      <c r="D394" s="908">
        <v>2.5623300000000002E-2</v>
      </c>
      <c r="E394" s="909">
        <v>39235440</v>
      </c>
      <c r="F394" s="909"/>
      <c r="G394" s="910">
        <v>2260325</v>
      </c>
      <c r="H394" s="911">
        <v>9526412</v>
      </c>
      <c r="I394" s="910">
        <v>5603364</v>
      </c>
      <c r="J394" s="909">
        <v>7528</v>
      </c>
      <c r="K394" s="911">
        <f t="shared" si="12"/>
        <v>17397629</v>
      </c>
      <c r="L394" s="909"/>
      <c r="M394" s="910">
        <v>1110631</v>
      </c>
      <c r="N394" s="910">
        <v>0</v>
      </c>
      <c r="O394" s="909">
        <v>1491627</v>
      </c>
      <c r="P394" s="911">
        <f t="shared" si="13"/>
        <v>2602258</v>
      </c>
      <c r="Q394" s="909"/>
      <c r="R394" s="910">
        <v>13222378</v>
      </c>
      <c r="S394" s="912">
        <v>-524586</v>
      </c>
      <c r="T394" s="912">
        <v>12697792</v>
      </c>
    </row>
    <row r="395" spans="1:20" x14ac:dyDescent="0.25">
      <c r="A395" s="906">
        <v>94112</v>
      </c>
      <c r="B395" s="907" t="s">
        <v>2955</v>
      </c>
      <c r="C395" s="908">
        <v>1.6699999999999999E-4</v>
      </c>
      <c r="D395" s="908">
        <v>1.6530000000000001E-4</v>
      </c>
      <c r="E395" s="909">
        <v>255130</v>
      </c>
      <c r="F395" s="909"/>
      <c r="G395" s="910">
        <v>14698</v>
      </c>
      <c r="H395" s="911">
        <v>61946</v>
      </c>
      <c r="I395" s="910">
        <v>36436</v>
      </c>
      <c r="J395" s="909">
        <v>0</v>
      </c>
      <c r="K395" s="911">
        <f t="shared" si="12"/>
        <v>113080</v>
      </c>
      <c r="L395" s="909"/>
      <c r="M395" s="910">
        <v>7222</v>
      </c>
      <c r="N395" s="910">
        <v>0</v>
      </c>
      <c r="O395" s="909">
        <v>18973</v>
      </c>
      <c r="P395" s="911">
        <f t="shared" si="13"/>
        <v>26195</v>
      </c>
      <c r="Q395" s="909"/>
      <c r="R395" s="910">
        <v>85979</v>
      </c>
      <c r="S395" s="912">
        <v>-8534</v>
      </c>
      <c r="T395" s="912">
        <v>77445</v>
      </c>
    </row>
    <row r="396" spans="1:20" x14ac:dyDescent="0.25">
      <c r="A396" s="906">
        <v>94117</v>
      </c>
      <c r="B396" s="907" t="s">
        <v>2956</v>
      </c>
      <c r="C396" s="908">
        <v>3.9809999999999997E-4</v>
      </c>
      <c r="D396" s="908">
        <v>4.0709999999999997E-4</v>
      </c>
      <c r="E396" s="909">
        <v>608187</v>
      </c>
      <c r="F396" s="909"/>
      <c r="G396" s="910">
        <v>35037</v>
      </c>
      <c r="H396" s="911">
        <v>147669</v>
      </c>
      <c r="I396" s="910">
        <v>86857</v>
      </c>
      <c r="J396" s="909">
        <v>8133</v>
      </c>
      <c r="K396" s="911">
        <f t="shared" si="12"/>
        <v>277696</v>
      </c>
      <c r="L396" s="909"/>
      <c r="M396" s="910">
        <v>17216</v>
      </c>
      <c r="N396" s="910">
        <v>0</v>
      </c>
      <c r="O396" s="909">
        <v>15587</v>
      </c>
      <c r="P396" s="911">
        <f t="shared" si="13"/>
        <v>32803</v>
      </c>
      <c r="Q396" s="909"/>
      <c r="R396" s="910">
        <v>204959</v>
      </c>
      <c r="S396" s="912">
        <v>-79</v>
      </c>
      <c r="T396" s="912">
        <v>204880</v>
      </c>
    </row>
    <row r="397" spans="1:20" x14ac:dyDescent="0.25">
      <c r="A397" s="906">
        <v>94118</v>
      </c>
      <c r="B397" s="907" t="s">
        <v>2957</v>
      </c>
      <c r="C397" s="908">
        <v>1.494E-4</v>
      </c>
      <c r="D397" s="908">
        <v>1.63E-4</v>
      </c>
      <c r="E397" s="909">
        <v>228242</v>
      </c>
      <c r="F397" s="909"/>
      <c r="G397" s="910">
        <v>13149</v>
      </c>
      <c r="H397" s="911">
        <v>55417</v>
      </c>
      <c r="I397" s="910">
        <v>32596</v>
      </c>
      <c r="J397" s="909">
        <v>0</v>
      </c>
      <c r="K397" s="911">
        <f t="shared" si="12"/>
        <v>101162</v>
      </c>
      <c r="L397" s="909"/>
      <c r="M397" s="910">
        <v>6461</v>
      </c>
      <c r="N397" s="910">
        <v>0</v>
      </c>
      <c r="O397" s="909">
        <v>56599</v>
      </c>
      <c r="P397" s="911">
        <f t="shared" si="13"/>
        <v>63060</v>
      </c>
      <c r="Q397" s="909"/>
      <c r="R397" s="910">
        <v>76918</v>
      </c>
      <c r="S397" s="912">
        <v>-24768</v>
      </c>
      <c r="T397" s="912">
        <v>52150</v>
      </c>
    </row>
    <row r="398" spans="1:20" x14ac:dyDescent="0.25">
      <c r="A398" s="906">
        <v>94121</v>
      </c>
      <c r="B398" s="907" t="s">
        <v>2958</v>
      </c>
      <c r="C398" s="908">
        <v>1.1246000000000001E-2</v>
      </c>
      <c r="D398" s="908">
        <v>1.12823E-2</v>
      </c>
      <c r="E398" s="909">
        <v>17180773</v>
      </c>
      <c r="F398" s="909"/>
      <c r="G398" s="910">
        <v>989772</v>
      </c>
      <c r="H398" s="911">
        <v>4171512</v>
      </c>
      <c r="I398" s="910">
        <v>2453652</v>
      </c>
      <c r="J398" s="909">
        <v>65556</v>
      </c>
      <c r="K398" s="911">
        <f t="shared" si="12"/>
        <v>7680492</v>
      </c>
      <c r="L398" s="909"/>
      <c r="M398" s="910">
        <v>486333</v>
      </c>
      <c r="N398" s="910">
        <v>0</v>
      </c>
      <c r="O398" s="909">
        <v>276825</v>
      </c>
      <c r="P398" s="911">
        <f t="shared" si="13"/>
        <v>763158</v>
      </c>
      <c r="Q398" s="909"/>
      <c r="R398" s="910">
        <v>5789936</v>
      </c>
      <c r="S398" s="912">
        <v>-128084</v>
      </c>
      <c r="T398" s="912">
        <v>5661852</v>
      </c>
    </row>
    <row r="399" spans="1:20" x14ac:dyDescent="0.25">
      <c r="A399" s="906">
        <v>94127</v>
      </c>
      <c r="B399" s="907" t="s">
        <v>2959</v>
      </c>
      <c r="C399" s="908">
        <v>1.7310000000000001E-4</v>
      </c>
      <c r="D399" s="908">
        <v>1.528E-4</v>
      </c>
      <c r="E399" s="909">
        <v>264449</v>
      </c>
      <c r="F399" s="909"/>
      <c r="G399" s="910">
        <v>15235</v>
      </c>
      <c r="H399" s="911">
        <v>64208</v>
      </c>
      <c r="I399" s="910">
        <v>37767</v>
      </c>
      <c r="J399" s="909">
        <v>8697</v>
      </c>
      <c r="K399" s="911">
        <f t="shared" si="12"/>
        <v>125907</v>
      </c>
      <c r="L399" s="909"/>
      <c r="M399" s="910">
        <v>7486</v>
      </c>
      <c r="N399" s="910">
        <v>0</v>
      </c>
      <c r="O399" s="909">
        <v>398</v>
      </c>
      <c r="P399" s="911">
        <f t="shared" si="13"/>
        <v>7884</v>
      </c>
      <c r="Q399" s="909"/>
      <c r="R399" s="910">
        <v>89119</v>
      </c>
      <c r="S399" s="912">
        <v>2605</v>
      </c>
      <c r="T399" s="912">
        <v>91724</v>
      </c>
    </row>
    <row r="400" spans="1:20" x14ac:dyDescent="0.25">
      <c r="A400" s="906">
        <v>94131</v>
      </c>
      <c r="B400" s="907" t="s">
        <v>2960</v>
      </c>
      <c r="C400" s="908">
        <v>1.7479999999999999E-4</v>
      </c>
      <c r="D400" s="908">
        <v>2.0049999999999999E-4</v>
      </c>
      <c r="E400" s="909">
        <v>267046</v>
      </c>
      <c r="F400" s="909"/>
      <c r="G400" s="910">
        <v>15384</v>
      </c>
      <c r="H400" s="911">
        <v>64840</v>
      </c>
      <c r="I400" s="910">
        <v>38138</v>
      </c>
      <c r="J400" s="909">
        <v>3004</v>
      </c>
      <c r="K400" s="911">
        <f t="shared" si="12"/>
        <v>121366</v>
      </c>
      <c r="L400" s="909"/>
      <c r="M400" s="910">
        <v>7559</v>
      </c>
      <c r="N400" s="910">
        <v>0</v>
      </c>
      <c r="O400" s="909">
        <v>9062</v>
      </c>
      <c r="P400" s="911">
        <f t="shared" si="13"/>
        <v>16621</v>
      </c>
      <c r="Q400" s="909"/>
      <c r="R400" s="910">
        <v>89995</v>
      </c>
      <c r="S400" s="912">
        <v>-1148</v>
      </c>
      <c r="T400" s="912">
        <v>88847</v>
      </c>
    </row>
    <row r="401" spans="1:20" x14ac:dyDescent="0.25">
      <c r="A401" s="906">
        <v>94151</v>
      </c>
      <c r="B401" s="907" t="s">
        <v>2961</v>
      </c>
      <c r="C401" s="908">
        <v>4.1590000000000003E-4</v>
      </c>
      <c r="D401" s="908">
        <v>4.2870000000000001E-4</v>
      </c>
      <c r="E401" s="909">
        <v>635380</v>
      </c>
      <c r="F401" s="909"/>
      <c r="G401" s="910">
        <v>36604</v>
      </c>
      <c r="H401" s="911">
        <v>154271</v>
      </c>
      <c r="I401" s="910">
        <v>90741</v>
      </c>
      <c r="J401" s="909">
        <v>0</v>
      </c>
      <c r="K401" s="911">
        <f t="shared" si="12"/>
        <v>281616</v>
      </c>
      <c r="L401" s="909"/>
      <c r="M401" s="910">
        <v>17986</v>
      </c>
      <c r="N401" s="910">
        <v>0</v>
      </c>
      <c r="O401" s="909">
        <v>36672</v>
      </c>
      <c r="P401" s="911">
        <f t="shared" si="13"/>
        <v>54658</v>
      </c>
      <c r="Q401" s="909"/>
      <c r="R401" s="910">
        <v>214124</v>
      </c>
      <c r="S401" s="912">
        <v>-12878</v>
      </c>
      <c r="T401" s="912">
        <v>201246</v>
      </c>
    </row>
    <row r="402" spans="1:20" x14ac:dyDescent="0.25">
      <c r="A402" s="906">
        <v>94157</v>
      </c>
      <c r="B402" s="907" t="s">
        <v>2962</v>
      </c>
      <c r="C402" s="908">
        <v>8.8999999999999995E-6</v>
      </c>
      <c r="D402" s="908">
        <v>9.3999999999999998E-6</v>
      </c>
      <c r="E402" s="909">
        <v>13597</v>
      </c>
      <c r="F402" s="909"/>
      <c r="G402" s="910">
        <v>783</v>
      </c>
      <c r="H402" s="911">
        <v>3302</v>
      </c>
      <c r="I402" s="910">
        <v>1942</v>
      </c>
      <c r="J402" s="909">
        <v>3748</v>
      </c>
      <c r="K402" s="911">
        <f t="shared" si="12"/>
        <v>9775</v>
      </c>
      <c r="L402" s="909"/>
      <c r="M402" s="910">
        <v>385</v>
      </c>
      <c r="N402" s="910">
        <v>0</v>
      </c>
      <c r="O402" s="909">
        <v>0</v>
      </c>
      <c r="P402" s="911">
        <f t="shared" si="13"/>
        <v>385</v>
      </c>
      <c r="Q402" s="909"/>
      <c r="R402" s="910">
        <v>4582</v>
      </c>
      <c r="S402" s="912">
        <v>2084</v>
      </c>
      <c r="T402" s="912">
        <v>6666</v>
      </c>
    </row>
    <row r="403" spans="1:20" x14ac:dyDescent="0.25">
      <c r="A403" s="906">
        <v>94161</v>
      </c>
      <c r="B403" s="907" t="s">
        <v>2963</v>
      </c>
      <c r="C403" s="908">
        <v>5.1900000000000001E-5</v>
      </c>
      <c r="D403" s="908">
        <v>5.7899999999999998E-5</v>
      </c>
      <c r="E403" s="909">
        <v>79289</v>
      </c>
      <c r="F403" s="909"/>
      <c r="G403" s="910">
        <v>4568</v>
      </c>
      <c r="H403" s="911">
        <v>19252</v>
      </c>
      <c r="I403" s="910">
        <v>11324</v>
      </c>
      <c r="J403" s="909">
        <v>5455</v>
      </c>
      <c r="K403" s="911">
        <f t="shared" si="12"/>
        <v>40599</v>
      </c>
      <c r="L403" s="909"/>
      <c r="M403" s="910">
        <v>2244</v>
      </c>
      <c r="N403" s="910">
        <v>0</v>
      </c>
      <c r="O403" s="909">
        <v>3144</v>
      </c>
      <c r="P403" s="911">
        <f t="shared" si="13"/>
        <v>5388</v>
      </c>
      <c r="Q403" s="909"/>
      <c r="R403" s="910">
        <v>26720</v>
      </c>
      <c r="S403" s="912">
        <v>2302</v>
      </c>
      <c r="T403" s="912">
        <v>29022</v>
      </c>
    </row>
    <row r="404" spans="1:20" x14ac:dyDescent="0.25">
      <c r="A404" s="906">
        <v>94168</v>
      </c>
      <c r="B404" s="907" t="s">
        <v>2964</v>
      </c>
      <c r="C404" s="908">
        <v>2.5899999999999999E-5</v>
      </c>
      <c r="D404" s="908">
        <v>3.4E-5</v>
      </c>
      <c r="E404" s="909">
        <v>39568</v>
      </c>
      <c r="F404" s="909"/>
      <c r="G404" s="910">
        <v>2279</v>
      </c>
      <c r="H404" s="911">
        <v>9607</v>
      </c>
      <c r="I404" s="910">
        <v>5651</v>
      </c>
      <c r="J404" s="909">
        <v>0</v>
      </c>
      <c r="K404" s="911">
        <f t="shared" si="12"/>
        <v>17537</v>
      </c>
      <c r="L404" s="909"/>
      <c r="M404" s="910">
        <v>1120</v>
      </c>
      <c r="N404" s="910">
        <v>0</v>
      </c>
      <c r="O404" s="909">
        <v>11664</v>
      </c>
      <c r="P404" s="911">
        <f t="shared" si="13"/>
        <v>12784</v>
      </c>
      <c r="Q404" s="909"/>
      <c r="R404" s="910">
        <v>13334</v>
      </c>
      <c r="S404" s="912">
        <v>-5442</v>
      </c>
      <c r="T404" s="912">
        <v>7892</v>
      </c>
    </row>
    <row r="405" spans="1:20" x14ac:dyDescent="0.25">
      <c r="A405" s="906">
        <v>94171</v>
      </c>
      <c r="B405" s="907" t="s">
        <v>2965</v>
      </c>
      <c r="C405" s="908">
        <v>6.9800000000000003E-5</v>
      </c>
      <c r="D405" s="908">
        <v>5.5000000000000002E-5</v>
      </c>
      <c r="E405" s="909">
        <v>106635</v>
      </c>
      <c r="F405" s="909"/>
      <c r="G405" s="910">
        <v>6143</v>
      </c>
      <c r="H405" s="911">
        <v>25891</v>
      </c>
      <c r="I405" s="910">
        <v>15229</v>
      </c>
      <c r="J405" s="909">
        <v>10026</v>
      </c>
      <c r="K405" s="911">
        <f t="shared" si="12"/>
        <v>57289</v>
      </c>
      <c r="L405" s="909"/>
      <c r="M405" s="910">
        <v>3019</v>
      </c>
      <c r="N405" s="910">
        <v>0</v>
      </c>
      <c r="O405" s="909">
        <v>862</v>
      </c>
      <c r="P405" s="911">
        <f t="shared" si="13"/>
        <v>3881</v>
      </c>
      <c r="Q405" s="909"/>
      <c r="R405" s="910">
        <v>35936</v>
      </c>
      <c r="S405" s="912">
        <v>2780</v>
      </c>
      <c r="T405" s="912">
        <v>38716</v>
      </c>
    </row>
    <row r="406" spans="1:20" x14ac:dyDescent="0.25">
      <c r="A406" s="906">
        <v>94172</v>
      </c>
      <c r="B406" s="907" t="s">
        <v>2966</v>
      </c>
      <c r="C406" s="908">
        <v>2.6289999999999999E-4</v>
      </c>
      <c r="D406" s="908">
        <v>2.6699999999999998E-4</v>
      </c>
      <c r="E406" s="909">
        <v>401638</v>
      </c>
      <c r="F406" s="909"/>
      <c r="G406" s="910">
        <v>23138</v>
      </c>
      <c r="H406" s="911">
        <v>97518</v>
      </c>
      <c r="I406" s="910">
        <v>57360</v>
      </c>
      <c r="J406" s="909">
        <v>0</v>
      </c>
      <c r="K406" s="911">
        <f t="shared" si="12"/>
        <v>178016</v>
      </c>
      <c r="L406" s="909"/>
      <c r="M406" s="910">
        <v>11369</v>
      </c>
      <c r="N406" s="910">
        <v>0</v>
      </c>
      <c r="O406" s="909">
        <v>90059</v>
      </c>
      <c r="P406" s="911">
        <f t="shared" si="13"/>
        <v>101428</v>
      </c>
      <c r="Q406" s="909"/>
      <c r="R406" s="910">
        <v>135352</v>
      </c>
      <c r="S406" s="912">
        <v>-41178</v>
      </c>
      <c r="T406" s="912">
        <v>94174</v>
      </c>
    </row>
    <row r="407" spans="1:20" x14ac:dyDescent="0.25">
      <c r="A407" s="906">
        <v>94201</v>
      </c>
      <c r="B407" s="907" t="s">
        <v>2967</v>
      </c>
      <c r="C407" s="908">
        <v>3.3658999999999998E-3</v>
      </c>
      <c r="D407" s="908">
        <v>3.4813000000000001E-3</v>
      </c>
      <c r="E407" s="909">
        <v>5142163</v>
      </c>
      <c r="F407" s="909"/>
      <c r="G407" s="910">
        <v>296236</v>
      </c>
      <c r="H407" s="911">
        <v>1248524</v>
      </c>
      <c r="I407" s="910">
        <v>734372</v>
      </c>
      <c r="J407" s="909">
        <v>37947</v>
      </c>
      <c r="K407" s="911">
        <f t="shared" si="12"/>
        <v>2317079</v>
      </c>
      <c r="L407" s="909"/>
      <c r="M407" s="910">
        <v>145558</v>
      </c>
      <c r="N407" s="910">
        <v>0</v>
      </c>
      <c r="O407" s="909">
        <v>70514</v>
      </c>
      <c r="P407" s="911">
        <f t="shared" si="13"/>
        <v>216072</v>
      </c>
      <c r="Q407" s="909"/>
      <c r="R407" s="910">
        <v>1732913</v>
      </c>
      <c r="S407" s="912">
        <v>-942</v>
      </c>
      <c r="T407" s="912">
        <v>1731971</v>
      </c>
    </row>
    <row r="408" spans="1:20" x14ac:dyDescent="0.25">
      <c r="A408" s="906">
        <v>94204</v>
      </c>
      <c r="B408" s="907" t="s">
        <v>2968</v>
      </c>
      <c r="C408" s="908">
        <v>2.5899999999999999E-5</v>
      </c>
      <c r="D408" s="908">
        <v>2.4899999999999999E-5</v>
      </c>
      <c r="E408" s="909">
        <v>39568</v>
      </c>
      <c r="F408" s="909"/>
      <c r="G408" s="910">
        <v>2279</v>
      </c>
      <c r="H408" s="911">
        <v>9607</v>
      </c>
      <c r="I408" s="910">
        <v>5651</v>
      </c>
      <c r="J408" s="909">
        <v>12190</v>
      </c>
      <c r="K408" s="911">
        <f t="shared" si="12"/>
        <v>29727</v>
      </c>
      <c r="L408" s="909"/>
      <c r="M408" s="910">
        <v>1120</v>
      </c>
      <c r="N408" s="910">
        <v>0</v>
      </c>
      <c r="O408" s="909">
        <v>0</v>
      </c>
      <c r="P408" s="911">
        <f t="shared" si="13"/>
        <v>1120</v>
      </c>
      <c r="Q408" s="909"/>
      <c r="R408" s="910">
        <v>13334</v>
      </c>
      <c r="S408" s="912">
        <v>4996</v>
      </c>
      <c r="T408" s="912">
        <v>18330</v>
      </c>
    </row>
    <row r="409" spans="1:20" x14ac:dyDescent="0.25">
      <c r="A409" s="906">
        <v>94205</v>
      </c>
      <c r="B409" s="907" t="s">
        <v>2969</v>
      </c>
      <c r="C409" s="908">
        <v>2.0699999999999998E-5</v>
      </c>
      <c r="D409" s="908">
        <v>2.6100000000000001E-5</v>
      </c>
      <c r="E409" s="909">
        <v>31624</v>
      </c>
      <c r="F409" s="909"/>
      <c r="G409" s="910">
        <v>1822</v>
      </c>
      <c r="H409" s="911">
        <v>7678</v>
      </c>
      <c r="I409" s="910">
        <v>4516</v>
      </c>
      <c r="J409" s="909">
        <v>1652</v>
      </c>
      <c r="K409" s="911">
        <f t="shared" si="12"/>
        <v>15668</v>
      </c>
      <c r="L409" s="909"/>
      <c r="M409" s="910">
        <v>895</v>
      </c>
      <c r="N409" s="910">
        <v>0</v>
      </c>
      <c r="O409" s="909">
        <v>5048</v>
      </c>
      <c r="P409" s="911">
        <f t="shared" si="13"/>
        <v>5943</v>
      </c>
      <c r="Q409" s="909"/>
      <c r="R409" s="910">
        <v>10657</v>
      </c>
      <c r="S409" s="912">
        <v>-3026</v>
      </c>
      <c r="T409" s="912">
        <v>7631</v>
      </c>
    </row>
    <row r="410" spans="1:20" x14ac:dyDescent="0.25">
      <c r="A410" s="906">
        <v>94209</v>
      </c>
      <c r="B410" s="907" t="s">
        <v>2970</v>
      </c>
      <c r="C410" s="908">
        <v>3.4190000000000002E-4</v>
      </c>
      <c r="D410" s="908">
        <v>3.2909999999999998E-4</v>
      </c>
      <c r="E410" s="909">
        <v>522328</v>
      </c>
      <c r="F410" s="909"/>
      <c r="G410" s="910">
        <v>30091</v>
      </c>
      <c r="H410" s="911">
        <v>126822</v>
      </c>
      <c r="I410" s="910">
        <v>74596</v>
      </c>
      <c r="J410" s="909">
        <v>23431</v>
      </c>
      <c r="K410" s="911">
        <f t="shared" si="12"/>
        <v>254940</v>
      </c>
      <c r="L410" s="909"/>
      <c r="M410" s="910">
        <v>14785</v>
      </c>
      <c r="N410" s="910">
        <v>0</v>
      </c>
      <c r="O410" s="909">
        <v>7196</v>
      </c>
      <c r="P410" s="911">
        <f t="shared" si="13"/>
        <v>21981</v>
      </c>
      <c r="Q410" s="909"/>
      <c r="R410" s="910">
        <v>176025</v>
      </c>
      <c r="S410" s="912">
        <v>9128</v>
      </c>
      <c r="T410" s="912">
        <v>185153</v>
      </c>
    </row>
    <row r="411" spans="1:20" x14ac:dyDescent="0.25">
      <c r="A411" s="906">
        <v>94211</v>
      </c>
      <c r="B411" s="907" t="s">
        <v>2971</v>
      </c>
      <c r="C411" s="908">
        <v>1.3660000000000001E-4</v>
      </c>
      <c r="D411" s="908">
        <v>1.2400000000000001E-4</v>
      </c>
      <c r="E411" s="909">
        <v>208687</v>
      </c>
      <c r="F411" s="909"/>
      <c r="G411" s="910">
        <v>12022</v>
      </c>
      <c r="H411" s="911">
        <v>50669</v>
      </c>
      <c r="I411" s="910">
        <v>29803</v>
      </c>
      <c r="J411" s="909">
        <v>7857</v>
      </c>
      <c r="K411" s="911">
        <f t="shared" si="12"/>
        <v>100351</v>
      </c>
      <c r="L411" s="909"/>
      <c r="M411" s="910">
        <v>5907</v>
      </c>
      <c r="N411" s="910">
        <v>0</v>
      </c>
      <c r="O411" s="909">
        <v>17326</v>
      </c>
      <c r="P411" s="911">
        <f t="shared" si="13"/>
        <v>23233</v>
      </c>
      <c r="Q411" s="909"/>
      <c r="R411" s="910">
        <v>70328</v>
      </c>
      <c r="S411" s="912">
        <v>-11553</v>
      </c>
      <c r="T411" s="912">
        <v>58775</v>
      </c>
    </row>
    <row r="412" spans="1:20" x14ac:dyDescent="0.25">
      <c r="A412" s="906">
        <v>94221</v>
      </c>
      <c r="B412" s="907" t="s">
        <v>2972</v>
      </c>
      <c r="C412" s="908">
        <v>1.0436E-3</v>
      </c>
      <c r="D412" s="908">
        <v>1.0705999999999999E-3</v>
      </c>
      <c r="E412" s="909">
        <v>1594332</v>
      </c>
      <c r="F412" s="909"/>
      <c r="G412" s="910">
        <v>91848</v>
      </c>
      <c r="H412" s="911">
        <v>387106</v>
      </c>
      <c r="I412" s="910">
        <v>227693</v>
      </c>
      <c r="J412" s="909">
        <v>63725</v>
      </c>
      <c r="K412" s="911">
        <f t="shared" si="12"/>
        <v>770372</v>
      </c>
      <c r="L412" s="909"/>
      <c r="M412" s="910">
        <v>45130</v>
      </c>
      <c r="N412" s="910">
        <v>0</v>
      </c>
      <c r="O412" s="909">
        <v>120971</v>
      </c>
      <c r="P412" s="911">
        <f t="shared" si="13"/>
        <v>166101</v>
      </c>
      <c r="Q412" s="909"/>
      <c r="R412" s="910">
        <v>537291</v>
      </c>
      <c r="S412" s="912">
        <v>-24799</v>
      </c>
      <c r="T412" s="912">
        <v>512492</v>
      </c>
    </row>
    <row r="413" spans="1:20" x14ac:dyDescent="0.25">
      <c r="A413" s="906">
        <v>94231</v>
      </c>
      <c r="B413" s="907" t="s">
        <v>2973</v>
      </c>
      <c r="C413" s="908">
        <v>2.2609999999999999E-4</v>
      </c>
      <c r="D413" s="908">
        <v>2.1269999999999999E-4</v>
      </c>
      <c r="E413" s="909">
        <v>345418</v>
      </c>
      <c r="F413" s="909"/>
      <c r="G413" s="910">
        <v>19899</v>
      </c>
      <c r="H413" s="911">
        <v>83868</v>
      </c>
      <c r="I413" s="910">
        <v>49330</v>
      </c>
      <c r="J413" s="909">
        <v>8354</v>
      </c>
      <c r="K413" s="911">
        <f t="shared" si="12"/>
        <v>161451</v>
      </c>
      <c r="L413" s="909"/>
      <c r="M413" s="910">
        <v>9778</v>
      </c>
      <c r="N413" s="910">
        <v>0</v>
      </c>
      <c r="O413" s="909">
        <v>6714</v>
      </c>
      <c r="P413" s="911">
        <f t="shared" si="13"/>
        <v>16492</v>
      </c>
      <c r="Q413" s="909"/>
      <c r="R413" s="910">
        <v>116406</v>
      </c>
      <c r="S413" s="912">
        <v>-2799</v>
      </c>
      <c r="T413" s="912">
        <v>113607</v>
      </c>
    </row>
    <row r="414" spans="1:20" x14ac:dyDescent="0.25">
      <c r="A414" s="906">
        <v>94241</v>
      </c>
      <c r="B414" s="907" t="s">
        <v>2974</v>
      </c>
      <c r="C414" s="908">
        <v>1.2669999999999999E-4</v>
      </c>
      <c r="D414" s="908">
        <v>8.4099999999999998E-5</v>
      </c>
      <c r="E414" s="909">
        <v>193563</v>
      </c>
      <c r="F414" s="909"/>
      <c r="G414" s="910">
        <v>11151</v>
      </c>
      <c r="H414" s="911">
        <v>46997</v>
      </c>
      <c r="I414" s="910">
        <v>27643</v>
      </c>
      <c r="J414" s="909">
        <v>26711</v>
      </c>
      <c r="K414" s="911">
        <f t="shared" si="12"/>
        <v>112502</v>
      </c>
      <c r="L414" s="909"/>
      <c r="M414" s="910">
        <v>5479</v>
      </c>
      <c r="N414" s="910">
        <v>0</v>
      </c>
      <c r="O414" s="909">
        <v>856</v>
      </c>
      <c r="P414" s="911">
        <f t="shared" si="13"/>
        <v>6335</v>
      </c>
      <c r="Q414" s="909"/>
      <c r="R414" s="910">
        <v>65231</v>
      </c>
      <c r="S414" s="912">
        <v>6835</v>
      </c>
      <c r="T414" s="912">
        <v>72066</v>
      </c>
    </row>
    <row r="415" spans="1:20" x14ac:dyDescent="0.25">
      <c r="A415" s="906">
        <v>94251</v>
      </c>
      <c r="B415" s="907" t="s">
        <v>2975</v>
      </c>
      <c r="C415" s="908">
        <v>1.95E-5</v>
      </c>
      <c r="D415" s="908">
        <v>1.4E-5</v>
      </c>
      <c r="E415" s="909">
        <v>29791</v>
      </c>
      <c r="F415" s="909"/>
      <c r="G415" s="910">
        <v>1716</v>
      </c>
      <c r="H415" s="911">
        <v>7233</v>
      </c>
      <c r="I415" s="910">
        <v>4255</v>
      </c>
      <c r="J415" s="909">
        <v>3290</v>
      </c>
      <c r="K415" s="911">
        <f t="shared" si="12"/>
        <v>16494</v>
      </c>
      <c r="L415" s="909"/>
      <c r="M415" s="910">
        <v>843</v>
      </c>
      <c r="N415" s="910">
        <v>0</v>
      </c>
      <c r="O415" s="909">
        <v>6508</v>
      </c>
      <c r="P415" s="911">
        <f t="shared" si="13"/>
        <v>7351</v>
      </c>
      <c r="Q415" s="909"/>
      <c r="R415" s="910">
        <v>10039</v>
      </c>
      <c r="S415" s="912">
        <v>-2297</v>
      </c>
      <c r="T415" s="912">
        <v>7742</v>
      </c>
    </row>
    <row r="416" spans="1:20" x14ac:dyDescent="0.25">
      <c r="A416" s="906">
        <v>94261</v>
      </c>
      <c r="B416" s="907" t="s">
        <v>2976</v>
      </c>
      <c r="C416" s="908">
        <v>3.9199999999999997E-5</v>
      </c>
      <c r="D416" s="908">
        <v>2.9499999999999999E-5</v>
      </c>
      <c r="E416" s="909">
        <v>59887</v>
      </c>
      <c r="F416" s="909"/>
      <c r="G416" s="910">
        <v>3450</v>
      </c>
      <c r="H416" s="911">
        <v>14541</v>
      </c>
      <c r="I416" s="910">
        <v>8553</v>
      </c>
      <c r="J416" s="909">
        <v>15518</v>
      </c>
      <c r="K416" s="911">
        <f t="shared" si="12"/>
        <v>42062</v>
      </c>
      <c r="L416" s="909"/>
      <c r="M416" s="910">
        <v>1695</v>
      </c>
      <c r="N416" s="910">
        <v>0</v>
      </c>
      <c r="O416" s="909">
        <v>0</v>
      </c>
      <c r="P416" s="911">
        <f t="shared" si="13"/>
        <v>1695</v>
      </c>
      <c r="Q416" s="909"/>
      <c r="R416" s="910">
        <v>20182</v>
      </c>
      <c r="S416" s="912">
        <v>5508</v>
      </c>
      <c r="T416" s="912">
        <v>25690</v>
      </c>
    </row>
    <row r="417" spans="1:20" x14ac:dyDescent="0.25">
      <c r="A417" s="906">
        <v>94301</v>
      </c>
      <c r="B417" s="907" t="s">
        <v>2977</v>
      </c>
      <c r="C417" s="908">
        <v>6.2988999999999996E-3</v>
      </c>
      <c r="D417" s="908">
        <v>6.0746999999999997E-3</v>
      </c>
      <c r="E417" s="909">
        <v>9622974</v>
      </c>
      <c r="F417" s="909"/>
      <c r="G417" s="910">
        <v>554372</v>
      </c>
      <c r="H417" s="911">
        <v>2336470</v>
      </c>
      <c r="I417" s="910">
        <v>1374294</v>
      </c>
      <c r="J417" s="909">
        <v>85982</v>
      </c>
      <c r="K417" s="911">
        <f t="shared" si="12"/>
        <v>4351118</v>
      </c>
      <c r="L417" s="909"/>
      <c r="M417" s="910">
        <v>272396</v>
      </c>
      <c r="N417" s="910">
        <v>0</v>
      </c>
      <c r="O417" s="909">
        <v>117980</v>
      </c>
      <c r="P417" s="911">
        <f t="shared" si="13"/>
        <v>390376</v>
      </c>
      <c r="Q417" s="909"/>
      <c r="R417" s="910">
        <v>3242951</v>
      </c>
      <c r="S417" s="912">
        <v>-22710</v>
      </c>
      <c r="T417" s="912">
        <v>3220241</v>
      </c>
    </row>
    <row r="418" spans="1:20" x14ac:dyDescent="0.25">
      <c r="A418" s="906">
        <v>94311</v>
      </c>
      <c r="B418" s="907" t="s">
        <v>2978</v>
      </c>
      <c r="C418" s="908">
        <v>7.8540000000000001E-4</v>
      </c>
      <c r="D418" s="908">
        <v>7.4399999999999998E-4</v>
      </c>
      <c r="E418" s="909">
        <v>1199874</v>
      </c>
      <c r="F418" s="909"/>
      <c r="G418" s="910">
        <v>69124</v>
      </c>
      <c r="H418" s="911">
        <v>291331</v>
      </c>
      <c r="I418" s="910">
        <v>171359</v>
      </c>
      <c r="J418" s="909">
        <v>26150</v>
      </c>
      <c r="K418" s="911">
        <f t="shared" si="12"/>
        <v>557964</v>
      </c>
      <c r="L418" s="909"/>
      <c r="M418" s="910">
        <v>33965</v>
      </c>
      <c r="N418" s="910">
        <v>0</v>
      </c>
      <c r="O418" s="909">
        <v>52115</v>
      </c>
      <c r="P418" s="911">
        <f t="shared" si="13"/>
        <v>86080</v>
      </c>
      <c r="Q418" s="909"/>
      <c r="R418" s="910">
        <v>404358</v>
      </c>
      <c r="S418" s="912">
        <v>-13365</v>
      </c>
      <c r="T418" s="912">
        <v>390993</v>
      </c>
    </row>
    <row r="419" spans="1:20" x14ac:dyDescent="0.25">
      <c r="A419" s="906">
        <v>94313</v>
      </c>
      <c r="B419" s="907" t="s">
        <v>2979</v>
      </c>
      <c r="C419" s="908">
        <v>1.8700000000000001E-5</v>
      </c>
      <c r="D419" s="908">
        <v>2.0299999999999999E-5</v>
      </c>
      <c r="E419" s="909">
        <v>28568</v>
      </c>
      <c r="F419" s="909"/>
      <c r="G419" s="910">
        <v>1646</v>
      </c>
      <c r="H419" s="911">
        <v>6936</v>
      </c>
      <c r="I419" s="910">
        <v>4080</v>
      </c>
      <c r="J419" s="909">
        <v>7421</v>
      </c>
      <c r="K419" s="911">
        <f t="shared" si="12"/>
        <v>20083</v>
      </c>
      <c r="L419" s="909"/>
      <c r="M419" s="910">
        <v>809</v>
      </c>
      <c r="N419" s="910">
        <v>0</v>
      </c>
      <c r="O419" s="909">
        <v>0</v>
      </c>
      <c r="P419" s="911">
        <f t="shared" si="13"/>
        <v>809</v>
      </c>
      <c r="Q419" s="909"/>
      <c r="R419" s="910">
        <v>9628</v>
      </c>
      <c r="S419" s="912">
        <v>3124</v>
      </c>
      <c r="T419" s="912">
        <v>12752</v>
      </c>
    </row>
    <row r="420" spans="1:20" x14ac:dyDescent="0.25">
      <c r="A420" s="906">
        <v>94317</v>
      </c>
      <c r="B420" s="907" t="s">
        <v>2980</v>
      </c>
      <c r="C420" s="908">
        <v>1.2E-5</v>
      </c>
      <c r="D420" s="908">
        <v>1.2099999999999999E-5</v>
      </c>
      <c r="E420" s="909">
        <v>18333</v>
      </c>
      <c r="F420" s="909"/>
      <c r="G420" s="910">
        <v>1056</v>
      </c>
      <c r="H420" s="911">
        <v>4451</v>
      </c>
      <c r="I420" s="910">
        <v>2618</v>
      </c>
      <c r="J420" s="909">
        <v>7663</v>
      </c>
      <c r="K420" s="911">
        <f t="shared" si="12"/>
        <v>15788</v>
      </c>
      <c r="L420" s="909"/>
      <c r="M420" s="910">
        <v>519</v>
      </c>
      <c r="N420" s="910">
        <v>0</v>
      </c>
      <c r="O420" s="909">
        <v>0</v>
      </c>
      <c r="P420" s="911">
        <f t="shared" si="13"/>
        <v>519</v>
      </c>
      <c r="Q420" s="909"/>
      <c r="R420" s="910">
        <v>6178</v>
      </c>
      <c r="S420" s="912">
        <v>3130</v>
      </c>
      <c r="T420" s="912">
        <v>9308</v>
      </c>
    </row>
    <row r="421" spans="1:20" x14ac:dyDescent="0.25">
      <c r="A421" s="906">
        <v>94321</v>
      </c>
      <c r="B421" s="907" t="s">
        <v>2981</v>
      </c>
      <c r="C421" s="908">
        <v>2.7760000000000003E-4</v>
      </c>
      <c r="D421" s="908">
        <v>2.7070000000000002E-4</v>
      </c>
      <c r="E421" s="909">
        <v>424096</v>
      </c>
      <c r="F421" s="909"/>
      <c r="G421" s="910">
        <v>24432</v>
      </c>
      <c r="H421" s="911">
        <v>102971</v>
      </c>
      <c r="I421" s="910">
        <v>60567</v>
      </c>
      <c r="J421" s="909">
        <v>1692</v>
      </c>
      <c r="K421" s="911">
        <f t="shared" si="12"/>
        <v>189662</v>
      </c>
      <c r="L421" s="909"/>
      <c r="M421" s="910">
        <v>12005</v>
      </c>
      <c r="N421" s="910">
        <v>0</v>
      </c>
      <c r="O421" s="909">
        <v>19924</v>
      </c>
      <c r="P421" s="911">
        <f t="shared" si="13"/>
        <v>31929</v>
      </c>
      <c r="Q421" s="909"/>
      <c r="R421" s="910">
        <v>142921</v>
      </c>
      <c r="S421" s="912">
        <v>-5646</v>
      </c>
      <c r="T421" s="912">
        <v>137275</v>
      </c>
    </row>
    <row r="422" spans="1:20" x14ac:dyDescent="0.25">
      <c r="A422" s="906">
        <v>94331</v>
      </c>
      <c r="B422" s="907" t="s">
        <v>2982</v>
      </c>
      <c r="C422" s="908">
        <v>1.3569999999999999E-4</v>
      </c>
      <c r="D422" s="908">
        <v>1.517E-4</v>
      </c>
      <c r="E422" s="909">
        <v>207312</v>
      </c>
      <c r="F422" s="909"/>
      <c r="G422" s="910">
        <v>11943</v>
      </c>
      <c r="H422" s="911">
        <v>50336</v>
      </c>
      <c r="I422" s="910">
        <v>29607</v>
      </c>
      <c r="J422" s="909">
        <v>7715</v>
      </c>
      <c r="K422" s="911">
        <f t="shared" si="12"/>
        <v>99601</v>
      </c>
      <c r="L422" s="909"/>
      <c r="M422" s="910">
        <v>5868</v>
      </c>
      <c r="N422" s="910">
        <v>0</v>
      </c>
      <c r="O422" s="909">
        <v>10557</v>
      </c>
      <c r="P422" s="911">
        <f t="shared" si="13"/>
        <v>16425</v>
      </c>
      <c r="Q422" s="909"/>
      <c r="R422" s="910">
        <v>69864</v>
      </c>
      <c r="S422" s="912">
        <v>2981</v>
      </c>
      <c r="T422" s="912">
        <v>72845</v>
      </c>
    </row>
    <row r="423" spans="1:20" x14ac:dyDescent="0.25">
      <c r="A423" s="906">
        <v>94341</v>
      </c>
      <c r="B423" s="907" t="s">
        <v>2983</v>
      </c>
      <c r="C423" s="908">
        <v>9.4699999999999998E-5</v>
      </c>
      <c r="D423" s="908">
        <v>8.1000000000000004E-5</v>
      </c>
      <c r="E423" s="909">
        <v>144675</v>
      </c>
      <c r="F423" s="909"/>
      <c r="G423" s="910">
        <v>8335</v>
      </c>
      <c r="H423" s="911">
        <v>35127</v>
      </c>
      <c r="I423" s="910">
        <v>20662</v>
      </c>
      <c r="J423" s="909">
        <v>5564</v>
      </c>
      <c r="K423" s="911">
        <f t="shared" si="12"/>
        <v>69688</v>
      </c>
      <c r="L423" s="909"/>
      <c r="M423" s="910">
        <v>4095</v>
      </c>
      <c r="N423" s="910">
        <v>0</v>
      </c>
      <c r="O423" s="909">
        <v>5713</v>
      </c>
      <c r="P423" s="911">
        <f t="shared" si="13"/>
        <v>9808</v>
      </c>
      <c r="Q423" s="909"/>
      <c r="R423" s="910">
        <v>48756</v>
      </c>
      <c r="S423" s="912">
        <v>-1783</v>
      </c>
      <c r="T423" s="912">
        <v>46973</v>
      </c>
    </row>
    <row r="424" spans="1:20" x14ac:dyDescent="0.25">
      <c r="A424" s="906">
        <v>94347</v>
      </c>
      <c r="B424" s="907" t="s">
        <v>2984</v>
      </c>
      <c r="C424" s="908">
        <v>1.22E-5</v>
      </c>
      <c r="D424" s="908">
        <v>1.2300000000000001E-5</v>
      </c>
      <c r="E424" s="909">
        <v>18638</v>
      </c>
      <c r="F424" s="909"/>
      <c r="G424" s="910">
        <v>1074</v>
      </c>
      <c r="H424" s="911">
        <v>4526</v>
      </c>
      <c r="I424" s="910">
        <v>2662</v>
      </c>
      <c r="J424" s="909">
        <v>4271</v>
      </c>
      <c r="K424" s="911">
        <f t="shared" si="12"/>
        <v>12533</v>
      </c>
      <c r="L424" s="909"/>
      <c r="M424" s="910">
        <v>528</v>
      </c>
      <c r="N424" s="910">
        <v>0</v>
      </c>
      <c r="O424" s="909">
        <v>0</v>
      </c>
      <c r="P424" s="911">
        <f t="shared" si="13"/>
        <v>528</v>
      </c>
      <c r="Q424" s="909"/>
      <c r="R424" s="910">
        <v>6281</v>
      </c>
      <c r="S424" s="912">
        <v>1892</v>
      </c>
      <c r="T424" s="912">
        <v>8173</v>
      </c>
    </row>
    <row r="425" spans="1:20" x14ac:dyDescent="0.25">
      <c r="A425" s="906">
        <v>94351</v>
      </c>
      <c r="B425" s="907" t="s">
        <v>2985</v>
      </c>
      <c r="C425" s="908">
        <v>2.433E-4</v>
      </c>
      <c r="D425" s="908">
        <v>2.377E-4</v>
      </c>
      <c r="E425" s="909">
        <v>371695</v>
      </c>
      <c r="F425" s="909"/>
      <c r="G425" s="910">
        <v>21413</v>
      </c>
      <c r="H425" s="911">
        <v>90248</v>
      </c>
      <c r="I425" s="910">
        <v>53083</v>
      </c>
      <c r="J425" s="909">
        <v>1592</v>
      </c>
      <c r="K425" s="911">
        <f t="shared" si="12"/>
        <v>166336</v>
      </c>
      <c r="L425" s="909"/>
      <c r="M425" s="910">
        <v>10522</v>
      </c>
      <c r="N425" s="910">
        <v>0</v>
      </c>
      <c r="O425" s="909">
        <v>4723</v>
      </c>
      <c r="P425" s="911">
        <f t="shared" si="13"/>
        <v>15245</v>
      </c>
      <c r="Q425" s="909"/>
      <c r="R425" s="910">
        <v>125262</v>
      </c>
      <c r="S425" s="912">
        <v>-1683</v>
      </c>
      <c r="T425" s="912">
        <v>123579</v>
      </c>
    </row>
    <row r="426" spans="1:20" x14ac:dyDescent="0.25">
      <c r="A426" s="906">
        <v>94401</v>
      </c>
      <c r="B426" s="907" t="s">
        <v>3586</v>
      </c>
      <c r="C426" s="908">
        <v>3.2718000000000001E-3</v>
      </c>
      <c r="D426" s="908">
        <v>3.4548999999999999E-3</v>
      </c>
      <c r="E426" s="909">
        <v>4998404</v>
      </c>
      <c r="F426" s="909"/>
      <c r="G426" s="910">
        <v>287954</v>
      </c>
      <c r="H426" s="911">
        <v>1213619</v>
      </c>
      <c r="I426" s="910">
        <v>713841</v>
      </c>
      <c r="J426" s="909">
        <v>20795</v>
      </c>
      <c r="K426" s="911">
        <f t="shared" si="12"/>
        <v>2236209</v>
      </c>
      <c r="L426" s="909"/>
      <c r="M426" s="910">
        <v>141489</v>
      </c>
      <c r="N426" s="910">
        <v>0</v>
      </c>
      <c r="O426" s="909">
        <v>83776</v>
      </c>
      <c r="P426" s="911">
        <f t="shared" si="13"/>
        <v>225265</v>
      </c>
      <c r="Q426" s="909"/>
      <c r="R426" s="910">
        <v>1684467</v>
      </c>
      <c r="S426" s="912">
        <v>-11283</v>
      </c>
      <c r="T426" s="912">
        <v>1673184</v>
      </c>
    </row>
    <row r="427" spans="1:20" x14ac:dyDescent="0.25">
      <c r="A427" s="906">
        <v>94402</v>
      </c>
      <c r="B427" s="907" t="s">
        <v>2987</v>
      </c>
      <c r="C427" s="908">
        <v>0</v>
      </c>
      <c r="D427" s="908">
        <v>0</v>
      </c>
      <c r="E427" s="909">
        <v>0</v>
      </c>
      <c r="F427" s="909"/>
      <c r="G427" s="910">
        <v>0</v>
      </c>
      <c r="H427" s="911">
        <v>0</v>
      </c>
      <c r="I427" s="910">
        <v>0</v>
      </c>
      <c r="J427" s="909">
        <v>0</v>
      </c>
      <c r="K427" s="911">
        <f t="shared" si="12"/>
        <v>0</v>
      </c>
      <c r="L427" s="909"/>
      <c r="M427" s="910">
        <v>0</v>
      </c>
      <c r="N427" s="910">
        <v>0</v>
      </c>
      <c r="O427" s="909">
        <v>1774367</v>
      </c>
      <c r="P427" s="911">
        <f t="shared" si="13"/>
        <v>1774367</v>
      </c>
      <c r="Q427" s="909"/>
      <c r="R427" s="910">
        <v>0</v>
      </c>
      <c r="S427" s="912">
        <v>-1007431</v>
      </c>
      <c r="T427" s="912">
        <v>-1007431</v>
      </c>
    </row>
    <row r="428" spans="1:20" x14ac:dyDescent="0.25">
      <c r="A428" s="906">
        <v>94403</v>
      </c>
      <c r="B428" s="907" t="s">
        <v>3587</v>
      </c>
      <c r="C428" s="908">
        <v>2.2099999999999998E-5</v>
      </c>
      <c r="D428" s="908">
        <v>0</v>
      </c>
      <c r="E428" s="909">
        <v>33763</v>
      </c>
      <c r="F428" s="909"/>
      <c r="G428" s="910">
        <v>1945</v>
      </c>
      <c r="H428" s="911">
        <v>8198</v>
      </c>
      <c r="I428" s="910">
        <v>4822</v>
      </c>
      <c r="J428" s="909">
        <v>14624</v>
      </c>
      <c r="K428" s="911">
        <f t="shared" si="12"/>
        <v>29589</v>
      </c>
      <c r="L428" s="909"/>
      <c r="M428" s="910">
        <v>956</v>
      </c>
      <c r="N428" s="910">
        <v>0</v>
      </c>
      <c r="O428" s="909">
        <v>0</v>
      </c>
      <c r="P428" s="911">
        <f t="shared" si="13"/>
        <v>956</v>
      </c>
      <c r="Q428" s="909"/>
      <c r="R428" s="910">
        <v>11378</v>
      </c>
      <c r="S428" s="912">
        <v>3656</v>
      </c>
      <c r="T428" s="912">
        <v>15034</v>
      </c>
    </row>
    <row r="429" spans="1:20" x14ac:dyDescent="0.25">
      <c r="A429" s="906">
        <v>94408</v>
      </c>
      <c r="B429" s="907" t="s">
        <v>2988</v>
      </c>
      <c r="C429" s="908">
        <v>4.2400000000000001E-5</v>
      </c>
      <c r="D429" s="908">
        <v>4.0099999999999999E-5</v>
      </c>
      <c r="E429" s="909">
        <v>64775</v>
      </c>
      <c r="F429" s="909"/>
      <c r="G429" s="910">
        <v>3732</v>
      </c>
      <c r="H429" s="911">
        <v>15728</v>
      </c>
      <c r="I429" s="910">
        <v>9251</v>
      </c>
      <c r="J429" s="909">
        <v>7577</v>
      </c>
      <c r="K429" s="911">
        <f t="shared" si="12"/>
        <v>36288</v>
      </c>
      <c r="L429" s="909"/>
      <c r="M429" s="910">
        <v>1834</v>
      </c>
      <c r="N429" s="910">
        <v>0</v>
      </c>
      <c r="O429" s="909">
        <v>4064</v>
      </c>
      <c r="P429" s="911">
        <f t="shared" si="13"/>
        <v>5898</v>
      </c>
      <c r="Q429" s="909"/>
      <c r="R429" s="910">
        <v>21829</v>
      </c>
      <c r="S429" s="912">
        <v>382</v>
      </c>
      <c r="T429" s="912">
        <v>22211</v>
      </c>
    </row>
    <row r="430" spans="1:20" x14ac:dyDescent="0.25">
      <c r="A430" s="906">
        <v>94411</v>
      </c>
      <c r="B430" s="907" t="s">
        <v>2989</v>
      </c>
      <c r="C430" s="908">
        <v>1.2672E-3</v>
      </c>
      <c r="D430" s="908">
        <v>1.1592E-3</v>
      </c>
      <c r="E430" s="909">
        <v>1935931</v>
      </c>
      <c r="F430" s="909"/>
      <c r="G430" s="910">
        <v>111528</v>
      </c>
      <c r="H430" s="911">
        <v>470046</v>
      </c>
      <c r="I430" s="910">
        <v>276478</v>
      </c>
      <c r="J430" s="909">
        <v>63511</v>
      </c>
      <c r="K430" s="911">
        <f t="shared" si="12"/>
        <v>921563</v>
      </c>
      <c r="L430" s="909"/>
      <c r="M430" s="910">
        <v>54800</v>
      </c>
      <c r="N430" s="910">
        <v>0</v>
      </c>
      <c r="O430" s="909">
        <v>4125</v>
      </c>
      <c r="P430" s="911">
        <f t="shared" si="13"/>
        <v>58925</v>
      </c>
      <c r="Q430" s="909"/>
      <c r="R430" s="910">
        <v>652410</v>
      </c>
      <c r="S430" s="912">
        <v>18114</v>
      </c>
      <c r="T430" s="912">
        <v>670524</v>
      </c>
    </row>
    <row r="431" spans="1:20" x14ac:dyDescent="0.25">
      <c r="A431" s="906">
        <v>94412</v>
      </c>
      <c r="B431" s="907" t="s">
        <v>2990</v>
      </c>
      <c r="C431" s="908">
        <v>1.5099999999999999E-5</v>
      </c>
      <c r="D431" s="908">
        <v>1.63E-5</v>
      </c>
      <c r="E431" s="909">
        <v>23069</v>
      </c>
      <c r="F431" s="909"/>
      <c r="G431" s="910">
        <v>1329</v>
      </c>
      <c r="H431" s="911">
        <v>5602</v>
      </c>
      <c r="I431" s="910">
        <v>3295</v>
      </c>
      <c r="J431" s="909">
        <v>12533</v>
      </c>
      <c r="K431" s="911">
        <f t="shared" si="12"/>
        <v>22759</v>
      </c>
      <c r="L431" s="909"/>
      <c r="M431" s="910">
        <v>653</v>
      </c>
      <c r="N431" s="910">
        <v>0</v>
      </c>
      <c r="O431" s="909">
        <v>0</v>
      </c>
      <c r="P431" s="911">
        <f t="shared" si="13"/>
        <v>653</v>
      </c>
      <c r="Q431" s="909"/>
      <c r="R431" s="910">
        <v>7774</v>
      </c>
      <c r="S431" s="912">
        <v>5893</v>
      </c>
      <c r="T431" s="912">
        <v>13667</v>
      </c>
    </row>
    <row r="432" spans="1:20" x14ac:dyDescent="0.25">
      <c r="A432" s="906">
        <v>94421</v>
      </c>
      <c r="B432" s="907" t="s">
        <v>2991</v>
      </c>
      <c r="C432" s="908">
        <v>1.6679999999999999E-4</v>
      </c>
      <c r="D432" s="908">
        <v>1.6899999999999999E-4</v>
      </c>
      <c r="E432" s="909">
        <v>254824</v>
      </c>
      <c r="F432" s="909"/>
      <c r="G432" s="910">
        <v>14680</v>
      </c>
      <c r="H432" s="911">
        <v>61871</v>
      </c>
      <c r="I432" s="910">
        <v>36392</v>
      </c>
      <c r="J432" s="909">
        <v>4157</v>
      </c>
      <c r="K432" s="911">
        <f t="shared" si="12"/>
        <v>117100</v>
      </c>
      <c r="L432" s="909"/>
      <c r="M432" s="910">
        <v>7213</v>
      </c>
      <c r="N432" s="910">
        <v>0</v>
      </c>
      <c r="O432" s="909">
        <v>6763</v>
      </c>
      <c r="P432" s="911">
        <f t="shared" si="13"/>
        <v>13976</v>
      </c>
      <c r="Q432" s="909"/>
      <c r="R432" s="910">
        <v>85876</v>
      </c>
      <c r="S432" s="912">
        <v>-3870</v>
      </c>
      <c r="T432" s="912">
        <v>82006</v>
      </c>
    </row>
    <row r="433" spans="1:20" x14ac:dyDescent="0.25">
      <c r="A433" s="906">
        <v>94427</v>
      </c>
      <c r="B433" s="907" t="s">
        <v>2992</v>
      </c>
      <c r="C433" s="908">
        <v>1.5699999999999999E-5</v>
      </c>
      <c r="D433" s="908">
        <v>1.29E-5</v>
      </c>
      <c r="E433" s="909">
        <v>23985</v>
      </c>
      <c r="F433" s="909"/>
      <c r="G433" s="910">
        <v>1382</v>
      </c>
      <c r="H433" s="911">
        <v>5824</v>
      </c>
      <c r="I433" s="910">
        <v>3425</v>
      </c>
      <c r="J433" s="909">
        <v>4090</v>
      </c>
      <c r="K433" s="911">
        <f t="shared" si="12"/>
        <v>14721</v>
      </c>
      <c r="L433" s="909"/>
      <c r="M433" s="910">
        <v>679</v>
      </c>
      <c r="N433" s="910">
        <v>0</v>
      </c>
      <c r="O433" s="909">
        <v>478</v>
      </c>
      <c r="P433" s="911">
        <f t="shared" si="13"/>
        <v>1157</v>
      </c>
      <c r="Q433" s="909"/>
      <c r="R433" s="910">
        <v>8083</v>
      </c>
      <c r="S433" s="912">
        <v>943</v>
      </c>
      <c r="T433" s="912">
        <v>9026</v>
      </c>
    </row>
    <row r="434" spans="1:20" x14ac:dyDescent="0.25">
      <c r="A434" s="906">
        <v>94428</v>
      </c>
      <c r="B434" s="907" t="s">
        <v>2993</v>
      </c>
      <c r="C434" s="908">
        <v>6.5199999999999999E-5</v>
      </c>
      <c r="D434" s="908">
        <v>7.4400000000000006E-5</v>
      </c>
      <c r="E434" s="909">
        <v>99608</v>
      </c>
      <c r="F434" s="909"/>
      <c r="G434" s="910">
        <v>5738</v>
      </c>
      <c r="H434" s="911">
        <v>24185</v>
      </c>
      <c r="I434" s="910">
        <v>14225</v>
      </c>
      <c r="J434" s="909">
        <v>2315</v>
      </c>
      <c r="K434" s="911">
        <f t="shared" si="12"/>
        <v>46463</v>
      </c>
      <c r="L434" s="909"/>
      <c r="M434" s="910">
        <v>2820</v>
      </c>
      <c r="N434" s="910">
        <v>0</v>
      </c>
      <c r="O434" s="909">
        <v>3346</v>
      </c>
      <c r="P434" s="911">
        <f t="shared" si="13"/>
        <v>6166</v>
      </c>
      <c r="Q434" s="909"/>
      <c r="R434" s="910">
        <v>33568</v>
      </c>
      <c r="S434" s="912">
        <v>366</v>
      </c>
      <c r="T434" s="912">
        <v>33934</v>
      </c>
    </row>
    <row r="435" spans="1:20" x14ac:dyDescent="0.25">
      <c r="A435" s="906">
        <v>94431</v>
      </c>
      <c r="B435" s="907" t="s">
        <v>2994</v>
      </c>
      <c r="C435" s="908">
        <v>4.2440000000000002E-4</v>
      </c>
      <c r="D435" s="908">
        <v>3.7589999999999998E-4</v>
      </c>
      <c r="E435" s="909">
        <v>648366</v>
      </c>
      <c r="F435" s="909"/>
      <c r="G435" s="910">
        <v>37352</v>
      </c>
      <c r="H435" s="911">
        <v>157424</v>
      </c>
      <c r="I435" s="910">
        <v>92596</v>
      </c>
      <c r="J435" s="909">
        <v>210809</v>
      </c>
      <c r="K435" s="911">
        <f t="shared" si="12"/>
        <v>498181</v>
      </c>
      <c r="L435" s="909"/>
      <c r="M435" s="910">
        <v>18353</v>
      </c>
      <c r="N435" s="910">
        <v>0</v>
      </c>
      <c r="O435" s="909">
        <v>611</v>
      </c>
      <c r="P435" s="911">
        <f t="shared" si="13"/>
        <v>18964</v>
      </c>
      <c r="Q435" s="909"/>
      <c r="R435" s="910">
        <v>218500</v>
      </c>
      <c r="S435" s="912">
        <v>68328</v>
      </c>
      <c r="T435" s="912">
        <v>286828</v>
      </c>
    </row>
    <row r="436" spans="1:20" x14ac:dyDescent="0.25">
      <c r="A436" s="906">
        <v>94437</v>
      </c>
      <c r="B436" s="907" t="s">
        <v>2995</v>
      </c>
      <c r="C436" s="908">
        <v>1.5299999999999999E-5</v>
      </c>
      <c r="D436" s="908">
        <v>1.34E-5</v>
      </c>
      <c r="E436" s="909">
        <v>23374</v>
      </c>
      <c r="F436" s="909"/>
      <c r="G436" s="910">
        <v>1347</v>
      </c>
      <c r="H436" s="911">
        <v>5675</v>
      </c>
      <c r="I436" s="910">
        <v>3338</v>
      </c>
      <c r="J436" s="909">
        <v>13868</v>
      </c>
      <c r="K436" s="911">
        <f t="shared" si="12"/>
        <v>24228</v>
      </c>
      <c r="L436" s="909"/>
      <c r="M436" s="910">
        <v>662</v>
      </c>
      <c r="N436" s="910">
        <v>0</v>
      </c>
      <c r="O436" s="909">
        <v>0</v>
      </c>
      <c r="P436" s="911">
        <f t="shared" si="13"/>
        <v>662</v>
      </c>
      <c r="Q436" s="909"/>
      <c r="R436" s="910">
        <v>7877</v>
      </c>
      <c r="S436" s="912">
        <v>5640</v>
      </c>
      <c r="T436" s="912">
        <v>13517</v>
      </c>
    </row>
    <row r="437" spans="1:20" x14ac:dyDescent="0.25">
      <c r="A437" s="906">
        <v>94501</v>
      </c>
      <c r="B437" s="907" t="s">
        <v>2996</v>
      </c>
      <c r="C437" s="908">
        <v>5.6991000000000003E-3</v>
      </c>
      <c r="D437" s="908">
        <v>5.8474E-3</v>
      </c>
      <c r="E437" s="909">
        <v>8706646</v>
      </c>
      <c r="F437" s="909"/>
      <c r="G437" s="910">
        <v>501583</v>
      </c>
      <c r="H437" s="911">
        <v>2113984</v>
      </c>
      <c r="I437" s="910">
        <v>1243430</v>
      </c>
      <c r="J437" s="909">
        <v>145440</v>
      </c>
      <c r="K437" s="911">
        <f t="shared" si="12"/>
        <v>4004437</v>
      </c>
      <c r="L437" s="909"/>
      <c r="M437" s="910">
        <v>246458</v>
      </c>
      <c r="N437" s="910">
        <v>0</v>
      </c>
      <c r="O437" s="909">
        <v>11569</v>
      </c>
      <c r="P437" s="911">
        <f t="shared" si="13"/>
        <v>258027</v>
      </c>
      <c r="Q437" s="909"/>
      <c r="R437" s="910">
        <v>2934147</v>
      </c>
      <c r="S437" s="912">
        <v>99795</v>
      </c>
      <c r="T437" s="912">
        <v>3033942</v>
      </c>
    </row>
    <row r="438" spans="1:20" x14ac:dyDescent="0.25">
      <c r="A438" s="906">
        <v>94511</v>
      </c>
      <c r="B438" s="907" t="s">
        <v>2997</v>
      </c>
      <c r="C438" s="908">
        <v>1.8538999999999999E-3</v>
      </c>
      <c r="D438" s="908">
        <v>1.7432000000000001E-3</v>
      </c>
      <c r="E438" s="909">
        <v>2832246</v>
      </c>
      <c r="F438" s="909"/>
      <c r="G438" s="910">
        <v>163164</v>
      </c>
      <c r="H438" s="911">
        <v>687673</v>
      </c>
      <c r="I438" s="910">
        <v>404484</v>
      </c>
      <c r="J438" s="909">
        <v>155537</v>
      </c>
      <c r="K438" s="911">
        <f t="shared" si="12"/>
        <v>1410858</v>
      </c>
      <c r="L438" s="909"/>
      <c r="M438" s="910">
        <v>80172</v>
      </c>
      <c r="N438" s="910">
        <v>0</v>
      </c>
      <c r="O438" s="909">
        <v>31633</v>
      </c>
      <c r="P438" s="911">
        <f t="shared" si="13"/>
        <v>111805</v>
      </c>
      <c r="Q438" s="909"/>
      <c r="R438" s="910">
        <v>954469</v>
      </c>
      <c r="S438" s="912">
        <v>72914</v>
      </c>
      <c r="T438" s="912">
        <v>1027383</v>
      </c>
    </row>
    <row r="439" spans="1:20" x14ac:dyDescent="0.25">
      <c r="A439" s="906">
        <v>94512</v>
      </c>
      <c r="B439" s="907" t="s">
        <v>2998</v>
      </c>
      <c r="C439" s="908">
        <v>0</v>
      </c>
      <c r="D439" s="908">
        <v>0</v>
      </c>
      <c r="E439" s="909">
        <v>0</v>
      </c>
      <c r="F439" s="909"/>
      <c r="G439" s="910">
        <v>0</v>
      </c>
      <c r="H439" s="911">
        <v>0</v>
      </c>
      <c r="I439" s="910">
        <v>0</v>
      </c>
      <c r="J439" s="909">
        <v>0</v>
      </c>
      <c r="K439" s="911">
        <f t="shared" si="12"/>
        <v>0</v>
      </c>
      <c r="L439" s="909"/>
      <c r="M439" s="910">
        <v>0</v>
      </c>
      <c r="N439" s="910">
        <v>0</v>
      </c>
      <c r="O439" s="909">
        <v>138579</v>
      </c>
      <c r="P439" s="911">
        <f t="shared" si="13"/>
        <v>138579</v>
      </c>
      <c r="Q439" s="909"/>
      <c r="R439" s="910">
        <v>0</v>
      </c>
      <c r="S439" s="912">
        <v>-78713</v>
      </c>
      <c r="T439" s="912">
        <v>-78713</v>
      </c>
    </row>
    <row r="440" spans="1:20" x14ac:dyDescent="0.25">
      <c r="A440" s="906">
        <v>94517</v>
      </c>
      <c r="B440" s="907" t="s">
        <v>2999</v>
      </c>
      <c r="C440" s="908">
        <v>4.7599999999999998E-5</v>
      </c>
      <c r="D440" s="908">
        <v>4.9599999999999999E-5</v>
      </c>
      <c r="E440" s="909">
        <v>72720</v>
      </c>
      <c r="F440" s="909"/>
      <c r="G440" s="910">
        <v>4189</v>
      </c>
      <c r="H440" s="911">
        <v>17656</v>
      </c>
      <c r="I440" s="910">
        <v>10385</v>
      </c>
      <c r="J440" s="909">
        <v>18702</v>
      </c>
      <c r="K440" s="911">
        <f t="shared" si="12"/>
        <v>50932</v>
      </c>
      <c r="L440" s="909"/>
      <c r="M440" s="910">
        <v>2058</v>
      </c>
      <c r="N440" s="910">
        <v>0</v>
      </c>
      <c r="O440" s="909">
        <v>0</v>
      </c>
      <c r="P440" s="911">
        <f t="shared" si="13"/>
        <v>2058</v>
      </c>
      <c r="Q440" s="909"/>
      <c r="R440" s="910">
        <v>24507</v>
      </c>
      <c r="S440" s="912">
        <v>9021</v>
      </c>
      <c r="T440" s="912">
        <v>33528</v>
      </c>
    </row>
    <row r="441" spans="1:20" x14ac:dyDescent="0.25">
      <c r="A441" s="906">
        <v>94521</v>
      </c>
      <c r="B441" s="907" t="s">
        <v>3000</v>
      </c>
      <c r="C441" s="908">
        <v>1.517E-4</v>
      </c>
      <c r="D441" s="908">
        <v>1.2410000000000001E-4</v>
      </c>
      <c r="E441" s="909">
        <v>231756</v>
      </c>
      <c r="F441" s="909"/>
      <c r="G441" s="910">
        <v>13351</v>
      </c>
      <c r="H441" s="911">
        <v>56271</v>
      </c>
      <c r="I441" s="910">
        <v>33098</v>
      </c>
      <c r="J441" s="909">
        <v>15354</v>
      </c>
      <c r="K441" s="911">
        <f t="shared" si="12"/>
        <v>118074</v>
      </c>
      <c r="L441" s="909"/>
      <c r="M441" s="910">
        <v>6560</v>
      </c>
      <c r="N441" s="910">
        <v>0</v>
      </c>
      <c r="O441" s="909">
        <v>13856</v>
      </c>
      <c r="P441" s="911">
        <f t="shared" si="13"/>
        <v>20416</v>
      </c>
      <c r="Q441" s="909"/>
      <c r="R441" s="910">
        <v>78102</v>
      </c>
      <c r="S441" s="912">
        <v>429</v>
      </c>
      <c r="T441" s="912">
        <v>78531</v>
      </c>
    </row>
    <row r="442" spans="1:20" x14ac:dyDescent="0.25">
      <c r="A442" s="906">
        <v>94527</v>
      </c>
      <c r="B442" s="907" t="s">
        <v>3001</v>
      </c>
      <c r="C442" s="908">
        <v>5.4E-6</v>
      </c>
      <c r="D442" s="908">
        <v>6.3999999999999997E-6</v>
      </c>
      <c r="E442" s="909">
        <v>8250</v>
      </c>
      <c r="F442" s="909"/>
      <c r="G442" s="910">
        <v>475</v>
      </c>
      <c r="H442" s="911">
        <v>2003</v>
      </c>
      <c r="I442" s="910">
        <v>1178</v>
      </c>
      <c r="J442" s="909">
        <v>308</v>
      </c>
      <c r="K442" s="911">
        <f t="shared" si="12"/>
        <v>3964</v>
      </c>
      <c r="L442" s="909"/>
      <c r="M442" s="910">
        <v>234</v>
      </c>
      <c r="N442" s="910">
        <v>0</v>
      </c>
      <c r="O442" s="909">
        <v>3369</v>
      </c>
      <c r="P442" s="911">
        <f t="shared" si="13"/>
        <v>3603</v>
      </c>
      <c r="Q442" s="909"/>
      <c r="R442" s="910">
        <v>2780</v>
      </c>
      <c r="S442" s="912">
        <v>-953</v>
      </c>
      <c r="T442" s="912">
        <v>1827</v>
      </c>
    </row>
    <row r="443" spans="1:20" x14ac:dyDescent="0.25">
      <c r="A443" s="906">
        <v>94531</v>
      </c>
      <c r="B443" s="907" t="s">
        <v>3002</v>
      </c>
      <c r="C443" s="908">
        <v>1.5E-5</v>
      </c>
      <c r="D443" s="908">
        <v>1.5500000000000001E-5</v>
      </c>
      <c r="E443" s="909">
        <v>22916</v>
      </c>
      <c r="F443" s="909"/>
      <c r="G443" s="910">
        <v>1320</v>
      </c>
      <c r="H443" s="911">
        <v>5564</v>
      </c>
      <c r="I443" s="910">
        <v>3273</v>
      </c>
      <c r="J443" s="909">
        <v>6665</v>
      </c>
      <c r="K443" s="911">
        <f t="shared" si="12"/>
        <v>16822</v>
      </c>
      <c r="L443" s="909"/>
      <c r="M443" s="910">
        <v>649</v>
      </c>
      <c r="N443" s="910">
        <v>0</v>
      </c>
      <c r="O443" s="909">
        <v>0</v>
      </c>
      <c r="P443" s="911">
        <f t="shared" si="13"/>
        <v>649</v>
      </c>
      <c r="Q443" s="909"/>
      <c r="R443" s="910">
        <v>7723</v>
      </c>
      <c r="S443" s="912">
        <v>2681</v>
      </c>
      <c r="T443" s="912">
        <v>10404</v>
      </c>
    </row>
    <row r="444" spans="1:20" x14ac:dyDescent="0.25">
      <c r="A444" s="906">
        <v>94532</v>
      </c>
      <c r="B444" s="907" t="s">
        <v>3003</v>
      </c>
      <c r="C444" s="908">
        <v>8.7800000000000006E-5</v>
      </c>
      <c r="D444" s="908">
        <v>9.4099999999999997E-5</v>
      </c>
      <c r="E444" s="909">
        <v>134134</v>
      </c>
      <c r="F444" s="909"/>
      <c r="G444" s="910">
        <v>7727</v>
      </c>
      <c r="H444" s="911">
        <v>32568</v>
      </c>
      <c r="I444" s="910">
        <v>19156</v>
      </c>
      <c r="J444" s="909">
        <v>0</v>
      </c>
      <c r="K444" s="911">
        <f t="shared" si="12"/>
        <v>59451</v>
      </c>
      <c r="L444" s="909"/>
      <c r="M444" s="910">
        <v>3797</v>
      </c>
      <c r="N444" s="910">
        <v>0</v>
      </c>
      <c r="O444" s="909">
        <v>10367</v>
      </c>
      <c r="P444" s="911">
        <f t="shared" si="13"/>
        <v>14164</v>
      </c>
      <c r="Q444" s="909"/>
      <c r="R444" s="910">
        <v>45203</v>
      </c>
      <c r="S444" s="912">
        <v>-5525</v>
      </c>
      <c r="T444" s="912">
        <v>39678</v>
      </c>
    </row>
    <row r="445" spans="1:20" x14ac:dyDescent="0.25">
      <c r="A445" s="906">
        <v>94541</v>
      </c>
      <c r="B445" s="907" t="s">
        <v>3004</v>
      </c>
      <c r="C445" s="908">
        <v>2.9300000000000002E-4</v>
      </c>
      <c r="D445" s="908">
        <v>2.9839999999999999E-4</v>
      </c>
      <c r="E445" s="909">
        <v>447623</v>
      </c>
      <c r="F445" s="909"/>
      <c r="G445" s="910">
        <v>25787</v>
      </c>
      <c r="H445" s="911">
        <v>108683</v>
      </c>
      <c r="I445" s="910">
        <v>63927</v>
      </c>
      <c r="J445" s="909">
        <v>0</v>
      </c>
      <c r="K445" s="911">
        <f t="shared" si="12"/>
        <v>198397</v>
      </c>
      <c r="L445" s="909"/>
      <c r="M445" s="910">
        <v>12671</v>
      </c>
      <c r="N445" s="910">
        <v>0</v>
      </c>
      <c r="O445" s="909">
        <v>27614</v>
      </c>
      <c r="P445" s="911">
        <f t="shared" si="13"/>
        <v>40285</v>
      </c>
      <c r="Q445" s="909"/>
      <c r="R445" s="910">
        <v>150849</v>
      </c>
      <c r="S445" s="912">
        <v>-10625</v>
      </c>
      <c r="T445" s="912">
        <v>140224</v>
      </c>
    </row>
    <row r="446" spans="1:20" x14ac:dyDescent="0.25">
      <c r="A446" s="906">
        <v>94547</v>
      </c>
      <c r="B446" s="907" t="s">
        <v>3005</v>
      </c>
      <c r="C446" s="908">
        <v>1.08E-5</v>
      </c>
      <c r="D446" s="908">
        <v>1.24E-5</v>
      </c>
      <c r="E446" s="909">
        <v>16499</v>
      </c>
      <c r="F446" s="909"/>
      <c r="G446" s="910">
        <v>951</v>
      </c>
      <c r="H446" s="911">
        <v>4006</v>
      </c>
      <c r="I446" s="910">
        <v>2356</v>
      </c>
      <c r="J446" s="909">
        <v>2853</v>
      </c>
      <c r="K446" s="911">
        <f t="shared" si="12"/>
        <v>10166</v>
      </c>
      <c r="L446" s="909"/>
      <c r="M446" s="910">
        <v>467</v>
      </c>
      <c r="N446" s="910">
        <v>0</v>
      </c>
      <c r="O446" s="909">
        <v>0</v>
      </c>
      <c r="P446" s="911">
        <f t="shared" si="13"/>
        <v>467</v>
      </c>
      <c r="Q446" s="909"/>
      <c r="R446" s="910">
        <v>5560</v>
      </c>
      <c r="S446" s="912">
        <v>1000</v>
      </c>
      <c r="T446" s="912">
        <v>6560</v>
      </c>
    </row>
    <row r="447" spans="1:20" x14ac:dyDescent="0.25">
      <c r="A447" s="906">
        <v>94551</v>
      </c>
      <c r="B447" s="907" t="s">
        <v>3006</v>
      </c>
      <c r="C447" s="908">
        <v>4.1900000000000002E-5</v>
      </c>
      <c r="D447" s="908">
        <v>4.5899999999999998E-5</v>
      </c>
      <c r="E447" s="909">
        <v>64012</v>
      </c>
      <c r="F447" s="909"/>
      <c r="G447" s="910">
        <v>3688</v>
      </c>
      <c r="H447" s="911">
        <v>15543</v>
      </c>
      <c r="I447" s="910">
        <v>9142</v>
      </c>
      <c r="J447" s="909">
        <v>11600</v>
      </c>
      <c r="K447" s="911">
        <f t="shared" si="12"/>
        <v>39973</v>
      </c>
      <c r="L447" s="909"/>
      <c r="M447" s="910">
        <v>1812</v>
      </c>
      <c r="N447" s="910">
        <v>0</v>
      </c>
      <c r="O447" s="909">
        <v>1576</v>
      </c>
      <c r="P447" s="911">
        <f t="shared" si="13"/>
        <v>3388</v>
      </c>
      <c r="Q447" s="909"/>
      <c r="R447" s="910">
        <v>21572</v>
      </c>
      <c r="S447" s="912">
        <v>4116</v>
      </c>
      <c r="T447" s="912">
        <v>25688</v>
      </c>
    </row>
    <row r="448" spans="1:20" x14ac:dyDescent="0.25">
      <c r="A448" s="906">
        <v>94601</v>
      </c>
      <c r="B448" s="907" t="s">
        <v>3007</v>
      </c>
      <c r="C448" s="908">
        <v>1.0602999999999999E-3</v>
      </c>
      <c r="D448" s="908">
        <v>1.0011E-3</v>
      </c>
      <c r="E448" s="909">
        <v>1619845</v>
      </c>
      <c r="F448" s="909"/>
      <c r="G448" s="910">
        <v>93318</v>
      </c>
      <c r="H448" s="911">
        <v>393300</v>
      </c>
      <c r="I448" s="910">
        <v>231336</v>
      </c>
      <c r="J448" s="909">
        <v>77480</v>
      </c>
      <c r="K448" s="911">
        <f t="shared" si="12"/>
        <v>795434</v>
      </c>
      <c r="L448" s="909"/>
      <c r="M448" s="910">
        <v>45853</v>
      </c>
      <c r="N448" s="910">
        <v>0</v>
      </c>
      <c r="O448" s="909">
        <v>2182</v>
      </c>
      <c r="P448" s="911">
        <f t="shared" si="13"/>
        <v>48035</v>
      </c>
      <c r="Q448" s="909"/>
      <c r="R448" s="910">
        <v>545889</v>
      </c>
      <c r="S448" s="912">
        <v>21640</v>
      </c>
      <c r="T448" s="912">
        <v>567529</v>
      </c>
    </row>
    <row r="449" spans="1:20" x14ac:dyDescent="0.25">
      <c r="A449" s="906">
        <v>94604</v>
      </c>
      <c r="B449" s="907" t="s">
        <v>3008</v>
      </c>
      <c r="C449" s="908">
        <v>2.62E-5</v>
      </c>
      <c r="D449" s="908">
        <v>2.65E-5</v>
      </c>
      <c r="E449" s="909">
        <v>40026</v>
      </c>
      <c r="F449" s="909"/>
      <c r="G449" s="910">
        <v>2306</v>
      </c>
      <c r="H449" s="911">
        <v>9718</v>
      </c>
      <c r="I449" s="910">
        <v>5716</v>
      </c>
      <c r="J449" s="909">
        <v>2471</v>
      </c>
      <c r="K449" s="911">
        <f t="shared" si="12"/>
        <v>20211</v>
      </c>
      <c r="L449" s="909"/>
      <c r="M449" s="910">
        <v>1133</v>
      </c>
      <c r="N449" s="910">
        <v>0</v>
      </c>
      <c r="O449" s="909">
        <v>26</v>
      </c>
      <c r="P449" s="911">
        <f t="shared" si="13"/>
        <v>1159</v>
      </c>
      <c r="Q449" s="909"/>
      <c r="R449" s="910">
        <v>13489</v>
      </c>
      <c r="S449" s="912">
        <v>697</v>
      </c>
      <c r="T449" s="912">
        <v>14186</v>
      </c>
    </row>
    <row r="450" spans="1:20" x14ac:dyDescent="0.25">
      <c r="A450" s="906">
        <v>94606</v>
      </c>
      <c r="B450" s="907" t="s">
        <v>3009</v>
      </c>
      <c r="C450" s="908">
        <v>2.3550000000000001E-4</v>
      </c>
      <c r="D450" s="908">
        <v>2.6229999999999998E-4</v>
      </c>
      <c r="E450" s="909">
        <v>359779</v>
      </c>
      <c r="F450" s="909"/>
      <c r="G450" s="910">
        <v>20727</v>
      </c>
      <c r="H450" s="911">
        <v>87355</v>
      </c>
      <c r="I450" s="910">
        <v>51381</v>
      </c>
      <c r="J450" s="909">
        <v>0</v>
      </c>
      <c r="K450" s="911">
        <f t="shared" si="12"/>
        <v>159463</v>
      </c>
      <c r="L450" s="909"/>
      <c r="M450" s="910">
        <v>10184</v>
      </c>
      <c r="N450" s="910">
        <v>0</v>
      </c>
      <c r="O450" s="909">
        <v>51703</v>
      </c>
      <c r="P450" s="911">
        <f t="shared" si="13"/>
        <v>61887</v>
      </c>
      <c r="Q450" s="909"/>
      <c r="R450" s="910">
        <v>121246</v>
      </c>
      <c r="S450" s="912">
        <v>-24169</v>
      </c>
      <c r="T450" s="912">
        <v>97077</v>
      </c>
    </row>
    <row r="451" spans="1:20" x14ac:dyDescent="0.25">
      <c r="A451" s="906">
        <v>94611</v>
      </c>
      <c r="B451" s="907" t="s">
        <v>3010</v>
      </c>
      <c r="C451" s="908">
        <v>3.6850000000000001E-4</v>
      </c>
      <c r="D451" s="908">
        <v>4.4450000000000002E-4</v>
      </c>
      <c r="E451" s="909">
        <v>562966</v>
      </c>
      <c r="F451" s="909"/>
      <c r="G451" s="910">
        <v>32432</v>
      </c>
      <c r="H451" s="911">
        <v>136689</v>
      </c>
      <c r="I451" s="910">
        <v>80399</v>
      </c>
      <c r="J451" s="909">
        <v>2567</v>
      </c>
      <c r="K451" s="911">
        <f t="shared" si="12"/>
        <v>252087</v>
      </c>
      <c r="L451" s="909"/>
      <c r="M451" s="910">
        <v>15936</v>
      </c>
      <c r="N451" s="910">
        <v>0</v>
      </c>
      <c r="O451" s="909">
        <v>35426</v>
      </c>
      <c r="P451" s="911">
        <f t="shared" si="13"/>
        <v>51362</v>
      </c>
      <c r="Q451" s="909"/>
      <c r="R451" s="910">
        <v>189720</v>
      </c>
      <c r="S451" s="912">
        <v>-9323</v>
      </c>
      <c r="T451" s="912">
        <v>180397</v>
      </c>
    </row>
    <row r="452" spans="1:20" x14ac:dyDescent="0.25">
      <c r="A452" s="906">
        <v>94621</v>
      </c>
      <c r="B452" s="907" t="s">
        <v>3011</v>
      </c>
      <c r="C452" s="908">
        <v>9.7600000000000001E-5</v>
      </c>
      <c r="D452" s="908">
        <v>1.3119999999999999E-4</v>
      </c>
      <c r="E452" s="909">
        <v>149106</v>
      </c>
      <c r="F452" s="909"/>
      <c r="G452" s="910">
        <v>8590</v>
      </c>
      <c r="H452" s="911">
        <v>36203</v>
      </c>
      <c r="I452" s="910">
        <v>21294</v>
      </c>
      <c r="J452" s="909">
        <v>6585</v>
      </c>
      <c r="K452" s="911">
        <f t="shared" si="12"/>
        <v>72672</v>
      </c>
      <c r="L452" s="909"/>
      <c r="M452" s="910">
        <v>4221</v>
      </c>
      <c r="N452" s="910">
        <v>0</v>
      </c>
      <c r="O452" s="909">
        <v>18055</v>
      </c>
      <c r="P452" s="911">
        <f t="shared" si="13"/>
        <v>22276</v>
      </c>
      <c r="Q452" s="909"/>
      <c r="R452" s="910">
        <v>50249</v>
      </c>
      <c r="S452" s="912">
        <v>-1288</v>
      </c>
      <c r="T452" s="912">
        <v>48961</v>
      </c>
    </row>
    <row r="453" spans="1:20" x14ac:dyDescent="0.25">
      <c r="A453" s="906">
        <v>94631</v>
      </c>
      <c r="B453" s="907" t="s">
        <v>3012</v>
      </c>
      <c r="C453" s="908">
        <v>3.9100000000000002E-5</v>
      </c>
      <c r="D453" s="908">
        <v>3.9799999999999998E-5</v>
      </c>
      <c r="E453" s="909">
        <v>59734</v>
      </c>
      <c r="F453" s="909"/>
      <c r="G453" s="910">
        <v>3441</v>
      </c>
      <c r="H453" s="911">
        <v>14504</v>
      </c>
      <c r="I453" s="910">
        <v>8531</v>
      </c>
      <c r="J453" s="909">
        <v>6569</v>
      </c>
      <c r="K453" s="911">
        <f t="shared" si="12"/>
        <v>33045</v>
      </c>
      <c r="L453" s="909"/>
      <c r="M453" s="910">
        <v>1691</v>
      </c>
      <c r="N453" s="910">
        <v>0</v>
      </c>
      <c r="O453" s="909">
        <v>0</v>
      </c>
      <c r="P453" s="911">
        <f t="shared" si="13"/>
        <v>1691</v>
      </c>
      <c r="Q453" s="909"/>
      <c r="R453" s="910">
        <v>20130</v>
      </c>
      <c r="S453" s="912">
        <v>2517</v>
      </c>
      <c r="T453" s="912">
        <v>22647</v>
      </c>
    </row>
    <row r="454" spans="1:20" x14ac:dyDescent="0.25">
      <c r="A454" s="906">
        <v>94641</v>
      </c>
      <c r="B454" s="907" t="s">
        <v>3013</v>
      </c>
      <c r="C454" s="908">
        <v>3.8999999999999999E-6</v>
      </c>
      <c r="D454" s="908">
        <v>4.6999999999999999E-6</v>
      </c>
      <c r="E454" s="909">
        <v>5958</v>
      </c>
      <c r="F454" s="909"/>
      <c r="G454" s="910">
        <v>343</v>
      </c>
      <c r="H454" s="911">
        <v>1446</v>
      </c>
      <c r="I454" s="910">
        <v>851</v>
      </c>
      <c r="J454" s="909">
        <v>5156</v>
      </c>
      <c r="K454" s="911">
        <f t="shared" si="12"/>
        <v>7796</v>
      </c>
      <c r="L454" s="909"/>
      <c r="M454" s="910">
        <v>169</v>
      </c>
      <c r="N454" s="910">
        <v>0</v>
      </c>
      <c r="O454" s="909">
        <v>0</v>
      </c>
      <c r="P454" s="911">
        <f t="shared" si="13"/>
        <v>169</v>
      </c>
      <c r="Q454" s="909"/>
      <c r="R454" s="910">
        <v>2008</v>
      </c>
      <c r="S454" s="912">
        <v>2187</v>
      </c>
      <c r="T454" s="912">
        <v>4195</v>
      </c>
    </row>
    <row r="455" spans="1:20" x14ac:dyDescent="0.25">
      <c r="A455" s="906">
        <v>94701</v>
      </c>
      <c r="B455" s="907" t="s">
        <v>3014</v>
      </c>
      <c r="C455" s="908">
        <v>2.5446000000000002E-3</v>
      </c>
      <c r="D455" s="908">
        <v>2.5636000000000001E-3</v>
      </c>
      <c r="E455" s="909">
        <v>3887444</v>
      </c>
      <c r="F455" s="909"/>
      <c r="G455" s="910">
        <v>223953</v>
      </c>
      <c r="H455" s="911">
        <v>943877</v>
      </c>
      <c r="I455" s="910">
        <v>555181</v>
      </c>
      <c r="J455" s="909">
        <v>45251</v>
      </c>
      <c r="K455" s="911">
        <f t="shared" ref="K455:K518" si="14">G455+H455+I455+J455</f>
        <v>1768262</v>
      </c>
      <c r="L455" s="909"/>
      <c r="M455" s="910">
        <v>110041</v>
      </c>
      <c r="N455" s="910">
        <v>0</v>
      </c>
      <c r="O455" s="909">
        <v>103182</v>
      </c>
      <c r="P455" s="911">
        <f t="shared" ref="P455:P518" si="15">M455+N455+O455</f>
        <v>213223</v>
      </c>
      <c r="Q455" s="909"/>
      <c r="R455" s="910">
        <v>1310072</v>
      </c>
      <c r="S455" s="912">
        <v>-2731</v>
      </c>
      <c r="T455" s="912">
        <v>1307341</v>
      </c>
    </row>
    <row r="456" spans="1:20" x14ac:dyDescent="0.25">
      <c r="A456" s="906">
        <v>94704</v>
      </c>
      <c r="B456" s="907" t="s">
        <v>3015</v>
      </c>
      <c r="C456" s="908">
        <v>9.5000000000000005E-6</v>
      </c>
      <c r="D456" s="908">
        <v>1.04E-5</v>
      </c>
      <c r="E456" s="909">
        <v>14513</v>
      </c>
      <c r="F456" s="909"/>
      <c r="G456" s="910">
        <v>836</v>
      </c>
      <c r="H456" s="911">
        <v>3524</v>
      </c>
      <c r="I456" s="910">
        <v>2073</v>
      </c>
      <c r="J456" s="909">
        <v>77</v>
      </c>
      <c r="K456" s="911">
        <f t="shared" si="14"/>
        <v>6510</v>
      </c>
      <c r="L456" s="909"/>
      <c r="M456" s="910">
        <v>411</v>
      </c>
      <c r="N456" s="910">
        <v>0</v>
      </c>
      <c r="O456" s="909">
        <v>100</v>
      </c>
      <c r="P456" s="911">
        <f t="shared" si="15"/>
        <v>511</v>
      </c>
      <c r="Q456" s="909"/>
      <c r="R456" s="910">
        <v>4891</v>
      </c>
      <c r="S456" s="912">
        <v>38</v>
      </c>
      <c r="T456" s="912">
        <v>4929</v>
      </c>
    </row>
    <row r="457" spans="1:20" x14ac:dyDescent="0.25">
      <c r="A457" s="906">
        <v>94711</v>
      </c>
      <c r="B457" s="907" t="s">
        <v>3016</v>
      </c>
      <c r="C457" s="908">
        <v>3.3599999999999998E-4</v>
      </c>
      <c r="D457" s="908">
        <v>3.5110000000000002E-4</v>
      </c>
      <c r="E457" s="909">
        <v>513315</v>
      </c>
      <c r="F457" s="909"/>
      <c r="G457" s="910">
        <v>29572</v>
      </c>
      <c r="H457" s="911">
        <v>124633</v>
      </c>
      <c r="I457" s="910">
        <v>73308</v>
      </c>
      <c r="J457" s="909">
        <v>9113</v>
      </c>
      <c r="K457" s="911">
        <f t="shared" si="14"/>
        <v>236626</v>
      </c>
      <c r="L457" s="909"/>
      <c r="M457" s="910">
        <v>14530</v>
      </c>
      <c r="N457" s="910">
        <v>0</v>
      </c>
      <c r="O457" s="909">
        <v>6693</v>
      </c>
      <c r="P457" s="911">
        <f t="shared" si="15"/>
        <v>21223</v>
      </c>
      <c r="Q457" s="909"/>
      <c r="R457" s="910">
        <v>172988</v>
      </c>
      <c r="S457" s="912">
        <v>1163</v>
      </c>
      <c r="T457" s="912">
        <v>174151</v>
      </c>
    </row>
    <row r="458" spans="1:20" x14ac:dyDescent="0.25">
      <c r="A458" s="906">
        <v>94801</v>
      </c>
      <c r="B458" s="907" t="s">
        <v>3017</v>
      </c>
      <c r="C458" s="908">
        <v>7.2440000000000004E-4</v>
      </c>
      <c r="D458" s="908">
        <v>7.6539999999999996E-4</v>
      </c>
      <c r="E458" s="909">
        <v>1106683</v>
      </c>
      <c r="F458" s="909"/>
      <c r="G458" s="910">
        <v>63755</v>
      </c>
      <c r="H458" s="911">
        <v>268704</v>
      </c>
      <c r="I458" s="910">
        <v>158050</v>
      </c>
      <c r="J458" s="909">
        <v>40380</v>
      </c>
      <c r="K458" s="911">
        <f t="shared" si="14"/>
        <v>530889</v>
      </c>
      <c r="L458" s="909"/>
      <c r="M458" s="910">
        <v>31327</v>
      </c>
      <c r="N458" s="910">
        <v>0</v>
      </c>
      <c r="O458" s="909">
        <v>19605</v>
      </c>
      <c r="P458" s="911">
        <f t="shared" si="15"/>
        <v>50932</v>
      </c>
      <c r="Q458" s="909"/>
      <c r="R458" s="910">
        <v>372953</v>
      </c>
      <c r="S458" s="912">
        <v>17711</v>
      </c>
      <c r="T458" s="912">
        <v>390664</v>
      </c>
    </row>
    <row r="459" spans="1:20" x14ac:dyDescent="0.25">
      <c r="A459" s="906">
        <v>94804</v>
      </c>
      <c r="B459" s="907" t="s">
        <v>3018</v>
      </c>
      <c r="C459" s="908">
        <v>3.8E-6</v>
      </c>
      <c r="D459" s="908">
        <v>3.8E-6</v>
      </c>
      <c r="E459" s="909">
        <v>5805</v>
      </c>
      <c r="F459" s="909"/>
      <c r="G459" s="910">
        <v>334</v>
      </c>
      <c r="H459" s="911">
        <v>1409</v>
      </c>
      <c r="I459" s="910">
        <v>829</v>
      </c>
      <c r="J459" s="909">
        <v>2556</v>
      </c>
      <c r="K459" s="911">
        <f t="shared" si="14"/>
        <v>5128</v>
      </c>
      <c r="L459" s="909"/>
      <c r="M459" s="910">
        <v>164</v>
      </c>
      <c r="N459" s="910">
        <v>0</v>
      </c>
      <c r="O459" s="909">
        <v>218</v>
      </c>
      <c r="P459" s="911">
        <f t="shared" si="15"/>
        <v>382</v>
      </c>
      <c r="Q459" s="909"/>
      <c r="R459" s="910">
        <v>1956</v>
      </c>
      <c r="S459" s="912">
        <v>1879</v>
      </c>
      <c r="T459" s="912">
        <v>3835</v>
      </c>
    </row>
    <row r="460" spans="1:20" x14ac:dyDescent="0.25">
      <c r="A460" s="906">
        <v>94812</v>
      </c>
      <c r="B460" s="907" t="s">
        <v>3019</v>
      </c>
      <c r="C460" s="908">
        <v>3.3000000000000003E-5</v>
      </c>
      <c r="D460" s="908">
        <v>3.3500000000000001E-5</v>
      </c>
      <c r="E460" s="909">
        <v>50415</v>
      </c>
      <c r="F460" s="909"/>
      <c r="G460" s="910">
        <v>2904</v>
      </c>
      <c r="H460" s="911">
        <v>12241</v>
      </c>
      <c r="I460" s="910">
        <v>7200</v>
      </c>
      <c r="J460" s="909">
        <v>10442</v>
      </c>
      <c r="K460" s="911">
        <f t="shared" si="14"/>
        <v>32787</v>
      </c>
      <c r="L460" s="909"/>
      <c r="M460" s="910">
        <v>1427</v>
      </c>
      <c r="N460" s="910">
        <v>0</v>
      </c>
      <c r="O460" s="909">
        <v>0</v>
      </c>
      <c r="P460" s="911">
        <f t="shared" si="15"/>
        <v>1427</v>
      </c>
      <c r="Q460" s="909"/>
      <c r="R460" s="910">
        <v>16990</v>
      </c>
      <c r="S460" s="912">
        <v>4040</v>
      </c>
      <c r="T460" s="912">
        <v>21030</v>
      </c>
    </row>
    <row r="461" spans="1:20" x14ac:dyDescent="0.25">
      <c r="A461" s="906">
        <v>94901</v>
      </c>
      <c r="B461" s="907" t="s">
        <v>3020</v>
      </c>
      <c r="C461" s="908">
        <v>6.7841999999999998E-3</v>
      </c>
      <c r="D461" s="908">
        <v>7.0014999999999999E-3</v>
      </c>
      <c r="E461" s="909">
        <v>10364378</v>
      </c>
      <c r="F461" s="909"/>
      <c r="G461" s="910">
        <v>597084</v>
      </c>
      <c r="H461" s="911">
        <v>2516484</v>
      </c>
      <c r="I461" s="910">
        <v>1480177</v>
      </c>
      <c r="J461" s="909">
        <v>16760</v>
      </c>
      <c r="K461" s="911">
        <f t="shared" si="14"/>
        <v>4610505</v>
      </c>
      <c r="L461" s="909"/>
      <c r="M461" s="910">
        <v>293383</v>
      </c>
      <c r="N461" s="910">
        <v>0</v>
      </c>
      <c r="O461" s="909">
        <v>129476</v>
      </c>
      <c r="P461" s="911">
        <f t="shared" si="15"/>
        <v>422859</v>
      </c>
      <c r="Q461" s="909"/>
      <c r="R461" s="910">
        <v>3492805</v>
      </c>
      <c r="S461" s="912">
        <v>-36324</v>
      </c>
      <c r="T461" s="912">
        <v>3456481</v>
      </c>
    </row>
    <row r="462" spans="1:20" x14ac:dyDescent="0.25">
      <c r="A462" s="906">
        <v>94908</v>
      </c>
      <c r="B462" s="907" t="s">
        <v>3021</v>
      </c>
      <c r="C462" s="908">
        <v>7.7000000000000008E-6</v>
      </c>
      <c r="D462" s="908">
        <v>3.9799999999999998E-5</v>
      </c>
      <c r="E462" s="909">
        <v>11763</v>
      </c>
      <c r="F462" s="909"/>
      <c r="G462" s="910">
        <v>678</v>
      </c>
      <c r="H462" s="911">
        <v>2857</v>
      </c>
      <c r="I462" s="910">
        <v>1680</v>
      </c>
      <c r="J462" s="909">
        <v>0</v>
      </c>
      <c r="K462" s="911">
        <f t="shared" si="14"/>
        <v>5215</v>
      </c>
      <c r="L462" s="909"/>
      <c r="M462" s="910">
        <v>333</v>
      </c>
      <c r="N462" s="910">
        <v>0</v>
      </c>
      <c r="O462" s="909">
        <v>21664</v>
      </c>
      <c r="P462" s="911">
        <f t="shared" si="15"/>
        <v>21997</v>
      </c>
      <c r="Q462" s="909"/>
      <c r="R462" s="910">
        <v>3964</v>
      </c>
      <c r="S462" s="912">
        <v>-6783</v>
      </c>
      <c r="T462" s="912">
        <v>-2819</v>
      </c>
    </row>
    <row r="463" spans="1:20" x14ac:dyDescent="0.25">
      <c r="A463" s="906">
        <v>94911</v>
      </c>
      <c r="B463" s="907" t="s">
        <v>3022</v>
      </c>
      <c r="C463" s="908">
        <v>2.8311E-3</v>
      </c>
      <c r="D463" s="908">
        <v>2.7745999999999999E-3</v>
      </c>
      <c r="E463" s="909">
        <v>4325137</v>
      </c>
      <c r="F463" s="909"/>
      <c r="G463" s="910">
        <v>249168</v>
      </c>
      <c r="H463" s="911">
        <v>1050149</v>
      </c>
      <c r="I463" s="910">
        <v>617689</v>
      </c>
      <c r="J463" s="909">
        <v>39747</v>
      </c>
      <c r="K463" s="911">
        <f t="shared" si="14"/>
        <v>1956753</v>
      </c>
      <c r="L463" s="909"/>
      <c r="M463" s="910">
        <v>122431</v>
      </c>
      <c r="N463" s="910">
        <v>0</v>
      </c>
      <c r="O463" s="909">
        <v>40147</v>
      </c>
      <c r="P463" s="911">
        <f t="shared" si="15"/>
        <v>162578</v>
      </c>
      <c r="Q463" s="909"/>
      <c r="R463" s="910">
        <v>1457575</v>
      </c>
      <c r="S463" s="912">
        <v>-7457</v>
      </c>
      <c r="T463" s="912">
        <v>1450118</v>
      </c>
    </row>
    <row r="464" spans="1:20" x14ac:dyDescent="0.25">
      <c r="A464" s="906">
        <v>94917</v>
      </c>
      <c r="B464" s="907" t="s">
        <v>3023</v>
      </c>
      <c r="C464" s="908">
        <v>3.5099999999999999E-5</v>
      </c>
      <c r="D464" s="908">
        <v>3.7400000000000001E-5</v>
      </c>
      <c r="E464" s="909">
        <v>53623</v>
      </c>
      <c r="F464" s="909"/>
      <c r="G464" s="910">
        <v>3089</v>
      </c>
      <c r="H464" s="911">
        <v>13020</v>
      </c>
      <c r="I464" s="910">
        <v>7658</v>
      </c>
      <c r="J464" s="909">
        <v>16574</v>
      </c>
      <c r="K464" s="911">
        <f t="shared" si="14"/>
        <v>40341</v>
      </c>
      <c r="L464" s="909"/>
      <c r="M464" s="910">
        <v>1518</v>
      </c>
      <c r="N464" s="910">
        <v>0</v>
      </c>
      <c r="O464" s="909">
        <v>0</v>
      </c>
      <c r="P464" s="911">
        <f t="shared" si="15"/>
        <v>1518</v>
      </c>
      <c r="Q464" s="909"/>
      <c r="R464" s="910">
        <v>18071</v>
      </c>
      <c r="S464" s="912">
        <v>7114</v>
      </c>
      <c r="T464" s="912">
        <v>25185</v>
      </c>
    </row>
    <row r="465" spans="1:20" x14ac:dyDescent="0.25">
      <c r="A465" s="906">
        <v>94921</v>
      </c>
      <c r="B465" s="907" t="s">
        <v>3024</v>
      </c>
      <c r="C465" s="908">
        <v>3.9515000000000002E-3</v>
      </c>
      <c r="D465" s="908">
        <v>3.7063E-3</v>
      </c>
      <c r="E465" s="909">
        <v>6036797</v>
      </c>
      <c r="F465" s="909"/>
      <c r="G465" s="910">
        <v>347775</v>
      </c>
      <c r="H465" s="911">
        <v>1465741</v>
      </c>
      <c r="I465" s="910">
        <v>862138</v>
      </c>
      <c r="J465" s="909">
        <v>19200</v>
      </c>
      <c r="K465" s="911">
        <f t="shared" si="14"/>
        <v>2694854</v>
      </c>
      <c r="L465" s="909"/>
      <c r="M465" s="910">
        <v>170883</v>
      </c>
      <c r="N465" s="910">
        <v>0</v>
      </c>
      <c r="O465" s="909">
        <v>350239</v>
      </c>
      <c r="P465" s="911">
        <f t="shared" si="15"/>
        <v>521122</v>
      </c>
      <c r="Q465" s="909"/>
      <c r="R465" s="910">
        <v>2034406</v>
      </c>
      <c r="S465" s="912">
        <v>-150626</v>
      </c>
      <c r="T465" s="912">
        <v>1883780</v>
      </c>
    </row>
    <row r="466" spans="1:20" x14ac:dyDescent="0.25">
      <c r="A466" s="906">
        <v>94923</v>
      </c>
      <c r="B466" s="907" t="s">
        <v>3025</v>
      </c>
      <c r="C466" s="908">
        <v>3.0700000000000001E-5</v>
      </c>
      <c r="D466" s="908">
        <v>2.4499999999999999E-5</v>
      </c>
      <c r="E466" s="909">
        <v>46901</v>
      </c>
      <c r="F466" s="909"/>
      <c r="G466" s="910">
        <v>2702</v>
      </c>
      <c r="H466" s="911">
        <v>11387</v>
      </c>
      <c r="I466" s="910">
        <v>6698</v>
      </c>
      <c r="J466" s="909">
        <v>5727</v>
      </c>
      <c r="K466" s="911">
        <f t="shared" si="14"/>
        <v>26514</v>
      </c>
      <c r="L466" s="909"/>
      <c r="M466" s="910">
        <v>1328</v>
      </c>
      <c r="N466" s="910">
        <v>0</v>
      </c>
      <c r="O466" s="909">
        <v>86</v>
      </c>
      <c r="P466" s="911">
        <f t="shared" si="15"/>
        <v>1414</v>
      </c>
      <c r="Q466" s="909"/>
      <c r="R466" s="910">
        <v>15806</v>
      </c>
      <c r="S466" s="912">
        <v>1556</v>
      </c>
      <c r="T466" s="912">
        <v>17362</v>
      </c>
    </row>
    <row r="467" spans="1:20" x14ac:dyDescent="0.25">
      <c r="A467" s="906">
        <v>94927</v>
      </c>
      <c r="B467" s="907" t="s">
        <v>3026</v>
      </c>
      <c r="C467" s="908">
        <v>3.0599999999999998E-5</v>
      </c>
      <c r="D467" s="908">
        <v>3.3899999999999997E-5</v>
      </c>
      <c r="E467" s="909">
        <v>46748</v>
      </c>
      <c r="F467" s="909"/>
      <c r="G467" s="910">
        <v>2693</v>
      </c>
      <c r="H467" s="911">
        <v>11350</v>
      </c>
      <c r="I467" s="910">
        <v>6676</v>
      </c>
      <c r="J467" s="909">
        <v>2683</v>
      </c>
      <c r="K467" s="911">
        <f t="shared" si="14"/>
        <v>23402</v>
      </c>
      <c r="L467" s="909"/>
      <c r="M467" s="910">
        <v>1323</v>
      </c>
      <c r="N467" s="910">
        <v>0</v>
      </c>
      <c r="O467" s="909">
        <v>26</v>
      </c>
      <c r="P467" s="911">
        <f t="shared" si="15"/>
        <v>1349</v>
      </c>
      <c r="Q467" s="909"/>
      <c r="R467" s="910">
        <v>15754</v>
      </c>
      <c r="S467" s="912">
        <v>911</v>
      </c>
      <c r="T467" s="912">
        <v>16665</v>
      </c>
    </row>
    <row r="468" spans="1:20" x14ac:dyDescent="0.25">
      <c r="A468" s="906">
        <v>94931</v>
      </c>
      <c r="B468" s="907" t="s">
        <v>3027</v>
      </c>
      <c r="C468" s="908">
        <v>2.163E-4</v>
      </c>
      <c r="D468" s="908">
        <v>2.1130000000000001E-4</v>
      </c>
      <c r="E468" s="909">
        <v>330446</v>
      </c>
      <c r="F468" s="909"/>
      <c r="G468" s="910">
        <v>19037</v>
      </c>
      <c r="H468" s="911">
        <v>80233</v>
      </c>
      <c r="I468" s="910">
        <v>47192</v>
      </c>
      <c r="J468" s="909">
        <v>954</v>
      </c>
      <c r="K468" s="911">
        <f t="shared" si="14"/>
        <v>147416</v>
      </c>
      <c r="L468" s="909"/>
      <c r="M468" s="910">
        <v>9354</v>
      </c>
      <c r="N468" s="910">
        <v>0</v>
      </c>
      <c r="O468" s="909">
        <v>15740</v>
      </c>
      <c r="P468" s="911">
        <f t="shared" si="15"/>
        <v>25094</v>
      </c>
      <c r="Q468" s="909"/>
      <c r="R468" s="910">
        <v>111361</v>
      </c>
      <c r="S468" s="912">
        <v>-7901</v>
      </c>
      <c r="T468" s="912">
        <v>103460</v>
      </c>
    </row>
    <row r="469" spans="1:20" x14ac:dyDescent="0.25">
      <c r="A469" s="906">
        <v>94941</v>
      </c>
      <c r="B469" s="907" t="s">
        <v>3028</v>
      </c>
      <c r="C469" s="908">
        <v>5.7879999999999997E-4</v>
      </c>
      <c r="D469" s="908">
        <v>5.2959999999999997E-4</v>
      </c>
      <c r="E469" s="909">
        <v>884246</v>
      </c>
      <c r="F469" s="909"/>
      <c r="G469" s="910">
        <v>50941</v>
      </c>
      <c r="H469" s="911">
        <v>214696</v>
      </c>
      <c r="I469" s="910">
        <v>126283</v>
      </c>
      <c r="J469" s="909">
        <v>68775</v>
      </c>
      <c r="K469" s="911">
        <f t="shared" si="14"/>
        <v>460695</v>
      </c>
      <c r="L469" s="909"/>
      <c r="M469" s="910">
        <v>25030</v>
      </c>
      <c r="N469" s="910">
        <v>0</v>
      </c>
      <c r="O469" s="909">
        <v>0</v>
      </c>
      <c r="P469" s="911">
        <f t="shared" si="15"/>
        <v>25030</v>
      </c>
      <c r="Q469" s="909"/>
      <c r="R469" s="910">
        <v>297992</v>
      </c>
      <c r="S469" s="912">
        <v>46151</v>
      </c>
      <c r="T469" s="912">
        <v>344143</v>
      </c>
    </row>
    <row r="470" spans="1:20" x14ac:dyDescent="0.25">
      <c r="A470" s="906">
        <v>95001</v>
      </c>
      <c r="B470" s="907" t="s">
        <v>3029</v>
      </c>
      <c r="C470" s="908">
        <v>2.4867000000000001E-3</v>
      </c>
      <c r="D470" s="908">
        <v>2.3779000000000001E-3</v>
      </c>
      <c r="E470" s="909">
        <v>3798989</v>
      </c>
      <c r="F470" s="909"/>
      <c r="G470" s="910">
        <v>218857</v>
      </c>
      <c r="H470" s="911">
        <v>922399</v>
      </c>
      <c r="I470" s="910">
        <v>542548</v>
      </c>
      <c r="J470" s="909">
        <v>176888</v>
      </c>
      <c r="K470" s="911">
        <f t="shared" si="14"/>
        <v>1860692</v>
      </c>
      <c r="L470" s="909"/>
      <c r="M470" s="910">
        <v>107537</v>
      </c>
      <c r="N470" s="910">
        <v>0</v>
      </c>
      <c r="O470" s="909">
        <v>3991</v>
      </c>
      <c r="P470" s="911">
        <f t="shared" si="15"/>
        <v>111528</v>
      </c>
      <c r="Q470" s="909"/>
      <c r="R470" s="910">
        <v>1280263</v>
      </c>
      <c r="S470" s="912">
        <v>51652</v>
      </c>
      <c r="T470" s="912">
        <v>1331915</v>
      </c>
    </row>
    <row r="471" spans="1:20" x14ac:dyDescent="0.25">
      <c r="A471" s="906">
        <v>95002</v>
      </c>
      <c r="B471" s="907" t="s">
        <v>3030</v>
      </c>
      <c r="C471" s="908">
        <v>1.907E-4</v>
      </c>
      <c r="D471" s="908">
        <v>2.0120000000000001E-4</v>
      </c>
      <c r="E471" s="909">
        <v>291337</v>
      </c>
      <c r="F471" s="909"/>
      <c r="G471" s="910">
        <v>16784</v>
      </c>
      <c r="H471" s="911">
        <v>70737</v>
      </c>
      <c r="I471" s="910">
        <v>41607</v>
      </c>
      <c r="J471" s="909">
        <v>15647</v>
      </c>
      <c r="K471" s="911">
        <f t="shared" si="14"/>
        <v>144775</v>
      </c>
      <c r="L471" s="909"/>
      <c r="M471" s="910">
        <v>8247</v>
      </c>
      <c r="N471" s="910">
        <v>0</v>
      </c>
      <c r="O471" s="909">
        <v>0</v>
      </c>
      <c r="P471" s="911">
        <f t="shared" si="15"/>
        <v>8247</v>
      </c>
      <c r="Q471" s="909"/>
      <c r="R471" s="910">
        <v>98181</v>
      </c>
      <c r="S471" s="912">
        <v>6293</v>
      </c>
      <c r="T471" s="912">
        <v>104474</v>
      </c>
    </row>
    <row r="472" spans="1:20" x14ac:dyDescent="0.25">
      <c r="A472" s="906">
        <v>95005</v>
      </c>
      <c r="B472" s="907" t="s">
        <v>3031</v>
      </c>
      <c r="C472" s="908">
        <v>2.2949999999999999E-4</v>
      </c>
      <c r="D472" s="908">
        <v>2.3829999999999999E-4</v>
      </c>
      <c r="E472" s="909">
        <v>350612</v>
      </c>
      <c r="F472" s="909"/>
      <c r="G472" s="910">
        <v>20199</v>
      </c>
      <c r="H472" s="911">
        <v>85129</v>
      </c>
      <c r="I472" s="910">
        <v>50072</v>
      </c>
      <c r="J472" s="909">
        <v>13727</v>
      </c>
      <c r="K472" s="911">
        <f t="shared" si="14"/>
        <v>169127</v>
      </c>
      <c r="L472" s="909"/>
      <c r="M472" s="910">
        <v>9925</v>
      </c>
      <c r="N472" s="910">
        <v>0</v>
      </c>
      <c r="O472" s="909">
        <v>1630</v>
      </c>
      <c r="P472" s="911">
        <f t="shared" si="15"/>
        <v>11555</v>
      </c>
      <c r="Q472" s="909"/>
      <c r="R472" s="910">
        <v>118157</v>
      </c>
      <c r="S472" s="912">
        <v>9042</v>
      </c>
      <c r="T472" s="912">
        <v>127199</v>
      </c>
    </row>
    <row r="473" spans="1:20" x14ac:dyDescent="0.25">
      <c r="A473" s="906">
        <v>95008</v>
      </c>
      <c r="B473" s="907" t="s">
        <v>3032</v>
      </c>
      <c r="C473" s="908">
        <v>1.1519999999999999E-4</v>
      </c>
      <c r="D473" s="908">
        <v>1.169E-4</v>
      </c>
      <c r="E473" s="909">
        <v>175994</v>
      </c>
      <c r="F473" s="909"/>
      <c r="G473" s="910">
        <v>10139</v>
      </c>
      <c r="H473" s="911">
        <v>42731</v>
      </c>
      <c r="I473" s="910">
        <v>25134</v>
      </c>
      <c r="J473" s="909">
        <v>19189</v>
      </c>
      <c r="K473" s="911">
        <f t="shared" si="14"/>
        <v>97193</v>
      </c>
      <c r="L473" s="909"/>
      <c r="M473" s="910">
        <v>4982</v>
      </c>
      <c r="N473" s="910">
        <v>0</v>
      </c>
      <c r="O473" s="909">
        <v>6239</v>
      </c>
      <c r="P473" s="911">
        <f t="shared" si="15"/>
        <v>11221</v>
      </c>
      <c r="Q473" s="909"/>
      <c r="R473" s="910">
        <v>59310</v>
      </c>
      <c r="S473" s="912">
        <v>9098</v>
      </c>
      <c r="T473" s="912">
        <v>68408</v>
      </c>
    </row>
    <row r="474" spans="1:20" x14ac:dyDescent="0.25">
      <c r="A474" s="906">
        <v>95009</v>
      </c>
      <c r="B474" s="907" t="s">
        <v>3588</v>
      </c>
      <c r="C474" s="908">
        <v>4.2208999999999997E-3</v>
      </c>
      <c r="D474" s="908">
        <v>3.9902000000000002E-3</v>
      </c>
      <c r="E474" s="909">
        <v>6448366</v>
      </c>
      <c r="F474" s="909"/>
      <c r="G474" s="910">
        <v>371486</v>
      </c>
      <c r="H474" s="911">
        <v>1565671</v>
      </c>
      <c r="I474" s="910">
        <v>920916</v>
      </c>
      <c r="J474" s="909">
        <v>897451</v>
      </c>
      <c r="K474" s="911">
        <f t="shared" si="14"/>
        <v>3755524</v>
      </c>
      <c r="L474" s="909"/>
      <c r="M474" s="910">
        <v>182533</v>
      </c>
      <c r="N474" s="910">
        <v>0</v>
      </c>
      <c r="O474" s="909">
        <v>0</v>
      </c>
      <c r="P474" s="911">
        <f t="shared" si="15"/>
        <v>182533</v>
      </c>
      <c r="Q474" s="909"/>
      <c r="R474" s="910">
        <v>2173105</v>
      </c>
      <c r="S474" s="912">
        <v>582135</v>
      </c>
      <c r="T474" s="912">
        <v>2755240</v>
      </c>
    </row>
    <row r="475" spans="1:20" x14ac:dyDescent="0.25">
      <c r="A475" s="906">
        <v>95011</v>
      </c>
      <c r="B475" s="907" t="s">
        <v>3034</v>
      </c>
      <c r="C475" s="908">
        <v>1.8000000000000001E-4</v>
      </c>
      <c r="D475" s="908">
        <v>1.707E-4</v>
      </c>
      <c r="E475" s="909">
        <v>274990</v>
      </c>
      <c r="F475" s="909"/>
      <c r="G475" s="910">
        <v>15842</v>
      </c>
      <c r="H475" s="911">
        <v>66768</v>
      </c>
      <c r="I475" s="910">
        <v>39272</v>
      </c>
      <c r="J475" s="909">
        <v>3275</v>
      </c>
      <c r="K475" s="911">
        <f t="shared" si="14"/>
        <v>125157</v>
      </c>
      <c r="L475" s="909"/>
      <c r="M475" s="910">
        <v>7784</v>
      </c>
      <c r="N475" s="910">
        <v>0</v>
      </c>
      <c r="O475" s="909">
        <v>8909</v>
      </c>
      <c r="P475" s="911">
        <f t="shared" si="15"/>
        <v>16693</v>
      </c>
      <c r="Q475" s="909"/>
      <c r="R475" s="910">
        <v>92672</v>
      </c>
      <c r="S475" s="912">
        <v>-3840</v>
      </c>
      <c r="T475" s="912">
        <v>88832</v>
      </c>
    </row>
    <row r="476" spans="1:20" x14ac:dyDescent="0.25">
      <c r="A476" s="906">
        <v>95017</v>
      </c>
      <c r="B476" s="907" t="s">
        <v>3035</v>
      </c>
      <c r="C476" s="908">
        <v>3.8800000000000001E-5</v>
      </c>
      <c r="D476" s="908">
        <v>3.5800000000000003E-5</v>
      </c>
      <c r="E476" s="909">
        <v>59276</v>
      </c>
      <c r="F476" s="909"/>
      <c r="G476" s="910">
        <v>3415</v>
      </c>
      <c r="H476" s="911">
        <v>14392</v>
      </c>
      <c r="I476" s="910">
        <v>8465</v>
      </c>
      <c r="J476" s="909">
        <v>13339</v>
      </c>
      <c r="K476" s="911">
        <f t="shared" si="14"/>
        <v>39611</v>
      </c>
      <c r="L476" s="909"/>
      <c r="M476" s="910">
        <v>1678</v>
      </c>
      <c r="N476" s="910">
        <v>0</v>
      </c>
      <c r="O476" s="909">
        <v>0</v>
      </c>
      <c r="P476" s="911">
        <f t="shared" si="15"/>
        <v>1678</v>
      </c>
      <c r="Q476" s="909"/>
      <c r="R476" s="910">
        <v>19976</v>
      </c>
      <c r="S476" s="912">
        <v>7635</v>
      </c>
      <c r="T476" s="912">
        <v>27611</v>
      </c>
    </row>
    <row r="477" spans="1:20" x14ac:dyDescent="0.25">
      <c r="A477" s="906">
        <v>95101</v>
      </c>
      <c r="B477" s="907" t="s">
        <v>3036</v>
      </c>
      <c r="C477" s="908">
        <v>8.3750999999999999E-3</v>
      </c>
      <c r="D477" s="908">
        <v>8.0955999999999997E-3</v>
      </c>
      <c r="E477" s="909">
        <v>12794833</v>
      </c>
      <c r="F477" s="909"/>
      <c r="G477" s="910">
        <v>737101</v>
      </c>
      <c r="H477" s="911">
        <v>3106601</v>
      </c>
      <c r="I477" s="910">
        <v>1827279</v>
      </c>
      <c r="J477" s="909">
        <v>39562</v>
      </c>
      <c r="K477" s="911">
        <f t="shared" si="14"/>
        <v>5710543</v>
      </c>
      <c r="L477" s="909"/>
      <c r="M477" s="910">
        <v>362181</v>
      </c>
      <c r="N477" s="910">
        <v>0</v>
      </c>
      <c r="O477" s="909">
        <v>114122</v>
      </c>
      <c r="P477" s="911">
        <f t="shared" si="15"/>
        <v>476303</v>
      </c>
      <c r="Q477" s="909"/>
      <c r="R477" s="910">
        <v>4311870</v>
      </c>
      <c r="S477" s="912">
        <v>1978</v>
      </c>
      <c r="T477" s="912">
        <v>4313848</v>
      </c>
    </row>
    <row r="478" spans="1:20" x14ac:dyDescent="0.25">
      <c r="A478" s="906">
        <v>95103</v>
      </c>
      <c r="B478" s="907" t="s">
        <v>3037</v>
      </c>
      <c r="C478" s="908">
        <v>4.9100000000000001E-5</v>
      </c>
      <c r="D478" s="908">
        <v>6.02E-5</v>
      </c>
      <c r="E478" s="909">
        <v>75011</v>
      </c>
      <c r="F478" s="909"/>
      <c r="G478" s="910">
        <v>4321</v>
      </c>
      <c r="H478" s="911">
        <v>18213</v>
      </c>
      <c r="I478" s="910">
        <v>10713</v>
      </c>
      <c r="J478" s="909">
        <v>24203</v>
      </c>
      <c r="K478" s="911">
        <f t="shared" si="14"/>
        <v>57450</v>
      </c>
      <c r="L478" s="909"/>
      <c r="M478" s="910">
        <v>2123</v>
      </c>
      <c r="N478" s="910">
        <v>0</v>
      </c>
      <c r="O478" s="909">
        <v>0</v>
      </c>
      <c r="P478" s="911">
        <f t="shared" si="15"/>
        <v>2123</v>
      </c>
      <c r="Q478" s="909"/>
      <c r="R478" s="910">
        <v>25279</v>
      </c>
      <c r="S478" s="912">
        <v>18053</v>
      </c>
      <c r="T478" s="912">
        <v>43332</v>
      </c>
    </row>
    <row r="479" spans="1:20" x14ac:dyDescent="0.25">
      <c r="A479" s="906">
        <v>95104</v>
      </c>
      <c r="B479" s="907" t="s">
        <v>3038</v>
      </c>
      <c r="C479" s="908">
        <v>1.02E-4</v>
      </c>
      <c r="D479" s="908">
        <v>1.011E-4</v>
      </c>
      <c r="E479" s="909">
        <v>155828</v>
      </c>
      <c r="F479" s="909"/>
      <c r="G479" s="910">
        <v>8977</v>
      </c>
      <c r="H479" s="911">
        <v>37835</v>
      </c>
      <c r="I479" s="910">
        <v>22254</v>
      </c>
      <c r="J479" s="909">
        <v>19729</v>
      </c>
      <c r="K479" s="911">
        <f t="shared" si="14"/>
        <v>88795</v>
      </c>
      <c r="L479" s="909"/>
      <c r="M479" s="910">
        <v>4411</v>
      </c>
      <c r="N479" s="910">
        <v>0</v>
      </c>
      <c r="O479" s="909">
        <v>0</v>
      </c>
      <c r="P479" s="911">
        <f t="shared" si="15"/>
        <v>4411</v>
      </c>
      <c r="Q479" s="909"/>
      <c r="R479" s="910">
        <v>52514</v>
      </c>
      <c r="S479" s="912">
        <v>8399</v>
      </c>
      <c r="T479" s="912">
        <v>60913</v>
      </c>
    </row>
    <row r="480" spans="1:20" x14ac:dyDescent="0.25">
      <c r="A480" s="906">
        <v>95105</v>
      </c>
      <c r="B480" s="907" t="s">
        <v>3039</v>
      </c>
      <c r="C480" s="908">
        <v>6.1099999999999994E-5</v>
      </c>
      <c r="D480" s="908">
        <v>6.3700000000000003E-5</v>
      </c>
      <c r="E480" s="909">
        <v>93344</v>
      </c>
      <c r="F480" s="909"/>
      <c r="G480" s="910">
        <v>5377</v>
      </c>
      <c r="H480" s="911">
        <v>22664</v>
      </c>
      <c r="I480" s="910">
        <v>13331</v>
      </c>
      <c r="J480" s="909">
        <v>8129</v>
      </c>
      <c r="K480" s="911">
        <f t="shared" si="14"/>
        <v>49501</v>
      </c>
      <c r="L480" s="909"/>
      <c r="M480" s="910">
        <v>2642</v>
      </c>
      <c r="N480" s="910">
        <v>0</v>
      </c>
      <c r="O480" s="909">
        <v>0</v>
      </c>
      <c r="P480" s="911">
        <f t="shared" si="15"/>
        <v>2642</v>
      </c>
      <c r="Q480" s="909"/>
      <c r="R480" s="910">
        <v>31457</v>
      </c>
      <c r="S480" s="912">
        <v>4018</v>
      </c>
      <c r="T480" s="912">
        <v>35475</v>
      </c>
    </row>
    <row r="481" spans="1:20" x14ac:dyDescent="0.25">
      <c r="A481" s="906">
        <v>95106</v>
      </c>
      <c r="B481" s="907" t="s">
        <v>3040</v>
      </c>
      <c r="C481" s="908">
        <v>1.2099999999999999E-5</v>
      </c>
      <c r="D481" s="908">
        <v>1.3900000000000001E-5</v>
      </c>
      <c r="E481" s="909">
        <v>18485</v>
      </c>
      <c r="F481" s="909"/>
      <c r="G481" s="910">
        <v>1065</v>
      </c>
      <c r="H481" s="911">
        <v>4488</v>
      </c>
      <c r="I481" s="910">
        <v>2640</v>
      </c>
      <c r="J481" s="909">
        <v>4918</v>
      </c>
      <c r="K481" s="911">
        <f t="shared" si="14"/>
        <v>13111</v>
      </c>
      <c r="L481" s="909"/>
      <c r="M481" s="910">
        <v>523</v>
      </c>
      <c r="N481" s="910">
        <v>0</v>
      </c>
      <c r="O481" s="909">
        <v>1433</v>
      </c>
      <c r="P481" s="911">
        <f t="shared" si="15"/>
        <v>1956</v>
      </c>
      <c r="Q481" s="909"/>
      <c r="R481" s="910">
        <v>6230</v>
      </c>
      <c r="S481" s="912">
        <v>2234</v>
      </c>
      <c r="T481" s="912">
        <v>8464</v>
      </c>
    </row>
    <row r="482" spans="1:20" x14ac:dyDescent="0.25">
      <c r="A482" s="906">
        <v>95110</v>
      </c>
      <c r="B482" s="907" t="s">
        <v>3041</v>
      </c>
      <c r="C482" s="908">
        <v>4.2902000000000001E-3</v>
      </c>
      <c r="D482" s="908">
        <v>4.4609000000000003E-3</v>
      </c>
      <c r="E482" s="909">
        <v>6554237</v>
      </c>
      <c r="F482" s="909"/>
      <c r="G482" s="910">
        <v>377585</v>
      </c>
      <c r="H482" s="911">
        <v>1591377</v>
      </c>
      <c r="I482" s="910">
        <v>936036</v>
      </c>
      <c r="J482" s="909">
        <v>0</v>
      </c>
      <c r="K482" s="911">
        <f t="shared" si="14"/>
        <v>2904998</v>
      </c>
      <c r="L482" s="909"/>
      <c r="M482" s="910">
        <v>185530</v>
      </c>
      <c r="N482" s="910">
        <v>0</v>
      </c>
      <c r="O482" s="909">
        <v>1097124</v>
      </c>
      <c r="P482" s="911">
        <f t="shared" si="15"/>
        <v>1282654</v>
      </c>
      <c r="Q482" s="909"/>
      <c r="R482" s="910">
        <v>2208784</v>
      </c>
      <c r="S482" s="912">
        <v>-636198</v>
      </c>
      <c r="T482" s="912">
        <v>1572586</v>
      </c>
    </row>
    <row r="483" spans="1:20" x14ac:dyDescent="0.25">
      <c r="A483" s="906">
        <v>95111</v>
      </c>
      <c r="B483" s="907" t="s">
        <v>3042</v>
      </c>
      <c r="C483" s="908">
        <v>1.0778999999999999E-3</v>
      </c>
      <c r="D483" s="908">
        <v>1.0709000000000001E-3</v>
      </c>
      <c r="E483" s="909">
        <v>1646733</v>
      </c>
      <c r="F483" s="909"/>
      <c r="G483" s="910">
        <v>94867</v>
      </c>
      <c r="H483" s="911">
        <v>399829</v>
      </c>
      <c r="I483" s="910">
        <v>235176</v>
      </c>
      <c r="J483" s="909">
        <v>0</v>
      </c>
      <c r="K483" s="911">
        <f t="shared" si="14"/>
        <v>729872</v>
      </c>
      <c r="L483" s="909"/>
      <c r="M483" s="910">
        <v>46614</v>
      </c>
      <c r="N483" s="910">
        <v>0</v>
      </c>
      <c r="O483" s="909">
        <v>120462</v>
      </c>
      <c r="P483" s="911">
        <f t="shared" si="15"/>
        <v>167076</v>
      </c>
      <c r="Q483" s="909"/>
      <c r="R483" s="910">
        <v>554950</v>
      </c>
      <c r="S483" s="912">
        <v>-59518</v>
      </c>
      <c r="T483" s="912">
        <v>495432</v>
      </c>
    </row>
    <row r="484" spans="1:20" x14ac:dyDescent="0.25">
      <c r="A484" s="906">
        <v>95113</v>
      </c>
      <c r="B484" s="907" t="s">
        <v>3043</v>
      </c>
      <c r="C484" s="908">
        <v>4.6699999999999997E-5</v>
      </c>
      <c r="D484" s="908">
        <v>4.7500000000000003E-5</v>
      </c>
      <c r="E484" s="909">
        <v>71345</v>
      </c>
      <c r="F484" s="909"/>
      <c r="G484" s="910">
        <v>4110</v>
      </c>
      <c r="H484" s="911">
        <v>17322</v>
      </c>
      <c r="I484" s="910">
        <v>10189</v>
      </c>
      <c r="J484" s="909">
        <v>82563</v>
      </c>
      <c r="K484" s="911">
        <f t="shared" si="14"/>
        <v>114184</v>
      </c>
      <c r="L484" s="909"/>
      <c r="M484" s="910">
        <v>2020</v>
      </c>
      <c r="N484" s="910">
        <v>0</v>
      </c>
      <c r="O484" s="909">
        <v>0</v>
      </c>
      <c r="P484" s="911">
        <f t="shared" si="15"/>
        <v>2020</v>
      </c>
      <c r="Q484" s="909"/>
      <c r="R484" s="910">
        <v>24043</v>
      </c>
      <c r="S484" s="912">
        <v>31359</v>
      </c>
      <c r="T484" s="912">
        <v>55402</v>
      </c>
    </row>
    <row r="485" spans="1:20" x14ac:dyDescent="0.25">
      <c r="A485" s="906">
        <v>95121</v>
      </c>
      <c r="B485" s="907" t="s">
        <v>3044</v>
      </c>
      <c r="C485" s="908">
        <v>4.9770000000000001E-4</v>
      </c>
      <c r="D485" s="908">
        <v>4.9580000000000002E-4</v>
      </c>
      <c r="E485" s="909">
        <v>760348</v>
      </c>
      <c r="F485" s="909"/>
      <c r="G485" s="910">
        <v>43803</v>
      </c>
      <c r="H485" s="911">
        <v>184613</v>
      </c>
      <c r="I485" s="910">
        <v>108588</v>
      </c>
      <c r="J485" s="909">
        <v>12640</v>
      </c>
      <c r="K485" s="911">
        <f t="shared" si="14"/>
        <v>349644</v>
      </c>
      <c r="L485" s="909"/>
      <c r="M485" s="910">
        <v>21523</v>
      </c>
      <c r="N485" s="910">
        <v>0</v>
      </c>
      <c r="O485" s="909">
        <v>14371</v>
      </c>
      <c r="P485" s="911">
        <f t="shared" si="15"/>
        <v>35894</v>
      </c>
      <c r="Q485" s="909"/>
      <c r="R485" s="910">
        <v>256238</v>
      </c>
      <c r="S485" s="912">
        <v>-7628</v>
      </c>
      <c r="T485" s="912">
        <v>248610</v>
      </c>
    </row>
    <row r="486" spans="1:20" x14ac:dyDescent="0.25">
      <c r="A486" s="906">
        <v>95122</v>
      </c>
      <c r="B486" s="907" t="s">
        <v>3045</v>
      </c>
      <c r="C486" s="908">
        <v>6.4999999999999996E-6</v>
      </c>
      <c r="D486" s="908">
        <v>2.7999999999999999E-6</v>
      </c>
      <c r="E486" s="909">
        <v>9930</v>
      </c>
      <c r="F486" s="909"/>
      <c r="G486" s="910">
        <v>572</v>
      </c>
      <c r="H486" s="911">
        <v>2411</v>
      </c>
      <c r="I486" s="910">
        <v>1418</v>
      </c>
      <c r="J486" s="909">
        <v>3675</v>
      </c>
      <c r="K486" s="911">
        <f t="shared" si="14"/>
        <v>8076</v>
      </c>
      <c r="L486" s="909"/>
      <c r="M486" s="910">
        <v>281</v>
      </c>
      <c r="N486" s="910">
        <v>0</v>
      </c>
      <c r="O486" s="909">
        <v>0</v>
      </c>
      <c r="P486" s="911">
        <f t="shared" si="15"/>
        <v>281</v>
      </c>
      <c r="Q486" s="909"/>
      <c r="R486" s="910">
        <v>3346</v>
      </c>
      <c r="S486" s="912">
        <v>1103</v>
      </c>
      <c r="T486" s="912">
        <v>4449</v>
      </c>
    </row>
    <row r="487" spans="1:20" x14ac:dyDescent="0.25">
      <c r="A487" s="906">
        <v>95123</v>
      </c>
      <c r="B487" s="907" t="s">
        <v>3046</v>
      </c>
      <c r="C487" s="908">
        <v>5.7399999999999999E-5</v>
      </c>
      <c r="D487" s="908">
        <v>5.6700000000000003E-5</v>
      </c>
      <c r="E487" s="909">
        <v>87691</v>
      </c>
      <c r="F487" s="909"/>
      <c r="G487" s="910">
        <v>5052</v>
      </c>
      <c r="H487" s="911">
        <v>21291</v>
      </c>
      <c r="I487" s="910">
        <v>12524</v>
      </c>
      <c r="J487" s="909">
        <v>8811</v>
      </c>
      <c r="K487" s="911">
        <f t="shared" si="14"/>
        <v>47678</v>
      </c>
      <c r="L487" s="909"/>
      <c r="M487" s="910">
        <v>2482</v>
      </c>
      <c r="N487" s="910">
        <v>0</v>
      </c>
      <c r="O487" s="909">
        <v>1459</v>
      </c>
      <c r="P487" s="911">
        <f t="shared" si="15"/>
        <v>3941</v>
      </c>
      <c r="Q487" s="909"/>
      <c r="R487" s="910">
        <v>29552</v>
      </c>
      <c r="S487" s="912">
        <v>1830</v>
      </c>
      <c r="T487" s="912">
        <v>31382</v>
      </c>
    </row>
    <row r="488" spans="1:20" x14ac:dyDescent="0.25">
      <c r="A488" s="906">
        <v>95131</v>
      </c>
      <c r="B488" s="907" t="s">
        <v>3047</v>
      </c>
      <c r="C488" s="908">
        <v>1.6682999999999999E-3</v>
      </c>
      <c r="D488" s="908">
        <v>1.5451E-3</v>
      </c>
      <c r="E488" s="909">
        <v>2548700</v>
      </c>
      <c r="F488" s="909"/>
      <c r="G488" s="910">
        <v>146829</v>
      </c>
      <c r="H488" s="911">
        <v>618827</v>
      </c>
      <c r="I488" s="910">
        <v>363990</v>
      </c>
      <c r="J488" s="909">
        <v>105945</v>
      </c>
      <c r="K488" s="911">
        <f t="shared" si="14"/>
        <v>1235591</v>
      </c>
      <c r="L488" s="909"/>
      <c r="M488" s="910">
        <v>72146</v>
      </c>
      <c r="N488" s="910">
        <v>0</v>
      </c>
      <c r="O488" s="909">
        <v>846</v>
      </c>
      <c r="P488" s="911">
        <f t="shared" si="15"/>
        <v>72992</v>
      </c>
      <c r="Q488" s="909"/>
      <c r="R488" s="910">
        <v>858914</v>
      </c>
      <c r="S488" s="912">
        <v>33842</v>
      </c>
      <c r="T488" s="912">
        <v>892756</v>
      </c>
    </row>
    <row r="489" spans="1:20" x14ac:dyDescent="0.25">
      <c r="A489" s="906">
        <v>95141</v>
      </c>
      <c r="B489" s="907" t="s">
        <v>3048</v>
      </c>
      <c r="C489" s="908">
        <v>3.2220000000000003E-4</v>
      </c>
      <c r="D489" s="908">
        <v>3.1819999999999998E-4</v>
      </c>
      <c r="E489" s="909">
        <v>492232</v>
      </c>
      <c r="F489" s="909"/>
      <c r="G489" s="910">
        <v>28357</v>
      </c>
      <c r="H489" s="911">
        <v>119515</v>
      </c>
      <c r="I489" s="910">
        <v>70298</v>
      </c>
      <c r="J489" s="909">
        <v>1251</v>
      </c>
      <c r="K489" s="911">
        <f t="shared" si="14"/>
        <v>219421</v>
      </c>
      <c r="L489" s="909"/>
      <c r="M489" s="910">
        <v>13934</v>
      </c>
      <c r="N489" s="910">
        <v>0</v>
      </c>
      <c r="O489" s="909">
        <v>29129</v>
      </c>
      <c r="P489" s="911">
        <f t="shared" si="15"/>
        <v>43063</v>
      </c>
      <c r="Q489" s="909"/>
      <c r="R489" s="910">
        <v>165883</v>
      </c>
      <c r="S489" s="912">
        <v>-11233</v>
      </c>
      <c r="T489" s="912">
        <v>154650</v>
      </c>
    </row>
    <row r="490" spans="1:20" x14ac:dyDescent="0.25">
      <c r="A490" s="906">
        <v>95151</v>
      </c>
      <c r="B490" s="907" t="s">
        <v>3049</v>
      </c>
      <c r="C490" s="908">
        <v>1.092E-4</v>
      </c>
      <c r="D490" s="908">
        <v>1.158E-4</v>
      </c>
      <c r="E490" s="909">
        <v>166827</v>
      </c>
      <c r="F490" s="909"/>
      <c r="G490" s="910">
        <v>9611</v>
      </c>
      <c r="H490" s="911">
        <v>40506</v>
      </c>
      <c r="I490" s="910">
        <v>23825</v>
      </c>
      <c r="J490" s="909">
        <v>364</v>
      </c>
      <c r="K490" s="911">
        <f t="shared" si="14"/>
        <v>74306</v>
      </c>
      <c r="L490" s="909"/>
      <c r="M490" s="910">
        <v>4722</v>
      </c>
      <c r="N490" s="910">
        <v>0</v>
      </c>
      <c r="O490" s="909">
        <v>10802</v>
      </c>
      <c r="P490" s="911">
        <f t="shared" si="15"/>
        <v>15524</v>
      </c>
      <c r="Q490" s="909"/>
      <c r="R490" s="910">
        <v>56221</v>
      </c>
      <c r="S490" s="912">
        <v>-3332</v>
      </c>
      <c r="T490" s="912">
        <v>52889</v>
      </c>
    </row>
    <row r="491" spans="1:20" x14ac:dyDescent="0.25">
      <c r="A491" s="906">
        <v>95161</v>
      </c>
      <c r="B491" s="907" t="s">
        <v>3050</v>
      </c>
      <c r="C491" s="908">
        <v>6.8100000000000002E-5</v>
      </c>
      <c r="D491" s="908">
        <v>7.4800000000000002E-5</v>
      </c>
      <c r="E491" s="909">
        <v>104038</v>
      </c>
      <c r="F491" s="909"/>
      <c r="G491" s="910">
        <v>5994</v>
      </c>
      <c r="H491" s="911">
        <v>25261</v>
      </c>
      <c r="I491" s="910">
        <v>14858</v>
      </c>
      <c r="J491" s="909">
        <v>5468</v>
      </c>
      <c r="K491" s="911">
        <f t="shared" si="14"/>
        <v>51581</v>
      </c>
      <c r="L491" s="909"/>
      <c r="M491" s="910">
        <v>2945</v>
      </c>
      <c r="N491" s="910">
        <v>0</v>
      </c>
      <c r="O491" s="909">
        <v>1353</v>
      </c>
      <c r="P491" s="911">
        <f t="shared" si="15"/>
        <v>4298</v>
      </c>
      <c r="Q491" s="909"/>
      <c r="R491" s="910">
        <v>35061</v>
      </c>
      <c r="S491" s="912">
        <v>1287</v>
      </c>
      <c r="T491" s="912">
        <v>36348</v>
      </c>
    </row>
    <row r="492" spans="1:20" x14ac:dyDescent="0.25">
      <c r="A492" s="906">
        <v>95171</v>
      </c>
      <c r="B492" s="907" t="s">
        <v>3051</v>
      </c>
      <c r="C492" s="908">
        <v>1.0459999999999999E-4</v>
      </c>
      <c r="D492" s="908">
        <v>1.2300000000000001E-4</v>
      </c>
      <c r="E492" s="909">
        <v>159800</v>
      </c>
      <c r="F492" s="909"/>
      <c r="G492" s="910">
        <v>9206</v>
      </c>
      <c r="H492" s="911">
        <v>38799</v>
      </c>
      <c r="I492" s="910">
        <v>22822</v>
      </c>
      <c r="J492" s="909">
        <v>6705</v>
      </c>
      <c r="K492" s="911">
        <f t="shared" si="14"/>
        <v>77532</v>
      </c>
      <c r="L492" s="909"/>
      <c r="M492" s="910">
        <v>4523</v>
      </c>
      <c r="N492" s="910">
        <v>0</v>
      </c>
      <c r="O492" s="909">
        <v>14987</v>
      </c>
      <c r="P492" s="911">
        <f t="shared" si="15"/>
        <v>19510</v>
      </c>
      <c r="Q492" s="909"/>
      <c r="R492" s="910">
        <v>53853</v>
      </c>
      <c r="S492" s="912">
        <v>-3646</v>
      </c>
      <c r="T492" s="912">
        <v>50207</v>
      </c>
    </row>
    <row r="493" spans="1:20" x14ac:dyDescent="0.25">
      <c r="A493" s="906">
        <v>95181</v>
      </c>
      <c r="B493" s="907" t="s">
        <v>3052</v>
      </c>
      <c r="C493" s="908">
        <v>7.7100000000000004E-5</v>
      </c>
      <c r="D493" s="908">
        <v>7.7899999999999996E-5</v>
      </c>
      <c r="E493" s="909">
        <v>117787</v>
      </c>
      <c r="F493" s="909"/>
      <c r="G493" s="910">
        <v>6786</v>
      </c>
      <c r="H493" s="911">
        <v>28599</v>
      </c>
      <c r="I493" s="910">
        <v>16822</v>
      </c>
      <c r="J493" s="909">
        <v>1069</v>
      </c>
      <c r="K493" s="911">
        <f t="shared" si="14"/>
        <v>53276</v>
      </c>
      <c r="L493" s="909"/>
      <c r="M493" s="910">
        <v>3334</v>
      </c>
      <c r="N493" s="910">
        <v>0</v>
      </c>
      <c r="O493" s="909">
        <v>9474</v>
      </c>
      <c r="P493" s="911">
        <f t="shared" si="15"/>
        <v>12808</v>
      </c>
      <c r="Q493" s="909"/>
      <c r="R493" s="910">
        <v>39694</v>
      </c>
      <c r="S493" s="912">
        <v>-2444</v>
      </c>
      <c r="T493" s="912">
        <v>37250</v>
      </c>
    </row>
    <row r="494" spans="1:20" x14ac:dyDescent="0.25">
      <c r="A494" s="906">
        <v>95191</v>
      </c>
      <c r="B494" s="907" t="s">
        <v>3053</v>
      </c>
      <c r="C494" s="908">
        <v>5.3999999999999998E-5</v>
      </c>
      <c r="D494" s="908">
        <v>5.3999999999999998E-5</v>
      </c>
      <c r="E494" s="909">
        <v>82497</v>
      </c>
      <c r="F494" s="909"/>
      <c r="G494" s="910">
        <v>4753</v>
      </c>
      <c r="H494" s="911">
        <v>20031</v>
      </c>
      <c r="I494" s="910">
        <v>11782</v>
      </c>
      <c r="J494" s="909">
        <v>12522</v>
      </c>
      <c r="K494" s="911">
        <f t="shared" si="14"/>
        <v>49088</v>
      </c>
      <c r="L494" s="909"/>
      <c r="M494" s="910">
        <v>2335</v>
      </c>
      <c r="N494" s="910">
        <v>0</v>
      </c>
      <c r="O494" s="909">
        <v>5293</v>
      </c>
      <c r="P494" s="911">
        <f t="shared" si="15"/>
        <v>7628</v>
      </c>
      <c r="Q494" s="909"/>
      <c r="R494" s="910">
        <v>27802</v>
      </c>
      <c r="S494" s="912">
        <v>4438</v>
      </c>
      <c r="T494" s="912">
        <v>32240</v>
      </c>
    </row>
    <row r="495" spans="1:20" x14ac:dyDescent="0.25">
      <c r="A495" s="906">
        <v>95201</v>
      </c>
      <c r="B495" s="907" t="s">
        <v>3054</v>
      </c>
      <c r="C495" s="908">
        <v>7.0969999999999996E-4</v>
      </c>
      <c r="D495" s="908">
        <v>6.8329999999999997E-4</v>
      </c>
      <c r="E495" s="909">
        <v>1084225</v>
      </c>
      <c r="F495" s="909"/>
      <c r="G495" s="910">
        <v>62461</v>
      </c>
      <c r="H495" s="911">
        <v>263252</v>
      </c>
      <c r="I495" s="910">
        <v>154842</v>
      </c>
      <c r="J495" s="909">
        <v>6474</v>
      </c>
      <c r="K495" s="911">
        <f t="shared" si="14"/>
        <v>487029</v>
      </c>
      <c r="L495" s="909"/>
      <c r="M495" s="910">
        <v>30691</v>
      </c>
      <c r="N495" s="910">
        <v>0</v>
      </c>
      <c r="O495" s="909">
        <v>21158</v>
      </c>
      <c r="P495" s="911">
        <f t="shared" si="15"/>
        <v>51849</v>
      </c>
      <c r="Q495" s="909"/>
      <c r="R495" s="910">
        <v>365385</v>
      </c>
      <c r="S495" s="912">
        <v>-9663</v>
      </c>
      <c r="T495" s="912">
        <v>355722</v>
      </c>
    </row>
    <row r="496" spans="1:20" x14ac:dyDescent="0.25">
      <c r="A496" s="906">
        <v>95204</v>
      </c>
      <c r="B496" s="907" t="s">
        <v>3055</v>
      </c>
      <c r="C496" s="908">
        <v>1.26E-5</v>
      </c>
      <c r="D496" s="908">
        <v>1.1600000000000001E-5</v>
      </c>
      <c r="E496" s="909">
        <v>19249</v>
      </c>
      <c r="F496" s="909"/>
      <c r="G496" s="910">
        <v>1109</v>
      </c>
      <c r="H496" s="911">
        <v>4674</v>
      </c>
      <c r="I496" s="910">
        <v>2749</v>
      </c>
      <c r="J496" s="909">
        <v>1824</v>
      </c>
      <c r="K496" s="911">
        <f t="shared" si="14"/>
        <v>10356</v>
      </c>
      <c r="L496" s="909"/>
      <c r="M496" s="910">
        <v>545</v>
      </c>
      <c r="N496" s="910">
        <v>0</v>
      </c>
      <c r="O496" s="909">
        <v>1143</v>
      </c>
      <c r="P496" s="911">
        <f t="shared" si="15"/>
        <v>1688</v>
      </c>
      <c r="Q496" s="909"/>
      <c r="R496" s="910">
        <v>6487</v>
      </c>
      <c r="S496" s="912">
        <v>-195</v>
      </c>
      <c r="T496" s="912">
        <v>6292</v>
      </c>
    </row>
    <row r="497" spans="1:20" x14ac:dyDescent="0.25">
      <c r="A497" s="906">
        <v>95205</v>
      </c>
      <c r="B497" s="907" t="s">
        <v>3056</v>
      </c>
      <c r="C497" s="908">
        <v>4.5000000000000001E-6</v>
      </c>
      <c r="D497" s="908">
        <v>4.7999999999999998E-6</v>
      </c>
      <c r="E497" s="909">
        <v>6875</v>
      </c>
      <c r="F497" s="909"/>
      <c r="G497" s="910">
        <v>396</v>
      </c>
      <c r="H497" s="911">
        <v>1669</v>
      </c>
      <c r="I497" s="910">
        <v>982</v>
      </c>
      <c r="J497" s="909">
        <v>605</v>
      </c>
      <c r="K497" s="911">
        <f t="shared" si="14"/>
        <v>3652</v>
      </c>
      <c r="L497" s="909"/>
      <c r="M497" s="910">
        <v>195</v>
      </c>
      <c r="N497" s="910">
        <v>0</v>
      </c>
      <c r="O497" s="909">
        <v>0</v>
      </c>
      <c r="P497" s="911">
        <f t="shared" si="15"/>
        <v>195</v>
      </c>
      <c r="Q497" s="909"/>
      <c r="R497" s="910">
        <v>2317</v>
      </c>
      <c r="S497" s="912">
        <v>311</v>
      </c>
      <c r="T497" s="912">
        <v>2628</v>
      </c>
    </row>
    <row r="498" spans="1:20" x14ac:dyDescent="0.25">
      <c r="A498" s="906">
        <v>95211</v>
      </c>
      <c r="B498" s="907" t="s">
        <v>3057</v>
      </c>
      <c r="C498" s="908">
        <v>8.3999999999999992E-6</v>
      </c>
      <c r="D498" s="908">
        <v>9.2E-6</v>
      </c>
      <c r="E498" s="909">
        <v>12833</v>
      </c>
      <c r="F498" s="909"/>
      <c r="G498" s="910">
        <v>739</v>
      </c>
      <c r="H498" s="911">
        <v>3115</v>
      </c>
      <c r="I498" s="910">
        <v>1833</v>
      </c>
      <c r="J498" s="909">
        <v>1455</v>
      </c>
      <c r="K498" s="911">
        <f t="shared" si="14"/>
        <v>7142</v>
      </c>
      <c r="L498" s="909"/>
      <c r="M498" s="910">
        <v>363</v>
      </c>
      <c r="N498" s="910">
        <v>0</v>
      </c>
      <c r="O498" s="909">
        <v>1231</v>
      </c>
      <c r="P498" s="911">
        <f t="shared" si="15"/>
        <v>1594</v>
      </c>
      <c r="Q498" s="909"/>
      <c r="R498" s="910">
        <v>4325</v>
      </c>
      <c r="S498" s="912">
        <v>-523</v>
      </c>
      <c r="T498" s="912">
        <v>3802</v>
      </c>
    </row>
    <row r="499" spans="1:20" x14ac:dyDescent="0.25">
      <c r="A499" s="906">
        <v>95221</v>
      </c>
      <c r="B499" s="907" t="s">
        <v>3058</v>
      </c>
      <c r="C499" s="908">
        <v>4.4100000000000001E-5</v>
      </c>
      <c r="D499" s="908">
        <v>1.6900000000000001E-5</v>
      </c>
      <c r="E499" s="909">
        <v>67373</v>
      </c>
      <c r="F499" s="909"/>
      <c r="G499" s="910">
        <v>3881</v>
      </c>
      <c r="H499" s="911">
        <v>16358</v>
      </c>
      <c r="I499" s="910">
        <v>9622</v>
      </c>
      <c r="J499" s="909">
        <v>21037</v>
      </c>
      <c r="K499" s="911">
        <f t="shared" si="14"/>
        <v>50898</v>
      </c>
      <c r="L499" s="909"/>
      <c r="M499" s="910">
        <v>1907</v>
      </c>
      <c r="N499" s="910">
        <v>0</v>
      </c>
      <c r="O499" s="909">
        <v>11299</v>
      </c>
      <c r="P499" s="911">
        <f t="shared" si="15"/>
        <v>13206</v>
      </c>
      <c r="Q499" s="909"/>
      <c r="R499" s="910">
        <v>22705</v>
      </c>
      <c r="S499" s="912">
        <v>2535</v>
      </c>
      <c r="T499" s="912">
        <v>25240</v>
      </c>
    </row>
    <row r="500" spans="1:20" x14ac:dyDescent="0.25">
      <c r="A500" s="906">
        <v>95301</v>
      </c>
      <c r="B500" s="907" t="s">
        <v>3059</v>
      </c>
      <c r="C500" s="908">
        <v>2.3917999999999999E-3</v>
      </c>
      <c r="D500" s="908">
        <v>2.4063999999999999E-3</v>
      </c>
      <c r="E500" s="909">
        <v>3654008</v>
      </c>
      <c r="F500" s="909"/>
      <c r="G500" s="910">
        <v>210505</v>
      </c>
      <c r="H500" s="911">
        <v>887197</v>
      </c>
      <c r="I500" s="910">
        <v>521843</v>
      </c>
      <c r="J500" s="909">
        <v>73478</v>
      </c>
      <c r="K500" s="911">
        <f t="shared" si="14"/>
        <v>1693023</v>
      </c>
      <c r="L500" s="909"/>
      <c r="M500" s="910">
        <v>103433</v>
      </c>
      <c r="N500" s="910">
        <v>0</v>
      </c>
      <c r="O500" s="909">
        <v>11228</v>
      </c>
      <c r="P500" s="911">
        <f t="shared" si="15"/>
        <v>114661</v>
      </c>
      <c r="Q500" s="909"/>
      <c r="R500" s="910">
        <v>1231404</v>
      </c>
      <c r="S500" s="912">
        <v>19362</v>
      </c>
      <c r="T500" s="912">
        <f>1250765+1</f>
        <v>1250766</v>
      </c>
    </row>
    <row r="501" spans="1:20" x14ac:dyDescent="0.25">
      <c r="A501" s="906">
        <v>95311</v>
      </c>
      <c r="B501" s="907" t="s">
        <v>3060</v>
      </c>
      <c r="C501" s="908">
        <v>2.6873999999999999E-3</v>
      </c>
      <c r="D501" s="908">
        <v>2.6841999999999999E-3</v>
      </c>
      <c r="E501" s="909">
        <v>4105603</v>
      </c>
      <c r="F501" s="909"/>
      <c r="G501" s="910">
        <v>236521</v>
      </c>
      <c r="H501" s="911">
        <v>996846</v>
      </c>
      <c r="I501" s="910">
        <v>586337</v>
      </c>
      <c r="J501" s="909">
        <v>41083</v>
      </c>
      <c r="K501" s="911">
        <f t="shared" si="14"/>
        <v>1860787</v>
      </c>
      <c r="L501" s="909"/>
      <c r="M501" s="910">
        <v>116217</v>
      </c>
      <c r="N501" s="910">
        <v>0</v>
      </c>
      <c r="O501" s="909">
        <v>117171</v>
      </c>
      <c r="P501" s="911">
        <f t="shared" si="15"/>
        <v>233388</v>
      </c>
      <c r="Q501" s="909"/>
      <c r="R501" s="910">
        <v>1383592</v>
      </c>
      <c r="S501" s="912">
        <v>-46704</v>
      </c>
      <c r="T501" s="912">
        <v>1336888</v>
      </c>
    </row>
    <row r="502" spans="1:20" x14ac:dyDescent="0.25">
      <c r="A502" s="906">
        <v>95317</v>
      </c>
      <c r="B502" s="907" t="s">
        <v>3061</v>
      </c>
      <c r="C502" s="908">
        <v>4.8900000000000003E-5</v>
      </c>
      <c r="D502" s="908">
        <v>5.1400000000000003E-5</v>
      </c>
      <c r="E502" s="909">
        <v>74706</v>
      </c>
      <c r="F502" s="909"/>
      <c r="G502" s="910">
        <v>4304</v>
      </c>
      <c r="H502" s="911">
        <v>18138</v>
      </c>
      <c r="I502" s="910">
        <v>10669</v>
      </c>
      <c r="J502" s="909">
        <v>6328</v>
      </c>
      <c r="K502" s="911">
        <f t="shared" si="14"/>
        <v>39439</v>
      </c>
      <c r="L502" s="909"/>
      <c r="M502" s="910">
        <v>2115</v>
      </c>
      <c r="N502" s="910">
        <v>0</v>
      </c>
      <c r="O502" s="909">
        <v>38</v>
      </c>
      <c r="P502" s="911">
        <f t="shared" si="15"/>
        <v>2153</v>
      </c>
      <c r="Q502" s="909"/>
      <c r="R502" s="910">
        <v>25176</v>
      </c>
      <c r="S502" s="912">
        <v>2474</v>
      </c>
      <c r="T502" s="912">
        <v>27650</v>
      </c>
    </row>
    <row r="503" spans="1:20" x14ac:dyDescent="0.25">
      <c r="A503" s="906">
        <v>95321</v>
      </c>
      <c r="B503" s="907" t="s">
        <v>3062</v>
      </c>
      <c r="C503" s="908">
        <v>4.71E-5</v>
      </c>
      <c r="D503" s="908">
        <v>5.7000000000000003E-5</v>
      </c>
      <c r="E503" s="909">
        <v>71956</v>
      </c>
      <c r="F503" s="909"/>
      <c r="G503" s="910">
        <v>4145</v>
      </c>
      <c r="H503" s="911">
        <v>17471</v>
      </c>
      <c r="I503" s="910">
        <v>10276</v>
      </c>
      <c r="J503" s="909">
        <v>3087</v>
      </c>
      <c r="K503" s="911">
        <f t="shared" si="14"/>
        <v>34979</v>
      </c>
      <c r="L503" s="909"/>
      <c r="M503" s="910">
        <v>2037</v>
      </c>
      <c r="N503" s="910">
        <v>0</v>
      </c>
      <c r="O503" s="909">
        <v>2158</v>
      </c>
      <c r="P503" s="911">
        <f t="shared" si="15"/>
        <v>4195</v>
      </c>
      <c r="Q503" s="909"/>
      <c r="R503" s="910">
        <v>24249</v>
      </c>
      <c r="S503" s="912">
        <v>1089</v>
      </c>
      <c r="T503" s="912">
        <v>25338</v>
      </c>
    </row>
    <row r="504" spans="1:20" x14ac:dyDescent="0.25">
      <c r="A504" s="906">
        <v>95401</v>
      </c>
      <c r="B504" s="907" t="s">
        <v>3063</v>
      </c>
      <c r="C504" s="908">
        <v>2.9992E-3</v>
      </c>
      <c r="D504" s="908">
        <v>2.9979999999999998E-3</v>
      </c>
      <c r="E504" s="909">
        <v>4581947</v>
      </c>
      <c r="F504" s="909"/>
      <c r="G504" s="910">
        <v>263963</v>
      </c>
      <c r="H504" s="911">
        <v>1112502</v>
      </c>
      <c r="I504" s="910">
        <v>654365</v>
      </c>
      <c r="J504" s="909">
        <v>27695</v>
      </c>
      <c r="K504" s="911">
        <f t="shared" si="14"/>
        <v>2058525</v>
      </c>
      <c r="L504" s="909"/>
      <c r="M504" s="910">
        <v>129700</v>
      </c>
      <c r="N504" s="910">
        <v>0</v>
      </c>
      <c r="O504" s="909">
        <v>19902</v>
      </c>
      <c r="P504" s="911">
        <f t="shared" si="15"/>
        <v>149602</v>
      </c>
      <c r="Q504" s="909"/>
      <c r="R504" s="910">
        <v>1544120</v>
      </c>
      <c r="S504" s="912">
        <v>10089</v>
      </c>
      <c r="T504" s="912">
        <v>1554209</v>
      </c>
    </row>
    <row r="505" spans="1:20" x14ac:dyDescent="0.25">
      <c r="A505" s="906">
        <v>95404</v>
      </c>
      <c r="B505" s="907" t="s">
        <v>3064</v>
      </c>
      <c r="C505" s="908">
        <v>5.3100000000000003E-5</v>
      </c>
      <c r="D505" s="908">
        <v>4.9799999999999998E-5</v>
      </c>
      <c r="E505" s="909">
        <v>81122</v>
      </c>
      <c r="F505" s="909"/>
      <c r="G505" s="910">
        <v>4673</v>
      </c>
      <c r="H505" s="911">
        <v>19697</v>
      </c>
      <c r="I505" s="910">
        <v>11585</v>
      </c>
      <c r="J505" s="909">
        <v>5158</v>
      </c>
      <c r="K505" s="911">
        <f t="shared" si="14"/>
        <v>41113</v>
      </c>
      <c r="L505" s="909"/>
      <c r="M505" s="910">
        <v>2296</v>
      </c>
      <c r="N505" s="910">
        <v>0</v>
      </c>
      <c r="O505" s="909">
        <v>0</v>
      </c>
      <c r="P505" s="911">
        <f t="shared" si="15"/>
        <v>2296</v>
      </c>
      <c r="Q505" s="909"/>
      <c r="R505" s="910">
        <v>27338</v>
      </c>
      <c r="S505" s="912">
        <v>1949</v>
      </c>
      <c r="T505" s="912">
        <v>29287</v>
      </c>
    </row>
    <row r="506" spans="1:20" x14ac:dyDescent="0.25">
      <c r="A506" s="906">
        <v>95405</v>
      </c>
      <c r="B506" s="907" t="s">
        <v>3065</v>
      </c>
      <c r="C506" s="908">
        <v>1.84E-5</v>
      </c>
      <c r="D506" s="908">
        <v>1.84E-5</v>
      </c>
      <c r="E506" s="909">
        <v>28110</v>
      </c>
      <c r="F506" s="909"/>
      <c r="G506" s="910">
        <v>1619</v>
      </c>
      <c r="H506" s="911">
        <v>6826</v>
      </c>
      <c r="I506" s="910">
        <v>4015</v>
      </c>
      <c r="J506" s="909">
        <v>15544</v>
      </c>
      <c r="K506" s="911">
        <f t="shared" si="14"/>
        <v>28004</v>
      </c>
      <c r="L506" s="909"/>
      <c r="M506" s="910">
        <v>796</v>
      </c>
      <c r="N506" s="910">
        <v>0</v>
      </c>
      <c r="O506" s="909">
        <v>0</v>
      </c>
      <c r="P506" s="911">
        <f t="shared" si="15"/>
        <v>796</v>
      </c>
      <c r="Q506" s="909"/>
      <c r="R506" s="910">
        <v>9473</v>
      </c>
      <c r="S506" s="912">
        <v>5475</v>
      </c>
      <c r="T506" s="912">
        <v>14948</v>
      </c>
    </row>
    <row r="507" spans="1:20" x14ac:dyDescent="0.25">
      <c r="A507" s="906">
        <v>95411</v>
      </c>
      <c r="B507" s="907" t="s">
        <v>3066</v>
      </c>
      <c r="C507" s="908">
        <v>2.2173000000000002E-3</v>
      </c>
      <c r="D507" s="908">
        <v>2.3272000000000002E-3</v>
      </c>
      <c r="E507" s="909">
        <v>3387420</v>
      </c>
      <c r="F507" s="909"/>
      <c r="G507" s="910">
        <v>195147</v>
      </c>
      <c r="H507" s="911">
        <v>822470</v>
      </c>
      <c r="I507" s="910">
        <v>483771</v>
      </c>
      <c r="J507" s="909">
        <v>14015</v>
      </c>
      <c r="K507" s="911">
        <f t="shared" si="14"/>
        <v>1515403</v>
      </c>
      <c r="L507" s="909"/>
      <c r="M507" s="910">
        <v>95887</v>
      </c>
      <c r="N507" s="910">
        <v>0</v>
      </c>
      <c r="O507" s="909">
        <v>60237</v>
      </c>
      <c r="P507" s="911">
        <f t="shared" si="15"/>
        <v>156124</v>
      </c>
      <c r="Q507" s="909"/>
      <c r="R507" s="910">
        <v>1141564</v>
      </c>
      <c r="S507" s="912">
        <v>-23907</v>
      </c>
      <c r="T507" s="912">
        <f>1117656+1</f>
        <v>1117657</v>
      </c>
    </row>
    <row r="508" spans="1:20" x14ac:dyDescent="0.25">
      <c r="A508" s="906">
        <v>95412</v>
      </c>
      <c r="B508" s="907" t="s">
        <v>3067</v>
      </c>
      <c r="C508" s="908">
        <v>0</v>
      </c>
      <c r="D508" s="908">
        <v>0</v>
      </c>
      <c r="E508" s="909">
        <v>0</v>
      </c>
      <c r="F508" s="909"/>
      <c r="G508" s="910">
        <v>0</v>
      </c>
      <c r="H508" s="911">
        <v>0</v>
      </c>
      <c r="I508" s="910">
        <v>0</v>
      </c>
      <c r="J508" s="909">
        <v>0</v>
      </c>
      <c r="K508" s="911">
        <f t="shared" si="14"/>
        <v>0</v>
      </c>
      <c r="L508" s="909"/>
      <c r="M508" s="910">
        <v>0</v>
      </c>
      <c r="N508" s="910">
        <v>0</v>
      </c>
      <c r="O508" s="909">
        <v>27831</v>
      </c>
      <c r="P508" s="911">
        <f t="shared" si="15"/>
        <v>27831</v>
      </c>
      <c r="Q508" s="909"/>
      <c r="R508" s="910">
        <v>0</v>
      </c>
      <c r="S508" s="912">
        <v>-18518</v>
      </c>
      <c r="T508" s="912">
        <v>-18518</v>
      </c>
    </row>
    <row r="509" spans="1:20" x14ac:dyDescent="0.25">
      <c r="A509" s="906">
        <v>95413</v>
      </c>
      <c r="B509" s="907" t="s">
        <v>3068</v>
      </c>
      <c r="C509" s="908">
        <v>2.5809999999999999E-4</v>
      </c>
      <c r="D509" s="908">
        <v>2.945E-4</v>
      </c>
      <c r="E509" s="909">
        <v>394305</v>
      </c>
      <c r="F509" s="909"/>
      <c r="G509" s="910">
        <v>22716</v>
      </c>
      <c r="H509" s="911">
        <v>95737</v>
      </c>
      <c r="I509" s="910">
        <v>56312</v>
      </c>
      <c r="J509" s="909">
        <v>247679</v>
      </c>
      <c r="K509" s="911">
        <f t="shared" si="14"/>
        <v>422444</v>
      </c>
      <c r="L509" s="909"/>
      <c r="M509" s="910">
        <v>11162</v>
      </c>
      <c r="N509" s="910">
        <v>0</v>
      </c>
      <c r="O509" s="909">
        <v>9401</v>
      </c>
      <c r="P509" s="911">
        <f t="shared" si="15"/>
        <v>20563</v>
      </c>
      <c r="Q509" s="909"/>
      <c r="R509" s="910">
        <v>132881</v>
      </c>
      <c r="S509" s="912">
        <v>77340</v>
      </c>
      <c r="T509" s="912">
        <v>210221</v>
      </c>
    </row>
    <row r="510" spans="1:20" x14ac:dyDescent="0.25">
      <c r="A510" s="906">
        <v>95415</v>
      </c>
      <c r="B510" s="907" t="s">
        <v>3069</v>
      </c>
      <c r="C510" s="908">
        <v>6.2899999999999997E-5</v>
      </c>
      <c r="D510" s="908">
        <v>7.9499999999999994E-5</v>
      </c>
      <c r="E510" s="909">
        <v>96094</v>
      </c>
      <c r="F510" s="909"/>
      <c r="G510" s="910">
        <v>5536</v>
      </c>
      <c r="H510" s="911">
        <v>23331</v>
      </c>
      <c r="I510" s="910">
        <v>13724</v>
      </c>
      <c r="J510" s="909">
        <v>5301</v>
      </c>
      <c r="K510" s="911">
        <f t="shared" si="14"/>
        <v>47892</v>
      </c>
      <c r="L510" s="909"/>
      <c r="M510" s="910">
        <v>2720</v>
      </c>
      <c r="N510" s="910">
        <v>0</v>
      </c>
      <c r="O510" s="909">
        <v>16874</v>
      </c>
      <c r="P510" s="911">
        <f t="shared" si="15"/>
        <v>19594</v>
      </c>
      <c r="Q510" s="909"/>
      <c r="R510" s="910">
        <v>32384</v>
      </c>
      <c r="S510" s="912">
        <v>-165</v>
      </c>
      <c r="T510" s="912">
        <v>32219</v>
      </c>
    </row>
    <row r="511" spans="1:20" x14ac:dyDescent="0.25">
      <c r="A511" s="906">
        <v>95421</v>
      </c>
      <c r="B511" s="907" t="s">
        <v>3070</v>
      </c>
      <c r="C511" s="908">
        <v>3.8699999999999999E-5</v>
      </c>
      <c r="D511" s="908">
        <v>3.9100000000000002E-5</v>
      </c>
      <c r="E511" s="909">
        <v>59123</v>
      </c>
      <c r="F511" s="909"/>
      <c r="G511" s="910">
        <v>3406</v>
      </c>
      <c r="H511" s="911">
        <v>14355</v>
      </c>
      <c r="I511" s="910">
        <v>8444</v>
      </c>
      <c r="J511" s="909">
        <v>226</v>
      </c>
      <c r="K511" s="911">
        <f t="shared" si="14"/>
        <v>26431</v>
      </c>
      <c r="L511" s="909"/>
      <c r="M511" s="910">
        <v>1674</v>
      </c>
      <c r="N511" s="910">
        <v>0</v>
      </c>
      <c r="O511" s="909">
        <v>9353</v>
      </c>
      <c r="P511" s="911">
        <f t="shared" si="15"/>
        <v>11027</v>
      </c>
      <c r="Q511" s="909"/>
      <c r="R511" s="910">
        <v>19924</v>
      </c>
      <c r="S511" s="912">
        <v>-4913</v>
      </c>
      <c r="T511" s="912">
        <f>15012-1</f>
        <v>15011</v>
      </c>
    </row>
    <row r="512" spans="1:20" x14ac:dyDescent="0.25">
      <c r="A512" s="906">
        <v>95431</v>
      </c>
      <c r="B512" s="907" t="s">
        <v>3071</v>
      </c>
      <c r="C512" s="908">
        <v>1.5300000000000001E-4</v>
      </c>
      <c r="D512" s="908">
        <v>1.8009999999999999E-4</v>
      </c>
      <c r="E512" s="909">
        <v>233742</v>
      </c>
      <c r="F512" s="909"/>
      <c r="G512" s="910">
        <v>13466</v>
      </c>
      <c r="H512" s="911">
        <v>56753</v>
      </c>
      <c r="I512" s="910">
        <v>33382</v>
      </c>
      <c r="J512" s="909">
        <v>224</v>
      </c>
      <c r="K512" s="911">
        <f t="shared" si="14"/>
        <v>103825</v>
      </c>
      <c r="L512" s="909"/>
      <c r="M512" s="910">
        <v>6616</v>
      </c>
      <c r="N512" s="910">
        <v>0</v>
      </c>
      <c r="O512" s="909">
        <v>34003</v>
      </c>
      <c r="P512" s="911">
        <f t="shared" si="15"/>
        <v>40619</v>
      </c>
      <c r="Q512" s="909"/>
      <c r="R512" s="910">
        <v>78771</v>
      </c>
      <c r="S512" s="912">
        <v>-9919</v>
      </c>
      <c r="T512" s="912">
        <v>68852</v>
      </c>
    </row>
    <row r="513" spans="1:20" x14ac:dyDescent="0.25">
      <c r="A513" s="906">
        <v>95501</v>
      </c>
      <c r="B513" s="907" t="s">
        <v>3072</v>
      </c>
      <c r="C513" s="908">
        <v>4.8764999999999998E-3</v>
      </c>
      <c r="D513" s="908">
        <v>4.7917999999999997E-3</v>
      </c>
      <c r="E513" s="909">
        <v>7449941</v>
      </c>
      <c r="F513" s="909"/>
      <c r="G513" s="910">
        <v>429186</v>
      </c>
      <c r="H513" s="911">
        <v>1808855</v>
      </c>
      <c r="I513" s="910">
        <v>1063955</v>
      </c>
      <c r="J513" s="909">
        <v>31695</v>
      </c>
      <c r="K513" s="911">
        <f t="shared" si="14"/>
        <v>3333691</v>
      </c>
      <c r="L513" s="909"/>
      <c r="M513" s="910">
        <v>210884</v>
      </c>
      <c r="N513" s="910">
        <v>0</v>
      </c>
      <c r="O513" s="909">
        <v>124610</v>
      </c>
      <c r="P513" s="911">
        <f t="shared" si="15"/>
        <v>335494</v>
      </c>
      <c r="Q513" s="909"/>
      <c r="R513" s="910">
        <v>2510637</v>
      </c>
      <c r="S513" s="912">
        <v>-8646</v>
      </c>
      <c r="T513" s="912">
        <v>2501991</v>
      </c>
    </row>
    <row r="514" spans="1:20" x14ac:dyDescent="0.25">
      <c r="A514" s="906">
        <v>95504</v>
      </c>
      <c r="B514" s="907" t="s">
        <v>3073</v>
      </c>
      <c r="C514" s="908">
        <v>9.3999999999999998E-6</v>
      </c>
      <c r="D514" s="908">
        <v>8.8999999999999995E-6</v>
      </c>
      <c r="E514" s="909">
        <v>14361</v>
      </c>
      <c r="F514" s="909"/>
      <c r="G514" s="910">
        <v>827</v>
      </c>
      <c r="H514" s="911">
        <v>3487</v>
      </c>
      <c r="I514" s="910">
        <v>2051</v>
      </c>
      <c r="J514" s="909">
        <v>7912</v>
      </c>
      <c r="K514" s="911">
        <f t="shared" si="14"/>
        <v>14277</v>
      </c>
      <c r="L514" s="909"/>
      <c r="M514" s="910">
        <v>407</v>
      </c>
      <c r="N514" s="910">
        <v>0</v>
      </c>
      <c r="O514" s="909">
        <v>0</v>
      </c>
      <c r="P514" s="911">
        <f t="shared" si="15"/>
        <v>407</v>
      </c>
      <c r="Q514" s="909"/>
      <c r="R514" s="910">
        <v>4840</v>
      </c>
      <c r="S514" s="912">
        <v>2952</v>
      </c>
      <c r="T514" s="912">
        <f>7791+1</f>
        <v>7792</v>
      </c>
    </row>
    <row r="515" spans="1:20" x14ac:dyDescent="0.25">
      <c r="A515" s="906">
        <v>95511</v>
      </c>
      <c r="B515" s="907" t="s">
        <v>3074</v>
      </c>
      <c r="C515" s="908">
        <v>9.7460000000000005E-4</v>
      </c>
      <c r="D515" s="908">
        <v>9.6049999999999998E-4</v>
      </c>
      <c r="E515" s="909">
        <v>1488919</v>
      </c>
      <c r="F515" s="909"/>
      <c r="G515" s="910">
        <v>85776</v>
      </c>
      <c r="H515" s="911">
        <v>361511</v>
      </c>
      <c r="I515" s="910">
        <v>212638</v>
      </c>
      <c r="J515" s="909">
        <v>44242</v>
      </c>
      <c r="K515" s="911">
        <f t="shared" si="14"/>
        <v>704167</v>
      </c>
      <c r="L515" s="909"/>
      <c r="M515" s="910">
        <v>42147</v>
      </c>
      <c r="N515" s="910">
        <v>0</v>
      </c>
      <c r="O515" s="909">
        <v>52155</v>
      </c>
      <c r="P515" s="911">
        <f t="shared" si="15"/>
        <v>94302</v>
      </c>
      <c r="Q515" s="909"/>
      <c r="R515" s="910">
        <v>501767</v>
      </c>
      <c r="S515" s="912">
        <v>-4607</v>
      </c>
      <c r="T515" s="912">
        <v>497160</v>
      </c>
    </row>
    <row r="516" spans="1:20" x14ac:dyDescent="0.25">
      <c r="A516" s="906">
        <v>95513</v>
      </c>
      <c r="B516" s="907" t="s">
        <v>3075</v>
      </c>
      <c r="C516" s="908">
        <v>4.6699999999999997E-5</v>
      </c>
      <c r="D516" s="908">
        <v>4.5500000000000001E-5</v>
      </c>
      <c r="E516" s="909">
        <v>71345</v>
      </c>
      <c r="F516" s="909"/>
      <c r="G516" s="910">
        <v>4110</v>
      </c>
      <c r="H516" s="911">
        <v>17322</v>
      </c>
      <c r="I516" s="910">
        <v>10189</v>
      </c>
      <c r="J516" s="909">
        <v>21773</v>
      </c>
      <c r="K516" s="911">
        <f t="shared" si="14"/>
        <v>53394</v>
      </c>
      <c r="L516" s="909"/>
      <c r="M516" s="910">
        <v>2020</v>
      </c>
      <c r="N516" s="910">
        <v>0</v>
      </c>
      <c r="O516" s="909">
        <v>0</v>
      </c>
      <c r="P516" s="911">
        <f t="shared" si="15"/>
        <v>2020</v>
      </c>
      <c r="Q516" s="909"/>
      <c r="R516" s="910">
        <v>24043</v>
      </c>
      <c r="S516" s="912">
        <v>9103</v>
      </c>
      <c r="T516" s="912">
        <v>33146</v>
      </c>
    </row>
    <row r="517" spans="1:20" x14ac:dyDescent="0.25">
      <c r="A517" s="906">
        <v>95517</v>
      </c>
      <c r="B517" s="907" t="s">
        <v>3076</v>
      </c>
      <c r="C517" s="908">
        <v>2.4499999999999999E-5</v>
      </c>
      <c r="D517" s="908">
        <v>1.66E-5</v>
      </c>
      <c r="E517" s="909">
        <v>37429</v>
      </c>
      <c r="F517" s="909"/>
      <c r="G517" s="910">
        <v>2156</v>
      </c>
      <c r="H517" s="911">
        <v>9087</v>
      </c>
      <c r="I517" s="910">
        <v>5345</v>
      </c>
      <c r="J517" s="909">
        <v>17989</v>
      </c>
      <c r="K517" s="911">
        <f t="shared" si="14"/>
        <v>34577</v>
      </c>
      <c r="L517" s="909"/>
      <c r="M517" s="910">
        <v>1060</v>
      </c>
      <c r="N517" s="910">
        <v>0</v>
      </c>
      <c r="O517" s="909">
        <v>0</v>
      </c>
      <c r="P517" s="911">
        <f t="shared" si="15"/>
        <v>1060</v>
      </c>
      <c r="Q517" s="909"/>
      <c r="R517" s="910">
        <v>12614</v>
      </c>
      <c r="S517" s="912">
        <v>6544</v>
      </c>
      <c r="T517" s="912">
        <v>19158</v>
      </c>
    </row>
    <row r="518" spans="1:20" x14ac:dyDescent="0.25">
      <c r="A518" s="906">
        <v>95601</v>
      </c>
      <c r="B518" s="907" t="s">
        <v>3077</v>
      </c>
      <c r="C518" s="908">
        <v>2.6280000000000001E-3</v>
      </c>
      <c r="D518" s="908">
        <v>2.6592999999999999E-3</v>
      </c>
      <c r="E518" s="909">
        <v>4014856</v>
      </c>
      <c r="F518" s="909"/>
      <c r="G518" s="910">
        <v>231293</v>
      </c>
      <c r="H518" s="911">
        <v>974812</v>
      </c>
      <c r="I518" s="910">
        <v>573377</v>
      </c>
      <c r="J518" s="909">
        <v>85590</v>
      </c>
      <c r="K518" s="911">
        <f t="shared" si="14"/>
        <v>1865072</v>
      </c>
      <c r="L518" s="909"/>
      <c r="M518" s="910">
        <v>113648</v>
      </c>
      <c r="N518" s="910">
        <v>0</v>
      </c>
      <c r="O518" s="909">
        <v>19082</v>
      </c>
      <c r="P518" s="911">
        <f t="shared" si="15"/>
        <v>132730</v>
      </c>
      <c r="Q518" s="909"/>
      <c r="R518" s="910">
        <v>1353010</v>
      </c>
      <c r="S518" s="912">
        <v>47697</v>
      </c>
      <c r="T518" s="912">
        <v>1400707</v>
      </c>
    </row>
    <row r="519" spans="1:20" x14ac:dyDescent="0.25">
      <c r="A519" s="906">
        <v>95611</v>
      </c>
      <c r="B519" s="907" t="s">
        <v>3078</v>
      </c>
      <c r="C519" s="908">
        <v>4.0660000000000002E-4</v>
      </c>
      <c r="D519" s="908">
        <v>3.9540000000000002E-4</v>
      </c>
      <c r="E519" s="909">
        <v>621172</v>
      </c>
      <c r="F519" s="909"/>
      <c r="G519" s="910">
        <v>35785</v>
      </c>
      <c r="H519" s="911">
        <v>150821</v>
      </c>
      <c r="I519" s="910">
        <v>88712</v>
      </c>
      <c r="J519" s="909">
        <v>8653</v>
      </c>
      <c r="K519" s="911">
        <f t="shared" ref="K519:K582" si="16">G519+H519+I519+J519</f>
        <v>283971</v>
      </c>
      <c r="L519" s="909"/>
      <c r="M519" s="910">
        <v>17583</v>
      </c>
      <c r="N519" s="910">
        <v>0</v>
      </c>
      <c r="O519" s="909">
        <v>3649</v>
      </c>
      <c r="P519" s="911">
        <f t="shared" ref="P519:P582" si="17">M519+N519+O519</f>
        <v>21232</v>
      </c>
      <c r="Q519" s="909"/>
      <c r="R519" s="910">
        <v>209336</v>
      </c>
      <c r="S519" s="912">
        <v>1212</v>
      </c>
      <c r="T519" s="912">
        <f>210547+1</f>
        <v>210548</v>
      </c>
    </row>
    <row r="520" spans="1:20" x14ac:dyDescent="0.25">
      <c r="A520" s="906">
        <v>95617</v>
      </c>
      <c r="B520" s="907" t="s">
        <v>3079</v>
      </c>
      <c r="C520" s="908">
        <v>1.6399999999999999E-5</v>
      </c>
      <c r="D520" s="908">
        <v>1.6500000000000001E-5</v>
      </c>
      <c r="E520" s="909">
        <v>25055</v>
      </c>
      <c r="F520" s="909"/>
      <c r="G520" s="910">
        <v>1443</v>
      </c>
      <c r="H520" s="911">
        <v>6084</v>
      </c>
      <c r="I520" s="910">
        <v>3578</v>
      </c>
      <c r="J520" s="909">
        <v>722</v>
      </c>
      <c r="K520" s="911">
        <f t="shared" si="16"/>
        <v>11827</v>
      </c>
      <c r="L520" s="909"/>
      <c r="M520" s="910">
        <v>709</v>
      </c>
      <c r="N520" s="910">
        <v>0</v>
      </c>
      <c r="O520" s="909">
        <v>1277</v>
      </c>
      <c r="P520" s="911">
        <f t="shared" si="17"/>
        <v>1986</v>
      </c>
      <c r="Q520" s="909"/>
      <c r="R520" s="910">
        <v>8443</v>
      </c>
      <c r="S520" s="912">
        <v>-659</v>
      </c>
      <c r="T520" s="912">
        <v>7784</v>
      </c>
    </row>
    <row r="521" spans="1:20" x14ac:dyDescent="0.25">
      <c r="A521" s="906">
        <v>95621</v>
      </c>
      <c r="B521" s="907" t="s">
        <v>3080</v>
      </c>
      <c r="C521" s="908">
        <v>4.5360000000000002E-4</v>
      </c>
      <c r="D521" s="908">
        <v>4.8020000000000002E-4</v>
      </c>
      <c r="E521" s="909">
        <v>692975</v>
      </c>
      <c r="F521" s="909"/>
      <c r="G521" s="910">
        <v>39922</v>
      </c>
      <c r="H521" s="911">
        <v>168255</v>
      </c>
      <c r="I521" s="910">
        <v>98966</v>
      </c>
      <c r="J521" s="909">
        <v>3166</v>
      </c>
      <c r="K521" s="911">
        <f t="shared" si="16"/>
        <v>310309</v>
      </c>
      <c r="L521" s="909"/>
      <c r="M521" s="910">
        <v>19616</v>
      </c>
      <c r="N521" s="910">
        <v>0</v>
      </c>
      <c r="O521" s="909">
        <v>4423</v>
      </c>
      <c r="P521" s="911">
        <f t="shared" si="17"/>
        <v>24039</v>
      </c>
      <c r="Q521" s="909"/>
      <c r="R521" s="910">
        <v>233533</v>
      </c>
      <c r="S521" s="912">
        <v>1481</v>
      </c>
      <c r="T521" s="912">
        <f>235015-1</f>
        <v>235014</v>
      </c>
    </row>
    <row r="522" spans="1:20" x14ac:dyDescent="0.25">
      <c r="A522" s="906">
        <v>95701</v>
      </c>
      <c r="B522" s="907" t="s">
        <v>3081</v>
      </c>
      <c r="C522" s="908">
        <v>1.3747E-3</v>
      </c>
      <c r="D522" s="908">
        <v>1.291E-3</v>
      </c>
      <c r="E522" s="909">
        <v>2100161</v>
      </c>
      <c r="F522" s="909"/>
      <c r="G522" s="910">
        <v>120989</v>
      </c>
      <c r="H522" s="911">
        <v>509922</v>
      </c>
      <c r="I522" s="910">
        <v>299932</v>
      </c>
      <c r="J522" s="909">
        <v>62898</v>
      </c>
      <c r="K522" s="911">
        <f t="shared" si="16"/>
        <v>993741</v>
      </c>
      <c r="L522" s="909"/>
      <c r="M522" s="910">
        <v>59449</v>
      </c>
      <c r="N522" s="910">
        <v>0</v>
      </c>
      <c r="O522" s="909">
        <v>0</v>
      </c>
      <c r="P522" s="911">
        <f t="shared" si="17"/>
        <v>59449</v>
      </c>
      <c r="Q522" s="909"/>
      <c r="R522" s="910">
        <v>707756</v>
      </c>
      <c r="S522" s="912">
        <v>28646</v>
      </c>
      <c r="T522" s="912">
        <v>736402</v>
      </c>
    </row>
    <row r="523" spans="1:20" x14ac:dyDescent="0.25">
      <c r="A523" s="906">
        <v>95711</v>
      </c>
      <c r="B523" s="907" t="s">
        <v>3082</v>
      </c>
      <c r="C523" s="908">
        <v>1.394E-4</v>
      </c>
      <c r="D523" s="908">
        <v>1.382E-4</v>
      </c>
      <c r="E523" s="909">
        <v>212965</v>
      </c>
      <c r="F523" s="909"/>
      <c r="G523" s="910">
        <v>12269</v>
      </c>
      <c r="H523" s="911">
        <v>51708</v>
      </c>
      <c r="I523" s="910">
        <v>30414</v>
      </c>
      <c r="J523" s="909">
        <v>6056</v>
      </c>
      <c r="K523" s="911">
        <f t="shared" si="16"/>
        <v>100447</v>
      </c>
      <c r="L523" s="909"/>
      <c r="M523" s="910">
        <v>6028</v>
      </c>
      <c r="N523" s="910">
        <v>0</v>
      </c>
      <c r="O523" s="909">
        <v>5836</v>
      </c>
      <c r="P523" s="911">
        <f t="shared" si="17"/>
        <v>11864</v>
      </c>
      <c r="Q523" s="909"/>
      <c r="R523" s="910">
        <v>71769</v>
      </c>
      <c r="S523" s="912">
        <v>1663</v>
      </c>
      <c r="T523" s="912">
        <v>73432</v>
      </c>
    </row>
    <row r="524" spans="1:20" x14ac:dyDescent="0.25">
      <c r="A524" s="906">
        <v>95721</v>
      </c>
      <c r="B524" s="907" t="s">
        <v>3083</v>
      </c>
      <c r="C524" s="908">
        <v>6.7600000000000003E-5</v>
      </c>
      <c r="D524" s="908">
        <v>6.6199999999999996E-5</v>
      </c>
      <c r="E524" s="909">
        <v>103274</v>
      </c>
      <c r="F524" s="909"/>
      <c r="G524" s="910">
        <v>5950</v>
      </c>
      <c r="H524" s="911">
        <v>25075</v>
      </c>
      <c r="I524" s="910">
        <v>14749</v>
      </c>
      <c r="J524" s="909">
        <v>0</v>
      </c>
      <c r="K524" s="911">
        <f t="shared" si="16"/>
        <v>45774</v>
      </c>
      <c r="L524" s="909"/>
      <c r="M524" s="910">
        <v>2923</v>
      </c>
      <c r="N524" s="910">
        <v>0</v>
      </c>
      <c r="O524" s="909">
        <v>9622</v>
      </c>
      <c r="P524" s="911">
        <f t="shared" si="17"/>
        <v>12545</v>
      </c>
      <c r="Q524" s="909"/>
      <c r="R524" s="910">
        <v>34803</v>
      </c>
      <c r="S524" s="912">
        <v>-4619</v>
      </c>
      <c r="T524" s="912">
        <f>30185-1</f>
        <v>30184</v>
      </c>
    </row>
    <row r="525" spans="1:20" x14ac:dyDescent="0.25">
      <c r="A525" s="906">
        <v>95733</v>
      </c>
      <c r="B525" s="907" t="s">
        <v>3084</v>
      </c>
      <c r="C525" s="908">
        <v>1.5400000000000002E-5</v>
      </c>
      <c r="D525" s="908">
        <v>1.56E-5</v>
      </c>
      <c r="E525" s="909">
        <v>23527</v>
      </c>
      <c r="F525" s="909"/>
      <c r="G525" s="910">
        <v>1355</v>
      </c>
      <c r="H525" s="911">
        <v>5712</v>
      </c>
      <c r="I525" s="910">
        <v>3360</v>
      </c>
      <c r="J525" s="909">
        <v>581</v>
      </c>
      <c r="K525" s="911">
        <f t="shared" si="16"/>
        <v>11008</v>
      </c>
      <c r="L525" s="909"/>
      <c r="M525" s="910">
        <v>666</v>
      </c>
      <c r="N525" s="910">
        <v>0</v>
      </c>
      <c r="O525" s="909">
        <v>464</v>
      </c>
      <c r="P525" s="911">
        <f t="shared" si="17"/>
        <v>1130</v>
      </c>
      <c r="Q525" s="909"/>
      <c r="R525" s="910">
        <v>7929</v>
      </c>
      <c r="S525" s="912">
        <v>209</v>
      </c>
      <c r="T525" s="912">
        <v>8138</v>
      </c>
    </row>
    <row r="526" spans="1:20" x14ac:dyDescent="0.25">
      <c r="A526" s="906">
        <v>95801</v>
      </c>
      <c r="B526" s="907" t="s">
        <v>3085</v>
      </c>
      <c r="C526" s="908">
        <v>9.6310000000000005E-4</v>
      </c>
      <c r="D526" s="908">
        <v>8.9349999999999998E-4</v>
      </c>
      <c r="E526" s="909">
        <v>1471350</v>
      </c>
      <c r="F526" s="909"/>
      <c r="G526" s="910">
        <v>84763</v>
      </c>
      <c r="H526" s="911">
        <v>357246</v>
      </c>
      <c r="I526" s="910">
        <v>210129</v>
      </c>
      <c r="J526" s="909">
        <v>62205</v>
      </c>
      <c r="K526" s="911">
        <f t="shared" si="16"/>
        <v>714343</v>
      </c>
      <c r="L526" s="909"/>
      <c r="M526" s="910">
        <v>41649</v>
      </c>
      <c r="N526" s="910">
        <v>0</v>
      </c>
      <c r="O526" s="909">
        <v>4103</v>
      </c>
      <c r="P526" s="911">
        <f t="shared" si="17"/>
        <v>45752</v>
      </c>
      <c r="Q526" s="909"/>
      <c r="R526" s="910">
        <v>495846</v>
      </c>
      <c r="S526" s="912">
        <v>14399</v>
      </c>
      <c r="T526" s="912">
        <v>510245</v>
      </c>
    </row>
    <row r="527" spans="1:20" x14ac:dyDescent="0.25">
      <c r="A527" s="906">
        <v>95802</v>
      </c>
      <c r="B527" s="907" t="s">
        <v>3086</v>
      </c>
      <c r="C527" s="908">
        <v>6.1E-6</v>
      </c>
      <c r="D527" s="908">
        <v>6.8000000000000001E-6</v>
      </c>
      <c r="E527" s="909">
        <v>9319</v>
      </c>
      <c r="F527" s="909"/>
      <c r="G527" s="910">
        <v>537</v>
      </c>
      <c r="H527" s="911">
        <v>2263</v>
      </c>
      <c r="I527" s="910">
        <v>1331</v>
      </c>
      <c r="J527" s="909">
        <v>3297</v>
      </c>
      <c r="K527" s="911">
        <f t="shared" si="16"/>
        <v>7428</v>
      </c>
      <c r="L527" s="909"/>
      <c r="M527" s="910">
        <v>264</v>
      </c>
      <c r="N527" s="910">
        <v>0</v>
      </c>
      <c r="O527" s="909">
        <v>1248</v>
      </c>
      <c r="P527" s="911">
        <f t="shared" si="17"/>
        <v>1512</v>
      </c>
      <c r="Q527" s="909"/>
      <c r="R527" s="910">
        <v>3141</v>
      </c>
      <c r="S527" s="912">
        <v>-81</v>
      </c>
      <c r="T527" s="912">
        <v>3060</v>
      </c>
    </row>
    <row r="528" spans="1:20" x14ac:dyDescent="0.25">
      <c r="A528" s="906">
        <v>95804</v>
      </c>
      <c r="B528" s="907" t="s">
        <v>3087</v>
      </c>
      <c r="C528" s="908">
        <v>2.19E-5</v>
      </c>
      <c r="D528" s="908">
        <v>1.63E-5</v>
      </c>
      <c r="E528" s="909">
        <v>33457</v>
      </c>
      <c r="F528" s="909"/>
      <c r="G528" s="910">
        <v>1927</v>
      </c>
      <c r="H528" s="911">
        <v>8123</v>
      </c>
      <c r="I528" s="910">
        <v>4778</v>
      </c>
      <c r="J528" s="909">
        <v>3631</v>
      </c>
      <c r="K528" s="911">
        <f t="shared" si="16"/>
        <v>18459</v>
      </c>
      <c r="L528" s="909"/>
      <c r="M528" s="910">
        <v>947</v>
      </c>
      <c r="N528" s="910">
        <v>0</v>
      </c>
      <c r="O528" s="909">
        <v>0</v>
      </c>
      <c r="P528" s="911">
        <f t="shared" si="17"/>
        <v>947</v>
      </c>
      <c r="Q528" s="909"/>
      <c r="R528" s="910">
        <v>11275</v>
      </c>
      <c r="S528" s="912">
        <v>1628</v>
      </c>
      <c r="T528" s="912">
        <f>12904-1</f>
        <v>12903</v>
      </c>
    </row>
    <row r="529" spans="1:20" x14ac:dyDescent="0.25">
      <c r="A529" s="906">
        <v>95811</v>
      </c>
      <c r="B529" s="907" t="s">
        <v>3088</v>
      </c>
      <c r="C529" s="908">
        <v>5.3129999999999996E-4</v>
      </c>
      <c r="D529" s="908">
        <v>5.3410000000000003E-4</v>
      </c>
      <c r="E529" s="909">
        <v>811679</v>
      </c>
      <c r="F529" s="909"/>
      <c r="G529" s="910">
        <v>46760</v>
      </c>
      <c r="H529" s="911">
        <v>197076</v>
      </c>
      <c r="I529" s="910">
        <v>115919</v>
      </c>
      <c r="J529" s="909">
        <v>1678</v>
      </c>
      <c r="K529" s="911">
        <f t="shared" si="16"/>
        <v>361433</v>
      </c>
      <c r="L529" s="909"/>
      <c r="M529" s="910">
        <v>22976</v>
      </c>
      <c r="N529" s="910">
        <v>0</v>
      </c>
      <c r="O529" s="909">
        <v>5329</v>
      </c>
      <c r="P529" s="911">
        <f t="shared" si="17"/>
        <v>28305</v>
      </c>
      <c r="Q529" s="909"/>
      <c r="R529" s="910">
        <v>273537</v>
      </c>
      <c r="S529" s="912">
        <v>-1501</v>
      </c>
      <c r="T529" s="912">
        <f>272035+1</f>
        <v>272036</v>
      </c>
    </row>
    <row r="530" spans="1:20" x14ac:dyDescent="0.25">
      <c r="A530" s="906">
        <v>95813</v>
      </c>
      <c r="B530" s="907" t="s">
        <v>3089</v>
      </c>
      <c r="C530" s="908">
        <v>4.88E-5</v>
      </c>
      <c r="D530" s="908">
        <v>4.4400000000000002E-5</v>
      </c>
      <c r="E530" s="909">
        <v>74553</v>
      </c>
      <c r="F530" s="909"/>
      <c r="G530" s="910">
        <v>4295</v>
      </c>
      <c r="H530" s="911">
        <v>18101</v>
      </c>
      <c r="I530" s="910">
        <v>10647</v>
      </c>
      <c r="J530" s="909">
        <v>72000</v>
      </c>
      <c r="K530" s="911">
        <f t="shared" si="16"/>
        <v>105043</v>
      </c>
      <c r="L530" s="909"/>
      <c r="M530" s="910">
        <v>2110</v>
      </c>
      <c r="N530" s="910">
        <v>0</v>
      </c>
      <c r="O530" s="909">
        <v>0</v>
      </c>
      <c r="P530" s="911">
        <f t="shared" si="17"/>
        <v>2110</v>
      </c>
      <c r="Q530" s="909"/>
      <c r="R530" s="910">
        <v>25124</v>
      </c>
      <c r="S530" s="912">
        <v>24457</v>
      </c>
      <c r="T530" s="912">
        <v>49581</v>
      </c>
    </row>
    <row r="531" spans="1:20" x14ac:dyDescent="0.25">
      <c r="A531" s="906">
        <v>95821</v>
      </c>
      <c r="B531" s="907" t="s">
        <v>3090</v>
      </c>
      <c r="C531" s="908">
        <v>0</v>
      </c>
      <c r="D531" s="908">
        <v>1.7E-6</v>
      </c>
      <c r="E531" s="909">
        <v>0</v>
      </c>
      <c r="F531" s="909"/>
      <c r="G531" s="910">
        <v>0</v>
      </c>
      <c r="H531" s="911">
        <v>0</v>
      </c>
      <c r="I531" s="910">
        <v>0</v>
      </c>
      <c r="J531" s="909">
        <v>1293</v>
      </c>
      <c r="K531" s="911">
        <f t="shared" si="16"/>
        <v>1293</v>
      </c>
      <c r="L531" s="909"/>
      <c r="M531" s="910">
        <v>0</v>
      </c>
      <c r="N531" s="910">
        <v>0</v>
      </c>
      <c r="O531" s="909">
        <v>652</v>
      </c>
      <c r="P531" s="911">
        <f t="shared" si="17"/>
        <v>652</v>
      </c>
      <c r="Q531" s="909"/>
      <c r="R531" s="910">
        <v>0</v>
      </c>
      <c r="S531" s="912">
        <v>460</v>
      </c>
      <c r="T531" s="912">
        <v>460</v>
      </c>
    </row>
    <row r="532" spans="1:20" x14ac:dyDescent="0.25">
      <c r="A532" s="906">
        <v>95831</v>
      </c>
      <c r="B532" s="907" t="s">
        <v>3091</v>
      </c>
      <c r="C532" s="908">
        <v>1.6799999999999998E-5</v>
      </c>
      <c r="D532" s="908">
        <v>1.36E-5</v>
      </c>
      <c r="E532" s="909">
        <v>25666</v>
      </c>
      <c r="F532" s="909"/>
      <c r="G532" s="910">
        <v>1479</v>
      </c>
      <c r="H532" s="911">
        <v>6232</v>
      </c>
      <c r="I532" s="910">
        <v>3665</v>
      </c>
      <c r="J532" s="909">
        <v>23962</v>
      </c>
      <c r="K532" s="911">
        <f t="shared" si="16"/>
        <v>35338</v>
      </c>
      <c r="L532" s="909"/>
      <c r="M532" s="910">
        <v>727</v>
      </c>
      <c r="N532" s="910">
        <v>0</v>
      </c>
      <c r="O532" s="909">
        <v>0</v>
      </c>
      <c r="P532" s="911">
        <f t="shared" si="17"/>
        <v>727</v>
      </c>
      <c r="Q532" s="909"/>
      <c r="R532" s="910">
        <v>8649</v>
      </c>
      <c r="S532" s="912">
        <v>8068</v>
      </c>
      <c r="T532" s="912">
        <v>16717</v>
      </c>
    </row>
    <row r="533" spans="1:20" x14ac:dyDescent="0.25">
      <c r="A533" s="906">
        <v>95841</v>
      </c>
      <c r="B533" s="907" t="s">
        <v>3092</v>
      </c>
      <c r="C533" s="908">
        <v>2.0999999999999999E-5</v>
      </c>
      <c r="D533" s="908">
        <v>2.1100000000000001E-5</v>
      </c>
      <c r="E533" s="909">
        <v>32082</v>
      </c>
      <c r="F533" s="909"/>
      <c r="G533" s="910">
        <v>1848</v>
      </c>
      <c r="H533" s="911">
        <v>7790</v>
      </c>
      <c r="I533" s="910">
        <v>4582</v>
      </c>
      <c r="J533" s="909">
        <v>2103</v>
      </c>
      <c r="K533" s="911">
        <f t="shared" si="16"/>
        <v>16323</v>
      </c>
      <c r="L533" s="909"/>
      <c r="M533" s="910">
        <v>908</v>
      </c>
      <c r="N533" s="910">
        <v>0</v>
      </c>
      <c r="O533" s="909">
        <v>0</v>
      </c>
      <c r="P533" s="911">
        <f t="shared" si="17"/>
        <v>908</v>
      </c>
      <c r="Q533" s="909"/>
      <c r="R533" s="910">
        <v>10812</v>
      </c>
      <c r="S533" s="912">
        <v>817</v>
      </c>
      <c r="T533" s="912">
        <v>11629</v>
      </c>
    </row>
    <row r="534" spans="1:20" x14ac:dyDescent="0.25">
      <c r="A534" s="906">
        <v>95851</v>
      </c>
      <c r="B534" s="907" t="s">
        <v>3093</v>
      </c>
      <c r="C534" s="908">
        <v>1.327E-4</v>
      </c>
      <c r="D534" s="908">
        <v>1.3009999999999999E-4</v>
      </c>
      <c r="E534" s="909">
        <v>202729</v>
      </c>
      <c r="F534" s="909"/>
      <c r="G534" s="910">
        <v>11679</v>
      </c>
      <c r="H534" s="911">
        <v>49223</v>
      </c>
      <c r="I534" s="910">
        <v>28952</v>
      </c>
      <c r="J534" s="909">
        <v>130637</v>
      </c>
      <c r="K534" s="911">
        <f t="shared" si="16"/>
        <v>220491</v>
      </c>
      <c r="L534" s="909"/>
      <c r="M534" s="910">
        <v>5739</v>
      </c>
      <c r="N534" s="910">
        <v>0</v>
      </c>
      <c r="O534" s="909">
        <v>4180</v>
      </c>
      <c r="P534" s="911">
        <f t="shared" si="17"/>
        <v>9919</v>
      </c>
      <c r="Q534" s="909"/>
      <c r="R534" s="910">
        <v>68320</v>
      </c>
      <c r="S534" s="912">
        <v>39831</v>
      </c>
      <c r="T534" s="912">
        <v>108151</v>
      </c>
    </row>
    <row r="535" spans="1:20" x14ac:dyDescent="0.25">
      <c r="A535" s="906">
        <v>95853</v>
      </c>
      <c r="B535" s="907" t="s">
        <v>3094</v>
      </c>
      <c r="C535" s="908">
        <v>2.69E-5</v>
      </c>
      <c r="D535" s="908">
        <v>2.4000000000000001E-5</v>
      </c>
      <c r="E535" s="909">
        <v>41096</v>
      </c>
      <c r="F535" s="909"/>
      <c r="G535" s="910">
        <v>2367</v>
      </c>
      <c r="H535" s="911">
        <v>9978</v>
      </c>
      <c r="I535" s="910">
        <v>5869</v>
      </c>
      <c r="J535" s="909">
        <v>8793</v>
      </c>
      <c r="K535" s="911">
        <f t="shared" si="16"/>
        <v>27007</v>
      </c>
      <c r="L535" s="909"/>
      <c r="M535" s="910">
        <v>1163</v>
      </c>
      <c r="N535" s="910">
        <v>0</v>
      </c>
      <c r="O535" s="909">
        <v>0</v>
      </c>
      <c r="P535" s="911">
        <f t="shared" si="17"/>
        <v>1163</v>
      </c>
      <c r="Q535" s="909"/>
      <c r="R535" s="910">
        <v>13849</v>
      </c>
      <c r="S535" s="912">
        <v>3675</v>
      </c>
      <c r="T535" s="912">
        <f>17525-1</f>
        <v>17524</v>
      </c>
    </row>
    <row r="536" spans="1:20" x14ac:dyDescent="0.25">
      <c r="A536" s="906">
        <v>95901</v>
      </c>
      <c r="B536" s="907" t="s">
        <v>3095</v>
      </c>
      <c r="C536" s="908">
        <v>1.8714999999999999E-3</v>
      </c>
      <c r="D536" s="908">
        <v>1.8266999999999999E-3</v>
      </c>
      <c r="E536" s="909">
        <v>2859134</v>
      </c>
      <c r="F536" s="909"/>
      <c r="G536" s="910">
        <v>164713</v>
      </c>
      <c r="H536" s="911">
        <v>694201</v>
      </c>
      <c r="I536" s="910">
        <v>408324</v>
      </c>
      <c r="J536" s="909">
        <v>36652</v>
      </c>
      <c r="K536" s="911">
        <f t="shared" si="16"/>
        <v>1303890</v>
      </c>
      <c r="L536" s="909"/>
      <c r="M536" s="910">
        <v>80933</v>
      </c>
      <c r="N536" s="910">
        <v>0</v>
      </c>
      <c r="O536" s="909">
        <v>13191</v>
      </c>
      <c r="P536" s="911">
        <f t="shared" si="17"/>
        <v>94124</v>
      </c>
      <c r="Q536" s="909"/>
      <c r="R536" s="910">
        <v>963531</v>
      </c>
      <c r="S536" s="912">
        <v>28466</v>
      </c>
      <c r="T536" s="912">
        <v>991997</v>
      </c>
    </row>
    <row r="537" spans="1:20" x14ac:dyDescent="0.25">
      <c r="A537" s="906">
        <v>95908</v>
      </c>
      <c r="B537" s="907" t="s">
        <v>3096</v>
      </c>
      <c r="C537" s="908">
        <v>7.2200000000000007E-5</v>
      </c>
      <c r="D537" s="908">
        <v>7.2000000000000002E-5</v>
      </c>
      <c r="E537" s="909">
        <v>110302</v>
      </c>
      <c r="F537" s="909"/>
      <c r="G537" s="910">
        <v>6354</v>
      </c>
      <c r="H537" s="911">
        <v>26781</v>
      </c>
      <c r="I537" s="910">
        <v>15753</v>
      </c>
      <c r="J537" s="909">
        <v>0</v>
      </c>
      <c r="K537" s="911">
        <f t="shared" si="16"/>
        <v>48888</v>
      </c>
      <c r="L537" s="909"/>
      <c r="M537" s="910">
        <v>3122</v>
      </c>
      <c r="N537" s="910">
        <v>0</v>
      </c>
      <c r="O537" s="909">
        <v>22164</v>
      </c>
      <c r="P537" s="911">
        <f t="shared" si="17"/>
        <v>25286</v>
      </c>
      <c r="Q537" s="909"/>
      <c r="R537" s="910">
        <v>37172</v>
      </c>
      <c r="S537" s="912">
        <v>-10736</v>
      </c>
      <c r="T537" s="912">
        <v>26436</v>
      </c>
    </row>
    <row r="538" spans="1:20" x14ac:dyDescent="0.25">
      <c r="A538" s="906">
        <v>95911</v>
      </c>
      <c r="B538" s="907" t="s">
        <v>3097</v>
      </c>
      <c r="C538" s="908">
        <v>5.7450000000000003E-4</v>
      </c>
      <c r="D538" s="908">
        <v>5.6979999999999997E-4</v>
      </c>
      <c r="E538" s="909">
        <v>877677</v>
      </c>
      <c r="F538" s="909"/>
      <c r="G538" s="910">
        <v>50562</v>
      </c>
      <c r="H538" s="911">
        <v>213101</v>
      </c>
      <c r="I538" s="910">
        <v>125344</v>
      </c>
      <c r="J538" s="909">
        <v>2898</v>
      </c>
      <c r="K538" s="911">
        <f t="shared" si="16"/>
        <v>391905</v>
      </c>
      <c r="L538" s="909"/>
      <c r="M538" s="910">
        <v>24844</v>
      </c>
      <c r="N538" s="910">
        <v>0</v>
      </c>
      <c r="O538" s="909">
        <v>40952</v>
      </c>
      <c r="P538" s="911">
        <f t="shared" si="17"/>
        <v>65796</v>
      </c>
      <c r="Q538" s="909"/>
      <c r="R538" s="910">
        <v>295778</v>
      </c>
      <c r="S538" s="912">
        <v>-14076</v>
      </c>
      <c r="T538" s="912">
        <v>281702</v>
      </c>
    </row>
    <row r="539" spans="1:20" x14ac:dyDescent="0.25">
      <c r="A539" s="906">
        <v>95917</v>
      </c>
      <c r="B539" s="907" t="s">
        <v>3098</v>
      </c>
      <c r="C539" s="908">
        <v>2.6699999999999998E-5</v>
      </c>
      <c r="D539" s="908">
        <v>2.2399999999999999E-5</v>
      </c>
      <c r="E539" s="909">
        <v>40790</v>
      </c>
      <c r="F539" s="909"/>
      <c r="G539" s="910">
        <v>2350</v>
      </c>
      <c r="H539" s="911">
        <v>9904</v>
      </c>
      <c r="I539" s="910">
        <v>5825</v>
      </c>
      <c r="J539" s="909">
        <v>4378</v>
      </c>
      <c r="K539" s="911">
        <f t="shared" si="16"/>
        <v>22457</v>
      </c>
      <c r="L539" s="909"/>
      <c r="M539" s="910">
        <v>1155</v>
      </c>
      <c r="N539" s="910">
        <v>0</v>
      </c>
      <c r="O539" s="909">
        <v>501</v>
      </c>
      <c r="P539" s="911">
        <f t="shared" si="17"/>
        <v>1656</v>
      </c>
      <c r="Q539" s="909"/>
      <c r="R539" s="910">
        <v>13746</v>
      </c>
      <c r="S539" s="912">
        <v>2216</v>
      </c>
      <c r="T539" s="912">
        <v>15962</v>
      </c>
    </row>
    <row r="540" spans="1:20" x14ac:dyDescent="0.25">
      <c r="A540" s="906">
        <v>95921</v>
      </c>
      <c r="B540" s="907" t="s">
        <v>3099</v>
      </c>
      <c r="C540" s="908">
        <v>4.7500000000000003E-5</v>
      </c>
      <c r="D540" s="908">
        <v>4.4700000000000002E-5</v>
      </c>
      <c r="E540" s="909">
        <v>72567</v>
      </c>
      <c r="F540" s="909"/>
      <c r="G540" s="910">
        <v>4181</v>
      </c>
      <c r="H540" s="911">
        <v>17619</v>
      </c>
      <c r="I540" s="910">
        <v>10364</v>
      </c>
      <c r="J540" s="909">
        <v>3925</v>
      </c>
      <c r="K540" s="911">
        <f t="shared" si="16"/>
        <v>36089</v>
      </c>
      <c r="L540" s="909"/>
      <c r="M540" s="910">
        <v>2054</v>
      </c>
      <c r="N540" s="910">
        <v>0</v>
      </c>
      <c r="O540" s="909">
        <v>948</v>
      </c>
      <c r="P540" s="911">
        <f t="shared" si="17"/>
        <v>3002</v>
      </c>
      <c r="Q540" s="909"/>
      <c r="R540" s="910">
        <v>24455</v>
      </c>
      <c r="S540" s="912">
        <v>526</v>
      </c>
      <c r="T540" s="912">
        <v>24981</v>
      </c>
    </row>
    <row r="541" spans="1:20" x14ac:dyDescent="0.25">
      <c r="A541" s="906">
        <v>96001</v>
      </c>
      <c r="B541" s="907" t="s">
        <v>3100</v>
      </c>
      <c r="C541" s="908">
        <v>4.4386399999999999E-2</v>
      </c>
      <c r="D541" s="908">
        <v>4.43519E-2</v>
      </c>
      <c r="E541" s="909">
        <v>67810124</v>
      </c>
      <c r="F541" s="909"/>
      <c r="G541" s="910">
        <v>3906491</v>
      </c>
      <c r="H541" s="911">
        <v>16464380</v>
      </c>
      <c r="I541" s="910">
        <v>9684225</v>
      </c>
      <c r="J541" s="909">
        <v>1457342</v>
      </c>
      <c r="K541" s="911">
        <f t="shared" si="16"/>
        <v>31512438</v>
      </c>
      <c r="L541" s="909"/>
      <c r="M541" s="910">
        <v>1919490</v>
      </c>
      <c r="N541" s="910">
        <v>0</v>
      </c>
      <c r="O541" s="909">
        <v>477903</v>
      </c>
      <c r="P541" s="911">
        <f t="shared" si="17"/>
        <v>2397393</v>
      </c>
      <c r="Q541" s="909"/>
      <c r="R541" s="910">
        <v>22852072</v>
      </c>
      <c r="S541" s="912">
        <v>1208760</v>
      </c>
      <c r="T541" s="912">
        <v>24060832</v>
      </c>
    </row>
    <row r="542" spans="1:20" x14ac:dyDescent="0.25">
      <c r="A542" s="906">
        <v>96003</v>
      </c>
      <c r="B542" s="907" t="s">
        <v>3101</v>
      </c>
      <c r="C542" s="908">
        <v>1.6523E-3</v>
      </c>
      <c r="D542" s="908">
        <v>1.7309000000000001E-3</v>
      </c>
      <c r="E542" s="909">
        <v>2524257</v>
      </c>
      <c r="F542" s="909"/>
      <c r="G542" s="910">
        <v>145421</v>
      </c>
      <c r="H542" s="911">
        <v>612893</v>
      </c>
      <c r="I542" s="910">
        <v>360499</v>
      </c>
      <c r="J542" s="909">
        <v>3089</v>
      </c>
      <c r="K542" s="911">
        <f t="shared" si="16"/>
        <v>1121902</v>
      </c>
      <c r="L542" s="909"/>
      <c r="M542" s="910">
        <v>71454</v>
      </c>
      <c r="N542" s="910">
        <v>0</v>
      </c>
      <c r="O542" s="909">
        <v>135978</v>
      </c>
      <c r="P542" s="911">
        <f t="shared" si="17"/>
        <v>207432</v>
      </c>
      <c r="Q542" s="909"/>
      <c r="R542" s="910">
        <v>850677</v>
      </c>
      <c r="S542" s="912">
        <v>-56030</v>
      </c>
      <c r="T542" s="912">
        <v>794647</v>
      </c>
    </row>
    <row r="543" spans="1:20" x14ac:dyDescent="0.25">
      <c r="A543" s="906">
        <v>96004</v>
      </c>
      <c r="B543" s="907" t="s">
        <v>3102</v>
      </c>
      <c r="C543" s="908">
        <v>8.9439999999999995E-4</v>
      </c>
      <c r="D543" s="908">
        <v>8.7699999999999996E-4</v>
      </c>
      <c r="E543" s="909">
        <v>1366395</v>
      </c>
      <c r="F543" s="909"/>
      <c r="G543" s="910">
        <v>78717</v>
      </c>
      <c r="H543" s="911">
        <v>331762</v>
      </c>
      <c r="I543" s="910">
        <v>195140</v>
      </c>
      <c r="J543" s="909">
        <v>149546</v>
      </c>
      <c r="K543" s="911">
        <f t="shared" si="16"/>
        <v>755165</v>
      </c>
      <c r="L543" s="909"/>
      <c r="M543" s="910">
        <v>38678</v>
      </c>
      <c r="N543" s="910">
        <v>0</v>
      </c>
      <c r="O543" s="909">
        <v>0</v>
      </c>
      <c r="P543" s="911">
        <f t="shared" si="17"/>
        <v>38678</v>
      </c>
      <c r="Q543" s="909"/>
      <c r="R543" s="910">
        <v>460476</v>
      </c>
      <c r="S543" s="912">
        <v>65505</v>
      </c>
      <c r="T543" s="912">
        <f>525982-1</f>
        <v>525981</v>
      </c>
    </row>
    <row r="544" spans="1:20" x14ac:dyDescent="0.25">
      <c r="A544" s="906">
        <v>96005</v>
      </c>
      <c r="B544" s="907" t="s">
        <v>3103</v>
      </c>
      <c r="C544" s="908">
        <v>2.6733999999999998E-3</v>
      </c>
      <c r="D544" s="908">
        <v>2.6457E-3</v>
      </c>
      <c r="E544" s="909">
        <v>4084215</v>
      </c>
      <c r="F544" s="909"/>
      <c r="G544" s="910">
        <v>235289</v>
      </c>
      <c r="H544" s="911">
        <v>991653</v>
      </c>
      <c r="I544" s="910">
        <v>583282</v>
      </c>
      <c r="J544" s="909">
        <v>222285</v>
      </c>
      <c r="K544" s="911">
        <f t="shared" si="16"/>
        <v>2032509</v>
      </c>
      <c r="L544" s="909"/>
      <c r="M544" s="910">
        <v>115611</v>
      </c>
      <c r="N544" s="910">
        <v>0</v>
      </c>
      <c r="O544" s="909">
        <v>0</v>
      </c>
      <c r="P544" s="911">
        <f t="shared" si="17"/>
        <v>115611</v>
      </c>
      <c r="Q544" s="909"/>
      <c r="R544" s="910">
        <v>1376384</v>
      </c>
      <c r="S544" s="912">
        <v>159087</v>
      </c>
      <c r="T544" s="912">
        <v>1535471</v>
      </c>
    </row>
    <row r="545" spans="1:20" x14ac:dyDescent="0.25">
      <c r="A545" s="906">
        <v>96008</v>
      </c>
      <c r="B545" s="907" t="s">
        <v>3104</v>
      </c>
      <c r="C545" s="908">
        <v>5.9955E-3</v>
      </c>
      <c r="D545" s="908">
        <v>5.9388000000000002E-3</v>
      </c>
      <c r="E545" s="909">
        <v>9159463</v>
      </c>
      <c r="F545" s="909"/>
      <c r="G545" s="910">
        <v>527670</v>
      </c>
      <c r="H545" s="911">
        <v>2223929</v>
      </c>
      <c r="I545" s="910">
        <v>1308098</v>
      </c>
      <c r="J545" s="909">
        <v>0</v>
      </c>
      <c r="K545" s="911">
        <f t="shared" si="16"/>
        <v>4059697</v>
      </c>
      <c r="L545" s="909"/>
      <c r="M545" s="910">
        <v>259275</v>
      </c>
      <c r="N545" s="910">
        <v>0</v>
      </c>
      <c r="O545" s="909">
        <v>767021</v>
      </c>
      <c r="P545" s="911">
        <f t="shared" si="17"/>
        <v>1026296</v>
      </c>
      <c r="Q545" s="909"/>
      <c r="R545" s="910">
        <v>3086747</v>
      </c>
      <c r="S545" s="912">
        <v>-274630</v>
      </c>
      <c r="T545" s="912">
        <v>2812117</v>
      </c>
    </row>
    <row r="546" spans="1:20" x14ac:dyDescent="0.25">
      <c r="A546" s="906">
        <v>96009</v>
      </c>
      <c r="B546" s="907" t="s">
        <v>3105</v>
      </c>
      <c r="C546" s="908">
        <v>3.7609999999999998E-4</v>
      </c>
      <c r="D546" s="908">
        <v>3.5980000000000002E-4</v>
      </c>
      <c r="E546" s="909">
        <v>574577</v>
      </c>
      <c r="F546" s="909"/>
      <c r="G546" s="910">
        <v>33101</v>
      </c>
      <c r="H546" s="911">
        <v>139508</v>
      </c>
      <c r="I546" s="910">
        <v>82057</v>
      </c>
      <c r="J546" s="909">
        <v>33181</v>
      </c>
      <c r="K546" s="911">
        <f t="shared" si="16"/>
        <v>287847</v>
      </c>
      <c r="L546" s="909"/>
      <c r="M546" s="910">
        <v>16264</v>
      </c>
      <c r="N546" s="910">
        <v>0</v>
      </c>
      <c r="O546" s="909">
        <v>2595</v>
      </c>
      <c r="P546" s="911">
        <f t="shared" si="17"/>
        <v>18859</v>
      </c>
      <c r="Q546" s="909"/>
      <c r="R546" s="910">
        <v>193633</v>
      </c>
      <c r="S546" s="912">
        <v>11508</v>
      </c>
      <c r="T546" s="912">
        <v>205141</v>
      </c>
    </row>
    <row r="547" spans="1:20" x14ac:dyDescent="0.25">
      <c r="A547" s="906">
        <v>96011</v>
      </c>
      <c r="B547" s="907" t="s">
        <v>3106</v>
      </c>
      <c r="C547" s="908">
        <v>6.1150400000000001E-2</v>
      </c>
      <c r="D547" s="908">
        <v>6.0489000000000001E-2</v>
      </c>
      <c r="E547" s="909">
        <v>93420873</v>
      </c>
      <c r="F547" s="909"/>
      <c r="G547" s="910">
        <v>5381908</v>
      </c>
      <c r="H547" s="911">
        <v>22682701</v>
      </c>
      <c r="I547" s="910">
        <v>13341794</v>
      </c>
      <c r="J547" s="909">
        <v>796221</v>
      </c>
      <c r="K547" s="911">
        <f t="shared" si="16"/>
        <v>42202624</v>
      </c>
      <c r="L547" s="909"/>
      <c r="M547" s="910">
        <v>2644449</v>
      </c>
      <c r="N547" s="910">
        <v>0</v>
      </c>
      <c r="O547" s="909">
        <v>51460</v>
      </c>
      <c r="P547" s="911">
        <f t="shared" si="17"/>
        <v>2695909</v>
      </c>
      <c r="Q547" s="909"/>
      <c r="R547" s="910">
        <v>31482917</v>
      </c>
      <c r="S547" s="912">
        <v>212508</v>
      </c>
      <c r="T547" s="912">
        <v>31695425</v>
      </c>
    </row>
    <row r="548" spans="1:20" x14ac:dyDescent="0.25">
      <c r="A548" s="906">
        <v>96012</v>
      </c>
      <c r="B548" s="907" t="s">
        <v>3107</v>
      </c>
      <c r="C548" s="908">
        <v>2.4417000000000002E-3</v>
      </c>
      <c r="D548" s="908">
        <v>2.4095000000000002E-3</v>
      </c>
      <c r="E548" s="909">
        <v>3730241</v>
      </c>
      <c r="F548" s="909"/>
      <c r="G548" s="910">
        <v>214896</v>
      </c>
      <c r="H548" s="911">
        <v>905707</v>
      </c>
      <c r="I548" s="910">
        <v>532730</v>
      </c>
      <c r="J548" s="909">
        <v>77080</v>
      </c>
      <c r="K548" s="911">
        <f t="shared" si="16"/>
        <v>1730413</v>
      </c>
      <c r="L548" s="909"/>
      <c r="M548" s="910">
        <v>105591</v>
      </c>
      <c r="N548" s="910">
        <v>0</v>
      </c>
      <c r="O548" s="909">
        <v>937</v>
      </c>
      <c r="P548" s="911">
        <f t="shared" si="17"/>
        <v>106528</v>
      </c>
      <c r="Q548" s="909"/>
      <c r="R548" s="910">
        <v>1257095</v>
      </c>
      <c r="S548" s="912">
        <v>35595</v>
      </c>
      <c r="T548" s="912">
        <v>1292690</v>
      </c>
    </row>
    <row r="549" spans="1:20" x14ac:dyDescent="0.25">
      <c r="A549" s="906">
        <v>96018</v>
      </c>
      <c r="B549" s="907" t="s">
        <v>3108</v>
      </c>
      <c r="C549" s="908">
        <v>4.3600000000000003E-5</v>
      </c>
      <c r="D549" s="908">
        <v>3.6199999999999999E-5</v>
      </c>
      <c r="E549" s="909">
        <v>66609</v>
      </c>
      <c r="F549" s="909"/>
      <c r="G549" s="910">
        <v>3837</v>
      </c>
      <c r="H549" s="911">
        <v>16173</v>
      </c>
      <c r="I549" s="910">
        <v>9513</v>
      </c>
      <c r="J549" s="909">
        <v>9704</v>
      </c>
      <c r="K549" s="911">
        <f t="shared" si="16"/>
        <v>39227</v>
      </c>
      <c r="L549" s="909"/>
      <c r="M549" s="910">
        <v>1885</v>
      </c>
      <c r="N549" s="910">
        <v>0</v>
      </c>
      <c r="O549" s="909">
        <v>0</v>
      </c>
      <c r="P549" s="911">
        <f t="shared" si="17"/>
        <v>1885</v>
      </c>
      <c r="Q549" s="909"/>
      <c r="R549" s="910">
        <v>22447</v>
      </c>
      <c r="S549" s="912">
        <v>5913</v>
      </c>
      <c r="T549" s="912">
        <v>28360</v>
      </c>
    </row>
    <row r="550" spans="1:20" x14ac:dyDescent="0.25">
      <c r="A550" s="906">
        <v>96021</v>
      </c>
      <c r="B550" s="907" t="s">
        <v>3109</v>
      </c>
      <c r="C550" s="908">
        <v>7.2090000000000001E-4</v>
      </c>
      <c r="D550" s="908">
        <v>8.5829999999999999E-4</v>
      </c>
      <c r="E550" s="909">
        <v>1101336</v>
      </c>
      <c r="F550" s="909"/>
      <c r="G550" s="910">
        <v>63447</v>
      </c>
      <c r="H550" s="911">
        <v>267406</v>
      </c>
      <c r="I550" s="910">
        <v>157286</v>
      </c>
      <c r="J550" s="909">
        <v>31959</v>
      </c>
      <c r="K550" s="911">
        <f t="shared" si="16"/>
        <v>520098</v>
      </c>
      <c r="L550" s="909"/>
      <c r="M550" s="910">
        <v>31175</v>
      </c>
      <c r="N550" s="910">
        <v>0</v>
      </c>
      <c r="O550" s="909">
        <v>119309</v>
      </c>
      <c r="P550" s="911">
        <f t="shared" si="17"/>
        <v>150484</v>
      </c>
      <c r="Q550" s="909"/>
      <c r="R550" s="910">
        <v>371151</v>
      </c>
      <c r="S550" s="912">
        <v>-13869</v>
      </c>
      <c r="T550" s="912">
        <v>357282</v>
      </c>
    </row>
    <row r="551" spans="1:20" x14ac:dyDescent="0.25">
      <c r="A551" s="906">
        <v>96031</v>
      </c>
      <c r="B551" s="907" t="s">
        <v>3110</v>
      </c>
      <c r="C551" s="908">
        <v>8.2580000000000001E-4</v>
      </c>
      <c r="D551" s="908">
        <v>9.0189999999999997E-4</v>
      </c>
      <c r="E551" s="909">
        <v>1261594</v>
      </c>
      <c r="F551" s="909"/>
      <c r="G551" s="910">
        <v>72679</v>
      </c>
      <c r="H551" s="911">
        <v>306317</v>
      </c>
      <c r="I551" s="910">
        <v>180173</v>
      </c>
      <c r="J551" s="909">
        <v>0</v>
      </c>
      <c r="K551" s="911">
        <f t="shared" si="16"/>
        <v>559169</v>
      </c>
      <c r="L551" s="909"/>
      <c r="M551" s="910">
        <v>35712</v>
      </c>
      <c r="N551" s="910">
        <v>0</v>
      </c>
      <c r="O551" s="909">
        <v>179263</v>
      </c>
      <c r="P551" s="911">
        <f t="shared" si="17"/>
        <v>214975</v>
      </c>
      <c r="Q551" s="909"/>
      <c r="R551" s="910">
        <v>425158</v>
      </c>
      <c r="S551" s="912">
        <v>-74461</v>
      </c>
      <c r="T551" s="912">
        <v>350697</v>
      </c>
    </row>
    <row r="552" spans="1:20" x14ac:dyDescent="0.25">
      <c r="A552" s="906">
        <v>96041</v>
      </c>
      <c r="B552" s="907" t="s">
        <v>3111</v>
      </c>
      <c r="C552" s="908">
        <v>1.7361E-3</v>
      </c>
      <c r="D552" s="908">
        <v>1.7323E-3</v>
      </c>
      <c r="E552" s="909">
        <v>2652280</v>
      </c>
      <c r="F552" s="909"/>
      <c r="G552" s="910">
        <v>152796</v>
      </c>
      <c r="H552" s="911">
        <v>643977</v>
      </c>
      <c r="I552" s="910">
        <v>378782</v>
      </c>
      <c r="J552" s="909">
        <v>0</v>
      </c>
      <c r="K552" s="911">
        <f t="shared" si="16"/>
        <v>1175555</v>
      </c>
      <c r="L552" s="909"/>
      <c r="M552" s="910">
        <v>75078</v>
      </c>
      <c r="N552" s="910">
        <v>0</v>
      </c>
      <c r="O552" s="909">
        <v>139404</v>
      </c>
      <c r="P552" s="911">
        <f t="shared" si="17"/>
        <v>214482</v>
      </c>
      <c r="Q552" s="909"/>
      <c r="R552" s="910">
        <v>893821</v>
      </c>
      <c r="S552" s="912">
        <v>-60075</v>
      </c>
      <c r="T552" s="912">
        <v>833746</v>
      </c>
    </row>
    <row r="553" spans="1:20" x14ac:dyDescent="0.25">
      <c r="A553" s="906">
        <v>96051</v>
      </c>
      <c r="B553" s="907" t="s">
        <v>3112</v>
      </c>
      <c r="C553" s="908">
        <v>1.0062000000000001E-3</v>
      </c>
      <c r="D553" s="908">
        <v>1.0258000000000001E-3</v>
      </c>
      <c r="E553" s="909">
        <v>1537195</v>
      </c>
      <c r="F553" s="909"/>
      <c r="G553" s="910">
        <v>88557</v>
      </c>
      <c r="H553" s="911">
        <v>373233</v>
      </c>
      <c r="I553" s="910">
        <v>219533</v>
      </c>
      <c r="J553" s="909">
        <v>0</v>
      </c>
      <c r="K553" s="911">
        <f t="shared" si="16"/>
        <v>681323</v>
      </c>
      <c r="L553" s="909"/>
      <c r="M553" s="910">
        <v>43513</v>
      </c>
      <c r="N553" s="910">
        <v>0</v>
      </c>
      <c r="O553" s="909">
        <v>109605</v>
      </c>
      <c r="P553" s="911">
        <f t="shared" si="17"/>
        <v>153118</v>
      </c>
      <c r="Q553" s="909"/>
      <c r="R553" s="910">
        <v>518036</v>
      </c>
      <c r="S553" s="912">
        <v>-44751</v>
      </c>
      <c r="T553" s="912">
        <v>473285</v>
      </c>
    </row>
    <row r="554" spans="1:20" x14ac:dyDescent="0.25">
      <c r="A554" s="906">
        <v>96061</v>
      </c>
      <c r="B554" s="907" t="s">
        <v>3113</v>
      </c>
      <c r="C554" s="908">
        <v>3.3950000000000001E-4</v>
      </c>
      <c r="D554" s="908">
        <v>3.0800000000000001E-4</v>
      </c>
      <c r="E554" s="909">
        <v>518662</v>
      </c>
      <c r="F554" s="909"/>
      <c r="G554" s="910">
        <v>29880</v>
      </c>
      <c r="H554" s="911">
        <v>125932</v>
      </c>
      <c r="I554" s="910">
        <v>74072</v>
      </c>
      <c r="J554" s="909">
        <v>21868</v>
      </c>
      <c r="K554" s="911">
        <f t="shared" si="16"/>
        <v>251752</v>
      </c>
      <c r="L554" s="909"/>
      <c r="M554" s="910">
        <v>14682</v>
      </c>
      <c r="N554" s="910">
        <v>0</v>
      </c>
      <c r="O554" s="909">
        <v>7447</v>
      </c>
      <c r="P554" s="911">
        <f t="shared" si="17"/>
        <v>22129</v>
      </c>
      <c r="Q554" s="909"/>
      <c r="R554" s="910">
        <v>174790</v>
      </c>
      <c r="S554" s="912">
        <v>2241</v>
      </c>
      <c r="T554" s="912">
        <v>177031</v>
      </c>
    </row>
    <row r="555" spans="1:20" x14ac:dyDescent="0.25">
      <c r="A555" s="906">
        <v>96071</v>
      </c>
      <c r="B555" s="907" t="s">
        <v>3114</v>
      </c>
      <c r="C555" s="908">
        <v>1.1367E-3</v>
      </c>
      <c r="D555" s="908">
        <v>1.1280999999999999E-3</v>
      </c>
      <c r="E555" s="909">
        <v>1736563</v>
      </c>
      <c r="F555" s="909"/>
      <c r="G555" s="910">
        <v>100042</v>
      </c>
      <c r="H555" s="911">
        <v>421639</v>
      </c>
      <c r="I555" s="910">
        <v>248005</v>
      </c>
      <c r="J555" s="909">
        <v>72999</v>
      </c>
      <c r="K555" s="911">
        <f t="shared" si="16"/>
        <v>842685</v>
      </c>
      <c r="L555" s="909"/>
      <c r="M555" s="910">
        <v>49157</v>
      </c>
      <c r="N555" s="910">
        <v>0</v>
      </c>
      <c r="O555" s="909">
        <v>71715</v>
      </c>
      <c r="P555" s="911">
        <f t="shared" si="17"/>
        <v>120872</v>
      </c>
      <c r="Q555" s="909"/>
      <c r="R555" s="910">
        <v>585223</v>
      </c>
      <c r="S555" s="912">
        <v>-1282</v>
      </c>
      <c r="T555" s="912">
        <v>583941</v>
      </c>
    </row>
    <row r="556" spans="1:20" x14ac:dyDescent="0.25">
      <c r="A556" s="906">
        <v>96081</v>
      </c>
      <c r="B556" s="907" t="s">
        <v>3115</v>
      </c>
      <c r="C556" s="908">
        <v>5.0900000000000001E-4</v>
      </c>
      <c r="D556" s="908">
        <v>4.7820000000000002E-4</v>
      </c>
      <c r="E556" s="909">
        <v>777611</v>
      </c>
      <c r="F556" s="909"/>
      <c r="G556" s="910">
        <v>44798</v>
      </c>
      <c r="H556" s="911">
        <v>188805</v>
      </c>
      <c r="I556" s="910">
        <v>111054</v>
      </c>
      <c r="J556" s="909">
        <v>10640</v>
      </c>
      <c r="K556" s="911">
        <f t="shared" si="16"/>
        <v>355297</v>
      </c>
      <c r="L556" s="909"/>
      <c r="M556" s="910">
        <v>22012</v>
      </c>
      <c r="N556" s="910">
        <v>0</v>
      </c>
      <c r="O556" s="909">
        <v>4115</v>
      </c>
      <c r="P556" s="911">
        <f t="shared" si="17"/>
        <v>26127</v>
      </c>
      <c r="Q556" s="909"/>
      <c r="R556" s="910">
        <v>262056</v>
      </c>
      <c r="S556" s="912">
        <v>5137</v>
      </c>
      <c r="T556" s="912">
        <v>267193</v>
      </c>
    </row>
    <row r="557" spans="1:20" x14ac:dyDescent="0.25">
      <c r="A557" s="906">
        <v>96101</v>
      </c>
      <c r="B557" s="907" t="s">
        <v>3116</v>
      </c>
      <c r="C557" s="908">
        <v>7.6749999999999995E-4</v>
      </c>
      <c r="D557" s="908">
        <v>7.5860000000000001E-4</v>
      </c>
      <c r="E557" s="909">
        <v>1172527</v>
      </c>
      <c r="F557" s="909"/>
      <c r="G557" s="910">
        <v>67548</v>
      </c>
      <c r="H557" s="911">
        <v>284691</v>
      </c>
      <c r="I557" s="910">
        <v>167453</v>
      </c>
      <c r="J557" s="909">
        <v>39221</v>
      </c>
      <c r="K557" s="911">
        <f t="shared" si="16"/>
        <v>558913</v>
      </c>
      <c r="L557" s="909"/>
      <c r="M557" s="910">
        <v>33191</v>
      </c>
      <c r="N557" s="910">
        <v>0</v>
      </c>
      <c r="O557" s="909">
        <v>3498</v>
      </c>
      <c r="P557" s="911">
        <f t="shared" si="17"/>
        <v>36689</v>
      </c>
      <c r="Q557" s="909"/>
      <c r="R557" s="910">
        <v>395143</v>
      </c>
      <c r="S557" s="912">
        <v>17230</v>
      </c>
      <c r="T557" s="912">
        <v>412373</v>
      </c>
    </row>
    <row r="558" spans="1:20" x14ac:dyDescent="0.25">
      <c r="A558" s="906">
        <v>96102</v>
      </c>
      <c r="B558" s="907" t="s">
        <v>3117</v>
      </c>
      <c r="C558" s="908">
        <v>1.36E-5</v>
      </c>
      <c r="D558" s="908">
        <v>1.42E-5</v>
      </c>
      <c r="E558" s="909">
        <v>20777</v>
      </c>
      <c r="F558" s="909"/>
      <c r="G558" s="910">
        <v>1197</v>
      </c>
      <c r="H558" s="911">
        <v>5045</v>
      </c>
      <c r="I558" s="910">
        <v>2967</v>
      </c>
      <c r="J558" s="909">
        <v>0</v>
      </c>
      <c r="K558" s="911">
        <f t="shared" si="16"/>
        <v>9209</v>
      </c>
      <c r="L558" s="909"/>
      <c r="M558" s="910">
        <v>588</v>
      </c>
      <c r="N558" s="910">
        <v>0</v>
      </c>
      <c r="O558" s="909">
        <v>3137</v>
      </c>
      <c r="P558" s="911">
        <f t="shared" si="17"/>
        <v>3725</v>
      </c>
      <c r="Q558" s="909"/>
      <c r="R558" s="910">
        <v>7002</v>
      </c>
      <c r="S558" s="912">
        <v>-1435</v>
      </c>
      <c r="T558" s="912">
        <v>5567</v>
      </c>
    </row>
    <row r="559" spans="1:20" x14ac:dyDescent="0.25">
      <c r="A559" s="906">
        <v>96111</v>
      </c>
      <c r="B559" s="907" t="s">
        <v>3118</v>
      </c>
      <c r="C559" s="908">
        <v>1.5349999999999999E-4</v>
      </c>
      <c r="D559" s="908">
        <v>1.6119999999999999E-4</v>
      </c>
      <c r="E559" s="909">
        <v>234505</v>
      </c>
      <c r="F559" s="909"/>
      <c r="G559" s="910">
        <v>13510</v>
      </c>
      <c r="H559" s="911">
        <v>56938</v>
      </c>
      <c r="I559" s="910">
        <v>33491</v>
      </c>
      <c r="J559" s="909">
        <v>9403</v>
      </c>
      <c r="K559" s="911">
        <f t="shared" si="16"/>
        <v>113342</v>
      </c>
      <c r="L559" s="909"/>
      <c r="M559" s="910">
        <v>6638</v>
      </c>
      <c r="N559" s="910">
        <v>0</v>
      </c>
      <c r="O559" s="909">
        <v>1683</v>
      </c>
      <c r="P559" s="911">
        <f t="shared" si="17"/>
        <v>8321</v>
      </c>
      <c r="Q559" s="909"/>
      <c r="R559" s="910">
        <v>79029</v>
      </c>
      <c r="S559" s="912">
        <v>6754</v>
      </c>
      <c r="T559" s="912">
        <v>85783</v>
      </c>
    </row>
    <row r="560" spans="1:20" x14ac:dyDescent="0.25">
      <c r="A560" s="906">
        <v>96121</v>
      </c>
      <c r="B560" s="907" t="s">
        <v>3119</v>
      </c>
      <c r="C560" s="908">
        <v>2.2500000000000001E-5</v>
      </c>
      <c r="D560" s="908">
        <v>2.2099999999999998E-5</v>
      </c>
      <c r="E560" s="909">
        <v>34374</v>
      </c>
      <c r="F560" s="909"/>
      <c r="G560" s="910">
        <v>1980</v>
      </c>
      <c r="H560" s="911">
        <v>8346</v>
      </c>
      <c r="I560" s="910">
        <v>4909</v>
      </c>
      <c r="J560" s="909">
        <v>397</v>
      </c>
      <c r="K560" s="911">
        <f t="shared" si="16"/>
        <v>15632</v>
      </c>
      <c r="L560" s="909"/>
      <c r="M560" s="910">
        <v>973</v>
      </c>
      <c r="N560" s="910">
        <v>0</v>
      </c>
      <c r="O560" s="909">
        <v>1764</v>
      </c>
      <c r="P560" s="911">
        <f t="shared" si="17"/>
        <v>2737</v>
      </c>
      <c r="Q560" s="909"/>
      <c r="R560" s="910">
        <v>11584</v>
      </c>
      <c r="S560" s="912">
        <v>-946</v>
      </c>
      <c r="T560" s="912">
        <v>10638</v>
      </c>
    </row>
    <row r="561" spans="1:20" x14ac:dyDescent="0.25">
      <c r="A561" s="906">
        <v>96201</v>
      </c>
      <c r="B561" s="907" t="s">
        <v>3120</v>
      </c>
      <c r="C561" s="908">
        <v>1.1788E-3</v>
      </c>
      <c r="D561" s="908">
        <v>1.2302999999999999E-3</v>
      </c>
      <c r="E561" s="909">
        <v>1800880</v>
      </c>
      <c r="F561" s="909"/>
      <c r="G561" s="910">
        <v>103747</v>
      </c>
      <c r="H561" s="911">
        <v>437256</v>
      </c>
      <c r="I561" s="910">
        <v>257191</v>
      </c>
      <c r="J561" s="909">
        <v>0</v>
      </c>
      <c r="K561" s="911">
        <f t="shared" si="16"/>
        <v>798194</v>
      </c>
      <c r="L561" s="909"/>
      <c r="M561" s="910">
        <v>50977</v>
      </c>
      <c r="N561" s="910">
        <v>0</v>
      </c>
      <c r="O561" s="909">
        <v>73119</v>
      </c>
      <c r="P561" s="911">
        <f t="shared" si="17"/>
        <v>124096</v>
      </c>
      <c r="Q561" s="909"/>
      <c r="R561" s="910">
        <v>606898</v>
      </c>
      <c r="S561" s="912">
        <v>-23257</v>
      </c>
      <c r="T561" s="912">
        <v>583641</v>
      </c>
    </row>
    <row r="562" spans="1:20" x14ac:dyDescent="0.25">
      <c r="A562" s="906">
        <v>96204</v>
      </c>
      <c r="B562" s="907" t="s">
        <v>3121</v>
      </c>
      <c r="C562" s="908">
        <v>1.5099999999999999E-5</v>
      </c>
      <c r="D562" s="908">
        <v>1.5400000000000002E-5</v>
      </c>
      <c r="E562" s="909">
        <v>23069</v>
      </c>
      <c r="F562" s="909"/>
      <c r="G562" s="910">
        <v>1329</v>
      </c>
      <c r="H562" s="911">
        <v>5602</v>
      </c>
      <c r="I562" s="910">
        <v>3295</v>
      </c>
      <c r="J562" s="909">
        <v>3517</v>
      </c>
      <c r="K562" s="911">
        <f t="shared" si="16"/>
        <v>13743</v>
      </c>
      <c r="L562" s="909"/>
      <c r="M562" s="910">
        <v>653</v>
      </c>
      <c r="N562" s="910">
        <v>0</v>
      </c>
      <c r="O562" s="909">
        <v>0</v>
      </c>
      <c r="P562" s="911">
        <f t="shared" si="17"/>
        <v>653</v>
      </c>
      <c r="Q562" s="909"/>
      <c r="R562" s="910">
        <v>7774</v>
      </c>
      <c r="S562" s="912">
        <v>1655</v>
      </c>
      <c r="T562" s="912">
        <f>9430-1</f>
        <v>9429</v>
      </c>
    </row>
    <row r="563" spans="1:20" x14ac:dyDescent="0.25">
      <c r="A563" s="906">
        <v>96211</v>
      </c>
      <c r="B563" s="907" t="s">
        <v>3122</v>
      </c>
      <c r="C563" s="908">
        <v>2.62E-5</v>
      </c>
      <c r="D563" s="908">
        <v>3.0700000000000001E-5</v>
      </c>
      <c r="E563" s="909">
        <v>40026</v>
      </c>
      <c r="F563" s="909"/>
      <c r="G563" s="910">
        <v>2306</v>
      </c>
      <c r="H563" s="911">
        <v>9718</v>
      </c>
      <c r="I563" s="910">
        <v>5716</v>
      </c>
      <c r="J563" s="909">
        <v>4494</v>
      </c>
      <c r="K563" s="911">
        <f t="shared" si="16"/>
        <v>22234</v>
      </c>
      <c r="L563" s="909"/>
      <c r="M563" s="910">
        <v>1133</v>
      </c>
      <c r="N563" s="910">
        <v>0</v>
      </c>
      <c r="O563" s="909">
        <v>4462</v>
      </c>
      <c r="P563" s="911">
        <f t="shared" si="17"/>
        <v>5595</v>
      </c>
      <c r="Q563" s="909"/>
      <c r="R563" s="910">
        <v>13489</v>
      </c>
      <c r="S563" s="912">
        <v>-2681</v>
      </c>
      <c r="T563" s="912">
        <v>10808</v>
      </c>
    </row>
    <row r="564" spans="1:20" x14ac:dyDescent="0.25">
      <c r="A564" s="906">
        <v>96221</v>
      </c>
      <c r="B564" s="907" t="s">
        <v>3123</v>
      </c>
      <c r="C564" s="908">
        <v>2.3350000000000001E-4</v>
      </c>
      <c r="D564" s="908">
        <v>2.287E-4</v>
      </c>
      <c r="E564" s="909">
        <v>356723</v>
      </c>
      <c r="F564" s="909"/>
      <c r="G564" s="910">
        <v>20551</v>
      </c>
      <c r="H564" s="911">
        <v>86613</v>
      </c>
      <c r="I564" s="910">
        <v>50945</v>
      </c>
      <c r="J564" s="909">
        <v>2439</v>
      </c>
      <c r="K564" s="911">
        <f t="shared" si="16"/>
        <v>160548</v>
      </c>
      <c r="L564" s="909"/>
      <c r="M564" s="910">
        <v>10098</v>
      </c>
      <c r="N564" s="910">
        <v>0</v>
      </c>
      <c r="O564" s="909">
        <v>15042</v>
      </c>
      <c r="P564" s="911">
        <f t="shared" si="17"/>
        <v>25140</v>
      </c>
      <c r="Q564" s="909"/>
      <c r="R564" s="910">
        <v>120216</v>
      </c>
      <c r="S564" s="912">
        <v>-3357</v>
      </c>
      <c r="T564" s="912">
        <f>116860-1</f>
        <v>116859</v>
      </c>
    </row>
    <row r="565" spans="1:20" x14ac:dyDescent="0.25">
      <c r="A565" s="906">
        <v>96231</v>
      </c>
      <c r="B565" s="907" t="s">
        <v>3124</v>
      </c>
      <c r="C565" s="908">
        <v>1.3339999999999999E-4</v>
      </c>
      <c r="D565" s="908">
        <v>1.145E-4</v>
      </c>
      <c r="E565" s="909">
        <v>203798</v>
      </c>
      <c r="F565" s="909"/>
      <c r="G565" s="910">
        <v>11741</v>
      </c>
      <c r="H565" s="911">
        <v>49482</v>
      </c>
      <c r="I565" s="910">
        <v>29105</v>
      </c>
      <c r="J565" s="909">
        <v>2554</v>
      </c>
      <c r="K565" s="911">
        <f t="shared" si="16"/>
        <v>92882</v>
      </c>
      <c r="L565" s="909"/>
      <c r="M565" s="910">
        <v>5769</v>
      </c>
      <c r="N565" s="910">
        <v>0</v>
      </c>
      <c r="O565" s="909">
        <v>14959</v>
      </c>
      <c r="P565" s="911">
        <f t="shared" si="17"/>
        <v>20728</v>
      </c>
      <c r="Q565" s="909"/>
      <c r="R565" s="910">
        <v>68680</v>
      </c>
      <c r="S565" s="912">
        <v>-7094</v>
      </c>
      <c r="T565" s="912">
        <v>61586</v>
      </c>
    </row>
    <row r="566" spans="1:20" x14ac:dyDescent="0.25">
      <c r="A566" s="906">
        <v>96241</v>
      </c>
      <c r="B566" s="907" t="s">
        <v>3125</v>
      </c>
      <c r="C566" s="908">
        <v>4.4700000000000002E-5</v>
      </c>
      <c r="D566" s="908">
        <v>4.6100000000000002E-5</v>
      </c>
      <c r="E566" s="909">
        <v>68289</v>
      </c>
      <c r="F566" s="909"/>
      <c r="G566" s="910">
        <v>3934</v>
      </c>
      <c r="H566" s="911">
        <v>16580</v>
      </c>
      <c r="I566" s="910">
        <v>9753</v>
      </c>
      <c r="J566" s="909">
        <v>5027</v>
      </c>
      <c r="K566" s="911">
        <f t="shared" si="16"/>
        <v>35294</v>
      </c>
      <c r="L566" s="909"/>
      <c r="M566" s="910">
        <v>1933</v>
      </c>
      <c r="N566" s="910">
        <v>0</v>
      </c>
      <c r="O566" s="909">
        <v>4371</v>
      </c>
      <c r="P566" s="911">
        <f t="shared" si="17"/>
        <v>6304</v>
      </c>
      <c r="Q566" s="909"/>
      <c r="R566" s="910">
        <v>23014</v>
      </c>
      <c r="S566" s="912">
        <v>2407</v>
      </c>
      <c r="T566" s="912">
        <f>25420+1</f>
        <v>25421</v>
      </c>
    </row>
    <row r="567" spans="1:20" x14ac:dyDescent="0.25">
      <c r="A567" s="906">
        <v>96251</v>
      </c>
      <c r="B567" s="907" t="s">
        <v>3126</v>
      </c>
      <c r="C567" s="908">
        <v>9.3999999999999994E-5</v>
      </c>
      <c r="D567" s="908">
        <v>7.7100000000000004E-5</v>
      </c>
      <c r="E567" s="909">
        <v>143606</v>
      </c>
      <c r="F567" s="909"/>
      <c r="G567" s="910">
        <v>8273</v>
      </c>
      <c r="H567" s="911">
        <v>34868</v>
      </c>
      <c r="I567" s="910">
        <v>20509</v>
      </c>
      <c r="J567" s="909">
        <v>6198</v>
      </c>
      <c r="K567" s="911">
        <f t="shared" si="16"/>
        <v>69848</v>
      </c>
      <c r="L567" s="909"/>
      <c r="M567" s="910">
        <v>4065</v>
      </c>
      <c r="N567" s="910">
        <v>0</v>
      </c>
      <c r="O567" s="909">
        <v>16886</v>
      </c>
      <c r="P567" s="911">
        <f t="shared" si="17"/>
        <v>20951</v>
      </c>
      <c r="Q567" s="909"/>
      <c r="R567" s="910">
        <v>48395</v>
      </c>
      <c r="S567" s="912">
        <v>-7102</v>
      </c>
      <c r="T567" s="912">
        <v>41293</v>
      </c>
    </row>
    <row r="568" spans="1:20" x14ac:dyDescent="0.25">
      <c r="A568" s="906">
        <v>96301</v>
      </c>
      <c r="B568" s="907" t="s">
        <v>3127</v>
      </c>
      <c r="C568" s="908">
        <v>4.3712999999999998E-3</v>
      </c>
      <c r="D568" s="908">
        <v>4.3785999999999999E-3</v>
      </c>
      <c r="E568" s="909">
        <v>6678136</v>
      </c>
      <c r="F568" s="909"/>
      <c r="G568" s="910">
        <v>384722</v>
      </c>
      <c r="H568" s="911">
        <v>1621460</v>
      </c>
      <c r="I568" s="910">
        <v>953730</v>
      </c>
      <c r="J568" s="909">
        <v>60786</v>
      </c>
      <c r="K568" s="911">
        <f t="shared" si="16"/>
        <v>3020698</v>
      </c>
      <c r="L568" s="909"/>
      <c r="M568" s="910">
        <v>189037</v>
      </c>
      <c r="N568" s="910">
        <v>0</v>
      </c>
      <c r="O568" s="909">
        <v>160488</v>
      </c>
      <c r="P568" s="911">
        <f t="shared" si="17"/>
        <v>349525</v>
      </c>
      <c r="Q568" s="909"/>
      <c r="R568" s="910">
        <v>2250538</v>
      </c>
      <c r="S568" s="912">
        <v>-27776</v>
      </c>
      <c r="T568" s="912">
        <v>2222762</v>
      </c>
    </row>
    <row r="569" spans="1:20" x14ac:dyDescent="0.25">
      <c r="A569" s="906">
        <v>96302</v>
      </c>
      <c r="B569" s="907" t="s">
        <v>3128</v>
      </c>
      <c r="C569" s="908">
        <v>2.5199999999999999E-5</v>
      </c>
      <c r="D569" s="908">
        <v>1.9199999999999999E-5</v>
      </c>
      <c r="E569" s="909">
        <v>38499</v>
      </c>
      <c r="F569" s="909"/>
      <c r="G569" s="910">
        <v>2218</v>
      </c>
      <c r="H569" s="911">
        <v>9347</v>
      </c>
      <c r="I569" s="910">
        <v>5498</v>
      </c>
      <c r="J569" s="909">
        <v>7399</v>
      </c>
      <c r="K569" s="911">
        <f t="shared" si="16"/>
        <v>24462</v>
      </c>
      <c r="L569" s="909"/>
      <c r="M569" s="910">
        <v>1090</v>
      </c>
      <c r="N569" s="910">
        <v>0</v>
      </c>
      <c r="O569" s="909">
        <v>0</v>
      </c>
      <c r="P569" s="911">
        <f t="shared" si="17"/>
        <v>1090</v>
      </c>
      <c r="Q569" s="909"/>
      <c r="R569" s="910">
        <v>12974</v>
      </c>
      <c r="S569" s="912">
        <v>2631</v>
      </c>
      <c r="T569" s="912">
        <v>15605</v>
      </c>
    </row>
    <row r="570" spans="1:20" x14ac:dyDescent="0.25">
      <c r="A570" s="906">
        <v>96304</v>
      </c>
      <c r="B570" s="907" t="s">
        <v>3129</v>
      </c>
      <c r="C570" s="908">
        <v>4.5500000000000001E-5</v>
      </c>
      <c r="D570" s="908">
        <v>5.4599999999999999E-5</v>
      </c>
      <c r="E570" s="909">
        <v>69511</v>
      </c>
      <c r="F570" s="909"/>
      <c r="G570" s="910">
        <v>4005</v>
      </c>
      <c r="H570" s="911">
        <v>16877</v>
      </c>
      <c r="I570" s="910">
        <v>9927</v>
      </c>
      <c r="J570" s="909">
        <v>5469</v>
      </c>
      <c r="K570" s="911">
        <f t="shared" si="16"/>
        <v>36278</v>
      </c>
      <c r="L570" s="909"/>
      <c r="M570" s="910">
        <v>1968</v>
      </c>
      <c r="N570" s="910">
        <v>0</v>
      </c>
      <c r="O570" s="909">
        <v>1092</v>
      </c>
      <c r="P570" s="911">
        <f t="shared" si="17"/>
        <v>3060</v>
      </c>
      <c r="Q570" s="909"/>
      <c r="R570" s="910">
        <v>23425</v>
      </c>
      <c r="S570" s="912">
        <v>2085</v>
      </c>
      <c r="T570" s="912">
        <v>25510</v>
      </c>
    </row>
    <row r="571" spans="1:20" x14ac:dyDescent="0.25">
      <c r="A571" s="906">
        <v>96305</v>
      </c>
      <c r="B571" s="907" t="s">
        <v>3130</v>
      </c>
      <c r="C571" s="908">
        <v>4.5500000000000001E-5</v>
      </c>
      <c r="D571" s="908">
        <v>4.8199999999999999E-5</v>
      </c>
      <c r="E571" s="909">
        <v>69511</v>
      </c>
      <c r="F571" s="909"/>
      <c r="G571" s="910">
        <v>4005</v>
      </c>
      <c r="H571" s="911">
        <v>16877</v>
      </c>
      <c r="I571" s="910">
        <v>9927</v>
      </c>
      <c r="J571" s="909">
        <v>13328</v>
      </c>
      <c r="K571" s="911">
        <f t="shared" si="16"/>
        <v>44137</v>
      </c>
      <c r="L571" s="909"/>
      <c r="M571" s="910">
        <v>1968</v>
      </c>
      <c r="N571" s="910">
        <v>0</v>
      </c>
      <c r="O571" s="909">
        <v>0</v>
      </c>
      <c r="P571" s="911">
        <f t="shared" si="17"/>
        <v>1968</v>
      </c>
      <c r="Q571" s="909"/>
      <c r="R571" s="910">
        <v>23425</v>
      </c>
      <c r="S571" s="912">
        <v>4752</v>
      </c>
      <c r="T571" s="912">
        <v>28177</v>
      </c>
    </row>
    <row r="572" spans="1:20" x14ac:dyDescent="0.25">
      <c r="A572" s="906">
        <v>96310</v>
      </c>
      <c r="B572" s="907" t="s">
        <v>3131</v>
      </c>
      <c r="C572" s="908">
        <v>6.1099999999999994E-5</v>
      </c>
      <c r="D572" s="908">
        <v>4.88E-5</v>
      </c>
      <c r="E572" s="909">
        <v>93344</v>
      </c>
      <c r="F572" s="909"/>
      <c r="G572" s="910">
        <v>5377</v>
      </c>
      <c r="H572" s="911">
        <v>22664</v>
      </c>
      <c r="I572" s="910">
        <v>13331</v>
      </c>
      <c r="J572" s="909">
        <v>10507</v>
      </c>
      <c r="K572" s="911">
        <f t="shared" si="16"/>
        <v>51879</v>
      </c>
      <c r="L572" s="909"/>
      <c r="M572" s="910">
        <v>2642</v>
      </c>
      <c r="N572" s="910">
        <v>0</v>
      </c>
      <c r="O572" s="909">
        <v>3055</v>
      </c>
      <c r="P572" s="911">
        <f t="shared" si="17"/>
        <v>5697</v>
      </c>
      <c r="Q572" s="909"/>
      <c r="R572" s="910">
        <v>31457</v>
      </c>
      <c r="S572" s="912">
        <v>3506</v>
      </c>
      <c r="T572" s="912">
        <v>34963</v>
      </c>
    </row>
    <row r="573" spans="1:20" x14ac:dyDescent="0.25">
      <c r="A573" s="906">
        <v>96311</v>
      </c>
      <c r="B573" s="907" t="s">
        <v>3132</v>
      </c>
      <c r="C573" s="908">
        <v>1.3113000000000001E-3</v>
      </c>
      <c r="D573" s="908">
        <v>1.4082999999999999E-3</v>
      </c>
      <c r="E573" s="909">
        <v>2003303</v>
      </c>
      <c r="F573" s="909"/>
      <c r="G573" s="910">
        <v>115409</v>
      </c>
      <c r="H573" s="911">
        <v>486404</v>
      </c>
      <c r="I573" s="910">
        <v>286099</v>
      </c>
      <c r="J573" s="909">
        <v>11041</v>
      </c>
      <c r="K573" s="911">
        <f t="shared" si="16"/>
        <v>898953</v>
      </c>
      <c r="L573" s="909"/>
      <c r="M573" s="910">
        <v>56707</v>
      </c>
      <c r="N573" s="910">
        <v>0</v>
      </c>
      <c r="O573" s="909">
        <v>139297</v>
      </c>
      <c r="P573" s="911">
        <f t="shared" si="17"/>
        <v>196004</v>
      </c>
      <c r="Q573" s="909"/>
      <c r="R573" s="910">
        <v>675115</v>
      </c>
      <c r="S573" s="912">
        <v>-33999</v>
      </c>
      <c r="T573" s="912">
        <v>641116</v>
      </c>
    </row>
    <row r="574" spans="1:20" x14ac:dyDescent="0.25">
      <c r="A574" s="906">
        <v>96312</v>
      </c>
      <c r="B574" s="907" t="s">
        <v>3133</v>
      </c>
      <c r="C574" s="908">
        <v>1.5999999999999999E-5</v>
      </c>
      <c r="D574" s="908">
        <v>1.5999999999999999E-6</v>
      </c>
      <c r="E574" s="909">
        <v>24444</v>
      </c>
      <c r="F574" s="909"/>
      <c r="G574" s="910">
        <v>1408</v>
      </c>
      <c r="H574" s="911">
        <v>5935</v>
      </c>
      <c r="I574" s="910">
        <v>3491</v>
      </c>
      <c r="J574" s="909">
        <v>7668</v>
      </c>
      <c r="K574" s="911">
        <f t="shared" si="16"/>
        <v>18502</v>
      </c>
      <c r="L574" s="909"/>
      <c r="M574" s="910">
        <v>692</v>
      </c>
      <c r="N574" s="910">
        <v>0</v>
      </c>
      <c r="O574" s="909">
        <v>1864</v>
      </c>
      <c r="P574" s="911">
        <f t="shared" si="17"/>
        <v>2556</v>
      </c>
      <c r="Q574" s="909"/>
      <c r="R574" s="910">
        <v>8238</v>
      </c>
      <c r="S574" s="912">
        <v>374</v>
      </c>
      <c r="T574" s="912">
        <v>8612</v>
      </c>
    </row>
    <row r="575" spans="1:20" x14ac:dyDescent="0.25">
      <c r="A575" s="906">
        <v>96318</v>
      </c>
      <c r="B575" s="907" t="s">
        <v>3134</v>
      </c>
      <c r="C575" s="908">
        <v>2.1684999999999999E-3</v>
      </c>
      <c r="D575" s="908">
        <v>1.7782E-3</v>
      </c>
      <c r="E575" s="909">
        <v>3312867</v>
      </c>
      <c r="F575" s="909"/>
      <c r="G575" s="910">
        <v>190852</v>
      </c>
      <c r="H575" s="911">
        <v>804368</v>
      </c>
      <c r="I575" s="910">
        <v>473123</v>
      </c>
      <c r="J575" s="909">
        <v>7711758</v>
      </c>
      <c r="K575" s="911">
        <f t="shared" si="16"/>
        <v>9180101</v>
      </c>
      <c r="L575" s="909"/>
      <c r="M575" s="910">
        <v>93777</v>
      </c>
      <c r="N575" s="910">
        <v>0</v>
      </c>
      <c r="O575" s="909">
        <v>0</v>
      </c>
      <c r="P575" s="911">
        <f t="shared" si="17"/>
        <v>93777</v>
      </c>
      <c r="Q575" s="909"/>
      <c r="R575" s="910">
        <v>1116439</v>
      </c>
      <c r="S575" s="912">
        <v>2665103</v>
      </c>
      <c r="T575" s="912">
        <v>3781542</v>
      </c>
    </row>
    <row r="576" spans="1:20" x14ac:dyDescent="0.25">
      <c r="A576" s="906">
        <v>96321</v>
      </c>
      <c r="B576" s="907" t="s">
        <v>3135</v>
      </c>
      <c r="C576" s="908">
        <v>3.6900000000000002E-5</v>
      </c>
      <c r="D576" s="908">
        <v>3.7400000000000001E-5</v>
      </c>
      <c r="E576" s="909">
        <v>56373</v>
      </c>
      <c r="F576" s="909"/>
      <c r="G576" s="910">
        <v>3248</v>
      </c>
      <c r="H576" s="911">
        <v>13687</v>
      </c>
      <c r="I576" s="910">
        <v>8051</v>
      </c>
      <c r="J576" s="909">
        <v>1642</v>
      </c>
      <c r="K576" s="911">
        <f t="shared" si="16"/>
        <v>26628</v>
      </c>
      <c r="L576" s="909"/>
      <c r="M576" s="910">
        <v>1596</v>
      </c>
      <c r="N576" s="910">
        <v>0</v>
      </c>
      <c r="O576" s="909">
        <v>2449</v>
      </c>
      <c r="P576" s="911">
        <f t="shared" si="17"/>
        <v>4045</v>
      </c>
      <c r="Q576" s="909"/>
      <c r="R576" s="910">
        <v>18998</v>
      </c>
      <c r="S576" s="912">
        <v>-489</v>
      </c>
      <c r="T576" s="912">
        <v>18509</v>
      </c>
    </row>
    <row r="577" spans="1:20" x14ac:dyDescent="0.25">
      <c r="A577" s="906">
        <v>96331</v>
      </c>
      <c r="B577" s="907" t="s">
        <v>3136</v>
      </c>
      <c r="C577" s="908">
        <v>7.0850000000000004E-4</v>
      </c>
      <c r="D577" s="908">
        <v>7.1699999999999997E-4</v>
      </c>
      <c r="E577" s="909">
        <v>1082392</v>
      </c>
      <c r="F577" s="909"/>
      <c r="G577" s="910">
        <v>62356</v>
      </c>
      <c r="H577" s="911">
        <v>262806</v>
      </c>
      <c r="I577" s="910">
        <v>154581</v>
      </c>
      <c r="J577" s="909">
        <v>3107</v>
      </c>
      <c r="K577" s="911">
        <f t="shared" si="16"/>
        <v>482850</v>
      </c>
      <c r="L577" s="909"/>
      <c r="M577" s="910">
        <v>30639</v>
      </c>
      <c r="N577" s="910">
        <v>0</v>
      </c>
      <c r="O577" s="909">
        <v>53524</v>
      </c>
      <c r="P577" s="911">
        <f t="shared" si="17"/>
        <v>84163</v>
      </c>
      <c r="Q577" s="909"/>
      <c r="R577" s="910">
        <v>364767</v>
      </c>
      <c r="S577" s="912">
        <v>-22322</v>
      </c>
      <c r="T577" s="912">
        <v>342445</v>
      </c>
    </row>
    <row r="578" spans="1:20" x14ac:dyDescent="0.25">
      <c r="A578" s="906">
        <v>96341</v>
      </c>
      <c r="B578" s="907" t="s">
        <v>3137</v>
      </c>
      <c r="C578" s="908">
        <v>8.3800000000000004E-5</v>
      </c>
      <c r="D578" s="908">
        <v>9.1600000000000004E-5</v>
      </c>
      <c r="E578" s="909">
        <v>128023</v>
      </c>
      <c r="F578" s="909"/>
      <c r="G578" s="910">
        <v>7375</v>
      </c>
      <c r="H578" s="911">
        <v>31084</v>
      </c>
      <c r="I578" s="910">
        <v>18283</v>
      </c>
      <c r="J578" s="909">
        <v>8694</v>
      </c>
      <c r="K578" s="911">
        <f t="shared" si="16"/>
        <v>65436</v>
      </c>
      <c r="L578" s="909"/>
      <c r="M578" s="910">
        <v>3624</v>
      </c>
      <c r="N578" s="910">
        <v>0</v>
      </c>
      <c r="O578" s="909">
        <v>13544</v>
      </c>
      <c r="P578" s="911">
        <f t="shared" si="17"/>
        <v>17168</v>
      </c>
      <c r="Q578" s="909"/>
      <c r="R578" s="910">
        <v>43144</v>
      </c>
      <c r="S578" s="912">
        <v>-3090</v>
      </c>
      <c r="T578" s="912">
        <v>40054</v>
      </c>
    </row>
    <row r="579" spans="1:20" x14ac:dyDescent="0.25">
      <c r="A579" s="906">
        <v>96351</v>
      </c>
      <c r="B579" s="907" t="s">
        <v>3138</v>
      </c>
      <c r="C579" s="908">
        <v>1.0616E-3</v>
      </c>
      <c r="D579" s="908">
        <v>1.0736000000000001E-3</v>
      </c>
      <c r="E579" s="909">
        <v>1621831</v>
      </c>
      <c r="F579" s="909"/>
      <c r="G579" s="910">
        <v>93432</v>
      </c>
      <c r="H579" s="911">
        <v>393782</v>
      </c>
      <c r="I579" s="910">
        <v>231620</v>
      </c>
      <c r="J579" s="909">
        <v>5421</v>
      </c>
      <c r="K579" s="911">
        <f t="shared" si="16"/>
        <v>724255</v>
      </c>
      <c r="L579" s="909"/>
      <c r="M579" s="910">
        <v>45909</v>
      </c>
      <c r="N579" s="910">
        <v>0</v>
      </c>
      <c r="O579" s="909">
        <v>28542</v>
      </c>
      <c r="P579" s="911">
        <f t="shared" si="17"/>
        <v>74451</v>
      </c>
      <c r="Q579" s="909"/>
      <c r="R579" s="910">
        <v>546558</v>
      </c>
      <c r="S579" s="912">
        <v>-5218</v>
      </c>
      <c r="T579" s="912">
        <v>541340</v>
      </c>
    </row>
    <row r="580" spans="1:20" x14ac:dyDescent="0.25">
      <c r="A580" s="906">
        <v>96361</v>
      </c>
      <c r="B580" s="907" t="s">
        <v>3139</v>
      </c>
      <c r="C580" s="908">
        <v>5.5699999999999999E-5</v>
      </c>
      <c r="D580" s="908">
        <v>5.8900000000000002E-5</v>
      </c>
      <c r="E580" s="909">
        <v>85094</v>
      </c>
      <c r="F580" s="909"/>
      <c r="G580" s="910">
        <v>4902</v>
      </c>
      <c r="H580" s="911">
        <v>20661</v>
      </c>
      <c r="I580" s="910">
        <v>12153</v>
      </c>
      <c r="J580" s="909">
        <v>3403</v>
      </c>
      <c r="K580" s="911">
        <f t="shared" si="16"/>
        <v>41119</v>
      </c>
      <c r="L580" s="909"/>
      <c r="M580" s="910">
        <v>2409</v>
      </c>
      <c r="N580" s="910">
        <v>0</v>
      </c>
      <c r="O580" s="909">
        <v>3423</v>
      </c>
      <c r="P580" s="911">
        <f t="shared" si="17"/>
        <v>5832</v>
      </c>
      <c r="Q580" s="909"/>
      <c r="R580" s="910">
        <v>28677</v>
      </c>
      <c r="S580" s="912">
        <v>936</v>
      </c>
      <c r="T580" s="912">
        <f>29612+1</f>
        <v>29613</v>
      </c>
    </row>
    <row r="581" spans="1:20" x14ac:dyDescent="0.25">
      <c r="A581" s="906">
        <v>96371</v>
      </c>
      <c r="B581" s="907" t="s">
        <v>3140</v>
      </c>
      <c r="C581" s="908">
        <v>1.5249999999999999E-4</v>
      </c>
      <c r="D581" s="908">
        <v>1.6359999999999999E-4</v>
      </c>
      <c r="E581" s="909">
        <v>232978</v>
      </c>
      <c r="F581" s="909"/>
      <c r="G581" s="910">
        <v>13422</v>
      </c>
      <c r="H581" s="911">
        <v>56568</v>
      </c>
      <c r="I581" s="910">
        <v>33272</v>
      </c>
      <c r="J581" s="909">
        <v>1335</v>
      </c>
      <c r="K581" s="911">
        <f t="shared" si="16"/>
        <v>104597</v>
      </c>
      <c r="L581" s="909"/>
      <c r="M581" s="910">
        <v>6595</v>
      </c>
      <c r="N581" s="910">
        <v>0</v>
      </c>
      <c r="O581" s="909">
        <v>14966</v>
      </c>
      <c r="P581" s="911">
        <f t="shared" si="17"/>
        <v>21561</v>
      </c>
      <c r="Q581" s="909"/>
      <c r="R581" s="910">
        <v>78514</v>
      </c>
      <c r="S581" s="912">
        <v>-3158</v>
      </c>
      <c r="T581" s="912">
        <v>75356</v>
      </c>
    </row>
    <row r="582" spans="1:20" x14ac:dyDescent="0.25">
      <c r="A582" s="906">
        <v>96381</v>
      </c>
      <c r="B582" s="907" t="s">
        <v>3141</v>
      </c>
      <c r="C582" s="908">
        <v>3.2100000000000001E-5</v>
      </c>
      <c r="D582" s="908">
        <v>3.26E-5</v>
      </c>
      <c r="E582" s="909">
        <v>49040</v>
      </c>
      <c r="F582" s="909"/>
      <c r="G582" s="910">
        <v>2825</v>
      </c>
      <c r="H582" s="911">
        <v>11907</v>
      </c>
      <c r="I582" s="910">
        <v>7004</v>
      </c>
      <c r="J582" s="909">
        <v>235</v>
      </c>
      <c r="K582" s="911">
        <f t="shared" si="16"/>
        <v>21971</v>
      </c>
      <c r="L582" s="909"/>
      <c r="M582" s="910">
        <v>1388</v>
      </c>
      <c r="N582" s="910">
        <v>0</v>
      </c>
      <c r="O582" s="909">
        <v>1858</v>
      </c>
      <c r="P582" s="911">
        <f t="shared" si="17"/>
        <v>3246</v>
      </c>
      <c r="Q582" s="909"/>
      <c r="R582" s="910">
        <v>16526</v>
      </c>
      <c r="S582" s="912">
        <v>-1164</v>
      </c>
      <c r="T582" s="912">
        <v>15362</v>
      </c>
    </row>
    <row r="583" spans="1:20" x14ac:dyDescent="0.25">
      <c r="A583" s="906">
        <v>96391</v>
      </c>
      <c r="B583" s="907" t="s">
        <v>3142</v>
      </c>
      <c r="C583" s="908">
        <v>2.029E-4</v>
      </c>
      <c r="D583" s="908">
        <v>1.807E-4</v>
      </c>
      <c r="E583" s="909">
        <v>309975</v>
      </c>
      <c r="F583" s="909"/>
      <c r="G583" s="910">
        <v>17857</v>
      </c>
      <c r="H583" s="911">
        <v>75263</v>
      </c>
      <c r="I583" s="910">
        <v>44269</v>
      </c>
      <c r="J583" s="909">
        <v>9831</v>
      </c>
      <c r="K583" s="911">
        <f t="shared" ref="K583:K646" si="18">G583+H583+I583+J583</f>
        <v>147220</v>
      </c>
      <c r="L583" s="909"/>
      <c r="M583" s="910">
        <v>8774</v>
      </c>
      <c r="N583" s="910">
        <v>0</v>
      </c>
      <c r="O583" s="909">
        <v>18208</v>
      </c>
      <c r="P583" s="911">
        <f t="shared" ref="P583:P646" si="19">M583+N583+O583</f>
        <v>26982</v>
      </c>
      <c r="Q583" s="909"/>
      <c r="R583" s="910">
        <v>104462</v>
      </c>
      <c r="S583" s="912">
        <v>2008</v>
      </c>
      <c r="T583" s="912">
        <v>106470</v>
      </c>
    </row>
    <row r="584" spans="1:20" x14ac:dyDescent="0.25">
      <c r="A584" s="906">
        <v>96401</v>
      </c>
      <c r="B584" s="907" t="s">
        <v>3143</v>
      </c>
      <c r="C584" s="908">
        <v>4.5672000000000004E-3</v>
      </c>
      <c r="D584" s="908">
        <v>4.5900000000000003E-3</v>
      </c>
      <c r="E584" s="909">
        <v>6977416</v>
      </c>
      <c r="F584" s="909"/>
      <c r="G584" s="910">
        <v>401964</v>
      </c>
      <c r="H584" s="911">
        <v>1694125</v>
      </c>
      <c r="I584" s="910">
        <v>996472</v>
      </c>
      <c r="J584" s="909">
        <v>15869</v>
      </c>
      <c r="K584" s="911">
        <f t="shared" si="18"/>
        <v>3108430</v>
      </c>
      <c r="L584" s="909"/>
      <c r="M584" s="910">
        <v>197509</v>
      </c>
      <c r="N584" s="910">
        <v>0</v>
      </c>
      <c r="O584" s="909">
        <v>86285</v>
      </c>
      <c r="P584" s="911">
        <f t="shared" si="19"/>
        <v>283794</v>
      </c>
      <c r="Q584" s="909"/>
      <c r="R584" s="910">
        <v>2351396</v>
      </c>
      <c r="S584" s="912">
        <v>-10848</v>
      </c>
      <c r="T584" s="912">
        <v>2340548</v>
      </c>
    </row>
    <row r="585" spans="1:20" x14ac:dyDescent="0.25">
      <c r="A585" s="906">
        <v>96404</v>
      </c>
      <c r="B585" s="907" t="s">
        <v>3144</v>
      </c>
      <c r="C585" s="908">
        <v>1.026E-4</v>
      </c>
      <c r="D585" s="908">
        <v>9.8800000000000003E-5</v>
      </c>
      <c r="E585" s="909">
        <v>156744</v>
      </c>
      <c r="F585" s="909"/>
      <c r="G585" s="910">
        <v>9030</v>
      </c>
      <c r="H585" s="911">
        <v>38058</v>
      </c>
      <c r="I585" s="910">
        <v>22385</v>
      </c>
      <c r="J585" s="909">
        <v>26983</v>
      </c>
      <c r="K585" s="911">
        <f t="shared" si="18"/>
        <v>96456</v>
      </c>
      <c r="L585" s="909"/>
      <c r="M585" s="910">
        <v>4437</v>
      </c>
      <c r="N585" s="910">
        <v>0</v>
      </c>
      <c r="O585" s="909">
        <v>0</v>
      </c>
      <c r="P585" s="911">
        <f t="shared" si="19"/>
        <v>4437</v>
      </c>
      <c r="Q585" s="909"/>
      <c r="R585" s="910">
        <v>52823</v>
      </c>
      <c r="S585" s="912">
        <v>10540</v>
      </c>
      <c r="T585" s="912">
        <v>63363</v>
      </c>
    </row>
    <row r="586" spans="1:20" x14ac:dyDescent="0.25">
      <c r="A586" s="906">
        <v>96405</v>
      </c>
      <c r="B586" s="907" t="s">
        <v>3145</v>
      </c>
      <c r="C586" s="908">
        <v>1.6139999999999999E-4</v>
      </c>
      <c r="D586" s="908">
        <v>1.7760000000000001E-4</v>
      </c>
      <c r="E586" s="909">
        <v>246574</v>
      </c>
      <c r="F586" s="909"/>
      <c r="G586" s="910">
        <v>14205</v>
      </c>
      <c r="H586" s="911">
        <v>59869</v>
      </c>
      <c r="I586" s="910">
        <v>35214</v>
      </c>
      <c r="J586" s="909">
        <v>10221</v>
      </c>
      <c r="K586" s="911">
        <f t="shared" si="18"/>
        <v>119509</v>
      </c>
      <c r="L586" s="909"/>
      <c r="M586" s="910">
        <v>6980</v>
      </c>
      <c r="N586" s="910">
        <v>0</v>
      </c>
      <c r="O586" s="909">
        <v>2204</v>
      </c>
      <c r="P586" s="911">
        <f t="shared" si="19"/>
        <v>9184</v>
      </c>
      <c r="Q586" s="909"/>
      <c r="R586" s="910">
        <v>83096</v>
      </c>
      <c r="S586" s="912">
        <v>4354</v>
      </c>
      <c r="T586" s="912">
        <v>87450</v>
      </c>
    </row>
    <row r="587" spans="1:20" x14ac:dyDescent="0.25">
      <c r="A587" s="906">
        <v>96411</v>
      </c>
      <c r="B587" s="907" t="s">
        <v>3146</v>
      </c>
      <c r="C587" s="908">
        <v>7.2299999999999996E-5</v>
      </c>
      <c r="D587" s="908">
        <v>5.66E-5</v>
      </c>
      <c r="E587" s="909">
        <v>110454</v>
      </c>
      <c r="F587" s="909"/>
      <c r="G587" s="910">
        <v>6363</v>
      </c>
      <c r="H587" s="911">
        <v>26818</v>
      </c>
      <c r="I587" s="910">
        <v>15774</v>
      </c>
      <c r="J587" s="909">
        <v>12280</v>
      </c>
      <c r="K587" s="911">
        <f t="shared" si="18"/>
        <v>61235</v>
      </c>
      <c r="L587" s="909"/>
      <c r="M587" s="910">
        <v>3127</v>
      </c>
      <c r="N587" s="910">
        <v>0</v>
      </c>
      <c r="O587" s="909">
        <v>4004</v>
      </c>
      <c r="P587" s="911">
        <f t="shared" si="19"/>
        <v>7131</v>
      </c>
      <c r="Q587" s="909"/>
      <c r="R587" s="910">
        <v>37223</v>
      </c>
      <c r="S587" s="912">
        <v>2528</v>
      </c>
      <c r="T587" s="912">
        <v>39751</v>
      </c>
    </row>
    <row r="588" spans="1:20" x14ac:dyDescent="0.25">
      <c r="A588" s="906">
        <v>96421</v>
      </c>
      <c r="B588" s="907" t="s">
        <v>3147</v>
      </c>
      <c r="C588" s="908">
        <v>4.2529999999999998E-4</v>
      </c>
      <c r="D588" s="908">
        <v>4.2860000000000001E-4</v>
      </c>
      <c r="E588" s="909">
        <v>649741</v>
      </c>
      <c r="F588" s="909"/>
      <c r="G588" s="910">
        <v>37431</v>
      </c>
      <c r="H588" s="911">
        <v>157758</v>
      </c>
      <c r="I588" s="910">
        <v>92792</v>
      </c>
      <c r="J588" s="909">
        <v>0</v>
      </c>
      <c r="K588" s="911">
        <f t="shared" si="18"/>
        <v>287981</v>
      </c>
      <c r="L588" s="909"/>
      <c r="M588" s="910">
        <v>18392</v>
      </c>
      <c r="N588" s="910">
        <v>0</v>
      </c>
      <c r="O588" s="909">
        <v>78762</v>
      </c>
      <c r="P588" s="911">
        <f t="shared" si="19"/>
        <v>97154</v>
      </c>
      <c r="Q588" s="909"/>
      <c r="R588" s="910">
        <v>218963</v>
      </c>
      <c r="S588" s="912">
        <v>-35149</v>
      </c>
      <c r="T588" s="912">
        <v>183814</v>
      </c>
    </row>
    <row r="589" spans="1:20" x14ac:dyDescent="0.25">
      <c r="A589" s="906">
        <v>96431</v>
      </c>
      <c r="B589" s="907" t="s">
        <v>3148</v>
      </c>
      <c r="C589" s="908">
        <v>4.2799999999999997E-5</v>
      </c>
      <c r="D589" s="908">
        <v>5.6100000000000002E-5</v>
      </c>
      <c r="E589" s="909">
        <v>65387</v>
      </c>
      <c r="F589" s="909"/>
      <c r="G589" s="910">
        <v>3767</v>
      </c>
      <c r="H589" s="911">
        <v>15876</v>
      </c>
      <c r="I589" s="910">
        <v>9338</v>
      </c>
      <c r="J589" s="909">
        <v>6277</v>
      </c>
      <c r="K589" s="911">
        <f t="shared" si="18"/>
        <v>35258</v>
      </c>
      <c r="L589" s="909"/>
      <c r="M589" s="910">
        <v>1851</v>
      </c>
      <c r="N589" s="910">
        <v>0</v>
      </c>
      <c r="O589" s="909">
        <v>10135</v>
      </c>
      <c r="P589" s="911">
        <f t="shared" si="19"/>
        <v>11986</v>
      </c>
      <c r="Q589" s="909"/>
      <c r="R589" s="910">
        <v>22035</v>
      </c>
      <c r="S589" s="912">
        <v>-1596</v>
      </c>
      <c r="T589" s="912">
        <v>20439</v>
      </c>
    </row>
    <row r="590" spans="1:20" x14ac:dyDescent="0.25">
      <c r="A590" s="906">
        <v>96441</v>
      </c>
      <c r="B590" s="907" t="s">
        <v>3149</v>
      </c>
      <c r="C590" s="908">
        <v>2.97E-5</v>
      </c>
      <c r="D590" s="908">
        <v>3.1199999999999999E-5</v>
      </c>
      <c r="E590" s="909">
        <v>45373</v>
      </c>
      <c r="F590" s="909"/>
      <c r="G590" s="910">
        <v>2614</v>
      </c>
      <c r="H590" s="911">
        <v>11017</v>
      </c>
      <c r="I590" s="910">
        <v>6480</v>
      </c>
      <c r="J590" s="909">
        <v>7489</v>
      </c>
      <c r="K590" s="911">
        <f t="shared" si="18"/>
        <v>27600</v>
      </c>
      <c r="L590" s="909"/>
      <c r="M590" s="910">
        <v>1284</v>
      </c>
      <c r="N590" s="910">
        <v>0</v>
      </c>
      <c r="O590" s="909">
        <v>440</v>
      </c>
      <c r="P590" s="911">
        <f t="shared" si="19"/>
        <v>1724</v>
      </c>
      <c r="Q590" s="909"/>
      <c r="R590" s="910">
        <v>15291</v>
      </c>
      <c r="S590" s="912">
        <v>2815</v>
      </c>
      <c r="T590" s="912">
        <v>18106</v>
      </c>
    </row>
    <row r="591" spans="1:20" x14ac:dyDescent="0.25">
      <c r="A591" s="906">
        <v>96451</v>
      </c>
      <c r="B591" s="907" t="s">
        <v>3150</v>
      </c>
      <c r="C591" s="908">
        <v>2.0299999999999999E-5</v>
      </c>
      <c r="D591" s="908">
        <v>1.38E-5</v>
      </c>
      <c r="E591" s="909">
        <v>31013</v>
      </c>
      <c r="F591" s="909"/>
      <c r="G591" s="910">
        <v>1787</v>
      </c>
      <c r="H591" s="911">
        <v>7530</v>
      </c>
      <c r="I591" s="910">
        <v>4429</v>
      </c>
      <c r="J591" s="909">
        <v>6431</v>
      </c>
      <c r="K591" s="911">
        <f t="shared" si="18"/>
        <v>20177</v>
      </c>
      <c r="L591" s="909"/>
      <c r="M591" s="910">
        <v>878</v>
      </c>
      <c r="N591" s="910">
        <v>0</v>
      </c>
      <c r="O591" s="909">
        <v>1319</v>
      </c>
      <c r="P591" s="911">
        <f t="shared" si="19"/>
        <v>2197</v>
      </c>
      <c r="Q591" s="909"/>
      <c r="R591" s="910">
        <v>10451</v>
      </c>
      <c r="S591" s="912">
        <v>994</v>
      </c>
      <c r="T591" s="912">
        <v>11445</v>
      </c>
    </row>
    <row r="592" spans="1:20" x14ac:dyDescent="0.25">
      <c r="A592" s="906">
        <v>96461</v>
      </c>
      <c r="B592" s="907" t="s">
        <v>3151</v>
      </c>
      <c r="C592" s="908">
        <v>1.361E-4</v>
      </c>
      <c r="D592" s="908">
        <v>1.3410000000000001E-4</v>
      </c>
      <c r="E592" s="909">
        <v>207923</v>
      </c>
      <c r="F592" s="909"/>
      <c r="G592" s="910">
        <v>11978</v>
      </c>
      <c r="H592" s="911">
        <v>50484</v>
      </c>
      <c r="I592" s="910">
        <v>29694</v>
      </c>
      <c r="J592" s="909">
        <v>6504</v>
      </c>
      <c r="K592" s="911">
        <f t="shared" si="18"/>
        <v>98660</v>
      </c>
      <c r="L592" s="909"/>
      <c r="M592" s="910">
        <v>5886</v>
      </c>
      <c r="N592" s="910">
        <v>0</v>
      </c>
      <c r="O592" s="909">
        <v>18452</v>
      </c>
      <c r="P592" s="911">
        <f t="shared" si="19"/>
        <v>24338</v>
      </c>
      <c r="Q592" s="909"/>
      <c r="R592" s="910">
        <v>70070</v>
      </c>
      <c r="S592" s="912">
        <v>-3923</v>
      </c>
      <c r="T592" s="912">
        <f>66148-1</f>
        <v>66147</v>
      </c>
    </row>
    <row r="593" spans="1:20" x14ac:dyDescent="0.25">
      <c r="A593" s="906">
        <v>96501</v>
      </c>
      <c r="B593" s="907" t="s">
        <v>3152</v>
      </c>
      <c r="C593" s="908">
        <v>1.44739E-2</v>
      </c>
      <c r="D593" s="908">
        <v>1.4156999999999999E-2</v>
      </c>
      <c r="E593" s="909">
        <v>22112110</v>
      </c>
      <c r="F593" s="909"/>
      <c r="G593" s="910">
        <v>1273862</v>
      </c>
      <c r="H593" s="911">
        <v>5368847</v>
      </c>
      <c r="I593" s="910">
        <v>3157916</v>
      </c>
      <c r="J593" s="909">
        <v>365065</v>
      </c>
      <c r="K593" s="911">
        <f t="shared" si="18"/>
        <v>10165690</v>
      </c>
      <c r="L593" s="909"/>
      <c r="M593" s="910">
        <v>625924</v>
      </c>
      <c r="N593" s="910">
        <v>0</v>
      </c>
      <c r="O593" s="909">
        <v>292930</v>
      </c>
      <c r="P593" s="911">
        <f t="shared" si="19"/>
        <v>918854</v>
      </c>
      <c r="Q593" s="909"/>
      <c r="R593" s="910">
        <v>7451801</v>
      </c>
      <c r="S593" s="912">
        <v>150498</v>
      </c>
      <c r="T593" s="912">
        <f>7602298+1</f>
        <v>7602299</v>
      </c>
    </row>
    <row r="594" spans="1:20" x14ac:dyDescent="0.25">
      <c r="A594" s="906">
        <v>96502</v>
      </c>
      <c r="B594" s="907" t="s">
        <v>3153</v>
      </c>
      <c r="C594" s="908">
        <v>4.2440000000000002E-4</v>
      </c>
      <c r="D594" s="908">
        <v>4.2309999999999998E-4</v>
      </c>
      <c r="E594" s="909">
        <v>648366</v>
      </c>
      <c r="F594" s="909"/>
      <c r="G594" s="910">
        <v>37352</v>
      </c>
      <c r="H594" s="911">
        <v>157424</v>
      </c>
      <c r="I594" s="910">
        <v>92596</v>
      </c>
      <c r="J594" s="909">
        <v>39317</v>
      </c>
      <c r="K594" s="911">
        <f t="shared" si="18"/>
        <v>326689</v>
      </c>
      <c r="L594" s="909"/>
      <c r="M594" s="910">
        <v>18353</v>
      </c>
      <c r="N594" s="910">
        <v>0</v>
      </c>
      <c r="O594" s="909">
        <v>0</v>
      </c>
      <c r="P594" s="911">
        <f t="shared" si="19"/>
        <v>18353</v>
      </c>
      <c r="Q594" s="909"/>
      <c r="R594" s="910">
        <v>218500</v>
      </c>
      <c r="S594" s="912">
        <v>23185</v>
      </c>
      <c r="T594" s="912">
        <v>241685</v>
      </c>
    </row>
    <row r="595" spans="1:20" x14ac:dyDescent="0.25">
      <c r="A595" s="906">
        <v>96503</v>
      </c>
      <c r="B595" s="907" t="s">
        <v>3589</v>
      </c>
      <c r="C595" s="908">
        <v>3.0039999999999998E-4</v>
      </c>
      <c r="D595" s="908">
        <v>3.3700000000000001E-4</v>
      </c>
      <c r="E595" s="909">
        <v>458928</v>
      </c>
      <c r="F595" s="909"/>
      <c r="G595" s="910">
        <v>26439</v>
      </c>
      <c r="H595" s="911">
        <v>111428</v>
      </c>
      <c r="I595" s="910">
        <v>65541</v>
      </c>
      <c r="J595" s="909">
        <v>240013</v>
      </c>
      <c r="K595" s="911">
        <f t="shared" si="18"/>
        <v>443421</v>
      </c>
      <c r="L595" s="909"/>
      <c r="M595" s="910">
        <v>12991</v>
      </c>
      <c r="N595" s="910">
        <v>0</v>
      </c>
      <c r="O595" s="909">
        <v>14874</v>
      </c>
      <c r="P595" s="911">
        <f t="shared" si="19"/>
        <v>27865</v>
      </c>
      <c r="Q595" s="909"/>
      <c r="R595" s="910">
        <v>154659</v>
      </c>
      <c r="S595" s="912">
        <v>71167</v>
      </c>
      <c r="T595" s="912">
        <v>225826</v>
      </c>
    </row>
    <row r="596" spans="1:20" x14ac:dyDescent="0.25">
      <c r="A596" s="906">
        <v>96504</v>
      </c>
      <c r="B596" s="907" t="s">
        <v>3155</v>
      </c>
      <c r="C596" s="908">
        <v>4.1760000000000001E-4</v>
      </c>
      <c r="D596" s="908">
        <v>3.6039999999999998E-4</v>
      </c>
      <c r="E596" s="909">
        <v>637977</v>
      </c>
      <c r="F596" s="909"/>
      <c r="G596" s="910">
        <v>36753</v>
      </c>
      <c r="H596" s="911">
        <v>154902</v>
      </c>
      <c r="I596" s="910">
        <v>91112</v>
      </c>
      <c r="J596" s="909">
        <v>44166</v>
      </c>
      <c r="K596" s="911">
        <f t="shared" si="18"/>
        <v>326933</v>
      </c>
      <c r="L596" s="909"/>
      <c r="M596" s="910">
        <v>18059</v>
      </c>
      <c r="N596" s="910">
        <v>0</v>
      </c>
      <c r="O596" s="909">
        <v>4428</v>
      </c>
      <c r="P596" s="911">
        <f t="shared" si="19"/>
        <v>22487</v>
      </c>
      <c r="Q596" s="909"/>
      <c r="R596" s="910">
        <v>214999</v>
      </c>
      <c r="S596" s="912">
        <v>11523</v>
      </c>
      <c r="T596" s="912">
        <f>226521+1</f>
        <v>226522</v>
      </c>
    </row>
    <row r="597" spans="1:20" x14ac:dyDescent="0.25">
      <c r="A597" s="906">
        <v>96507</v>
      </c>
      <c r="B597" s="907" t="s">
        <v>3156</v>
      </c>
      <c r="C597" s="908">
        <v>2.2147E-3</v>
      </c>
      <c r="D597" s="908">
        <v>2.2604999999999999E-3</v>
      </c>
      <c r="E597" s="909">
        <v>3383448</v>
      </c>
      <c r="F597" s="909"/>
      <c r="G597" s="910">
        <v>194918</v>
      </c>
      <c r="H597" s="911">
        <v>821505</v>
      </c>
      <c r="I597" s="910">
        <v>483203</v>
      </c>
      <c r="J597" s="909">
        <v>115759</v>
      </c>
      <c r="K597" s="911">
        <f t="shared" si="18"/>
        <v>1615385</v>
      </c>
      <c r="L597" s="909"/>
      <c r="M597" s="910">
        <v>95775</v>
      </c>
      <c r="N597" s="910">
        <v>0</v>
      </c>
      <c r="O597" s="909">
        <v>22795</v>
      </c>
      <c r="P597" s="911">
        <f t="shared" si="19"/>
        <v>118570</v>
      </c>
      <c r="Q597" s="909"/>
      <c r="R597" s="910">
        <v>1140225</v>
      </c>
      <c r="S597" s="912">
        <v>58867</v>
      </c>
      <c r="T597" s="912">
        <v>1199092</v>
      </c>
    </row>
    <row r="598" spans="1:20" x14ac:dyDescent="0.25">
      <c r="A598" s="906">
        <v>96508</v>
      </c>
      <c r="B598" s="907" t="s">
        <v>3157</v>
      </c>
      <c r="C598" s="908">
        <v>8.6000000000000007E-6</v>
      </c>
      <c r="D598" s="908">
        <v>9.7999999999999993E-6</v>
      </c>
      <c r="E598" s="909">
        <v>13138</v>
      </c>
      <c r="F598" s="909"/>
      <c r="G598" s="910">
        <v>757</v>
      </c>
      <c r="H598" s="911">
        <v>3190</v>
      </c>
      <c r="I598" s="910">
        <v>1876</v>
      </c>
      <c r="J598" s="909">
        <v>11113</v>
      </c>
      <c r="K598" s="911">
        <f t="shared" si="18"/>
        <v>16936</v>
      </c>
      <c r="L598" s="909"/>
      <c r="M598" s="910">
        <v>372</v>
      </c>
      <c r="N598" s="910">
        <v>0</v>
      </c>
      <c r="O598" s="909">
        <v>0</v>
      </c>
      <c r="P598" s="911">
        <f t="shared" si="19"/>
        <v>372</v>
      </c>
      <c r="Q598" s="909"/>
      <c r="R598" s="910">
        <v>4428</v>
      </c>
      <c r="S598" s="912">
        <v>4402</v>
      </c>
      <c r="T598" s="912">
        <v>8830</v>
      </c>
    </row>
    <row r="599" spans="1:20" x14ac:dyDescent="0.25">
      <c r="A599" s="906">
        <v>96511</v>
      </c>
      <c r="B599" s="907" t="s">
        <v>3158</v>
      </c>
      <c r="C599" s="908">
        <v>6.2069999999999996E-4</v>
      </c>
      <c r="D599" s="908">
        <v>6.221E-4</v>
      </c>
      <c r="E599" s="909">
        <v>948258</v>
      </c>
      <c r="F599" s="909"/>
      <c r="G599" s="910">
        <v>54628</v>
      </c>
      <c r="H599" s="911">
        <v>230238</v>
      </c>
      <c r="I599" s="910">
        <v>135424</v>
      </c>
      <c r="J599" s="909">
        <v>0</v>
      </c>
      <c r="K599" s="911">
        <f t="shared" si="18"/>
        <v>420290</v>
      </c>
      <c r="L599" s="909"/>
      <c r="M599" s="910">
        <v>26842</v>
      </c>
      <c r="N599" s="910">
        <v>0</v>
      </c>
      <c r="O599" s="909">
        <v>95843</v>
      </c>
      <c r="P599" s="911">
        <f t="shared" si="19"/>
        <v>122685</v>
      </c>
      <c r="Q599" s="909"/>
      <c r="R599" s="910">
        <v>319564</v>
      </c>
      <c r="S599" s="912">
        <v>-49396</v>
      </c>
      <c r="T599" s="912">
        <v>270168</v>
      </c>
    </row>
    <row r="600" spans="1:20" x14ac:dyDescent="0.25">
      <c r="A600" s="906">
        <v>96512</v>
      </c>
      <c r="B600" s="907" t="s">
        <v>3159</v>
      </c>
      <c r="C600" s="908">
        <v>1.5119999999999999E-4</v>
      </c>
      <c r="D600" s="908">
        <v>1.7000000000000001E-4</v>
      </c>
      <c r="E600" s="909">
        <v>230992</v>
      </c>
      <c r="F600" s="909"/>
      <c r="G600" s="910">
        <v>13307</v>
      </c>
      <c r="H600" s="911">
        <v>56085</v>
      </c>
      <c r="I600" s="910">
        <v>32989</v>
      </c>
      <c r="J600" s="909">
        <v>5578</v>
      </c>
      <c r="K600" s="911">
        <f t="shared" si="18"/>
        <v>107959</v>
      </c>
      <c r="L600" s="909"/>
      <c r="M600" s="910">
        <v>6539</v>
      </c>
      <c r="N600" s="910">
        <v>0</v>
      </c>
      <c r="O600" s="909">
        <v>9964</v>
      </c>
      <c r="P600" s="911">
        <f t="shared" si="19"/>
        <v>16503</v>
      </c>
      <c r="Q600" s="909"/>
      <c r="R600" s="910">
        <v>77844</v>
      </c>
      <c r="S600" s="912">
        <v>198</v>
      </c>
      <c r="T600" s="912">
        <v>78042</v>
      </c>
    </row>
    <row r="601" spans="1:20" x14ac:dyDescent="0.25">
      <c r="A601" s="906">
        <v>96521</v>
      </c>
      <c r="B601" s="907" t="s">
        <v>3161</v>
      </c>
      <c r="C601" s="908">
        <v>9.881E-4</v>
      </c>
      <c r="D601" s="908">
        <v>9.4240000000000003E-4</v>
      </c>
      <c r="E601" s="909">
        <v>1509543</v>
      </c>
      <c r="F601" s="909"/>
      <c r="G601" s="910">
        <v>86964</v>
      </c>
      <c r="H601" s="911">
        <v>366519</v>
      </c>
      <c r="I601" s="910">
        <v>215584</v>
      </c>
      <c r="J601" s="909">
        <v>30024</v>
      </c>
      <c r="K601" s="911">
        <f t="shared" si="18"/>
        <v>699091</v>
      </c>
      <c r="L601" s="909"/>
      <c r="M601" s="910">
        <v>42730</v>
      </c>
      <c r="N601" s="910">
        <v>0</v>
      </c>
      <c r="O601" s="909">
        <v>25241</v>
      </c>
      <c r="P601" s="911">
        <f t="shared" si="19"/>
        <v>67971</v>
      </c>
      <c r="Q601" s="909"/>
      <c r="R601" s="910">
        <v>508717</v>
      </c>
      <c r="S601" s="912">
        <v>6710</v>
      </c>
      <c r="T601" s="912">
        <f>515428-1</f>
        <v>515427</v>
      </c>
    </row>
    <row r="602" spans="1:20" x14ac:dyDescent="0.25">
      <c r="A602" s="906">
        <v>96531</v>
      </c>
      <c r="B602" s="907" t="s">
        <v>3162</v>
      </c>
      <c r="C602" s="908">
        <v>8.5845000000000001E-3</v>
      </c>
      <c r="D602" s="908">
        <v>8.6088999999999992E-3</v>
      </c>
      <c r="E602" s="909">
        <v>13114738</v>
      </c>
      <c r="F602" s="909"/>
      <c r="G602" s="910">
        <v>755530</v>
      </c>
      <c r="H602" s="911">
        <v>3184274</v>
      </c>
      <c r="I602" s="910">
        <v>1872966</v>
      </c>
      <c r="J602" s="909">
        <v>48765</v>
      </c>
      <c r="K602" s="911">
        <f t="shared" si="18"/>
        <v>5861535</v>
      </c>
      <c r="L602" s="909"/>
      <c r="M602" s="910">
        <v>371237</v>
      </c>
      <c r="N602" s="910">
        <v>0</v>
      </c>
      <c r="O602" s="909">
        <v>418860</v>
      </c>
      <c r="P602" s="911">
        <f t="shared" si="19"/>
        <v>790097</v>
      </c>
      <c r="Q602" s="909"/>
      <c r="R602" s="910">
        <v>4419678</v>
      </c>
      <c r="S602" s="912">
        <v>-117601</v>
      </c>
      <c r="T602" s="912">
        <v>4302077</v>
      </c>
    </row>
    <row r="603" spans="1:20" x14ac:dyDescent="0.25">
      <c r="A603" s="906">
        <v>96541</v>
      </c>
      <c r="B603" s="907" t="s">
        <v>3163</v>
      </c>
      <c r="C603" s="908">
        <v>3.5950000000000001E-4</v>
      </c>
      <c r="D603" s="908">
        <v>3.3169999999999999E-4</v>
      </c>
      <c r="E603" s="909">
        <v>549216</v>
      </c>
      <c r="F603" s="909"/>
      <c r="G603" s="910">
        <v>31640</v>
      </c>
      <c r="H603" s="911">
        <v>133350</v>
      </c>
      <c r="I603" s="910">
        <v>78436</v>
      </c>
      <c r="J603" s="909">
        <v>24801</v>
      </c>
      <c r="K603" s="911">
        <f t="shared" si="18"/>
        <v>268227</v>
      </c>
      <c r="L603" s="909"/>
      <c r="M603" s="910">
        <v>15547</v>
      </c>
      <c r="N603" s="910">
        <v>0</v>
      </c>
      <c r="O603" s="909">
        <v>0</v>
      </c>
      <c r="P603" s="911">
        <f t="shared" si="19"/>
        <v>15547</v>
      </c>
      <c r="Q603" s="909"/>
      <c r="R603" s="910">
        <v>185086</v>
      </c>
      <c r="S603" s="912">
        <v>13028</v>
      </c>
      <c r="T603" s="912">
        <f>198115-1</f>
        <v>198114</v>
      </c>
    </row>
    <row r="604" spans="1:20" x14ac:dyDescent="0.25">
      <c r="A604" s="906">
        <v>96601</v>
      </c>
      <c r="B604" s="907" t="s">
        <v>3164</v>
      </c>
      <c r="C604" s="908">
        <v>1.8169E-3</v>
      </c>
      <c r="D604" s="908">
        <v>1.8416000000000001E-3</v>
      </c>
      <c r="E604" s="909">
        <v>2775720</v>
      </c>
      <c r="F604" s="909"/>
      <c r="G604" s="910">
        <v>159907</v>
      </c>
      <c r="H604" s="911">
        <v>673948</v>
      </c>
      <c r="I604" s="910">
        <v>396411</v>
      </c>
      <c r="J604" s="909">
        <v>50154</v>
      </c>
      <c r="K604" s="911">
        <f t="shared" si="18"/>
        <v>1280420</v>
      </c>
      <c r="L604" s="909"/>
      <c r="M604" s="910">
        <v>78572</v>
      </c>
      <c r="N604" s="910">
        <v>0</v>
      </c>
      <c r="O604" s="909">
        <v>4139</v>
      </c>
      <c r="P604" s="911">
        <f t="shared" si="19"/>
        <v>82711</v>
      </c>
      <c r="Q604" s="909"/>
      <c r="R604" s="910">
        <v>935420</v>
      </c>
      <c r="S604" s="912">
        <v>30132</v>
      </c>
      <c r="T604" s="912">
        <v>965552</v>
      </c>
    </row>
    <row r="605" spans="1:20" x14ac:dyDescent="0.25">
      <c r="A605" s="906">
        <v>96604</v>
      </c>
      <c r="B605" s="907" t="s">
        <v>3165</v>
      </c>
      <c r="C605" s="908">
        <v>7.6000000000000001E-6</v>
      </c>
      <c r="D605" s="908">
        <v>7.9000000000000006E-6</v>
      </c>
      <c r="E605" s="909">
        <v>11611</v>
      </c>
      <c r="F605" s="909"/>
      <c r="G605" s="910">
        <v>669</v>
      </c>
      <c r="H605" s="911">
        <v>2819</v>
      </c>
      <c r="I605" s="910">
        <v>1658</v>
      </c>
      <c r="J605" s="909">
        <v>2027</v>
      </c>
      <c r="K605" s="911">
        <f t="shared" si="18"/>
        <v>7173</v>
      </c>
      <c r="L605" s="909"/>
      <c r="M605" s="910">
        <v>329</v>
      </c>
      <c r="N605" s="910">
        <v>0</v>
      </c>
      <c r="O605" s="909">
        <v>70</v>
      </c>
      <c r="P605" s="911">
        <f t="shared" si="19"/>
        <v>399</v>
      </c>
      <c r="Q605" s="909"/>
      <c r="R605" s="910">
        <v>3913</v>
      </c>
      <c r="S605" s="912">
        <v>799</v>
      </c>
      <c r="T605" s="912">
        <v>4712</v>
      </c>
    </row>
    <row r="606" spans="1:20" x14ac:dyDescent="0.25">
      <c r="A606" s="906">
        <v>96611</v>
      </c>
      <c r="B606" s="907" t="s">
        <v>3166</v>
      </c>
      <c r="C606" s="908">
        <v>2.83E-5</v>
      </c>
      <c r="D606" s="908">
        <v>3.29E-5</v>
      </c>
      <c r="E606" s="909">
        <v>43235</v>
      </c>
      <c r="F606" s="909"/>
      <c r="G606" s="910">
        <v>2491</v>
      </c>
      <c r="H606" s="911">
        <v>10498</v>
      </c>
      <c r="I606" s="910">
        <v>6174</v>
      </c>
      <c r="J606" s="909">
        <v>1561</v>
      </c>
      <c r="K606" s="911">
        <f t="shared" si="18"/>
        <v>20724</v>
      </c>
      <c r="L606" s="909"/>
      <c r="M606" s="910">
        <v>1224</v>
      </c>
      <c r="N606" s="910">
        <v>0</v>
      </c>
      <c r="O606" s="909">
        <v>4284</v>
      </c>
      <c r="P606" s="911">
        <f t="shared" si="19"/>
        <v>5508</v>
      </c>
      <c r="Q606" s="909"/>
      <c r="R606" s="910">
        <v>14570</v>
      </c>
      <c r="S606" s="912">
        <v>112</v>
      </c>
      <c r="T606" s="912">
        <f>14683-1</f>
        <v>14682</v>
      </c>
    </row>
    <row r="607" spans="1:20" x14ac:dyDescent="0.25">
      <c r="A607" s="906">
        <v>96612</v>
      </c>
      <c r="B607" s="907" t="s">
        <v>3167</v>
      </c>
      <c r="C607" s="908">
        <v>6.3299999999999994E-5</v>
      </c>
      <c r="D607" s="908">
        <v>6.3899999999999995E-5</v>
      </c>
      <c r="E607" s="909">
        <v>96705</v>
      </c>
      <c r="F607" s="909"/>
      <c r="G607" s="910">
        <v>5571</v>
      </c>
      <c r="H607" s="911">
        <v>23480</v>
      </c>
      <c r="I607" s="910">
        <v>13811</v>
      </c>
      <c r="J607" s="909">
        <v>7699</v>
      </c>
      <c r="K607" s="911">
        <f t="shared" si="18"/>
        <v>50561</v>
      </c>
      <c r="L607" s="909"/>
      <c r="M607" s="910">
        <v>2737</v>
      </c>
      <c r="N607" s="910">
        <v>0</v>
      </c>
      <c r="O607" s="909">
        <v>658</v>
      </c>
      <c r="P607" s="911">
        <f t="shared" si="19"/>
        <v>3395</v>
      </c>
      <c r="Q607" s="909"/>
      <c r="R607" s="910">
        <v>32590</v>
      </c>
      <c r="S607" s="912">
        <v>2270</v>
      </c>
      <c r="T607" s="912">
        <f>34859+1</f>
        <v>34860</v>
      </c>
    </row>
    <row r="608" spans="1:20" x14ac:dyDescent="0.25">
      <c r="A608" s="906">
        <v>96621</v>
      </c>
      <c r="B608" s="907" t="s">
        <v>3168</v>
      </c>
      <c r="C608" s="908">
        <v>2.5999999999999998E-5</v>
      </c>
      <c r="D608" s="908">
        <v>2.65E-5</v>
      </c>
      <c r="E608" s="909">
        <v>39721</v>
      </c>
      <c r="F608" s="909"/>
      <c r="G608" s="910">
        <v>2288</v>
      </c>
      <c r="H608" s="911">
        <v>9644</v>
      </c>
      <c r="I608" s="910">
        <v>5673</v>
      </c>
      <c r="J608" s="909">
        <v>1435</v>
      </c>
      <c r="K608" s="911">
        <f t="shared" si="18"/>
        <v>19040</v>
      </c>
      <c r="L608" s="909"/>
      <c r="M608" s="910">
        <v>1124</v>
      </c>
      <c r="N608" s="910">
        <v>0</v>
      </c>
      <c r="O608" s="909">
        <v>4828</v>
      </c>
      <c r="P608" s="911">
        <f t="shared" si="19"/>
        <v>5952</v>
      </c>
      <c r="Q608" s="909"/>
      <c r="R608" s="910">
        <v>13386</v>
      </c>
      <c r="S608" s="912">
        <v>-2281</v>
      </c>
      <c r="T608" s="912">
        <v>11105</v>
      </c>
    </row>
    <row r="609" spans="1:20" x14ac:dyDescent="0.25">
      <c r="A609" s="906">
        <v>96631</v>
      </c>
      <c r="B609" s="907" t="s">
        <v>3169</v>
      </c>
      <c r="C609" s="908">
        <v>2.51E-5</v>
      </c>
      <c r="D609" s="908">
        <v>2.5899999999999999E-5</v>
      </c>
      <c r="E609" s="909">
        <v>38346</v>
      </c>
      <c r="F609" s="909"/>
      <c r="G609" s="910">
        <v>2209</v>
      </c>
      <c r="H609" s="911">
        <v>9311</v>
      </c>
      <c r="I609" s="910">
        <v>5476</v>
      </c>
      <c r="J609" s="909">
        <v>3375</v>
      </c>
      <c r="K609" s="911">
        <f t="shared" si="18"/>
        <v>20371</v>
      </c>
      <c r="L609" s="909"/>
      <c r="M609" s="910">
        <v>1085</v>
      </c>
      <c r="N609" s="910">
        <v>0</v>
      </c>
      <c r="O609" s="909">
        <v>345</v>
      </c>
      <c r="P609" s="911">
        <f t="shared" si="19"/>
        <v>1430</v>
      </c>
      <c r="Q609" s="909"/>
      <c r="R609" s="910">
        <v>12923</v>
      </c>
      <c r="S609" s="912">
        <v>2192</v>
      </c>
      <c r="T609" s="912">
        <f>15114+1</f>
        <v>15115</v>
      </c>
    </row>
    <row r="610" spans="1:20" x14ac:dyDescent="0.25">
      <c r="A610" s="906">
        <v>96641</v>
      </c>
      <c r="B610" s="907" t="s">
        <v>3170</v>
      </c>
      <c r="C610" s="908">
        <v>3.2199999999999997E-5</v>
      </c>
      <c r="D610" s="908">
        <v>2.6999999999999999E-5</v>
      </c>
      <c r="E610" s="909">
        <v>49193</v>
      </c>
      <c r="F610" s="909"/>
      <c r="G610" s="910">
        <v>2834</v>
      </c>
      <c r="H610" s="911">
        <v>11944</v>
      </c>
      <c r="I610" s="910">
        <v>7025</v>
      </c>
      <c r="J610" s="909">
        <v>15380</v>
      </c>
      <c r="K610" s="911">
        <f t="shared" si="18"/>
        <v>37183</v>
      </c>
      <c r="L610" s="909"/>
      <c r="M610" s="910">
        <v>1392</v>
      </c>
      <c r="N610" s="910">
        <v>0</v>
      </c>
      <c r="O610" s="909">
        <v>0</v>
      </c>
      <c r="P610" s="911">
        <f t="shared" si="19"/>
        <v>1392</v>
      </c>
      <c r="Q610" s="909"/>
      <c r="R610" s="910">
        <v>16578</v>
      </c>
      <c r="S610" s="912">
        <v>5934</v>
      </c>
      <c r="T610" s="912">
        <v>22512</v>
      </c>
    </row>
    <row r="611" spans="1:20" x14ac:dyDescent="0.25">
      <c r="A611" s="906">
        <v>96651</v>
      </c>
      <c r="B611" s="907" t="s">
        <v>3171</v>
      </c>
      <c r="C611" s="908">
        <v>1.7399999999999999E-5</v>
      </c>
      <c r="D611" s="908">
        <v>1.9400000000000001E-5</v>
      </c>
      <c r="E611" s="909">
        <v>26582</v>
      </c>
      <c r="F611" s="909"/>
      <c r="G611" s="910">
        <v>1531</v>
      </c>
      <c r="H611" s="911">
        <v>6454</v>
      </c>
      <c r="I611" s="910">
        <v>3796</v>
      </c>
      <c r="J611" s="909">
        <v>1983</v>
      </c>
      <c r="K611" s="911">
        <f t="shared" si="18"/>
        <v>13764</v>
      </c>
      <c r="L611" s="909"/>
      <c r="M611" s="910">
        <v>752</v>
      </c>
      <c r="N611" s="910">
        <v>0</v>
      </c>
      <c r="O611" s="909">
        <v>1305</v>
      </c>
      <c r="P611" s="911">
        <f t="shared" si="19"/>
        <v>2057</v>
      </c>
      <c r="Q611" s="909"/>
      <c r="R611" s="910">
        <v>8958</v>
      </c>
      <c r="S611" s="912">
        <v>-364</v>
      </c>
      <c r="T611" s="912">
        <f>8595-1</f>
        <v>8594</v>
      </c>
    </row>
    <row r="612" spans="1:20" x14ac:dyDescent="0.25">
      <c r="A612" s="906">
        <v>96661</v>
      </c>
      <c r="B612" s="907" t="s">
        <v>3172</v>
      </c>
      <c r="C612" s="908">
        <v>1.9700000000000001E-5</v>
      </c>
      <c r="D612" s="908">
        <v>1.9000000000000001E-5</v>
      </c>
      <c r="E612" s="909">
        <v>30096</v>
      </c>
      <c r="F612" s="909"/>
      <c r="G612" s="910">
        <v>1734</v>
      </c>
      <c r="H612" s="911">
        <v>7308</v>
      </c>
      <c r="I612" s="910">
        <v>4298</v>
      </c>
      <c r="J612" s="909">
        <v>5449</v>
      </c>
      <c r="K612" s="911">
        <f t="shared" si="18"/>
        <v>18789</v>
      </c>
      <c r="L612" s="909"/>
      <c r="M612" s="910">
        <v>852</v>
      </c>
      <c r="N612" s="910">
        <v>0</v>
      </c>
      <c r="O612" s="909">
        <v>0</v>
      </c>
      <c r="P612" s="911">
        <f t="shared" si="19"/>
        <v>852</v>
      </c>
      <c r="Q612" s="909"/>
      <c r="R612" s="910">
        <v>10142</v>
      </c>
      <c r="S612" s="912">
        <v>2525</v>
      </c>
      <c r="T612" s="912">
        <f>12668-1</f>
        <v>12667</v>
      </c>
    </row>
    <row r="613" spans="1:20" x14ac:dyDescent="0.25">
      <c r="A613" s="906">
        <v>96671</v>
      </c>
      <c r="B613" s="907" t="s">
        <v>3173</v>
      </c>
      <c r="C613" s="908">
        <v>1.49E-5</v>
      </c>
      <c r="D613" s="908">
        <v>1.5500000000000001E-5</v>
      </c>
      <c r="E613" s="909">
        <v>22763</v>
      </c>
      <c r="F613" s="909"/>
      <c r="G613" s="910">
        <v>1311</v>
      </c>
      <c r="H613" s="911">
        <v>5527</v>
      </c>
      <c r="I613" s="910">
        <v>3251</v>
      </c>
      <c r="J613" s="909">
        <v>8612</v>
      </c>
      <c r="K613" s="911">
        <f t="shared" si="18"/>
        <v>18701</v>
      </c>
      <c r="L613" s="909"/>
      <c r="M613" s="910">
        <v>644</v>
      </c>
      <c r="N613" s="910">
        <v>0</v>
      </c>
      <c r="O613" s="909">
        <v>208</v>
      </c>
      <c r="P613" s="911">
        <f t="shared" si="19"/>
        <v>852</v>
      </c>
      <c r="Q613" s="909"/>
      <c r="R613" s="910">
        <v>7671</v>
      </c>
      <c r="S613" s="912">
        <v>3620</v>
      </c>
      <c r="T613" s="912">
        <v>11291</v>
      </c>
    </row>
    <row r="614" spans="1:20" x14ac:dyDescent="0.25">
      <c r="A614" s="906">
        <v>96681</v>
      </c>
      <c r="B614" s="907" t="s">
        <v>3174</v>
      </c>
      <c r="C614" s="908">
        <v>1.7499999999999998E-5</v>
      </c>
      <c r="D614" s="908">
        <v>3.4799999999999999E-5</v>
      </c>
      <c r="E614" s="909">
        <v>26735</v>
      </c>
      <c r="F614" s="909"/>
      <c r="G614" s="910">
        <v>1540</v>
      </c>
      <c r="H614" s="911">
        <v>6491</v>
      </c>
      <c r="I614" s="910">
        <v>3818</v>
      </c>
      <c r="J614" s="909">
        <v>12682</v>
      </c>
      <c r="K614" s="911">
        <f t="shared" si="18"/>
        <v>24531</v>
      </c>
      <c r="L614" s="909"/>
      <c r="M614" s="910">
        <v>757</v>
      </c>
      <c r="N614" s="910">
        <v>0</v>
      </c>
      <c r="O614" s="909">
        <v>9027</v>
      </c>
      <c r="P614" s="911">
        <f t="shared" si="19"/>
        <v>9784</v>
      </c>
      <c r="Q614" s="909"/>
      <c r="R614" s="910">
        <v>9010</v>
      </c>
      <c r="S614" s="912">
        <v>3129</v>
      </c>
      <c r="T614" s="912">
        <v>12139</v>
      </c>
    </row>
    <row r="615" spans="1:20" x14ac:dyDescent="0.25">
      <c r="A615" s="906">
        <v>96701</v>
      </c>
      <c r="B615" s="907" t="s">
        <v>3175</v>
      </c>
      <c r="C615" s="908">
        <v>8.4206000000000003E-3</v>
      </c>
      <c r="D615" s="908">
        <v>7.7850000000000003E-3</v>
      </c>
      <c r="E615" s="909">
        <v>12864344</v>
      </c>
      <c r="F615" s="909"/>
      <c r="G615" s="910">
        <v>741105</v>
      </c>
      <c r="H615" s="911">
        <v>3123478</v>
      </c>
      <c r="I615" s="910">
        <v>1837207</v>
      </c>
      <c r="J615" s="909">
        <v>445953</v>
      </c>
      <c r="K615" s="911">
        <f t="shared" si="18"/>
        <v>6147743</v>
      </c>
      <c r="L615" s="909"/>
      <c r="M615" s="910">
        <v>364149</v>
      </c>
      <c r="N615" s="910">
        <v>0</v>
      </c>
      <c r="O615" s="909">
        <v>51464</v>
      </c>
      <c r="P615" s="911">
        <f t="shared" si="19"/>
        <v>415613</v>
      </c>
      <c r="Q615" s="909"/>
      <c r="R615" s="910">
        <v>4335295</v>
      </c>
      <c r="S615" s="912">
        <v>139565</v>
      </c>
      <c r="T615" s="912">
        <f>4474861-1</f>
        <v>4474860</v>
      </c>
    </row>
    <row r="616" spans="1:20" x14ac:dyDescent="0.25">
      <c r="A616" s="906">
        <v>96704</v>
      </c>
      <c r="B616" s="907" t="s">
        <v>3176</v>
      </c>
      <c r="C616" s="908">
        <v>1.7259999999999999E-4</v>
      </c>
      <c r="D616" s="908">
        <v>1.5330000000000001E-4</v>
      </c>
      <c r="E616" s="909">
        <v>263685</v>
      </c>
      <c r="F616" s="909"/>
      <c r="G616" s="910">
        <v>15191</v>
      </c>
      <c r="H616" s="911">
        <v>64023</v>
      </c>
      <c r="I616" s="910">
        <v>37658</v>
      </c>
      <c r="J616" s="909">
        <v>28813</v>
      </c>
      <c r="K616" s="911">
        <f t="shared" si="18"/>
        <v>145685</v>
      </c>
      <c r="L616" s="909"/>
      <c r="M616" s="910">
        <v>7464</v>
      </c>
      <c r="N616" s="910">
        <v>0</v>
      </c>
      <c r="O616" s="909">
        <v>0</v>
      </c>
      <c r="P616" s="911">
        <f t="shared" si="19"/>
        <v>7464</v>
      </c>
      <c r="Q616" s="909"/>
      <c r="R616" s="910">
        <v>88862</v>
      </c>
      <c r="S616" s="912">
        <v>9625</v>
      </c>
      <c r="T616" s="912">
        <v>98487</v>
      </c>
    </row>
    <row r="617" spans="1:20" x14ac:dyDescent="0.25">
      <c r="A617" s="906">
        <v>96708</v>
      </c>
      <c r="B617" s="907" t="s">
        <v>3177</v>
      </c>
      <c r="C617" s="908">
        <v>9.031E-4</v>
      </c>
      <c r="D617" s="908">
        <v>8.4590000000000002E-4</v>
      </c>
      <c r="E617" s="909">
        <v>1379687</v>
      </c>
      <c r="F617" s="909"/>
      <c r="G617" s="910">
        <v>79483</v>
      </c>
      <c r="H617" s="911">
        <v>334989</v>
      </c>
      <c r="I617" s="910">
        <v>197038</v>
      </c>
      <c r="J617" s="909">
        <v>93931</v>
      </c>
      <c r="K617" s="911">
        <f t="shared" si="18"/>
        <v>705441</v>
      </c>
      <c r="L617" s="909"/>
      <c r="M617" s="910">
        <v>39055</v>
      </c>
      <c r="N617" s="910">
        <v>0</v>
      </c>
      <c r="O617" s="909">
        <v>19895</v>
      </c>
      <c r="P617" s="911">
        <f t="shared" si="19"/>
        <v>58950</v>
      </c>
      <c r="Q617" s="909"/>
      <c r="R617" s="910">
        <v>464956</v>
      </c>
      <c r="S617" s="912">
        <v>29117</v>
      </c>
      <c r="T617" s="912">
        <v>494073</v>
      </c>
    </row>
    <row r="618" spans="1:20" x14ac:dyDescent="0.25">
      <c r="A618" s="906">
        <v>96711</v>
      </c>
      <c r="B618" s="907" t="s">
        <v>3178</v>
      </c>
      <c r="C618" s="908">
        <v>4.0464000000000003E-3</v>
      </c>
      <c r="D618" s="908">
        <v>4.4140000000000004E-3</v>
      </c>
      <c r="E618" s="909">
        <v>6181778</v>
      </c>
      <c r="F618" s="909"/>
      <c r="G618" s="910">
        <v>356128</v>
      </c>
      <c r="H618" s="911">
        <v>1500943</v>
      </c>
      <c r="I618" s="910">
        <v>882844</v>
      </c>
      <c r="J618" s="909">
        <v>10323</v>
      </c>
      <c r="K618" s="911">
        <f t="shared" si="18"/>
        <v>2750238</v>
      </c>
      <c r="L618" s="909"/>
      <c r="M618" s="910">
        <v>174987</v>
      </c>
      <c r="N618" s="910">
        <v>0</v>
      </c>
      <c r="O618" s="909">
        <v>468550</v>
      </c>
      <c r="P618" s="911">
        <f t="shared" si="19"/>
        <v>643537</v>
      </c>
      <c r="Q618" s="909"/>
      <c r="R618" s="910">
        <v>2083265</v>
      </c>
      <c r="S618" s="912">
        <v>-165088</v>
      </c>
      <c r="T618" s="912">
        <v>1918177</v>
      </c>
    </row>
    <row r="619" spans="1:20" x14ac:dyDescent="0.25">
      <c r="A619" s="906">
        <v>96721</v>
      </c>
      <c r="B619" s="907" t="s">
        <v>3179</v>
      </c>
      <c r="C619" s="908">
        <v>2.1379999999999999E-4</v>
      </c>
      <c r="D619" s="908">
        <v>1.9780000000000001E-4</v>
      </c>
      <c r="E619" s="909">
        <v>326627</v>
      </c>
      <c r="F619" s="909"/>
      <c r="G619" s="910">
        <v>18817</v>
      </c>
      <c r="H619" s="911">
        <v>79305</v>
      </c>
      <c r="I619" s="910">
        <v>46647</v>
      </c>
      <c r="J619" s="909">
        <v>14615</v>
      </c>
      <c r="K619" s="911">
        <f t="shared" si="18"/>
        <v>159384</v>
      </c>
      <c r="L619" s="909"/>
      <c r="M619" s="910">
        <v>9246</v>
      </c>
      <c r="N619" s="910">
        <v>0</v>
      </c>
      <c r="O619" s="909">
        <v>25539</v>
      </c>
      <c r="P619" s="911">
        <f t="shared" si="19"/>
        <v>34785</v>
      </c>
      <c r="Q619" s="909"/>
      <c r="R619" s="910">
        <v>110074</v>
      </c>
      <c r="S619" s="912">
        <v>-1269</v>
      </c>
      <c r="T619" s="912">
        <v>108805</v>
      </c>
    </row>
    <row r="620" spans="1:20" x14ac:dyDescent="0.25">
      <c r="A620" s="906">
        <v>96731</v>
      </c>
      <c r="B620" s="907" t="s">
        <v>3180</v>
      </c>
      <c r="C620" s="908">
        <v>1.697E-4</v>
      </c>
      <c r="D620" s="908">
        <v>1.5090000000000001E-4</v>
      </c>
      <c r="E620" s="909">
        <v>259255</v>
      </c>
      <c r="F620" s="909"/>
      <c r="G620" s="910">
        <v>14935</v>
      </c>
      <c r="H620" s="911">
        <v>62947</v>
      </c>
      <c r="I620" s="910">
        <v>37025</v>
      </c>
      <c r="J620" s="909">
        <v>20951</v>
      </c>
      <c r="K620" s="911">
        <f t="shared" si="18"/>
        <v>135858</v>
      </c>
      <c r="L620" s="909"/>
      <c r="M620" s="910">
        <v>7339</v>
      </c>
      <c r="N620" s="910">
        <v>0</v>
      </c>
      <c r="O620" s="909">
        <v>6</v>
      </c>
      <c r="P620" s="911">
        <f t="shared" si="19"/>
        <v>7345</v>
      </c>
      <c r="Q620" s="909"/>
      <c r="R620" s="910">
        <v>87369</v>
      </c>
      <c r="S620" s="912">
        <v>7300</v>
      </c>
      <c r="T620" s="912">
        <v>94669</v>
      </c>
    </row>
    <row r="621" spans="1:20" x14ac:dyDescent="0.25">
      <c r="A621" s="906">
        <v>96733</v>
      </c>
      <c r="B621" s="907" t="s">
        <v>3181</v>
      </c>
      <c r="C621" s="908">
        <v>7.3000000000000004E-6</v>
      </c>
      <c r="D621" s="908">
        <v>9.2E-6</v>
      </c>
      <c r="E621" s="909">
        <v>11152</v>
      </c>
      <c r="F621" s="909"/>
      <c r="G621" s="910">
        <v>642</v>
      </c>
      <c r="H621" s="911">
        <v>2708</v>
      </c>
      <c r="I621" s="910">
        <v>1593</v>
      </c>
      <c r="J621" s="909">
        <v>3988</v>
      </c>
      <c r="K621" s="911">
        <f t="shared" si="18"/>
        <v>8931</v>
      </c>
      <c r="L621" s="909"/>
      <c r="M621" s="910">
        <v>316</v>
      </c>
      <c r="N621" s="910">
        <v>0</v>
      </c>
      <c r="O621" s="909">
        <v>1209</v>
      </c>
      <c r="P621" s="911">
        <f t="shared" si="19"/>
        <v>1525</v>
      </c>
      <c r="Q621" s="909"/>
      <c r="R621" s="910">
        <v>3758</v>
      </c>
      <c r="S621" s="912">
        <v>1574</v>
      </c>
      <c r="T621" s="912">
        <v>5332</v>
      </c>
    </row>
    <row r="622" spans="1:20" x14ac:dyDescent="0.25">
      <c r="A622" s="906">
        <v>96741</v>
      </c>
      <c r="B622" s="907" t="s">
        <v>3182</v>
      </c>
      <c r="C622" s="908">
        <v>9.0799999999999998E-5</v>
      </c>
      <c r="D622" s="908">
        <v>9.2399999999999996E-5</v>
      </c>
      <c r="E622" s="909">
        <v>138717</v>
      </c>
      <c r="F622" s="909"/>
      <c r="G622" s="910">
        <v>7991</v>
      </c>
      <c r="H622" s="911">
        <v>33681</v>
      </c>
      <c r="I622" s="910">
        <v>19811</v>
      </c>
      <c r="J622" s="909">
        <v>4204</v>
      </c>
      <c r="K622" s="911">
        <f t="shared" si="18"/>
        <v>65687</v>
      </c>
      <c r="L622" s="909"/>
      <c r="M622" s="910">
        <v>3927</v>
      </c>
      <c r="N622" s="910">
        <v>0</v>
      </c>
      <c r="O622" s="909">
        <v>2410</v>
      </c>
      <c r="P622" s="911">
        <f t="shared" si="19"/>
        <v>6337</v>
      </c>
      <c r="Q622" s="909"/>
      <c r="R622" s="910">
        <v>46748</v>
      </c>
      <c r="S622" s="912">
        <v>2215</v>
      </c>
      <c r="T622" s="912">
        <v>48963</v>
      </c>
    </row>
    <row r="623" spans="1:20" x14ac:dyDescent="0.25">
      <c r="A623" s="906">
        <v>96751</v>
      </c>
      <c r="B623" s="907" t="s">
        <v>3183</v>
      </c>
      <c r="C623" s="908">
        <v>2.5809999999999999E-4</v>
      </c>
      <c r="D623" s="908">
        <v>2.6120000000000001E-4</v>
      </c>
      <c r="E623" s="909">
        <v>394305</v>
      </c>
      <c r="F623" s="909"/>
      <c r="G623" s="910">
        <v>22716</v>
      </c>
      <c r="H623" s="911">
        <v>95737</v>
      </c>
      <c r="I623" s="910">
        <v>56312</v>
      </c>
      <c r="J623" s="909">
        <v>10810</v>
      </c>
      <c r="K623" s="911">
        <f t="shared" si="18"/>
        <v>185575</v>
      </c>
      <c r="L623" s="909"/>
      <c r="M623" s="910">
        <v>11162</v>
      </c>
      <c r="N623" s="910">
        <v>0</v>
      </c>
      <c r="O623" s="909">
        <v>31380</v>
      </c>
      <c r="P623" s="911">
        <f t="shared" si="19"/>
        <v>42542</v>
      </c>
      <c r="Q623" s="909"/>
      <c r="R623" s="910">
        <v>132881</v>
      </c>
      <c r="S623" s="912">
        <v>-737</v>
      </c>
      <c r="T623" s="912">
        <v>132144</v>
      </c>
    </row>
    <row r="624" spans="1:20" x14ac:dyDescent="0.25">
      <c r="A624" s="906">
        <v>96801</v>
      </c>
      <c r="B624" s="907" t="s">
        <v>3184</v>
      </c>
      <c r="C624" s="908">
        <v>7.5814000000000003E-3</v>
      </c>
      <c r="D624" s="908">
        <v>7.8463999999999999E-3</v>
      </c>
      <c r="E624" s="909">
        <v>11582279</v>
      </c>
      <c r="F624" s="909"/>
      <c r="G624" s="910">
        <v>667247</v>
      </c>
      <c r="H624" s="911">
        <v>2812192</v>
      </c>
      <c r="I624" s="910">
        <v>1654110</v>
      </c>
      <c r="J624" s="909">
        <v>406857</v>
      </c>
      <c r="K624" s="911">
        <f t="shared" si="18"/>
        <v>5540406</v>
      </c>
      <c r="L624" s="909"/>
      <c r="M624" s="910">
        <v>327858</v>
      </c>
      <c r="N624" s="910">
        <v>0</v>
      </c>
      <c r="O624" s="909">
        <v>73178</v>
      </c>
      <c r="P624" s="911">
        <f t="shared" si="19"/>
        <v>401036</v>
      </c>
      <c r="Q624" s="909"/>
      <c r="R624" s="910">
        <v>3903238</v>
      </c>
      <c r="S624" s="912">
        <v>217480</v>
      </c>
      <c r="T624" s="912">
        <v>4120718</v>
      </c>
    </row>
    <row r="625" spans="1:20" x14ac:dyDescent="0.25">
      <c r="A625" s="906">
        <v>96804</v>
      </c>
      <c r="B625" s="907" t="s">
        <v>3185</v>
      </c>
      <c r="C625" s="908">
        <v>2.654E-4</v>
      </c>
      <c r="D625" s="908">
        <v>2.4230000000000001E-4</v>
      </c>
      <c r="E625" s="909">
        <v>405458</v>
      </c>
      <c r="F625" s="909"/>
      <c r="G625" s="910">
        <v>23358</v>
      </c>
      <c r="H625" s="911">
        <v>98446</v>
      </c>
      <c r="I625" s="910">
        <v>57905</v>
      </c>
      <c r="J625" s="909">
        <v>7601</v>
      </c>
      <c r="K625" s="911">
        <f t="shared" si="18"/>
        <v>187310</v>
      </c>
      <c r="L625" s="909"/>
      <c r="M625" s="910">
        <v>11477</v>
      </c>
      <c r="N625" s="910">
        <v>0</v>
      </c>
      <c r="O625" s="909">
        <v>2044</v>
      </c>
      <c r="P625" s="911">
        <f t="shared" si="19"/>
        <v>13521</v>
      </c>
      <c r="Q625" s="909"/>
      <c r="R625" s="910">
        <v>136640</v>
      </c>
      <c r="S625" s="912">
        <v>2424</v>
      </c>
      <c r="T625" s="912">
        <v>139064</v>
      </c>
    </row>
    <row r="626" spans="1:20" x14ac:dyDescent="0.25">
      <c r="A626" s="906">
        <v>96808</v>
      </c>
      <c r="B626" s="907" t="s">
        <v>3186</v>
      </c>
      <c r="C626" s="908">
        <v>1.2711000000000001E-3</v>
      </c>
      <c r="D626" s="908">
        <v>1.2882E-3</v>
      </c>
      <c r="E626" s="909">
        <v>1941889</v>
      </c>
      <c r="F626" s="909"/>
      <c r="G626" s="910">
        <v>111871</v>
      </c>
      <c r="H626" s="911">
        <v>471493</v>
      </c>
      <c r="I626" s="910">
        <v>277329</v>
      </c>
      <c r="J626" s="909">
        <v>42529</v>
      </c>
      <c r="K626" s="911">
        <f t="shared" si="18"/>
        <v>903222</v>
      </c>
      <c r="L626" s="909"/>
      <c r="M626" s="910">
        <v>54969</v>
      </c>
      <c r="N626" s="910">
        <v>0</v>
      </c>
      <c r="O626" s="909">
        <v>3699</v>
      </c>
      <c r="P626" s="911">
        <f t="shared" si="19"/>
        <v>58668</v>
      </c>
      <c r="Q626" s="909"/>
      <c r="R626" s="910">
        <v>654418</v>
      </c>
      <c r="S626" s="912">
        <v>23633</v>
      </c>
      <c r="T626" s="912">
        <v>678051</v>
      </c>
    </row>
    <row r="627" spans="1:20" x14ac:dyDescent="0.25">
      <c r="A627" s="906">
        <v>96811</v>
      </c>
      <c r="B627" s="907" t="s">
        <v>3187</v>
      </c>
      <c r="C627" s="908">
        <v>6.0096999999999998E-3</v>
      </c>
      <c r="D627" s="908">
        <v>5.9861999999999997E-3</v>
      </c>
      <c r="E627" s="909">
        <v>9181157</v>
      </c>
      <c r="F627" s="909"/>
      <c r="G627" s="910">
        <v>528920</v>
      </c>
      <c r="H627" s="911">
        <v>2229197</v>
      </c>
      <c r="I627" s="910">
        <v>1311196</v>
      </c>
      <c r="J627" s="909">
        <v>37410</v>
      </c>
      <c r="K627" s="911">
        <f t="shared" si="18"/>
        <v>4106723</v>
      </c>
      <c r="L627" s="909"/>
      <c r="M627" s="910">
        <v>259889</v>
      </c>
      <c r="N627" s="910">
        <v>0</v>
      </c>
      <c r="O627" s="909">
        <v>53500</v>
      </c>
      <c r="P627" s="911">
        <f t="shared" si="19"/>
        <v>313389</v>
      </c>
      <c r="Q627" s="909"/>
      <c r="R627" s="910">
        <v>3094058</v>
      </c>
      <c r="S627" s="912">
        <v>-23369</v>
      </c>
      <c r="T627" s="912">
        <v>3070689</v>
      </c>
    </row>
    <row r="628" spans="1:20" x14ac:dyDescent="0.25">
      <c r="A628" s="906">
        <v>96821</v>
      </c>
      <c r="B628" s="907" t="s">
        <v>3188</v>
      </c>
      <c r="C628" s="908">
        <v>1.3247000000000001E-3</v>
      </c>
      <c r="D628" s="908">
        <v>1.3630999999999999E-3</v>
      </c>
      <c r="E628" s="909">
        <v>2023775</v>
      </c>
      <c r="F628" s="909"/>
      <c r="G628" s="910">
        <v>116588</v>
      </c>
      <c r="H628" s="911">
        <v>491375</v>
      </c>
      <c r="I628" s="910">
        <v>289023</v>
      </c>
      <c r="J628" s="909">
        <v>0</v>
      </c>
      <c r="K628" s="911">
        <f t="shared" si="18"/>
        <v>896986</v>
      </c>
      <c r="L628" s="909"/>
      <c r="M628" s="910">
        <v>57287</v>
      </c>
      <c r="N628" s="910">
        <v>0</v>
      </c>
      <c r="O628" s="909">
        <v>134629</v>
      </c>
      <c r="P628" s="911">
        <f t="shared" si="19"/>
        <v>191916</v>
      </c>
      <c r="Q628" s="909"/>
      <c r="R628" s="910">
        <v>682014</v>
      </c>
      <c r="S628" s="912">
        <v>-54878</v>
      </c>
      <c r="T628" s="912">
        <v>627136</v>
      </c>
    </row>
    <row r="629" spans="1:20" x14ac:dyDescent="0.25">
      <c r="A629" s="906">
        <v>96831</v>
      </c>
      <c r="B629" s="907" t="s">
        <v>3189</v>
      </c>
      <c r="C629" s="908">
        <v>9.1929999999999996E-4</v>
      </c>
      <c r="D629" s="908">
        <v>9.2400000000000002E-4</v>
      </c>
      <c r="E629" s="909">
        <v>1404436</v>
      </c>
      <c r="F629" s="909"/>
      <c r="G629" s="910">
        <v>80909</v>
      </c>
      <c r="H629" s="911">
        <v>340998</v>
      </c>
      <c r="I629" s="910">
        <v>200573</v>
      </c>
      <c r="J629" s="909">
        <v>37726</v>
      </c>
      <c r="K629" s="911">
        <f t="shared" si="18"/>
        <v>660206</v>
      </c>
      <c r="L629" s="909"/>
      <c r="M629" s="910">
        <v>39755</v>
      </c>
      <c r="N629" s="910">
        <v>0</v>
      </c>
      <c r="O629" s="909">
        <v>0</v>
      </c>
      <c r="P629" s="911">
        <f t="shared" si="19"/>
        <v>39755</v>
      </c>
      <c r="Q629" s="909"/>
      <c r="R629" s="910">
        <v>473296</v>
      </c>
      <c r="S629" s="912">
        <v>19380</v>
      </c>
      <c r="T629" s="912">
        <v>492676</v>
      </c>
    </row>
    <row r="630" spans="1:20" x14ac:dyDescent="0.25">
      <c r="A630" s="906">
        <v>96901</v>
      </c>
      <c r="B630" s="907" t="s">
        <v>3190</v>
      </c>
      <c r="C630" s="908">
        <v>8.9820000000000004E-4</v>
      </c>
      <c r="D630" s="908">
        <v>8.1610000000000005E-4</v>
      </c>
      <c r="E630" s="909">
        <v>1372201</v>
      </c>
      <c r="F630" s="909"/>
      <c r="G630" s="910">
        <v>79051</v>
      </c>
      <c r="H630" s="911">
        <v>333172</v>
      </c>
      <c r="I630" s="910">
        <v>195969</v>
      </c>
      <c r="J630" s="909">
        <v>85745</v>
      </c>
      <c r="K630" s="911">
        <f t="shared" si="18"/>
        <v>693937</v>
      </c>
      <c r="L630" s="909"/>
      <c r="M630" s="910">
        <v>38843</v>
      </c>
      <c r="N630" s="910">
        <v>0</v>
      </c>
      <c r="O630" s="909">
        <v>0</v>
      </c>
      <c r="P630" s="911">
        <f t="shared" si="19"/>
        <v>38843</v>
      </c>
      <c r="Q630" s="909"/>
      <c r="R630" s="910">
        <v>462433</v>
      </c>
      <c r="S630" s="912">
        <v>28927</v>
      </c>
      <c r="T630" s="912">
        <v>491360</v>
      </c>
    </row>
    <row r="631" spans="1:20" x14ac:dyDescent="0.25">
      <c r="A631" s="906">
        <v>96911</v>
      </c>
      <c r="B631" s="907" t="s">
        <v>3191</v>
      </c>
      <c r="C631" s="908">
        <v>2.3999999999999999E-6</v>
      </c>
      <c r="D631" s="908">
        <v>3.7000000000000002E-6</v>
      </c>
      <c r="E631" s="909">
        <v>3667</v>
      </c>
      <c r="F631" s="909"/>
      <c r="G631" s="910">
        <v>211</v>
      </c>
      <c r="H631" s="911">
        <v>890</v>
      </c>
      <c r="I631" s="910">
        <v>524</v>
      </c>
      <c r="J631" s="909">
        <v>2464</v>
      </c>
      <c r="K631" s="911">
        <f t="shared" si="18"/>
        <v>4089</v>
      </c>
      <c r="L631" s="909"/>
      <c r="M631" s="910">
        <v>104</v>
      </c>
      <c r="N631" s="910">
        <v>0</v>
      </c>
      <c r="O631" s="909">
        <v>2953</v>
      </c>
      <c r="P631" s="911">
        <f t="shared" si="19"/>
        <v>3057</v>
      </c>
      <c r="Q631" s="909"/>
      <c r="R631" s="910">
        <v>1236</v>
      </c>
      <c r="S631" s="912">
        <v>521</v>
      </c>
      <c r="T631" s="912">
        <f>1756+1</f>
        <v>1757</v>
      </c>
    </row>
    <row r="632" spans="1:20" x14ac:dyDescent="0.25">
      <c r="A632" s="906">
        <v>96912</v>
      </c>
      <c r="B632" s="907" t="s">
        <v>3192</v>
      </c>
      <c r="C632" s="908">
        <v>6.0099999999999997E-5</v>
      </c>
      <c r="D632" s="908">
        <v>6.0999999999999999E-5</v>
      </c>
      <c r="E632" s="909">
        <v>91816</v>
      </c>
      <c r="F632" s="909"/>
      <c r="G632" s="910">
        <v>5289</v>
      </c>
      <c r="H632" s="911">
        <v>22293</v>
      </c>
      <c r="I632" s="910">
        <v>13113</v>
      </c>
      <c r="J632" s="909">
        <v>4325</v>
      </c>
      <c r="K632" s="911">
        <f t="shared" si="18"/>
        <v>45020</v>
      </c>
      <c r="L632" s="909"/>
      <c r="M632" s="910">
        <v>2599</v>
      </c>
      <c r="N632" s="910">
        <v>0</v>
      </c>
      <c r="O632" s="909">
        <v>3739</v>
      </c>
      <c r="P632" s="911">
        <f t="shared" si="19"/>
        <v>6338</v>
      </c>
      <c r="Q632" s="909"/>
      <c r="R632" s="910">
        <v>30942</v>
      </c>
      <c r="S632" s="912">
        <v>2307</v>
      </c>
      <c r="T632" s="912">
        <v>33249</v>
      </c>
    </row>
    <row r="633" spans="1:20" x14ac:dyDescent="0.25">
      <c r="A633" s="906">
        <v>96918</v>
      </c>
      <c r="B633" s="907" t="s">
        <v>3193</v>
      </c>
      <c r="C633" s="908">
        <v>3.8000000000000002E-5</v>
      </c>
      <c r="D633" s="908">
        <v>4.0500000000000002E-5</v>
      </c>
      <c r="E633" s="909">
        <v>58053</v>
      </c>
      <c r="F633" s="909"/>
      <c r="G633" s="910">
        <v>3344</v>
      </c>
      <c r="H633" s="911">
        <v>14095</v>
      </c>
      <c r="I633" s="910">
        <v>8291</v>
      </c>
      <c r="J633" s="909">
        <v>7713</v>
      </c>
      <c r="K633" s="911">
        <f t="shared" si="18"/>
        <v>33443</v>
      </c>
      <c r="L633" s="909"/>
      <c r="M633" s="910">
        <v>1643</v>
      </c>
      <c r="N633" s="910">
        <v>0</v>
      </c>
      <c r="O633" s="909">
        <v>884</v>
      </c>
      <c r="P633" s="911">
        <f t="shared" si="19"/>
        <v>2527</v>
      </c>
      <c r="Q633" s="909"/>
      <c r="R633" s="910">
        <v>19564</v>
      </c>
      <c r="S633" s="912">
        <v>5648</v>
      </c>
      <c r="T633" s="912">
        <v>25212</v>
      </c>
    </row>
    <row r="634" spans="1:20" x14ac:dyDescent="0.25">
      <c r="A634" s="906">
        <v>97001</v>
      </c>
      <c r="B634" s="907" t="s">
        <v>3194</v>
      </c>
      <c r="C634" s="908">
        <v>1.3778E-3</v>
      </c>
      <c r="D634" s="908">
        <v>1.3641E-3</v>
      </c>
      <c r="E634" s="909">
        <v>2104897</v>
      </c>
      <c r="F634" s="909"/>
      <c r="G634" s="910">
        <v>121262</v>
      </c>
      <c r="H634" s="911">
        <v>511071</v>
      </c>
      <c r="I634" s="910">
        <v>300608</v>
      </c>
      <c r="J634" s="909">
        <v>148744</v>
      </c>
      <c r="K634" s="911">
        <f t="shared" si="18"/>
        <v>1081685</v>
      </c>
      <c r="L634" s="909"/>
      <c r="M634" s="910">
        <v>59583</v>
      </c>
      <c r="N634" s="910">
        <v>0</v>
      </c>
      <c r="O634" s="909">
        <v>11523</v>
      </c>
      <c r="P634" s="911">
        <f t="shared" si="19"/>
        <v>71106</v>
      </c>
      <c r="Q634" s="909"/>
      <c r="R634" s="910">
        <v>709352</v>
      </c>
      <c r="S634" s="912">
        <v>36360</v>
      </c>
      <c r="T634" s="912">
        <v>745712</v>
      </c>
    </row>
    <row r="635" spans="1:20" x14ac:dyDescent="0.25">
      <c r="A635" s="906">
        <v>97002</v>
      </c>
      <c r="B635" s="907" t="s">
        <v>3195</v>
      </c>
      <c r="C635" s="908">
        <v>5.2610000000000005E-4</v>
      </c>
      <c r="D635" s="908">
        <v>4.6589999999999999E-4</v>
      </c>
      <c r="E635" s="909">
        <v>803735</v>
      </c>
      <c r="F635" s="909"/>
      <c r="G635" s="910">
        <v>46303</v>
      </c>
      <c r="H635" s="911">
        <v>195148</v>
      </c>
      <c r="I635" s="910">
        <v>114784</v>
      </c>
      <c r="J635" s="909">
        <v>16832</v>
      </c>
      <c r="K635" s="911">
        <f t="shared" si="18"/>
        <v>373067</v>
      </c>
      <c r="L635" s="909"/>
      <c r="M635" s="910">
        <v>22751</v>
      </c>
      <c r="N635" s="910">
        <v>0</v>
      </c>
      <c r="O635" s="909">
        <v>7002</v>
      </c>
      <c r="P635" s="911">
        <f t="shared" si="19"/>
        <v>29753</v>
      </c>
      <c r="Q635" s="909"/>
      <c r="R635" s="910">
        <v>270859</v>
      </c>
      <c r="S635" s="912">
        <v>10025</v>
      </c>
      <c r="T635" s="912">
        <f>280885-1</f>
        <v>280884</v>
      </c>
    </row>
    <row r="636" spans="1:20" x14ac:dyDescent="0.25">
      <c r="A636" s="906">
        <v>97004</v>
      </c>
      <c r="B636" s="907" t="s">
        <v>3196</v>
      </c>
      <c r="C636" s="908">
        <v>9.7999999999999993E-6</v>
      </c>
      <c r="D636" s="908">
        <v>1.0900000000000001E-5</v>
      </c>
      <c r="E636" s="909">
        <v>14972</v>
      </c>
      <c r="F636" s="909"/>
      <c r="G636" s="910">
        <v>863</v>
      </c>
      <c r="H636" s="911">
        <v>3635</v>
      </c>
      <c r="I636" s="910">
        <v>2138</v>
      </c>
      <c r="J636" s="909">
        <v>4225</v>
      </c>
      <c r="K636" s="911">
        <f t="shared" si="18"/>
        <v>10861</v>
      </c>
      <c r="L636" s="909"/>
      <c r="M636" s="910">
        <v>424</v>
      </c>
      <c r="N636" s="910">
        <v>0</v>
      </c>
      <c r="O636" s="909">
        <v>0</v>
      </c>
      <c r="P636" s="911">
        <f t="shared" si="19"/>
        <v>424</v>
      </c>
      <c r="Q636" s="909"/>
      <c r="R636" s="910">
        <v>5045</v>
      </c>
      <c r="S636" s="912">
        <v>1862</v>
      </c>
      <c r="T636" s="912">
        <f>6908-1</f>
        <v>6907</v>
      </c>
    </row>
    <row r="637" spans="1:20" x14ac:dyDescent="0.25">
      <c r="A637" s="906">
        <v>97005</v>
      </c>
      <c r="B637" s="907" t="s">
        <v>3197</v>
      </c>
      <c r="C637" s="908">
        <v>2.83E-5</v>
      </c>
      <c r="D637" s="908">
        <v>1.42E-5</v>
      </c>
      <c r="E637" s="909">
        <v>43235</v>
      </c>
      <c r="F637" s="909"/>
      <c r="G637" s="910">
        <v>2491</v>
      </c>
      <c r="H637" s="911">
        <v>10498</v>
      </c>
      <c r="I637" s="910">
        <v>6174</v>
      </c>
      <c r="J637" s="909">
        <v>13129</v>
      </c>
      <c r="K637" s="911">
        <f t="shared" si="18"/>
        <v>32292</v>
      </c>
      <c r="L637" s="909"/>
      <c r="M637" s="910">
        <v>1224</v>
      </c>
      <c r="N637" s="910">
        <v>0</v>
      </c>
      <c r="O637" s="909">
        <v>1368</v>
      </c>
      <c r="P637" s="911">
        <f t="shared" si="19"/>
        <v>2592</v>
      </c>
      <c r="Q637" s="909"/>
      <c r="R637" s="910">
        <v>14570</v>
      </c>
      <c r="S637" s="912">
        <v>3211</v>
      </c>
      <c r="T637" s="912">
        <v>17781</v>
      </c>
    </row>
    <row r="638" spans="1:20" x14ac:dyDescent="0.25">
      <c r="A638" s="906">
        <v>97008</v>
      </c>
      <c r="B638" s="907" t="s">
        <v>3198</v>
      </c>
      <c r="C638" s="908">
        <v>2.8659999999999997E-4</v>
      </c>
      <c r="D638" s="908">
        <v>2.7530000000000002E-4</v>
      </c>
      <c r="E638" s="909">
        <v>437845</v>
      </c>
      <c r="F638" s="909"/>
      <c r="G638" s="910">
        <v>25224</v>
      </c>
      <c r="H638" s="911">
        <v>106309</v>
      </c>
      <c r="I638" s="910">
        <v>62530</v>
      </c>
      <c r="J638" s="909">
        <v>12387</v>
      </c>
      <c r="K638" s="911">
        <f t="shared" si="18"/>
        <v>206450</v>
      </c>
      <c r="L638" s="909"/>
      <c r="M638" s="910">
        <v>12394</v>
      </c>
      <c r="N638" s="910">
        <v>0</v>
      </c>
      <c r="O638" s="909">
        <v>3127</v>
      </c>
      <c r="P638" s="911">
        <f t="shared" si="19"/>
        <v>15521</v>
      </c>
      <c r="Q638" s="909"/>
      <c r="R638" s="910">
        <v>147554</v>
      </c>
      <c r="S638" s="912">
        <v>7175</v>
      </c>
      <c r="T638" s="912">
        <v>154729</v>
      </c>
    </row>
    <row r="639" spans="1:20" x14ac:dyDescent="0.25">
      <c r="A639" s="906">
        <v>97010</v>
      </c>
      <c r="B639" s="907" t="s">
        <v>3199</v>
      </c>
      <c r="C639" s="908">
        <v>0</v>
      </c>
      <c r="D639" s="908">
        <v>0</v>
      </c>
      <c r="E639" s="909">
        <v>0</v>
      </c>
      <c r="F639" s="909"/>
      <c r="G639" s="910">
        <v>0</v>
      </c>
      <c r="H639" s="911">
        <v>0</v>
      </c>
      <c r="I639" s="910">
        <v>0</v>
      </c>
      <c r="J639" s="909">
        <v>0</v>
      </c>
      <c r="K639" s="911">
        <f t="shared" si="18"/>
        <v>0</v>
      </c>
      <c r="L639" s="909"/>
      <c r="M639" s="910">
        <v>0</v>
      </c>
      <c r="N639" s="910">
        <v>0</v>
      </c>
      <c r="O639" s="909">
        <v>2056902</v>
      </c>
      <c r="P639" s="911">
        <f t="shared" si="19"/>
        <v>2056902</v>
      </c>
      <c r="Q639" s="909"/>
      <c r="R639" s="910">
        <v>0</v>
      </c>
      <c r="S639" s="912">
        <v>-1282454</v>
      </c>
      <c r="T639" s="912">
        <v>-1282454</v>
      </c>
    </row>
    <row r="640" spans="1:20" x14ac:dyDescent="0.25">
      <c r="A640" s="906">
        <v>97011</v>
      </c>
      <c r="B640" s="907" t="s">
        <v>3200</v>
      </c>
      <c r="C640" s="908">
        <v>1.9166999999999999E-3</v>
      </c>
      <c r="D640" s="908">
        <v>1.9522999999999999E-3</v>
      </c>
      <c r="E640" s="909">
        <v>2928187</v>
      </c>
      <c r="F640" s="909"/>
      <c r="G640" s="910">
        <v>168691</v>
      </c>
      <c r="H640" s="911">
        <v>710967</v>
      </c>
      <c r="I640" s="910">
        <v>418186</v>
      </c>
      <c r="J640" s="909">
        <v>0</v>
      </c>
      <c r="K640" s="911">
        <f t="shared" si="18"/>
        <v>1297844</v>
      </c>
      <c r="L640" s="909"/>
      <c r="M640" s="910">
        <v>82888</v>
      </c>
      <c r="N640" s="910">
        <v>0</v>
      </c>
      <c r="O640" s="909">
        <v>92552</v>
      </c>
      <c r="P640" s="911">
        <f t="shared" si="19"/>
        <v>175440</v>
      </c>
      <c r="Q640" s="909"/>
      <c r="R640" s="910">
        <v>986801</v>
      </c>
      <c r="S640" s="912">
        <v>-38711</v>
      </c>
      <c r="T640" s="912">
        <v>948090</v>
      </c>
    </row>
    <row r="641" spans="1:20" x14ac:dyDescent="0.25">
      <c r="A641" s="906">
        <v>97012</v>
      </c>
      <c r="B641" s="907" t="s">
        <v>3201</v>
      </c>
      <c r="C641" s="908">
        <v>2.9499999999999999E-5</v>
      </c>
      <c r="D641" s="908">
        <v>2.4499999999999999E-5</v>
      </c>
      <c r="E641" s="909">
        <v>45068</v>
      </c>
      <c r="F641" s="909"/>
      <c r="G641" s="910">
        <v>2596</v>
      </c>
      <c r="H641" s="911">
        <v>10942</v>
      </c>
      <c r="I641" s="910">
        <v>6436</v>
      </c>
      <c r="J641" s="909">
        <v>4949</v>
      </c>
      <c r="K641" s="911">
        <f t="shared" si="18"/>
        <v>24923</v>
      </c>
      <c r="L641" s="909"/>
      <c r="M641" s="910">
        <v>1276</v>
      </c>
      <c r="N641" s="910">
        <v>0</v>
      </c>
      <c r="O641" s="909">
        <v>1149</v>
      </c>
      <c r="P641" s="911">
        <f t="shared" si="19"/>
        <v>2425</v>
      </c>
      <c r="Q641" s="909"/>
      <c r="R641" s="910">
        <v>15188</v>
      </c>
      <c r="S641" s="912">
        <v>752</v>
      </c>
      <c r="T641" s="912">
        <v>15940</v>
      </c>
    </row>
    <row r="642" spans="1:20" x14ac:dyDescent="0.25">
      <c r="A642" s="906">
        <v>97013</v>
      </c>
      <c r="B642" s="907" t="s">
        <v>3202</v>
      </c>
      <c r="C642" s="908">
        <v>1.8199999999999999E-5</v>
      </c>
      <c r="D642" s="908">
        <v>2.0699999999999998E-5</v>
      </c>
      <c r="E642" s="909">
        <v>27805</v>
      </c>
      <c r="F642" s="909"/>
      <c r="G642" s="910">
        <v>1602</v>
      </c>
      <c r="H642" s="911">
        <v>6751</v>
      </c>
      <c r="I642" s="910">
        <v>3971</v>
      </c>
      <c r="J642" s="909">
        <v>6233</v>
      </c>
      <c r="K642" s="911">
        <f t="shared" si="18"/>
        <v>18557</v>
      </c>
      <c r="L642" s="909"/>
      <c r="M642" s="910">
        <v>787</v>
      </c>
      <c r="N642" s="910">
        <v>0</v>
      </c>
      <c r="O642" s="909">
        <v>431</v>
      </c>
      <c r="P642" s="911">
        <f t="shared" si="19"/>
        <v>1218</v>
      </c>
      <c r="Q642" s="909"/>
      <c r="R642" s="910">
        <v>9370</v>
      </c>
      <c r="S642" s="912">
        <v>2046</v>
      </c>
      <c r="T642" s="912">
        <v>11416</v>
      </c>
    </row>
    <row r="643" spans="1:20" x14ac:dyDescent="0.25">
      <c r="A643" s="906">
        <v>97015</v>
      </c>
      <c r="B643" s="907" t="s">
        <v>3203</v>
      </c>
      <c r="C643" s="908">
        <v>4.1499999999999999E-5</v>
      </c>
      <c r="D643" s="908">
        <v>5.3699999999999997E-5</v>
      </c>
      <c r="E643" s="909">
        <v>63401</v>
      </c>
      <c r="F643" s="909"/>
      <c r="G643" s="910">
        <v>3652</v>
      </c>
      <c r="H643" s="911">
        <v>15394</v>
      </c>
      <c r="I643" s="910">
        <v>9054</v>
      </c>
      <c r="J643" s="909">
        <v>4608</v>
      </c>
      <c r="K643" s="911">
        <f t="shared" si="18"/>
        <v>32708</v>
      </c>
      <c r="L643" s="909"/>
      <c r="M643" s="910">
        <v>1795</v>
      </c>
      <c r="N643" s="910">
        <v>0</v>
      </c>
      <c r="O643" s="909">
        <v>5783</v>
      </c>
      <c r="P643" s="911">
        <f t="shared" si="19"/>
        <v>7578</v>
      </c>
      <c r="Q643" s="909"/>
      <c r="R643" s="910">
        <v>21366</v>
      </c>
      <c r="S643" s="912">
        <v>26</v>
      </c>
      <c r="T643" s="912">
        <v>21392</v>
      </c>
    </row>
    <row r="644" spans="1:20" x14ac:dyDescent="0.25">
      <c r="A644" s="906">
        <v>97018</v>
      </c>
      <c r="B644" s="907" t="s">
        <v>3204</v>
      </c>
      <c r="C644" s="908">
        <v>8.6000000000000007E-6</v>
      </c>
      <c r="D644" s="908">
        <v>9.3999999999999998E-6</v>
      </c>
      <c r="E644" s="909">
        <v>13138</v>
      </c>
      <c r="F644" s="909"/>
      <c r="G644" s="910">
        <v>757</v>
      </c>
      <c r="H644" s="911">
        <v>3190</v>
      </c>
      <c r="I644" s="910">
        <v>1876</v>
      </c>
      <c r="J644" s="909">
        <v>6833</v>
      </c>
      <c r="K644" s="911">
        <f t="shared" si="18"/>
        <v>12656</v>
      </c>
      <c r="L644" s="909"/>
      <c r="M644" s="910">
        <v>372</v>
      </c>
      <c r="N644" s="910">
        <v>0</v>
      </c>
      <c r="O644" s="909">
        <v>0</v>
      </c>
      <c r="P644" s="911">
        <f t="shared" si="19"/>
        <v>372</v>
      </c>
      <c r="Q644" s="909"/>
      <c r="R644" s="910">
        <v>4428</v>
      </c>
      <c r="S644" s="912">
        <v>2806</v>
      </c>
      <c r="T644" s="912">
        <v>7234</v>
      </c>
    </row>
    <row r="645" spans="1:20" x14ac:dyDescent="0.25">
      <c r="A645" s="906">
        <v>97101</v>
      </c>
      <c r="B645" s="907" t="s">
        <v>3205</v>
      </c>
      <c r="C645" s="908">
        <v>2.5790000000000001E-3</v>
      </c>
      <c r="D645" s="908">
        <v>2.6029E-3</v>
      </c>
      <c r="E645" s="909">
        <v>3939998</v>
      </c>
      <c r="F645" s="909"/>
      <c r="G645" s="910">
        <v>226980</v>
      </c>
      <c r="H645" s="911">
        <v>956636</v>
      </c>
      <c r="I645" s="910">
        <v>562686</v>
      </c>
      <c r="J645" s="909">
        <v>22549</v>
      </c>
      <c r="K645" s="911">
        <f t="shared" si="18"/>
        <v>1768851</v>
      </c>
      <c r="L645" s="909"/>
      <c r="M645" s="910">
        <v>111529</v>
      </c>
      <c r="N645" s="910">
        <v>0</v>
      </c>
      <c r="O645" s="909">
        <v>6937</v>
      </c>
      <c r="P645" s="911">
        <f t="shared" si="19"/>
        <v>118466</v>
      </c>
      <c r="Q645" s="909"/>
      <c r="R645" s="910">
        <v>1327783</v>
      </c>
      <c r="S645" s="912">
        <v>3541</v>
      </c>
      <c r="T645" s="912">
        <v>1331324</v>
      </c>
    </row>
    <row r="646" spans="1:20" x14ac:dyDescent="0.25">
      <c r="A646" s="906">
        <v>97104</v>
      </c>
      <c r="B646" s="907" t="s">
        <v>3206</v>
      </c>
      <c r="C646" s="908">
        <v>5.4299999999999998E-5</v>
      </c>
      <c r="D646" s="908">
        <v>5.6799999999999998E-5</v>
      </c>
      <c r="E646" s="909">
        <v>82955</v>
      </c>
      <c r="F646" s="909"/>
      <c r="G646" s="910">
        <v>4779</v>
      </c>
      <c r="H646" s="911">
        <v>20142</v>
      </c>
      <c r="I646" s="910">
        <v>11847</v>
      </c>
      <c r="J646" s="909">
        <v>11700</v>
      </c>
      <c r="K646" s="911">
        <f t="shared" si="18"/>
        <v>48468</v>
      </c>
      <c r="L646" s="909"/>
      <c r="M646" s="910">
        <v>2348</v>
      </c>
      <c r="N646" s="910">
        <v>0</v>
      </c>
      <c r="O646" s="909">
        <v>0</v>
      </c>
      <c r="P646" s="911">
        <f t="shared" si="19"/>
        <v>2348</v>
      </c>
      <c r="Q646" s="909"/>
      <c r="R646" s="910">
        <v>27956</v>
      </c>
      <c r="S646" s="912">
        <v>6133</v>
      </c>
      <c r="T646" s="912">
        <v>34089</v>
      </c>
    </row>
    <row r="647" spans="1:20" x14ac:dyDescent="0.25">
      <c r="A647" s="906">
        <v>97111</v>
      </c>
      <c r="B647" s="907" t="s">
        <v>3207</v>
      </c>
      <c r="C647" s="908">
        <v>2.8200000000000002E-4</v>
      </c>
      <c r="D647" s="908">
        <v>2.7099999999999997E-4</v>
      </c>
      <c r="E647" s="909">
        <v>430818</v>
      </c>
      <c r="F647" s="909"/>
      <c r="G647" s="910">
        <v>24819</v>
      </c>
      <c r="H647" s="911">
        <v>104603</v>
      </c>
      <c r="I647" s="910">
        <v>61527</v>
      </c>
      <c r="J647" s="909">
        <v>7621</v>
      </c>
      <c r="K647" s="911">
        <f t="shared" ref="K647:K710" si="20">G647+H647+I647+J647</f>
        <v>198570</v>
      </c>
      <c r="L647" s="909"/>
      <c r="M647" s="910">
        <v>12195</v>
      </c>
      <c r="N647" s="910">
        <v>0</v>
      </c>
      <c r="O647" s="909">
        <v>20335</v>
      </c>
      <c r="P647" s="911">
        <f t="shared" ref="P647:P710" si="21">M647+N647+O647</f>
        <v>32530</v>
      </c>
      <c r="Q647" s="909"/>
      <c r="R647" s="910">
        <v>145186</v>
      </c>
      <c r="S647" s="912">
        <v>-1416</v>
      </c>
      <c r="T647" s="912">
        <v>143770</v>
      </c>
    </row>
    <row r="648" spans="1:20" x14ac:dyDescent="0.25">
      <c r="A648" s="906">
        <v>97121</v>
      </c>
      <c r="B648" s="907" t="s">
        <v>3208</v>
      </c>
      <c r="C648" s="908">
        <v>1.3640000000000001E-4</v>
      </c>
      <c r="D648" s="908">
        <v>1.2070000000000001E-4</v>
      </c>
      <c r="E648" s="909">
        <v>208381</v>
      </c>
      <c r="F648" s="909"/>
      <c r="G648" s="910">
        <v>12005</v>
      </c>
      <c r="H648" s="911">
        <v>50595</v>
      </c>
      <c r="I648" s="910">
        <v>29760</v>
      </c>
      <c r="J648" s="909">
        <v>13649</v>
      </c>
      <c r="K648" s="911">
        <f t="shared" si="20"/>
        <v>106009</v>
      </c>
      <c r="L648" s="909"/>
      <c r="M648" s="910">
        <v>5899</v>
      </c>
      <c r="N648" s="910">
        <v>0</v>
      </c>
      <c r="O648" s="909">
        <v>10026</v>
      </c>
      <c r="P648" s="911">
        <f t="shared" si="21"/>
        <v>15925</v>
      </c>
      <c r="Q648" s="909"/>
      <c r="R648" s="910">
        <v>70225</v>
      </c>
      <c r="S648" s="912">
        <v>-1103</v>
      </c>
      <c r="T648" s="912">
        <v>69122</v>
      </c>
    </row>
    <row r="649" spans="1:20" x14ac:dyDescent="0.25">
      <c r="A649" s="906">
        <v>97131</v>
      </c>
      <c r="B649" s="907" t="s">
        <v>3209</v>
      </c>
      <c r="C649" s="908">
        <v>7.358E-4</v>
      </c>
      <c r="D649" s="908">
        <v>6.2969999999999996E-4</v>
      </c>
      <c r="E649" s="909">
        <v>1124099</v>
      </c>
      <c r="F649" s="909"/>
      <c r="G649" s="910">
        <v>64758</v>
      </c>
      <c r="H649" s="911">
        <v>272933</v>
      </c>
      <c r="I649" s="910">
        <v>160537</v>
      </c>
      <c r="J649" s="909">
        <v>29703</v>
      </c>
      <c r="K649" s="911">
        <f t="shared" si="20"/>
        <v>527931</v>
      </c>
      <c r="L649" s="909"/>
      <c r="M649" s="910">
        <v>31820</v>
      </c>
      <c r="N649" s="910">
        <v>0</v>
      </c>
      <c r="O649" s="909">
        <v>2383</v>
      </c>
      <c r="P649" s="911">
        <f t="shared" si="21"/>
        <v>34203</v>
      </c>
      <c r="Q649" s="909"/>
      <c r="R649" s="910">
        <v>378822</v>
      </c>
      <c r="S649" s="912">
        <v>7857</v>
      </c>
      <c r="T649" s="912">
        <v>386679</v>
      </c>
    </row>
    <row r="650" spans="1:20" x14ac:dyDescent="0.25">
      <c r="A650" s="906">
        <v>97201</v>
      </c>
      <c r="B650" s="907" t="s">
        <v>3210</v>
      </c>
      <c r="C650" s="908">
        <v>5.2689999999999996E-4</v>
      </c>
      <c r="D650" s="908">
        <v>4.9439999999999998E-4</v>
      </c>
      <c r="E650" s="909">
        <v>804957</v>
      </c>
      <c r="F650" s="909"/>
      <c r="G650" s="910">
        <v>46373</v>
      </c>
      <c r="H650" s="911">
        <v>195445</v>
      </c>
      <c r="I650" s="910">
        <v>114959</v>
      </c>
      <c r="J650" s="909">
        <v>43529</v>
      </c>
      <c r="K650" s="911">
        <f t="shared" si="20"/>
        <v>400306</v>
      </c>
      <c r="L650" s="909"/>
      <c r="M650" s="910">
        <v>22786</v>
      </c>
      <c r="N650" s="910">
        <v>0</v>
      </c>
      <c r="O650" s="909">
        <v>1877</v>
      </c>
      <c r="P650" s="911">
        <f t="shared" si="21"/>
        <v>24663</v>
      </c>
      <c r="Q650" s="909"/>
      <c r="R650" s="910">
        <v>271271</v>
      </c>
      <c r="S650" s="912">
        <v>10950</v>
      </c>
      <c r="T650" s="912">
        <f>282222-1</f>
        <v>282221</v>
      </c>
    </row>
    <row r="651" spans="1:20" x14ac:dyDescent="0.25">
      <c r="A651" s="906">
        <v>97211</v>
      </c>
      <c r="B651" s="907" t="s">
        <v>3211</v>
      </c>
      <c r="C651" s="908">
        <v>1.5980000000000001E-4</v>
      </c>
      <c r="D651" s="908">
        <v>1.4119999999999999E-4</v>
      </c>
      <c r="E651" s="909">
        <v>244130</v>
      </c>
      <c r="F651" s="909"/>
      <c r="G651" s="910">
        <v>14064</v>
      </c>
      <c r="H651" s="911">
        <v>59275</v>
      </c>
      <c r="I651" s="910">
        <v>34865</v>
      </c>
      <c r="J651" s="909">
        <v>16009</v>
      </c>
      <c r="K651" s="911">
        <f t="shared" si="20"/>
        <v>124213</v>
      </c>
      <c r="L651" s="909"/>
      <c r="M651" s="910">
        <v>6911</v>
      </c>
      <c r="N651" s="910">
        <v>0</v>
      </c>
      <c r="O651" s="909">
        <v>12120</v>
      </c>
      <c r="P651" s="911">
        <f t="shared" si="21"/>
        <v>19031</v>
      </c>
      <c r="Q651" s="909"/>
      <c r="R651" s="910">
        <v>82272</v>
      </c>
      <c r="S651" s="912">
        <v>347</v>
      </c>
      <c r="T651" s="912">
        <v>82619</v>
      </c>
    </row>
    <row r="652" spans="1:20" x14ac:dyDescent="0.25">
      <c r="A652" s="906">
        <v>97213</v>
      </c>
      <c r="B652" s="907" t="s">
        <v>3212</v>
      </c>
      <c r="C652" s="908">
        <v>3.9100000000000002E-5</v>
      </c>
      <c r="D652" s="908">
        <v>3.8300000000000003E-5</v>
      </c>
      <c r="E652" s="909">
        <v>59734</v>
      </c>
      <c r="F652" s="909"/>
      <c r="G652" s="910">
        <v>3441</v>
      </c>
      <c r="H652" s="911">
        <v>14504</v>
      </c>
      <c r="I652" s="910">
        <v>8531</v>
      </c>
      <c r="J652" s="909">
        <v>6715</v>
      </c>
      <c r="K652" s="911">
        <f t="shared" si="20"/>
        <v>33191</v>
      </c>
      <c r="L652" s="909"/>
      <c r="M652" s="910">
        <v>1691</v>
      </c>
      <c r="N652" s="910">
        <v>0</v>
      </c>
      <c r="O652" s="909">
        <v>495</v>
      </c>
      <c r="P652" s="911">
        <f t="shared" si="21"/>
        <v>2186</v>
      </c>
      <c r="Q652" s="909"/>
      <c r="R652" s="910">
        <v>20130</v>
      </c>
      <c r="S652" s="912">
        <v>2057</v>
      </c>
      <c r="T652" s="912">
        <v>22187</v>
      </c>
    </row>
    <row r="653" spans="1:20" x14ac:dyDescent="0.25">
      <c r="A653" s="906">
        <v>97217</v>
      </c>
      <c r="B653" s="907" t="s">
        <v>3213</v>
      </c>
      <c r="C653" s="908">
        <v>4.6E-6</v>
      </c>
      <c r="D653" s="908">
        <v>4.8999999999999997E-6</v>
      </c>
      <c r="E653" s="909">
        <v>7028</v>
      </c>
      <c r="F653" s="909"/>
      <c r="G653" s="910">
        <v>405</v>
      </c>
      <c r="H653" s="911">
        <v>1706</v>
      </c>
      <c r="I653" s="910">
        <v>1004</v>
      </c>
      <c r="J653" s="909">
        <v>8215</v>
      </c>
      <c r="K653" s="911">
        <f t="shared" si="20"/>
        <v>11330</v>
      </c>
      <c r="L653" s="909"/>
      <c r="M653" s="910">
        <v>199</v>
      </c>
      <c r="N653" s="910">
        <v>0</v>
      </c>
      <c r="O653" s="909">
        <v>0</v>
      </c>
      <c r="P653" s="911">
        <f t="shared" si="21"/>
        <v>199</v>
      </c>
      <c r="Q653" s="909"/>
      <c r="R653" s="910">
        <v>2368</v>
      </c>
      <c r="S653" s="912">
        <v>3286</v>
      </c>
      <c r="T653" s="912">
        <v>5654</v>
      </c>
    </row>
    <row r="654" spans="1:20" x14ac:dyDescent="0.25">
      <c r="A654" s="906">
        <v>97221</v>
      </c>
      <c r="B654" s="907" t="s">
        <v>3214</v>
      </c>
      <c r="C654" s="908">
        <v>7.1999999999999997E-6</v>
      </c>
      <c r="D654" s="908">
        <v>6.1999999999999999E-6</v>
      </c>
      <c r="E654" s="909">
        <v>11000</v>
      </c>
      <c r="F654" s="909"/>
      <c r="G654" s="910">
        <v>634</v>
      </c>
      <c r="H654" s="911">
        <v>2670</v>
      </c>
      <c r="I654" s="910">
        <v>1571</v>
      </c>
      <c r="J654" s="909">
        <v>8086</v>
      </c>
      <c r="K654" s="911">
        <f t="shared" si="20"/>
        <v>12961</v>
      </c>
      <c r="L654" s="909"/>
      <c r="M654" s="910">
        <v>311</v>
      </c>
      <c r="N654" s="910">
        <v>0</v>
      </c>
      <c r="O654" s="909">
        <v>0</v>
      </c>
      <c r="P654" s="911">
        <f t="shared" si="21"/>
        <v>311</v>
      </c>
      <c r="Q654" s="909"/>
      <c r="R654" s="910">
        <v>3707</v>
      </c>
      <c r="S654" s="912">
        <v>3119</v>
      </c>
      <c r="T654" s="912">
        <v>6826</v>
      </c>
    </row>
    <row r="655" spans="1:20" x14ac:dyDescent="0.25">
      <c r="A655" s="906">
        <v>97301</v>
      </c>
      <c r="B655" s="907" t="s">
        <v>3215</v>
      </c>
      <c r="C655" s="908">
        <v>2.5135999999999999E-3</v>
      </c>
      <c r="D655" s="908">
        <v>2.5742E-3</v>
      </c>
      <c r="E655" s="909">
        <v>3840085</v>
      </c>
      <c r="F655" s="909"/>
      <c r="G655" s="910">
        <v>221224</v>
      </c>
      <c r="H655" s="911">
        <v>932377</v>
      </c>
      <c r="I655" s="910">
        <v>548417</v>
      </c>
      <c r="J655" s="909">
        <v>23710</v>
      </c>
      <c r="K655" s="911">
        <f t="shared" si="20"/>
        <v>1725728</v>
      </c>
      <c r="L655" s="909"/>
      <c r="M655" s="910">
        <v>108701</v>
      </c>
      <c r="N655" s="910">
        <v>0</v>
      </c>
      <c r="O655" s="909">
        <v>56463</v>
      </c>
      <c r="P655" s="911">
        <f t="shared" si="21"/>
        <v>165164</v>
      </c>
      <c r="Q655" s="909"/>
      <c r="R655" s="910">
        <v>1294112</v>
      </c>
      <c r="S655" s="912">
        <v>-10667</v>
      </c>
      <c r="T655" s="912">
        <v>1283445</v>
      </c>
    </row>
    <row r="656" spans="1:20" x14ac:dyDescent="0.25">
      <c r="A656" s="906">
        <v>97304</v>
      </c>
      <c r="B656" s="907" t="s">
        <v>3216</v>
      </c>
      <c r="C656" s="908">
        <v>1.6799999999999998E-5</v>
      </c>
      <c r="D656" s="908">
        <v>1.7600000000000001E-5</v>
      </c>
      <c r="E656" s="909">
        <v>25666</v>
      </c>
      <c r="F656" s="909"/>
      <c r="G656" s="910">
        <v>1479</v>
      </c>
      <c r="H656" s="911">
        <v>6232</v>
      </c>
      <c r="I656" s="910">
        <v>3665</v>
      </c>
      <c r="J656" s="909">
        <v>8739</v>
      </c>
      <c r="K656" s="911">
        <f t="shared" si="20"/>
        <v>20115</v>
      </c>
      <c r="L656" s="909"/>
      <c r="M656" s="910">
        <v>727</v>
      </c>
      <c r="N656" s="910">
        <v>0</v>
      </c>
      <c r="O656" s="909">
        <v>0</v>
      </c>
      <c r="P656" s="911">
        <f t="shared" si="21"/>
        <v>727</v>
      </c>
      <c r="Q656" s="909"/>
      <c r="R656" s="910">
        <v>8649</v>
      </c>
      <c r="S656" s="912">
        <v>3503</v>
      </c>
      <c r="T656" s="912">
        <f>12153-1</f>
        <v>12152</v>
      </c>
    </row>
    <row r="657" spans="1:20" x14ac:dyDescent="0.25">
      <c r="A657" s="906">
        <v>97311</v>
      </c>
      <c r="B657" s="907" t="s">
        <v>3217</v>
      </c>
      <c r="C657" s="908">
        <v>9.1799999999999998E-4</v>
      </c>
      <c r="D657" s="908">
        <v>9.5E-4</v>
      </c>
      <c r="E657" s="909">
        <v>1402450</v>
      </c>
      <c r="F657" s="909"/>
      <c r="G657" s="910">
        <v>80794</v>
      </c>
      <c r="H657" s="911">
        <v>340516</v>
      </c>
      <c r="I657" s="910">
        <v>200289</v>
      </c>
      <c r="J657" s="909">
        <v>0</v>
      </c>
      <c r="K657" s="911">
        <f t="shared" si="20"/>
        <v>621599</v>
      </c>
      <c r="L657" s="909"/>
      <c r="M657" s="910">
        <v>39699</v>
      </c>
      <c r="N657" s="910">
        <v>0</v>
      </c>
      <c r="O657" s="909">
        <v>96844</v>
      </c>
      <c r="P657" s="911">
        <f t="shared" si="21"/>
        <v>136543</v>
      </c>
      <c r="Q657" s="909"/>
      <c r="R657" s="910">
        <v>472627</v>
      </c>
      <c r="S657" s="912">
        <v>-42048</v>
      </c>
      <c r="T657" s="912">
        <v>430579</v>
      </c>
    </row>
    <row r="658" spans="1:20" x14ac:dyDescent="0.25">
      <c r="A658" s="906">
        <v>97401</v>
      </c>
      <c r="B658" s="907" t="s">
        <v>3218</v>
      </c>
      <c r="C658" s="908">
        <v>7.1303E-3</v>
      </c>
      <c r="D658" s="908">
        <v>6.9633000000000004E-3</v>
      </c>
      <c r="E658" s="909">
        <v>10893123</v>
      </c>
      <c r="F658" s="909"/>
      <c r="G658" s="910">
        <v>627545</v>
      </c>
      <c r="H658" s="911">
        <v>2644864</v>
      </c>
      <c r="I658" s="910">
        <v>1555689</v>
      </c>
      <c r="J658" s="909">
        <v>151378</v>
      </c>
      <c r="K658" s="911">
        <f t="shared" si="20"/>
        <v>4979476</v>
      </c>
      <c r="L658" s="909"/>
      <c r="M658" s="910">
        <v>308350</v>
      </c>
      <c r="N658" s="910">
        <v>0</v>
      </c>
      <c r="O658" s="909">
        <v>83194</v>
      </c>
      <c r="P658" s="911">
        <f t="shared" si="21"/>
        <v>391544</v>
      </c>
      <c r="Q658" s="909"/>
      <c r="R658" s="910">
        <v>3670992</v>
      </c>
      <c r="S658" s="912">
        <v>-21617</v>
      </c>
      <c r="T658" s="912">
        <v>3649375</v>
      </c>
    </row>
    <row r="659" spans="1:20" x14ac:dyDescent="0.25">
      <c r="A659" s="906">
        <v>97402</v>
      </c>
      <c r="B659" s="907" t="s">
        <v>3219</v>
      </c>
      <c r="C659" s="908">
        <v>4.8000000000000001E-5</v>
      </c>
      <c r="D659" s="908">
        <v>4.4700000000000002E-5</v>
      </c>
      <c r="E659" s="909">
        <v>73331</v>
      </c>
      <c r="F659" s="909"/>
      <c r="G659" s="910">
        <v>4225</v>
      </c>
      <c r="H659" s="911">
        <v>17804</v>
      </c>
      <c r="I659" s="910">
        <v>10473</v>
      </c>
      <c r="J659" s="909">
        <v>15704</v>
      </c>
      <c r="K659" s="911">
        <f t="shared" si="20"/>
        <v>48206</v>
      </c>
      <c r="L659" s="909"/>
      <c r="M659" s="910">
        <v>2076</v>
      </c>
      <c r="N659" s="910">
        <v>0</v>
      </c>
      <c r="O659" s="909">
        <v>0</v>
      </c>
      <c r="P659" s="911">
        <f t="shared" si="21"/>
        <v>2076</v>
      </c>
      <c r="Q659" s="909"/>
      <c r="R659" s="910">
        <v>24713</v>
      </c>
      <c r="S659" s="912">
        <v>5283</v>
      </c>
      <c r="T659" s="912">
        <f>29995+1</f>
        <v>29996</v>
      </c>
    </row>
    <row r="660" spans="1:20" x14ac:dyDescent="0.25">
      <c r="A660" s="906">
        <v>97404</v>
      </c>
      <c r="B660" s="907" t="s">
        <v>3220</v>
      </c>
      <c r="C660" s="908">
        <v>2.1010000000000001E-4</v>
      </c>
      <c r="D660" s="908">
        <v>2.1049999999999999E-4</v>
      </c>
      <c r="E660" s="909">
        <v>320975</v>
      </c>
      <c r="F660" s="909"/>
      <c r="G660" s="910">
        <v>18491</v>
      </c>
      <c r="H660" s="911">
        <v>77933</v>
      </c>
      <c r="I660" s="910">
        <v>45840</v>
      </c>
      <c r="J660" s="909">
        <v>983</v>
      </c>
      <c r="K660" s="911">
        <f t="shared" si="20"/>
        <v>143247</v>
      </c>
      <c r="L660" s="909"/>
      <c r="M660" s="910">
        <v>9086</v>
      </c>
      <c r="N660" s="910">
        <v>0</v>
      </c>
      <c r="O660" s="909">
        <v>21173</v>
      </c>
      <c r="P660" s="911">
        <f t="shared" si="21"/>
        <v>30259</v>
      </c>
      <c r="Q660" s="909"/>
      <c r="R660" s="910">
        <v>108169</v>
      </c>
      <c r="S660" s="912">
        <v>-6084</v>
      </c>
      <c r="T660" s="912">
        <f>102084+1</f>
        <v>102085</v>
      </c>
    </row>
    <row r="661" spans="1:20" x14ac:dyDescent="0.25">
      <c r="A661" s="906">
        <v>97405</v>
      </c>
      <c r="B661" s="907" t="s">
        <v>3221</v>
      </c>
      <c r="C661" s="908">
        <v>1.091E-4</v>
      </c>
      <c r="D661" s="908">
        <v>1.087E-4</v>
      </c>
      <c r="E661" s="909">
        <v>166675</v>
      </c>
      <c r="F661" s="909"/>
      <c r="G661" s="910">
        <v>9602</v>
      </c>
      <c r="H661" s="911">
        <v>40468</v>
      </c>
      <c r="I661" s="910">
        <v>23803</v>
      </c>
      <c r="J661" s="909">
        <v>26973</v>
      </c>
      <c r="K661" s="911">
        <f t="shared" si="20"/>
        <v>100846</v>
      </c>
      <c r="L661" s="909"/>
      <c r="M661" s="910">
        <v>4718</v>
      </c>
      <c r="N661" s="910">
        <v>0</v>
      </c>
      <c r="O661" s="909">
        <v>4890</v>
      </c>
      <c r="P661" s="911">
        <f t="shared" si="21"/>
        <v>9608</v>
      </c>
      <c r="Q661" s="909"/>
      <c r="R661" s="910">
        <v>56169</v>
      </c>
      <c r="S661" s="912">
        <v>4747</v>
      </c>
      <c r="T661" s="912">
        <v>60916</v>
      </c>
    </row>
    <row r="662" spans="1:20" x14ac:dyDescent="0.25">
      <c r="A662" s="906">
        <v>97408</v>
      </c>
      <c r="B662" s="907" t="s">
        <v>3222</v>
      </c>
      <c r="C662" s="908">
        <v>4.4499999999999997E-5</v>
      </c>
      <c r="D662" s="908">
        <v>4.9299999999999999E-5</v>
      </c>
      <c r="E662" s="909">
        <v>67984</v>
      </c>
      <c r="F662" s="909"/>
      <c r="G662" s="910">
        <v>3916</v>
      </c>
      <c r="H662" s="911">
        <v>16507</v>
      </c>
      <c r="I662" s="910">
        <v>9709</v>
      </c>
      <c r="J662" s="909">
        <v>7648</v>
      </c>
      <c r="K662" s="911">
        <f t="shared" si="20"/>
        <v>37780</v>
      </c>
      <c r="L662" s="909"/>
      <c r="M662" s="910">
        <v>1924</v>
      </c>
      <c r="N662" s="910">
        <v>0</v>
      </c>
      <c r="O662" s="909">
        <v>0</v>
      </c>
      <c r="P662" s="911">
        <f t="shared" si="21"/>
        <v>1924</v>
      </c>
      <c r="Q662" s="909"/>
      <c r="R662" s="910">
        <v>22911</v>
      </c>
      <c r="S662" s="912">
        <v>2984</v>
      </c>
      <c r="T662" s="912">
        <v>25895</v>
      </c>
    </row>
    <row r="663" spans="1:20" x14ac:dyDescent="0.25">
      <c r="A663" s="906">
        <v>97411</v>
      </c>
      <c r="B663" s="907" t="s">
        <v>3223</v>
      </c>
      <c r="C663" s="908">
        <v>6.6379000000000004E-3</v>
      </c>
      <c r="D663" s="908">
        <v>6.7269000000000001E-3</v>
      </c>
      <c r="E663" s="909">
        <v>10140873</v>
      </c>
      <c r="F663" s="909"/>
      <c r="G663" s="910">
        <v>584208</v>
      </c>
      <c r="H663" s="911">
        <v>2462217</v>
      </c>
      <c r="I663" s="910">
        <v>1448257</v>
      </c>
      <c r="J663" s="909">
        <v>0</v>
      </c>
      <c r="K663" s="911">
        <f t="shared" si="20"/>
        <v>4494682</v>
      </c>
      <c r="L663" s="909"/>
      <c r="M663" s="910">
        <v>287056</v>
      </c>
      <c r="N663" s="910">
        <v>0</v>
      </c>
      <c r="O663" s="909">
        <v>679489</v>
      </c>
      <c r="P663" s="911">
        <f t="shared" si="21"/>
        <v>966545</v>
      </c>
      <c r="Q663" s="909"/>
      <c r="R663" s="910">
        <v>3417483</v>
      </c>
      <c r="S663" s="912">
        <v>-317873</v>
      </c>
      <c r="T663" s="912">
        <v>3099610</v>
      </c>
    </row>
    <row r="664" spans="1:20" x14ac:dyDescent="0.25">
      <c r="A664" s="906">
        <v>97412</v>
      </c>
      <c r="B664" s="907" t="s">
        <v>3224</v>
      </c>
      <c r="C664" s="908">
        <v>4.5082000000000004E-3</v>
      </c>
      <c r="D664" s="908">
        <v>4.424E-3</v>
      </c>
      <c r="E664" s="909">
        <v>6887281</v>
      </c>
      <c r="F664" s="909"/>
      <c r="G664" s="910">
        <v>396771</v>
      </c>
      <c r="H664" s="911">
        <v>1672240</v>
      </c>
      <c r="I664" s="910">
        <v>983599</v>
      </c>
      <c r="J664" s="909">
        <v>229685</v>
      </c>
      <c r="K664" s="911">
        <f t="shared" si="20"/>
        <v>3282295</v>
      </c>
      <c r="L664" s="909"/>
      <c r="M664" s="910">
        <v>194957</v>
      </c>
      <c r="N664" s="910">
        <v>0</v>
      </c>
      <c r="O664" s="909">
        <v>0</v>
      </c>
      <c r="P664" s="911">
        <f t="shared" si="21"/>
        <v>194957</v>
      </c>
      <c r="Q664" s="909"/>
      <c r="R664" s="910">
        <v>2321020</v>
      </c>
      <c r="S664" s="912">
        <v>85525</v>
      </c>
      <c r="T664" s="912">
        <v>2406545</v>
      </c>
    </row>
    <row r="665" spans="1:20" x14ac:dyDescent="0.25">
      <c r="A665" s="906">
        <v>97413</v>
      </c>
      <c r="B665" s="907" t="s">
        <v>3225</v>
      </c>
      <c r="C665" s="908">
        <v>2.6570000000000001E-4</v>
      </c>
      <c r="D665" s="908">
        <v>2.7910000000000001E-4</v>
      </c>
      <c r="E665" s="909">
        <v>405916</v>
      </c>
      <c r="F665" s="909"/>
      <c r="G665" s="910">
        <v>23385</v>
      </c>
      <c r="H665" s="911">
        <v>98557</v>
      </c>
      <c r="I665" s="910">
        <v>57970</v>
      </c>
      <c r="J665" s="909">
        <v>7437</v>
      </c>
      <c r="K665" s="911">
        <f t="shared" si="20"/>
        <v>187349</v>
      </c>
      <c r="L665" s="909"/>
      <c r="M665" s="910">
        <v>11490</v>
      </c>
      <c r="N665" s="910">
        <v>0</v>
      </c>
      <c r="O665" s="909">
        <v>5304</v>
      </c>
      <c r="P665" s="911">
        <f t="shared" si="21"/>
        <v>16794</v>
      </c>
      <c r="Q665" s="909"/>
      <c r="R665" s="910">
        <v>136794</v>
      </c>
      <c r="S665" s="912">
        <v>-2913</v>
      </c>
      <c r="T665" s="912">
        <v>133881</v>
      </c>
    </row>
    <row r="666" spans="1:20" x14ac:dyDescent="0.25">
      <c r="A666" s="906">
        <v>97421</v>
      </c>
      <c r="B666" s="907" t="s">
        <v>3226</v>
      </c>
      <c r="C666" s="908">
        <v>4.2890000000000002E-4</v>
      </c>
      <c r="D666" s="908">
        <v>4.1120000000000002E-4</v>
      </c>
      <c r="E666" s="909">
        <v>655240</v>
      </c>
      <c r="F666" s="909"/>
      <c r="G666" s="910">
        <v>37748</v>
      </c>
      <c r="H666" s="911">
        <v>159093</v>
      </c>
      <c r="I666" s="910">
        <v>93577</v>
      </c>
      <c r="J666" s="909">
        <v>8155</v>
      </c>
      <c r="K666" s="911">
        <f t="shared" si="20"/>
        <v>298573</v>
      </c>
      <c r="L666" s="909"/>
      <c r="M666" s="910">
        <v>18548</v>
      </c>
      <c r="N666" s="910">
        <v>0</v>
      </c>
      <c r="O666" s="909">
        <v>24127</v>
      </c>
      <c r="P666" s="911">
        <f t="shared" si="21"/>
        <v>42675</v>
      </c>
      <c r="Q666" s="909"/>
      <c r="R666" s="910">
        <v>220817</v>
      </c>
      <c r="S666" s="912">
        <v>-14066</v>
      </c>
      <c r="T666" s="912">
        <v>206751</v>
      </c>
    </row>
    <row r="667" spans="1:20" x14ac:dyDescent="0.25">
      <c r="A667" s="906">
        <v>97423</v>
      </c>
      <c r="B667" s="907" t="s">
        <v>3227</v>
      </c>
      <c r="C667" s="908">
        <v>4.3600000000000003E-5</v>
      </c>
      <c r="D667" s="908">
        <v>4.5800000000000002E-5</v>
      </c>
      <c r="E667" s="909">
        <v>66609</v>
      </c>
      <c r="F667" s="909"/>
      <c r="G667" s="910">
        <v>3837</v>
      </c>
      <c r="H667" s="911">
        <v>16173</v>
      </c>
      <c r="I667" s="910">
        <v>9513</v>
      </c>
      <c r="J667" s="909">
        <v>35421</v>
      </c>
      <c r="K667" s="911">
        <f t="shared" si="20"/>
        <v>64944</v>
      </c>
      <c r="L667" s="909"/>
      <c r="M667" s="910">
        <v>1885</v>
      </c>
      <c r="N667" s="910">
        <v>0</v>
      </c>
      <c r="O667" s="909">
        <v>0</v>
      </c>
      <c r="P667" s="911">
        <f t="shared" si="21"/>
        <v>1885</v>
      </c>
      <c r="Q667" s="909"/>
      <c r="R667" s="910">
        <v>22447</v>
      </c>
      <c r="S667" s="912">
        <v>12225</v>
      </c>
      <c r="T667" s="912">
        <v>34672</v>
      </c>
    </row>
    <row r="668" spans="1:20" x14ac:dyDescent="0.25">
      <c r="A668" s="906">
        <v>97431</v>
      </c>
      <c r="B668" s="907" t="s">
        <v>3228</v>
      </c>
      <c r="C668" s="908">
        <v>8.5599999999999994E-5</v>
      </c>
      <c r="D668" s="908">
        <v>8.5199999999999997E-5</v>
      </c>
      <c r="E668" s="909">
        <v>130773</v>
      </c>
      <c r="F668" s="909"/>
      <c r="G668" s="910">
        <v>7534</v>
      </c>
      <c r="H668" s="911">
        <v>31751</v>
      </c>
      <c r="I668" s="910">
        <v>18676</v>
      </c>
      <c r="J668" s="909">
        <v>6440</v>
      </c>
      <c r="K668" s="911">
        <f t="shared" si="20"/>
        <v>64401</v>
      </c>
      <c r="L668" s="909"/>
      <c r="M668" s="910">
        <v>3702</v>
      </c>
      <c r="N668" s="910">
        <v>0</v>
      </c>
      <c r="O668" s="909">
        <v>0</v>
      </c>
      <c r="P668" s="911">
        <f t="shared" si="21"/>
        <v>3702</v>
      </c>
      <c r="Q668" s="909"/>
      <c r="R668" s="910">
        <v>44071</v>
      </c>
      <c r="S668" s="912">
        <v>2026</v>
      </c>
      <c r="T668" s="912">
        <v>46097</v>
      </c>
    </row>
    <row r="669" spans="1:20" x14ac:dyDescent="0.25">
      <c r="A669" s="906">
        <v>97441</v>
      </c>
      <c r="B669" s="907" t="s">
        <v>3229</v>
      </c>
      <c r="C669" s="908">
        <v>7.5799999999999999E-5</v>
      </c>
      <c r="D669" s="908">
        <v>7.0500000000000006E-5</v>
      </c>
      <c r="E669" s="909">
        <v>115801</v>
      </c>
      <c r="F669" s="909"/>
      <c r="G669" s="910">
        <v>6671</v>
      </c>
      <c r="H669" s="911">
        <v>28117</v>
      </c>
      <c r="I669" s="910">
        <v>16538</v>
      </c>
      <c r="J669" s="909">
        <v>202</v>
      </c>
      <c r="K669" s="911">
        <f t="shared" si="20"/>
        <v>51528</v>
      </c>
      <c r="L669" s="909"/>
      <c r="M669" s="910">
        <v>3278</v>
      </c>
      <c r="N669" s="910">
        <v>0</v>
      </c>
      <c r="O669" s="909">
        <v>7671</v>
      </c>
      <c r="P669" s="911">
        <f t="shared" si="21"/>
        <v>10949</v>
      </c>
      <c r="Q669" s="909"/>
      <c r="R669" s="910">
        <v>39025</v>
      </c>
      <c r="S669" s="912">
        <v>-2235</v>
      </c>
      <c r="T669" s="912">
        <v>36790</v>
      </c>
    </row>
    <row r="670" spans="1:20" x14ac:dyDescent="0.25">
      <c r="A670" s="906">
        <v>97451</v>
      </c>
      <c r="B670" s="907" t="s">
        <v>3230</v>
      </c>
      <c r="C670" s="908">
        <v>5.5820000000000002E-4</v>
      </c>
      <c r="D670" s="908">
        <v>6.1039999999999998E-4</v>
      </c>
      <c r="E670" s="909">
        <v>852775</v>
      </c>
      <c r="F670" s="909"/>
      <c r="G670" s="910">
        <v>49128</v>
      </c>
      <c r="H670" s="911">
        <v>207055</v>
      </c>
      <c r="I670" s="910">
        <v>121788</v>
      </c>
      <c r="J670" s="909">
        <v>19770</v>
      </c>
      <c r="K670" s="911">
        <f t="shared" si="20"/>
        <v>397741</v>
      </c>
      <c r="L670" s="909"/>
      <c r="M670" s="910">
        <v>24139</v>
      </c>
      <c r="N670" s="910">
        <v>0</v>
      </c>
      <c r="O670" s="909">
        <v>47630</v>
      </c>
      <c r="P670" s="911">
        <f t="shared" si="21"/>
        <v>71769</v>
      </c>
      <c r="Q670" s="909"/>
      <c r="R670" s="910">
        <v>287386</v>
      </c>
      <c r="S670" s="912">
        <v>-2772</v>
      </c>
      <c r="T670" s="912">
        <v>284614</v>
      </c>
    </row>
    <row r="671" spans="1:20" x14ac:dyDescent="0.25">
      <c r="A671" s="906">
        <v>97461</v>
      </c>
      <c r="B671" s="907" t="s">
        <v>3231</v>
      </c>
      <c r="C671" s="908">
        <v>5.5650000000000003E-4</v>
      </c>
      <c r="D671" s="908">
        <v>5.1869999999999998E-4</v>
      </c>
      <c r="E671" s="909">
        <v>850178</v>
      </c>
      <c r="F671" s="909"/>
      <c r="G671" s="910">
        <v>48978</v>
      </c>
      <c r="H671" s="911">
        <v>206424</v>
      </c>
      <c r="I671" s="910">
        <v>121417</v>
      </c>
      <c r="J671" s="909">
        <v>5855</v>
      </c>
      <c r="K671" s="911">
        <f t="shared" si="20"/>
        <v>382674</v>
      </c>
      <c r="L671" s="909"/>
      <c r="M671" s="910">
        <v>24066</v>
      </c>
      <c r="N671" s="910">
        <v>0</v>
      </c>
      <c r="O671" s="909">
        <v>31609</v>
      </c>
      <c r="P671" s="911">
        <f t="shared" si="21"/>
        <v>55675</v>
      </c>
      <c r="Q671" s="909"/>
      <c r="R671" s="910">
        <v>286511</v>
      </c>
      <c r="S671" s="912">
        <v>-11321</v>
      </c>
      <c r="T671" s="912">
        <v>275190</v>
      </c>
    </row>
    <row r="672" spans="1:20" x14ac:dyDescent="0.25">
      <c r="A672" s="906">
        <v>97463</v>
      </c>
      <c r="B672" s="907" t="s">
        <v>3232</v>
      </c>
      <c r="C672" s="908">
        <v>4.1100000000000003E-5</v>
      </c>
      <c r="D672" s="908">
        <v>5.0099999999999998E-5</v>
      </c>
      <c r="E672" s="909">
        <v>62789</v>
      </c>
      <c r="F672" s="909"/>
      <c r="G672" s="910">
        <v>3617</v>
      </c>
      <c r="H672" s="911">
        <v>15246</v>
      </c>
      <c r="I672" s="910">
        <v>8967</v>
      </c>
      <c r="J672" s="909">
        <v>1420</v>
      </c>
      <c r="K672" s="911">
        <f t="shared" si="20"/>
        <v>29250</v>
      </c>
      <c r="L672" s="909"/>
      <c r="M672" s="910">
        <v>1777</v>
      </c>
      <c r="N672" s="910">
        <v>0</v>
      </c>
      <c r="O672" s="909">
        <v>12499</v>
      </c>
      <c r="P672" s="911">
        <f t="shared" si="21"/>
        <v>14276</v>
      </c>
      <c r="Q672" s="909"/>
      <c r="R672" s="910">
        <v>21160</v>
      </c>
      <c r="S672" s="912">
        <v>-2447</v>
      </c>
      <c r="T672" s="912">
        <v>18713</v>
      </c>
    </row>
    <row r="673" spans="1:20" x14ac:dyDescent="0.25">
      <c r="A673" s="906">
        <v>97471</v>
      </c>
      <c r="B673" s="907" t="s">
        <v>3233</v>
      </c>
      <c r="C673" s="908">
        <v>1.22E-5</v>
      </c>
      <c r="D673" s="908">
        <v>1.27E-5</v>
      </c>
      <c r="E673" s="909">
        <v>18638</v>
      </c>
      <c r="F673" s="909"/>
      <c r="G673" s="910">
        <v>1074</v>
      </c>
      <c r="H673" s="911">
        <v>4526</v>
      </c>
      <c r="I673" s="910">
        <v>2662</v>
      </c>
      <c r="J673" s="909">
        <v>6770</v>
      </c>
      <c r="K673" s="911">
        <f t="shared" si="20"/>
        <v>15032</v>
      </c>
      <c r="L673" s="909"/>
      <c r="M673" s="910">
        <v>528</v>
      </c>
      <c r="N673" s="910">
        <v>0</v>
      </c>
      <c r="O673" s="909">
        <v>0</v>
      </c>
      <c r="P673" s="911">
        <f t="shared" si="21"/>
        <v>528</v>
      </c>
      <c r="Q673" s="909"/>
      <c r="R673" s="910">
        <v>6281</v>
      </c>
      <c r="S673" s="912">
        <v>2621</v>
      </c>
      <c r="T673" s="912">
        <v>8902</v>
      </c>
    </row>
    <row r="674" spans="1:20" x14ac:dyDescent="0.25">
      <c r="A674" s="906">
        <v>97481</v>
      </c>
      <c r="B674" s="907" t="s">
        <v>3234</v>
      </c>
      <c r="C674" s="908">
        <v>9.9000000000000001E-6</v>
      </c>
      <c r="D674" s="908">
        <v>1.63E-5</v>
      </c>
      <c r="E674" s="909">
        <v>15124</v>
      </c>
      <c r="F674" s="909"/>
      <c r="G674" s="910">
        <v>871</v>
      </c>
      <c r="H674" s="911">
        <v>3672</v>
      </c>
      <c r="I674" s="910">
        <v>2160</v>
      </c>
      <c r="J674" s="909">
        <v>3592</v>
      </c>
      <c r="K674" s="911">
        <f t="shared" si="20"/>
        <v>10295</v>
      </c>
      <c r="L674" s="909"/>
      <c r="M674" s="910">
        <v>428</v>
      </c>
      <c r="N674" s="910">
        <v>0</v>
      </c>
      <c r="O674" s="909">
        <v>3115</v>
      </c>
      <c r="P674" s="911">
        <f t="shared" si="21"/>
        <v>3543</v>
      </c>
      <c r="Q674" s="909"/>
      <c r="R674" s="910">
        <v>5097</v>
      </c>
      <c r="S674" s="912">
        <v>1594</v>
      </c>
      <c r="T674" s="912">
        <v>6691</v>
      </c>
    </row>
    <row r="675" spans="1:20" x14ac:dyDescent="0.25">
      <c r="A675" s="906">
        <v>97491</v>
      </c>
      <c r="B675" s="907" t="s">
        <v>3235</v>
      </c>
      <c r="C675" s="908">
        <v>0</v>
      </c>
      <c r="D675" s="908">
        <v>0</v>
      </c>
      <c r="E675" s="909">
        <v>0</v>
      </c>
      <c r="F675" s="909"/>
      <c r="G675" s="910">
        <v>0</v>
      </c>
      <c r="H675" s="911">
        <v>0</v>
      </c>
      <c r="I675" s="910">
        <v>0</v>
      </c>
      <c r="J675" s="909">
        <v>0</v>
      </c>
      <c r="K675" s="911">
        <f t="shared" si="20"/>
        <v>0</v>
      </c>
      <c r="L675" s="909"/>
      <c r="M675" s="910">
        <v>0</v>
      </c>
      <c r="N675" s="910">
        <v>0</v>
      </c>
      <c r="O675" s="909">
        <v>7849</v>
      </c>
      <c r="P675" s="911">
        <f t="shared" si="21"/>
        <v>7849</v>
      </c>
      <c r="Q675" s="909"/>
      <c r="R675" s="910">
        <v>0</v>
      </c>
      <c r="S675" s="912">
        <v>-4941</v>
      </c>
      <c r="T675" s="912">
        <v>-4941</v>
      </c>
    </row>
    <row r="676" spans="1:20" x14ac:dyDescent="0.25">
      <c r="A676" s="906">
        <v>97501</v>
      </c>
      <c r="B676" s="907" t="s">
        <v>3236</v>
      </c>
      <c r="C676" s="908">
        <v>1.1000999999999999E-3</v>
      </c>
      <c r="D676" s="908">
        <v>9.6730000000000004E-4</v>
      </c>
      <c r="E676" s="909">
        <v>1680648</v>
      </c>
      <c r="F676" s="909"/>
      <c r="G676" s="910">
        <v>96821</v>
      </c>
      <c r="H676" s="911">
        <v>408064</v>
      </c>
      <c r="I676" s="910">
        <v>240020</v>
      </c>
      <c r="J676" s="909">
        <v>125050</v>
      </c>
      <c r="K676" s="911">
        <f t="shared" si="20"/>
        <v>869955</v>
      </c>
      <c r="L676" s="909"/>
      <c r="M676" s="910">
        <v>47574</v>
      </c>
      <c r="N676" s="910">
        <v>0</v>
      </c>
      <c r="O676" s="909">
        <v>0</v>
      </c>
      <c r="P676" s="911">
        <f t="shared" si="21"/>
        <v>47574</v>
      </c>
      <c r="Q676" s="909"/>
      <c r="R676" s="910">
        <v>566380</v>
      </c>
      <c r="S676" s="912">
        <v>44629</v>
      </c>
      <c r="T676" s="912">
        <v>611009</v>
      </c>
    </row>
    <row r="677" spans="1:20" x14ac:dyDescent="0.25">
      <c r="A677" s="906">
        <v>97511</v>
      </c>
      <c r="B677" s="907" t="s">
        <v>3237</v>
      </c>
      <c r="C677" s="908">
        <v>2.3450000000000001E-4</v>
      </c>
      <c r="D677" s="908">
        <v>2.3220000000000001E-4</v>
      </c>
      <c r="E677" s="909">
        <v>358251</v>
      </c>
      <c r="F677" s="909"/>
      <c r="G677" s="910">
        <v>20639</v>
      </c>
      <c r="H677" s="911">
        <v>86984</v>
      </c>
      <c r="I677" s="910">
        <v>51163</v>
      </c>
      <c r="J677" s="909">
        <v>12835</v>
      </c>
      <c r="K677" s="911">
        <f t="shared" si="20"/>
        <v>171621</v>
      </c>
      <c r="L677" s="909"/>
      <c r="M677" s="910">
        <v>10141</v>
      </c>
      <c r="N677" s="910">
        <v>0</v>
      </c>
      <c r="O677" s="909">
        <v>844</v>
      </c>
      <c r="P677" s="911">
        <f t="shared" si="21"/>
        <v>10985</v>
      </c>
      <c r="Q677" s="909"/>
      <c r="R677" s="910">
        <v>120731</v>
      </c>
      <c r="S677" s="912">
        <v>3795</v>
      </c>
      <c r="T677" s="912">
        <v>124526</v>
      </c>
    </row>
    <row r="678" spans="1:20" x14ac:dyDescent="0.25">
      <c r="A678" s="906">
        <v>97521</v>
      </c>
      <c r="B678" s="907" t="s">
        <v>3238</v>
      </c>
      <c r="C678" s="908">
        <v>1.2870000000000001E-4</v>
      </c>
      <c r="D678" s="908">
        <v>1.293E-4</v>
      </c>
      <c r="E678" s="909">
        <v>196618</v>
      </c>
      <c r="F678" s="909"/>
      <c r="G678" s="910">
        <v>11327</v>
      </c>
      <c r="H678" s="911">
        <v>47739</v>
      </c>
      <c r="I678" s="910">
        <v>28080</v>
      </c>
      <c r="J678" s="909">
        <v>2190</v>
      </c>
      <c r="K678" s="911">
        <f t="shared" si="20"/>
        <v>89336</v>
      </c>
      <c r="L678" s="909"/>
      <c r="M678" s="910">
        <v>5566</v>
      </c>
      <c r="N678" s="910">
        <v>0</v>
      </c>
      <c r="O678" s="909">
        <v>14589</v>
      </c>
      <c r="P678" s="911">
        <f t="shared" si="21"/>
        <v>20155</v>
      </c>
      <c r="Q678" s="909"/>
      <c r="R678" s="910">
        <v>66260</v>
      </c>
      <c r="S678" s="912">
        <v>-3628</v>
      </c>
      <c r="T678" s="912">
        <v>62632</v>
      </c>
    </row>
    <row r="679" spans="1:20" x14ac:dyDescent="0.25">
      <c r="A679" s="906">
        <v>97531</v>
      </c>
      <c r="B679" s="907" t="s">
        <v>3239</v>
      </c>
      <c r="C679" s="908">
        <v>4.32E-5</v>
      </c>
      <c r="D679" s="908">
        <v>3.6300000000000001E-5</v>
      </c>
      <c r="E679" s="909">
        <v>65998</v>
      </c>
      <c r="F679" s="909"/>
      <c r="G679" s="910">
        <v>3802</v>
      </c>
      <c r="H679" s="911">
        <v>16025</v>
      </c>
      <c r="I679" s="910">
        <v>9425</v>
      </c>
      <c r="J679" s="909">
        <v>11185</v>
      </c>
      <c r="K679" s="911">
        <f t="shared" si="20"/>
        <v>40437</v>
      </c>
      <c r="L679" s="909"/>
      <c r="M679" s="910">
        <v>1868</v>
      </c>
      <c r="N679" s="910">
        <v>0</v>
      </c>
      <c r="O679" s="909">
        <v>9052</v>
      </c>
      <c r="P679" s="911">
        <f t="shared" si="21"/>
        <v>10920</v>
      </c>
      <c r="Q679" s="909"/>
      <c r="R679" s="910">
        <v>22241</v>
      </c>
      <c r="S679" s="912">
        <v>-2508</v>
      </c>
      <c r="T679" s="912">
        <f>19734-1</f>
        <v>19733</v>
      </c>
    </row>
    <row r="680" spans="1:20" x14ac:dyDescent="0.25">
      <c r="A680" s="906">
        <v>97601</v>
      </c>
      <c r="B680" s="907" t="s">
        <v>3240</v>
      </c>
      <c r="C680" s="908">
        <v>5.1672000000000003E-3</v>
      </c>
      <c r="D680" s="908">
        <v>4.7808E-3</v>
      </c>
      <c r="E680" s="909">
        <v>7894050</v>
      </c>
      <c r="F680" s="909"/>
      <c r="G680" s="910">
        <v>454770</v>
      </c>
      <c r="H680" s="911">
        <v>1916685</v>
      </c>
      <c r="I680" s="910">
        <v>1127380</v>
      </c>
      <c r="J680" s="909">
        <v>190925</v>
      </c>
      <c r="K680" s="911">
        <f t="shared" si="20"/>
        <v>3689760</v>
      </c>
      <c r="L680" s="909"/>
      <c r="M680" s="910">
        <v>223456</v>
      </c>
      <c r="N680" s="910">
        <v>0</v>
      </c>
      <c r="O680" s="909">
        <v>91443</v>
      </c>
      <c r="P680" s="911">
        <f t="shared" si="21"/>
        <v>314899</v>
      </c>
      <c r="Q680" s="909"/>
      <c r="R680" s="910">
        <v>2660302</v>
      </c>
      <c r="S680" s="912">
        <v>1665</v>
      </c>
      <c r="T680" s="912">
        <v>2661967</v>
      </c>
    </row>
    <row r="681" spans="1:20" x14ac:dyDescent="0.25">
      <c r="A681" s="906">
        <v>97607</v>
      </c>
      <c r="B681" s="907" t="s">
        <v>3241</v>
      </c>
      <c r="C681" s="908">
        <v>2.3200000000000001E-5</v>
      </c>
      <c r="D681" s="908">
        <v>1.9199999999999999E-5</v>
      </c>
      <c r="E681" s="909">
        <v>35443</v>
      </c>
      <c r="F681" s="909"/>
      <c r="G681" s="910">
        <v>2042</v>
      </c>
      <c r="H681" s="911">
        <v>8605</v>
      </c>
      <c r="I681" s="910">
        <v>5062</v>
      </c>
      <c r="J681" s="909">
        <v>13349</v>
      </c>
      <c r="K681" s="911">
        <f t="shared" si="20"/>
        <v>29058</v>
      </c>
      <c r="L681" s="909"/>
      <c r="M681" s="910">
        <v>1003</v>
      </c>
      <c r="N681" s="910">
        <v>0</v>
      </c>
      <c r="O681" s="909">
        <v>0</v>
      </c>
      <c r="P681" s="911">
        <f t="shared" si="21"/>
        <v>1003</v>
      </c>
      <c r="Q681" s="909"/>
      <c r="R681" s="910">
        <v>11944</v>
      </c>
      <c r="S681" s="912">
        <v>5427</v>
      </c>
      <c r="T681" s="912">
        <v>17371</v>
      </c>
    </row>
    <row r="682" spans="1:20" x14ac:dyDescent="0.25">
      <c r="A682" s="906">
        <v>97611</v>
      </c>
      <c r="B682" s="907" t="s">
        <v>3242</v>
      </c>
      <c r="C682" s="908">
        <v>2.4767999999999999E-3</v>
      </c>
      <c r="D682" s="908">
        <v>2.5750999999999999E-3</v>
      </c>
      <c r="E682" s="909">
        <v>3783864</v>
      </c>
      <c r="F682" s="909"/>
      <c r="G682" s="910">
        <v>217986</v>
      </c>
      <c r="H682" s="911">
        <v>918727</v>
      </c>
      <c r="I682" s="910">
        <v>540388</v>
      </c>
      <c r="J682" s="909">
        <v>0</v>
      </c>
      <c r="K682" s="911">
        <f t="shared" si="20"/>
        <v>1677101</v>
      </c>
      <c r="L682" s="909"/>
      <c r="M682" s="910">
        <v>107109</v>
      </c>
      <c r="N682" s="910">
        <v>0</v>
      </c>
      <c r="O682" s="909">
        <v>276084</v>
      </c>
      <c r="P682" s="911">
        <f t="shared" si="21"/>
        <v>383193</v>
      </c>
      <c r="Q682" s="909"/>
      <c r="R682" s="910">
        <v>1275166</v>
      </c>
      <c r="S682" s="912">
        <v>-116051</v>
      </c>
      <c r="T682" s="912">
        <v>1159115</v>
      </c>
    </row>
    <row r="683" spans="1:20" x14ac:dyDescent="0.25">
      <c r="A683" s="906">
        <v>97613</v>
      </c>
      <c r="B683" s="907" t="s">
        <v>3243</v>
      </c>
      <c r="C683" s="908">
        <v>1.1629999999999999E-4</v>
      </c>
      <c r="D683" s="908">
        <v>1.2459999999999999E-4</v>
      </c>
      <c r="E683" s="909">
        <v>177674</v>
      </c>
      <c r="F683" s="909"/>
      <c r="G683" s="910">
        <v>10236</v>
      </c>
      <c r="H683" s="911">
        <v>43140</v>
      </c>
      <c r="I683" s="910">
        <v>25374</v>
      </c>
      <c r="J683" s="909">
        <v>3969</v>
      </c>
      <c r="K683" s="911">
        <f t="shared" si="20"/>
        <v>82719</v>
      </c>
      <c r="L683" s="909"/>
      <c r="M683" s="910">
        <v>5029</v>
      </c>
      <c r="N683" s="910">
        <v>0</v>
      </c>
      <c r="O683" s="909">
        <v>3579</v>
      </c>
      <c r="P683" s="911">
        <f t="shared" si="21"/>
        <v>8608</v>
      </c>
      <c r="Q683" s="909"/>
      <c r="R683" s="910">
        <v>59876</v>
      </c>
      <c r="S683" s="912">
        <v>-543</v>
      </c>
      <c r="T683" s="912">
        <f>59334-1</f>
        <v>59333</v>
      </c>
    </row>
    <row r="684" spans="1:20" x14ac:dyDescent="0.25">
      <c r="A684" s="906">
        <v>97621</v>
      </c>
      <c r="B684" s="907" t="s">
        <v>3244</v>
      </c>
      <c r="C684" s="908">
        <v>4.5179999999999998E-4</v>
      </c>
      <c r="D684" s="908">
        <v>4.7429999999999998E-4</v>
      </c>
      <c r="E684" s="909">
        <v>690225</v>
      </c>
      <c r="F684" s="909"/>
      <c r="G684" s="910">
        <v>39763</v>
      </c>
      <c r="H684" s="911">
        <v>167588</v>
      </c>
      <c r="I684" s="910">
        <v>98574</v>
      </c>
      <c r="J684" s="909">
        <v>15836</v>
      </c>
      <c r="K684" s="911">
        <f t="shared" si="20"/>
        <v>321761</v>
      </c>
      <c r="L684" s="909"/>
      <c r="M684" s="910">
        <v>19538</v>
      </c>
      <c r="N684" s="910">
        <v>0</v>
      </c>
      <c r="O684" s="909">
        <v>70017</v>
      </c>
      <c r="P684" s="911">
        <f t="shared" si="21"/>
        <v>89555</v>
      </c>
      <c r="Q684" s="909"/>
      <c r="R684" s="910">
        <v>232607</v>
      </c>
      <c r="S684" s="912">
        <v>-11992</v>
      </c>
      <c r="T684" s="912">
        <v>220615</v>
      </c>
    </row>
    <row r="685" spans="1:20" x14ac:dyDescent="0.25">
      <c r="A685" s="906">
        <v>97623</v>
      </c>
      <c r="B685" s="907" t="s">
        <v>3245</v>
      </c>
      <c r="C685" s="908">
        <v>2.9499999999999999E-5</v>
      </c>
      <c r="D685" s="908">
        <v>2.9200000000000002E-5</v>
      </c>
      <c r="E685" s="909">
        <v>45068</v>
      </c>
      <c r="F685" s="909"/>
      <c r="G685" s="910">
        <v>2596</v>
      </c>
      <c r="H685" s="911">
        <v>10942</v>
      </c>
      <c r="I685" s="910">
        <v>6436</v>
      </c>
      <c r="J685" s="909">
        <v>6505</v>
      </c>
      <c r="K685" s="911">
        <f t="shared" si="20"/>
        <v>26479</v>
      </c>
      <c r="L685" s="909"/>
      <c r="M685" s="910">
        <v>1276</v>
      </c>
      <c r="N685" s="910">
        <v>0</v>
      </c>
      <c r="O685" s="909">
        <v>1742</v>
      </c>
      <c r="P685" s="911">
        <f t="shared" si="21"/>
        <v>3018</v>
      </c>
      <c r="Q685" s="909"/>
      <c r="R685" s="910">
        <v>15188</v>
      </c>
      <c r="S685" s="912">
        <v>3252</v>
      </c>
      <c r="T685" s="912">
        <v>18440</v>
      </c>
    </row>
    <row r="686" spans="1:20" x14ac:dyDescent="0.25">
      <c r="A686" s="906">
        <v>97627</v>
      </c>
      <c r="B686" s="907" t="s">
        <v>3246</v>
      </c>
      <c r="C686" s="908">
        <v>9.7000000000000003E-6</v>
      </c>
      <c r="D686" s="908">
        <v>1.0200000000000001E-5</v>
      </c>
      <c r="E686" s="909">
        <v>14819</v>
      </c>
      <c r="F686" s="909"/>
      <c r="G686" s="910">
        <v>854</v>
      </c>
      <c r="H686" s="911">
        <v>3599</v>
      </c>
      <c r="I686" s="910">
        <v>2116</v>
      </c>
      <c r="J686" s="909">
        <v>714</v>
      </c>
      <c r="K686" s="911">
        <f t="shared" si="20"/>
        <v>7283</v>
      </c>
      <c r="L686" s="909"/>
      <c r="M686" s="910">
        <v>419</v>
      </c>
      <c r="N686" s="910">
        <v>0</v>
      </c>
      <c r="O686" s="909">
        <v>1008</v>
      </c>
      <c r="P686" s="911">
        <f t="shared" si="21"/>
        <v>1427</v>
      </c>
      <c r="Q686" s="909"/>
      <c r="R686" s="910">
        <v>4994</v>
      </c>
      <c r="S686" s="912">
        <v>-190</v>
      </c>
      <c r="T686" s="912">
        <v>4804</v>
      </c>
    </row>
    <row r="687" spans="1:20" x14ac:dyDescent="0.25">
      <c r="A687" s="906">
        <v>97631</v>
      </c>
      <c r="B687" s="907" t="s">
        <v>3247</v>
      </c>
      <c r="C687" s="908">
        <v>2.051E-4</v>
      </c>
      <c r="D687" s="908">
        <v>2.009E-4</v>
      </c>
      <c r="E687" s="909">
        <v>313336</v>
      </c>
      <c r="F687" s="909"/>
      <c r="G687" s="910">
        <v>18051</v>
      </c>
      <c r="H687" s="911">
        <v>76078</v>
      </c>
      <c r="I687" s="910">
        <v>44749</v>
      </c>
      <c r="J687" s="909">
        <v>9311</v>
      </c>
      <c r="K687" s="911">
        <f t="shared" si="20"/>
        <v>148189</v>
      </c>
      <c r="L687" s="909"/>
      <c r="M687" s="910">
        <v>8870</v>
      </c>
      <c r="N687" s="910">
        <v>0</v>
      </c>
      <c r="O687" s="909">
        <v>3711</v>
      </c>
      <c r="P687" s="911">
        <f t="shared" si="21"/>
        <v>12581</v>
      </c>
      <c r="Q687" s="909"/>
      <c r="R687" s="910">
        <v>105595</v>
      </c>
      <c r="S687" s="912">
        <v>4564</v>
      </c>
      <c r="T687" s="912">
        <f>110158+1</f>
        <v>110159</v>
      </c>
    </row>
    <row r="688" spans="1:20" x14ac:dyDescent="0.25">
      <c r="A688" s="906">
        <v>97637</v>
      </c>
      <c r="B688" s="907" t="s">
        <v>3248</v>
      </c>
      <c r="C688" s="908">
        <v>4.3000000000000003E-6</v>
      </c>
      <c r="D688" s="908">
        <v>4.7999999999999998E-6</v>
      </c>
      <c r="E688" s="909">
        <v>6569</v>
      </c>
      <c r="F688" s="909"/>
      <c r="G688" s="910">
        <v>378</v>
      </c>
      <c r="H688" s="911">
        <v>1595</v>
      </c>
      <c r="I688" s="910">
        <v>938</v>
      </c>
      <c r="J688" s="909">
        <v>944</v>
      </c>
      <c r="K688" s="911">
        <f t="shared" si="20"/>
        <v>3855</v>
      </c>
      <c r="L688" s="909"/>
      <c r="M688" s="910">
        <v>186</v>
      </c>
      <c r="N688" s="910">
        <v>0</v>
      </c>
      <c r="O688" s="909">
        <v>30</v>
      </c>
      <c r="P688" s="911">
        <f t="shared" si="21"/>
        <v>216</v>
      </c>
      <c r="Q688" s="909"/>
      <c r="R688" s="910">
        <v>2214</v>
      </c>
      <c r="S688" s="912">
        <v>380</v>
      </c>
      <c r="T688" s="912">
        <v>2594</v>
      </c>
    </row>
    <row r="689" spans="1:20" x14ac:dyDescent="0.25">
      <c r="A689" s="906">
        <v>97641</v>
      </c>
      <c r="B689" s="907" t="s">
        <v>3249</v>
      </c>
      <c r="C689" s="908">
        <v>6.8899999999999994E-5</v>
      </c>
      <c r="D689" s="908">
        <v>6.9999999999999994E-5</v>
      </c>
      <c r="E689" s="909">
        <v>105260</v>
      </c>
      <c r="F689" s="909"/>
      <c r="G689" s="910">
        <v>6064</v>
      </c>
      <c r="H689" s="911">
        <v>25557</v>
      </c>
      <c r="I689" s="910">
        <v>15033</v>
      </c>
      <c r="J689" s="909">
        <v>13063</v>
      </c>
      <c r="K689" s="911">
        <f t="shared" si="20"/>
        <v>59717</v>
      </c>
      <c r="L689" s="909"/>
      <c r="M689" s="910">
        <v>2980</v>
      </c>
      <c r="N689" s="910">
        <v>0</v>
      </c>
      <c r="O689" s="909">
        <v>2889</v>
      </c>
      <c r="P689" s="911">
        <f t="shared" si="21"/>
        <v>5869</v>
      </c>
      <c r="Q689" s="909"/>
      <c r="R689" s="910">
        <v>35473</v>
      </c>
      <c r="S689" s="912">
        <v>2041</v>
      </c>
      <c r="T689" s="912">
        <v>37514</v>
      </c>
    </row>
    <row r="690" spans="1:20" x14ac:dyDescent="0.25">
      <c r="A690" s="906">
        <v>97651</v>
      </c>
      <c r="B690" s="907" t="s">
        <v>3250</v>
      </c>
      <c r="C690" s="908">
        <v>5.1979999999999995E-4</v>
      </c>
      <c r="D690" s="908">
        <v>5.1579999999999996E-4</v>
      </c>
      <c r="E690" s="909">
        <v>794110</v>
      </c>
      <c r="F690" s="909"/>
      <c r="G690" s="910">
        <v>45748</v>
      </c>
      <c r="H690" s="911">
        <v>192810</v>
      </c>
      <c r="I690" s="910">
        <v>113410</v>
      </c>
      <c r="J690" s="909">
        <v>2621</v>
      </c>
      <c r="K690" s="911">
        <f t="shared" si="20"/>
        <v>354589</v>
      </c>
      <c r="L690" s="909"/>
      <c r="M690" s="910">
        <v>22479</v>
      </c>
      <c r="N690" s="910">
        <v>0</v>
      </c>
      <c r="O690" s="909">
        <v>43572</v>
      </c>
      <c r="P690" s="911">
        <f t="shared" si="21"/>
        <v>66051</v>
      </c>
      <c r="Q690" s="909"/>
      <c r="R690" s="910">
        <v>267616</v>
      </c>
      <c r="S690" s="912">
        <v>-19628</v>
      </c>
      <c r="T690" s="912">
        <v>247988</v>
      </c>
    </row>
    <row r="691" spans="1:20" x14ac:dyDescent="0.25">
      <c r="A691" s="906">
        <v>97661</v>
      </c>
      <c r="B691" s="907" t="s">
        <v>3251</v>
      </c>
      <c r="C691" s="908">
        <v>5.1600000000000001E-5</v>
      </c>
      <c r="D691" s="908">
        <v>4.3900000000000003E-5</v>
      </c>
      <c r="E691" s="909">
        <v>78831</v>
      </c>
      <c r="F691" s="909"/>
      <c r="G691" s="910">
        <v>4541</v>
      </c>
      <c r="H691" s="911">
        <v>19140</v>
      </c>
      <c r="I691" s="910">
        <v>11258</v>
      </c>
      <c r="J691" s="909">
        <v>13582</v>
      </c>
      <c r="K691" s="911">
        <f t="shared" si="20"/>
        <v>48521</v>
      </c>
      <c r="L691" s="909"/>
      <c r="M691" s="910">
        <v>2231</v>
      </c>
      <c r="N691" s="910">
        <v>0</v>
      </c>
      <c r="O691" s="909">
        <v>1913</v>
      </c>
      <c r="P691" s="911">
        <f t="shared" si="21"/>
        <v>4144</v>
      </c>
      <c r="Q691" s="909"/>
      <c r="R691" s="910">
        <v>26566</v>
      </c>
      <c r="S691" s="912">
        <v>4861</v>
      </c>
      <c r="T691" s="912">
        <v>31427</v>
      </c>
    </row>
    <row r="692" spans="1:20" x14ac:dyDescent="0.25">
      <c r="A692" s="906">
        <v>97701</v>
      </c>
      <c r="B692" s="907" t="s">
        <v>3252</v>
      </c>
      <c r="C692" s="908">
        <v>2.4975000000000002E-3</v>
      </c>
      <c r="D692" s="908">
        <v>2.5081000000000001E-3</v>
      </c>
      <c r="E692" s="909">
        <v>3815488</v>
      </c>
      <c r="F692" s="909"/>
      <c r="G692" s="910">
        <v>219807</v>
      </c>
      <c r="H692" s="911">
        <v>926405</v>
      </c>
      <c r="I692" s="910">
        <v>544905</v>
      </c>
      <c r="J692" s="909">
        <v>22724</v>
      </c>
      <c r="K692" s="911">
        <f t="shared" si="20"/>
        <v>1713841</v>
      </c>
      <c r="L692" s="909"/>
      <c r="M692" s="910">
        <v>108004</v>
      </c>
      <c r="N692" s="910">
        <v>0</v>
      </c>
      <c r="O692" s="909">
        <v>8673</v>
      </c>
      <c r="P692" s="911">
        <f t="shared" si="21"/>
        <v>116677</v>
      </c>
      <c r="Q692" s="909"/>
      <c r="R692" s="910">
        <v>1285823</v>
      </c>
      <c r="S692" s="912">
        <v>670</v>
      </c>
      <c r="T692" s="912">
        <v>1286493</v>
      </c>
    </row>
    <row r="693" spans="1:20" x14ac:dyDescent="0.25">
      <c r="A693" s="906">
        <v>97705</v>
      </c>
      <c r="B693" s="907" t="s">
        <v>3253</v>
      </c>
      <c r="C693" s="908">
        <v>4.7700000000000001E-5</v>
      </c>
      <c r="D693" s="908">
        <v>6.41E-5</v>
      </c>
      <c r="E693" s="909">
        <v>72872</v>
      </c>
      <c r="F693" s="909"/>
      <c r="G693" s="910">
        <v>4198</v>
      </c>
      <c r="H693" s="911">
        <v>17694</v>
      </c>
      <c r="I693" s="910">
        <v>10407</v>
      </c>
      <c r="J693" s="909">
        <v>5558</v>
      </c>
      <c r="K693" s="911">
        <f t="shared" si="20"/>
        <v>37857</v>
      </c>
      <c r="L693" s="909"/>
      <c r="M693" s="910">
        <v>2063</v>
      </c>
      <c r="N693" s="910">
        <v>0</v>
      </c>
      <c r="O693" s="909">
        <v>13023</v>
      </c>
      <c r="P693" s="911">
        <f t="shared" si="21"/>
        <v>15086</v>
      </c>
      <c r="Q693" s="909"/>
      <c r="R693" s="910">
        <v>24558</v>
      </c>
      <c r="S693" s="912">
        <v>105</v>
      </c>
      <c r="T693" s="912">
        <v>24663</v>
      </c>
    </row>
    <row r="694" spans="1:20" x14ac:dyDescent="0.25">
      <c r="A694" s="906">
        <v>97711</v>
      </c>
      <c r="B694" s="907" t="s">
        <v>3254</v>
      </c>
      <c r="C694" s="908">
        <v>9.0879999999999997E-4</v>
      </c>
      <c r="D694" s="908">
        <v>9.3789999999999998E-4</v>
      </c>
      <c r="E694" s="909">
        <v>1388395</v>
      </c>
      <c r="F694" s="909"/>
      <c r="G694" s="910">
        <v>79984</v>
      </c>
      <c r="H694" s="911">
        <v>337104</v>
      </c>
      <c r="I694" s="910">
        <v>198282</v>
      </c>
      <c r="J694" s="909">
        <v>9966</v>
      </c>
      <c r="K694" s="911">
        <f t="shared" si="20"/>
        <v>625336</v>
      </c>
      <c r="L694" s="909"/>
      <c r="M694" s="910">
        <v>39301</v>
      </c>
      <c r="N694" s="910">
        <v>0</v>
      </c>
      <c r="O694" s="909">
        <v>31902</v>
      </c>
      <c r="P694" s="911">
        <f t="shared" si="21"/>
        <v>71203</v>
      </c>
      <c r="Q694" s="909"/>
      <c r="R694" s="910">
        <v>467890</v>
      </c>
      <c r="S694" s="912">
        <v>-1258</v>
      </c>
      <c r="T694" s="912">
        <v>466632</v>
      </c>
    </row>
    <row r="695" spans="1:20" x14ac:dyDescent="0.25">
      <c r="A695" s="906">
        <v>97713</v>
      </c>
      <c r="B695" s="907" t="s">
        <v>3255</v>
      </c>
      <c r="C695" s="908">
        <v>4.1199999999999999E-5</v>
      </c>
      <c r="D695" s="908">
        <v>5.3699999999999997E-5</v>
      </c>
      <c r="E695" s="909">
        <v>62942</v>
      </c>
      <c r="F695" s="909"/>
      <c r="G695" s="910">
        <v>3626</v>
      </c>
      <c r="H695" s="911">
        <v>15283</v>
      </c>
      <c r="I695" s="910">
        <v>8989</v>
      </c>
      <c r="J695" s="909">
        <v>927</v>
      </c>
      <c r="K695" s="911">
        <f t="shared" si="20"/>
        <v>28825</v>
      </c>
      <c r="L695" s="909"/>
      <c r="M695" s="910">
        <v>1782</v>
      </c>
      <c r="N695" s="910">
        <v>0</v>
      </c>
      <c r="O695" s="909">
        <v>16932</v>
      </c>
      <c r="P695" s="911">
        <f t="shared" si="21"/>
        <v>18714</v>
      </c>
      <c r="Q695" s="909"/>
      <c r="R695" s="910">
        <v>21212</v>
      </c>
      <c r="S695" s="912">
        <v>-4802</v>
      </c>
      <c r="T695" s="912">
        <v>16410</v>
      </c>
    </row>
    <row r="696" spans="1:20" x14ac:dyDescent="0.25">
      <c r="A696" s="906">
        <v>97717</v>
      </c>
      <c r="B696" s="907" t="s">
        <v>3256</v>
      </c>
      <c r="C696" s="908">
        <v>4.6999999999999999E-6</v>
      </c>
      <c r="D696" s="908">
        <v>7.5000000000000002E-6</v>
      </c>
      <c r="E696" s="909">
        <v>7180</v>
      </c>
      <c r="F696" s="909"/>
      <c r="G696" s="910">
        <v>414</v>
      </c>
      <c r="H696" s="911">
        <v>1743</v>
      </c>
      <c r="I696" s="910">
        <v>1025</v>
      </c>
      <c r="J696" s="909">
        <v>1078</v>
      </c>
      <c r="K696" s="911">
        <f t="shared" si="20"/>
        <v>4260</v>
      </c>
      <c r="L696" s="909"/>
      <c r="M696" s="910">
        <v>203</v>
      </c>
      <c r="N696" s="910">
        <v>0</v>
      </c>
      <c r="O696" s="909">
        <v>3394</v>
      </c>
      <c r="P696" s="911">
        <f t="shared" si="21"/>
        <v>3597</v>
      </c>
      <c r="Q696" s="909"/>
      <c r="R696" s="910">
        <v>2420</v>
      </c>
      <c r="S696" s="912">
        <v>-1550</v>
      </c>
      <c r="T696" s="912">
        <f>869+1</f>
        <v>870</v>
      </c>
    </row>
    <row r="697" spans="1:20" x14ac:dyDescent="0.25">
      <c r="A697" s="906">
        <v>97721</v>
      </c>
      <c r="B697" s="907" t="s">
        <v>3257</v>
      </c>
      <c r="C697" s="908">
        <v>5.6599999999999999E-4</v>
      </c>
      <c r="D697" s="908">
        <v>5.7249999999999998E-4</v>
      </c>
      <c r="E697" s="909">
        <v>864691</v>
      </c>
      <c r="F697" s="909"/>
      <c r="G697" s="910">
        <v>49814</v>
      </c>
      <c r="H697" s="911">
        <v>209948</v>
      </c>
      <c r="I697" s="910">
        <v>123490</v>
      </c>
      <c r="J697" s="909">
        <v>13608</v>
      </c>
      <c r="K697" s="911">
        <f t="shared" si="20"/>
        <v>396860</v>
      </c>
      <c r="L697" s="909"/>
      <c r="M697" s="910">
        <v>24477</v>
      </c>
      <c r="N697" s="910">
        <v>0</v>
      </c>
      <c r="O697" s="909">
        <v>31303</v>
      </c>
      <c r="P697" s="911">
        <f t="shared" si="21"/>
        <v>55780</v>
      </c>
      <c r="Q697" s="909"/>
      <c r="R697" s="910">
        <v>291402</v>
      </c>
      <c r="S697" s="912">
        <v>-9026</v>
      </c>
      <c r="T697" s="912">
        <v>282376</v>
      </c>
    </row>
    <row r="698" spans="1:20" x14ac:dyDescent="0.25">
      <c r="A698" s="906">
        <v>97727</v>
      </c>
      <c r="B698" s="907" t="s">
        <v>3258</v>
      </c>
      <c r="C698" s="908">
        <v>2.27E-5</v>
      </c>
      <c r="D698" s="908">
        <v>2.37E-5</v>
      </c>
      <c r="E698" s="909">
        <v>34679</v>
      </c>
      <c r="F698" s="909"/>
      <c r="G698" s="910">
        <v>1998</v>
      </c>
      <c r="H698" s="911">
        <v>8420</v>
      </c>
      <c r="I698" s="910">
        <v>4953</v>
      </c>
      <c r="J698" s="909">
        <v>0</v>
      </c>
      <c r="K698" s="911">
        <f t="shared" si="20"/>
        <v>15371</v>
      </c>
      <c r="L698" s="909"/>
      <c r="M698" s="910">
        <v>982</v>
      </c>
      <c r="N698" s="910">
        <v>0</v>
      </c>
      <c r="O698" s="909">
        <v>2260</v>
      </c>
      <c r="P698" s="911">
        <f t="shared" si="21"/>
        <v>3242</v>
      </c>
      <c r="Q698" s="909"/>
      <c r="R698" s="910">
        <v>11687</v>
      </c>
      <c r="S698" s="912">
        <v>-1260</v>
      </c>
      <c r="T698" s="912">
        <v>10427</v>
      </c>
    </row>
    <row r="699" spans="1:20" x14ac:dyDescent="0.25">
      <c r="A699" s="906">
        <v>97731</v>
      </c>
      <c r="B699" s="907" t="s">
        <v>3259</v>
      </c>
      <c r="C699" s="908">
        <v>3.5500000000000002E-5</v>
      </c>
      <c r="D699" s="908">
        <v>3.7100000000000001E-5</v>
      </c>
      <c r="E699" s="909">
        <v>54234</v>
      </c>
      <c r="F699" s="909"/>
      <c r="G699" s="910">
        <v>3124</v>
      </c>
      <c r="H699" s="911">
        <v>13168</v>
      </c>
      <c r="I699" s="910">
        <v>7745</v>
      </c>
      <c r="J699" s="909">
        <v>6361</v>
      </c>
      <c r="K699" s="911">
        <f t="shared" si="20"/>
        <v>30398</v>
      </c>
      <c r="L699" s="909"/>
      <c r="M699" s="910">
        <v>1535</v>
      </c>
      <c r="N699" s="910">
        <v>0</v>
      </c>
      <c r="O699" s="909">
        <v>0</v>
      </c>
      <c r="P699" s="911">
        <f t="shared" si="21"/>
        <v>1535</v>
      </c>
      <c r="Q699" s="909"/>
      <c r="R699" s="910">
        <v>18277</v>
      </c>
      <c r="S699" s="912">
        <v>2961</v>
      </c>
      <c r="T699" s="912">
        <v>21238</v>
      </c>
    </row>
    <row r="700" spans="1:20" x14ac:dyDescent="0.25">
      <c r="A700" s="906">
        <v>97801</v>
      </c>
      <c r="B700" s="907" t="s">
        <v>3590</v>
      </c>
      <c r="C700" s="908">
        <v>6.9303000000000003E-3</v>
      </c>
      <c r="D700" s="908">
        <v>7.3343000000000002E-3</v>
      </c>
      <c r="E700" s="909">
        <v>10587579</v>
      </c>
      <c r="F700" s="909"/>
      <c r="G700" s="910">
        <v>609943</v>
      </c>
      <c r="H700" s="911">
        <v>2570677</v>
      </c>
      <c r="I700" s="910">
        <v>1512053</v>
      </c>
      <c r="J700" s="909">
        <v>27764</v>
      </c>
      <c r="K700" s="911">
        <f t="shared" si="20"/>
        <v>4720437</v>
      </c>
      <c r="L700" s="909"/>
      <c r="M700" s="910">
        <v>299701</v>
      </c>
      <c r="N700" s="910">
        <v>0</v>
      </c>
      <c r="O700" s="909">
        <v>406805</v>
      </c>
      <c r="P700" s="911">
        <f t="shared" si="21"/>
        <v>706506</v>
      </c>
      <c r="Q700" s="909"/>
      <c r="R700" s="910">
        <v>3568023</v>
      </c>
      <c r="S700" s="912">
        <v>-97576</v>
      </c>
      <c r="T700" s="912">
        <v>3470447</v>
      </c>
    </row>
    <row r="701" spans="1:20" x14ac:dyDescent="0.25">
      <c r="A701" s="906">
        <v>97802</v>
      </c>
      <c r="B701" s="907" t="s">
        <v>3261</v>
      </c>
      <c r="C701" s="908">
        <v>1.5300000000000001E-4</v>
      </c>
      <c r="D701" s="908">
        <v>1.8120000000000001E-4</v>
      </c>
      <c r="E701" s="909">
        <v>233742</v>
      </c>
      <c r="F701" s="909"/>
      <c r="G701" s="910">
        <v>13466</v>
      </c>
      <c r="H701" s="911">
        <v>56753</v>
      </c>
      <c r="I701" s="910">
        <v>33382</v>
      </c>
      <c r="J701" s="909">
        <v>9696</v>
      </c>
      <c r="K701" s="911">
        <f t="shared" si="20"/>
        <v>113297</v>
      </c>
      <c r="L701" s="909"/>
      <c r="M701" s="910">
        <v>6616</v>
      </c>
      <c r="N701" s="910">
        <v>0</v>
      </c>
      <c r="O701" s="909">
        <v>28235</v>
      </c>
      <c r="P701" s="911">
        <f t="shared" si="21"/>
        <v>34851</v>
      </c>
      <c r="Q701" s="909"/>
      <c r="R701" s="910">
        <v>78771</v>
      </c>
      <c r="S701" s="912">
        <v>-1176</v>
      </c>
      <c r="T701" s="912">
        <v>77595</v>
      </c>
    </row>
    <row r="702" spans="1:20" x14ac:dyDescent="0.25">
      <c r="A702" s="906">
        <v>97803</v>
      </c>
      <c r="B702" s="907" t="s">
        <v>3262</v>
      </c>
      <c r="C702" s="908">
        <v>7.5300000000000001E-5</v>
      </c>
      <c r="D702" s="908">
        <v>7.9099999999999998E-5</v>
      </c>
      <c r="E702" s="909">
        <v>115038</v>
      </c>
      <c r="F702" s="909"/>
      <c r="G702" s="910">
        <v>6627</v>
      </c>
      <c r="H702" s="911">
        <v>27931</v>
      </c>
      <c r="I702" s="910">
        <v>16429</v>
      </c>
      <c r="J702" s="909">
        <v>5581</v>
      </c>
      <c r="K702" s="911">
        <f t="shared" si="20"/>
        <v>56568</v>
      </c>
      <c r="L702" s="909"/>
      <c r="M702" s="910">
        <v>3256</v>
      </c>
      <c r="N702" s="910">
        <v>0</v>
      </c>
      <c r="O702" s="909">
        <v>1522</v>
      </c>
      <c r="P702" s="911">
        <f t="shared" si="21"/>
        <v>4778</v>
      </c>
      <c r="Q702" s="909"/>
      <c r="R702" s="910">
        <v>38768</v>
      </c>
      <c r="S702" s="912">
        <v>3424</v>
      </c>
      <c r="T702" s="912">
        <v>42192</v>
      </c>
    </row>
    <row r="703" spans="1:20" x14ac:dyDescent="0.25">
      <c r="A703" s="906">
        <v>97805</v>
      </c>
      <c r="B703" s="907" t="s">
        <v>3263</v>
      </c>
      <c r="C703" s="908">
        <v>7.9400000000000006E-5</v>
      </c>
      <c r="D703" s="908">
        <v>8.2600000000000002E-5</v>
      </c>
      <c r="E703" s="909">
        <v>121301</v>
      </c>
      <c r="F703" s="909"/>
      <c r="G703" s="910">
        <v>6988</v>
      </c>
      <c r="H703" s="911">
        <v>29452</v>
      </c>
      <c r="I703" s="910">
        <v>17323</v>
      </c>
      <c r="J703" s="909">
        <v>9711</v>
      </c>
      <c r="K703" s="911">
        <f t="shared" si="20"/>
        <v>63474</v>
      </c>
      <c r="L703" s="909"/>
      <c r="M703" s="910">
        <v>3434</v>
      </c>
      <c r="N703" s="910">
        <v>0</v>
      </c>
      <c r="O703" s="909">
        <v>226</v>
      </c>
      <c r="P703" s="911">
        <f t="shared" si="21"/>
        <v>3660</v>
      </c>
      <c r="Q703" s="909"/>
      <c r="R703" s="910">
        <v>40879</v>
      </c>
      <c r="S703" s="912">
        <v>3824</v>
      </c>
      <c r="T703" s="912">
        <v>44703</v>
      </c>
    </row>
    <row r="704" spans="1:20" x14ac:dyDescent="0.25">
      <c r="A704" s="906">
        <v>97811</v>
      </c>
      <c r="B704" s="907" t="s">
        <v>3264</v>
      </c>
      <c r="C704" s="908">
        <v>2.4172E-3</v>
      </c>
      <c r="D704" s="908">
        <v>2.4088E-3</v>
      </c>
      <c r="E704" s="909">
        <v>3692812</v>
      </c>
      <c r="F704" s="909"/>
      <c r="G704" s="910">
        <v>212740</v>
      </c>
      <c r="H704" s="911">
        <v>896619</v>
      </c>
      <c r="I704" s="910">
        <v>527385</v>
      </c>
      <c r="J704" s="909">
        <v>0</v>
      </c>
      <c r="K704" s="911">
        <f t="shared" si="20"/>
        <v>1636744</v>
      </c>
      <c r="L704" s="909"/>
      <c r="M704" s="910">
        <v>104532</v>
      </c>
      <c r="N704" s="910">
        <v>0</v>
      </c>
      <c r="O704" s="909">
        <v>164062</v>
      </c>
      <c r="P704" s="911">
        <f t="shared" si="21"/>
        <v>268594</v>
      </c>
      <c r="Q704" s="909"/>
      <c r="R704" s="910">
        <v>1244481</v>
      </c>
      <c r="S704" s="912">
        <v>-73272</v>
      </c>
      <c r="T704" s="912">
        <v>1171209</v>
      </c>
    </row>
    <row r="705" spans="1:20" x14ac:dyDescent="0.25">
      <c r="A705" s="906">
        <v>97817</v>
      </c>
      <c r="B705" s="907" t="s">
        <v>3265</v>
      </c>
      <c r="C705" s="908">
        <v>2.2200000000000001E-5</v>
      </c>
      <c r="D705" s="908">
        <v>3.9999999999999998E-6</v>
      </c>
      <c r="E705" s="909">
        <v>33915</v>
      </c>
      <c r="F705" s="909"/>
      <c r="G705" s="910">
        <v>1954</v>
      </c>
      <c r="H705" s="911">
        <v>8235</v>
      </c>
      <c r="I705" s="910">
        <v>4844</v>
      </c>
      <c r="J705" s="909">
        <v>18101</v>
      </c>
      <c r="K705" s="911">
        <f t="shared" si="20"/>
        <v>33134</v>
      </c>
      <c r="L705" s="909"/>
      <c r="M705" s="910">
        <v>960</v>
      </c>
      <c r="N705" s="910">
        <v>0</v>
      </c>
      <c r="O705" s="909">
        <v>2418</v>
      </c>
      <c r="P705" s="911">
        <f t="shared" si="21"/>
        <v>3378</v>
      </c>
      <c r="Q705" s="909"/>
      <c r="R705" s="910">
        <v>11430</v>
      </c>
      <c r="S705" s="912">
        <v>3916</v>
      </c>
      <c r="T705" s="912">
        <f>15345+1</f>
        <v>15346</v>
      </c>
    </row>
    <row r="706" spans="1:20" x14ac:dyDescent="0.25">
      <c r="A706" s="906">
        <v>97818</v>
      </c>
      <c r="B706" s="907" t="s">
        <v>3266</v>
      </c>
      <c r="C706" s="908">
        <v>2.1999999999999999E-5</v>
      </c>
      <c r="D706" s="908">
        <v>2.12E-5</v>
      </c>
      <c r="E706" s="909">
        <v>33610</v>
      </c>
      <c r="F706" s="909"/>
      <c r="G706" s="910">
        <v>1936</v>
      </c>
      <c r="H706" s="911">
        <v>8160</v>
      </c>
      <c r="I706" s="910">
        <v>4800</v>
      </c>
      <c r="J706" s="909">
        <v>6200</v>
      </c>
      <c r="K706" s="911">
        <f t="shared" si="20"/>
        <v>21096</v>
      </c>
      <c r="L706" s="909"/>
      <c r="M706" s="910">
        <v>951</v>
      </c>
      <c r="N706" s="910">
        <v>0</v>
      </c>
      <c r="O706" s="909">
        <v>2136</v>
      </c>
      <c r="P706" s="911">
        <f t="shared" si="21"/>
        <v>3087</v>
      </c>
      <c r="Q706" s="909"/>
      <c r="R706" s="910">
        <v>11327</v>
      </c>
      <c r="S706" s="912">
        <v>134</v>
      </c>
      <c r="T706" s="912">
        <v>11461</v>
      </c>
    </row>
    <row r="707" spans="1:20" x14ac:dyDescent="0.25">
      <c r="A707" s="906">
        <v>97821</v>
      </c>
      <c r="B707" s="907" t="s">
        <v>3267</v>
      </c>
      <c r="C707" s="908">
        <v>1.126E-4</v>
      </c>
      <c r="D707" s="908">
        <v>1.1620000000000001E-4</v>
      </c>
      <c r="E707" s="909">
        <v>172022</v>
      </c>
      <c r="F707" s="909"/>
      <c r="G707" s="910">
        <v>9910</v>
      </c>
      <c r="H707" s="911">
        <v>41767</v>
      </c>
      <c r="I707" s="910">
        <v>24567</v>
      </c>
      <c r="J707" s="909">
        <v>5355</v>
      </c>
      <c r="K707" s="911">
        <f t="shared" si="20"/>
        <v>81599</v>
      </c>
      <c r="L707" s="909"/>
      <c r="M707" s="910">
        <v>4869</v>
      </c>
      <c r="N707" s="910">
        <v>0</v>
      </c>
      <c r="O707" s="909">
        <v>16228</v>
      </c>
      <c r="P707" s="911">
        <f t="shared" si="21"/>
        <v>21097</v>
      </c>
      <c r="Q707" s="909"/>
      <c r="R707" s="910">
        <v>57971</v>
      </c>
      <c r="S707" s="912">
        <v>-9342</v>
      </c>
      <c r="T707" s="912">
        <f>48630-1</f>
        <v>48629</v>
      </c>
    </row>
    <row r="708" spans="1:20" x14ac:dyDescent="0.25">
      <c r="A708" s="906">
        <v>97823</v>
      </c>
      <c r="B708" s="907" t="s">
        <v>3268</v>
      </c>
      <c r="C708" s="908">
        <v>2.3300000000000001E-5</v>
      </c>
      <c r="D708" s="908">
        <v>2.4600000000000002E-5</v>
      </c>
      <c r="E708" s="909">
        <v>35596</v>
      </c>
      <c r="F708" s="909"/>
      <c r="G708" s="910">
        <v>2051</v>
      </c>
      <c r="H708" s="911">
        <v>8642</v>
      </c>
      <c r="I708" s="910">
        <v>5084</v>
      </c>
      <c r="J708" s="909">
        <v>1711</v>
      </c>
      <c r="K708" s="911">
        <f t="shared" si="20"/>
        <v>17488</v>
      </c>
      <c r="L708" s="909"/>
      <c r="M708" s="910">
        <v>1008</v>
      </c>
      <c r="N708" s="910">
        <v>0</v>
      </c>
      <c r="O708" s="909">
        <v>591</v>
      </c>
      <c r="P708" s="911">
        <f t="shared" si="21"/>
        <v>1599</v>
      </c>
      <c r="Q708" s="909"/>
      <c r="R708" s="910">
        <v>11996</v>
      </c>
      <c r="S708" s="912">
        <v>-77</v>
      </c>
      <c r="T708" s="912">
        <v>11919</v>
      </c>
    </row>
    <row r="709" spans="1:20" x14ac:dyDescent="0.25">
      <c r="A709" s="906">
        <v>97831</v>
      </c>
      <c r="B709" s="907" t="s">
        <v>3269</v>
      </c>
      <c r="C709" s="908">
        <v>1.7009999999999999E-4</v>
      </c>
      <c r="D709" s="908">
        <v>1.482E-4</v>
      </c>
      <c r="E709" s="909">
        <v>259866</v>
      </c>
      <c r="F709" s="909"/>
      <c r="G709" s="910">
        <v>14971</v>
      </c>
      <c r="H709" s="911">
        <v>63096</v>
      </c>
      <c r="I709" s="910">
        <v>37112</v>
      </c>
      <c r="J709" s="909">
        <v>15261</v>
      </c>
      <c r="K709" s="911">
        <f t="shared" si="20"/>
        <v>130440</v>
      </c>
      <c r="L709" s="909"/>
      <c r="M709" s="910">
        <v>7356</v>
      </c>
      <c r="N709" s="910">
        <v>0</v>
      </c>
      <c r="O709" s="909">
        <v>8418</v>
      </c>
      <c r="P709" s="911">
        <f t="shared" si="21"/>
        <v>15774</v>
      </c>
      <c r="Q709" s="909"/>
      <c r="R709" s="910">
        <v>87575</v>
      </c>
      <c r="S709" s="912">
        <v>-2075</v>
      </c>
      <c r="T709" s="912">
        <v>85500</v>
      </c>
    </row>
    <row r="710" spans="1:20" x14ac:dyDescent="0.25">
      <c r="A710" s="906">
        <v>97837</v>
      </c>
      <c r="B710" s="907" t="s">
        <v>3270</v>
      </c>
      <c r="C710" s="908">
        <v>1.0200000000000001E-5</v>
      </c>
      <c r="D710" s="908">
        <v>8.8000000000000004E-6</v>
      </c>
      <c r="E710" s="909">
        <v>15583</v>
      </c>
      <c r="F710" s="909"/>
      <c r="G710" s="910">
        <v>898</v>
      </c>
      <c r="H710" s="911">
        <v>3784</v>
      </c>
      <c r="I710" s="910">
        <v>2225</v>
      </c>
      <c r="J710" s="909">
        <v>3302</v>
      </c>
      <c r="K710" s="911">
        <f t="shared" si="20"/>
        <v>10209</v>
      </c>
      <c r="L710" s="909"/>
      <c r="M710" s="910">
        <v>441</v>
      </c>
      <c r="N710" s="910">
        <v>0</v>
      </c>
      <c r="O710" s="909">
        <v>214</v>
      </c>
      <c r="P710" s="911">
        <f t="shared" si="21"/>
        <v>655</v>
      </c>
      <c r="Q710" s="909"/>
      <c r="R710" s="910">
        <v>5251</v>
      </c>
      <c r="S710" s="912">
        <v>1260</v>
      </c>
      <c r="T710" s="912">
        <v>6511</v>
      </c>
    </row>
    <row r="711" spans="1:20" x14ac:dyDescent="0.25">
      <c r="A711" s="906">
        <v>97840</v>
      </c>
      <c r="B711" s="907" t="s">
        <v>3271</v>
      </c>
      <c r="C711" s="908">
        <v>1.3190000000000001E-4</v>
      </c>
      <c r="D711" s="908">
        <v>1.403E-4</v>
      </c>
      <c r="E711" s="909">
        <v>201507</v>
      </c>
      <c r="F711" s="909"/>
      <c r="G711" s="910">
        <v>11609</v>
      </c>
      <c r="H711" s="911">
        <v>48926</v>
      </c>
      <c r="I711" s="910">
        <v>28778</v>
      </c>
      <c r="J711" s="909">
        <v>76227</v>
      </c>
      <c r="K711" s="911">
        <f t="shared" ref="K711:K774" si="22">G711+H711+I711+J711</f>
        <v>165540</v>
      </c>
      <c r="L711" s="909"/>
      <c r="M711" s="910">
        <v>5704</v>
      </c>
      <c r="N711" s="910">
        <v>0</v>
      </c>
      <c r="O711" s="909">
        <v>964</v>
      </c>
      <c r="P711" s="911">
        <f t="shared" ref="P711:P774" si="23">M711+N711+O711</f>
        <v>6668</v>
      </c>
      <c r="Q711" s="909"/>
      <c r="R711" s="910">
        <v>67908</v>
      </c>
      <c r="S711" s="912">
        <v>27073</v>
      </c>
      <c r="T711" s="912">
        <v>94981</v>
      </c>
    </row>
    <row r="712" spans="1:20" x14ac:dyDescent="0.25">
      <c r="A712" s="906">
        <v>97841</v>
      </c>
      <c r="B712" s="907" t="s">
        <v>3272</v>
      </c>
      <c r="C712" s="908">
        <v>1.31E-5</v>
      </c>
      <c r="D712" s="908">
        <v>1.45E-5</v>
      </c>
      <c r="E712" s="909">
        <v>20013</v>
      </c>
      <c r="F712" s="909"/>
      <c r="G712" s="910">
        <v>1153</v>
      </c>
      <c r="H712" s="911">
        <v>4859</v>
      </c>
      <c r="I712" s="910">
        <v>2858</v>
      </c>
      <c r="J712" s="909">
        <v>410</v>
      </c>
      <c r="K712" s="911">
        <f t="shared" si="22"/>
        <v>9280</v>
      </c>
      <c r="L712" s="909"/>
      <c r="M712" s="910">
        <v>567</v>
      </c>
      <c r="N712" s="910">
        <v>0</v>
      </c>
      <c r="O712" s="909">
        <v>4768</v>
      </c>
      <c r="P712" s="911">
        <f t="shared" si="23"/>
        <v>5335</v>
      </c>
      <c r="Q712" s="909"/>
      <c r="R712" s="910">
        <v>6744</v>
      </c>
      <c r="S712" s="912">
        <v>-3859</v>
      </c>
      <c r="T712" s="912">
        <v>2885</v>
      </c>
    </row>
    <row r="713" spans="1:20" x14ac:dyDescent="0.25">
      <c r="A713" s="906">
        <v>97847</v>
      </c>
      <c r="B713" s="907" t="s">
        <v>3273</v>
      </c>
      <c r="C713" s="908">
        <v>2.0999999999999998E-6</v>
      </c>
      <c r="D713" s="908">
        <v>2.2000000000000001E-6</v>
      </c>
      <c r="E713" s="909">
        <v>3208</v>
      </c>
      <c r="F713" s="909"/>
      <c r="G713" s="910">
        <v>185</v>
      </c>
      <c r="H713" s="911">
        <v>779</v>
      </c>
      <c r="I713" s="910">
        <v>458</v>
      </c>
      <c r="J713" s="909">
        <v>1433</v>
      </c>
      <c r="K713" s="911">
        <f t="shared" si="22"/>
        <v>2855</v>
      </c>
      <c r="L713" s="909"/>
      <c r="M713" s="910">
        <v>91</v>
      </c>
      <c r="N713" s="910">
        <v>0</v>
      </c>
      <c r="O713" s="909">
        <v>72</v>
      </c>
      <c r="P713" s="911">
        <f t="shared" si="23"/>
        <v>163</v>
      </c>
      <c r="Q713" s="909"/>
      <c r="R713" s="910">
        <v>1081</v>
      </c>
      <c r="S713" s="912">
        <v>355</v>
      </c>
      <c r="T713" s="912">
        <v>1436</v>
      </c>
    </row>
    <row r="714" spans="1:20" x14ac:dyDescent="0.25">
      <c r="A714" s="906">
        <v>97851</v>
      </c>
      <c r="B714" s="907" t="s">
        <v>3274</v>
      </c>
      <c r="C714" s="908">
        <v>2.7799999999999998E-4</v>
      </c>
      <c r="D714" s="908">
        <v>2.7460000000000001E-4</v>
      </c>
      <c r="E714" s="909">
        <v>424707</v>
      </c>
      <c r="F714" s="909"/>
      <c r="G714" s="910">
        <v>24467</v>
      </c>
      <c r="H714" s="911">
        <v>103120</v>
      </c>
      <c r="I714" s="910">
        <v>60654</v>
      </c>
      <c r="J714" s="909">
        <v>1448</v>
      </c>
      <c r="K714" s="911">
        <f t="shared" si="22"/>
        <v>189689</v>
      </c>
      <c r="L714" s="909"/>
      <c r="M714" s="910">
        <v>12022</v>
      </c>
      <c r="N714" s="910">
        <v>0</v>
      </c>
      <c r="O714" s="909">
        <v>12710</v>
      </c>
      <c r="P714" s="911">
        <f t="shared" si="23"/>
        <v>24732</v>
      </c>
      <c r="Q714" s="909"/>
      <c r="R714" s="910">
        <v>143127</v>
      </c>
      <c r="S714" s="912">
        <v>-2512</v>
      </c>
      <c r="T714" s="912">
        <v>140615</v>
      </c>
    </row>
    <row r="715" spans="1:20" x14ac:dyDescent="0.25">
      <c r="A715" s="906">
        <v>97853</v>
      </c>
      <c r="B715" s="907" t="s">
        <v>3275</v>
      </c>
      <c r="C715" s="908">
        <v>1.0289999999999999E-4</v>
      </c>
      <c r="D715" s="908">
        <v>9.1600000000000004E-5</v>
      </c>
      <c r="E715" s="909">
        <v>157203</v>
      </c>
      <c r="F715" s="909"/>
      <c r="G715" s="910">
        <v>9056</v>
      </c>
      <c r="H715" s="911">
        <v>38169</v>
      </c>
      <c r="I715" s="910">
        <v>22451</v>
      </c>
      <c r="J715" s="909">
        <v>8759</v>
      </c>
      <c r="K715" s="911">
        <f t="shared" si="22"/>
        <v>78435</v>
      </c>
      <c r="L715" s="909"/>
      <c r="M715" s="910">
        <v>4450</v>
      </c>
      <c r="N715" s="910">
        <v>0</v>
      </c>
      <c r="O715" s="909">
        <v>9750</v>
      </c>
      <c r="P715" s="911">
        <f t="shared" si="23"/>
        <v>14200</v>
      </c>
      <c r="Q715" s="909"/>
      <c r="R715" s="910">
        <v>52977</v>
      </c>
      <c r="S715" s="912">
        <v>429</v>
      </c>
      <c r="T715" s="912">
        <f>53407-1</f>
        <v>53406</v>
      </c>
    </row>
    <row r="716" spans="1:20" x14ac:dyDescent="0.25">
      <c r="A716" s="906">
        <v>97861</v>
      </c>
      <c r="B716" s="907" t="s">
        <v>3276</v>
      </c>
      <c r="C716" s="908">
        <v>6.7000000000000002E-5</v>
      </c>
      <c r="D716" s="908">
        <v>6.8499999999999998E-5</v>
      </c>
      <c r="E716" s="909">
        <v>102357</v>
      </c>
      <c r="F716" s="909"/>
      <c r="G716" s="910">
        <v>5897</v>
      </c>
      <c r="H716" s="911">
        <v>24852</v>
      </c>
      <c r="I716" s="910">
        <v>14618</v>
      </c>
      <c r="J716" s="909">
        <v>1771</v>
      </c>
      <c r="K716" s="911">
        <f t="shared" si="22"/>
        <v>47138</v>
      </c>
      <c r="L716" s="909"/>
      <c r="M716" s="910">
        <v>2897</v>
      </c>
      <c r="N716" s="910">
        <v>0</v>
      </c>
      <c r="O716" s="909">
        <v>7954</v>
      </c>
      <c r="P716" s="911">
        <f t="shared" si="23"/>
        <v>10851</v>
      </c>
      <c r="Q716" s="909"/>
      <c r="R716" s="910">
        <v>34495</v>
      </c>
      <c r="S716" s="912">
        <v>-3725</v>
      </c>
      <c r="T716" s="912">
        <f>30769+1</f>
        <v>30770</v>
      </c>
    </row>
    <row r="717" spans="1:20" x14ac:dyDescent="0.25">
      <c r="A717" s="906">
        <v>97871</v>
      </c>
      <c r="B717" s="907" t="s">
        <v>3277</v>
      </c>
      <c r="C717" s="908">
        <v>2.9930000000000001E-4</v>
      </c>
      <c r="D717" s="908">
        <v>3.1500000000000001E-4</v>
      </c>
      <c r="E717" s="909">
        <v>457247</v>
      </c>
      <c r="F717" s="909"/>
      <c r="G717" s="910">
        <v>26342</v>
      </c>
      <c r="H717" s="911">
        <v>111020</v>
      </c>
      <c r="I717" s="910">
        <v>65301</v>
      </c>
      <c r="J717" s="909">
        <v>217143</v>
      </c>
      <c r="K717" s="911">
        <f t="shared" si="22"/>
        <v>419806</v>
      </c>
      <c r="L717" s="909"/>
      <c r="M717" s="910">
        <v>12943</v>
      </c>
      <c r="N717" s="910">
        <v>0</v>
      </c>
      <c r="O717" s="909">
        <v>0</v>
      </c>
      <c r="P717" s="911">
        <f t="shared" si="23"/>
        <v>12943</v>
      </c>
      <c r="Q717" s="909"/>
      <c r="R717" s="910">
        <v>154093</v>
      </c>
      <c r="S717" s="912">
        <v>79417</v>
      </c>
      <c r="T717" s="912">
        <f>233509+1</f>
        <v>233510</v>
      </c>
    </row>
    <row r="718" spans="1:20" x14ac:dyDescent="0.25">
      <c r="A718" s="906">
        <v>97877</v>
      </c>
      <c r="B718" s="907" t="s">
        <v>3278</v>
      </c>
      <c r="C718" s="908">
        <v>1.9E-6</v>
      </c>
      <c r="D718" s="908">
        <v>2.2000000000000001E-6</v>
      </c>
      <c r="E718" s="909">
        <v>2903</v>
      </c>
      <c r="F718" s="909"/>
      <c r="G718" s="910">
        <v>167</v>
      </c>
      <c r="H718" s="911">
        <v>705</v>
      </c>
      <c r="I718" s="910">
        <v>415</v>
      </c>
      <c r="J718" s="909">
        <v>1638</v>
      </c>
      <c r="K718" s="911">
        <f t="shared" si="22"/>
        <v>2925</v>
      </c>
      <c r="L718" s="909"/>
      <c r="M718" s="910">
        <v>82</v>
      </c>
      <c r="N718" s="910">
        <v>0</v>
      </c>
      <c r="O718" s="909">
        <v>0</v>
      </c>
      <c r="P718" s="911">
        <f t="shared" si="23"/>
        <v>82</v>
      </c>
      <c r="Q718" s="909"/>
      <c r="R718" s="910">
        <v>978</v>
      </c>
      <c r="S718" s="912">
        <v>648</v>
      </c>
      <c r="T718" s="912">
        <f>1627-1</f>
        <v>1626</v>
      </c>
    </row>
    <row r="719" spans="1:20" x14ac:dyDescent="0.25">
      <c r="A719" s="906">
        <v>97901</v>
      </c>
      <c r="B719" s="907" t="s">
        <v>3279</v>
      </c>
      <c r="C719" s="908">
        <v>4.2658000000000001E-3</v>
      </c>
      <c r="D719" s="908">
        <v>4.3616999999999996E-3</v>
      </c>
      <c r="E719" s="909">
        <v>6516961</v>
      </c>
      <c r="F719" s="909"/>
      <c r="G719" s="910">
        <v>375437</v>
      </c>
      <c r="H719" s="911">
        <v>1582326</v>
      </c>
      <c r="I719" s="910">
        <v>930712</v>
      </c>
      <c r="J719" s="909">
        <v>88360</v>
      </c>
      <c r="K719" s="911">
        <f t="shared" si="22"/>
        <v>2976835</v>
      </c>
      <c r="L719" s="909"/>
      <c r="M719" s="910">
        <v>184475</v>
      </c>
      <c r="N719" s="910">
        <v>0</v>
      </c>
      <c r="O719" s="909">
        <v>14865</v>
      </c>
      <c r="P719" s="911">
        <f t="shared" si="23"/>
        <v>199340</v>
      </c>
      <c r="Q719" s="909"/>
      <c r="R719" s="910">
        <v>2196222</v>
      </c>
      <c r="S719" s="912">
        <v>35112</v>
      </c>
      <c r="T719" s="912">
        <v>2231334</v>
      </c>
    </row>
    <row r="720" spans="1:20" x14ac:dyDescent="0.25">
      <c r="A720" s="906">
        <v>97911</v>
      </c>
      <c r="B720" s="907" t="s">
        <v>3280</v>
      </c>
      <c r="C720" s="908">
        <v>1.3005E-3</v>
      </c>
      <c r="D720" s="908">
        <v>1.3190000000000001E-3</v>
      </c>
      <c r="E720" s="909">
        <v>1986804</v>
      </c>
      <c r="F720" s="909"/>
      <c r="G720" s="910">
        <v>114458</v>
      </c>
      <c r="H720" s="911">
        <v>482398</v>
      </c>
      <c r="I720" s="910">
        <v>283743</v>
      </c>
      <c r="J720" s="909">
        <v>31167</v>
      </c>
      <c r="K720" s="911">
        <f t="shared" si="22"/>
        <v>911766</v>
      </c>
      <c r="L720" s="909"/>
      <c r="M720" s="910">
        <v>56240</v>
      </c>
      <c r="N720" s="910">
        <v>0</v>
      </c>
      <c r="O720" s="909">
        <v>28435</v>
      </c>
      <c r="P720" s="911">
        <f t="shared" si="23"/>
        <v>84675</v>
      </c>
      <c r="Q720" s="909"/>
      <c r="R720" s="910">
        <v>669555</v>
      </c>
      <c r="S720" s="912">
        <v>10548</v>
      </c>
      <c r="T720" s="912">
        <v>680103</v>
      </c>
    </row>
    <row r="721" spans="1:20" x14ac:dyDescent="0.25">
      <c r="A721" s="906">
        <v>97913</v>
      </c>
      <c r="B721" s="907" t="s">
        <v>3281</v>
      </c>
      <c r="C721" s="908">
        <v>3.5899999999999998E-5</v>
      </c>
      <c r="D721" s="908">
        <v>3.7400000000000001E-5</v>
      </c>
      <c r="E721" s="909">
        <v>54845</v>
      </c>
      <c r="F721" s="909"/>
      <c r="G721" s="910">
        <v>3160</v>
      </c>
      <c r="H721" s="911">
        <v>13317</v>
      </c>
      <c r="I721" s="910">
        <v>7833</v>
      </c>
      <c r="J721" s="909">
        <v>15616</v>
      </c>
      <c r="K721" s="911">
        <f t="shared" si="22"/>
        <v>39926</v>
      </c>
      <c r="L721" s="909"/>
      <c r="M721" s="910">
        <v>1552</v>
      </c>
      <c r="N721" s="910">
        <v>0</v>
      </c>
      <c r="O721" s="909">
        <v>0</v>
      </c>
      <c r="P721" s="911">
        <f t="shared" si="23"/>
        <v>1552</v>
      </c>
      <c r="Q721" s="909"/>
      <c r="R721" s="910">
        <v>18483</v>
      </c>
      <c r="S721" s="912">
        <v>5369</v>
      </c>
      <c r="T721" s="912">
        <f>23851+1</f>
        <v>23852</v>
      </c>
    </row>
    <row r="722" spans="1:20" x14ac:dyDescent="0.25">
      <c r="A722" s="906">
        <v>97917</v>
      </c>
      <c r="B722" s="907" t="s">
        <v>3282</v>
      </c>
      <c r="C722" s="908">
        <v>2.0999999999999999E-5</v>
      </c>
      <c r="D722" s="908">
        <v>1.98E-5</v>
      </c>
      <c r="E722" s="909">
        <v>32082</v>
      </c>
      <c r="F722" s="909"/>
      <c r="G722" s="910">
        <v>1848</v>
      </c>
      <c r="H722" s="911">
        <v>7790</v>
      </c>
      <c r="I722" s="910">
        <v>4582</v>
      </c>
      <c r="J722" s="909">
        <v>7811</v>
      </c>
      <c r="K722" s="911">
        <f t="shared" si="22"/>
        <v>22031</v>
      </c>
      <c r="L722" s="909"/>
      <c r="M722" s="910">
        <v>908</v>
      </c>
      <c r="N722" s="910">
        <v>0</v>
      </c>
      <c r="O722" s="909">
        <v>0</v>
      </c>
      <c r="P722" s="911">
        <f t="shared" si="23"/>
        <v>908</v>
      </c>
      <c r="Q722" s="909"/>
      <c r="R722" s="910">
        <v>10812</v>
      </c>
      <c r="S722" s="912">
        <v>3168</v>
      </c>
      <c r="T722" s="912">
        <f>13979+1</f>
        <v>13980</v>
      </c>
    </row>
    <row r="723" spans="1:20" x14ac:dyDescent="0.25">
      <c r="A723" s="906">
        <v>97921</v>
      </c>
      <c r="B723" s="907" t="s">
        <v>3283</v>
      </c>
      <c r="C723" s="908">
        <v>2.1699999999999999E-4</v>
      </c>
      <c r="D723" s="908">
        <v>2.2169999999999999E-4</v>
      </c>
      <c r="E723" s="909">
        <v>331516</v>
      </c>
      <c r="F723" s="909"/>
      <c r="G723" s="910">
        <v>19098</v>
      </c>
      <c r="H723" s="911">
        <v>80493</v>
      </c>
      <c r="I723" s="910">
        <v>47345</v>
      </c>
      <c r="J723" s="909">
        <v>11562</v>
      </c>
      <c r="K723" s="911">
        <f t="shared" si="22"/>
        <v>158498</v>
      </c>
      <c r="L723" s="909"/>
      <c r="M723" s="910">
        <v>9384</v>
      </c>
      <c r="N723" s="910">
        <v>0</v>
      </c>
      <c r="O723" s="909">
        <v>5992</v>
      </c>
      <c r="P723" s="911">
        <f t="shared" si="23"/>
        <v>15376</v>
      </c>
      <c r="Q723" s="909"/>
      <c r="R723" s="910">
        <v>111721</v>
      </c>
      <c r="S723" s="912">
        <v>3241</v>
      </c>
      <c r="T723" s="912">
        <v>114962</v>
      </c>
    </row>
    <row r="724" spans="1:20" x14ac:dyDescent="0.25">
      <c r="A724" s="906">
        <v>97931</v>
      </c>
      <c r="B724" s="907" t="s">
        <v>3284</v>
      </c>
      <c r="C724" s="908">
        <v>7.0199999999999999E-5</v>
      </c>
      <c r="D724" s="908">
        <v>6.1600000000000007E-5</v>
      </c>
      <c r="E724" s="909">
        <v>107246</v>
      </c>
      <c r="F724" s="909"/>
      <c r="G724" s="910">
        <v>6178</v>
      </c>
      <c r="H724" s="911">
        <v>26039</v>
      </c>
      <c r="I724" s="910">
        <v>15316</v>
      </c>
      <c r="J724" s="909">
        <v>18162</v>
      </c>
      <c r="K724" s="911">
        <f t="shared" si="22"/>
        <v>65695</v>
      </c>
      <c r="L724" s="909"/>
      <c r="M724" s="910">
        <v>3036</v>
      </c>
      <c r="N724" s="910">
        <v>0</v>
      </c>
      <c r="O724" s="909">
        <v>7492</v>
      </c>
      <c r="P724" s="911">
        <f t="shared" si="23"/>
        <v>10528</v>
      </c>
      <c r="Q724" s="909"/>
      <c r="R724" s="910">
        <v>36142</v>
      </c>
      <c r="S724" s="912">
        <v>2117</v>
      </c>
      <c r="T724" s="912">
        <v>38259</v>
      </c>
    </row>
    <row r="725" spans="1:20" x14ac:dyDescent="0.25">
      <c r="A725" s="906">
        <v>97941</v>
      </c>
      <c r="B725" s="907" t="s">
        <v>3285</v>
      </c>
      <c r="C725" s="908">
        <v>2.0479999999999999E-4</v>
      </c>
      <c r="D725" s="908">
        <v>2.3330000000000001E-4</v>
      </c>
      <c r="E725" s="909">
        <v>312878</v>
      </c>
      <c r="F725" s="909"/>
      <c r="G725" s="910">
        <v>18025</v>
      </c>
      <c r="H725" s="911">
        <v>75967</v>
      </c>
      <c r="I725" s="910">
        <v>44683</v>
      </c>
      <c r="J725" s="909">
        <v>17999</v>
      </c>
      <c r="K725" s="911">
        <f t="shared" si="22"/>
        <v>156674</v>
      </c>
      <c r="L725" s="909"/>
      <c r="M725" s="910">
        <v>8857</v>
      </c>
      <c r="N725" s="910">
        <v>0</v>
      </c>
      <c r="O725" s="909">
        <v>8897</v>
      </c>
      <c r="P725" s="911">
        <f t="shared" si="23"/>
        <v>17754</v>
      </c>
      <c r="Q725" s="909"/>
      <c r="R725" s="910">
        <v>105440</v>
      </c>
      <c r="S725" s="912">
        <v>7001</v>
      </c>
      <c r="T725" s="912">
        <v>112441</v>
      </c>
    </row>
    <row r="726" spans="1:20" x14ac:dyDescent="0.25">
      <c r="A726" s="906">
        <v>97947</v>
      </c>
      <c r="B726" s="907" t="s">
        <v>3286</v>
      </c>
      <c r="C726" s="908">
        <v>1.3900000000000001E-5</v>
      </c>
      <c r="D726" s="908">
        <v>1.5500000000000001E-5</v>
      </c>
      <c r="E726" s="909">
        <v>21235</v>
      </c>
      <c r="F726" s="909"/>
      <c r="G726" s="910">
        <v>1223</v>
      </c>
      <c r="H726" s="911">
        <v>5156</v>
      </c>
      <c r="I726" s="910">
        <v>3033</v>
      </c>
      <c r="J726" s="909">
        <v>9518</v>
      </c>
      <c r="K726" s="911">
        <f t="shared" si="22"/>
        <v>18930</v>
      </c>
      <c r="L726" s="909"/>
      <c r="M726" s="910">
        <v>601</v>
      </c>
      <c r="N726" s="910">
        <v>0</v>
      </c>
      <c r="O726" s="909">
        <v>306</v>
      </c>
      <c r="P726" s="911">
        <f t="shared" si="23"/>
        <v>907</v>
      </c>
      <c r="Q726" s="909"/>
      <c r="R726" s="910">
        <v>7156</v>
      </c>
      <c r="S726" s="912">
        <v>3116</v>
      </c>
      <c r="T726" s="912">
        <v>10272</v>
      </c>
    </row>
    <row r="727" spans="1:20" x14ac:dyDescent="0.25">
      <c r="A727" s="906">
        <v>97948</v>
      </c>
      <c r="B727" s="907" t="s">
        <v>3287</v>
      </c>
      <c r="C727" s="908">
        <v>2.2099999999999998E-5</v>
      </c>
      <c r="D727" s="908">
        <v>3.5200000000000002E-5</v>
      </c>
      <c r="E727" s="909">
        <v>33763</v>
      </c>
      <c r="F727" s="909"/>
      <c r="G727" s="910">
        <v>1945</v>
      </c>
      <c r="H727" s="911">
        <v>8198</v>
      </c>
      <c r="I727" s="910">
        <v>4822</v>
      </c>
      <c r="J727" s="909">
        <v>1909</v>
      </c>
      <c r="K727" s="911">
        <f t="shared" si="22"/>
        <v>16874</v>
      </c>
      <c r="L727" s="909"/>
      <c r="M727" s="910">
        <v>956</v>
      </c>
      <c r="N727" s="910">
        <v>0</v>
      </c>
      <c r="O727" s="909">
        <v>8330</v>
      </c>
      <c r="P727" s="911">
        <f t="shared" si="23"/>
        <v>9286</v>
      </c>
      <c r="Q727" s="909"/>
      <c r="R727" s="910">
        <v>11378</v>
      </c>
      <c r="S727" s="912">
        <v>-972</v>
      </c>
      <c r="T727" s="912">
        <v>10406</v>
      </c>
    </row>
    <row r="728" spans="1:20" x14ac:dyDescent="0.25">
      <c r="A728" s="906">
        <v>97951</v>
      </c>
      <c r="B728" s="907" t="s">
        <v>3288</v>
      </c>
      <c r="C728" s="908">
        <v>1.2440999999999999E-3</v>
      </c>
      <c r="D728" s="908">
        <v>1.2497000000000001E-3</v>
      </c>
      <c r="E728" s="909">
        <v>1900640</v>
      </c>
      <c r="F728" s="909"/>
      <c r="G728" s="910">
        <v>109494</v>
      </c>
      <c r="H728" s="911">
        <v>461477</v>
      </c>
      <c r="I728" s="910">
        <v>271438</v>
      </c>
      <c r="J728" s="909">
        <v>31864</v>
      </c>
      <c r="K728" s="911">
        <f t="shared" si="22"/>
        <v>874273</v>
      </c>
      <c r="L728" s="909"/>
      <c r="M728" s="910">
        <v>53801</v>
      </c>
      <c r="N728" s="910">
        <v>0</v>
      </c>
      <c r="O728" s="909">
        <v>7067</v>
      </c>
      <c r="P728" s="911">
        <f t="shared" si="23"/>
        <v>60868</v>
      </c>
      <c r="Q728" s="909"/>
      <c r="R728" s="910">
        <v>640517</v>
      </c>
      <c r="S728" s="912">
        <v>4295</v>
      </c>
      <c r="T728" s="912">
        <f>644813-1</f>
        <v>644812</v>
      </c>
    </row>
    <row r="729" spans="1:20" x14ac:dyDescent="0.25">
      <c r="A729" s="906">
        <v>97957</v>
      </c>
      <c r="B729" s="907" t="s">
        <v>3289</v>
      </c>
      <c r="C729" s="908">
        <v>1.8700000000000001E-5</v>
      </c>
      <c r="D729" s="908">
        <v>1.9599999999999999E-5</v>
      </c>
      <c r="E729" s="909">
        <v>28568</v>
      </c>
      <c r="F729" s="909"/>
      <c r="G729" s="910">
        <v>1646</v>
      </c>
      <c r="H729" s="911">
        <v>6936</v>
      </c>
      <c r="I729" s="910">
        <v>4080</v>
      </c>
      <c r="J729" s="909">
        <v>4456</v>
      </c>
      <c r="K729" s="911">
        <f t="shared" si="22"/>
        <v>17118</v>
      </c>
      <c r="L729" s="909"/>
      <c r="M729" s="910">
        <v>809</v>
      </c>
      <c r="N729" s="910">
        <v>0</v>
      </c>
      <c r="O729" s="909">
        <v>1123</v>
      </c>
      <c r="P729" s="911">
        <f t="shared" si="23"/>
        <v>1932</v>
      </c>
      <c r="Q729" s="909"/>
      <c r="R729" s="910">
        <v>9628</v>
      </c>
      <c r="S729" s="912">
        <v>620</v>
      </c>
      <c r="T729" s="912">
        <f>10247+1</f>
        <v>10248</v>
      </c>
    </row>
    <row r="730" spans="1:20" x14ac:dyDescent="0.25">
      <c r="A730" s="906">
        <v>98001</v>
      </c>
      <c r="B730" s="907" t="s">
        <v>3290</v>
      </c>
      <c r="C730" s="908">
        <v>5.1148000000000001E-3</v>
      </c>
      <c r="D730" s="908">
        <v>4.9659999999999999E-3</v>
      </c>
      <c r="E730" s="909">
        <v>7813998</v>
      </c>
      <c r="F730" s="909"/>
      <c r="G730" s="910">
        <v>450159</v>
      </c>
      <c r="H730" s="911">
        <v>1897248</v>
      </c>
      <c r="I730" s="910">
        <v>1115947</v>
      </c>
      <c r="J730" s="909">
        <v>181889</v>
      </c>
      <c r="K730" s="911">
        <f t="shared" si="22"/>
        <v>3645243</v>
      </c>
      <c r="L730" s="909"/>
      <c r="M730" s="910">
        <v>221190</v>
      </c>
      <c r="N730" s="910">
        <v>0</v>
      </c>
      <c r="O730" s="909">
        <v>0</v>
      </c>
      <c r="P730" s="911">
        <f t="shared" si="23"/>
        <v>221190</v>
      </c>
      <c r="Q730" s="909"/>
      <c r="R730" s="910">
        <v>2633324</v>
      </c>
      <c r="S730" s="912">
        <v>81305</v>
      </c>
      <c r="T730" s="912">
        <v>2714629</v>
      </c>
    </row>
    <row r="731" spans="1:20" x14ac:dyDescent="0.25">
      <c r="A731" s="906">
        <v>98002</v>
      </c>
      <c r="B731" s="907" t="s">
        <v>3291</v>
      </c>
      <c r="C731" s="908">
        <v>6.7000000000000002E-6</v>
      </c>
      <c r="D731" s="908">
        <v>7.3000000000000004E-6</v>
      </c>
      <c r="E731" s="909">
        <v>10236</v>
      </c>
      <c r="F731" s="909"/>
      <c r="G731" s="910">
        <v>590</v>
      </c>
      <c r="H731" s="911">
        <v>2485</v>
      </c>
      <c r="I731" s="910">
        <v>1462</v>
      </c>
      <c r="J731" s="909">
        <v>1007</v>
      </c>
      <c r="K731" s="911">
        <f t="shared" si="22"/>
        <v>5544</v>
      </c>
      <c r="L731" s="909"/>
      <c r="M731" s="910">
        <v>290</v>
      </c>
      <c r="N731" s="910">
        <v>0</v>
      </c>
      <c r="O731" s="909">
        <v>6492</v>
      </c>
      <c r="P731" s="911">
        <f t="shared" si="23"/>
        <v>6782</v>
      </c>
      <c r="Q731" s="909"/>
      <c r="R731" s="910">
        <v>3449</v>
      </c>
      <c r="S731" s="912">
        <v>-6219</v>
      </c>
      <c r="T731" s="912">
        <v>-2770</v>
      </c>
    </row>
    <row r="732" spans="1:20" x14ac:dyDescent="0.25">
      <c r="A732" s="906">
        <v>98003</v>
      </c>
      <c r="B732" s="907" t="s">
        <v>3292</v>
      </c>
      <c r="C732" s="908">
        <v>7.9599999999999997E-5</v>
      </c>
      <c r="D732" s="908">
        <v>8.1600000000000005E-5</v>
      </c>
      <c r="E732" s="909">
        <v>121607</v>
      </c>
      <c r="F732" s="909"/>
      <c r="G732" s="910">
        <v>7006</v>
      </c>
      <c r="H732" s="911">
        <v>29526</v>
      </c>
      <c r="I732" s="910">
        <v>17367</v>
      </c>
      <c r="J732" s="909">
        <v>54986</v>
      </c>
      <c r="K732" s="911">
        <f t="shared" si="22"/>
        <v>108885</v>
      </c>
      <c r="L732" s="909"/>
      <c r="M732" s="910">
        <v>3442</v>
      </c>
      <c r="N732" s="910">
        <v>0</v>
      </c>
      <c r="O732" s="909">
        <v>0</v>
      </c>
      <c r="P732" s="911">
        <f t="shared" si="23"/>
        <v>3442</v>
      </c>
      <c r="Q732" s="909"/>
      <c r="R732" s="910">
        <v>40982</v>
      </c>
      <c r="S732" s="912">
        <v>18634</v>
      </c>
      <c r="T732" s="912">
        <v>59616</v>
      </c>
    </row>
    <row r="733" spans="1:20" x14ac:dyDescent="0.25">
      <c r="A733" s="906">
        <v>98004</v>
      </c>
      <c r="B733" s="907" t="s">
        <v>3293</v>
      </c>
      <c r="C733" s="908">
        <v>1.182E-4</v>
      </c>
      <c r="D733" s="908">
        <v>1.209E-4</v>
      </c>
      <c r="E733" s="909">
        <v>180577</v>
      </c>
      <c r="F733" s="909"/>
      <c r="G733" s="910">
        <v>10403</v>
      </c>
      <c r="H733" s="911">
        <v>43844</v>
      </c>
      <c r="I733" s="910">
        <v>25789</v>
      </c>
      <c r="J733" s="909">
        <v>36575</v>
      </c>
      <c r="K733" s="911">
        <f t="shared" si="22"/>
        <v>116611</v>
      </c>
      <c r="L733" s="909"/>
      <c r="M733" s="910">
        <v>5112</v>
      </c>
      <c r="N733" s="910">
        <v>0</v>
      </c>
      <c r="O733" s="909">
        <v>0</v>
      </c>
      <c r="P733" s="911">
        <f t="shared" si="23"/>
        <v>5112</v>
      </c>
      <c r="Q733" s="909"/>
      <c r="R733" s="910">
        <v>60855</v>
      </c>
      <c r="S733" s="912">
        <v>14190</v>
      </c>
      <c r="T733" s="912">
        <f>75044+1</f>
        <v>75045</v>
      </c>
    </row>
    <row r="734" spans="1:20" x14ac:dyDescent="0.25">
      <c r="A734" s="906">
        <v>98008</v>
      </c>
      <c r="B734" s="907" t="s">
        <v>3294</v>
      </c>
      <c r="C734" s="908">
        <v>7.9999999999999996E-6</v>
      </c>
      <c r="D734" s="908">
        <v>7.7999999999999999E-6</v>
      </c>
      <c r="E734" s="909">
        <v>12222</v>
      </c>
      <c r="F734" s="909"/>
      <c r="G734" s="910">
        <v>704</v>
      </c>
      <c r="H734" s="911">
        <v>2967</v>
      </c>
      <c r="I734" s="910">
        <v>1745</v>
      </c>
      <c r="J734" s="909">
        <v>25</v>
      </c>
      <c r="K734" s="911">
        <f t="shared" si="22"/>
        <v>5441</v>
      </c>
      <c r="L734" s="909"/>
      <c r="M734" s="910">
        <v>346</v>
      </c>
      <c r="N734" s="910">
        <v>0</v>
      </c>
      <c r="O734" s="909">
        <v>804</v>
      </c>
      <c r="P734" s="911">
        <f t="shared" si="23"/>
        <v>1150</v>
      </c>
      <c r="Q734" s="909"/>
      <c r="R734" s="910">
        <v>4119</v>
      </c>
      <c r="S734" s="912">
        <v>-490</v>
      </c>
      <c r="T734" s="912">
        <v>3629</v>
      </c>
    </row>
    <row r="735" spans="1:20" x14ac:dyDescent="0.25">
      <c r="A735" s="906">
        <v>98011</v>
      </c>
      <c r="B735" s="907" t="s">
        <v>3295</v>
      </c>
      <c r="C735" s="908">
        <v>3.1578999999999999E-3</v>
      </c>
      <c r="D735" s="908">
        <v>3.1795E-3</v>
      </c>
      <c r="E735" s="909">
        <v>4824396</v>
      </c>
      <c r="F735" s="909"/>
      <c r="G735" s="910">
        <v>277930</v>
      </c>
      <c r="H735" s="911">
        <v>1171370</v>
      </c>
      <c r="I735" s="910">
        <v>688991</v>
      </c>
      <c r="J735" s="909">
        <v>0</v>
      </c>
      <c r="K735" s="911">
        <f t="shared" si="22"/>
        <v>2138291</v>
      </c>
      <c r="L735" s="909"/>
      <c r="M735" s="910">
        <v>136563</v>
      </c>
      <c r="N735" s="910">
        <v>0</v>
      </c>
      <c r="O735" s="909">
        <v>315025</v>
      </c>
      <c r="P735" s="911">
        <f t="shared" si="23"/>
        <v>451588</v>
      </c>
      <c r="Q735" s="909"/>
      <c r="R735" s="910">
        <v>1625826</v>
      </c>
      <c r="S735" s="912">
        <v>-146862</v>
      </c>
      <c r="T735" s="912">
        <v>1478964</v>
      </c>
    </row>
    <row r="736" spans="1:20" x14ac:dyDescent="0.25">
      <c r="A736" s="906">
        <v>98013</v>
      </c>
      <c r="B736" s="907" t="s">
        <v>3296</v>
      </c>
      <c r="C736" s="908">
        <v>1.415E-4</v>
      </c>
      <c r="D736" s="908">
        <v>1.426E-4</v>
      </c>
      <c r="E736" s="909">
        <v>216173</v>
      </c>
      <c r="F736" s="909"/>
      <c r="G736" s="910">
        <v>12454</v>
      </c>
      <c r="H736" s="911">
        <v>52487</v>
      </c>
      <c r="I736" s="910">
        <v>30872</v>
      </c>
      <c r="J736" s="909">
        <v>126104</v>
      </c>
      <c r="K736" s="911">
        <f t="shared" si="22"/>
        <v>221917</v>
      </c>
      <c r="L736" s="909"/>
      <c r="M736" s="910">
        <v>6119</v>
      </c>
      <c r="N736" s="910">
        <v>0</v>
      </c>
      <c r="O736" s="909">
        <v>2073</v>
      </c>
      <c r="P736" s="911">
        <f t="shared" si="23"/>
        <v>8192</v>
      </c>
      <c r="Q736" s="909"/>
      <c r="R736" s="910">
        <v>72850</v>
      </c>
      <c r="S736" s="912">
        <v>41784</v>
      </c>
      <c r="T736" s="912">
        <f>114635-1</f>
        <v>114634</v>
      </c>
    </row>
    <row r="737" spans="1:20" x14ac:dyDescent="0.25">
      <c r="A737" s="906">
        <v>98021</v>
      </c>
      <c r="B737" s="907" t="s">
        <v>3297</v>
      </c>
      <c r="C737" s="908">
        <v>8.6199999999999995E-5</v>
      </c>
      <c r="D737" s="908">
        <v>7.5099999999999996E-5</v>
      </c>
      <c r="E737" s="909">
        <v>131690</v>
      </c>
      <c r="F737" s="909"/>
      <c r="G737" s="910">
        <v>7587</v>
      </c>
      <c r="H737" s="911">
        <v>31975</v>
      </c>
      <c r="I737" s="910">
        <v>18807</v>
      </c>
      <c r="J737" s="909">
        <v>13468</v>
      </c>
      <c r="K737" s="911">
        <f t="shared" si="22"/>
        <v>71837</v>
      </c>
      <c r="L737" s="909"/>
      <c r="M737" s="910">
        <v>3728</v>
      </c>
      <c r="N737" s="910">
        <v>0</v>
      </c>
      <c r="O737" s="909">
        <v>2708</v>
      </c>
      <c r="P737" s="911">
        <f t="shared" si="23"/>
        <v>6436</v>
      </c>
      <c r="Q737" s="909"/>
      <c r="R737" s="910">
        <v>44380</v>
      </c>
      <c r="S737" s="912">
        <v>6479</v>
      </c>
      <c r="T737" s="912">
        <v>50859</v>
      </c>
    </row>
    <row r="738" spans="1:20" x14ac:dyDescent="0.25">
      <c r="A738" s="906">
        <v>98023</v>
      </c>
      <c r="B738" s="907" t="s">
        <v>3298</v>
      </c>
      <c r="C738" s="908">
        <v>1.43E-5</v>
      </c>
      <c r="D738" s="908">
        <v>1.45E-5</v>
      </c>
      <c r="E738" s="909">
        <v>21846</v>
      </c>
      <c r="F738" s="909"/>
      <c r="G738" s="910">
        <v>1259</v>
      </c>
      <c r="H738" s="911">
        <v>5305</v>
      </c>
      <c r="I738" s="910">
        <v>3120</v>
      </c>
      <c r="J738" s="909">
        <v>109</v>
      </c>
      <c r="K738" s="911">
        <f t="shared" si="22"/>
        <v>9793</v>
      </c>
      <c r="L738" s="909"/>
      <c r="M738" s="910">
        <v>618</v>
      </c>
      <c r="N738" s="910">
        <v>0</v>
      </c>
      <c r="O738" s="909">
        <v>5220</v>
      </c>
      <c r="P738" s="911">
        <f t="shared" si="23"/>
        <v>5838</v>
      </c>
      <c r="Q738" s="909"/>
      <c r="R738" s="910">
        <v>7362</v>
      </c>
      <c r="S738" s="912">
        <v>-2611</v>
      </c>
      <c r="T738" s="912">
        <v>4751</v>
      </c>
    </row>
    <row r="739" spans="1:20" x14ac:dyDescent="0.25">
      <c r="A739" s="906">
        <v>98031</v>
      </c>
      <c r="B739" s="907" t="s">
        <v>3299</v>
      </c>
      <c r="C739" s="908">
        <v>1.537E-4</v>
      </c>
      <c r="D739" s="908">
        <v>1.5530000000000001E-4</v>
      </c>
      <c r="E739" s="909">
        <v>234811</v>
      </c>
      <c r="F739" s="909"/>
      <c r="G739" s="910">
        <v>13527</v>
      </c>
      <c r="H739" s="911">
        <v>57012</v>
      </c>
      <c r="I739" s="910">
        <v>33534</v>
      </c>
      <c r="J739" s="909">
        <v>4651</v>
      </c>
      <c r="K739" s="911">
        <f t="shared" si="22"/>
        <v>108724</v>
      </c>
      <c r="L739" s="909"/>
      <c r="M739" s="910">
        <v>6647</v>
      </c>
      <c r="N739" s="910">
        <v>0</v>
      </c>
      <c r="O739" s="909">
        <v>9184</v>
      </c>
      <c r="P739" s="911">
        <f t="shared" si="23"/>
        <v>15831</v>
      </c>
      <c r="Q739" s="909"/>
      <c r="R739" s="910">
        <v>79132</v>
      </c>
      <c r="S739" s="912">
        <v>-1401</v>
      </c>
      <c r="T739" s="912">
        <f>77730+1</f>
        <v>77731</v>
      </c>
    </row>
    <row r="740" spans="1:20" x14ac:dyDescent="0.25">
      <c r="A740" s="906">
        <v>98041</v>
      </c>
      <c r="B740" s="907" t="s">
        <v>3300</v>
      </c>
      <c r="C740" s="908">
        <v>1.9230000000000001E-4</v>
      </c>
      <c r="D740" s="908">
        <v>1.6559999999999999E-4</v>
      </c>
      <c r="E740" s="909">
        <v>293781</v>
      </c>
      <c r="F740" s="909"/>
      <c r="G740" s="910">
        <v>16925</v>
      </c>
      <c r="H740" s="911">
        <v>71330</v>
      </c>
      <c r="I740" s="910">
        <v>41956</v>
      </c>
      <c r="J740" s="909">
        <v>17154</v>
      </c>
      <c r="K740" s="911">
        <f t="shared" si="22"/>
        <v>147365</v>
      </c>
      <c r="L740" s="909"/>
      <c r="M740" s="910">
        <v>8316</v>
      </c>
      <c r="N740" s="910">
        <v>0</v>
      </c>
      <c r="O740" s="909">
        <v>5779</v>
      </c>
      <c r="P740" s="911">
        <f t="shared" si="23"/>
        <v>14095</v>
      </c>
      <c r="Q740" s="909"/>
      <c r="R740" s="910">
        <v>99005</v>
      </c>
      <c r="S740" s="912">
        <v>943</v>
      </c>
      <c r="T740" s="912">
        <v>99948</v>
      </c>
    </row>
    <row r="741" spans="1:20" x14ac:dyDescent="0.25">
      <c r="A741" s="906">
        <v>98051</v>
      </c>
      <c r="B741" s="907" t="s">
        <v>3301</v>
      </c>
      <c r="C741" s="908">
        <v>2.8019999999999998E-4</v>
      </c>
      <c r="D741" s="908">
        <v>3.0019999999999998E-4</v>
      </c>
      <c r="E741" s="909">
        <v>428068</v>
      </c>
      <c r="F741" s="909"/>
      <c r="G741" s="910">
        <v>24661</v>
      </c>
      <c r="H741" s="911">
        <v>103936</v>
      </c>
      <c r="I741" s="910">
        <v>61134</v>
      </c>
      <c r="J741" s="909">
        <v>21691</v>
      </c>
      <c r="K741" s="911">
        <f t="shared" si="22"/>
        <v>211422</v>
      </c>
      <c r="L741" s="909"/>
      <c r="M741" s="910">
        <v>12117</v>
      </c>
      <c r="N741" s="910">
        <v>0</v>
      </c>
      <c r="O741" s="909">
        <v>7516</v>
      </c>
      <c r="P741" s="911">
        <f t="shared" si="23"/>
        <v>19633</v>
      </c>
      <c r="Q741" s="909"/>
      <c r="R741" s="910">
        <v>144259</v>
      </c>
      <c r="S741" s="912">
        <v>7566</v>
      </c>
      <c r="T741" s="912">
        <v>151825</v>
      </c>
    </row>
    <row r="742" spans="1:20" x14ac:dyDescent="0.25">
      <c r="A742" s="906">
        <v>98061</v>
      </c>
      <c r="B742" s="907" t="s">
        <v>3302</v>
      </c>
      <c r="C742" s="908">
        <v>1.0670000000000001E-4</v>
      </c>
      <c r="D742" s="908">
        <v>9.9099999999999996E-5</v>
      </c>
      <c r="E742" s="909">
        <v>163008</v>
      </c>
      <c r="F742" s="909"/>
      <c r="G742" s="910">
        <v>9391</v>
      </c>
      <c r="H742" s="911">
        <v>39579</v>
      </c>
      <c r="I742" s="910">
        <v>23280</v>
      </c>
      <c r="J742" s="909">
        <v>3820</v>
      </c>
      <c r="K742" s="911">
        <f t="shared" si="22"/>
        <v>76070</v>
      </c>
      <c r="L742" s="909"/>
      <c r="M742" s="910">
        <v>4614</v>
      </c>
      <c r="N742" s="910">
        <v>0</v>
      </c>
      <c r="O742" s="909">
        <v>17433</v>
      </c>
      <c r="P742" s="911">
        <f t="shared" si="23"/>
        <v>22047</v>
      </c>
      <c r="Q742" s="909"/>
      <c r="R742" s="910">
        <v>54934</v>
      </c>
      <c r="S742" s="912">
        <v>-6260</v>
      </c>
      <c r="T742" s="912">
        <v>48674</v>
      </c>
    </row>
    <row r="743" spans="1:20" x14ac:dyDescent="0.25">
      <c r="A743" s="906">
        <v>98071</v>
      </c>
      <c r="B743" s="907" t="s">
        <v>3303</v>
      </c>
      <c r="C743" s="908">
        <v>4.0099999999999999E-5</v>
      </c>
      <c r="D743" s="908">
        <v>3.4400000000000003E-5</v>
      </c>
      <c r="E743" s="909">
        <v>61262</v>
      </c>
      <c r="F743" s="909"/>
      <c r="G743" s="910">
        <v>3529</v>
      </c>
      <c r="H743" s="911">
        <v>14874</v>
      </c>
      <c r="I743" s="910">
        <v>8749</v>
      </c>
      <c r="J743" s="909">
        <v>18505</v>
      </c>
      <c r="K743" s="911">
        <f t="shared" si="22"/>
        <v>45657</v>
      </c>
      <c r="L743" s="909"/>
      <c r="M743" s="910">
        <v>1734</v>
      </c>
      <c r="N743" s="910">
        <v>0</v>
      </c>
      <c r="O743" s="909">
        <v>1200</v>
      </c>
      <c r="P743" s="911">
        <f t="shared" si="23"/>
        <v>2934</v>
      </c>
      <c r="Q743" s="909"/>
      <c r="R743" s="910">
        <v>20645</v>
      </c>
      <c r="S743" s="912">
        <v>4654</v>
      </c>
      <c r="T743" s="912">
        <v>25299</v>
      </c>
    </row>
    <row r="744" spans="1:20" x14ac:dyDescent="0.25">
      <c r="A744" s="906">
        <v>98081</v>
      </c>
      <c r="B744" s="907" t="s">
        <v>3304</v>
      </c>
      <c r="C744" s="908">
        <v>1.8300000000000001E-5</v>
      </c>
      <c r="D744" s="908">
        <v>1.9400000000000001E-5</v>
      </c>
      <c r="E744" s="909">
        <v>27957</v>
      </c>
      <c r="F744" s="909"/>
      <c r="G744" s="910">
        <v>1611</v>
      </c>
      <c r="H744" s="911">
        <v>6788</v>
      </c>
      <c r="I744" s="910">
        <v>3993</v>
      </c>
      <c r="J744" s="909">
        <v>0</v>
      </c>
      <c r="K744" s="911">
        <f t="shared" si="22"/>
        <v>12392</v>
      </c>
      <c r="L744" s="909"/>
      <c r="M744" s="910">
        <v>791</v>
      </c>
      <c r="N744" s="910">
        <v>0</v>
      </c>
      <c r="O744" s="909">
        <v>4207</v>
      </c>
      <c r="P744" s="911">
        <f t="shared" si="23"/>
        <v>4998</v>
      </c>
      <c r="Q744" s="909"/>
      <c r="R744" s="910">
        <v>9422</v>
      </c>
      <c r="S744" s="912">
        <v>-1896</v>
      </c>
      <c r="T744" s="912">
        <v>7526</v>
      </c>
    </row>
    <row r="745" spans="1:20" x14ac:dyDescent="0.25">
      <c r="A745" s="906">
        <v>98091</v>
      </c>
      <c r="B745" s="907" t="s">
        <v>3305</v>
      </c>
      <c r="C745" s="908">
        <v>4.7500000000000003E-5</v>
      </c>
      <c r="D745" s="908">
        <v>5.0899999999999997E-5</v>
      </c>
      <c r="E745" s="909">
        <v>72567</v>
      </c>
      <c r="F745" s="909"/>
      <c r="G745" s="910">
        <v>4181</v>
      </c>
      <c r="H745" s="911">
        <v>17619</v>
      </c>
      <c r="I745" s="910">
        <v>10364</v>
      </c>
      <c r="J745" s="909">
        <v>1261</v>
      </c>
      <c r="K745" s="911">
        <f t="shared" si="22"/>
        <v>33425</v>
      </c>
      <c r="L745" s="909"/>
      <c r="M745" s="910">
        <v>2054</v>
      </c>
      <c r="N745" s="910">
        <v>0</v>
      </c>
      <c r="O745" s="909">
        <v>807</v>
      </c>
      <c r="P745" s="911">
        <f t="shared" si="23"/>
        <v>2861</v>
      </c>
      <c r="Q745" s="909"/>
      <c r="R745" s="910">
        <v>24455</v>
      </c>
      <c r="S745" s="912">
        <v>-295</v>
      </c>
      <c r="T745" s="912">
        <v>24160</v>
      </c>
    </row>
    <row r="746" spans="1:20" x14ac:dyDescent="0.25">
      <c r="A746" s="906">
        <v>98101</v>
      </c>
      <c r="B746" s="907" t="s">
        <v>3306</v>
      </c>
      <c r="C746" s="908">
        <v>2.8706999999999999E-3</v>
      </c>
      <c r="D746" s="908">
        <v>2.7642999999999999E-3</v>
      </c>
      <c r="E746" s="909">
        <v>4385634</v>
      </c>
      <c r="F746" s="909"/>
      <c r="G746" s="910">
        <v>252653</v>
      </c>
      <c r="H746" s="911">
        <v>1064838</v>
      </c>
      <c r="I746" s="910">
        <v>626329</v>
      </c>
      <c r="J746" s="909">
        <v>37308</v>
      </c>
      <c r="K746" s="911">
        <f t="shared" si="22"/>
        <v>1981128</v>
      </c>
      <c r="L746" s="909"/>
      <c r="M746" s="910">
        <v>124143</v>
      </c>
      <c r="N746" s="910">
        <v>0</v>
      </c>
      <c r="O746" s="909">
        <v>32438</v>
      </c>
      <c r="P746" s="911">
        <f t="shared" si="23"/>
        <v>156581</v>
      </c>
      <c r="Q746" s="909"/>
      <c r="R746" s="910">
        <v>1477963</v>
      </c>
      <c r="S746" s="912">
        <v>14286</v>
      </c>
      <c r="T746" s="912">
        <f>1492248+1</f>
        <v>1492249</v>
      </c>
    </row>
    <row r="747" spans="1:20" x14ac:dyDescent="0.25">
      <c r="A747" s="906">
        <v>98102</v>
      </c>
      <c r="B747" s="907" t="s">
        <v>3307</v>
      </c>
      <c r="C747" s="908">
        <v>1.5809999999999999E-4</v>
      </c>
      <c r="D747" s="908">
        <v>1.683E-4</v>
      </c>
      <c r="E747" s="909">
        <v>241533</v>
      </c>
      <c r="F747" s="909"/>
      <c r="G747" s="910">
        <v>13915</v>
      </c>
      <c r="H747" s="911">
        <v>58644</v>
      </c>
      <c r="I747" s="910">
        <v>34494</v>
      </c>
      <c r="J747" s="909">
        <v>0</v>
      </c>
      <c r="K747" s="911">
        <f t="shared" si="22"/>
        <v>107053</v>
      </c>
      <c r="L747" s="909"/>
      <c r="M747" s="910">
        <v>6837</v>
      </c>
      <c r="N747" s="910">
        <v>0</v>
      </c>
      <c r="O747" s="909">
        <v>14329</v>
      </c>
      <c r="P747" s="911">
        <f t="shared" si="23"/>
        <v>21166</v>
      </c>
      <c r="Q747" s="909"/>
      <c r="R747" s="910">
        <v>81397</v>
      </c>
      <c r="S747" s="912">
        <v>-5584</v>
      </c>
      <c r="T747" s="912">
        <v>75813</v>
      </c>
    </row>
    <row r="748" spans="1:20" x14ac:dyDescent="0.25">
      <c r="A748" s="906">
        <v>98103</v>
      </c>
      <c r="B748" s="907" t="s">
        <v>3308</v>
      </c>
      <c r="C748" s="908">
        <v>5.4410000000000005E-4</v>
      </c>
      <c r="D748" s="908">
        <v>5.3600000000000002E-4</v>
      </c>
      <c r="E748" s="909">
        <v>831234</v>
      </c>
      <c r="F748" s="909"/>
      <c r="G748" s="910">
        <v>47887</v>
      </c>
      <c r="H748" s="911">
        <v>201824</v>
      </c>
      <c r="I748" s="910">
        <v>118712</v>
      </c>
      <c r="J748" s="909">
        <v>9730</v>
      </c>
      <c r="K748" s="911">
        <f t="shared" si="22"/>
        <v>378153</v>
      </c>
      <c r="L748" s="909"/>
      <c r="M748" s="910">
        <v>23530</v>
      </c>
      <c r="N748" s="910">
        <v>0</v>
      </c>
      <c r="O748" s="909">
        <v>27055</v>
      </c>
      <c r="P748" s="911">
        <f t="shared" si="23"/>
        <v>50585</v>
      </c>
      <c r="Q748" s="909"/>
      <c r="R748" s="910">
        <v>280127</v>
      </c>
      <c r="S748" s="912">
        <v>-17051</v>
      </c>
      <c r="T748" s="912">
        <v>263076</v>
      </c>
    </row>
    <row r="749" spans="1:20" x14ac:dyDescent="0.25">
      <c r="A749" s="906">
        <v>98107</v>
      </c>
      <c r="B749" s="907" t="s">
        <v>3309</v>
      </c>
      <c r="C749" s="908">
        <v>1.08E-5</v>
      </c>
      <c r="D749" s="908">
        <v>1.08E-5</v>
      </c>
      <c r="E749" s="909">
        <v>16499</v>
      </c>
      <c r="F749" s="909"/>
      <c r="G749" s="910">
        <v>951</v>
      </c>
      <c r="H749" s="911">
        <v>4006</v>
      </c>
      <c r="I749" s="910">
        <v>2356</v>
      </c>
      <c r="J749" s="909">
        <v>8237</v>
      </c>
      <c r="K749" s="911">
        <f t="shared" si="22"/>
        <v>15550</v>
      </c>
      <c r="L749" s="909"/>
      <c r="M749" s="910">
        <v>467</v>
      </c>
      <c r="N749" s="910">
        <v>0</v>
      </c>
      <c r="O749" s="909">
        <v>0</v>
      </c>
      <c r="P749" s="911">
        <f t="shared" si="23"/>
        <v>467</v>
      </c>
      <c r="Q749" s="909"/>
      <c r="R749" s="910">
        <v>5560</v>
      </c>
      <c r="S749" s="912">
        <v>3467</v>
      </c>
      <c r="T749" s="912">
        <v>9027</v>
      </c>
    </row>
    <row r="750" spans="1:20" x14ac:dyDescent="0.25">
      <c r="A750" s="906">
        <v>98109</v>
      </c>
      <c r="B750" s="907" t="s">
        <v>3310</v>
      </c>
      <c r="C750" s="908">
        <v>1.573E-4</v>
      </c>
      <c r="D750" s="908">
        <v>1.4660000000000001E-4</v>
      </c>
      <c r="E750" s="909">
        <v>240311</v>
      </c>
      <c r="F750" s="909"/>
      <c r="G750" s="910">
        <v>13844</v>
      </c>
      <c r="H750" s="911">
        <v>58348</v>
      </c>
      <c r="I750" s="910">
        <v>34320</v>
      </c>
      <c r="J750" s="909">
        <v>12163</v>
      </c>
      <c r="K750" s="911">
        <f t="shared" si="22"/>
        <v>118675</v>
      </c>
      <c r="L750" s="909"/>
      <c r="M750" s="910">
        <v>6802</v>
      </c>
      <c r="N750" s="910">
        <v>0</v>
      </c>
      <c r="O750" s="909">
        <v>24551</v>
      </c>
      <c r="P750" s="911">
        <f t="shared" si="23"/>
        <v>31353</v>
      </c>
      <c r="Q750" s="909"/>
      <c r="R750" s="910">
        <v>80985</v>
      </c>
      <c r="S750" s="912">
        <v>-7590</v>
      </c>
      <c r="T750" s="912">
        <v>73395</v>
      </c>
    </row>
    <row r="751" spans="1:20" x14ac:dyDescent="0.25">
      <c r="A751" s="906">
        <v>98111</v>
      </c>
      <c r="B751" s="907" t="s">
        <v>3311</v>
      </c>
      <c r="C751" s="908">
        <v>1.0143000000000001E-3</v>
      </c>
      <c r="D751" s="908">
        <v>1.0191E-3</v>
      </c>
      <c r="E751" s="909">
        <v>1549569</v>
      </c>
      <c r="F751" s="909"/>
      <c r="G751" s="910">
        <v>89270</v>
      </c>
      <c r="H751" s="911">
        <v>376238</v>
      </c>
      <c r="I751" s="910">
        <v>221300</v>
      </c>
      <c r="J751" s="909">
        <v>0</v>
      </c>
      <c r="K751" s="911">
        <f t="shared" si="22"/>
        <v>686808</v>
      </c>
      <c r="L751" s="909"/>
      <c r="M751" s="910">
        <v>43863</v>
      </c>
      <c r="N751" s="910">
        <v>0</v>
      </c>
      <c r="O751" s="909">
        <v>66610</v>
      </c>
      <c r="P751" s="911">
        <f t="shared" si="23"/>
        <v>110473</v>
      </c>
      <c r="Q751" s="909"/>
      <c r="R751" s="910">
        <v>522206</v>
      </c>
      <c r="S751" s="912">
        <v>-21506</v>
      </c>
      <c r="T751" s="912">
        <v>500700</v>
      </c>
    </row>
    <row r="752" spans="1:20" x14ac:dyDescent="0.25">
      <c r="A752" s="906">
        <v>98113</v>
      </c>
      <c r="B752" s="907" t="s">
        <v>3312</v>
      </c>
      <c r="C752" s="908">
        <v>4.6199999999999998E-5</v>
      </c>
      <c r="D752" s="908">
        <v>3.8999999999999999E-5</v>
      </c>
      <c r="E752" s="909">
        <v>70581</v>
      </c>
      <c r="F752" s="909"/>
      <c r="G752" s="910">
        <v>4066</v>
      </c>
      <c r="H752" s="911">
        <v>17137</v>
      </c>
      <c r="I752" s="910">
        <v>10080</v>
      </c>
      <c r="J752" s="909">
        <v>11739</v>
      </c>
      <c r="K752" s="911">
        <f t="shared" si="22"/>
        <v>43022</v>
      </c>
      <c r="L752" s="909"/>
      <c r="M752" s="910">
        <v>1998</v>
      </c>
      <c r="N752" s="910">
        <v>0</v>
      </c>
      <c r="O752" s="909">
        <v>0</v>
      </c>
      <c r="P752" s="911">
        <f t="shared" si="23"/>
        <v>1998</v>
      </c>
      <c r="Q752" s="909"/>
      <c r="R752" s="910">
        <v>23786</v>
      </c>
      <c r="S752" s="912">
        <v>4647</v>
      </c>
      <c r="T752" s="912">
        <f>28432+1</f>
        <v>28433</v>
      </c>
    </row>
    <row r="753" spans="1:20" x14ac:dyDescent="0.25">
      <c r="A753" s="906">
        <v>98121</v>
      </c>
      <c r="B753" s="907" t="s">
        <v>3313</v>
      </c>
      <c r="C753" s="908">
        <v>2.0100000000000001E-4</v>
      </c>
      <c r="D753" s="908">
        <v>2.2910000000000001E-4</v>
      </c>
      <c r="E753" s="909">
        <v>307072</v>
      </c>
      <c r="F753" s="909"/>
      <c r="G753" s="910">
        <v>17690</v>
      </c>
      <c r="H753" s="911">
        <v>74558</v>
      </c>
      <c r="I753" s="910">
        <v>43854</v>
      </c>
      <c r="J753" s="909">
        <v>2134</v>
      </c>
      <c r="K753" s="911">
        <f t="shared" si="22"/>
        <v>138236</v>
      </c>
      <c r="L753" s="909"/>
      <c r="M753" s="910">
        <v>8692</v>
      </c>
      <c r="N753" s="910">
        <v>0</v>
      </c>
      <c r="O753" s="909">
        <v>25239</v>
      </c>
      <c r="P753" s="911">
        <f t="shared" si="23"/>
        <v>33931</v>
      </c>
      <c r="Q753" s="909"/>
      <c r="R753" s="910">
        <v>103484</v>
      </c>
      <c r="S753" s="912">
        <v>-5712</v>
      </c>
      <c r="T753" s="912">
        <f>97771+1</f>
        <v>97772</v>
      </c>
    </row>
    <row r="754" spans="1:20" x14ac:dyDescent="0.25">
      <c r="A754" s="906">
        <v>98131</v>
      </c>
      <c r="B754" s="907" t="s">
        <v>3314</v>
      </c>
      <c r="C754" s="908">
        <v>2.5230000000000001E-4</v>
      </c>
      <c r="D754" s="908">
        <v>2.9569999999999998E-4</v>
      </c>
      <c r="E754" s="909">
        <v>385445</v>
      </c>
      <c r="F754" s="909"/>
      <c r="G754" s="910">
        <v>22205</v>
      </c>
      <c r="H754" s="911">
        <v>93586</v>
      </c>
      <c r="I754" s="910">
        <v>55047</v>
      </c>
      <c r="J754" s="909">
        <v>0</v>
      </c>
      <c r="K754" s="911">
        <f t="shared" si="22"/>
        <v>170838</v>
      </c>
      <c r="L754" s="909"/>
      <c r="M754" s="910">
        <v>10911</v>
      </c>
      <c r="N754" s="910">
        <v>0</v>
      </c>
      <c r="O754" s="909">
        <v>53749</v>
      </c>
      <c r="P754" s="911">
        <f t="shared" si="23"/>
        <v>64660</v>
      </c>
      <c r="Q754" s="909"/>
      <c r="R754" s="910">
        <v>129895</v>
      </c>
      <c r="S754" s="912">
        <v>-23653</v>
      </c>
      <c r="T754" s="912">
        <v>106242</v>
      </c>
    </row>
    <row r="755" spans="1:20" x14ac:dyDescent="0.25">
      <c r="A755" s="906">
        <v>98141</v>
      </c>
      <c r="B755" s="907" t="s">
        <v>3315</v>
      </c>
      <c r="C755" s="908">
        <v>3.0360000000000001E-4</v>
      </c>
      <c r="D755" s="908">
        <v>2.9030000000000001E-4</v>
      </c>
      <c r="E755" s="909">
        <v>463817</v>
      </c>
      <c r="F755" s="909"/>
      <c r="G755" s="910">
        <v>26720</v>
      </c>
      <c r="H755" s="911">
        <v>112616</v>
      </c>
      <c r="I755" s="910">
        <v>66239</v>
      </c>
      <c r="J755" s="909">
        <v>5226</v>
      </c>
      <c r="K755" s="911">
        <f t="shared" si="22"/>
        <v>210801</v>
      </c>
      <c r="L755" s="909"/>
      <c r="M755" s="910">
        <v>13129</v>
      </c>
      <c r="N755" s="910">
        <v>0</v>
      </c>
      <c r="O755" s="909">
        <v>22375</v>
      </c>
      <c r="P755" s="911">
        <f t="shared" si="23"/>
        <v>35504</v>
      </c>
      <c r="Q755" s="909"/>
      <c r="R755" s="910">
        <v>156307</v>
      </c>
      <c r="S755" s="912">
        <v>-11630</v>
      </c>
      <c r="T755" s="912">
        <v>144677</v>
      </c>
    </row>
    <row r="756" spans="1:20" x14ac:dyDescent="0.25">
      <c r="A756" s="906">
        <v>98147</v>
      </c>
      <c r="B756" s="907" t="s">
        <v>3316</v>
      </c>
      <c r="C756" s="908">
        <v>1.29E-5</v>
      </c>
      <c r="D756" s="908">
        <v>1.29E-5</v>
      </c>
      <c r="E756" s="909">
        <v>19708</v>
      </c>
      <c r="F756" s="909"/>
      <c r="G756" s="910">
        <v>1135</v>
      </c>
      <c r="H756" s="911">
        <v>4785</v>
      </c>
      <c r="I756" s="910">
        <v>2815</v>
      </c>
      <c r="J756" s="909">
        <v>8231</v>
      </c>
      <c r="K756" s="911">
        <f t="shared" si="22"/>
        <v>16966</v>
      </c>
      <c r="L756" s="909"/>
      <c r="M756" s="910">
        <v>558</v>
      </c>
      <c r="N756" s="910">
        <v>0</v>
      </c>
      <c r="O756" s="909">
        <v>0</v>
      </c>
      <c r="P756" s="911">
        <f t="shared" si="23"/>
        <v>558</v>
      </c>
      <c r="Q756" s="909"/>
      <c r="R756" s="910">
        <v>6641</v>
      </c>
      <c r="S756" s="912">
        <v>3295</v>
      </c>
      <c r="T756" s="912">
        <f>9937-1</f>
        <v>9936</v>
      </c>
    </row>
    <row r="757" spans="1:20" x14ac:dyDescent="0.25">
      <c r="A757" s="906">
        <v>98161</v>
      </c>
      <c r="B757" s="907" t="s">
        <v>3317</v>
      </c>
      <c r="C757" s="908">
        <v>7.3000000000000004E-6</v>
      </c>
      <c r="D757" s="908">
        <v>7.4000000000000003E-6</v>
      </c>
      <c r="E757" s="909">
        <v>11152</v>
      </c>
      <c r="F757" s="909"/>
      <c r="G757" s="910">
        <v>642</v>
      </c>
      <c r="H757" s="911">
        <v>2708</v>
      </c>
      <c r="I757" s="910">
        <v>1593</v>
      </c>
      <c r="J757" s="909">
        <v>2689</v>
      </c>
      <c r="K757" s="911">
        <f t="shared" si="22"/>
        <v>7632</v>
      </c>
      <c r="L757" s="909"/>
      <c r="M757" s="910">
        <v>316</v>
      </c>
      <c r="N757" s="910">
        <v>0</v>
      </c>
      <c r="O757" s="909">
        <v>0</v>
      </c>
      <c r="P757" s="911">
        <f t="shared" si="23"/>
        <v>316</v>
      </c>
      <c r="Q757" s="909"/>
      <c r="R757" s="910">
        <v>3758</v>
      </c>
      <c r="S757" s="912">
        <v>1075</v>
      </c>
      <c r="T757" s="912">
        <v>4833</v>
      </c>
    </row>
    <row r="758" spans="1:20" x14ac:dyDescent="0.25">
      <c r="A758" s="906">
        <v>98201</v>
      </c>
      <c r="B758" s="907" t="s">
        <v>3318</v>
      </c>
      <c r="C758" s="908">
        <v>3.1664000000000002E-3</v>
      </c>
      <c r="D758" s="908">
        <v>3.0368999999999999E-3</v>
      </c>
      <c r="E758" s="909">
        <v>4837382</v>
      </c>
      <c r="F758" s="909"/>
      <c r="G758" s="910">
        <v>278678</v>
      </c>
      <c r="H758" s="911">
        <v>1174522</v>
      </c>
      <c r="I758" s="910">
        <v>690845</v>
      </c>
      <c r="J758" s="909">
        <v>63594</v>
      </c>
      <c r="K758" s="911">
        <f t="shared" si="22"/>
        <v>2207639</v>
      </c>
      <c r="L758" s="909"/>
      <c r="M758" s="910">
        <v>136931</v>
      </c>
      <c r="N758" s="910">
        <v>0</v>
      </c>
      <c r="O758" s="909">
        <v>39608</v>
      </c>
      <c r="P758" s="911">
        <f t="shared" si="23"/>
        <v>176539</v>
      </c>
      <c r="Q758" s="909"/>
      <c r="R758" s="910">
        <v>1630202</v>
      </c>
      <c r="S758" s="912">
        <v>-5370</v>
      </c>
      <c r="T758" s="912">
        <v>1624832</v>
      </c>
    </row>
    <row r="759" spans="1:20" x14ac:dyDescent="0.25">
      <c r="A759" s="906">
        <v>98205</v>
      </c>
      <c r="B759" s="907" t="s">
        <v>3319</v>
      </c>
      <c r="C759" s="908">
        <v>4.6799999999999999E-5</v>
      </c>
      <c r="D759" s="908">
        <v>5.13E-5</v>
      </c>
      <c r="E759" s="909">
        <v>71497</v>
      </c>
      <c r="F759" s="909"/>
      <c r="G759" s="910">
        <v>4119</v>
      </c>
      <c r="H759" s="911">
        <v>17359</v>
      </c>
      <c r="I759" s="910">
        <v>10211</v>
      </c>
      <c r="J759" s="909">
        <v>1985</v>
      </c>
      <c r="K759" s="911">
        <f t="shared" si="22"/>
        <v>33674</v>
      </c>
      <c r="L759" s="909"/>
      <c r="M759" s="910">
        <v>2024</v>
      </c>
      <c r="N759" s="910">
        <v>0</v>
      </c>
      <c r="O759" s="909">
        <v>2510</v>
      </c>
      <c r="P759" s="911">
        <f t="shared" si="23"/>
        <v>4534</v>
      </c>
      <c r="Q759" s="909"/>
      <c r="R759" s="910">
        <v>24095</v>
      </c>
      <c r="S759" s="912">
        <v>-141</v>
      </c>
      <c r="T759" s="912">
        <f>23953+1</f>
        <v>23954</v>
      </c>
    </row>
    <row r="760" spans="1:20" x14ac:dyDescent="0.25">
      <c r="A760" s="906">
        <v>98211</v>
      </c>
      <c r="B760" s="907" t="s">
        <v>3320</v>
      </c>
      <c r="C760" s="908">
        <v>8.6689999999999998E-4</v>
      </c>
      <c r="D760" s="908">
        <v>9.1609999999999999E-4</v>
      </c>
      <c r="E760" s="909">
        <v>1324383</v>
      </c>
      <c r="F760" s="909"/>
      <c r="G760" s="910">
        <v>76297</v>
      </c>
      <c r="H760" s="911">
        <v>321561</v>
      </c>
      <c r="I760" s="910">
        <v>189140</v>
      </c>
      <c r="J760" s="909">
        <v>0</v>
      </c>
      <c r="K760" s="911">
        <f t="shared" si="22"/>
        <v>586998</v>
      </c>
      <c r="L760" s="909"/>
      <c r="M760" s="910">
        <v>37489</v>
      </c>
      <c r="N760" s="910">
        <v>0</v>
      </c>
      <c r="O760" s="909">
        <v>136830</v>
      </c>
      <c r="P760" s="911">
        <f t="shared" si="23"/>
        <v>174319</v>
      </c>
      <c r="Q760" s="909"/>
      <c r="R760" s="910">
        <v>446318</v>
      </c>
      <c r="S760" s="912">
        <v>-50136</v>
      </c>
      <c r="T760" s="912">
        <v>396182</v>
      </c>
    </row>
    <row r="761" spans="1:20" x14ac:dyDescent="0.25">
      <c r="A761" s="906">
        <v>98218</v>
      </c>
      <c r="B761" s="907" t="s">
        <v>3321</v>
      </c>
      <c r="C761" s="908">
        <v>1.3200000000000001E-5</v>
      </c>
      <c r="D761" s="908">
        <v>1.0200000000000001E-5</v>
      </c>
      <c r="E761" s="909">
        <v>20166</v>
      </c>
      <c r="F761" s="909"/>
      <c r="G761" s="910">
        <v>1162</v>
      </c>
      <c r="H761" s="911">
        <v>4896</v>
      </c>
      <c r="I761" s="910">
        <v>2880</v>
      </c>
      <c r="J761" s="909">
        <v>1827</v>
      </c>
      <c r="K761" s="911">
        <f t="shared" si="22"/>
        <v>10765</v>
      </c>
      <c r="L761" s="909"/>
      <c r="M761" s="910">
        <v>571</v>
      </c>
      <c r="N761" s="910">
        <v>0</v>
      </c>
      <c r="O761" s="909">
        <v>1072</v>
      </c>
      <c r="P761" s="911">
        <f t="shared" si="23"/>
        <v>1643</v>
      </c>
      <c r="Q761" s="909"/>
      <c r="R761" s="910">
        <v>6796</v>
      </c>
      <c r="S761" s="912">
        <v>-336</v>
      </c>
      <c r="T761" s="912">
        <v>6460</v>
      </c>
    </row>
    <row r="762" spans="1:20" x14ac:dyDescent="0.25">
      <c r="A762" s="906">
        <v>98221</v>
      </c>
      <c r="B762" s="907" t="s">
        <v>3322</v>
      </c>
      <c r="C762" s="908">
        <v>1.8899999999999999E-5</v>
      </c>
      <c r="D762" s="908">
        <v>1.6799999999999998E-5</v>
      </c>
      <c r="E762" s="909">
        <v>28874</v>
      </c>
      <c r="F762" s="909"/>
      <c r="G762" s="910">
        <v>1663</v>
      </c>
      <c r="H762" s="911">
        <v>7011</v>
      </c>
      <c r="I762" s="910">
        <v>4124</v>
      </c>
      <c r="J762" s="909">
        <v>4593</v>
      </c>
      <c r="K762" s="911">
        <f t="shared" si="22"/>
        <v>17391</v>
      </c>
      <c r="L762" s="909"/>
      <c r="M762" s="910">
        <v>817</v>
      </c>
      <c r="N762" s="910">
        <v>0</v>
      </c>
      <c r="O762" s="909">
        <v>0</v>
      </c>
      <c r="P762" s="911">
        <f t="shared" si="23"/>
        <v>817</v>
      </c>
      <c r="Q762" s="909"/>
      <c r="R762" s="910">
        <v>9731</v>
      </c>
      <c r="S762" s="912">
        <v>1469</v>
      </c>
      <c r="T762" s="912">
        <v>11200</v>
      </c>
    </row>
    <row r="763" spans="1:20" x14ac:dyDescent="0.25">
      <c r="A763" s="906">
        <v>98231</v>
      </c>
      <c r="B763" s="907" t="s">
        <v>3323</v>
      </c>
      <c r="C763" s="908">
        <v>2.2799999999999999E-5</v>
      </c>
      <c r="D763" s="908">
        <v>3.1999999999999999E-5</v>
      </c>
      <c r="E763" s="909">
        <v>34832</v>
      </c>
      <c r="F763" s="909"/>
      <c r="G763" s="910">
        <v>2007</v>
      </c>
      <c r="H763" s="911">
        <v>8457</v>
      </c>
      <c r="I763" s="910">
        <v>4975</v>
      </c>
      <c r="J763" s="909">
        <v>1705</v>
      </c>
      <c r="K763" s="911">
        <f t="shared" si="22"/>
        <v>17144</v>
      </c>
      <c r="L763" s="909"/>
      <c r="M763" s="910">
        <v>986</v>
      </c>
      <c r="N763" s="910">
        <v>0</v>
      </c>
      <c r="O763" s="909">
        <v>9632</v>
      </c>
      <c r="P763" s="911">
        <f t="shared" si="23"/>
        <v>10618</v>
      </c>
      <c r="Q763" s="909"/>
      <c r="R763" s="910">
        <v>11738</v>
      </c>
      <c r="S763" s="912">
        <v>-3592</v>
      </c>
      <c r="T763" s="912">
        <v>8146</v>
      </c>
    </row>
    <row r="764" spans="1:20" x14ac:dyDescent="0.25">
      <c r="A764" s="906">
        <v>98237</v>
      </c>
      <c r="B764" s="907" t="s">
        <v>3324</v>
      </c>
      <c r="C764" s="908">
        <v>5.9000000000000003E-6</v>
      </c>
      <c r="D764" s="908">
        <v>2.7E-6</v>
      </c>
      <c r="E764" s="909">
        <v>9014</v>
      </c>
      <c r="F764" s="909"/>
      <c r="G764" s="910">
        <v>519</v>
      </c>
      <c r="H764" s="911">
        <v>2188</v>
      </c>
      <c r="I764" s="910">
        <v>1287</v>
      </c>
      <c r="J764" s="909">
        <v>5034</v>
      </c>
      <c r="K764" s="911">
        <f t="shared" si="22"/>
        <v>9028</v>
      </c>
      <c r="L764" s="909"/>
      <c r="M764" s="910">
        <v>255</v>
      </c>
      <c r="N764" s="910">
        <v>0</v>
      </c>
      <c r="O764" s="909">
        <v>0</v>
      </c>
      <c r="P764" s="911">
        <f t="shared" si="23"/>
        <v>255</v>
      </c>
      <c r="Q764" s="909"/>
      <c r="R764" s="910">
        <v>3038</v>
      </c>
      <c r="S764" s="912">
        <v>1666</v>
      </c>
      <c r="T764" s="912">
        <v>4704</v>
      </c>
    </row>
    <row r="765" spans="1:20" x14ac:dyDescent="0.25">
      <c r="A765" s="906">
        <v>98241</v>
      </c>
      <c r="B765" s="907" t="s">
        <v>3325</v>
      </c>
      <c r="C765" s="908">
        <v>1.5099999999999999E-5</v>
      </c>
      <c r="D765" s="908">
        <v>1.98E-5</v>
      </c>
      <c r="E765" s="909">
        <v>23069</v>
      </c>
      <c r="F765" s="909"/>
      <c r="G765" s="910">
        <v>1329</v>
      </c>
      <c r="H765" s="911">
        <v>5602</v>
      </c>
      <c r="I765" s="910">
        <v>3295</v>
      </c>
      <c r="J765" s="909">
        <v>5512</v>
      </c>
      <c r="K765" s="911">
        <f t="shared" si="22"/>
        <v>15738</v>
      </c>
      <c r="L765" s="909"/>
      <c r="M765" s="910">
        <v>653</v>
      </c>
      <c r="N765" s="910">
        <v>0</v>
      </c>
      <c r="O765" s="909">
        <v>2200</v>
      </c>
      <c r="P765" s="911">
        <f t="shared" si="23"/>
        <v>2853</v>
      </c>
      <c r="Q765" s="909"/>
      <c r="R765" s="910">
        <v>7774</v>
      </c>
      <c r="S765" s="912">
        <v>2564</v>
      </c>
      <c r="T765" s="912">
        <f>10339-1</f>
        <v>10338</v>
      </c>
    </row>
    <row r="766" spans="1:20" x14ac:dyDescent="0.25">
      <c r="A766" s="906">
        <v>98251</v>
      </c>
      <c r="B766" s="907" t="s">
        <v>3326</v>
      </c>
      <c r="C766" s="908">
        <v>3.0000000000000001E-6</v>
      </c>
      <c r="D766" s="908">
        <v>3.1E-6</v>
      </c>
      <c r="E766" s="909">
        <v>4583</v>
      </c>
      <c r="F766" s="909"/>
      <c r="G766" s="910">
        <v>264</v>
      </c>
      <c r="H766" s="911">
        <v>1113</v>
      </c>
      <c r="I766" s="910">
        <v>655</v>
      </c>
      <c r="J766" s="909">
        <v>1375</v>
      </c>
      <c r="K766" s="911">
        <f t="shared" si="22"/>
        <v>3407</v>
      </c>
      <c r="L766" s="909"/>
      <c r="M766" s="910">
        <v>130</v>
      </c>
      <c r="N766" s="910">
        <v>0</v>
      </c>
      <c r="O766" s="909">
        <v>0</v>
      </c>
      <c r="P766" s="911">
        <f t="shared" si="23"/>
        <v>130</v>
      </c>
      <c r="Q766" s="909"/>
      <c r="R766" s="910">
        <v>1545</v>
      </c>
      <c r="S766" s="912">
        <v>561</v>
      </c>
      <c r="T766" s="912">
        <v>2106</v>
      </c>
    </row>
    <row r="767" spans="1:20" x14ac:dyDescent="0.25">
      <c r="A767" s="906">
        <v>98261</v>
      </c>
      <c r="B767" s="907" t="s">
        <v>3327</v>
      </c>
      <c r="C767" s="908">
        <v>3.3200000000000001E-5</v>
      </c>
      <c r="D767" s="908">
        <v>2.97E-5</v>
      </c>
      <c r="E767" s="909">
        <v>50720</v>
      </c>
      <c r="F767" s="909"/>
      <c r="G767" s="910">
        <v>2922</v>
      </c>
      <c r="H767" s="911">
        <v>12315</v>
      </c>
      <c r="I767" s="910">
        <v>7244</v>
      </c>
      <c r="J767" s="909">
        <v>6546</v>
      </c>
      <c r="K767" s="911">
        <f t="shared" si="22"/>
        <v>29027</v>
      </c>
      <c r="L767" s="909"/>
      <c r="M767" s="910">
        <v>1436</v>
      </c>
      <c r="N767" s="910">
        <v>0</v>
      </c>
      <c r="O767" s="909">
        <v>4922</v>
      </c>
      <c r="P767" s="911">
        <f t="shared" si="23"/>
        <v>6358</v>
      </c>
      <c r="Q767" s="909"/>
      <c r="R767" s="910">
        <v>17093</v>
      </c>
      <c r="S767" s="912">
        <v>793</v>
      </c>
      <c r="T767" s="912">
        <v>17886</v>
      </c>
    </row>
    <row r="768" spans="1:20" x14ac:dyDescent="0.25">
      <c r="A768" s="906">
        <v>98271</v>
      </c>
      <c r="B768" s="907" t="s">
        <v>3328</v>
      </c>
      <c r="C768" s="908">
        <v>5.1000000000000003E-6</v>
      </c>
      <c r="D768" s="908">
        <v>4.5000000000000001E-6</v>
      </c>
      <c r="E768" s="909">
        <v>7791</v>
      </c>
      <c r="F768" s="909"/>
      <c r="G768" s="910">
        <v>449</v>
      </c>
      <c r="H768" s="911">
        <v>1891</v>
      </c>
      <c r="I768" s="910">
        <v>1113</v>
      </c>
      <c r="J768" s="909">
        <v>3229</v>
      </c>
      <c r="K768" s="911">
        <f t="shared" si="22"/>
        <v>6682</v>
      </c>
      <c r="L768" s="909"/>
      <c r="M768" s="910">
        <v>221</v>
      </c>
      <c r="N768" s="910">
        <v>0</v>
      </c>
      <c r="O768" s="909">
        <v>0</v>
      </c>
      <c r="P768" s="911">
        <f t="shared" si="23"/>
        <v>221</v>
      </c>
      <c r="Q768" s="909"/>
      <c r="R768" s="910">
        <v>2626</v>
      </c>
      <c r="S768" s="912">
        <v>1560</v>
      </c>
      <c r="T768" s="912">
        <f>4185+1</f>
        <v>4186</v>
      </c>
    </row>
    <row r="769" spans="1:20" x14ac:dyDescent="0.25">
      <c r="A769" s="906">
        <v>98301</v>
      </c>
      <c r="B769" s="907" t="s">
        <v>3329</v>
      </c>
      <c r="C769" s="908">
        <v>1.7542E-3</v>
      </c>
      <c r="D769" s="908">
        <v>1.7776999999999999E-3</v>
      </c>
      <c r="E769" s="909">
        <v>2679932</v>
      </c>
      <c r="F769" s="909"/>
      <c r="G769" s="910">
        <v>154389</v>
      </c>
      <c r="H769" s="911">
        <v>650690</v>
      </c>
      <c r="I769" s="910">
        <v>382731</v>
      </c>
      <c r="J769" s="909">
        <v>51704</v>
      </c>
      <c r="K769" s="911">
        <f t="shared" si="22"/>
        <v>1239514</v>
      </c>
      <c r="L769" s="909"/>
      <c r="M769" s="910">
        <v>75860</v>
      </c>
      <c r="N769" s="910">
        <v>0</v>
      </c>
      <c r="O769" s="909">
        <v>7816</v>
      </c>
      <c r="P769" s="911">
        <f t="shared" si="23"/>
        <v>83676</v>
      </c>
      <c r="Q769" s="909"/>
      <c r="R769" s="910">
        <v>903139</v>
      </c>
      <c r="S769" s="912">
        <v>17344</v>
      </c>
      <c r="T769" s="912">
        <v>920483</v>
      </c>
    </row>
    <row r="770" spans="1:20" x14ac:dyDescent="0.25">
      <c r="A770" s="906">
        <v>98304</v>
      </c>
      <c r="B770" s="907" t="s">
        <v>3330</v>
      </c>
      <c r="C770" s="908">
        <v>2.0999999999999999E-5</v>
      </c>
      <c r="D770" s="908">
        <v>2.2900000000000001E-5</v>
      </c>
      <c r="E770" s="909">
        <v>32082</v>
      </c>
      <c r="F770" s="909"/>
      <c r="G770" s="910">
        <v>1848</v>
      </c>
      <c r="H770" s="911">
        <v>7790</v>
      </c>
      <c r="I770" s="910">
        <v>4582</v>
      </c>
      <c r="J770" s="909">
        <v>2290</v>
      </c>
      <c r="K770" s="911">
        <f t="shared" si="22"/>
        <v>16510</v>
      </c>
      <c r="L770" s="909"/>
      <c r="M770" s="910">
        <v>908</v>
      </c>
      <c r="N770" s="910">
        <v>0</v>
      </c>
      <c r="O770" s="909">
        <v>0</v>
      </c>
      <c r="P770" s="911">
        <f t="shared" si="23"/>
        <v>908</v>
      </c>
      <c r="Q770" s="909"/>
      <c r="R770" s="910">
        <v>10812</v>
      </c>
      <c r="S770" s="912">
        <v>818</v>
      </c>
      <c r="T770" s="912">
        <f>11629+1</f>
        <v>11630</v>
      </c>
    </row>
    <row r="771" spans="1:20" x14ac:dyDescent="0.25">
      <c r="A771" s="906">
        <v>98308</v>
      </c>
      <c r="B771" s="907" t="s">
        <v>3331</v>
      </c>
      <c r="C771" s="908">
        <v>2.37E-5</v>
      </c>
      <c r="D771" s="908">
        <v>2.55E-5</v>
      </c>
      <c r="E771" s="909">
        <v>36207</v>
      </c>
      <c r="F771" s="909"/>
      <c r="G771" s="910">
        <v>2086</v>
      </c>
      <c r="H771" s="911">
        <v>8791</v>
      </c>
      <c r="I771" s="910">
        <v>5171</v>
      </c>
      <c r="J771" s="909">
        <v>7272</v>
      </c>
      <c r="K771" s="911">
        <f t="shared" si="22"/>
        <v>23320</v>
      </c>
      <c r="L771" s="909"/>
      <c r="M771" s="910">
        <v>1025</v>
      </c>
      <c r="N771" s="910">
        <v>0</v>
      </c>
      <c r="O771" s="909">
        <v>0</v>
      </c>
      <c r="P771" s="911">
        <f t="shared" si="23"/>
        <v>1025</v>
      </c>
      <c r="Q771" s="909"/>
      <c r="R771" s="910">
        <v>12202</v>
      </c>
      <c r="S771" s="912">
        <v>3390</v>
      </c>
      <c r="T771" s="912">
        <v>15592</v>
      </c>
    </row>
    <row r="772" spans="1:20" x14ac:dyDescent="0.25">
      <c r="A772" s="906">
        <v>98311</v>
      </c>
      <c r="B772" s="907" t="s">
        <v>3332</v>
      </c>
      <c r="C772" s="908">
        <v>1.1536000000000001E-3</v>
      </c>
      <c r="D772" s="908">
        <v>1.1441999999999999E-3</v>
      </c>
      <c r="E772" s="909">
        <v>1762381</v>
      </c>
      <c r="F772" s="909"/>
      <c r="G772" s="910">
        <v>101529</v>
      </c>
      <c r="H772" s="911">
        <v>427908</v>
      </c>
      <c r="I772" s="910">
        <v>251692</v>
      </c>
      <c r="J772" s="909">
        <v>12653</v>
      </c>
      <c r="K772" s="911">
        <f t="shared" si="22"/>
        <v>793782</v>
      </c>
      <c r="L772" s="909"/>
      <c r="M772" s="910">
        <v>49887</v>
      </c>
      <c r="N772" s="910">
        <v>0</v>
      </c>
      <c r="O772" s="909">
        <v>98661</v>
      </c>
      <c r="P772" s="911">
        <f t="shared" si="23"/>
        <v>148548</v>
      </c>
      <c r="Q772" s="909"/>
      <c r="R772" s="910">
        <v>593924</v>
      </c>
      <c r="S772" s="912">
        <v>-18424</v>
      </c>
      <c r="T772" s="912">
        <f>575501-1</f>
        <v>575500</v>
      </c>
    </row>
    <row r="773" spans="1:20" x14ac:dyDescent="0.25">
      <c r="A773" s="906">
        <v>98313</v>
      </c>
      <c r="B773" s="907" t="s">
        <v>3333</v>
      </c>
      <c r="C773" s="908">
        <v>2.3560000000000001E-4</v>
      </c>
      <c r="D773" s="908">
        <v>2.4240000000000001E-4</v>
      </c>
      <c r="E773" s="909">
        <v>359932</v>
      </c>
      <c r="F773" s="909"/>
      <c r="G773" s="910">
        <v>20735</v>
      </c>
      <c r="H773" s="911">
        <v>87392</v>
      </c>
      <c r="I773" s="910">
        <v>51403</v>
      </c>
      <c r="J773" s="909">
        <v>233571</v>
      </c>
      <c r="K773" s="911">
        <f t="shared" si="22"/>
        <v>393101</v>
      </c>
      <c r="L773" s="909"/>
      <c r="M773" s="910">
        <v>10189</v>
      </c>
      <c r="N773" s="910">
        <v>0</v>
      </c>
      <c r="O773" s="909">
        <v>59</v>
      </c>
      <c r="P773" s="911">
        <f t="shared" si="23"/>
        <v>10248</v>
      </c>
      <c r="Q773" s="909"/>
      <c r="R773" s="910">
        <v>121297</v>
      </c>
      <c r="S773" s="912">
        <v>77966</v>
      </c>
      <c r="T773" s="912">
        <v>199263</v>
      </c>
    </row>
    <row r="774" spans="1:20" x14ac:dyDescent="0.25">
      <c r="A774" s="906">
        <v>98321</v>
      </c>
      <c r="B774" s="907" t="s">
        <v>3334</v>
      </c>
      <c r="C774" s="908">
        <v>2.05E-5</v>
      </c>
      <c r="D774" s="908">
        <v>2.1399999999999998E-5</v>
      </c>
      <c r="E774" s="909">
        <v>31318</v>
      </c>
      <c r="F774" s="909"/>
      <c r="G774" s="910">
        <v>1804</v>
      </c>
      <c r="H774" s="911">
        <v>7604</v>
      </c>
      <c r="I774" s="910">
        <v>4473</v>
      </c>
      <c r="J774" s="909">
        <v>1639</v>
      </c>
      <c r="K774" s="911">
        <f t="shared" si="22"/>
        <v>15520</v>
      </c>
      <c r="L774" s="909"/>
      <c r="M774" s="910">
        <v>887</v>
      </c>
      <c r="N774" s="910">
        <v>0</v>
      </c>
      <c r="O774" s="909">
        <v>3066</v>
      </c>
      <c r="P774" s="911">
        <f t="shared" si="23"/>
        <v>3953</v>
      </c>
      <c r="Q774" s="909"/>
      <c r="R774" s="910">
        <v>10554</v>
      </c>
      <c r="S774" s="912">
        <v>472</v>
      </c>
      <c r="T774" s="912">
        <v>11026</v>
      </c>
    </row>
    <row r="775" spans="1:20" x14ac:dyDescent="0.25">
      <c r="A775" s="906">
        <v>98331</v>
      </c>
      <c r="B775" s="907" t="s">
        <v>3335</v>
      </c>
      <c r="C775" s="908">
        <v>9.7999999999999993E-6</v>
      </c>
      <c r="D775" s="908">
        <v>1.03E-5</v>
      </c>
      <c r="E775" s="909">
        <v>14972</v>
      </c>
      <c r="F775" s="909"/>
      <c r="G775" s="910">
        <v>863</v>
      </c>
      <c r="H775" s="911">
        <v>3635</v>
      </c>
      <c r="I775" s="910">
        <v>2138</v>
      </c>
      <c r="J775" s="909">
        <v>3035</v>
      </c>
      <c r="K775" s="911">
        <f t="shared" ref="K775:K838" si="24">G775+H775+I775+J775</f>
        <v>9671</v>
      </c>
      <c r="L775" s="909"/>
      <c r="M775" s="910">
        <v>424</v>
      </c>
      <c r="N775" s="910">
        <v>0</v>
      </c>
      <c r="O775" s="909">
        <v>132</v>
      </c>
      <c r="P775" s="911">
        <f t="shared" ref="P775:P838" si="25">M775+N775+O775</f>
        <v>556</v>
      </c>
      <c r="Q775" s="909"/>
      <c r="R775" s="910">
        <v>5045</v>
      </c>
      <c r="S775" s="912">
        <v>972</v>
      </c>
      <c r="T775" s="912">
        <f>6018-1</f>
        <v>6017</v>
      </c>
    </row>
    <row r="776" spans="1:20" x14ac:dyDescent="0.25">
      <c r="A776" s="906">
        <v>98401</v>
      </c>
      <c r="B776" s="907" t="s">
        <v>3336</v>
      </c>
      <c r="C776" s="908">
        <v>2.7655000000000002E-3</v>
      </c>
      <c r="D776" s="908">
        <v>2.7567999999999998E-3</v>
      </c>
      <c r="E776" s="909">
        <v>4224918</v>
      </c>
      <c r="F776" s="909"/>
      <c r="G776" s="910">
        <v>243394</v>
      </c>
      <c r="H776" s="911">
        <v>1025815</v>
      </c>
      <c r="I776" s="910">
        <v>603377</v>
      </c>
      <c r="J776" s="909">
        <v>168129</v>
      </c>
      <c r="K776" s="911">
        <f t="shared" si="24"/>
        <v>2040715</v>
      </c>
      <c r="L776" s="909"/>
      <c r="M776" s="910">
        <v>119594</v>
      </c>
      <c r="N776" s="910">
        <v>0</v>
      </c>
      <c r="O776" s="909">
        <v>6292</v>
      </c>
      <c r="P776" s="911">
        <f t="shared" si="25"/>
        <v>125886</v>
      </c>
      <c r="Q776" s="909"/>
      <c r="R776" s="910">
        <v>1423801</v>
      </c>
      <c r="S776" s="912">
        <v>58759</v>
      </c>
      <c r="T776" s="912">
        <v>1482560</v>
      </c>
    </row>
    <row r="777" spans="1:20" x14ac:dyDescent="0.25">
      <c r="A777" s="906">
        <v>98404</v>
      </c>
      <c r="B777" s="907" t="s">
        <v>3591</v>
      </c>
      <c r="C777" s="908">
        <v>1.52E-5</v>
      </c>
      <c r="D777" s="908">
        <v>0</v>
      </c>
      <c r="E777" s="909">
        <v>23221</v>
      </c>
      <c r="F777" s="909"/>
      <c r="G777" s="910">
        <v>1338</v>
      </c>
      <c r="H777" s="911">
        <v>5638</v>
      </c>
      <c r="I777" s="910">
        <v>3316</v>
      </c>
      <c r="J777" s="909">
        <v>9290</v>
      </c>
      <c r="K777" s="911">
        <f t="shared" si="24"/>
        <v>19582</v>
      </c>
      <c r="L777" s="909"/>
      <c r="M777" s="910">
        <v>657</v>
      </c>
      <c r="N777" s="910">
        <v>0</v>
      </c>
      <c r="O777" s="909">
        <v>0</v>
      </c>
      <c r="P777" s="911">
        <f t="shared" si="25"/>
        <v>657</v>
      </c>
      <c r="Q777" s="909"/>
      <c r="R777" s="910">
        <v>7826</v>
      </c>
      <c r="S777" s="912">
        <v>2323</v>
      </c>
      <c r="T777" s="912">
        <f>10148+1</f>
        <v>10149</v>
      </c>
    </row>
    <row r="778" spans="1:20" x14ac:dyDescent="0.25">
      <c r="A778" s="906">
        <v>98411</v>
      </c>
      <c r="B778" s="907" t="s">
        <v>3337</v>
      </c>
      <c r="C778" s="908">
        <v>1.9816E-3</v>
      </c>
      <c r="D778" s="908">
        <v>2.0076999999999998E-3</v>
      </c>
      <c r="E778" s="909">
        <v>3027336</v>
      </c>
      <c r="F778" s="909"/>
      <c r="G778" s="910">
        <v>174403</v>
      </c>
      <c r="H778" s="911">
        <v>735040</v>
      </c>
      <c r="I778" s="910">
        <v>432345</v>
      </c>
      <c r="J778" s="909">
        <v>3986</v>
      </c>
      <c r="K778" s="911">
        <f t="shared" si="24"/>
        <v>1345774</v>
      </c>
      <c r="L778" s="909"/>
      <c r="M778" s="910">
        <v>85694</v>
      </c>
      <c r="N778" s="910">
        <v>0</v>
      </c>
      <c r="O778" s="909">
        <v>73699</v>
      </c>
      <c r="P778" s="911">
        <f t="shared" si="25"/>
        <v>159393</v>
      </c>
      <c r="Q778" s="909"/>
      <c r="R778" s="910">
        <v>1020215</v>
      </c>
      <c r="S778" s="912">
        <v>-19116</v>
      </c>
      <c r="T778" s="912">
        <v>1001099</v>
      </c>
    </row>
    <row r="779" spans="1:20" x14ac:dyDescent="0.25">
      <c r="A779" s="906">
        <v>98414</v>
      </c>
      <c r="B779" s="907" t="s">
        <v>2576</v>
      </c>
      <c r="C779" s="914">
        <f>0.00283%+0.00102%</f>
        <v>3.8500000000000001E-5</v>
      </c>
      <c r="D779" s="908">
        <v>4.3600000000000003E-5</v>
      </c>
      <c r="E779" s="909">
        <f>43235+15583</f>
        <v>58818</v>
      </c>
      <c r="F779" s="909"/>
      <c r="G779" s="910">
        <f>2491+898</f>
        <v>3389</v>
      </c>
      <c r="H779" s="911">
        <v>14282</v>
      </c>
      <c r="I779" s="910">
        <f>6174+2225</f>
        <v>8399</v>
      </c>
      <c r="J779" s="909">
        <v>14474</v>
      </c>
      <c r="K779" s="911">
        <f t="shared" si="24"/>
        <v>40544</v>
      </c>
      <c r="L779" s="909"/>
      <c r="M779" s="910">
        <f>1224+441</f>
        <v>1665</v>
      </c>
      <c r="N779" s="910">
        <v>0</v>
      </c>
      <c r="O779" s="909">
        <f>0+24505</f>
        <v>24505</v>
      </c>
      <c r="P779" s="911">
        <f t="shared" si="25"/>
        <v>26170</v>
      </c>
      <c r="Q779" s="909"/>
      <c r="R779" s="910">
        <f>14570+5251</f>
        <v>19821</v>
      </c>
      <c r="S779" s="912">
        <f>3619-7460</f>
        <v>-3841</v>
      </c>
      <c r="T779" s="912">
        <f>18189-2209</f>
        <v>15980</v>
      </c>
    </row>
    <row r="780" spans="1:20" x14ac:dyDescent="0.25">
      <c r="A780" s="906">
        <v>98417</v>
      </c>
      <c r="B780" s="907" t="s">
        <v>3338</v>
      </c>
      <c r="C780" s="908">
        <v>2.2900000000000001E-5</v>
      </c>
      <c r="D780" s="908">
        <v>2.4899999999999999E-5</v>
      </c>
      <c r="E780" s="909">
        <v>34985</v>
      </c>
      <c r="F780" s="909"/>
      <c r="G780" s="910">
        <v>2015</v>
      </c>
      <c r="H780" s="911">
        <v>8494</v>
      </c>
      <c r="I780" s="910">
        <v>4996</v>
      </c>
      <c r="J780" s="909">
        <v>2511</v>
      </c>
      <c r="K780" s="911">
        <f t="shared" si="24"/>
        <v>18016</v>
      </c>
      <c r="L780" s="909"/>
      <c r="M780" s="910">
        <v>990</v>
      </c>
      <c r="N780" s="910">
        <v>0</v>
      </c>
      <c r="O780" s="909">
        <v>424</v>
      </c>
      <c r="P780" s="911">
        <f t="shared" si="25"/>
        <v>1414</v>
      </c>
      <c r="Q780" s="909"/>
      <c r="R780" s="910">
        <v>11790</v>
      </c>
      <c r="S780" s="912">
        <v>315</v>
      </c>
      <c r="T780" s="912">
        <v>12105</v>
      </c>
    </row>
    <row r="781" spans="1:20" x14ac:dyDescent="0.25">
      <c r="A781" s="906">
        <v>98421</v>
      </c>
      <c r="B781" s="907" t="s">
        <v>3339</v>
      </c>
      <c r="C781" s="908">
        <v>8.2700000000000004E-5</v>
      </c>
      <c r="D781" s="908">
        <v>1.0840000000000001E-4</v>
      </c>
      <c r="E781" s="909">
        <v>126343</v>
      </c>
      <c r="F781" s="909"/>
      <c r="G781" s="910">
        <v>7279</v>
      </c>
      <c r="H781" s="911">
        <v>30676</v>
      </c>
      <c r="I781" s="910">
        <v>18043</v>
      </c>
      <c r="J781" s="909">
        <v>5132</v>
      </c>
      <c r="K781" s="911">
        <f t="shared" si="24"/>
        <v>61130</v>
      </c>
      <c r="L781" s="909"/>
      <c r="M781" s="910">
        <v>3576</v>
      </c>
      <c r="N781" s="910">
        <v>0</v>
      </c>
      <c r="O781" s="909">
        <v>12725</v>
      </c>
      <c r="P781" s="911">
        <f t="shared" si="25"/>
        <v>16301</v>
      </c>
      <c r="Q781" s="909"/>
      <c r="R781" s="910">
        <v>42578</v>
      </c>
      <c r="S781" s="912">
        <v>-911</v>
      </c>
      <c r="T781" s="912">
        <v>41667</v>
      </c>
    </row>
    <row r="782" spans="1:20" x14ac:dyDescent="0.25">
      <c r="A782" s="906">
        <v>98427</v>
      </c>
      <c r="B782" s="907" t="s">
        <v>3340</v>
      </c>
      <c r="C782" s="908">
        <v>3.9999999999999998E-6</v>
      </c>
      <c r="D782" s="908">
        <v>4.6E-6</v>
      </c>
      <c r="E782" s="909">
        <v>6111</v>
      </c>
      <c r="F782" s="909"/>
      <c r="G782" s="910">
        <v>352</v>
      </c>
      <c r="H782" s="911">
        <v>1484</v>
      </c>
      <c r="I782" s="910">
        <v>873</v>
      </c>
      <c r="J782" s="909">
        <v>1351</v>
      </c>
      <c r="K782" s="911">
        <f t="shared" si="24"/>
        <v>4060</v>
      </c>
      <c r="L782" s="909"/>
      <c r="M782" s="910">
        <v>173</v>
      </c>
      <c r="N782" s="910">
        <v>0</v>
      </c>
      <c r="O782" s="909">
        <v>0</v>
      </c>
      <c r="P782" s="911">
        <f t="shared" si="25"/>
        <v>173</v>
      </c>
      <c r="Q782" s="909"/>
      <c r="R782" s="910">
        <v>2059</v>
      </c>
      <c r="S782" s="912">
        <v>487</v>
      </c>
      <c r="T782" s="912">
        <f>2547-1</f>
        <v>2546</v>
      </c>
    </row>
    <row r="783" spans="1:20" x14ac:dyDescent="0.25">
      <c r="A783" s="906">
        <v>98431</v>
      </c>
      <c r="B783" s="907" t="s">
        <v>3341</v>
      </c>
      <c r="C783" s="908">
        <v>2.0589999999999999E-4</v>
      </c>
      <c r="D783" s="908">
        <v>2.0010000000000001E-4</v>
      </c>
      <c r="E783" s="909">
        <v>314558</v>
      </c>
      <c r="F783" s="909"/>
      <c r="G783" s="910">
        <v>18121</v>
      </c>
      <c r="H783" s="911">
        <v>76375</v>
      </c>
      <c r="I783" s="910">
        <v>44923</v>
      </c>
      <c r="J783" s="909">
        <v>1246</v>
      </c>
      <c r="K783" s="911">
        <f t="shared" si="24"/>
        <v>140665</v>
      </c>
      <c r="L783" s="909"/>
      <c r="M783" s="910">
        <v>8904</v>
      </c>
      <c r="N783" s="910">
        <v>0</v>
      </c>
      <c r="O783" s="909">
        <v>24844</v>
      </c>
      <c r="P783" s="911">
        <f t="shared" si="25"/>
        <v>33748</v>
      </c>
      <c r="Q783" s="909"/>
      <c r="R783" s="910">
        <v>106006</v>
      </c>
      <c r="S783" s="912">
        <v>-7635</v>
      </c>
      <c r="T783" s="912">
        <f>98372-1</f>
        <v>98371</v>
      </c>
    </row>
    <row r="784" spans="1:20" x14ac:dyDescent="0.25">
      <c r="A784" s="906">
        <v>98441</v>
      </c>
      <c r="B784" s="907" t="s">
        <v>3342</v>
      </c>
      <c r="C784" s="908">
        <v>8.2700000000000004E-5</v>
      </c>
      <c r="D784" s="908">
        <v>9.1000000000000003E-5</v>
      </c>
      <c r="E784" s="909">
        <v>126343</v>
      </c>
      <c r="F784" s="909"/>
      <c r="G784" s="910">
        <v>7279</v>
      </c>
      <c r="H784" s="911">
        <v>30676</v>
      </c>
      <c r="I784" s="910">
        <v>18043</v>
      </c>
      <c r="J784" s="909">
        <v>570</v>
      </c>
      <c r="K784" s="911">
        <f t="shared" si="24"/>
        <v>56568</v>
      </c>
      <c r="L784" s="909"/>
      <c r="M784" s="910">
        <v>3576</v>
      </c>
      <c r="N784" s="910">
        <v>0</v>
      </c>
      <c r="O784" s="909">
        <v>22406</v>
      </c>
      <c r="P784" s="911">
        <f t="shared" si="25"/>
        <v>25982</v>
      </c>
      <c r="Q784" s="909"/>
      <c r="R784" s="910">
        <v>42578</v>
      </c>
      <c r="S784" s="912">
        <v>-8026</v>
      </c>
      <c r="T784" s="912">
        <v>34552</v>
      </c>
    </row>
    <row r="785" spans="1:20" x14ac:dyDescent="0.25">
      <c r="A785" s="906">
        <v>98451</v>
      </c>
      <c r="B785" s="907" t="s">
        <v>3343</v>
      </c>
      <c r="C785" s="908">
        <v>5.7000000000000003E-5</v>
      </c>
      <c r="D785" s="908">
        <v>5.6199999999999997E-5</v>
      </c>
      <c r="E785" s="909">
        <v>87080</v>
      </c>
      <c r="F785" s="909"/>
      <c r="G785" s="910">
        <v>5017</v>
      </c>
      <c r="H785" s="911">
        <v>21143</v>
      </c>
      <c r="I785" s="910">
        <v>12436</v>
      </c>
      <c r="J785" s="909">
        <v>508</v>
      </c>
      <c r="K785" s="911">
        <f t="shared" si="24"/>
        <v>39104</v>
      </c>
      <c r="L785" s="909"/>
      <c r="M785" s="910">
        <v>2465</v>
      </c>
      <c r="N785" s="910">
        <v>0</v>
      </c>
      <c r="O785" s="909">
        <v>1478</v>
      </c>
      <c r="P785" s="911">
        <f t="shared" si="25"/>
        <v>3943</v>
      </c>
      <c r="Q785" s="909"/>
      <c r="R785" s="910">
        <v>29346</v>
      </c>
      <c r="S785" s="912">
        <v>-530</v>
      </c>
      <c r="T785" s="912">
        <v>28816</v>
      </c>
    </row>
    <row r="786" spans="1:20" x14ac:dyDescent="0.25">
      <c r="A786" s="906">
        <v>98481</v>
      </c>
      <c r="B786" s="907" t="s">
        <v>3344</v>
      </c>
      <c r="C786" s="908">
        <v>6.3899999999999995E-5</v>
      </c>
      <c r="D786" s="908">
        <v>6.7700000000000006E-5</v>
      </c>
      <c r="E786" s="909">
        <v>97621</v>
      </c>
      <c r="F786" s="909"/>
      <c r="G786" s="910">
        <v>5624</v>
      </c>
      <c r="H786" s="911">
        <v>23703</v>
      </c>
      <c r="I786" s="910">
        <v>13942</v>
      </c>
      <c r="J786" s="909">
        <v>1545</v>
      </c>
      <c r="K786" s="911">
        <f t="shared" si="24"/>
        <v>44814</v>
      </c>
      <c r="L786" s="909"/>
      <c r="M786" s="910">
        <v>2763</v>
      </c>
      <c r="N786" s="910">
        <v>0</v>
      </c>
      <c r="O786" s="909">
        <v>5772</v>
      </c>
      <c r="P786" s="911">
        <f t="shared" si="25"/>
        <v>8535</v>
      </c>
      <c r="Q786" s="909"/>
      <c r="R786" s="910">
        <v>32899</v>
      </c>
      <c r="S786" s="912">
        <v>-35</v>
      </c>
      <c r="T786" s="912">
        <f>32863+1</f>
        <v>32864</v>
      </c>
    </row>
    <row r="787" spans="1:20" x14ac:dyDescent="0.25">
      <c r="A787" s="906">
        <v>98501</v>
      </c>
      <c r="B787" s="907" t="s">
        <v>3345</v>
      </c>
      <c r="C787" s="908">
        <v>1.6022E-3</v>
      </c>
      <c r="D787" s="908">
        <v>1.5690999999999999E-3</v>
      </c>
      <c r="E787" s="909">
        <v>2447718</v>
      </c>
      <c r="F787" s="909"/>
      <c r="G787" s="910">
        <v>141011</v>
      </c>
      <c r="H787" s="911">
        <v>594309</v>
      </c>
      <c r="I787" s="910">
        <v>349568</v>
      </c>
      <c r="J787" s="909">
        <v>75098</v>
      </c>
      <c r="K787" s="911">
        <f t="shared" si="24"/>
        <v>1159986</v>
      </c>
      <c r="L787" s="909"/>
      <c r="M787" s="910">
        <v>69287</v>
      </c>
      <c r="N787" s="910">
        <v>0</v>
      </c>
      <c r="O787" s="909">
        <v>2932</v>
      </c>
      <c r="P787" s="911">
        <f t="shared" si="25"/>
        <v>72219</v>
      </c>
      <c r="Q787" s="909"/>
      <c r="R787" s="910">
        <v>824883</v>
      </c>
      <c r="S787" s="912">
        <v>19182</v>
      </c>
      <c r="T787" s="912">
        <v>844065</v>
      </c>
    </row>
    <row r="788" spans="1:20" x14ac:dyDescent="0.25">
      <c r="A788" s="906">
        <v>98511</v>
      </c>
      <c r="B788" s="907" t="s">
        <v>3346</v>
      </c>
      <c r="C788" s="908">
        <v>4.8000000000000001E-5</v>
      </c>
      <c r="D788" s="908">
        <v>4.5800000000000002E-5</v>
      </c>
      <c r="E788" s="909">
        <v>73331</v>
      </c>
      <c r="F788" s="909"/>
      <c r="G788" s="910">
        <v>4225</v>
      </c>
      <c r="H788" s="911">
        <v>17804</v>
      </c>
      <c r="I788" s="910">
        <v>10473</v>
      </c>
      <c r="J788" s="909">
        <v>5918</v>
      </c>
      <c r="K788" s="911">
        <f t="shared" si="24"/>
        <v>38420</v>
      </c>
      <c r="L788" s="909"/>
      <c r="M788" s="910">
        <v>2076</v>
      </c>
      <c r="N788" s="910">
        <v>0</v>
      </c>
      <c r="O788" s="909">
        <v>11919</v>
      </c>
      <c r="P788" s="911">
        <f t="shared" si="25"/>
        <v>13995</v>
      </c>
      <c r="Q788" s="909"/>
      <c r="R788" s="910">
        <v>24713</v>
      </c>
      <c r="S788" s="912">
        <v>-9378</v>
      </c>
      <c r="T788" s="912">
        <f>15334+1</f>
        <v>15335</v>
      </c>
    </row>
    <row r="789" spans="1:20" x14ac:dyDescent="0.25">
      <c r="A789" s="906">
        <v>98517</v>
      </c>
      <c r="B789" s="907" t="s">
        <v>3347</v>
      </c>
      <c r="C789" s="908">
        <v>2.3E-6</v>
      </c>
      <c r="D789" s="908">
        <v>2.6000000000000001E-6</v>
      </c>
      <c r="E789" s="909">
        <v>3514</v>
      </c>
      <c r="F789" s="909"/>
      <c r="G789" s="910">
        <v>202</v>
      </c>
      <c r="H789" s="911">
        <v>854</v>
      </c>
      <c r="I789" s="910">
        <v>502</v>
      </c>
      <c r="J789" s="909">
        <v>1623</v>
      </c>
      <c r="K789" s="911">
        <f t="shared" si="24"/>
        <v>3181</v>
      </c>
      <c r="L789" s="909"/>
      <c r="M789" s="910">
        <v>99</v>
      </c>
      <c r="N789" s="910">
        <v>0</v>
      </c>
      <c r="O789" s="909">
        <v>0</v>
      </c>
      <c r="P789" s="911">
        <f t="shared" si="25"/>
        <v>99</v>
      </c>
      <c r="Q789" s="909"/>
      <c r="R789" s="910">
        <v>1184</v>
      </c>
      <c r="S789" s="912">
        <v>589</v>
      </c>
      <c r="T789" s="912">
        <v>1773</v>
      </c>
    </row>
    <row r="790" spans="1:20" x14ac:dyDescent="0.25">
      <c r="A790" s="906">
        <v>98521</v>
      </c>
      <c r="B790" s="907" t="s">
        <v>3348</v>
      </c>
      <c r="C790" s="908">
        <v>6.6180000000000004E-4</v>
      </c>
      <c r="D790" s="908">
        <v>5.7059999999999999E-4</v>
      </c>
      <c r="E790" s="909">
        <v>1011047</v>
      </c>
      <c r="F790" s="909"/>
      <c r="G790" s="910">
        <v>58246</v>
      </c>
      <c r="H790" s="911">
        <v>245484</v>
      </c>
      <c r="I790" s="910">
        <v>144392</v>
      </c>
      <c r="J790" s="909">
        <v>34795</v>
      </c>
      <c r="K790" s="911">
        <f t="shared" si="24"/>
        <v>482917</v>
      </c>
      <c r="L790" s="909"/>
      <c r="M790" s="910">
        <v>28620</v>
      </c>
      <c r="N790" s="910">
        <v>0</v>
      </c>
      <c r="O790" s="909">
        <v>43967</v>
      </c>
      <c r="P790" s="911">
        <f t="shared" si="25"/>
        <v>72587</v>
      </c>
      <c r="Q790" s="909"/>
      <c r="R790" s="910">
        <v>340724</v>
      </c>
      <c r="S790" s="912">
        <v>-10201</v>
      </c>
      <c r="T790" s="912">
        <v>330523</v>
      </c>
    </row>
    <row r="791" spans="1:20" x14ac:dyDescent="0.25">
      <c r="A791" s="906">
        <v>98601</v>
      </c>
      <c r="B791" s="907" t="s">
        <v>3349</v>
      </c>
      <c r="C791" s="908">
        <v>3.4148E-3</v>
      </c>
      <c r="D791" s="908">
        <v>3.5065999999999999E-3</v>
      </c>
      <c r="E791" s="909">
        <v>5216869</v>
      </c>
      <c r="F791" s="909"/>
      <c r="G791" s="910">
        <v>300540</v>
      </c>
      <c r="H791" s="911">
        <v>1266662</v>
      </c>
      <c r="I791" s="910">
        <v>745041</v>
      </c>
      <c r="J791" s="909">
        <v>0</v>
      </c>
      <c r="K791" s="911">
        <f t="shared" si="24"/>
        <v>2312243</v>
      </c>
      <c r="L791" s="909"/>
      <c r="M791" s="910">
        <v>147673</v>
      </c>
      <c r="N791" s="910">
        <v>0</v>
      </c>
      <c r="O791" s="909">
        <v>216693</v>
      </c>
      <c r="P791" s="911">
        <f t="shared" si="25"/>
        <v>364366</v>
      </c>
      <c r="Q791" s="909"/>
      <c r="R791" s="910">
        <v>1758089</v>
      </c>
      <c r="S791" s="912">
        <v>-93549</v>
      </c>
      <c r="T791" s="912">
        <v>1664540</v>
      </c>
    </row>
    <row r="792" spans="1:20" x14ac:dyDescent="0.25">
      <c r="A792" s="906">
        <v>98604</v>
      </c>
      <c r="B792" s="907" t="s">
        <v>3350</v>
      </c>
      <c r="C792" s="908">
        <v>1.34E-5</v>
      </c>
      <c r="D792" s="908">
        <v>1.59E-5</v>
      </c>
      <c r="E792" s="909">
        <v>20471</v>
      </c>
      <c r="F792" s="909"/>
      <c r="G792" s="910">
        <v>1179</v>
      </c>
      <c r="H792" s="911">
        <v>4970</v>
      </c>
      <c r="I792" s="910">
        <v>2924</v>
      </c>
      <c r="J792" s="909">
        <f>5979+2967</f>
        <v>8946</v>
      </c>
      <c r="K792" s="911">
        <f t="shared" si="24"/>
        <v>18019</v>
      </c>
      <c r="L792" s="909"/>
      <c r="M792" s="910">
        <v>579</v>
      </c>
      <c r="N792" s="910">
        <v>0</v>
      </c>
      <c r="O792" s="909">
        <f>527+4977</f>
        <v>5504</v>
      </c>
      <c r="P792" s="911">
        <f t="shared" si="25"/>
        <v>6083</v>
      </c>
      <c r="Q792" s="909"/>
      <c r="R792" s="910">
        <v>6899</v>
      </c>
      <c r="S792" s="912">
        <f>1959+178</f>
        <v>2137</v>
      </c>
      <c r="T792" s="912">
        <f>8857+1+178</f>
        <v>9036</v>
      </c>
    </row>
    <row r="793" spans="1:20" x14ac:dyDescent="0.25">
      <c r="A793" s="906">
        <v>98607</v>
      </c>
      <c r="B793" s="907" t="s">
        <v>3351</v>
      </c>
      <c r="C793" s="908">
        <v>5.9000000000000003E-6</v>
      </c>
      <c r="D793" s="908">
        <v>5.9000000000000003E-6</v>
      </c>
      <c r="E793" s="909">
        <v>9014</v>
      </c>
      <c r="F793" s="909"/>
      <c r="G793" s="910">
        <v>519</v>
      </c>
      <c r="H793" s="911">
        <v>2188</v>
      </c>
      <c r="I793" s="910">
        <v>1287</v>
      </c>
      <c r="J793" s="909">
        <v>52</v>
      </c>
      <c r="K793" s="911">
        <f t="shared" si="24"/>
        <v>4046</v>
      </c>
      <c r="L793" s="909"/>
      <c r="M793" s="910">
        <v>255</v>
      </c>
      <c r="N793" s="910">
        <v>0</v>
      </c>
      <c r="O793" s="909">
        <v>1474</v>
      </c>
      <c r="P793" s="911">
        <f t="shared" si="25"/>
        <v>1729</v>
      </c>
      <c r="Q793" s="909"/>
      <c r="R793" s="910">
        <v>3038</v>
      </c>
      <c r="S793" s="912">
        <v>-861</v>
      </c>
      <c r="T793" s="912">
        <v>2177</v>
      </c>
    </row>
    <row r="794" spans="1:20" x14ac:dyDescent="0.25">
      <c r="A794" s="906">
        <v>98608</v>
      </c>
      <c r="B794" s="907" t="s">
        <v>3352</v>
      </c>
      <c r="C794" s="908">
        <v>4.9200000000000003E-5</v>
      </c>
      <c r="D794" s="908">
        <v>4.2299999999999998E-5</v>
      </c>
      <c r="E794" s="909">
        <v>75164</v>
      </c>
      <c r="F794" s="909"/>
      <c r="G794" s="910">
        <v>4330</v>
      </c>
      <c r="H794" s="911">
        <v>18250</v>
      </c>
      <c r="I794" s="910">
        <v>10734</v>
      </c>
      <c r="J794" s="909">
        <v>6529</v>
      </c>
      <c r="K794" s="911">
        <f t="shared" si="24"/>
        <v>39843</v>
      </c>
      <c r="L794" s="909"/>
      <c r="M794" s="910">
        <v>2128</v>
      </c>
      <c r="N794" s="910">
        <v>0</v>
      </c>
      <c r="O794" s="909">
        <v>5369</v>
      </c>
      <c r="P794" s="911">
        <f t="shared" si="25"/>
        <v>7497</v>
      </c>
      <c r="Q794" s="909"/>
      <c r="R794" s="910">
        <v>25330</v>
      </c>
      <c r="S794" s="912">
        <v>1217</v>
      </c>
      <c r="T794" s="912">
        <v>26547</v>
      </c>
    </row>
    <row r="795" spans="1:20" x14ac:dyDescent="0.25">
      <c r="A795" s="906">
        <v>98611</v>
      </c>
      <c r="B795" s="907" t="s">
        <v>3353</v>
      </c>
      <c r="C795" s="908">
        <v>8.6899999999999998E-5</v>
      </c>
      <c r="D795" s="908">
        <v>8.6700000000000007E-5</v>
      </c>
      <c r="E795" s="909">
        <v>132759</v>
      </c>
      <c r="F795" s="909"/>
      <c r="G795" s="910">
        <v>7648</v>
      </c>
      <c r="H795" s="911">
        <v>32235</v>
      </c>
      <c r="I795" s="910">
        <v>18960</v>
      </c>
      <c r="J795" s="909">
        <v>10690</v>
      </c>
      <c r="K795" s="911">
        <f t="shared" si="24"/>
        <v>69533</v>
      </c>
      <c r="L795" s="909"/>
      <c r="M795" s="910">
        <v>3758</v>
      </c>
      <c r="N795" s="910">
        <v>0</v>
      </c>
      <c r="O795" s="909">
        <v>9519</v>
      </c>
      <c r="P795" s="911">
        <f t="shared" si="25"/>
        <v>13277</v>
      </c>
      <c r="Q795" s="909"/>
      <c r="R795" s="910">
        <v>44740</v>
      </c>
      <c r="S795" s="912">
        <v>910</v>
      </c>
      <c r="T795" s="912">
        <f>45649+1</f>
        <v>45650</v>
      </c>
    </row>
    <row r="796" spans="1:20" x14ac:dyDescent="0.25">
      <c r="A796" s="906">
        <v>98621</v>
      </c>
      <c r="B796" s="907" t="s">
        <v>3354</v>
      </c>
      <c r="C796" s="908">
        <v>1.314E-4</v>
      </c>
      <c r="D796" s="908">
        <v>1.3239999999999999E-4</v>
      </c>
      <c r="E796" s="909">
        <v>200743</v>
      </c>
      <c r="F796" s="909"/>
      <c r="G796" s="910">
        <v>11565</v>
      </c>
      <c r="H796" s="911">
        <v>48740</v>
      </c>
      <c r="I796" s="910">
        <v>28669</v>
      </c>
      <c r="J796" s="909">
        <v>473</v>
      </c>
      <c r="K796" s="911">
        <f t="shared" si="24"/>
        <v>89447</v>
      </c>
      <c r="L796" s="909"/>
      <c r="M796" s="910">
        <v>5682</v>
      </c>
      <c r="N796" s="910">
        <v>0</v>
      </c>
      <c r="O796" s="909">
        <v>10727</v>
      </c>
      <c r="P796" s="911">
        <f t="shared" si="25"/>
        <v>16409</v>
      </c>
      <c r="Q796" s="909"/>
      <c r="R796" s="910">
        <v>67651</v>
      </c>
      <c r="S796" s="912">
        <v>-3535</v>
      </c>
      <c r="T796" s="912">
        <f>64115+1</f>
        <v>64116</v>
      </c>
    </row>
    <row r="797" spans="1:20" x14ac:dyDescent="0.25">
      <c r="A797" s="906">
        <v>98627</v>
      </c>
      <c r="B797" s="907" t="s">
        <v>3355</v>
      </c>
      <c r="C797" s="908">
        <v>8.6999999999999997E-6</v>
      </c>
      <c r="D797" s="908">
        <v>9.3999999999999998E-6</v>
      </c>
      <c r="E797" s="909">
        <v>13291</v>
      </c>
      <c r="F797" s="909"/>
      <c r="G797" s="910">
        <v>766</v>
      </c>
      <c r="H797" s="911">
        <v>3227</v>
      </c>
      <c r="I797" s="910">
        <v>1898</v>
      </c>
      <c r="J797" s="909">
        <v>316</v>
      </c>
      <c r="K797" s="911">
        <f t="shared" si="24"/>
        <v>6207</v>
      </c>
      <c r="L797" s="909"/>
      <c r="M797" s="910">
        <v>376</v>
      </c>
      <c r="N797" s="910">
        <v>0</v>
      </c>
      <c r="O797" s="909">
        <v>1098</v>
      </c>
      <c r="P797" s="911">
        <f t="shared" si="25"/>
        <v>1474</v>
      </c>
      <c r="Q797" s="909"/>
      <c r="R797" s="910">
        <v>4479</v>
      </c>
      <c r="S797" s="912">
        <v>-220</v>
      </c>
      <c r="T797" s="912">
        <v>4259</v>
      </c>
    </row>
    <row r="798" spans="1:20" x14ac:dyDescent="0.25">
      <c r="A798" s="906">
        <v>98631</v>
      </c>
      <c r="B798" s="907" t="s">
        <v>3356</v>
      </c>
      <c r="C798" s="908">
        <v>1.0051999999999999E-3</v>
      </c>
      <c r="D798" s="908">
        <v>1.0415000000000001E-3</v>
      </c>
      <c r="E798" s="909">
        <v>1535667</v>
      </c>
      <c r="F798" s="909"/>
      <c r="G798" s="910">
        <v>88469</v>
      </c>
      <c r="H798" s="911">
        <v>372862</v>
      </c>
      <c r="I798" s="910">
        <v>219315</v>
      </c>
      <c r="J798" s="909">
        <v>0</v>
      </c>
      <c r="K798" s="911">
        <f t="shared" si="24"/>
        <v>680646</v>
      </c>
      <c r="L798" s="909"/>
      <c r="M798" s="910">
        <v>43470</v>
      </c>
      <c r="N798" s="910">
        <v>0</v>
      </c>
      <c r="O798" s="909">
        <v>102113</v>
      </c>
      <c r="P798" s="911">
        <f t="shared" si="25"/>
        <v>145583</v>
      </c>
      <c r="Q798" s="909"/>
      <c r="R798" s="910">
        <v>517521</v>
      </c>
      <c r="S798" s="912">
        <v>-41744</v>
      </c>
      <c r="T798" s="912">
        <v>475777</v>
      </c>
    </row>
    <row r="799" spans="1:20" x14ac:dyDescent="0.25">
      <c r="A799" s="906">
        <v>98637</v>
      </c>
      <c r="B799" s="907" t="s">
        <v>3357</v>
      </c>
      <c r="C799" s="908">
        <v>2.0800000000000001E-5</v>
      </c>
      <c r="D799" s="908">
        <v>2.2200000000000001E-5</v>
      </c>
      <c r="E799" s="909">
        <v>31777</v>
      </c>
      <c r="F799" s="909"/>
      <c r="G799" s="910">
        <v>1831</v>
      </c>
      <c r="H799" s="911">
        <v>7715</v>
      </c>
      <c r="I799" s="910">
        <v>4538</v>
      </c>
      <c r="J799" s="909">
        <v>8386</v>
      </c>
      <c r="K799" s="911">
        <f t="shared" si="24"/>
        <v>22470</v>
      </c>
      <c r="L799" s="909"/>
      <c r="M799" s="910">
        <v>899</v>
      </c>
      <c r="N799" s="910">
        <v>0</v>
      </c>
      <c r="O799" s="909">
        <v>0</v>
      </c>
      <c r="P799" s="911">
        <f t="shared" si="25"/>
        <v>899</v>
      </c>
      <c r="Q799" s="909"/>
      <c r="R799" s="910">
        <v>10709</v>
      </c>
      <c r="S799" s="912">
        <v>3206</v>
      </c>
      <c r="T799" s="912">
        <f>13914+1</f>
        <v>13915</v>
      </c>
    </row>
    <row r="800" spans="1:20" x14ac:dyDescent="0.25">
      <c r="A800" s="906">
        <v>98641</v>
      </c>
      <c r="B800" s="907" t="s">
        <v>3358</v>
      </c>
      <c r="C800" s="908">
        <v>2.965E-4</v>
      </c>
      <c r="D800" s="908">
        <v>3.0019999999999998E-4</v>
      </c>
      <c r="E800" s="909">
        <v>452970</v>
      </c>
      <c r="F800" s="909"/>
      <c r="G800" s="910">
        <v>26095</v>
      </c>
      <c r="H800" s="911">
        <v>109981</v>
      </c>
      <c r="I800" s="910">
        <v>64690</v>
      </c>
      <c r="J800" s="909">
        <v>3407</v>
      </c>
      <c r="K800" s="911">
        <f t="shared" si="24"/>
        <v>204173</v>
      </c>
      <c r="L800" s="909"/>
      <c r="M800" s="910">
        <v>12822</v>
      </c>
      <c r="N800" s="910">
        <v>0</v>
      </c>
      <c r="O800" s="909">
        <v>7840</v>
      </c>
      <c r="P800" s="911">
        <f t="shared" si="25"/>
        <v>20662</v>
      </c>
      <c r="Q800" s="909"/>
      <c r="R800" s="910">
        <v>152651</v>
      </c>
      <c r="S800" s="912">
        <v>-183</v>
      </c>
      <c r="T800" s="912">
        <v>152468</v>
      </c>
    </row>
    <row r="801" spans="1:20" x14ac:dyDescent="0.25">
      <c r="A801" s="906">
        <v>98701</v>
      </c>
      <c r="B801" s="907" t="s">
        <v>3360</v>
      </c>
      <c r="C801" s="908">
        <v>1.1333999999999999E-3</v>
      </c>
      <c r="D801" s="908">
        <v>1.1793000000000001E-3</v>
      </c>
      <c r="E801" s="909">
        <v>1731521</v>
      </c>
      <c r="F801" s="909"/>
      <c r="G801" s="910">
        <v>99752</v>
      </c>
      <c r="H801" s="911">
        <v>420415</v>
      </c>
      <c r="I801" s="910">
        <v>247285</v>
      </c>
      <c r="J801" s="909">
        <v>3431</v>
      </c>
      <c r="K801" s="911">
        <f t="shared" si="24"/>
        <v>770883</v>
      </c>
      <c r="L801" s="909"/>
      <c r="M801" s="910">
        <v>49014</v>
      </c>
      <c r="N801" s="910">
        <v>0</v>
      </c>
      <c r="O801" s="909">
        <v>66380</v>
      </c>
      <c r="P801" s="911">
        <f t="shared" si="25"/>
        <v>115394</v>
      </c>
      <c r="Q801" s="909"/>
      <c r="R801" s="910">
        <v>583524</v>
      </c>
      <c r="S801" s="912">
        <v>-25976</v>
      </c>
      <c r="T801" s="912">
        <v>557548</v>
      </c>
    </row>
    <row r="802" spans="1:20" x14ac:dyDescent="0.25">
      <c r="A802" s="906">
        <v>98711</v>
      </c>
      <c r="B802" s="907" t="s">
        <v>3361</v>
      </c>
      <c r="C802" s="908">
        <v>1.8369999999999999E-4</v>
      </c>
      <c r="D802" s="908">
        <v>1.8039999999999999E-4</v>
      </c>
      <c r="E802" s="909">
        <v>280643</v>
      </c>
      <c r="F802" s="909"/>
      <c r="G802" s="910">
        <v>16168</v>
      </c>
      <c r="H802" s="911">
        <v>68140</v>
      </c>
      <c r="I802" s="910">
        <v>40080</v>
      </c>
      <c r="J802" s="909">
        <v>1238</v>
      </c>
      <c r="K802" s="911">
        <f t="shared" si="24"/>
        <v>125626</v>
      </c>
      <c r="L802" s="909"/>
      <c r="M802" s="910">
        <v>7944</v>
      </c>
      <c r="N802" s="910">
        <v>0</v>
      </c>
      <c r="O802" s="909">
        <v>16374</v>
      </c>
      <c r="P802" s="911">
        <f t="shared" si="25"/>
        <v>24318</v>
      </c>
      <c r="Q802" s="909"/>
      <c r="R802" s="910">
        <v>94577</v>
      </c>
      <c r="S802" s="912">
        <v>-4053</v>
      </c>
      <c r="T802" s="912">
        <v>90524</v>
      </c>
    </row>
    <row r="803" spans="1:20" x14ac:dyDescent="0.25">
      <c r="A803" s="906">
        <v>98717</v>
      </c>
      <c r="B803" s="907" t="s">
        <v>3362</v>
      </c>
      <c r="C803" s="908">
        <v>2.1100000000000001E-5</v>
      </c>
      <c r="D803" s="908">
        <v>1.8600000000000001E-5</v>
      </c>
      <c r="E803" s="909">
        <v>32235</v>
      </c>
      <c r="F803" s="909"/>
      <c r="G803" s="910">
        <v>1857</v>
      </c>
      <c r="H803" s="911">
        <v>7827</v>
      </c>
      <c r="I803" s="910">
        <v>4604</v>
      </c>
      <c r="J803" s="909">
        <v>1439</v>
      </c>
      <c r="K803" s="911">
        <f t="shared" si="24"/>
        <v>15727</v>
      </c>
      <c r="L803" s="909"/>
      <c r="M803" s="910">
        <v>912</v>
      </c>
      <c r="N803" s="910">
        <v>0</v>
      </c>
      <c r="O803" s="909">
        <v>534</v>
      </c>
      <c r="P803" s="911">
        <f t="shared" si="25"/>
        <v>1446</v>
      </c>
      <c r="Q803" s="909"/>
      <c r="R803" s="910">
        <v>10863</v>
      </c>
      <c r="S803" s="912">
        <v>247</v>
      </c>
      <c r="T803" s="912">
        <v>11110</v>
      </c>
    </row>
    <row r="804" spans="1:20" x14ac:dyDescent="0.25">
      <c r="A804" s="906">
        <v>98801</v>
      </c>
      <c r="B804" s="907" t="s">
        <v>3363</v>
      </c>
      <c r="C804" s="908">
        <v>2.2859E-3</v>
      </c>
      <c r="D804" s="908">
        <v>2.1771999999999998E-3</v>
      </c>
      <c r="E804" s="909">
        <v>3492222</v>
      </c>
      <c r="F804" s="909"/>
      <c r="G804" s="910">
        <v>201184</v>
      </c>
      <c r="H804" s="911">
        <v>847916</v>
      </c>
      <c r="I804" s="910">
        <v>498738</v>
      </c>
      <c r="J804" s="909">
        <v>146068</v>
      </c>
      <c r="K804" s="911">
        <f t="shared" si="24"/>
        <v>1693906</v>
      </c>
      <c r="L804" s="909"/>
      <c r="M804" s="910">
        <v>98854</v>
      </c>
      <c r="N804" s="910">
        <v>0</v>
      </c>
      <c r="O804" s="909">
        <v>0</v>
      </c>
      <c r="P804" s="911">
        <f t="shared" si="25"/>
        <v>98854</v>
      </c>
      <c r="Q804" s="909"/>
      <c r="R804" s="910">
        <v>1176882</v>
      </c>
      <c r="S804" s="912">
        <v>55567</v>
      </c>
      <c r="T804" s="912">
        <v>1232449</v>
      </c>
    </row>
    <row r="805" spans="1:20" x14ac:dyDescent="0.25">
      <c r="A805" s="906">
        <v>98811</v>
      </c>
      <c r="B805" s="907" t="s">
        <v>3364</v>
      </c>
      <c r="C805" s="908">
        <v>6.5160000000000001E-4</v>
      </c>
      <c r="D805" s="908">
        <v>7.1120000000000005E-4</v>
      </c>
      <c r="E805" s="909">
        <v>995464</v>
      </c>
      <c r="F805" s="909"/>
      <c r="G805" s="910">
        <v>57348</v>
      </c>
      <c r="H805" s="911">
        <v>241700</v>
      </c>
      <c r="I805" s="910">
        <v>142166</v>
      </c>
      <c r="J805" s="909">
        <v>16975</v>
      </c>
      <c r="K805" s="911">
        <f t="shared" si="24"/>
        <v>458189</v>
      </c>
      <c r="L805" s="909"/>
      <c r="M805" s="910">
        <v>28178</v>
      </c>
      <c r="N805" s="910">
        <v>0</v>
      </c>
      <c r="O805" s="909">
        <v>46894</v>
      </c>
      <c r="P805" s="911">
        <f t="shared" si="25"/>
        <v>75072</v>
      </c>
      <c r="Q805" s="909"/>
      <c r="R805" s="910">
        <v>335472</v>
      </c>
      <c r="S805" s="912">
        <v>-312</v>
      </c>
      <c r="T805" s="912">
        <f>335161-1</f>
        <v>335160</v>
      </c>
    </row>
    <row r="806" spans="1:20" x14ac:dyDescent="0.25">
      <c r="A806" s="906">
        <v>98817</v>
      </c>
      <c r="B806" s="907" t="s">
        <v>3365</v>
      </c>
      <c r="C806" s="908">
        <v>2.5199999999999999E-5</v>
      </c>
      <c r="D806" s="908">
        <v>2.34E-5</v>
      </c>
      <c r="E806" s="909">
        <v>38499</v>
      </c>
      <c r="F806" s="909"/>
      <c r="G806" s="910">
        <v>2218</v>
      </c>
      <c r="H806" s="911">
        <v>9347</v>
      </c>
      <c r="I806" s="910">
        <v>5498</v>
      </c>
      <c r="J806" s="909">
        <v>3862</v>
      </c>
      <c r="K806" s="911">
        <f t="shared" si="24"/>
        <v>20925</v>
      </c>
      <c r="L806" s="909"/>
      <c r="M806" s="910">
        <v>1090</v>
      </c>
      <c r="N806" s="910">
        <v>0</v>
      </c>
      <c r="O806" s="909">
        <v>2179</v>
      </c>
      <c r="P806" s="911">
        <f t="shared" si="25"/>
        <v>3269</v>
      </c>
      <c r="Q806" s="909"/>
      <c r="R806" s="910">
        <v>12974</v>
      </c>
      <c r="S806" s="912">
        <v>-1216</v>
      </c>
      <c r="T806" s="912">
        <v>11758</v>
      </c>
    </row>
    <row r="807" spans="1:20" x14ac:dyDescent="0.25">
      <c r="A807" s="906">
        <v>98901</v>
      </c>
      <c r="B807" s="907" t="s">
        <v>3366</v>
      </c>
      <c r="C807" s="908">
        <v>3.5050000000000001E-4</v>
      </c>
      <c r="D807" s="908">
        <v>3.392E-4</v>
      </c>
      <c r="E807" s="909">
        <v>535467</v>
      </c>
      <c r="F807" s="909"/>
      <c r="G807" s="910">
        <v>30848</v>
      </c>
      <c r="H807" s="911">
        <v>130012</v>
      </c>
      <c r="I807" s="910">
        <v>76472</v>
      </c>
      <c r="J807" s="909">
        <v>7505</v>
      </c>
      <c r="K807" s="911">
        <f t="shared" si="24"/>
        <v>244837</v>
      </c>
      <c r="L807" s="909"/>
      <c r="M807" s="910">
        <v>15157</v>
      </c>
      <c r="N807" s="910">
        <v>0</v>
      </c>
      <c r="O807" s="909">
        <v>2530</v>
      </c>
      <c r="P807" s="911">
        <f t="shared" si="25"/>
        <v>17687</v>
      </c>
      <c r="Q807" s="909"/>
      <c r="R807" s="910">
        <v>180453</v>
      </c>
      <c r="S807" s="912">
        <v>975</v>
      </c>
      <c r="T807" s="912">
        <v>181428</v>
      </c>
    </row>
    <row r="808" spans="1:20" x14ac:dyDescent="0.25">
      <c r="A808" s="906">
        <v>98904</v>
      </c>
      <c r="B808" s="907" t="s">
        <v>3367</v>
      </c>
      <c r="C808" s="908">
        <v>2.7999999999999999E-6</v>
      </c>
      <c r="D808" s="908">
        <v>5.2000000000000002E-6</v>
      </c>
      <c r="E808" s="909">
        <v>4278</v>
      </c>
      <c r="F808" s="909"/>
      <c r="G808" s="910">
        <v>246</v>
      </c>
      <c r="H808" s="911">
        <v>1039</v>
      </c>
      <c r="I808" s="910">
        <v>611</v>
      </c>
      <c r="J808" s="909">
        <v>365</v>
      </c>
      <c r="K808" s="911">
        <f t="shared" si="24"/>
        <v>2261</v>
      </c>
      <c r="L808" s="909"/>
      <c r="M808" s="910">
        <v>121</v>
      </c>
      <c r="N808" s="910">
        <v>0</v>
      </c>
      <c r="O808" s="909">
        <v>1887</v>
      </c>
      <c r="P808" s="911">
        <f t="shared" si="25"/>
        <v>2008</v>
      </c>
      <c r="Q808" s="909"/>
      <c r="R808" s="910">
        <v>1442</v>
      </c>
      <c r="S808" s="912">
        <v>-315</v>
      </c>
      <c r="T808" s="912">
        <f>1126+1</f>
        <v>1127</v>
      </c>
    </row>
    <row r="809" spans="1:20" x14ac:dyDescent="0.25">
      <c r="A809" s="906">
        <v>98911</v>
      </c>
      <c r="B809" s="907" t="s">
        <v>3368</v>
      </c>
      <c r="C809" s="908">
        <v>2.7900000000000001E-5</v>
      </c>
      <c r="D809" s="908">
        <v>2.8600000000000001E-5</v>
      </c>
      <c r="E809" s="909">
        <v>42623</v>
      </c>
      <c r="F809" s="909"/>
      <c r="G809" s="910">
        <v>2456</v>
      </c>
      <c r="H809" s="911">
        <v>10349</v>
      </c>
      <c r="I809" s="910">
        <v>6087</v>
      </c>
      <c r="J809" s="909">
        <v>12780</v>
      </c>
      <c r="K809" s="911">
        <f t="shared" si="24"/>
        <v>31672</v>
      </c>
      <c r="L809" s="909"/>
      <c r="M809" s="910">
        <v>1207</v>
      </c>
      <c r="N809" s="910">
        <v>0</v>
      </c>
      <c r="O809" s="909">
        <v>0</v>
      </c>
      <c r="P809" s="911">
        <f t="shared" si="25"/>
        <v>1207</v>
      </c>
      <c r="Q809" s="909"/>
      <c r="R809" s="910">
        <v>14364</v>
      </c>
      <c r="S809" s="912">
        <v>5565</v>
      </c>
      <c r="T809" s="912">
        <v>19929</v>
      </c>
    </row>
    <row r="810" spans="1:20" x14ac:dyDescent="0.25">
      <c r="A810" s="906">
        <v>99001</v>
      </c>
      <c r="B810" s="907" t="s">
        <v>3369</v>
      </c>
      <c r="C810" s="908">
        <v>8.0949000000000004E-3</v>
      </c>
      <c r="D810" s="908">
        <v>7.8098999999999998E-3</v>
      </c>
      <c r="E810" s="909">
        <v>12366765</v>
      </c>
      <c r="F810" s="909"/>
      <c r="G810" s="910">
        <v>712440</v>
      </c>
      <c r="H810" s="911">
        <v>3002666</v>
      </c>
      <c r="I810" s="910">
        <v>1766145</v>
      </c>
      <c r="J810" s="909">
        <v>355732</v>
      </c>
      <c r="K810" s="911">
        <f t="shared" si="24"/>
        <v>5836983</v>
      </c>
      <c r="L810" s="909"/>
      <c r="M810" s="910">
        <v>350064</v>
      </c>
      <c r="N810" s="910">
        <v>0</v>
      </c>
      <c r="O810" s="909">
        <v>0</v>
      </c>
      <c r="P810" s="911">
        <f t="shared" si="25"/>
        <v>350064</v>
      </c>
      <c r="Q810" s="909"/>
      <c r="R810" s="910">
        <v>4167611</v>
      </c>
      <c r="S810" s="912">
        <v>186049</v>
      </c>
      <c r="T810" s="912">
        <v>4353660</v>
      </c>
    </row>
    <row r="811" spans="1:20" x14ac:dyDescent="0.25">
      <c r="A811" s="906">
        <v>99011</v>
      </c>
      <c r="B811" s="907" t="s">
        <v>3370</v>
      </c>
      <c r="C811" s="908">
        <v>3.8736999999999999E-3</v>
      </c>
      <c r="D811" s="908">
        <v>3.9039000000000001E-3</v>
      </c>
      <c r="E811" s="909">
        <v>5917941</v>
      </c>
      <c r="F811" s="909"/>
      <c r="G811" s="910">
        <v>340928</v>
      </c>
      <c r="H811" s="911">
        <v>1436883</v>
      </c>
      <c r="I811" s="910">
        <v>845164</v>
      </c>
      <c r="J811" s="909">
        <v>0</v>
      </c>
      <c r="K811" s="911">
        <f t="shared" si="24"/>
        <v>2622975</v>
      </c>
      <c r="L811" s="909"/>
      <c r="M811" s="910">
        <v>167518</v>
      </c>
      <c r="N811" s="910">
        <v>0</v>
      </c>
      <c r="O811" s="909">
        <v>396289</v>
      </c>
      <c r="P811" s="911">
        <f t="shared" si="25"/>
        <v>563807</v>
      </c>
      <c r="Q811" s="909"/>
      <c r="R811" s="910">
        <v>1994351</v>
      </c>
      <c r="S811" s="912">
        <v>-212974</v>
      </c>
      <c r="T811" s="912">
        <v>1781377</v>
      </c>
    </row>
    <row r="812" spans="1:20" x14ac:dyDescent="0.25">
      <c r="A812" s="906">
        <v>99013</v>
      </c>
      <c r="B812" s="907" t="s">
        <v>3371</v>
      </c>
      <c r="C812" s="908">
        <v>5.5999999999999999E-5</v>
      </c>
      <c r="D812" s="908">
        <v>6.02E-5</v>
      </c>
      <c r="E812" s="909">
        <v>85552</v>
      </c>
      <c r="F812" s="909"/>
      <c r="G812" s="910">
        <v>4929</v>
      </c>
      <c r="H812" s="911">
        <v>20773</v>
      </c>
      <c r="I812" s="910">
        <v>12218</v>
      </c>
      <c r="J812" s="909">
        <v>10</v>
      </c>
      <c r="K812" s="911">
        <f t="shared" si="24"/>
        <v>37930</v>
      </c>
      <c r="L812" s="909"/>
      <c r="M812" s="910">
        <v>2422</v>
      </c>
      <c r="N812" s="910">
        <v>0</v>
      </c>
      <c r="O812" s="909">
        <v>8046</v>
      </c>
      <c r="P812" s="911">
        <f t="shared" si="25"/>
        <v>10468</v>
      </c>
      <c r="Q812" s="909"/>
      <c r="R812" s="910">
        <v>28831</v>
      </c>
      <c r="S812" s="912">
        <v>-2790</v>
      </c>
      <c r="T812" s="912">
        <f>26042-1</f>
        <v>26041</v>
      </c>
    </row>
    <row r="813" spans="1:20" x14ac:dyDescent="0.25">
      <c r="A813" s="906">
        <v>99014</v>
      </c>
      <c r="B813" s="907" t="s">
        <v>3372</v>
      </c>
      <c r="C813" s="908">
        <v>2.0100000000000001E-5</v>
      </c>
      <c r="D813" s="908">
        <v>2.4199999999999999E-5</v>
      </c>
      <c r="E813" s="909">
        <v>30707</v>
      </c>
      <c r="F813" s="909"/>
      <c r="G813" s="910">
        <v>1769</v>
      </c>
      <c r="H813" s="911">
        <v>7456</v>
      </c>
      <c r="I813" s="910">
        <v>4385</v>
      </c>
      <c r="J813" s="909">
        <v>12703</v>
      </c>
      <c r="K813" s="911">
        <f t="shared" si="24"/>
        <v>26313</v>
      </c>
      <c r="L813" s="909"/>
      <c r="M813" s="910">
        <v>869</v>
      </c>
      <c r="N813" s="910">
        <v>0</v>
      </c>
      <c r="O813" s="909">
        <v>0</v>
      </c>
      <c r="P813" s="911">
        <f t="shared" si="25"/>
        <v>869</v>
      </c>
      <c r="Q813" s="909"/>
      <c r="R813" s="910">
        <v>10348</v>
      </c>
      <c r="S813" s="912">
        <v>4335</v>
      </c>
      <c r="T813" s="912">
        <v>14683</v>
      </c>
    </row>
    <row r="814" spans="1:20" x14ac:dyDescent="0.25">
      <c r="A814" s="906">
        <v>99017</v>
      </c>
      <c r="B814" s="907" t="s">
        <v>3373</v>
      </c>
      <c r="C814" s="908">
        <v>5.13E-5</v>
      </c>
      <c r="D814" s="908">
        <v>4.6999999999999997E-5</v>
      </c>
      <c r="E814" s="909">
        <v>78372</v>
      </c>
      <c r="F814" s="909"/>
      <c r="G814" s="910">
        <v>4515</v>
      </c>
      <c r="H814" s="911">
        <v>19029</v>
      </c>
      <c r="I814" s="910">
        <v>11193</v>
      </c>
      <c r="J814" s="909">
        <v>8072</v>
      </c>
      <c r="K814" s="911">
        <f t="shared" si="24"/>
        <v>42809</v>
      </c>
      <c r="L814" s="909"/>
      <c r="M814" s="910">
        <v>2218</v>
      </c>
      <c r="N814" s="910">
        <v>0</v>
      </c>
      <c r="O814" s="909">
        <v>3306</v>
      </c>
      <c r="P814" s="911">
        <f t="shared" si="25"/>
        <v>5524</v>
      </c>
      <c r="Q814" s="909"/>
      <c r="R814" s="910">
        <v>26411</v>
      </c>
      <c r="S814" s="912">
        <v>-629</v>
      </c>
      <c r="T814" s="912">
        <v>25782</v>
      </c>
    </row>
    <row r="815" spans="1:20" x14ac:dyDescent="0.25">
      <c r="A815" s="906">
        <v>99021</v>
      </c>
      <c r="B815" s="907" t="s">
        <v>3374</v>
      </c>
      <c r="C815" s="908">
        <v>1.5249999999999999E-4</v>
      </c>
      <c r="D815" s="908">
        <v>1.3420000000000001E-4</v>
      </c>
      <c r="E815" s="909">
        <v>232978</v>
      </c>
      <c r="F815" s="909"/>
      <c r="G815" s="910">
        <v>13422</v>
      </c>
      <c r="H815" s="911">
        <v>56568</v>
      </c>
      <c r="I815" s="910">
        <v>33272</v>
      </c>
      <c r="J815" s="909">
        <v>11565</v>
      </c>
      <c r="K815" s="911">
        <f t="shared" si="24"/>
        <v>114827</v>
      </c>
      <c r="L815" s="909"/>
      <c r="M815" s="910">
        <v>6595</v>
      </c>
      <c r="N815" s="910">
        <v>0</v>
      </c>
      <c r="O815" s="909">
        <v>728</v>
      </c>
      <c r="P815" s="911">
        <f t="shared" si="25"/>
        <v>7323</v>
      </c>
      <c r="Q815" s="909"/>
      <c r="R815" s="910">
        <v>78514</v>
      </c>
      <c r="S815" s="912">
        <v>3978</v>
      </c>
      <c r="T815" s="912">
        <f>82491+1</f>
        <v>82492</v>
      </c>
    </row>
    <row r="816" spans="1:20" x14ac:dyDescent="0.25">
      <c r="A816" s="906">
        <v>99022</v>
      </c>
      <c r="B816" s="907" t="s">
        <v>1970</v>
      </c>
      <c r="C816" s="908">
        <v>1.08E-5</v>
      </c>
      <c r="D816" s="908">
        <v>1.1800000000000001E-5</v>
      </c>
      <c r="E816" s="909">
        <v>16499</v>
      </c>
      <c r="F816" s="909"/>
      <c r="G816" s="910">
        <v>951</v>
      </c>
      <c r="H816" s="911">
        <v>4006</v>
      </c>
      <c r="I816" s="910">
        <v>2356</v>
      </c>
      <c r="J816" s="909">
        <v>8944</v>
      </c>
      <c r="K816" s="911">
        <f t="shared" si="24"/>
        <v>16257</v>
      </c>
      <c r="L816" s="909"/>
      <c r="M816" s="910">
        <v>467</v>
      </c>
      <c r="N816" s="910">
        <v>0</v>
      </c>
      <c r="O816" s="909">
        <v>132</v>
      </c>
      <c r="P816" s="911">
        <f t="shared" si="25"/>
        <v>599</v>
      </c>
      <c r="Q816" s="909"/>
      <c r="R816" s="910">
        <v>5560</v>
      </c>
      <c r="S816" s="912">
        <v>2896</v>
      </c>
      <c r="T816" s="912">
        <v>8456</v>
      </c>
    </row>
    <row r="817" spans="1:20" x14ac:dyDescent="0.25">
      <c r="A817" s="906">
        <v>99031</v>
      </c>
      <c r="B817" s="907" t="s">
        <v>3375</v>
      </c>
      <c r="C817" s="908">
        <v>1.518E-4</v>
      </c>
      <c r="D817" s="908">
        <v>1.5970000000000001E-4</v>
      </c>
      <c r="E817" s="909">
        <v>231908</v>
      </c>
      <c r="F817" s="909"/>
      <c r="G817" s="910">
        <v>13360</v>
      </c>
      <c r="H817" s="911">
        <v>56308</v>
      </c>
      <c r="I817" s="910">
        <v>33120</v>
      </c>
      <c r="J817" s="909">
        <v>2845</v>
      </c>
      <c r="K817" s="911">
        <f t="shared" si="24"/>
        <v>105633</v>
      </c>
      <c r="L817" s="909"/>
      <c r="M817" s="910">
        <v>6565</v>
      </c>
      <c r="N817" s="910">
        <v>0</v>
      </c>
      <c r="O817" s="909">
        <v>23907</v>
      </c>
      <c r="P817" s="911">
        <f t="shared" si="25"/>
        <v>30472</v>
      </c>
      <c r="Q817" s="909"/>
      <c r="R817" s="910">
        <v>78153</v>
      </c>
      <c r="S817" s="912">
        <v>-11727</v>
      </c>
      <c r="T817" s="912">
        <v>66426</v>
      </c>
    </row>
    <row r="818" spans="1:20" x14ac:dyDescent="0.25">
      <c r="A818" s="906">
        <v>99041</v>
      </c>
      <c r="B818" s="907" t="s">
        <v>3376</v>
      </c>
      <c r="C818" s="908">
        <v>6.3500000000000004E-4</v>
      </c>
      <c r="D818" s="908">
        <v>5.6289999999999997E-4</v>
      </c>
      <c r="E818" s="909">
        <v>970104</v>
      </c>
      <c r="F818" s="909"/>
      <c r="G818" s="910">
        <v>55887</v>
      </c>
      <c r="H818" s="911">
        <v>235543</v>
      </c>
      <c r="I818" s="910">
        <v>138544</v>
      </c>
      <c r="J818" s="909">
        <v>52920</v>
      </c>
      <c r="K818" s="911">
        <f t="shared" si="24"/>
        <v>482894</v>
      </c>
      <c r="L818" s="909"/>
      <c r="M818" s="910">
        <v>27461</v>
      </c>
      <c r="N818" s="910">
        <v>0</v>
      </c>
      <c r="O818" s="909">
        <v>0</v>
      </c>
      <c r="P818" s="911">
        <f t="shared" si="25"/>
        <v>27461</v>
      </c>
      <c r="Q818" s="909"/>
      <c r="R818" s="910">
        <v>326926</v>
      </c>
      <c r="S818" s="912">
        <v>28997</v>
      </c>
      <c r="T818" s="912">
        <v>355923</v>
      </c>
    </row>
    <row r="819" spans="1:20" x14ac:dyDescent="0.25">
      <c r="A819" s="906">
        <v>99047</v>
      </c>
      <c r="B819" s="907" t="s">
        <v>3377</v>
      </c>
      <c r="C819" s="908">
        <v>1.42E-5</v>
      </c>
      <c r="D819" s="908">
        <v>9.2E-6</v>
      </c>
      <c r="E819" s="909">
        <v>21694</v>
      </c>
      <c r="F819" s="909"/>
      <c r="G819" s="910">
        <v>1250</v>
      </c>
      <c r="H819" s="911">
        <v>5267</v>
      </c>
      <c r="I819" s="910">
        <v>3098</v>
      </c>
      <c r="J819" s="909">
        <v>6410</v>
      </c>
      <c r="K819" s="911">
        <f t="shared" si="24"/>
        <v>16025</v>
      </c>
      <c r="L819" s="909"/>
      <c r="M819" s="910">
        <v>614</v>
      </c>
      <c r="N819" s="910">
        <v>0</v>
      </c>
      <c r="O819" s="909">
        <v>0</v>
      </c>
      <c r="P819" s="911">
        <f t="shared" si="25"/>
        <v>614</v>
      </c>
      <c r="Q819" s="909"/>
      <c r="R819" s="910">
        <v>7311</v>
      </c>
      <c r="S819" s="912">
        <v>2345</v>
      </c>
      <c r="T819" s="912">
        <f>9655+1</f>
        <v>9656</v>
      </c>
    </row>
    <row r="820" spans="1:20" x14ac:dyDescent="0.25">
      <c r="A820" s="906">
        <v>99051</v>
      </c>
      <c r="B820" s="907" t="s">
        <v>3378</v>
      </c>
      <c r="C820" s="908">
        <v>3.5359999999999998E-4</v>
      </c>
      <c r="D820" s="908">
        <v>3.3349999999999997E-4</v>
      </c>
      <c r="E820" s="909">
        <v>540203</v>
      </c>
      <c r="F820" s="909"/>
      <c r="G820" s="910">
        <v>31121</v>
      </c>
      <c r="H820" s="911">
        <v>131162</v>
      </c>
      <c r="I820" s="910">
        <v>77148</v>
      </c>
      <c r="J820" s="909">
        <v>11433</v>
      </c>
      <c r="K820" s="911">
        <f t="shared" si="24"/>
        <v>250864</v>
      </c>
      <c r="L820" s="909"/>
      <c r="M820" s="910">
        <v>15291</v>
      </c>
      <c r="N820" s="910">
        <v>0</v>
      </c>
      <c r="O820" s="909">
        <v>2536</v>
      </c>
      <c r="P820" s="911">
        <f t="shared" si="25"/>
        <v>17827</v>
      </c>
      <c r="Q820" s="909"/>
      <c r="R820" s="910">
        <v>182049</v>
      </c>
      <c r="S820" s="912">
        <v>4776</v>
      </c>
      <c r="T820" s="912">
        <f>186824+1</f>
        <v>186825</v>
      </c>
    </row>
    <row r="821" spans="1:20" x14ac:dyDescent="0.25">
      <c r="A821" s="906">
        <v>99061</v>
      </c>
      <c r="B821" s="907" t="s">
        <v>3379</v>
      </c>
      <c r="C821" s="908">
        <v>8.1000000000000004E-6</v>
      </c>
      <c r="D821" s="908">
        <v>8.3999999999999992E-6</v>
      </c>
      <c r="E821" s="909">
        <v>12375</v>
      </c>
      <c r="F821" s="909"/>
      <c r="G821" s="910">
        <v>713</v>
      </c>
      <c r="H821" s="911">
        <v>3005</v>
      </c>
      <c r="I821" s="910">
        <v>1767</v>
      </c>
      <c r="J821" s="909">
        <v>7276</v>
      </c>
      <c r="K821" s="911">
        <f t="shared" si="24"/>
        <v>12761</v>
      </c>
      <c r="L821" s="909"/>
      <c r="M821" s="910">
        <v>350</v>
      </c>
      <c r="N821" s="910">
        <v>0</v>
      </c>
      <c r="O821" s="909">
        <v>0</v>
      </c>
      <c r="P821" s="911">
        <f t="shared" si="25"/>
        <v>350</v>
      </c>
      <c r="Q821" s="909"/>
      <c r="R821" s="910">
        <v>4170</v>
      </c>
      <c r="S821" s="912">
        <v>2674</v>
      </c>
      <c r="T821" s="912">
        <v>6844</v>
      </c>
    </row>
    <row r="822" spans="1:20" x14ac:dyDescent="0.25">
      <c r="A822" s="906">
        <v>99071</v>
      </c>
      <c r="B822" s="907" t="s">
        <v>3380</v>
      </c>
      <c r="C822" s="908">
        <v>3.04E-5</v>
      </c>
      <c r="D822" s="908">
        <v>3.0499999999999999E-5</v>
      </c>
      <c r="E822" s="909">
        <v>46443</v>
      </c>
      <c r="F822" s="909"/>
      <c r="G822" s="910">
        <v>2676</v>
      </c>
      <c r="H822" s="911">
        <v>11277</v>
      </c>
      <c r="I822" s="910">
        <v>6633</v>
      </c>
      <c r="J822" s="909">
        <v>818</v>
      </c>
      <c r="K822" s="911">
        <f t="shared" si="24"/>
        <v>21404</v>
      </c>
      <c r="L822" s="909"/>
      <c r="M822" s="910">
        <v>1315</v>
      </c>
      <c r="N822" s="910">
        <v>0</v>
      </c>
      <c r="O822" s="909">
        <v>2093</v>
      </c>
      <c r="P822" s="911">
        <f t="shared" si="25"/>
        <v>3408</v>
      </c>
      <c r="Q822" s="909"/>
      <c r="R822" s="910">
        <v>15651</v>
      </c>
      <c r="S822" s="912">
        <v>-1107</v>
      </c>
      <c r="T822" s="912">
        <v>14544</v>
      </c>
    </row>
    <row r="823" spans="1:20" x14ac:dyDescent="0.25">
      <c r="A823" s="906">
        <v>99081</v>
      </c>
      <c r="B823" s="907" t="s">
        <v>3381</v>
      </c>
      <c r="C823" s="908">
        <v>1.1E-5</v>
      </c>
      <c r="D823" s="908">
        <v>2.9600000000000001E-5</v>
      </c>
      <c r="E823" s="909">
        <v>16805</v>
      </c>
      <c r="F823" s="909"/>
      <c r="G823" s="910">
        <v>968</v>
      </c>
      <c r="H823" s="911">
        <v>4081</v>
      </c>
      <c r="I823" s="910">
        <v>2400</v>
      </c>
      <c r="J823" s="909">
        <v>3587</v>
      </c>
      <c r="K823" s="911">
        <f t="shared" si="24"/>
        <v>11036</v>
      </c>
      <c r="L823" s="909"/>
      <c r="M823" s="910">
        <v>476</v>
      </c>
      <c r="N823" s="910">
        <v>0</v>
      </c>
      <c r="O823" s="909">
        <v>13215</v>
      </c>
      <c r="P823" s="911">
        <f t="shared" si="25"/>
        <v>13691</v>
      </c>
      <c r="Q823" s="909"/>
      <c r="R823" s="910">
        <v>5663</v>
      </c>
      <c r="S823" s="912">
        <v>-2898</v>
      </c>
      <c r="T823" s="912">
        <f>2766-1</f>
        <v>2765</v>
      </c>
    </row>
    <row r="824" spans="1:20" x14ac:dyDescent="0.25">
      <c r="A824" s="906">
        <v>99091</v>
      </c>
      <c r="B824" s="907" t="s">
        <v>3382</v>
      </c>
      <c r="C824" s="908">
        <v>3.9999999999999998E-6</v>
      </c>
      <c r="D824" s="908">
        <v>4.1999999999999996E-6</v>
      </c>
      <c r="E824" s="909">
        <v>6111</v>
      </c>
      <c r="F824" s="909"/>
      <c r="G824" s="910">
        <v>352</v>
      </c>
      <c r="H824" s="911">
        <v>1484</v>
      </c>
      <c r="I824" s="910">
        <v>873</v>
      </c>
      <c r="J824" s="909">
        <v>4105</v>
      </c>
      <c r="K824" s="911">
        <f t="shared" si="24"/>
        <v>6814</v>
      </c>
      <c r="L824" s="909"/>
      <c r="M824" s="910">
        <v>173</v>
      </c>
      <c r="N824" s="910">
        <v>0</v>
      </c>
      <c r="O824" s="909">
        <v>3232</v>
      </c>
      <c r="P824" s="911">
        <f t="shared" si="25"/>
        <v>3405</v>
      </c>
      <c r="Q824" s="909"/>
      <c r="R824" s="910">
        <v>2059</v>
      </c>
      <c r="S824" s="912">
        <v>-1926</v>
      </c>
      <c r="T824" s="912">
        <f>134-1</f>
        <v>133</v>
      </c>
    </row>
    <row r="825" spans="1:20" x14ac:dyDescent="0.25">
      <c r="A825" s="906">
        <v>99101</v>
      </c>
      <c r="B825" s="907" t="s">
        <v>3383</v>
      </c>
      <c r="C825" s="908">
        <v>2.1724000000000001E-3</v>
      </c>
      <c r="D825" s="908">
        <v>2.0087999999999998E-3</v>
      </c>
      <c r="E825" s="909">
        <v>3318825</v>
      </c>
      <c r="F825" s="909"/>
      <c r="G825" s="910">
        <v>191195</v>
      </c>
      <c r="H825" s="911">
        <v>805815</v>
      </c>
      <c r="I825" s="910">
        <v>473974</v>
      </c>
      <c r="J825" s="909">
        <v>48335</v>
      </c>
      <c r="K825" s="911">
        <f t="shared" si="24"/>
        <v>1519319</v>
      </c>
      <c r="L825" s="909"/>
      <c r="M825" s="910">
        <v>93945</v>
      </c>
      <c r="N825" s="910">
        <v>0</v>
      </c>
      <c r="O825" s="909">
        <v>44900</v>
      </c>
      <c r="P825" s="911">
        <f t="shared" si="25"/>
        <v>138845</v>
      </c>
      <c r="Q825" s="909"/>
      <c r="R825" s="910">
        <v>1118447</v>
      </c>
      <c r="S825" s="912">
        <v>-14151</v>
      </c>
      <c r="T825" s="912">
        <v>1104296</v>
      </c>
    </row>
    <row r="826" spans="1:20" x14ac:dyDescent="0.25">
      <c r="A826" s="906">
        <v>99104</v>
      </c>
      <c r="B826" s="907" t="s">
        <v>3384</v>
      </c>
      <c r="C826" s="908">
        <v>3.3500000000000001E-5</v>
      </c>
      <c r="D826" s="908">
        <v>3.4799999999999999E-5</v>
      </c>
      <c r="E826" s="909">
        <v>51179</v>
      </c>
      <c r="F826" s="909"/>
      <c r="G826" s="910">
        <v>2948</v>
      </c>
      <c r="H826" s="911">
        <v>12426</v>
      </c>
      <c r="I826" s="910">
        <v>7309</v>
      </c>
      <c r="J826" s="909">
        <v>15217</v>
      </c>
      <c r="K826" s="911">
        <f t="shared" si="24"/>
        <v>37900</v>
      </c>
      <c r="L826" s="909"/>
      <c r="M826" s="910">
        <v>1449</v>
      </c>
      <c r="N826" s="910">
        <v>0</v>
      </c>
      <c r="O826" s="909">
        <v>0</v>
      </c>
      <c r="P826" s="911">
        <f t="shared" si="25"/>
        <v>1449</v>
      </c>
      <c r="Q826" s="909"/>
      <c r="R826" s="910">
        <v>17247</v>
      </c>
      <c r="S826" s="912">
        <v>6167</v>
      </c>
      <c r="T826" s="912">
        <f>23415-1</f>
        <v>23414</v>
      </c>
    </row>
    <row r="827" spans="1:20" x14ac:dyDescent="0.25">
      <c r="A827" s="906">
        <v>99109</v>
      </c>
      <c r="B827" s="907" t="s">
        <v>3385</v>
      </c>
      <c r="C827" s="908">
        <v>1.2339999999999999E-4</v>
      </c>
      <c r="D827" s="908">
        <v>1.1849999999999999E-4</v>
      </c>
      <c r="E827" s="909">
        <v>188521</v>
      </c>
      <c r="F827" s="909"/>
      <c r="G827" s="910">
        <v>10861</v>
      </c>
      <c r="H827" s="911">
        <v>45773</v>
      </c>
      <c r="I827" s="910">
        <v>26923</v>
      </c>
      <c r="J827" s="909">
        <v>6454</v>
      </c>
      <c r="K827" s="911">
        <f t="shared" si="24"/>
        <v>90011</v>
      </c>
      <c r="L827" s="909"/>
      <c r="M827" s="910">
        <v>5336</v>
      </c>
      <c r="N827" s="910">
        <v>0</v>
      </c>
      <c r="O827" s="909">
        <v>14208</v>
      </c>
      <c r="P827" s="911">
        <f t="shared" si="25"/>
        <v>19544</v>
      </c>
      <c r="Q827" s="909"/>
      <c r="R827" s="910">
        <v>63532</v>
      </c>
      <c r="S827" s="912">
        <v>-5391</v>
      </c>
      <c r="T827" s="912">
        <f>58140+1</f>
        <v>58141</v>
      </c>
    </row>
    <row r="828" spans="1:20" x14ac:dyDescent="0.25">
      <c r="A828" s="906">
        <v>99110</v>
      </c>
      <c r="B828" s="907" t="s">
        <v>3386</v>
      </c>
      <c r="C828" s="908">
        <v>1.7670000000000001E-4</v>
      </c>
      <c r="D828" s="908">
        <v>1.8369999999999999E-4</v>
      </c>
      <c r="E828" s="909">
        <v>269949</v>
      </c>
      <c r="F828" s="909"/>
      <c r="G828" s="910">
        <v>15552</v>
      </c>
      <c r="H828" s="911">
        <v>65544</v>
      </c>
      <c r="I828" s="910">
        <v>38552</v>
      </c>
      <c r="J828" s="909">
        <v>69046</v>
      </c>
      <c r="K828" s="911">
        <f t="shared" si="24"/>
        <v>188694</v>
      </c>
      <c r="L828" s="909"/>
      <c r="M828" s="910">
        <v>7641</v>
      </c>
      <c r="N828" s="910">
        <v>0</v>
      </c>
      <c r="O828" s="909">
        <v>0</v>
      </c>
      <c r="P828" s="911">
        <f t="shared" si="25"/>
        <v>7641</v>
      </c>
      <c r="Q828" s="909"/>
      <c r="R828" s="910">
        <v>90973</v>
      </c>
      <c r="S828" s="912">
        <v>27602</v>
      </c>
      <c r="T828" s="912">
        <v>118575</v>
      </c>
    </row>
    <row r="829" spans="1:20" x14ac:dyDescent="0.25">
      <c r="A829" s="906">
        <v>99111</v>
      </c>
      <c r="B829" s="907" t="s">
        <v>3387</v>
      </c>
      <c r="C829" s="908">
        <v>1.2618E-3</v>
      </c>
      <c r="D829" s="908">
        <v>1.2757000000000001E-3</v>
      </c>
      <c r="E829" s="909">
        <v>1927681</v>
      </c>
      <c r="F829" s="909"/>
      <c r="G829" s="910">
        <v>111052</v>
      </c>
      <c r="H829" s="911">
        <v>468043</v>
      </c>
      <c r="I829" s="910">
        <v>275300</v>
      </c>
      <c r="J829" s="909">
        <v>0</v>
      </c>
      <c r="K829" s="911">
        <f t="shared" si="24"/>
        <v>854395</v>
      </c>
      <c r="L829" s="909"/>
      <c r="M829" s="910">
        <v>54567</v>
      </c>
      <c r="N829" s="910">
        <v>0</v>
      </c>
      <c r="O829" s="909">
        <v>143900</v>
      </c>
      <c r="P829" s="911">
        <f t="shared" si="25"/>
        <v>198467</v>
      </c>
      <c r="Q829" s="909"/>
      <c r="R829" s="910">
        <v>649630</v>
      </c>
      <c r="S829" s="912">
        <v>-68554</v>
      </c>
      <c r="T829" s="912">
        <v>581076</v>
      </c>
    </row>
    <row r="830" spans="1:20" x14ac:dyDescent="0.25">
      <c r="A830" s="906">
        <v>99201</v>
      </c>
      <c r="B830" s="907" t="s">
        <v>3388</v>
      </c>
      <c r="C830" s="908">
        <v>3.3297199999999999E-2</v>
      </c>
      <c r="D830" s="908">
        <v>3.22145E-2</v>
      </c>
      <c r="E830" s="909">
        <v>50868898</v>
      </c>
      <c r="F830" s="909"/>
      <c r="G830" s="910">
        <v>2930520</v>
      </c>
      <c r="H830" s="911">
        <v>12351030</v>
      </c>
      <c r="I830" s="910">
        <v>7264783</v>
      </c>
      <c r="J830" s="909">
        <v>1320745</v>
      </c>
      <c r="K830" s="911">
        <f t="shared" si="24"/>
        <v>23867078</v>
      </c>
      <c r="L830" s="909"/>
      <c r="M830" s="910">
        <v>1439937</v>
      </c>
      <c r="N830" s="910">
        <v>0</v>
      </c>
      <c r="O830" s="909">
        <v>241517</v>
      </c>
      <c r="P830" s="911">
        <f t="shared" si="25"/>
        <v>1681454</v>
      </c>
      <c r="Q830" s="909"/>
      <c r="R830" s="910">
        <v>17142864</v>
      </c>
      <c r="S830" s="912">
        <v>242815</v>
      </c>
      <c r="T830" s="912">
        <v>17385679</v>
      </c>
    </row>
    <row r="831" spans="1:20" x14ac:dyDescent="0.25">
      <c r="A831" s="906">
        <v>99202</v>
      </c>
      <c r="B831" s="907" t="s">
        <v>3389</v>
      </c>
      <c r="C831" s="908">
        <v>2.5855000000000001E-3</v>
      </c>
      <c r="D831" s="908">
        <v>2.5138000000000001E-3</v>
      </c>
      <c r="E831" s="909">
        <v>3949928</v>
      </c>
      <c r="F831" s="909"/>
      <c r="G831" s="910">
        <v>227552</v>
      </c>
      <c r="H831" s="911">
        <v>959048</v>
      </c>
      <c r="I831" s="910">
        <v>564104</v>
      </c>
      <c r="J831" s="909">
        <v>0</v>
      </c>
      <c r="K831" s="911">
        <f t="shared" si="24"/>
        <v>1750704</v>
      </c>
      <c r="L831" s="909"/>
      <c r="M831" s="910">
        <v>111810</v>
      </c>
      <c r="N831" s="910">
        <v>0</v>
      </c>
      <c r="O831" s="909">
        <v>184130</v>
      </c>
      <c r="P831" s="911">
        <f t="shared" si="25"/>
        <v>295940</v>
      </c>
      <c r="Q831" s="909"/>
      <c r="R831" s="910">
        <v>1331129</v>
      </c>
      <c r="S831" s="912">
        <v>-73084</v>
      </c>
      <c r="T831" s="912">
        <v>1258045</v>
      </c>
    </row>
    <row r="832" spans="1:20" x14ac:dyDescent="0.25">
      <c r="A832" s="906">
        <v>99203</v>
      </c>
      <c r="B832" s="907" t="s">
        <v>3390</v>
      </c>
      <c r="C832" s="908">
        <v>3.0410000000000002E-4</v>
      </c>
      <c r="D832" s="908">
        <v>3.1990000000000002E-4</v>
      </c>
      <c r="E832" s="909">
        <v>464581</v>
      </c>
      <c r="F832" s="909"/>
      <c r="G832" s="910">
        <v>26764</v>
      </c>
      <c r="H832" s="911">
        <v>112801</v>
      </c>
      <c r="I832" s="910">
        <v>66349</v>
      </c>
      <c r="J832" s="909">
        <v>24433</v>
      </c>
      <c r="K832" s="911">
        <f t="shared" si="24"/>
        <v>230347</v>
      </c>
      <c r="L832" s="909"/>
      <c r="M832" s="910">
        <v>13151</v>
      </c>
      <c r="N832" s="910">
        <v>0</v>
      </c>
      <c r="O832" s="909">
        <v>20730</v>
      </c>
      <c r="P832" s="911">
        <f t="shared" si="25"/>
        <v>33881</v>
      </c>
      <c r="Q832" s="909"/>
      <c r="R832" s="910">
        <v>156564</v>
      </c>
      <c r="S832" s="912">
        <v>11213</v>
      </c>
      <c r="T832" s="912">
        <v>167777</v>
      </c>
    </row>
    <row r="833" spans="1:20" x14ac:dyDescent="0.25">
      <c r="A833" s="906">
        <v>99204</v>
      </c>
      <c r="B833" s="907" t="s">
        <v>3391</v>
      </c>
      <c r="C833" s="908">
        <v>8.3549999999999998E-4</v>
      </c>
      <c r="D833" s="908">
        <v>7.4910000000000005E-4</v>
      </c>
      <c r="E833" s="909">
        <v>1276413</v>
      </c>
      <c r="F833" s="909"/>
      <c r="G833" s="910">
        <v>73533</v>
      </c>
      <c r="H833" s="911">
        <v>309914</v>
      </c>
      <c r="I833" s="910">
        <v>182289</v>
      </c>
      <c r="J833" s="909">
        <v>108607</v>
      </c>
      <c r="K833" s="911">
        <f t="shared" si="24"/>
        <v>674343</v>
      </c>
      <c r="L833" s="909"/>
      <c r="M833" s="910">
        <v>36131</v>
      </c>
      <c r="N833" s="910">
        <v>0</v>
      </c>
      <c r="O833" s="909">
        <v>0</v>
      </c>
      <c r="P833" s="911">
        <f t="shared" si="25"/>
        <v>36131</v>
      </c>
      <c r="Q833" s="909"/>
      <c r="R833" s="910">
        <v>430152</v>
      </c>
      <c r="S833" s="912">
        <v>37657</v>
      </c>
      <c r="T833" s="912">
        <v>467809</v>
      </c>
    </row>
    <row r="834" spans="1:20" x14ac:dyDescent="0.25">
      <c r="A834" s="906">
        <v>99206</v>
      </c>
      <c r="B834" s="907" t="s">
        <v>3392</v>
      </c>
      <c r="C834" s="908">
        <v>1.6957999999999999E-3</v>
      </c>
      <c r="D834" s="908">
        <v>1.6665E-3</v>
      </c>
      <c r="E834" s="909">
        <v>2590713</v>
      </c>
      <c r="F834" s="909"/>
      <c r="G834" s="910">
        <v>149249</v>
      </c>
      <c r="H834" s="911">
        <v>629028</v>
      </c>
      <c r="I834" s="910">
        <v>369990</v>
      </c>
      <c r="J834" s="909">
        <v>641271</v>
      </c>
      <c r="K834" s="911">
        <f t="shared" si="24"/>
        <v>1789538</v>
      </c>
      <c r="L834" s="909"/>
      <c r="M834" s="910">
        <v>73335</v>
      </c>
      <c r="N834" s="910">
        <v>0</v>
      </c>
      <c r="O834" s="909">
        <v>6741</v>
      </c>
      <c r="P834" s="911">
        <f t="shared" si="25"/>
        <v>80076</v>
      </c>
      <c r="Q834" s="909"/>
      <c r="R834" s="910">
        <v>873072</v>
      </c>
      <c r="S834" s="912">
        <v>209066</v>
      </c>
      <c r="T834" s="912">
        <f>1082139-1</f>
        <v>1082138</v>
      </c>
    </row>
    <row r="835" spans="1:20" x14ac:dyDescent="0.25">
      <c r="A835" s="906">
        <v>99207</v>
      </c>
      <c r="B835" s="907" t="s">
        <v>3592</v>
      </c>
      <c r="C835" s="908">
        <v>1.3329999999999999E-4</v>
      </c>
      <c r="D835" s="908">
        <v>1.3430000000000001E-4</v>
      </c>
      <c r="E835" s="909">
        <v>203645</v>
      </c>
      <c r="F835" s="909"/>
      <c r="G835" s="910">
        <v>11732</v>
      </c>
      <c r="H835" s="911">
        <v>49445</v>
      </c>
      <c r="I835" s="910">
        <v>29083</v>
      </c>
      <c r="J835" s="909">
        <v>145724</v>
      </c>
      <c r="K835" s="911">
        <f t="shared" si="24"/>
        <v>235984</v>
      </c>
      <c r="L835" s="909"/>
      <c r="M835" s="910">
        <v>5765</v>
      </c>
      <c r="N835" s="910">
        <v>0</v>
      </c>
      <c r="O835" s="909">
        <v>0</v>
      </c>
      <c r="P835" s="911">
        <f t="shared" si="25"/>
        <v>5765</v>
      </c>
      <c r="Q835" s="909"/>
      <c r="R835" s="910">
        <v>68629</v>
      </c>
      <c r="S835" s="912">
        <v>46901</v>
      </c>
      <c r="T835" s="912">
        <v>115530</v>
      </c>
    </row>
    <row r="836" spans="1:20" x14ac:dyDescent="0.25">
      <c r="A836" s="906">
        <v>99208</v>
      </c>
      <c r="B836" s="907" t="s">
        <v>3394</v>
      </c>
      <c r="C836" s="908">
        <v>1.4569999999999999E-4</v>
      </c>
      <c r="D836" s="908">
        <v>1.3669999999999999E-4</v>
      </c>
      <c r="E836" s="909">
        <v>222589</v>
      </c>
      <c r="F836" s="909"/>
      <c r="G836" s="910">
        <v>12823</v>
      </c>
      <c r="H836" s="911">
        <v>54045</v>
      </c>
      <c r="I836" s="910">
        <v>31789</v>
      </c>
      <c r="J836" s="909">
        <v>0</v>
      </c>
      <c r="K836" s="911">
        <f t="shared" si="24"/>
        <v>98657</v>
      </c>
      <c r="L836" s="909"/>
      <c r="M836" s="910">
        <v>6301</v>
      </c>
      <c r="N836" s="910">
        <v>0</v>
      </c>
      <c r="O836" s="909">
        <v>38521</v>
      </c>
      <c r="P836" s="911">
        <f t="shared" si="25"/>
        <v>44822</v>
      </c>
      <c r="Q836" s="909"/>
      <c r="R836" s="910">
        <v>75013</v>
      </c>
      <c r="S836" s="912">
        <v>-20543</v>
      </c>
      <c r="T836" s="912">
        <v>54470</v>
      </c>
    </row>
    <row r="837" spans="1:20" x14ac:dyDescent="0.25">
      <c r="A837" s="906">
        <v>99210</v>
      </c>
      <c r="B837" s="907" t="s">
        <v>3395</v>
      </c>
      <c r="C837" s="908">
        <v>1.5943999999999999E-3</v>
      </c>
      <c r="D837" s="908">
        <v>1.5945E-3</v>
      </c>
      <c r="E837" s="909">
        <v>2435802</v>
      </c>
      <c r="F837" s="909"/>
      <c r="G837" s="910">
        <v>140325</v>
      </c>
      <c r="H837" s="911">
        <v>591415</v>
      </c>
      <c r="I837" s="910">
        <v>347866</v>
      </c>
      <c r="J837" s="909">
        <v>99237</v>
      </c>
      <c r="K837" s="911">
        <f t="shared" si="24"/>
        <v>1178843</v>
      </c>
      <c r="L837" s="909"/>
      <c r="M837" s="910">
        <v>68950</v>
      </c>
      <c r="N837" s="910">
        <v>0</v>
      </c>
      <c r="O837" s="909">
        <v>0</v>
      </c>
      <c r="P837" s="911">
        <f t="shared" si="25"/>
        <v>68950</v>
      </c>
      <c r="Q837" s="909"/>
      <c r="R837" s="910">
        <v>820867</v>
      </c>
      <c r="S837" s="912">
        <v>39106</v>
      </c>
      <c r="T837" s="912">
        <f>859974-1</f>
        <v>859973</v>
      </c>
    </row>
    <row r="838" spans="1:20" x14ac:dyDescent="0.25">
      <c r="A838" s="906">
        <v>99211</v>
      </c>
      <c r="B838" s="907" t="s">
        <v>3396</v>
      </c>
      <c r="C838" s="908">
        <v>3.7100599999999997E-2</v>
      </c>
      <c r="D838" s="908">
        <v>3.8233999999999997E-2</v>
      </c>
      <c r="E838" s="909">
        <v>56679440</v>
      </c>
      <c r="F838" s="909"/>
      <c r="G838" s="910">
        <v>3265261</v>
      </c>
      <c r="H838" s="911">
        <v>13761837</v>
      </c>
      <c r="I838" s="910">
        <v>8094609</v>
      </c>
      <c r="J838" s="909">
        <v>0</v>
      </c>
      <c r="K838" s="911">
        <f t="shared" si="24"/>
        <v>25121707</v>
      </c>
      <c r="L838" s="909"/>
      <c r="M838" s="910">
        <v>1604415</v>
      </c>
      <c r="N838" s="910">
        <v>0</v>
      </c>
      <c r="O838" s="909">
        <v>1838947</v>
      </c>
      <c r="P838" s="911">
        <f t="shared" si="25"/>
        <v>3443362</v>
      </c>
      <c r="Q838" s="909"/>
      <c r="R838" s="910">
        <v>19101021</v>
      </c>
      <c r="S838" s="912">
        <v>-724653</v>
      </c>
      <c r="T838" s="912">
        <f>18376369-1</f>
        <v>18376368</v>
      </c>
    </row>
    <row r="839" spans="1:20" x14ac:dyDescent="0.25">
      <c r="A839" s="906">
        <v>99212</v>
      </c>
      <c r="B839" s="907" t="s">
        <v>3397</v>
      </c>
      <c r="C839" s="908">
        <v>8.14E-5</v>
      </c>
      <c r="D839" s="908">
        <v>7.4400000000000006E-5</v>
      </c>
      <c r="E839" s="909">
        <v>124357</v>
      </c>
      <c r="F839" s="909"/>
      <c r="G839" s="910">
        <v>7164</v>
      </c>
      <c r="H839" s="911">
        <v>30194</v>
      </c>
      <c r="I839" s="910">
        <v>17760</v>
      </c>
      <c r="J839" s="909">
        <v>242</v>
      </c>
      <c r="K839" s="911">
        <f t="shared" ref="K839:K902" si="26">G839+H839+I839+J839</f>
        <v>55360</v>
      </c>
      <c r="L839" s="909"/>
      <c r="M839" s="910">
        <v>3520</v>
      </c>
      <c r="N839" s="910">
        <v>0</v>
      </c>
      <c r="O839" s="909">
        <v>34044</v>
      </c>
      <c r="P839" s="911">
        <f t="shared" ref="P839:P902" si="27">M839+N839+O839</f>
        <v>37564</v>
      </c>
      <c r="Q839" s="909"/>
      <c r="R839" s="910">
        <v>41908</v>
      </c>
      <c r="S839" s="912">
        <v>-15261</v>
      </c>
      <c r="T839" s="912">
        <v>26647</v>
      </c>
    </row>
    <row r="840" spans="1:20" x14ac:dyDescent="0.25">
      <c r="A840" s="906">
        <v>99213</v>
      </c>
      <c r="B840" s="907" t="s">
        <v>3398</v>
      </c>
      <c r="C840" s="908">
        <v>7.5159999999999995E-4</v>
      </c>
      <c r="D840" s="908">
        <v>8.0730000000000005E-4</v>
      </c>
      <c r="E840" s="909">
        <v>1148237</v>
      </c>
      <c r="F840" s="909"/>
      <c r="G840" s="910">
        <v>66149</v>
      </c>
      <c r="H840" s="911">
        <v>278793</v>
      </c>
      <c r="I840" s="910">
        <v>163984</v>
      </c>
      <c r="J840" s="909">
        <v>6057</v>
      </c>
      <c r="K840" s="911">
        <f t="shared" si="26"/>
        <v>514983</v>
      </c>
      <c r="L840" s="909"/>
      <c r="M840" s="910">
        <v>32503</v>
      </c>
      <c r="N840" s="910">
        <v>0</v>
      </c>
      <c r="O840" s="909">
        <v>45468</v>
      </c>
      <c r="P840" s="911">
        <f t="shared" si="27"/>
        <v>77971</v>
      </c>
      <c r="Q840" s="909"/>
      <c r="R840" s="910">
        <v>386957</v>
      </c>
      <c r="S840" s="912">
        <v>-10310</v>
      </c>
      <c r="T840" s="912">
        <f>376646+1</f>
        <v>376647</v>
      </c>
    </row>
    <row r="841" spans="1:20" x14ac:dyDescent="0.25">
      <c r="A841" s="906">
        <v>99218</v>
      </c>
      <c r="B841" s="907" t="s">
        <v>3399</v>
      </c>
      <c r="C841" s="908">
        <v>3.1162E-3</v>
      </c>
      <c r="D841" s="908">
        <v>3.1227999999999998E-3</v>
      </c>
      <c r="E841" s="909">
        <v>4760690</v>
      </c>
      <c r="F841" s="909"/>
      <c r="G841" s="910">
        <v>274260</v>
      </c>
      <c r="H841" s="911">
        <v>1155902</v>
      </c>
      <c r="I841" s="910">
        <v>679893</v>
      </c>
      <c r="J841" s="909">
        <v>179789</v>
      </c>
      <c r="K841" s="911">
        <f t="shared" si="26"/>
        <v>2289844</v>
      </c>
      <c r="L841" s="909"/>
      <c r="M841" s="910">
        <v>134760</v>
      </c>
      <c r="N841" s="910">
        <v>0</v>
      </c>
      <c r="O841" s="909">
        <v>0</v>
      </c>
      <c r="P841" s="911">
        <f t="shared" si="27"/>
        <v>134760</v>
      </c>
      <c r="Q841" s="909"/>
      <c r="R841" s="910">
        <v>1604357</v>
      </c>
      <c r="S841" s="912">
        <v>66860</v>
      </c>
      <c r="T841" s="912">
        <v>1671217</v>
      </c>
    </row>
    <row r="842" spans="1:20" x14ac:dyDescent="0.25">
      <c r="A842" s="906">
        <v>99221</v>
      </c>
      <c r="B842" s="907" t="s">
        <v>3400</v>
      </c>
      <c r="C842" s="908">
        <v>1.27709E-2</v>
      </c>
      <c r="D842" s="908">
        <v>1.3092700000000001E-2</v>
      </c>
      <c r="E842" s="909">
        <v>19510398</v>
      </c>
      <c r="F842" s="909"/>
      <c r="G842" s="910">
        <v>1123980</v>
      </c>
      <c r="H842" s="911">
        <v>4737148</v>
      </c>
      <c r="I842" s="910">
        <v>2786355</v>
      </c>
      <c r="J842" s="909">
        <v>0</v>
      </c>
      <c r="K842" s="911">
        <f t="shared" si="26"/>
        <v>8647483</v>
      </c>
      <c r="L842" s="909"/>
      <c r="M842" s="910">
        <v>552278</v>
      </c>
      <c r="N842" s="910">
        <v>0</v>
      </c>
      <c r="O842" s="909">
        <v>687802</v>
      </c>
      <c r="P842" s="911">
        <f t="shared" si="27"/>
        <v>1240080</v>
      </c>
      <c r="Q842" s="909"/>
      <c r="R842" s="910">
        <v>6575021</v>
      </c>
      <c r="S842" s="912">
        <v>-271922</v>
      </c>
      <c r="T842" s="912">
        <v>6303099</v>
      </c>
    </row>
    <row r="843" spans="1:20" x14ac:dyDescent="0.25">
      <c r="A843" s="906">
        <v>99222</v>
      </c>
      <c r="B843" s="907" t="s">
        <v>3401</v>
      </c>
      <c r="C843" s="908">
        <v>3.9100000000000002E-5</v>
      </c>
      <c r="D843" s="908">
        <v>4.0099999999999999E-5</v>
      </c>
      <c r="E843" s="909">
        <v>59734</v>
      </c>
      <c r="F843" s="909"/>
      <c r="G843" s="910">
        <v>3441</v>
      </c>
      <c r="H843" s="911">
        <v>14504</v>
      </c>
      <c r="I843" s="910">
        <v>8531</v>
      </c>
      <c r="J843" s="909">
        <v>2307</v>
      </c>
      <c r="K843" s="911">
        <f t="shared" si="26"/>
        <v>28783</v>
      </c>
      <c r="L843" s="909"/>
      <c r="M843" s="910">
        <v>1691</v>
      </c>
      <c r="N843" s="910">
        <v>0</v>
      </c>
      <c r="O843" s="909">
        <v>3585</v>
      </c>
      <c r="P843" s="911">
        <f t="shared" si="27"/>
        <v>5276</v>
      </c>
      <c r="Q843" s="909"/>
      <c r="R843" s="910">
        <v>20130</v>
      </c>
      <c r="S843" s="912">
        <v>281</v>
      </c>
      <c r="T843" s="912">
        <v>20411</v>
      </c>
    </row>
    <row r="844" spans="1:20" x14ac:dyDescent="0.25">
      <c r="A844" s="906">
        <v>99231</v>
      </c>
      <c r="B844" s="907" t="s">
        <v>3402</v>
      </c>
      <c r="C844" s="908">
        <v>3.7179999999999998E-4</v>
      </c>
      <c r="D844" s="908">
        <v>3.7869999999999999E-4</v>
      </c>
      <c r="E844" s="909">
        <v>568007</v>
      </c>
      <c r="F844" s="909"/>
      <c r="G844" s="910">
        <v>32722</v>
      </c>
      <c r="H844" s="911">
        <v>137913</v>
      </c>
      <c r="I844" s="910">
        <v>81119</v>
      </c>
      <c r="J844" s="909">
        <v>0</v>
      </c>
      <c r="K844" s="911">
        <f t="shared" si="26"/>
        <v>251754</v>
      </c>
      <c r="L844" s="909"/>
      <c r="M844" s="910">
        <v>16078</v>
      </c>
      <c r="N844" s="910">
        <v>0</v>
      </c>
      <c r="O844" s="909">
        <v>31773</v>
      </c>
      <c r="P844" s="911">
        <f t="shared" si="27"/>
        <v>47851</v>
      </c>
      <c r="Q844" s="909"/>
      <c r="R844" s="910">
        <v>191419</v>
      </c>
      <c r="S844" s="912">
        <v>-14995</v>
      </c>
      <c r="T844" s="912">
        <v>176424</v>
      </c>
    </row>
    <row r="845" spans="1:20" x14ac:dyDescent="0.25">
      <c r="A845" s="906">
        <v>99241</v>
      </c>
      <c r="B845" s="907" t="s">
        <v>3403</v>
      </c>
      <c r="C845" s="908">
        <v>5.5329999999999995E-4</v>
      </c>
      <c r="D845" s="908">
        <v>5.6039999999999996E-4</v>
      </c>
      <c r="E845" s="909">
        <v>845289</v>
      </c>
      <c r="F845" s="909"/>
      <c r="G845" s="910">
        <v>48696</v>
      </c>
      <c r="H845" s="911">
        <v>205238</v>
      </c>
      <c r="I845" s="910">
        <v>120719</v>
      </c>
      <c r="J845" s="909">
        <v>0</v>
      </c>
      <c r="K845" s="911">
        <f t="shared" si="26"/>
        <v>374653</v>
      </c>
      <c r="L845" s="909"/>
      <c r="M845" s="910">
        <v>23927</v>
      </c>
      <c r="N845" s="910">
        <v>0</v>
      </c>
      <c r="O845" s="909">
        <v>103885</v>
      </c>
      <c r="P845" s="911">
        <f t="shared" si="27"/>
        <v>127812</v>
      </c>
      <c r="Q845" s="909"/>
      <c r="R845" s="910">
        <v>284863</v>
      </c>
      <c r="S845" s="912">
        <v>-52289</v>
      </c>
      <c r="T845" s="912">
        <f>232575-1</f>
        <v>232574</v>
      </c>
    </row>
    <row r="846" spans="1:20" x14ac:dyDescent="0.25">
      <c r="A846" s="906">
        <v>99251</v>
      </c>
      <c r="B846" s="907" t="s">
        <v>3404</v>
      </c>
      <c r="C846" s="908">
        <v>1.6069000000000001E-3</v>
      </c>
      <c r="D846" s="908">
        <v>1.6521000000000001E-3</v>
      </c>
      <c r="E846" s="909">
        <v>2454898</v>
      </c>
      <c r="F846" s="909"/>
      <c r="G846" s="910">
        <v>141425</v>
      </c>
      <c r="H846" s="911">
        <v>596053</v>
      </c>
      <c r="I846" s="910">
        <v>350593</v>
      </c>
      <c r="J846" s="909">
        <v>2758</v>
      </c>
      <c r="K846" s="911">
        <f t="shared" si="26"/>
        <v>1090829</v>
      </c>
      <c r="L846" s="909"/>
      <c r="M846" s="910">
        <v>69490</v>
      </c>
      <c r="N846" s="910">
        <v>0</v>
      </c>
      <c r="O846" s="909">
        <v>31200</v>
      </c>
      <c r="P846" s="911">
        <f t="shared" si="27"/>
        <v>100690</v>
      </c>
      <c r="Q846" s="909"/>
      <c r="R846" s="910">
        <v>827303</v>
      </c>
      <c r="S846" s="912">
        <v>-11932</v>
      </c>
      <c r="T846" s="912">
        <v>815371</v>
      </c>
    </row>
    <row r="847" spans="1:20" x14ac:dyDescent="0.25">
      <c r="A847" s="906">
        <v>99252</v>
      </c>
      <c r="B847" s="907" t="s">
        <v>3405</v>
      </c>
      <c r="C847" s="908">
        <v>6.1269999999999999E-4</v>
      </c>
      <c r="D847" s="908">
        <v>5.8279999999999996E-4</v>
      </c>
      <c r="E847" s="909">
        <v>936036</v>
      </c>
      <c r="F847" s="909"/>
      <c r="G847" s="910">
        <v>53924</v>
      </c>
      <c r="H847" s="911">
        <v>227271</v>
      </c>
      <c r="I847" s="910">
        <v>133679</v>
      </c>
      <c r="J847" s="909">
        <v>0</v>
      </c>
      <c r="K847" s="911">
        <f t="shared" si="26"/>
        <v>414874</v>
      </c>
      <c r="L847" s="909"/>
      <c r="M847" s="910">
        <v>26496</v>
      </c>
      <c r="N847" s="910">
        <v>0</v>
      </c>
      <c r="O847" s="909">
        <v>202059</v>
      </c>
      <c r="P847" s="911">
        <f t="shared" si="27"/>
        <v>228555</v>
      </c>
      <c r="Q847" s="909"/>
      <c r="R847" s="910">
        <v>315445</v>
      </c>
      <c r="S847" s="912">
        <v>-85968</v>
      </c>
      <c r="T847" s="912">
        <v>229477</v>
      </c>
    </row>
    <row r="848" spans="1:20" x14ac:dyDescent="0.25">
      <c r="A848" s="906">
        <v>99261</v>
      </c>
      <c r="B848" s="907" t="s">
        <v>3406</v>
      </c>
      <c r="C848" s="908">
        <v>1.9938E-3</v>
      </c>
      <c r="D848" s="908">
        <v>1.9145E-3</v>
      </c>
      <c r="E848" s="909">
        <v>3045974</v>
      </c>
      <c r="F848" s="909"/>
      <c r="G848" s="910">
        <v>175476</v>
      </c>
      <c r="H848" s="911">
        <v>739566</v>
      </c>
      <c r="I848" s="910">
        <v>435007</v>
      </c>
      <c r="J848" s="909">
        <v>0</v>
      </c>
      <c r="K848" s="911">
        <f t="shared" si="26"/>
        <v>1350049</v>
      </c>
      <c r="L848" s="909"/>
      <c r="M848" s="910">
        <v>86222</v>
      </c>
      <c r="N848" s="910">
        <v>0</v>
      </c>
      <c r="O848" s="909">
        <v>148472</v>
      </c>
      <c r="P848" s="911">
        <f t="shared" si="27"/>
        <v>234694</v>
      </c>
      <c r="Q848" s="909"/>
      <c r="R848" s="910">
        <v>1026496</v>
      </c>
      <c r="S848" s="912">
        <v>-69364</v>
      </c>
      <c r="T848" s="912">
        <v>957132</v>
      </c>
    </row>
    <row r="849" spans="1:20" x14ac:dyDescent="0.25">
      <c r="A849" s="906">
        <v>99271</v>
      </c>
      <c r="B849" s="907" t="s">
        <v>3407</v>
      </c>
      <c r="C849" s="908">
        <v>4.0137000000000003E-3</v>
      </c>
      <c r="D849" s="908">
        <v>3.9248E-3</v>
      </c>
      <c r="E849" s="909">
        <v>6131822</v>
      </c>
      <c r="F849" s="909"/>
      <c r="G849" s="910">
        <v>353250</v>
      </c>
      <c r="H849" s="911">
        <v>1488814</v>
      </c>
      <c r="I849" s="910">
        <v>875709</v>
      </c>
      <c r="J849" s="909">
        <v>0</v>
      </c>
      <c r="K849" s="911">
        <f t="shared" si="26"/>
        <v>2717773</v>
      </c>
      <c r="L849" s="909"/>
      <c r="M849" s="910">
        <v>173572</v>
      </c>
      <c r="N849" s="910">
        <v>0</v>
      </c>
      <c r="O849" s="909">
        <v>122792</v>
      </c>
      <c r="P849" s="911">
        <f t="shared" si="27"/>
        <v>296364</v>
      </c>
      <c r="Q849" s="909"/>
      <c r="R849" s="910">
        <v>2066429</v>
      </c>
      <c r="S849" s="912">
        <v>-45302</v>
      </c>
      <c r="T849" s="912">
        <v>2021127</v>
      </c>
    </row>
    <row r="850" spans="1:20" x14ac:dyDescent="0.25">
      <c r="A850" s="906">
        <v>99281</v>
      </c>
      <c r="B850" s="907" t="s">
        <v>3408</v>
      </c>
      <c r="C850" s="908">
        <v>2.2918999999999999E-3</v>
      </c>
      <c r="D850" s="908">
        <v>2.2824E-3</v>
      </c>
      <c r="E850" s="909">
        <v>3501388</v>
      </c>
      <c r="F850" s="909"/>
      <c r="G850" s="910">
        <v>201712</v>
      </c>
      <c r="H850" s="911">
        <v>850141</v>
      </c>
      <c r="I850" s="910">
        <v>500047</v>
      </c>
      <c r="J850" s="909">
        <v>6743</v>
      </c>
      <c r="K850" s="911">
        <f t="shared" si="26"/>
        <v>1558643</v>
      </c>
      <c r="L850" s="909"/>
      <c r="M850" s="910">
        <v>99113</v>
      </c>
      <c r="N850" s="910">
        <v>0</v>
      </c>
      <c r="O850" s="909">
        <v>128585</v>
      </c>
      <c r="P850" s="911">
        <f t="shared" si="27"/>
        <v>227698</v>
      </c>
      <c r="Q850" s="909"/>
      <c r="R850" s="910">
        <v>1179971</v>
      </c>
      <c r="S850" s="912">
        <v>-37280</v>
      </c>
      <c r="T850" s="912">
        <v>1142691</v>
      </c>
    </row>
    <row r="851" spans="1:20" x14ac:dyDescent="0.25">
      <c r="A851" s="906">
        <v>99291</v>
      </c>
      <c r="B851" s="907" t="s">
        <v>3409</v>
      </c>
      <c r="C851" s="908">
        <v>7.3499999999999998E-4</v>
      </c>
      <c r="D851" s="908">
        <v>7.7260000000000002E-4</v>
      </c>
      <c r="E851" s="909">
        <v>1122876</v>
      </c>
      <c r="F851" s="909"/>
      <c r="G851" s="910">
        <v>64688</v>
      </c>
      <c r="H851" s="911">
        <v>272636</v>
      </c>
      <c r="I851" s="910">
        <v>160362</v>
      </c>
      <c r="J851" s="909">
        <v>0</v>
      </c>
      <c r="K851" s="911">
        <f t="shared" si="26"/>
        <v>497686</v>
      </c>
      <c r="L851" s="909"/>
      <c r="M851" s="910">
        <v>31785</v>
      </c>
      <c r="N851" s="910">
        <v>0</v>
      </c>
      <c r="O851" s="909">
        <v>137813</v>
      </c>
      <c r="P851" s="911">
        <f t="shared" si="27"/>
        <v>169598</v>
      </c>
      <c r="Q851" s="909"/>
      <c r="R851" s="910">
        <v>378410</v>
      </c>
      <c r="S851" s="912">
        <v>-55575</v>
      </c>
      <c r="T851" s="912">
        <v>322835</v>
      </c>
    </row>
    <row r="852" spans="1:20" x14ac:dyDescent="0.25">
      <c r="A852" s="906">
        <v>99301</v>
      </c>
      <c r="B852" s="907" t="s">
        <v>3410</v>
      </c>
      <c r="C852" s="908">
        <v>1.7879E-3</v>
      </c>
      <c r="D852" s="908">
        <v>1.8458000000000001E-3</v>
      </c>
      <c r="E852" s="909">
        <v>2731416</v>
      </c>
      <c r="F852" s="909"/>
      <c r="G852" s="910">
        <v>157355</v>
      </c>
      <c r="H852" s="911">
        <v>663191</v>
      </c>
      <c r="I852" s="910">
        <v>390084</v>
      </c>
      <c r="J852" s="909">
        <v>67408</v>
      </c>
      <c r="K852" s="911">
        <f t="shared" si="26"/>
        <v>1278038</v>
      </c>
      <c r="L852" s="909"/>
      <c r="M852" s="910">
        <v>77318</v>
      </c>
      <c r="N852" s="910">
        <v>0</v>
      </c>
      <c r="O852" s="909">
        <v>65062</v>
      </c>
      <c r="P852" s="911">
        <f t="shared" si="27"/>
        <v>142380</v>
      </c>
      <c r="Q852" s="909"/>
      <c r="R852" s="910">
        <v>920490</v>
      </c>
      <c r="S852" s="912">
        <v>38686</v>
      </c>
      <c r="T852" s="912">
        <f>959175+1</f>
        <v>959176</v>
      </c>
    </row>
    <row r="853" spans="1:20" x14ac:dyDescent="0.25">
      <c r="A853" s="906">
        <v>99304</v>
      </c>
      <c r="B853" s="907" t="s">
        <v>3411</v>
      </c>
      <c r="C853" s="908">
        <v>9.2E-6</v>
      </c>
      <c r="D853" s="908">
        <v>9.9000000000000001E-6</v>
      </c>
      <c r="E853" s="909">
        <v>14055</v>
      </c>
      <c r="F853" s="909"/>
      <c r="G853" s="910">
        <v>810</v>
      </c>
      <c r="H853" s="911">
        <v>3412</v>
      </c>
      <c r="I853" s="910">
        <v>2007</v>
      </c>
      <c r="J853" s="909">
        <v>4659</v>
      </c>
      <c r="K853" s="911">
        <f t="shared" si="26"/>
        <v>10888</v>
      </c>
      <c r="L853" s="909"/>
      <c r="M853" s="910">
        <v>398</v>
      </c>
      <c r="N853" s="910">
        <v>0</v>
      </c>
      <c r="O853" s="909">
        <v>248</v>
      </c>
      <c r="P853" s="911">
        <f t="shared" si="27"/>
        <v>646</v>
      </c>
      <c r="Q853" s="909"/>
      <c r="R853" s="910">
        <v>4737</v>
      </c>
      <c r="S853" s="912">
        <v>1371</v>
      </c>
      <c r="T853" s="912">
        <f>6107+1</f>
        <v>6108</v>
      </c>
    </row>
    <row r="854" spans="1:20" x14ac:dyDescent="0.25">
      <c r="A854" s="906">
        <v>99311</v>
      </c>
      <c r="B854" s="907" t="s">
        <v>3412</v>
      </c>
      <c r="C854" s="908">
        <v>5.4299999999999998E-5</v>
      </c>
      <c r="D854" s="908">
        <v>5.7599999999999997E-5</v>
      </c>
      <c r="E854" s="909">
        <v>82955</v>
      </c>
      <c r="F854" s="909"/>
      <c r="G854" s="910">
        <v>4779</v>
      </c>
      <c r="H854" s="911">
        <v>20142</v>
      </c>
      <c r="I854" s="910">
        <v>11847</v>
      </c>
      <c r="J854" s="909">
        <v>0</v>
      </c>
      <c r="K854" s="911">
        <f t="shared" si="26"/>
        <v>36768</v>
      </c>
      <c r="L854" s="909"/>
      <c r="M854" s="910">
        <v>2348</v>
      </c>
      <c r="N854" s="910">
        <v>0</v>
      </c>
      <c r="O854" s="909">
        <v>6758</v>
      </c>
      <c r="P854" s="911">
        <f t="shared" si="27"/>
        <v>9106</v>
      </c>
      <c r="Q854" s="909"/>
      <c r="R854" s="910">
        <v>27956</v>
      </c>
      <c r="S854" s="912">
        <v>-3216</v>
      </c>
      <c r="T854" s="912">
        <v>24740</v>
      </c>
    </row>
    <row r="855" spans="1:20" x14ac:dyDescent="0.25">
      <c r="A855" s="906">
        <v>99321</v>
      </c>
      <c r="B855" s="907" t="s">
        <v>3413</v>
      </c>
      <c r="C855" s="908">
        <v>1.1E-4</v>
      </c>
      <c r="D855" s="908">
        <v>1.1909999999999999E-4</v>
      </c>
      <c r="E855" s="909">
        <v>168050</v>
      </c>
      <c r="F855" s="909"/>
      <c r="G855" s="910">
        <v>9681</v>
      </c>
      <c r="H855" s="911">
        <v>40803</v>
      </c>
      <c r="I855" s="910">
        <v>24000</v>
      </c>
      <c r="J855" s="909">
        <v>96146</v>
      </c>
      <c r="K855" s="911">
        <f t="shared" si="26"/>
        <v>170630</v>
      </c>
      <c r="L855" s="909"/>
      <c r="M855" s="910">
        <v>4757</v>
      </c>
      <c r="N855" s="910">
        <v>0</v>
      </c>
      <c r="O855" s="909">
        <v>0</v>
      </c>
      <c r="P855" s="911">
        <f t="shared" si="27"/>
        <v>4757</v>
      </c>
      <c r="Q855" s="909"/>
      <c r="R855" s="910">
        <v>56633</v>
      </c>
      <c r="S855" s="912">
        <v>41980</v>
      </c>
      <c r="T855" s="912">
        <v>98613</v>
      </c>
    </row>
    <row r="856" spans="1:20" x14ac:dyDescent="0.25">
      <c r="A856" s="906">
        <v>99401</v>
      </c>
      <c r="B856" s="907" t="s">
        <v>3414</v>
      </c>
      <c r="C856" s="908">
        <v>9.2389999999999996E-4</v>
      </c>
      <c r="D856" s="908">
        <v>9.3869999999999999E-4</v>
      </c>
      <c r="E856" s="909">
        <v>1411463</v>
      </c>
      <c r="F856" s="909"/>
      <c r="G856" s="910">
        <v>81313</v>
      </c>
      <c r="H856" s="911">
        <v>342705</v>
      </c>
      <c r="I856" s="910">
        <v>201577</v>
      </c>
      <c r="J856" s="909">
        <v>34240</v>
      </c>
      <c r="K856" s="911">
        <f t="shared" si="26"/>
        <v>659835</v>
      </c>
      <c r="L856" s="909"/>
      <c r="M856" s="910">
        <v>39954</v>
      </c>
      <c r="N856" s="910">
        <v>0</v>
      </c>
      <c r="O856" s="909">
        <v>17589</v>
      </c>
      <c r="P856" s="911">
        <f t="shared" si="27"/>
        <v>57543</v>
      </c>
      <c r="Q856" s="909"/>
      <c r="R856" s="910">
        <v>475664</v>
      </c>
      <c r="S856" s="912">
        <v>22297</v>
      </c>
      <c r="T856" s="912">
        <v>497961</v>
      </c>
    </row>
    <row r="857" spans="1:20" x14ac:dyDescent="0.25">
      <c r="A857" s="906">
        <v>99404</v>
      </c>
      <c r="B857" s="907" t="s">
        <v>3415</v>
      </c>
      <c r="C857" s="908">
        <v>9.3999999999999998E-6</v>
      </c>
      <c r="D857" s="908">
        <v>9.5999999999999996E-6</v>
      </c>
      <c r="E857" s="909">
        <v>14361</v>
      </c>
      <c r="F857" s="909"/>
      <c r="G857" s="910">
        <v>827</v>
      </c>
      <c r="H857" s="911">
        <v>3487</v>
      </c>
      <c r="I857" s="910">
        <v>2051</v>
      </c>
      <c r="J857" s="909">
        <v>1334</v>
      </c>
      <c r="K857" s="911">
        <f t="shared" si="26"/>
        <v>7699</v>
      </c>
      <c r="L857" s="909"/>
      <c r="M857" s="910">
        <v>407</v>
      </c>
      <c r="N857" s="910">
        <v>0</v>
      </c>
      <c r="O857" s="909">
        <v>0</v>
      </c>
      <c r="P857" s="911">
        <f t="shared" si="27"/>
        <v>407</v>
      </c>
      <c r="Q857" s="909"/>
      <c r="R857" s="910">
        <v>4840</v>
      </c>
      <c r="S857" s="912">
        <v>466</v>
      </c>
      <c r="T857" s="912">
        <v>5306</v>
      </c>
    </row>
    <row r="858" spans="1:20" x14ac:dyDescent="0.25">
      <c r="A858" s="906">
        <v>99405</v>
      </c>
      <c r="B858" s="907" t="s">
        <v>3416</v>
      </c>
      <c r="C858" s="908">
        <v>6.2700000000000006E-5</v>
      </c>
      <c r="D858" s="908">
        <v>5.8100000000000003E-5</v>
      </c>
      <c r="E858" s="909">
        <v>95788</v>
      </c>
      <c r="F858" s="909"/>
      <c r="G858" s="910">
        <v>5518</v>
      </c>
      <c r="H858" s="911">
        <v>23258</v>
      </c>
      <c r="I858" s="910">
        <v>13680</v>
      </c>
      <c r="J858" s="909">
        <v>18380</v>
      </c>
      <c r="K858" s="911">
        <f t="shared" si="26"/>
        <v>60836</v>
      </c>
      <c r="L858" s="909"/>
      <c r="M858" s="910">
        <v>2711</v>
      </c>
      <c r="N858" s="910">
        <v>0</v>
      </c>
      <c r="O858" s="909">
        <v>336</v>
      </c>
      <c r="P858" s="911">
        <f t="shared" si="27"/>
        <v>3047</v>
      </c>
      <c r="Q858" s="909"/>
      <c r="R858" s="910">
        <v>32281</v>
      </c>
      <c r="S858" s="912">
        <v>6084</v>
      </c>
      <c r="T858" s="912">
        <f>38364+1</f>
        <v>38365</v>
      </c>
    </row>
    <row r="859" spans="1:20" x14ac:dyDescent="0.25">
      <c r="A859" s="906">
        <v>99411</v>
      </c>
      <c r="B859" s="907" t="s">
        <v>3417</v>
      </c>
      <c r="C859" s="908">
        <v>1.583E-4</v>
      </c>
      <c r="D859" s="908">
        <v>1.2510000000000001E-4</v>
      </c>
      <c r="E859" s="909">
        <v>241839</v>
      </c>
      <c r="F859" s="909"/>
      <c r="G859" s="910">
        <v>13932</v>
      </c>
      <c r="H859" s="911">
        <v>58719</v>
      </c>
      <c r="I859" s="910">
        <v>34538</v>
      </c>
      <c r="J859" s="909">
        <v>41924</v>
      </c>
      <c r="K859" s="911">
        <f t="shared" si="26"/>
        <v>149113</v>
      </c>
      <c r="L859" s="909"/>
      <c r="M859" s="910">
        <v>6846</v>
      </c>
      <c r="N859" s="910">
        <v>0</v>
      </c>
      <c r="O859" s="909">
        <v>4400</v>
      </c>
      <c r="P859" s="911">
        <f t="shared" si="27"/>
        <v>11246</v>
      </c>
      <c r="Q859" s="909"/>
      <c r="R859" s="910">
        <v>81500</v>
      </c>
      <c r="S859" s="912">
        <v>8626</v>
      </c>
      <c r="T859" s="912">
        <v>90126</v>
      </c>
    </row>
    <row r="860" spans="1:20" x14ac:dyDescent="0.25">
      <c r="A860" s="906">
        <v>99413</v>
      </c>
      <c r="B860" s="907" t="s">
        <v>3418</v>
      </c>
      <c r="C860" s="908">
        <v>3.1099999999999997E-5</v>
      </c>
      <c r="D860" s="908">
        <v>2.76E-5</v>
      </c>
      <c r="E860" s="909">
        <v>47512</v>
      </c>
      <c r="F860" s="909"/>
      <c r="G860" s="910">
        <v>2737</v>
      </c>
      <c r="H860" s="911">
        <v>11536</v>
      </c>
      <c r="I860" s="910">
        <v>6785</v>
      </c>
      <c r="J860" s="909">
        <v>5754</v>
      </c>
      <c r="K860" s="911">
        <f t="shared" si="26"/>
        <v>26812</v>
      </c>
      <c r="L860" s="909"/>
      <c r="M860" s="910">
        <v>1345</v>
      </c>
      <c r="N860" s="910">
        <v>0</v>
      </c>
      <c r="O860" s="909">
        <v>3024</v>
      </c>
      <c r="P860" s="911">
        <f t="shared" si="27"/>
        <v>4369</v>
      </c>
      <c r="Q860" s="909"/>
      <c r="R860" s="910">
        <v>16012</v>
      </c>
      <c r="S860" s="912">
        <v>202</v>
      </c>
      <c r="T860" s="912">
        <v>16214</v>
      </c>
    </row>
    <row r="861" spans="1:20" x14ac:dyDescent="0.25">
      <c r="A861" s="906">
        <v>99421</v>
      </c>
      <c r="B861" s="907" t="s">
        <v>3419</v>
      </c>
      <c r="C861" s="908">
        <v>1.04E-5</v>
      </c>
      <c r="D861" s="908">
        <v>1.5E-5</v>
      </c>
      <c r="E861" s="909">
        <v>15888</v>
      </c>
      <c r="F861" s="909"/>
      <c r="G861" s="910">
        <v>915</v>
      </c>
      <c r="H861" s="911">
        <v>3858</v>
      </c>
      <c r="I861" s="910">
        <v>2269</v>
      </c>
      <c r="J861" s="909">
        <v>764</v>
      </c>
      <c r="K861" s="911">
        <f t="shared" si="26"/>
        <v>7806</v>
      </c>
      <c r="L861" s="909"/>
      <c r="M861" s="910">
        <v>450</v>
      </c>
      <c r="N861" s="910">
        <v>0</v>
      </c>
      <c r="O861" s="909">
        <v>5440</v>
      </c>
      <c r="P861" s="911">
        <f t="shared" si="27"/>
        <v>5890</v>
      </c>
      <c r="Q861" s="909"/>
      <c r="R861" s="910">
        <v>5354</v>
      </c>
      <c r="S861" s="912">
        <v>-1116</v>
      </c>
      <c r="T861" s="912">
        <v>4238</v>
      </c>
    </row>
    <row r="862" spans="1:20" x14ac:dyDescent="0.25">
      <c r="A862" s="906">
        <v>99431</v>
      </c>
      <c r="B862" s="907" t="s">
        <v>3420</v>
      </c>
      <c r="C862" s="908">
        <v>2.2200000000000001E-5</v>
      </c>
      <c r="D862" s="908">
        <v>2.16E-5</v>
      </c>
      <c r="E862" s="909">
        <v>33915</v>
      </c>
      <c r="F862" s="909"/>
      <c r="G862" s="910">
        <v>1954</v>
      </c>
      <c r="H862" s="911">
        <v>8235</v>
      </c>
      <c r="I862" s="910">
        <v>4844</v>
      </c>
      <c r="J862" s="909">
        <v>1071</v>
      </c>
      <c r="K862" s="911">
        <f t="shared" si="26"/>
        <v>16104</v>
      </c>
      <c r="L862" s="909"/>
      <c r="M862" s="910">
        <v>960</v>
      </c>
      <c r="N862" s="910">
        <v>0</v>
      </c>
      <c r="O862" s="909">
        <v>3001</v>
      </c>
      <c r="P862" s="911">
        <f t="shared" si="27"/>
        <v>3961</v>
      </c>
      <c r="Q862" s="909"/>
      <c r="R862" s="910">
        <v>11430</v>
      </c>
      <c r="S862" s="912">
        <v>119</v>
      </c>
      <c r="T862" s="912">
        <v>11549</v>
      </c>
    </row>
    <row r="863" spans="1:20" x14ac:dyDescent="0.25">
      <c r="A863" s="906">
        <v>99501</v>
      </c>
      <c r="B863" s="907" t="s">
        <v>3421</v>
      </c>
      <c r="C863" s="908">
        <v>1.6785000000000001E-3</v>
      </c>
      <c r="D863" s="908">
        <v>1.7390000000000001E-3</v>
      </c>
      <c r="E863" s="909">
        <v>2564283</v>
      </c>
      <c r="F863" s="909"/>
      <c r="G863" s="910">
        <v>147726</v>
      </c>
      <c r="H863" s="911">
        <v>622611</v>
      </c>
      <c r="I863" s="910">
        <v>366215</v>
      </c>
      <c r="J863" s="909">
        <v>3764</v>
      </c>
      <c r="K863" s="911">
        <f t="shared" si="26"/>
        <v>1140316</v>
      </c>
      <c r="L863" s="909"/>
      <c r="M863" s="910">
        <v>72587</v>
      </c>
      <c r="N863" s="910">
        <v>0</v>
      </c>
      <c r="O863" s="909">
        <v>21505</v>
      </c>
      <c r="P863" s="911">
        <f t="shared" si="27"/>
        <v>94092</v>
      </c>
      <c r="Q863" s="909"/>
      <c r="R863" s="910">
        <v>864166</v>
      </c>
      <c r="S863" s="912">
        <v>-3415</v>
      </c>
      <c r="T863" s="912">
        <f>860750+1</f>
        <v>860751</v>
      </c>
    </row>
    <row r="864" spans="1:20" x14ac:dyDescent="0.25">
      <c r="A864" s="906">
        <v>99502</v>
      </c>
      <c r="B864" s="907" t="s">
        <v>3422</v>
      </c>
      <c r="C864" s="908">
        <v>1.373E-4</v>
      </c>
      <c r="D864" s="908">
        <v>1.3779999999999999E-4</v>
      </c>
      <c r="E864" s="909">
        <v>209756</v>
      </c>
      <c r="F864" s="909"/>
      <c r="G864" s="910">
        <v>12084</v>
      </c>
      <c r="H864" s="911">
        <v>50929</v>
      </c>
      <c r="I864" s="910">
        <v>29956</v>
      </c>
      <c r="J864" s="909">
        <v>21393</v>
      </c>
      <c r="K864" s="911">
        <f t="shared" si="26"/>
        <v>114362</v>
      </c>
      <c r="L864" s="909"/>
      <c r="M864" s="910">
        <v>5938</v>
      </c>
      <c r="N864" s="910">
        <v>0</v>
      </c>
      <c r="O864" s="909">
        <v>71</v>
      </c>
      <c r="P864" s="911">
        <f t="shared" si="27"/>
        <v>6009</v>
      </c>
      <c r="Q864" s="909"/>
      <c r="R864" s="910">
        <v>70688</v>
      </c>
      <c r="S864" s="912">
        <v>9456</v>
      </c>
      <c r="T864" s="912">
        <v>80144</v>
      </c>
    </row>
    <row r="865" spans="1:20" x14ac:dyDescent="0.25">
      <c r="A865" s="906">
        <v>99508</v>
      </c>
      <c r="B865" s="907" t="s">
        <v>3423</v>
      </c>
      <c r="C865" s="908">
        <v>2.2099999999999998E-5</v>
      </c>
      <c r="D865" s="908">
        <v>2.1699999999999999E-5</v>
      </c>
      <c r="E865" s="909">
        <v>33763</v>
      </c>
      <c r="F865" s="909"/>
      <c r="G865" s="910">
        <v>1945</v>
      </c>
      <c r="H865" s="911">
        <v>8198</v>
      </c>
      <c r="I865" s="910">
        <v>4822</v>
      </c>
      <c r="J865" s="909">
        <v>37</v>
      </c>
      <c r="K865" s="911">
        <f t="shared" si="26"/>
        <v>15002</v>
      </c>
      <c r="L865" s="909"/>
      <c r="M865" s="910">
        <v>956</v>
      </c>
      <c r="N865" s="910">
        <v>0</v>
      </c>
      <c r="O865" s="909">
        <v>1571</v>
      </c>
      <c r="P865" s="911">
        <f t="shared" si="27"/>
        <v>2527</v>
      </c>
      <c r="Q865" s="909"/>
      <c r="R865" s="910">
        <v>11378</v>
      </c>
      <c r="S865" s="912">
        <v>-984</v>
      </c>
      <c r="T865" s="912">
        <v>10394</v>
      </c>
    </row>
    <row r="866" spans="1:20" x14ac:dyDescent="0.25">
      <c r="A866" s="906">
        <v>99509</v>
      </c>
      <c r="B866" s="907" t="s">
        <v>3424</v>
      </c>
      <c r="C866" s="908">
        <v>2.76E-5</v>
      </c>
      <c r="D866" s="908">
        <v>2.8900000000000001E-5</v>
      </c>
      <c r="E866" s="909">
        <v>42165</v>
      </c>
      <c r="F866" s="909"/>
      <c r="G866" s="910">
        <v>2429</v>
      </c>
      <c r="H866" s="911">
        <v>10238</v>
      </c>
      <c r="I866" s="910">
        <v>6022</v>
      </c>
      <c r="J866" s="909">
        <v>0</v>
      </c>
      <c r="K866" s="911">
        <f t="shared" si="26"/>
        <v>18689</v>
      </c>
      <c r="L866" s="909"/>
      <c r="M866" s="910">
        <v>1194</v>
      </c>
      <c r="N866" s="910">
        <v>0</v>
      </c>
      <c r="O866" s="909">
        <v>6512</v>
      </c>
      <c r="P866" s="911">
        <f t="shared" si="27"/>
        <v>7706</v>
      </c>
      <c r="Q866" s="909"/>
      <c r="R866" s="910">
        <v>14210</v>
      </c>
      <c r="S866" s="912">
        <v>-4301</v>
      </c>
      <c r="T866" s="912">
        <v>9909</v>
      </c>
    </row>
    <row r="867" spans="1:20" x14ac:dyDescent="0.25">
      <c r="A867" s="906">
        <v>99511</v>
      </c>
      <c r="B867" s="907" t="s">
        <v>3425</v>
      </c>
      <c r="C867" s="908">
        <v>1.4048999999999999E-3</v>
      </c>
      <c r="D867" s="908">
        <v>1.3638000000000001E-3</v>
      </c>
      <c r="E867" s="909">
        <v>2146298</v>
      </c>
      <c r="F867" s="909"/>
      <c r="G867" s="910">
        <v>123647</v>
      </c>
      <c r="H867" s="911">
        <v>521124</v>
      </c>
      <c r="I867" s="910">
        <v>306521</v>
      </c>
      <c r="J867" s="909">
        <v>4500</v>
      </c>
      <c r="K867" s="911">
        <f t="shared" si="26"/>
        <v>955792</v>
      </c>
      <c r="L867" s="909"/>
      <c r="M867" s="910">
        <v>60755</v>
      </c>
      <c r="N867" s="910">
        <v>0</v>
      </c>
      <c r="O867" s="909">
        <v>85381</v>
      </c>
      <c r="P867" s="911">
        <f t="shared" si="27"/>
        <v>146136</v>
      </c>
      <c r="Q867" s="909"/>
      <c r="R867" s="910">
        <v>723304</v>
      </c>
      <c r="S867" s="912">
        <v>-30654</v>
      </c>
      <c r="T867" s="912">
        <v>692650</v>
      </c>
    </row>
    <row r="868" spans="1:20" x14ac:dyDescent="0.25">
      <c r="A868" s="906">
        <v>99521</v>
      </c>
      <c r="B868" s="907" t="s">
        <v>3426</v>
      </c>
      <c r="C868" s="908">
        <v>4.2700000000000002E-4</v>
      </c>
      <c r="D868" s="908">
        <v>4.0180000000000001E-4</v>
      </c>
      <c r="E868" s="909">
        <v>652338</v>
      </c>
      <c r="F868" s="909"/>
      <c r="G868" s="910">
        <v>37581</v>
      </c>
      <c r="H868" s="911">
        <v>158389</v>
      </c>
      <c r="I868" s="910">
        <v>93163</v>
      </c>
      <c r="J868" s="909">
        <v>2015</v>
      </c>
      <c r="K868" s="911">
        <f t="shared" si="26"/>
        <v>291148</v>
      </c>
      <c r="L868" s="909"/>
      <c r="M868" s="910">
        <v>18466</v>
      </c>
      <c r="N868" s="910">
        <v>0</v>
      </c>
      <c r="O868" s="909">
        <v>15563</v>
      </c>
      <c r="P868" s="911">
        <f t="shared" si="27"/>
        <v>34029</v>
      </c>
      <c r="Q868" s="909"/>
      <c r="R868" s="910">
        <v>219838</v>
      </c>
      <c r="S868" s="912">
        <v>-5081</v>
      </c>
      <c r="T868" s="912">
        <v>214757</v>
      </c>
    </row>
    <row r="869" spans="1:20" x14ac:dyDescent="0.25">
      <c r="A869" s="906">
        <v>99527</v>
      </c>
      <c r="B869" s="907" t="s">
        <v>3427</v>
      </c>
      <c r="C869" s="908">
        <v>1.19E-5</v>
      </c>
      <c r="D869" s="908">
        <v>1.2099999999999999E-5</v>
      </c>
      <c r="E869" s="909">
        <v>18180</v>
      </c>
      <c r="F869" s="909"/>
      <c r="G869" s="910">
        <v>1047</v>
      </c>
      <c r="H869" s="911">
        <v>4414</v>
      </c>
      <c r="I869" s="910">
        <v>2596</v>
      </c>
      <c r="J869" s="909">
        <v>1124</v>
      </c>
      <c r="K869" s="911">
        <f t="shared" si="26"/>
        <v>9181</v>
      </c>
      <c r="L869" s="909"/>
      <c r="M869" s="910">
        <v>515</v>
      </c>
      <c r="N869" s="910">
        <v>0</v>
      </c>
      <c r="O869" s="909">
        <v>0</v>
      </c>
      <c r="P869" s="911">
        <f t="shared" si="27"/>
        <v>515</v>
      </c>
      <c r="Q869" s="909"/>
      <c r="R869" s="910">
        <v>6127</v>
      </c>
      <c r="S869" s="912">
        <v>591</v>
      </c>
      <c r="T869" s="912">
        <v>6718</v>
      </c>
    </row>
    <row r="870" spans="1:20" x14ac:dyDescent="0.25">
      <c r="A870" s="906">
        <v>99531</v>
      </c>
      <c r="B870" s="907" t="s">
        <v>3428</v>
      </c>
      <c r="C870" s="908">
        <v>9.3499999999999996E-5</v>
      </c>
      <c r="D870" s="908">
        <v>8.7600000000000002E-5</v>
      </c>
      <c r="E870" s="909">
        <v>142842</v>
      </c>
      <c r="F870" s="909"/>
      <c r="G870" s="910">
        <v>8229</v>
      </c>
      <c r="H870" s="911">
        <v>34683</v>
      </c>
      <c r="I870" s="910">
        <v>20400</v>
      </c>
      <c r="J870" s="909">
        <v>55453</v>
      </c>
      <c r="K870" s="911">
        <f t="shared" si="26"/>
        <v>118765</v>
      </c>
      <c r="L870" s="909"/>
      <c r="M870" s="910">
        <v>4043</v>
      </c>
      <c r="N870" s="910">
        <v>0</v>
      </c>
      <c r="O870" s="909">
        <v>0</v>
      </c>
      <c r="P870" s="911">
        <f t="shared" si="27"/>
        <v>4043</v>
      </c>
      <c r="Q870" s="909"/>
      <c r="R870" s="910">
        <v>48138</v>
      </c>
      <c r="S870" s="912">
        <v>18721</v>
      </c>
      <c r="T870" s="912">
        <v>66859</v>
      </c>
    </row>
    <row r="871" spans="1:20" x14ac:dyDescent="0.25">
      <c r="A871" s="906">
        <v>99601</v>
      </c>
      <c r="B871" s="907" t="s">
        <v>3429</v>
      </c>
      <c r="C871" s="908">
        <v>5.7812000000000002E-3</v>
      </c>
      <c r="D871" s="908">
        <v>5.2824999999999999E-3</v>
      </c>
      <c r="E871" s="909">
        <v>8832072</v>
      </c>
      <c r="F871" s="909"/>
      <c r="G871" s="910">
        <v>508809</v>
      </c>
      <c r="H871" s="911">
        <v>2144438</v>
      </c>
      <c r="I871" s="910">
        <v>1261342</v>
      </c>
      <c r="J871" s="909">
        <v>289372</v>
      </c>
      <c r="K871" s="911">
        <f t="shared" si="26"/>
        <v>4203961</v>
      </c>
      <c r="L871" s="909"/>
      <c r="M871" s="910">
        <v>250008</v>
      </c>
      <c r="N871" s="910">
        <v>0</v>
      </c>
      <c r="O871" s="909">
        <v>73071</v>
      </c>
      <c r="P871" s="911">
        <f t="shared" si="27"/>
        <v>323079</v>
      </c>
      <c r="Q871" s="909"/>
      <c r="R871" s="910">
        <v>2976416</v>
      </c>
      <c r="S871" s="912">
        <v>55175</v>
      </c>
      <c r="T871" s="912">
        <f>3031592-1</f>
        <v>3031591</v>
      </c>
    </row>
    <row r="872" spans="1:20" x14ac:dyDescent="0.25">
      <c r="A872" s="906">
        <v>99602</v>
      </c>
      <c r="B872" s="907" t="s">
        <v>3430</v>
      </c>
      <c r="C872" s="908">
        <v>6.19E-5</v>
      </c>
      <c r="D872" s="908">
        <v>5.1700000000000003E-5</v>
      </c>
      <c r="E872" s="909">
        <v>94566</v>
      </c>
      <c r="F872" s="909"/>
      <c r="G872" s="910">
        <v>5448</v>
      </c>
      <c r="H872" s="911">
        <v>22961</v>
      </c>
      <c r="I872" s="910">
        <v>13505</v>
      </c>
      <c r="J872" s="909">
        <v>10306</v>
      </c>
      <c r="K872" s="911">
        <f t="shared" si="26"/>
        <v>52220</v>
      </c>
      <c r="L872" s="909"/>
      <c r="M872" s="910">
        <v>2677</v>
      </c>
      <c r="N872" s="910">
        <v>0</v>
      </c>
      <c r="O872" s="909">
        <v>2067</v>
      </c>
      <c r="P872" s="911">
        <f t="shared" si="27"/>
        <v>4744</v>
      </c>
      <c r="Q872" s="909"/>
      <c r="R872" s="910">
        <v>31869</v>
      </c>
      <c r="S872" s="912">
        <v>1298</v>
      </c>
      <c r="T872" s="912">
        <v>33167</v>
      </c>
    </row>
    <row r="873" spans="1:20" x14ac:dyDescent="0.25">
      <c r="A873" s="906">
        <v>99603</v>
      </c>
      <c r="B873" s="907" t="s">
        <v>3431</v>
      </c>
      <c r="C873" s="908">
        <v>1.615E-4</v>
      </c>
      <c r="D873" s="908">
        <v>1.4219999999999999E-4</v>
      </c>
      <c r="E873" s="909">
        <v>246727</v>
      </c>
      <c r="F873" s="909"/>
      <c r="G873" s="910">
        <v>14214</v>
      </c>
      <c r="H873" s="911">
        <v>59905</v>
      </c>
      <c r="I873" s="910">
        <v>35236</v>
      </c>
      <c r="J873" s="909">
        <v>95435</v>
      </c>
      <c r="K873" s="911">
        <f t="shared" si="26"/>
        <v>204790</v>
      </c>
      <c r="L873" s="909"/>
      <c r="M873" s="910">
        <v>6984</v>
      </c>
      <c r="N873" s="910">
        <v>0</v>
      </c>
      <c r="O873" s="909">
        <v>0</v>
      </c>
      <c r="P873" s="911">
        <f t="shared" si="27"/>
        <v>6984</v>
      </c>
      <c r="Q873" s="909"/>
      <c r="R873" s="910">
        <v>83147</v>
      </c>
      <c r="S873" s="912">
        <v>37380</v>
      </c>
      <c r="T873" s="912">
        <v>120527</v>
      </c>
    </row>
    <row r="874" spans="1:20" x14ac:dyDescent="0.25">
      <c r="A874" s="906">
        <v>99604</v>
      </c>
      <c r="B874" s="907" t="s">
        <v>3432</v>
      </c>
      <c r="C874" s="908">
        <v>1.009E-4</v>
      </c>
      <c r="D874" s="908">
        <v>9.6899999999999997E-5</v>
      </c>
      <c r="E874" s="909">
        <v>154147</v>
      </c>
      <c r="F874" s="909"/>
      <c r="G874" s="910">
        <v>8880</v>
      </c>
      <c r="H874" s="911">
        <v>37427</v>
      </c>
      <c r="I874" s="910">
        <v>22014</v>
      </c>
      <c r="J874" s="909">
        <v>20530</v>
      </c>
      <c r="K874" s="911">
        <f t="shared" si="26"/>
        <v>88851</v>
      </c>
      <c r="L874" s="909"/>
      <c r="M874" s="910">
        <v>4363</v>
      </c>
      <c r="N874" s="910">
        <v>0</v>
      </c>
      <c r="O874" s="909">
        <v>0</v>
      </c>
      <c r="P874" s="911">
        <f t="shared" si="27"/>
        <v>4363</v>
      </c>
      <c r="Q874" s="909"/>
      <c r="R874" s="910">
        <v>51948</v>
      </c>
      <c r="S874" s="912">
        <v>9479</v>
      </c>
      <c r="T874" s="912">
        <v>61427</v>
      </c>
    </row>
    <row r="875" spans="1:20" x14ac:dyDescent="0.25">
      <c r="A875" s="906">
        <v>99609</v>
      </c>
      <c r="B875" s="907" t="s">
        <v>3433</v>
      </c>
      <c r="C875" s="908">
        <v>1.52E-5</v>
      </c>
      <c r="D875" s="908">
        <v>2.0999999999999999E-5</v>
      </c>
      <c r="E875" s="909">
        <v>23221</v>
      </c>
      <c r="F875" s="909"/>
      <c r="G875" s="910">
        <v>1338</v>
      </c>
      <c r="H875" s="911">
        <v>5638</v>
      </c>
      <c r="I875" s="910">
        <v>3316</v>
      </c>
      <c r="J875" s="909">
        <v>3555</v>
      </c>
      <c r="K875" s="911">
        <f t="shared" si="26"/>
        <v>13847</v>
      </c>
      <c r="L875" s="909"/>
      <c r="M875" s="910">
        <v>657</v>
      </c>
      <c r="N875" s="910">
        <v>0</v>
      </c>
      <c r="O875" s="909">
        <v>1523</v>
      </c>
      <c r="P875" s="911">
        <f t="shared" si="27"/>
        <v>2180</v>
      </c>
      <c r="Q875" s="909"/>
      <c r="R875" s="910">
        <v>7826</v>
      </c>
      <c r="S875" s="912">
        <v>1693</v>
      </c>
      <c r="T875" s="912">
        <v>9519</v>
      </c>
    </row>
    <row r="876" spans="1:20" x14ac:dyDescent="0.25">
      <c r="A876" s="906">
        <v>99610</v>
      </c>
      <c r="B876" s="907" t="s">
        <v>3434</v>
      </c>
      <c r="C876" s="908">
        <v>1.9440000000000001E-4</v>
      </c>
      <c r="D876" s="908">
        <v>1.9440000000000001E-4</v>
      </c>
      <c r="E876" s="909">
        <v>296989</v>
      </c>
      <c r="F876" s="909"/>
      <c r="G876" s="910">
        <v>17109</v>
      </c>
      <c r="H876" s="911">
        <v>72109</v>
      </c>
      <c r="I876" s="910">
        <v>42414</v>
      </c>
      <c r="J876" s="909">
        <v>2712</v>
      </c>
      <c r="K876" s="911">
        <f t="shared" si="26"/>
        <v>134344</v>
      </c>
      <c r="L876" s="909"/>
      <c r="M876" s="910">
        <v>8407</v>
      </c>
      <c r="N876" s="910">
        <v>0</v>
      </c>
      <c r="O876" s="909">
        <v>4164</v>
      </c>
      <c r="P876" s="911">
        <f t="shared" si="27"/>
        <v>12571</v>
      </c>
      <c r="Q876" s="909"/>
      <c r="R876" s="910">
        <v>100086</v>
      </c>
      <c r="S876" s="912">
        <v>576</v>
      </c>
      <c r="T876" s="912">
        <v>100662</v>
      </c>
    </row>
    <row r="877" spans="1:20" x14ac:dyDescent="0.25">
      <c r="A877" s="906">
        <v>99611</v>
      </c>
      <c r="B877" s="907" t="s">
        <v>3435</v>
      </c>
      <c r="C877" s="908">
        <v>3.1959000000000002E-3</v>
      </c>
      <c r="D877" s="908">
        <v>3.1495999999999998E-3</v>
      </c>
      <c r="E877" s="909">
        <v>4882450</v>
      </c>
      <c r="F877" s="909"/>
      <c r="G877" s="910">
        <v>281274</v>
      </c>
      <c r="H877" s="911">
        <v>1185465</v>
      </c>
      <c r="I877" s="910">
        <v>697281</v>
      </c>
      <c r="J877" s="909">
        <v>36523</v>
      </c>
      <c r="K877" s="911">
        <f t="shared" si="26"/>
        <v>2200543</v>
      </c>
      <c r="L877" s="909"/>
      <c r="M877" s="910">
        <v>138207</v>
      </c>
      <c r="N877" s="910">
        <v>0</v>
      </c>
      <c r="O877" s="909">
        <v>197702</v>
      </c>
      <c r="P877" s="911">
        <f t="shared" si="27"/>
        <v>335909</v>
      </c>
      <c r="Q877" s="909"/>
      <c r="R877" s="910">
        <v>1645390</v>
      </c>
      <c r="S877" s="912">
        <v>-88518</v>
      </c>
      <c r="T877" s="912">
        <v>1556872</v>
      </c>
    </row>
    <row r="878" spans="1:20" x14ac:dyDescent="0.25">
      <c r="A878" s="906">
        <v>99613</v>
      </c>
      <c r="B878" s="907" t="s">
        <v>3436</v>
      </c>
      <c r="C878" s="908">
        <v>3.2909999999999998E-4</v>
      </c>
      <c r="D878" s="908">
        <v>3.369E-4</v>
      </c>
      <c r="E878" s="909">
        <v>502774</v>
      </c>
      <c r="F878" s="909"/>
      <c r="G878" s="910">
        <v>28964</v>
      </c>
      <c r="H878" s="911">
        <v>122074</v>
      </c>
      <c r="I878" s="910">
        <v>71803</v>
      </c>
      <c r="J878" s="909">
        <v>283917</v>
      </c>
      <c r="K878" s="911">
        <f t="shared" si="26"/>
        <v>506758</v>
      </c>
      <c r="L878" s="909"/>
      <c r="M878" s="910">
        <v>14232</v>
      </c>
      <c r="N878" s="910">
        <v>0</v>
      </c>
      <c r="O878" s="909">
        <v>0</v>
      </c>
      <c r="P878" s="911">
        <f t="shared" si="27"/>
        <v>14232</v>
      </c>
      <c r="Q878" s="909"/>
      <c r="R878" s="910">
        <v>169435</v>
      </c>
      <c r="S878" s="912">
        <v>96572</v>
      </c>
      <c r="T878" s="912">
        <v>266007</v>
      </c>
    </row>
    <row r="879" spans="1:20" x14ac:dyDescent="0.25">
      <c r="A879" s="906">
        <v>99621</v>
      </c>
      <c r="B879" s="907" t="s">
        <v>3437</v>
      </c>
      <c r="C879" s="908">
        <v>3.7060000000000001E-4</v>
      </c>
      <c r="D879" s="908">
        <v>3.2850000000000002E-4</v>
      </c>
      <c r="E879" s="909">
        <v>566174</v>
      </c>
      <c r="F879" s="909"/>
      <c r="G879" s="910">
        <v>32617</v>
      </c>
      <c r="H879" s="911">
        <v>137468</v>
      </c>
      <c r="I879" s="910">
        <v>80858</v>
      </c>
      <c r="J879" s="909">
        <v>42182</v>
      </c>
      <c r="K879" s="911">
        <f t="shared" si="26"/>
        <v>293125</v>
      </c>
      <c r="L879" s="909"/>
      <c r="M879" s="910">
        <v>16027</v>
      </c>
      <c r="N879" s="910">
        <v>0</v>
      </c>
      <c r="O879" s="909">
        <v>4670</v>
      </c>
      <c r="P879" s="911">
        <f t="shared" si="27"/>
        <v>20697</v>
      </c>
      <c r="Q879" s="909"/>
      <c r="R879" s="910">
        <v>190801</v>
      </c>
      <c r="S879" s="912">
        <v>12829</v>
      </c>
      <c r="T879" s="912">
        <v>203630</v>
      </c>
    </row>
    <row r="880" spans="1:20" x14ac:dyDescent="0.25">
      <c r="A880" s="906">
        <v>99623</v>
      </c>
      <c r="B880" s="907" t="s">
        <v>3438</v>
      </c>
      <c r="C880" s="908">
        <v>2.6400000000000001E-5</v>
      </c>
      <c r="D880" s="908">
        <v>2.9200000000000002E-5</v>
      </c>
      <c r="E880" s="909">
        <v>40332</v>
      </c>
      <c r="F880" s="909"/>
      <c r="G880" s="910">
        <v>2323</v>
      </c>
      <c r="H880" s="911">
        <v>9793</v>
      </c>
      <c r="I880" s="910">
        <v>5760</v>
      </c>
      <c r="J880" s="909">
        <v>2450</v>
      </c>
      <c r="K880" s="911">
        <f t="shared" si="26"/>
        <v>20326</v>
      </c>
      <c r="L880" s="909"/>
      <c r="M880" s="910">
        <v>1142</v>
      </c>
      <c r="N880" s="910">
        <v>0</v>
      </c>
      <c r="O880" s="909">
        <v>2848</v>
      </c>
      <c r="P880" s="911">
        <f t="shared" si="27"/>
        <v>3990</v>
      </c>
      <c r="Q880" s="909"/>
      <c r="R880" s="910">
        <v>13592</v>
      </c>
      <c r="S880" s="912">
        <v>317</v>
      </c>
      <c r="T880" s="912">
        <f>13908+1</f>
        <v>13909</v>
      </c>
    </row>
    <row r="881" spans="1:20" x14ac:dyDescent="0.25">
      <c r="A881" s="906">
        <v>99631</v>
      </c>
      <c r="B881" s="907" t="s">
        <v>3439</v>
      </c>
      <c r="C881" s="908">
        <v>1.102E-4</v>
      </c>
      <c r="D881" s="908">
        <v>1.0340000000000001E-4</v>
      </c>
      <c r="E881" s="909">
        <v>168355</v>
      </c>
      <c r="F881" s="909"/>
      <c r="G881" s="910">
        <v>9699</v>
      </c>
      <c r="H881" s="911">
        <v>40877</v>
      </c>
      <c r="I881" s="910">
        <v>24043</v>
      </c>
      <c r="J881" s="909">
        <v>1071</v>
      </c>
      <c r="K881" s="911">
        <f t="shared" si="26"/>
        <v>75690</v>
      </c>
      <c r="L881" s="909"/>
      <c r="M881" s="910">
        <v>4766</v>
      </c>
      <c r="N881" s="910">
        <v>0</v>
      </c>
      <c r="O881" s="909">
        <v>5159</v>
      </c>
      <c r="P881" s="911">
        <f t="shared" si="27"/>
        <v>9925</v>
      </c>
      <c r="Q881" s="909"/>
      <c r="R881" s="910">
        <v>56736</v>
      </c>
      <c r="S881" s="912">
        <v>-3954</v>
      </c>
      <c r="T881" s="912">
        <f>52781+1</f>
        <v>52782</v>
      </c>
    </row>
    <row r="882" spans="1:20" x14ac:dyDescent="0.25">
      <c r="A882" s="906">
        <v>99651</v>
      </c>
      <c r="B882" s="907" t="s">
        <v>3440</v>
      </c>
      <c r="C882" s="908">
        <v>6.7199999999999994E-5</v>
      </c>
      <c r="D882" s="908">
        <v>6.7100000000000005E-5</v>
      </c>
      <c r="E882" s="909">
        <v>102663</v>
      </c>
      <c r="F882" s="909"/>
      <c r="G882" s="910">
        <v>5914</v>
      </c>
      <c r="H882" s="911">
        <v>24927</v>
      </c>
      <c r="I882" s="910">
        <v>14662</v>
      </c>
      <c r="J882" s="909">
        <v>5944</v>
      </c>
      <c r="K882" s="911">
        <f t="shared" si="26"/>
        <v>51447</v>
      </c>
      <c r="L882" s="909"/>
      <c r="M882" s="910">
        <v>2906</v>
      </c>
      <c r="N882" s="910">
        <v>0</v>
      </c>
      <c r="O882" s="909">
        <v>1841</v>
      </c>
      <c r="P882" s="911">
        <f t="shared" si="27"/>
        <v>4747</v>
      </c>
      <c r="Q882" s="909"/>
      <c r="R882" s="910">
        <v>34598</v>
      </c>
      <c r="S882" s="912">
        <v>1312</v>
      </c>
      <c r="T882" s="912">
        <v>35910</v>
      </c>
    </row>
    <row r="883" spans="1:20" x14ac:dyDescent="0.25">
      <c r="A883" s="906">
        <v>99661</v>
      </c>
      <c r="B883" s="907" t="s">
        <v>3441</v>
      </c>
      <c r="C883" s="908">
        <v>3.26E-5</v>
      </c>
      <c r="D883" s="908">
        <v>3.5500000000000002E-5</v>
      </c>
      <c r="E883" s="909">
        <v>49804</v>
      </c>
      <c r="F883" s="909"/>
      <c r="G883" s="910">
        <v>2869</v>
      </c>
      <c r="H883" s="911">
        <v>12092</v>
      </c>
      <c r="I883" s="910">
        <v>7113</v>
      </c>
      <c r="J883" s="909">
        <v>34726</v>
      </c>
      <c r="K883" s="911">
        <f t="shared" si="26"/>
        <v>56800</v>
      </c>
      <c r="L883" s="909"/>
      <c r="M883" s="910">
        <v>1410</v>
      </c>
      <c r="N883" s="910">
        <v>0</v>
      </c>
      <c r="O883" s="909">
        <v>0</v>
      </c>
      <c r="P883" s="911">
        <f t="shared" si="27"/>
        <v>1410</v>
      </c>
      <c r="Q883" s="909"/>
      <c r="R883" s="910">
        <v>16784</v>
      </c>
      <c r="S883" s="912">
        <v>12838</v>
      </c>
      <c r="T883" s="912">
        <v>29622</v>
      </c>
    </row>
    <row r="884" spans="1:20" x14ac:dyDescent="0.25">
      <c r="A884" s="906">
        <v>99701</v>
      </c>
      <c r="B884" s="907" t="s">
        <v>3442</v>
      </c>
      <c r="C884" s="908">
        <v>2.9190000000000002E-3</v>
      </c>
      <c r="D884" s="908">
        <v>2.8774E-3</v>
      </c>
      <c r="E884" s="909">
        <v>4459423</v>
      </c>
      <c r="F884" s="909"/>
      <c r="G884" s="910">
        <v>256904</v>
      </c>
      <c r="H884" s="911">
        <v>1082754</v>
      </c>
      <c r="I884" s="910">
        <v>636867</v>
      </c>
      <c r="J884" s="909">
        <v>21162</v>
      </c>
      <c r="K884" s="911">
        <f t="shared" si="26"/>
        <v>1997687</v>
      </c>
      <c r="L884" s="909"/>
      <c r="M884" s="910">
        <v>126232</v>
      </c>
      <c r="N884" s="910">
        <v>0</v>
      </c>
      <c r="O884" s="909">
        <v>17651</v>
      </c>
      <c r="P884" s="911">
        <f t="shared" si="27"/>
        <v>143883</v>
      </c>
      <c r="Q884" s="909"/>
      <c r="R884" s="910">
        <v>1502830</v>
      </c>
      <c r="S884" s="912">
        <v>-1976</v>
      </c>
      <c r="T884" s="912">
        <f>1500853+1</f>
        <v>1500854</v>
      </c>
    </row>
    <row r="885" spans="1:20" x14ac:dyDescent="0.25">
      <c r="A885" s="906">
        <v>99705</v>
      </c>
      <c r="B885" s="907" t="s">
        <v>3443</v>
      </c>
      <c r="C885" s="908">
        <v>1.7229999999999999E-4</v>
      </c>
      <c r="D885" s="908">
        <v>1.7259999999999999E-4</v>
      </c>
      <c r="E885" s="909">
        <v>263227</v>
      </c>
      <c r="F885" s="909"/>
      <c r="G885" s="910">
        <v>15164</v>
      </c>
      <c r="H885" s="911">
        <v>63911</v>
      </c>
      <c r="I885" s="910">
        <v>37592</v>
      </c>
      <c r="J885" s="909">
        <v>10978</v>
      </c>
      <c r="K885" s="911">
        <f t="shared" si="26"/>
        <v>127645</v>
      </c>
      <c r="L885" s="909"/>
      <c r="M885" s="910">
        <v>7451</v>
      </c>
      <c r="N885" s="910">
        <v>0</v>
      </c>
      <c r="O885" s="909">
        <v>544</v>
      </c>
      <c r="P885" s="911">
        <f t="shared" si="27"/>
        <v>7995</v>
      </c>
      <c r="Q885" s="909"/>
      <c r="R885" s="910">
        <v>88708</v>
      </c>
      <c r="S885" s="912">
        <v>5913</v>
      </c>
      <c r="T885" s="912">
        <v>94621</v>
      </c>
    </row>
    <row r="886" spans="1:20" x14ac:dyDescent="0.25">
      <c r="A886" s="906">
        <v>99711</v>
      </c>
      <c r="B886" s="907" t="s">
        <v>3444</v>
      </c>
      <c r="C886" s="908">
        <v>4.5459999999999999E-4</v>
      </c>
      <c r="D886" s="908">
        <v>4.3540000000000001E-4</v>
      </c>
      <c r="E886" s="909">
        <v>694503</v>
      </c>
      <c r="F886" s="909"/>
      <c r="G886" s="910">
        <v>40010</v>
      </c>
      <c r="H886" s="911">
        <v>168626</v>
      </c>
      <c r="I886" s="910">
        <v>99185</v>
      </c>
      <c r="J886" s="909">
        <v>14449</v>
      </c>
      <c r="K886" s="911">
        <f t="shared" si="26"/>
        <v>322270</v>
      </c>
      <c r="L886" s="909"/>
      <c r="M886" s="910">
        <v>19659</v>
      </c>
      <c r="N886" s="910">
        <v>0</v>
      </c>
      <c r="O886" s="909">
        <v>10625</v>
      </c>
      <c r="P886" s="911">
        <f t="shared" si="27"/>
        <v>30284</v>
      </c>
      <c r="Q886" s="909"/>
      <c r="R886" s="910">
        <v>234048</v>
      </c>
      <c r="S886" s="912">
        <v>-1042</v>
      </c>
      <c r="T886" s="912">
        <v>233006</v>
      </c>
    </row>
    <row r="887" spans="1:20" x14ac:dyDescent="0.25">
      <c r="A887" s="906">
        <v>99717</v>
      </c>
      <c r="B887" s="907" t="s">
        <v>3445</v>
      </c>
      <c r="C887" s="908">
        <v>2.19E-5</v>
      </c>
      <c r="D887" s="908">
        <v>2.3200000000000001E-5</v>
      </c>
      <c r="E887" s="909">
        <v>33457</v>
      </c>
      <c r="F887" s="909"/>
      <c r="G887" s="910">
        <v>1927</v>
      </c>
      <c r="H887" s="911">
        <v>8123</v>
      </c>
      <c r="I887" s="910">
        <v>4778</v>
      </c>
      <c r="J887" s="909">
        <v>0</v>
      </c>
      <c r="K887" s="911">
        <f t="shared" si="26"/>
        <v>14828</v>
      </c>
      <c r="L887" s="909"/>
      <c r="M887" s="910">
        <v>947</v>
      </c>
      <c r="N887" s="910">
        <v>0</v>
      </c>
      <c r="O887" s="909">
        <v>3936</v>
      </c>
      <c r="P887" s="911">
        <f t="shared" si="27"/>
        <v>4883</v>
      </c>
      <c r="Q887" s="909"/>
      <c r="R887" s="910">
        <v>11275</v>
      </c>
      <c r="S887" s="912">
        <v>-1270</v>
      </c>
      <c r="T887" s="912">
        <v>10005</v>
      </c>
    </row>
    <row r="888" spans="1:20" x14ac:dyDescent="0.25">
      <c r="A888" s="906">
        <v>99721</v>
      </c>
      <c r="B888" s="907" t="s">
        <v>3446</v>
      </c>
      <c r="C888" s="908">
        <v>5.7779999999999995E-4</v>
      </c>
      <c r="D888" s="908">
        <v>6.2449999999999995E-4</v>
      </c>
      <c r="E888" s="909">
        <v>882718</v>
      </c>
      <c r="F888" s="909"/>
      <c r="G888" s="910">
        <v>50853</v>
      </c>
      <c r="H888" s="911">
        <v>214325</v>
      </c>
      <c r="I888" s="910">
        <v>126064</v>
      </c>
      <c r="J888" s="909">
        <v>0</v>
      </c>
      <c r="K888" s="911">
        <f t="shared" si="26"/>
        <v>391242</v>
      </c>
      <c r="L888" s="909"/>
      <c r="M888" s="910">
        <v>24987</v>
      </c>
      <c r="N888" s="910">
        <v>0</v>
      </c>
      <c r="O888" s="909">
        <v>48789</v>
      </c>
      <c r="P888" s="911">
        <f t="shared" si="27"/>
        <v>73776</v>
      </c>
      <c r="Q888" s="909"/>
      <c r="R888" s="910">
        <v>297477</v>
      </c>
      <c r="S888" s="912">
        <v>-14223</v>
      </c>
      <c r="T888" s="912">
        <v>283254</v>
      </c>
    </row>
    <row r="889" spans="1:20" x14ac:dyDescent="0.25">
      <c r="A889" s="906">
        <v>99727</v>
      </c>
      <c r="B889" s="907" t="s">
        <v>3447</v>
      </c>
      <c r="C889" s="908">
        <v>2.3900000000000002E-5</v>
      </c>
      <c r="D889" s="908">
        <v>2.5299999999999998E-5</v>
      </c>
      <c r="E889" s="909">
        <v>36513</v>
      </c>
      <c r="F889" s="909"/>
      <c r="G889" s="910">
        <v>2103</v>
      </c>
      <c r="H889" s="911">
        <v>8865</v>
      </c>
      <c r="I889" s="910">
        <v>5215</v>
      </c>
      <c r="J889" s="909">
        <v>59484</v>
      </c>
      <c r="K889" s="911">
        <f t="shared" si="26"/>
        <v>75667</v>
      </c>
      <c r="L889" s="909"/>
      <c r="M889" s="910">
        <v>1034</v>
      </c>
      <c r="N889" s="910">
        <v>0</v>
      </c>
      <c r="O889" s="909">
        <v>0</v>
      </c>
      <c r="P889" s="911">
        <f t="shared" si="27"/>
        <v>1034</v>
      </c>
      <c r="Q889" s="909"/>
      <c r="R889" s="910">
        <v>12305</v>
      </c>
      <c r="S889" s="912">
        <v>20983</v>
      </c>
      <c r="T889" s="912">
        <v>33288</v>
      </c>
    </row>
    <row r="890" spans="1:20" x14ac:dyDescent="0.25">
      <c r="A890" s="906">
        <v>99801</v>
      </c>
      <c r="B890" s="907" t="s">
        <v>3448</v>
      </c>
      <c r="C890" s="908">
        <v>5.1866000000000004E-3</v>
      </c>
      <c r="D890" s="908">
        <v>5.1954999999999996E-3</v>
      </c>
      <c r="E890" s="909">
        <v>7923688</v>
      </c>
      <c r="F890" s="909"/>
      <c r="G890" s="910">
        <v>456478</v>
      </c>
      <c r="H890" s="911">
        <v>1923881</v>
      </c>
      <c r="I890" s="910">
        <v>1131612</v>
      </c>
      <c r="J890" s="909">
        <v>17042</v>
      </c>
      <c r="K890" s="911">
        <f t="shared" si="26"/>
        <v>3529013</v>
      </c>
      <c r="L890" s="909"/>
      <c r="M890" s="910">
        <v>224295</v>
      </c>
      <c r="N890" s="910">
        <v>0</v>
      </c>
      <c r="O890" s="909">
        <v>150042</v>
      </c>
      <c r="P890" s="911">
        <f t="shared" si="27"/>
        <v>374337</v>
      </c>
      <c r="Q890" s="909"/>
      <c r="R890" s="910">
        <v>2670290</v>
      </c>
      <c r="S890" s="912">
        <v>-29556</v>
      </c>
      <c r="T890" s="912">
        <f>2640733+1</f>
        <v>2640734</v>
      </c>
    </row>
    <row r="891" spans="1:20" x14ac:dyDescent="0.25">
      <c r="A891" s="906">
        <v>99802</v>
      </c>
      <c r="B891" s="907" t="s">
        <v>3449</v>
      </c>
      <c r="C891" s="908">
        <v>6.0000000000000002E-6</v>
      </c>
      <c r="D891" s="908">
        <v>6.4999999999999996E-6</v>
      </c>
      <c r="E891" s="909">
        <v>9166</v>
      </c>
      <c r="F891" s="909"/>
      <c r="G891" s="910">
        <v>528</v>
      </c>
      <c r="H891" s="911">
        <v>2226</v>
      </c>
      <c r="I891" s="910">
        <v>1309</v>
      </c>
      <c r="J891" s="909">
        <v>1378</v>
      </c>
      <c r="K891" s="911">
        <f t="shared" si="26"/>
        <v>5441</v>
      </c>
      <c r="L891" s="909"/>
      <c r="M891" s="910">
        <v>259</v>
      </c>
      <c r="N891" s="910">
        <v>0</v>
      </c>
      <c r="O891" s="909">
        <v>53</v>
      </c>
      <c r="P891" s="911">
        <f t="shared" si="27"/>
        <v>312</v>
      </c>
      <c r="Q891" s="909"/>
      <c r="R891" s="910">
        <v>3089</v>
      </c>
      <c r="S891" s="912">
        <v>334</v>
      </c>
      <c r="T891" s="912">
        <v>3423</v>
      </c>
    </row>
    <row r="892" spans="1:20" x14ac:dyDescent="0.25">
      <c r="A892" s="906">
        <v>99804</v>
      </c>
      <c r="B892" s="907" t="s">
        <v>3450</v>
      </c>
      <c r="C892" s="908">
        <v>9.0500000000000004E-5</v>
      </c>
      <c r="D892" s="908">
        <v>8.6600000000000004E-5</v>
      </c>
      <c r="E892" s="909">
        <v>138259</v>
      </c>
      <c r="F892" s="909"/>
      <c r="G892" s="910">
        <v>7965</v>
      </c>
      <c r="H892" s="911">
        <v>33569</v>
      </c>
      <c r="I892" s="910">
        <v>19745</v>
      </c>
      <c r="J892" s="909">
        <v>13689</v>
      </c>
      <c r="K892" s="911">
        <f t="shared" si="26"/>
        <v>74968</v>
      </c>
      <c r="L892" s="909"/>
      <c r="M892" s="910">
        <v>3914</v>
      </c>
      <c r="N892" s="910">
        <v>0</v>
      </c>
      <c r="O892" s="909">
        <v>0</v>
      </c>
      <c r="P892" s="911">
        <f t="shared" si="27"/>
        <v>3914</v>
      </c>
      <c r="Q892" s="909"/>
      <c r="R892" s="910">
        <v>46593</v>
      </c>
      <c r="S892" s="912">
        <v>4917</v>
      </c>
      <c r="T892" s="912">
        <v>51510</v>
      </c>
    </row>
    <row r="893" spans="1:20" x14ac:dyDescent="0.25">
      <c r="A893" s="906">
        <v>99811</v>
      </c>
      <c r="B893" s="907" t="s">
        <v>3451</v>
      </c>
      <c r="C893" s="908">
        <v>6.7026999999999998E-3</v>
      </c>
      <c r="D893" s="908">
        <v>6.8415000000000004E-3</v>
      </c>
      <c r="E893" s="909">
        <v>10239869</v>
      </c>
      <c r="F893" s="909"/>
      <c r="G893" s="910">
        <v>589911</v>
      </c>
      <c r="H893" s="911">
        <v>2486253</v>
      </c>
      <c r="I893" s="910">
        <v>1462395</v>
      </c>
      <c r="J893" s="909">
        <v>0</v>
      </c>
      <c r="K893" s="911">
        <f t="shared" si="26"/>
        <v>4538559</v>
      </c>
      <c r="L893" s="909"/>
      <c r="M893" s="910">
        <v>289858</v>
      </c>
      <c r="N893" s="910">
        <v>0</v>
      </c>
      <c r="O893" s="909">
        <v>598680</v>
      </c>
      <c r="P893" s="911">
        <f t="shared" si="27"/>
        <v>888538</v>
      </c>
      <c r="Q893" s="909"/>
      <c r="R893" s="910">
        <v>3450845</v>
      </c>
      <c r="S893" s="912">
        <v>-236953</v>
      </c>
      <c r="T893" s="912">
        <f>3213891+1</f>
        <v>3213892</v>
      </c>
    </row>
    <row r="894" spans="1:20" x14ac:dyDescent="0.25">
      <c r="A894" s="906">
        <v>99812</v>
      </c>
      <c r="B894" s="907" t="s">
        <v>3452</v>
      </c>
      <c r="C894" s="908">
        <v>2.2099999999999998E-5</v>
      </c>
      <c r="D894" s="908">
        <v>2.5599999999999999E-5</v>
      </c>
      <c r="E894" s="909">
        <v>33763</v>
      </c>
      <c r="F894" s="909"/>
      <c r="G894" s="910">
        <v>1945</v>
      </c>
      <c r="H894" s="911">
        <v>8198</v>
      </c>
      <c r="I894" s="910">
        <v>4822</v>
      </c>
      <c r="J894" s="909">
        <v>11652</v>
      </c>
      <c r="K894" s="911">
        <f t="shared" si="26"/>
        <v>26617</v>
      </c>
      <c r="L894" s="909"/>
      <c r="M894" s="910">
        <v>956</v>
      </c>
      <c r="N894" s="910">
        <v>0</v>
      </c>
      <c r="O894" s="909">
        <v>0</v>
      </c>
      <c r="P894" s="911">
        <f t="shared" si="27"/>
        <v>956</v>
      </c>
      <c r="Q894" s="909"/>
      <c r="R894" s="910">
        <v>11378</v>
      </c>
      <c r="S894" s="912">
        <v>4237</v>
      </c>
      <c r="T894" s="912">
        <v>15615</v>
      </c>
    </row>
    <row r="895" spans="1:20" x14ac:dyDescent="0.25">
      <c r="A895" s="906">
        <v>99818</v>
      </c>
      <c r="B895" s="907" t="s">
        <v>3453</v>
      </c>
      <c r="C895" s="908">
        <v>3.1600000000000002E-5</v>
      </c>
      <c r="D895" s="908">
        <v>3.7700000000000002E-5</v>
      </c>
      <c r="E895" s="909">
        <v>48276</v>
      </c>
      <c r="F895" s="909"/>
      <c r="G895" s="910">
        <v>2781</v>
      </c>
      <c r="H895" s="911">
        <v>11722</v>
      </c>
      <c r="I895" s="910">
        <v>6894</v>
      </c>
      <c r="J895" s="909">
        <v>3054</v>
      </c>
      <c r="K895" s="911">
        <f t="shared" si="26"/>
        <v>24451</v>
      </c>
      <c r="L895" s="909"/>
      <c r="M895" s="910">
        <v>1367</v>
      </c>
      <c r="N895" s="910">
        <v>0</v>
      </c>
      <c r="O895" s="909">
        <v>6414</v>
      </c>
      <c r="P895" s="911">
        <f t="shared" si="27"/>
        <v>7781</v>
      </c>
      <c r="Q895" s="909"/>
      <c r="R895" s="910">
        <v>16269</v>
      </c>
      <c r="S895" s="912">
        <v>695</v>
      </c>
      <c r="T895" s="912">
        <v>16964</v>
      </c>
    </row>
    <row r="896" spans="1:20" x14ac:dyDescent="0.25">
      <c r="A896" s="906">
        <v>99821</v>
      </c>
      <c r="B896" s="907" t="s">
        <v>3454</v>
      </c>
      <c r="C896" s="908">
        <v>9.1100000000000005E-5</v>
      </c>
      <c r="D896" s="908">
        <v>8.2899999999999996E-5</v>
      </c>
      <c r="E896" s="909">
        <v>139176</v>
      </c>
      <c r="F896" s="909"/>
      <c r="G896" s="910">
        <v>8018</v>
      </c>
      <c r="H896" s="911">
        <v>33792</v>
      </c>
      <c r="I896" s="910">
        <v>19876</v>
      </c>
      <c r="J896" s="909">
        <v>21459</v>
      </c>
      <c r="K896" s="911">
        <f t="shared" si="26"/>
        <v>83145</v>
      </c>
      <c r="L896" s="909"/>
      <c r="M896" s="910">
        <v>3940</v>
      </c>
      <c r="N896" s="910">
        <v>0</v>
      </c>
      <c r="O896" s="909">
        <v>555</v>
      </c>
      <c r="P896" s="911">
        <f t="shared" si="27"/>
        <v>4495</v>
      </c>
      <c r="Q896" s="909"/>
      <c r="R896" s="910">
        <v>46902</v>
      </c>
      <c r="S896" s="912">
        <v>9955</v>
      </c>
      <c r="T896" s="912">
        <v>56857</v>
      </c>
    </row>
    <row r="897" spans="1:20" x14ac:dyDescent="0.25">
      <c r="A897" s="906">
        <v>99831</v>
      </c>
      <c r="B897" s="907" t="s">
        <v>3455</v>
      </c>
      <c r="C897" s="908">
        <v>6.3299999999999994E-5</v>
      </c>
      <c r="D897" s="908">
        <v>5.5899999999999997E-5</v>
      </c>
      <c r="E897" s="909">
        <v>96705</v>
      </c>
      <c r="F897" s="909"/>
      <c r="G897" s="910">
        <v>5571</v>
      </c>
      <c r="H897" s="911">
        <v>23480</v>
      </c>
      <c r="I897" s="910">
        <v>13811</v>
      </c>
      <c r="J897" s="909">
        <v>7030</v>
      </c>
      <c r="K897" s="911">
        <f t="shared" si="26"/>
        <v>49892</v>
      </c>
      <c r="L897" s="909"/>
      <c r="M897" s="910">
        <v>2737</v>
      </c>
      <c r="N897" s="910">
        <v>0</v>
      </c>
      <c r="O897" s="909">
        <v>564</v>
      </c>
      <c r="P897" s="911">
        <f t="shared" si="27"/>
        <v>3301</v>
      </c>
      <c r="Q897" s="909"/>
      <c r="R897" s="910">
        <v>32590</v>
      </c>
      <c r="S897" s="912">
        <v>1906</v>
      </c>
      <c r="T897" s="912">
        <f>34495+1</f>
        <v>34496</v>
      </c>
    </row>
    <row r="898" spans="1:20" x14ac:dyDescent="0.25">
      <c r="A898" s="906">
        <v>99841</v>
      </c>
      <c r="B898" s="907" t="s">
        <v>3456</v>
      </c>
      <c r="C898" s="908">
        <v>4.3399999999999998E-5</v>
      </c>
      <c r="D898" s="908">
        <v>4.6E-5</v>
      </c>
      <c r="E898" s="909">
        <v>66303</v>
      </c>
      <c r="F898" s="909"/>
      <c r="G898" s="910">
        <v>3820</v>
      </c>
      <c r="H898" s="911">
        <v>16098</v>
      </c>
      <c r="I898" s="910">
        <v>9469</v>
      </c>
      <c r="J898" s="909">
        <v>1271</v>
      </c>
      <c r="K898" s="911">
        <f t="shared" si="26"/>
        <v>30658</v>
      </c>
      <c r="L898" s="909"/>
      <c r="M898" s="910">
        <v>1877</v>
      </c>
      <c r="N898" s="910">
        <v>0</v>
      </c>
      <c r="O898" s="909">
        <v>4060</v>
      </c>
      <c r="P898" s="911">
        <f t="shared" si="27"/>
        <v>5937</v>
      </c>
      <c r="Q898" s="909"/>
      <c r="R898" s="910">
        <v>22344</v>
      </c>
      <c r="S898" s="912">
        <v>-1214</v>
      </c>
      <c r="T898" s="912">
        <v>21130</v>
      </c>
    </row>
    <row r="899" spans="1:20" x14ac:dyDescent="0.25">
      <c r="A899" s="906">
        <v>99851</v>
      </c>
      <c r="B899" s="907" t="s">
        <v>3457</v>
      </c>
      <c r="C899" s="908">
        <v>2.23E-5</v>
      </c>
      <c r="D899" s="908">
        <v>2.1999999999999999E-5</v>
      </c>
      <c r="E899" s="909">
        <v>34068</v>
      </c>
      <c r="F899" s="909"/>
      <c r="G899" s="910">
        <v>1963</v>
      </c>
      <c r="H899" s="911">
        <v>8272</v>
      </c>
      <c r="I899" s="910">
        <v>4865</v>
      </c>
      <c r="J899" s="909">
        <v>142</v>
      </c>
      <c r="K899" s="911">
        <f t="shared" si="26"/>
        <v>15242</v>
      </c>
      <c r="L899" s="909"/>
      <c r="M899" s="910">
        <v>964</v>
      </c>
      <c r="N899" s="910">
        <v>0</v>
      </c>
      <c r="O899" s="909">
        <v>3191</v>
      </c>
      <c r="P899" s="911">
        <f t="shared" si="27"/>
        <v>4155</v>
      </c>
      <c r="Q899" s="909"/>
      <c r="R899" s="910">
        <v>11481</v>
      </c>
      <c r="S899" s="912">
        <v>-847</v>
      </c>
      <c r="T899" s="912">
        <v>10634</v>
      </c>
    </row>
    <row r="900" spans="1:20" x14ac:dyDescent="0.25">
      <c r="A900" s="906">
        <v>99901</v>
      </c>
      <c r="B900" s="907" t="s">
        <v>3458</v>
      </c>
      <c r="C900" s="908">
        <v>1.6707E-3</v>
      </c>
      <c r="D900" s="908">
        <v>1.6371999999999999E-3</v>
      </c>
      <c r="E900" s="909">
        <v>2552367</v>
      </c>
      <c r="F900" s="909"/>
      <c r="G900" s="910">
        <v>147040</v>
      </c>
      <c r="H900" s="911">
        <v>619718</v>
      </c>
      <c r="I900" s="910">
        <v>364513</v>
      </c>
      <c r="J900" s="909">
        <v>63407</v>
      </c>
      <c r="K900" s="911">
        <f t="shared" si="26"/>
        <v>1194678</v>
      </c>
      <c r="L900" s="909"/>
      <c r="M900" s="910">
        <v>72249</v>
      </c>
      <c r="N900" s="910">
        <v>0</v>
      </c>
      <c r="O900" s="909">
        <v>12021</v>
      </c>
      <c r="P900" s="911">
        <f t="shared" si="27"/>
        <v>84270</v>
      </c>
      <c r="Q900" s="909"/>
      <c r="R900" s="910">
        <v>860150</v>
      </c>
      <c r="S900" s="912">
        <v>13114</v>
      </c>
      <c r="T900" s="912">
        <v>873264</v>
      </c>
    </row>
    <row r="901" spans="1:20" x14ac:dyDescent="0.25">
      <c r="A901" s="906">
        <v>99911</v>
      </c>
      <c r="B901" s="907" t="s">
        <v>3459</v>
      </c>
      <c r="C901" s="908">
        <v>2.5980000000000003E-4</v>
      </c>
      <c r="D901" s="908">
        <v>2.5520000000000002E-4</v>
      </c>
      <c r="E901" s="909">
        <v>396902</v>
      </c>
      <c r="F901" s="909"/>
      <c r="G901" s="910">
        <v>22865</v>
      </c>
      <c r="H901" s="911">
        <v>96368</v>
      </c>
      <c r="I901" s="910">
        <v>56683</v>
      </c>
      <c r="J901" s="909">
        <v>7168</v>
      </c>
      <c r="K901" s="911">
        <f t="shared" si="26"/>
        <v>183084</v>
      </c>
      <c r="L901" s="909"/>
      <c r="M901" s="910">
        <v>11235</v>
      </c>
      <c r="N901" s="910">
        <v>0</v>
      </c>
      <c r="O901" s="909">
        <v>12661</v>
      </c>
      <c r="P901" s="911">
        <f t="shared" si="27"/>
        <v>23896</v>
      </c>
      <c r="Q901" s="909"/>
      <c r="R901" s="910">
        <v>133756</v>
      </c>
      <c r="S901" s="912">
        <v>-5521</v>
      </c>
      <c r="T901" s="912">
        <v>128235</v>
      </c>
    </row>
    <row r="902" spans="1:20" x14ac:dyDescent="0.25">
      <c r="A902" s="906">
        <v>99921</v>
      </c>
      <c r="B902" s="907" t="s">
        <v>3460</v>
      </c>
      <c r="C902" s="908">
        <v>1.506E-4</v>
      </c>
      <c r="D902" s="908">
        <v>1.5129999999999999E-4</v>
      </c>
      <c r="E902" s="909">
        <v>230075</v>
      </c>
      <c r="F902" s="909"/>
      <c r="G902" s="910">
        <v>13254</v>
      </c>
      <c r="H902" s="911">
        <v>55863</v>
      </c>
      <c r="I902" s="910">
        <v>32858</v>
      </c>
      <c r="J902" s="909">
        <v>3258</v>
      </c>
      <c r="K902" s="911">
        <f t="shared" si="26"/>
        <v>105233</v>
      </c>
      <c r="L902" s="909"/>
      <c r="M902" s="910">
        <v>6513</v>
      </c>
      <c r="N902" s="910">
        <v>0</v>
      </c>
      <c r="O902" s="909">
        <v>7306</v>
      </c>
      <c r="P902" s="911">
        <f t="shared" si="27"/>
        <v>13819</v>
      </c>
      <c r="Q902" s="909"/>
      <c r="R902" s="910">
        <v>77536</v>
      </c>
      <c r="S902" s="912">
        <v>-3057</v>
      </c>
      <c r="T902" s="912">
        <v>74479</v>
      </c>
    </row>
    <row r="903" spans="1:20" x14ac:dyDescent="0.25">
      <c r="A903" s="906">
        <v>99931</v>
      </c>
      <c r="B903" s="907" t="s">
        <v>3461</v>
      </c>
      <c r="C903" s="908">
        <v>1.5800000000000001E-5</v>
      </c>
      <c r="D903" s="908">
        <v>2.51E-5</v>
      </c>
      <c r="E903" s="909">
        <v>24138</v>
      </c>
      <c r="F903" s="909"/>
      <c r="G903" s="910">
        <v>1391</v>
      </c>
      <c r="H903" s="911">
        <v>5860</v>
      </c>
      <c r="I903" s="910">
        <v>3447</v>
      </c>
      <c r="J903" s="909">
        <v>0</v>
      </c>
      <c r="K903" s="911">
        <f>G903+H903+I903+J903</f>
        <v>10698</v>
      </c>
      <c r="L903" s="909"/>
      <c r="M903" s="910">
        <v>683</v>
      </c>
      <c r="N903" s="910">
        <v>0</v>
      </c>
      <c r="O903" s="909">
        <v>8477</v>
      </c>
      <c r="P903" s="911">
        <f>M903+N903+O903</f>
        <v>9160</v>
      </c>
      <c r="Q903" s="909"/>
      <c r="R903" s="910">
        <v>8135</v>
      </c>
      <c r="S903" s="912">
        <v>-3271</v>
      </c>
      <c r="T903" s="912">
        <v>4864</v>
      </c>
    </row>
    <row r="904" spans="1:20" x14ac:dyDescent="0.25">
      <c r="A904" s="906">
        <v>99941</v>
      </c>
      <c r="B904" s="907" t="s">
        <v>3462</v>
      </c>
      <c r="C904" s="908">
        <v>7.5400000000000003E-5</v>
      </c>
      <c r="D904" s="908">
        <v>7.8200000000000003E-5</v>
      </c>
      <c r="E904" s="909">
        <v>115190</v>
      </c>
      <c r="F904" s="909"/>
      <c r="G904" s="910">
        <v>6636</v>
      </c>
      <c r="H904" s="911">
        <v>27969</v>
      </c>
      <c r="I904" s="910">
        <v>16451</v>
      </c>
      <c r="J904" s="909">
        <v>0</v>
      </c>
      <c r="K904" s="911">
        <f>G904+H904+I904+J904</f>
        <v>51056</v>
      </c>
      <c r="L904" s="909"/>
      <c r="M904" s="910">
        <v>3261</v>
      </c>
      <c r="N904" s="910">
        <v>0</v>
      </c>
      <c r="O904" s="909">
        <v>11647</v>
      </c>
      <c r="P904" s="911">
        <f>M904+N904+O904</f>
        <v>14908</v>
      </c>
      <c r="Q904" s="909"/>
      <c r="R904" s="910">
        <v>38819</v>
      </c>
      <c r="S904" s="912">
        <v>-4535</v>
      </c>
      <c r="T904" s="912">
        <f>34285-1</f>
        <v>34284</v>
      </c>
    </row>
    <row r="905" spans="1:20" x14ac:dyDescent="0.25">
      <c r="A905" s="906">
        <v>99991</v>
      </c>
      <c r="B905" s="907" t="s">
        <v>3463</v>
      </c>
      <c r="C905" s="908">
        <v>5.3450000000000004E-4</v>
      </c>
      <c r="D905" s="908">
        <v>5.6990000000000003E-4</v>
      </c>
      <c r="E905" s="909">
        <v>816568</v>
      </c>
      <c r="F905" s="909"/>
      <c r="G905" s="910">
        <v>47042</v>
      </c>
      <c r="H905" s="911">
        <v>198264</v>
      </c>
      <c r="I905" s="910">
        <v>116617</v>
      </c>
      <c r="J905" s="909">
        <v>28891</v>
      </c>
      <c r="K905" s="911">
        <f>G905+H905+I905+J905</f>
        <v>390814</v>
      </c>
      <c r="L905" s="909"/>
      <c r="M905" s="910">
        <v>23114</v>
      </c>
      <c r="N905" s="910">
        <v>0</v>
      </c>
      <c r="O905" s="909">
        <v>28214</v>
      </c>
      <c r="P905" s="911">
        <f>M905+N905+O905</f>
        <v>51328</v>
      </c>
      <c r="Q905" s="909"/>
      <c r="R905" s="910">
        <v>275184</v>
      </c>
      <c r="S905" s="912">
        <v>12361</v>
      </c>
      <c r="T905" s="912">
        <v>287545</v>
      </c>
    </row>
    <row r="906" spans="1:20" x14ac:dyDescent="0.25">
      <c r="A906" s="906">
        <v>99999</v>
      </c>
      <c r="B906" s="907" t="s">
        <v>3464</v>
      </c>
      <c r="C906" s="908">
        <v>8.7509999999999997E-4</v>
      </c>
      <c r="D906" s="908">
        <v>1.0101000000000001E-3</v>
      </c>
      <c r="E906" s="909">
        <v>1336910</v>
      </c>
      <c r="F906" s="909"/>
      <c r="G906" s="910">
        <v>77018</v>
      </c>
      <c r="H906" s="911">
        <v>324603</v>
      </c>
      <c r="I906" s="910">
        <v>190929</v>
      </c>
      <c r="J906" s="909">
        <v>77711</v>
      </c>
      <c r="K906" s="911">
        <f>G906+H906+I906+J906</f>
        <v>670261</v>
      </c>
      <c r="L906" s="909"/>
      <c r="M906" s="910">
        <v>37844</v>
      </c>
      <c r="N906" s="910">
        <v>0</v>
      </c>
      <c r="O906" s="909">
        <v>26259</v>
      </c>
      <c r="P906" s="911">
        <f>M906+N906+O906</f>
        <v>64103</v>
      </c>
      <c r="Q906" s="909"/>
      <c r="R906" s="910">
        <v>450540</v>
      </c>
      <c r="S906" s="912">
        <v>10651</v>
      </c>
      <c r="T906" s="912">
        <v>461191</v>
      </c>
    </row>
    <row r="907" spans="1:20" x14ac:dyDescent="0.25">
      <c r="A907" s="906" t="s">
        <v>2553</v>
      </c>
      <c r="B907" s="907" t="s">
        <v>2552</v>
      </c>
      <c r="C907" s="908">
        <v>2.2699999999999999E-4</v>
      </c>
      <c r="D907" s="908">
        <v>2.6160000000000002E-4</v>
      </c>
      <c r="E907" s="909">
        <v>346793</v>
      </c>
      <c r="F907" s="909"/>
      <c r="G907" s="910">
        <v>19978</v>
      </c>
      <c r="H907" s="911">
        <v>84202</v>
      </c>
      <c r="I907" s="910">
        <v>49527</v>
      </c>
      <c r="J907" s="909">
        <v>1542</v>
      </c>
      <c r="K907" s="911">
        <f>G907+H907+I907+J907</f>
        <v>155249</v>
      </c>
      <c r="L907" s="909"/>
      <c r="M907" s="910">
        <v>9817</v>
      </c>
      <c r="N907" s="910">
        <v>0</v>
      </c>
      <c r="O907" s="909">
        <v>15019</v>
      </c>
      <c r="P907" s="911">
        <f>M907+N907+O907</f>
        <v>24836</v>
      </c>
      <c r="Q907" s="909"/>
      <c r="R907" s="910">
        <v>116870</v>
      </c>
      <c r="S907" s="912">
        <v>-3863</v>
      </c>
      <c r="T907" s="912">
        <v>113007</v>
      </c>
    </row>
    <row r="908" spans="1:20" x14ac:dyDescent="0.25">
      <c r="A908" s="906"/>
      <c r="B908" s="907"/>
      <c r="C908" s="908"/>
      <c r="D908" s="908"/>
    </row>
    <row r="909" spans="1:20" s="921" customFormat="1" x14ac:dyDescent="0.25">
      <c r="A909" s="915"/>
      <c r="B909" s="916"/>
      <c r="C909" s="917">
        <v>1</v>
      </c>
      <c r="D909" s="917">
        <v>1</v>
      </c>
      <c r="E909" s="918">
        <f>SUM(E7:E906)</f>
        <v>1527723006</v>
      </c>
      <c r="F909" s="918"/>
      <c r="G909" s="919">
        <f>SUM(G7:G906)</f>
        <v>88010998</v>
      </c>
      <c r="H909" s="920">
        <v>370932998</v>
      </c>
      <c r="I909" s="919">
        <f>SUM(I7:I906)</f>
        <v>218179990</v>
      </c>
      <c r="J909" s="919">
        <f>SUM(J7:J906)</f>
        <v>44399345</v>
      </c>
      <c r="K909" s="920">
        <f>SUM(K7:K906)</f>
        <v>721523331</v>
      </c>
      <c r="L909" s="919"/>
      <c r="M909" s="919">
        <f>SUM(M7:M906)</f>
        <v>43245007</v>
      </c>
      <c r="N909" s="919">
        <f>SUM(N7:N906)</f>
        <v>0</v>
      </c>
      <c r="O909" s="919">
        <f>SUM(O7:O906)</f>
        <v>44399369</v>
      </c>
      <c r="P909" s="920">
        <f>SUM(P7:P906)</f>
        <v>87644376</v>
      </c>
      <c r="Q909" s="919"/>
      <c r="R909" s="919">
        <f>SUM(R7:R906)</f>
        <v>514844016</v>
      </c>
      <c r="S909" s="919">
        <f>SUM(S7:S906)</f>
        <v>36</v>
      </c>
      <c r="T909" s="919">
        <f>SUM(T7:T906)</f>
        <v>514844052</v>
      </c>
    </row>
    <row r="910" spans="1:20" s="921" customFormat="1" x14ac:dyDescent="0.25">
      <c r="A910" s="915"/>
      <c r="B910" s="916"/>
      <c r="C910" s="917"/>
      <c r="D910" s="917"/>
      <c r="E910" s="918"/>
      <c r="F910" s="918"/>
      <c r="G910" s="919"/>
      <c r="H910" s="920"/>
      <c r="I910" s="919"/>
      <c r="J910" s="919"/>
      <c r="K910" s="920"/>
      <c r="L910" s="919"/>
      <c r="M910" s="919"/>
      <c r="N910" s="919"/>
      <c r="O910" s="919"/>
      <c r="P910" s="920"/>
      <c r="Q910" s="919"/>
      <c r="R910" s="919"/>
      <c r="S910" s="919"/>
      <c r="T910" s="919"/>
    </row>
    <row r="911" spans="1:20" s="921" customFormat="1" x14ac:dyDescent="0.25">
      <c r="A911" s="915"/>
      <c r="B911" s="916"/>
      <c r="C911" s="917"/>
      <c r="D911" s="917"/>
      <c r="E911" s="918"/>
      <c r="F911" s="918"/>
      <c r="G911" s="919"/>
      <c r="H911" s="920"/>
      <c r="I911" s="919"/>
      <c r="J911" s="919"/>
      <c r="K911" s="920"/>
      <c r="L911" s="919"/>
      <c r="M911" s="919"/>
      <c r="N911" s="919"/>
      <c r="O911" s="919"/>
      <c r="P911" s="920"/>
      <c r="Q911" s="919"/>
      <c r="R911" s="919"/>
      <c r="S911" s="919"/>
      <c r="T911" s="919"/>
    </row>
    <row r="912" spans="1:20" x14ac:dyDescent="0.25">
      <c r="B912" s="893" t="s">
        <v>2121</v>
      </c>
      <c r="C912" s="904" t="s">
        <v>487</v>
      </c>
    </row>
    <row r="913" spans="2:3" x14ac:dyDescent="0.25">
      <c r="B913" s="935" t="s">
        <v>2552</v>
      </c>
      <c r="C913" s="936" t="s">
        <v>2553</v>
      </c>
    </row>
    <row r="914" spans="2:3" x14ac:dyDescent="0.25">
      <c r="B914" s="922" t="s">
        <v>2124</v>
      </c>
      <c r="C914" s="906">
        <v>96331</v>
      </c>
    </row>
    <row r="915" spans="2:3" x14ac:dyDescent="0.25">
      <c r="B915" s="922" t="s">
        <v>2125</v>
      </c>
      <c r="C915" s="906">
        <v>94611</v>
      </c>
    </row>
    <row r="916" spans="2:3" x14ac:dyDescent="0.25">
      <c r="B916" s="922" t="s">
        <v>1486</v>
      </c>
      <c r="C916" s="906">
        <v>93402</v>
      </c>
    </row>
    <row r="917" spans="2:3" x14ac:dyDescent="0.25">
      <c r="B917" s="922" t="s">
        <v>2126</v>
      </c>
      <c r="C917" s="906">
        <v>90151</v>
      </c>
    </row>
    <row r="918" spans="2:3" x14ac:dyDescent="0.25">
      <c r="B918" s="922" t="s">
        <v>3593</v>
      </c>
      <c r="C918" s="906">
        <v>94109</v>
      </c>
    </row>
    <row r="919" spans="2:3" x14ac:dyDescent="0.25">
      <c r="B919" s="922" t="s">
        <v>1180</v>
      </c>
      <c r="C919" s="906">
        <v>90101</v>
      </c>
    </row>
    <row r="920" spans="2:3" x14ac:dyDescent="0.25">
      <c r="B920" s="922" t="s">
        <v>3465</v>
      </c>
      <c r="C920" s="906">
        <v>90117</v>
      </c>
    </row>
    <row r="921" spans="2:3" x14ac:dyDescent="0.25">
      <c r="B921" s="922" t="s">
        <v>2127</v>
      </c>
      <c r="C921" s="906">
        <v>98411</v>
      </c>
    </row>
    <row r="922" spans="2:3" x14ac:dyDescent="0.25">
      <c r="B922" s="922" t="s">
        <v>3594</v>
      </c>
      <c r="C922" s="906">
        <v>98417</v>
      </c>
    </row>
    <row r="923" spans="2:3" x14ac:dyDescent="0.25">
      <c r="B923" s="922" t="s">
        <v>1795</v>
      </c>
      <c r="C923" s="906">
        <v>97008</v>
      </c>
    </row>
    <row r="924" spans="2:3" x14ac:dyDescent="0.25">
      <c r="B924" s="922" t="s">
        <v>1796</v>
      </c>
      <c r="C924" s="906">
        <v>97010</v>
      </c>
    </row>
    <row r="925" spans="2:3" x14ac:dyDescent="0.25">
      <c r="B925" s="922" t="s">
        <v>3466</v>
      </c>
      <c r="C925" s="906">
        <v>90096</v>
      </c>
    </row>
    <row r="926" spans="2:3" x14ac:dyDescent="0.25">
      <c r="B926" s="922" t="s">
        <v>1229</v>
      </c>
      <c r="C926" s="906">
        <v>90805</v>
      </c>
    </row>
    <row r="927" spans="2:3" x14ac:dyDescent="0.25">
      <c r="B927" s="922" t="s">
        <v>3595</v>
      </c>
      <c r="C927" s="906">
        <v>92109</v>
      </c>
    </row>
    <row r="928" spans="2:3" x14ac:dyDescent="0.25">
      <c r="B928" s="922" t="s">
        <v>1189</v>
      </c>
      <c r="C928" s="906">
        <v>90201</v>
      </c>
    </row>
    <row r="929" spans="2:3" x14ac:dyDescent="0.25">
      <c r="B929" s="922" t="s">
        <v>3596</v>
      </c>
      <c r="C929" s="906">
        <v>90206</v>
      </c>
    </row>
    <row r="930" spans="2:3" x14ac:dyDescent="0.25">
      <c r="B930" s="922" t="s">
        <v>3597</v>
      </c>
      <c r="C930" s="906">
        <v>90203</v>
      </c>
    </row>
    <row r="931" spans="2:3" x14ac:dyDescent="0.25">
      <c r="B931" s="922" t="s">
        <v>3598</v>
      </c>
      <c r="C931" s="906">
        <v>90205</v>
      </c>
    </row>
    <row r="932" spans="2:3" x14ac:dyDescent="0.25">
      <c r="B932" s="922" t="s">
        <v>1194</v>
      </c>
      <c r="C932" s="906">
        <v>90301</v>
      </c>
    </row>
    <row r="933" spans="2:3" x14ac:dyDescent="0.25">
      <c r="B933" s="922" t="s">
        <v>3599</v>
      </c>
      <c r="C933" s="906">
        <v>93209</v>
      </c>
    </row>
    <row r="934" spans="2:3" x14ac:dyDescent="0.25">
      <c r="B934" s="922" t="s">
        <v>2128</v>
      </c>
      <c r="C934" s="906">
        <v>92021</v>
      </c>
    </row>
    <row r="935" spans="2:3" x14ac:dyDescent="0.25">
      <c r="B935" s="922" t="s">
        <v>2129</v>
      </c>
      <c r="C935" s="906">
        <v>94351</v>
      </c>
    </row>
    <row r="936" spans="2:3" x14ac:dyDescent="0.25">
      <c r="B936" s="922" t="s">
        <v>3600</v>
      </c>
      <c r="C936" s="906">
        <v>94347</v>
      </c>
    </row>
    <row r="937" spans="2:3" x14ac:dyDescent="0.25">
      <c r="B937" s="922" t="s">
        <v>1197</v>
      </c>
      <c r="C937" s="906">
        <v>90401</v>
      </c>
    </row>
    <row r="938" spans="2:3" x14ac:dyDescent="0.25">
      <c r="B938" s="922" t="s">
        <v>2130</v>
      </c>
      <c r="C938" s="906">
        <v>90451</v>
      </c>
    </row>
    <row r="939" spans="2:3" x14ac:dyDescent="0.25">
      <c r="B939" s="922" t="s">
        <v>2131</v>
      </c>
      <c r="C939" s="906">
        <v>99271</v>
      </c>
    </row>
    <row r="940" spans="2:3" x14ac:dyDescent="0.25">
      <c r="B940" s="922" t="s">
        <v>3601</v>
      </c>
      <c r="C940" s="906">
        <v>90099</v>
      </c>
    </row>
    <row r="941" spans="2:3" x14ac:dyDescent="0.25">
      <c r="B941" s="922" t="s">
        <v>2039</v>
      </c>
      <c r="C941" s="906">
        <v>99705</v>
      </c>
    </row>
    <row r="942" spans="2:3" x14ac:dyDescent="0.25">
      <c r="B942" s="922" t="s">
        <v>2132</v>
      </c>
      <c r="C942" s="906">
        <v>97651</v>
      </c>
    </row>
    <row r="943" spans="2:3" x14ac:dyDescent="0.25">
      <c r="B943" s="922" t="s">
        <v>2133</v>
      </c>
      <c r="C943" s="906">
        <v>95106</v>
      </c>
    </row>
    <row r="944" spans="2:3" x14ac:dyDescent="0.25">
      <c r="B944" s="922" t="s">
        <v>1206</v>
      </c>
      <c r="C944" s="906">
        <v>90501</v>
      </c>
    </row>
    <row r="945" spans="2:3" x14ac:dyDescent="0.25">
      <c r="B945" s="922" t="s">
        <v>2134</v>
      </c>
      <c r="C945" s="906">
        <v>97611</v>
      </c>
    </row>
    <row r="946" spans="2:3" x14ac:dyDescent="0.25">
      <c r="B946" s="922" t="s">
        <v>3602</v>
      </c>
      <c r="C946" s="906">
        <v>97607</v>
      </c>
    </row>
    <row r="947" spans="2:3" x14ac:dyDescent="0.25">
      <c r="B947" s="922" t="s">
        <v>3603</v>
      </c>
      <c r="C947" s="906">
        <v>97613</v>
      </c>
    </row>
    <row r="948" spans="2:3" x14ac:dyDescent="0.25">
      <c r="B948" s="922" t="s">
        <v>2135</v>
      </c>
      <c r="C948" s="906">
        <v>91121</v>
      </c>
    </row>
    <row r="949" spans="2:3" x14ac:dyDescent="0.25">
      <c r="B949" s="922" t="s">
        <v>3604</v>
      </c>
      <c r="C949" s="906">
        <v>91127</v>
      </c>
    </row>
    <row r="950" spans="2:3" x14ac:dyDescent="0.25">
      <c r="B950" s="922" t="s">
        <v>1283</v>
      </c>
      <c r="C950" s="906">
        <v>91128</v>
      </c>
    </row>
    <row r="951" spans="2:3" x14ac:dyDescent="0.25">
      <c r="B951" s="922" t="s">
        <v>2136</v>
      </c>
      <c r="C951" s="906">
        <v>91681</v>
      </c>
    </row>
    <row r="952" spans="2:3" x14ac:dyDescent="0.25">
      <c r="B952" s="922" t="s">
        <v>2137</v>
      </c>
      <c r="C952" s="906">
        <v>90811</v>
      </c>
    </row>
    <row r="953" spans="2:3" x14ac:dyDescent="0.25">
      <c r="B953" s="922" t="s">
        <v>2138</v>
      </c>
      <c r="C953" s="906">
        <v>90721</v>
      </c>
    </row>
    <row r="954" spans="2:3" x14ac:dyDescent="0.25">
      <c r="B954" s="922" t="s">
        <v>2139</v>
      </c>
      <c r="C954" s="906">
        <v>98271</v>
      </c>
    </row>
    <row r="955" spans="2:3" x14ac:dyDescent="0.25">
      <c r="B955" s="922" t="s">
        <v>1210</v>
      </c>
      <c r="C955" s="906">
        <v>90601</v>
      </c>
    </row>
    <row r="956" spans="2:3" x14ac:dyDescent="0.25">
      <c r="B956" s="922" t="s">
        <v>3605</v>
      </c>
      <c r="C956" s="906">
        <v>90602</v>
      </c>
    </row>
    <row r="957" spans="2:3" x14ac:dyDescent="0.25">
      <c r="B957" s="922" t="s">
        <v>3606</v>
      </c>
      <c r="C957" s="906">
        <v>90605</v>
      </c>
    </row>
    <row r="958" spans="2:3" x14ac:dyDescent="0.25">
      <c r="B958" s="922" t="s">
        <v>2140</v>
      </c>
      <c r="C958" s="906">
        <v>97461</v>
      </c>
    </row>
    <row r="959" spans="2:3" x14ac:dyDescent="0.25">
      <c r="B959" s="922" t="s">
        <v>1829</v>
      </c>
      <c r="C959" s="906">
        <v>97463</v>
      </c>
    </row>
    <row r="960" spans="2:3" x14ac:dyDescent="0.25">
      <c r="B960" s="922" t="s">
        <v>3607</v>
      </c>
      <c r="C960" s="906">
        <v>90705</v>
      </c>
    </row>
    <row r="961" spans="2:3" x14ac:dyDescent="0.25">
      <c r="B961" s="922" t="s">
        <v>2141</v>
      </c>
      <c r="C961" s="906">
        <v>98451</v>
      </c>
    </row>
    <row r="962" spans="2:3" x14ac:dyDescent="0.25">
      <c r="B962" s="922" t="s">
        <v>2142</v>
      </c>
      <c r="C962" s="906">
        <v>96451</v>
      </c>
    </row>
    <row r="963" spans="2:3" x14ac:dyDescent="0.25">
      <c r="B963" s="922" t="s">
        <v>2143</v>
      </c>
      <c r="C963" s="906">
        <v>96121</v>
      </c>
    </row>
    <row r="964" spans="2:3" x14ac:dyDescent="0.25">
      <c r="B964" s="922" t="s">
        <v>2144</v>
      </c>
      <c r="C964" s="906">
        <v>91091</v>
      </c>
    </row>
    <row r="965" spans="2:3" x14ac:dyDescent="0.25">
      <c r="B965" s="922" t="s">
        <v>2145</v>
      </c>
      <c r="C965" s="906">
        <v>90611</v>
      </c>
    </row>
    <row r="966" spans="2:3" x14ac:dyDescent="0.25">
      <c r="B966" s="922" t="s">
        <v>1790</v>
      </c>
      <c r="C966" s="906">
        <v>96918</v>
      </c>
    </row>
    <row r="967" spans="2:3" x14ac:dyDescent="0.25">
      <c r="B967" s="922" t="s">
        <v>2146</v>
      </c>
      <c r="C967" s="906">
        <v>96911</v>
      </c>
    </row>
    <row r="968" spans="2:3" x14ac:dyDescent="0.25">
      <c r="B968" s="922" t="s">
        <v>1990</v>
      </c>
      <c r="C968" s="906">
        <v>99208</v>
      </c>
    </row>
    <row r="969" spans="2:3" x14ac:dyDescent="0.25">
      <c r="B969" s="922" t="s">
        <v>2147</v>
      </c>
      <c r="C969" s="906">
        <v>91631</v>
      </c>
    </row>
    <row r="970" spans="2:3" x14ac:dyDescent="0.25">
      <c r="B970" s="922" t="s">
        <v>1218</v>
      </c>
      <c r="C970" s="906">
        <v>90701</v>
      </c>
    </row>
    <row r="971" spans="2:3" x14ac:dyDescent="0.25">
      <c r="B971" s="922" t="s">
        <v>3608</v>
      </c>
      <c r="C971" s="906">
        <v>90704</v>
      </c>
    </row>
    <row r="972" spans="2:3" x14ac:dyDescent="0.25">
      <c r="B972" s="922" t="s">
        <v>3609</v>
      </c>
      <c r="C972" s="906">
        <v>91633</v>
      </c>
    </row>
    <row r="973" spans="2:3" x14ac:dyDescent="0.25">
      <c r="B973" s="922" t="s">
        <v>2148</v>
      </c>
      <c r="C973" s="906">
        <v>90631</v>
      </c>
    </row>
    <row r="974" spans="2:3" x14ac:dyDescent="0.25">
      <c r="B974" s="922" t="s">
        <v>2149</v>
      </c>
      <c r="C974" s="906">
        <v>90731</v>
      </c>
    </row>
    <row r="975" spans="2:3" x14ac:dyDescent="0.25">
      <c r="B975" s="922" t="s">
        <v>2150</v>
      </c>
      <c r="C975" s="906">
        <v>93621</v>
      </c>
    </row>
    <row r="976" spans="2:3" x14ac:dyDescent="0.25">
      <c r="B976" s="922" t="s">
        <v>1515</v>
      </c>
      <c r="C976" s="906">
        <v>93623</v>
      </c>
    </row>
    <row r="977" spans="2:3" x14ac:dyDescent="0.25">
      <c r="B977" s="922" t="s">
        <v>2151</v>
      </c>
      <c r="C977" s="906">
        <v>91020</v>
      </c>
    </row>
    <row r="978" spans="2:3" x14ac:dyDescent="0.25">
      <c r="B978" s="922" t="s">
        <v>2152</v>
      </c>
      <c r="C978" s="906">
        <v>95141</v>
      </c>
    </row>
    <row r="979" spans="2:3" x14ac:dyDescent="0.25">
      <c r="B979" s="922" t="s">
        <v>1635</v>
      </c>
      <c r="C979" s="906">
        <v>95103</v>
      </c>
    </row>
    <row r="980" spans="2:3" x14ac:dyDescent="0.25">
      <c r="B980" s="922" t="s">
        <v>2153</v>
      </c>
      <c r="C980" s="906">
        <v>93021</v>
      </c>
    </row>
    <row r="981" spans="2:3" x14ac:dyDescent="0.25">
      <c r="B981" s="922" t="s">
        <v>1227</v>
      </c>
      <c r="C981" s="906">
        <v>90801</v>
      </c>
    </row>
    <row r="982" spans="2:3" x14ac:dyDescent="0.25">
      <c r="B982" s="922" t="s">
        <v>3610</v>
      </c>
      <c r="C982" s="906">
        <v>90804</v>
      </c>
    </row>
    <row r="983" spans="2:3" x14ac:dyDescent="0.25">
      <c r="B983" s="922" t="s">
        <v>1230</v>
      </c>
      <c r="C983" s="906">
        <v>90808</v>
      </c>
    </row>
    <row r="984" spans="2:3" x14ac:dyDescent="0.25">
      <c r="B984" s="922" t="s">
        <v>2154</v>
      </c>
      <c r="C984" s="906">
        <v>93671</v>
      </c>
    </row>
    <row r="985" spans="2:3" x14ac:dyDescent="0.25">
      <c r="B985" s="922" t="s">
        <v>2155</v>
      </c>
      <c r="C985" s="906">
        <v>93677</v>
      </c>
    </row>
    <row r="986" spans="2:3" x14ac:dyDescent="0.25">
      <c r="B986" s="922" t="s">
        <v>2156</v>
      </c>
      <c r="C986" s="906">
        <v>97441</v>
      </c>
    </row>
    <row r="987" spans="2:3" x14ac:dyDescent="0.25">
      <c r="B987" s="922" t="s">
        <v>2157</v>
      </c>
      <c r="C987" s="906">
        <v>93111</v>
      </c>
    </row>
    <row r="988" spans="2:3" x14ac:dyDescent="0.25">
      <c r="B988" s="922" t="s">
        <v>2158</v>
      </c>
      <c r="C988" s="906">
        <v>91111</v>
      </c>
    </row>
    <row r="989" spans="2:3" x14ac:dyDescent="0.25">
      <c r="B989" s="922" t="s">
        <v>2159</v>
      </c>
      <c r="C989" s="906">
        <v>96231</v>
      </c>
    </row>
    <row r="990" spans="2:3" x14ac:dyDescent="0.25">
      <c r="B990" s="922" t="s">
        <v>2160</v>
      </c>
      <c r="C990" s="906">
        <v>99831</v>
      </c>
    </row>
    <row r="991" spans="2:3" x14ac:dyDescent="0.25">
      <c r="B991" s="922" t="s">
        <v>2161</v>
      </c>
      <c r="C991" s="906">
        <v>91151</v>
      </c>
    </row>
    <row r="992" spans="2:3" x14ac:dyDescent="0.25">
      <c r="B992" s="922" t="s">
        <v>3611</v>
      </c>
      <c r="C992" s="906">
        <v>91154</v>
      </c>
    </row>
    <row r="993" spans="2:3" x14ac:dyDescent="0.25">
      <c r="B993" s="922" t="s">
        <v>1235</v>
      </c>
      <c r="C993" s="906">
        <v>90901</v>
      </c>
    </row>
    <row r="994" spans="2:3" x14ac:dyDescent="0.25">
      <c r="B994" s="922" t="s">
        <v>2162</v>
      </c>
      <c r="C994" s="906">
        <v>90941</v>
      </c>
    </row>
    <row r="995" spans="2:3" x14ac:dyDescent="0.25">
      <c r="B995" s="922" t="s">
        <v>2163</v>
      </c>
      <c r="C995" s="906">
        <v>99521</v>
      </c>
    </row>
    <row r="996" spans="2:3" x14ac:dyDescent="0.25">
      <c r="B996" s="922" t="s">
        <v>3612</v>
      </c>
      <c r="C996" s="906">
        <v>99527</v>
      </c>
    </row>
    <row r="997" spans="2:3" x14ac:dyDescent="0.25">
      <c r="B997" s="922" t="s">
        <v>2019</v>
      </c>
      <c r="C997" s="906">
        <v>99508</v>
      </c>
    </row>
    <row r="998" spans="2:3" x14ac:dyDescent="0.25">
      <c r="B998" s="922" t="s">
        <v>1601</v>
      </c>
      <c r="C998" s="906">
        <v>94532</v>
      </c>
    </row>
    <row r="999" spans="2:3" x14ac:dyDescent="0.25">
      <c r="B999" s="922" t="s">
        <v>3613</v>
      </c>
      <c r="C999" s="906">
        <v>91071</v>
      </c>
    </row>
    <row r="1000" spans="2:3" x14ac:dyDescent="0.25">
      <c r="B1000" s="922" t="s">
        <v>3614</v>
      </c>
      <c r="C1000" s="906">
        <v>91077</v>
      </c>
    </row>
    <row r="1001" spans="2:3" x14ac:dyDescent="0.25">
      <c r="B1001" s="922" t="s">
        <v>2165</v>
      </c>
      <c r="C1001" s="906">
        <v>92331</v>
      </c>
    </row>
    <row r="1002" spans="2:3" x14ac:dyDescent="0.25">
      <c r="B1002" s="922" t="s">
        <v>2166</v>
      </c>
      <c r="C1002" s="906">
        <v>92414</v>
      </c>
    </row>
    <row r="1003" spans="2:3" x14ac:dyDescent="0.25">
      <c r="B1003" s="922" t="s">
        <v>2167</v>
      </c>
      <c r="C1003" s="906">
        <v>99511</v>
      </c>
    </row>
    <row r="1004" spans="2:3" x14ac:dyDescent="0.25">
      <c r="B1004" s="922" t="s">
        <v>2168</v>
      </c>
      <c r="C1004" s="906">
        <v>99941</v>
      </c>
    </row>
    <row r="1005" spans="2:3" x14ac:dyDescent="0.25">
      <c r="B1005" s="922" t="s">
        <v>1742</v>
      </c>
      <c r="C1005" s="906">
        <v>96405</v>
      </c>
    </row>
    <row r="1006" spans="2:3" x14ac:dyDescent="0.25">
      <c r="B1006" s="922" t="s">
        <v>2169</v>
      </c>
      <c r="C1006" s="906">
        <v>98811</v>
      </c>
    </row>
    <row r="1007" spans="2:3" x14ac:dyDescent="0.25">
      <c r="B1007" s="922" t="s">
        <v>3615</v>
      </c>
      <c r="C1007" s="906">
        <v>98817</v>
      </c>
    </row>
    <row r="1008" spans="2:3" x14ac:dyDescent="0.25">
      <c r="B1008" s="922" t="s">
        <v>2170</v>
      </c>
      <c r="C1008" s="906">
        <v>92561</v>
      </c>
    </row>
    <row r="1009" spans="2:3" x14ac:dyDescent="0.25">
      <c r="B1009" s="922" t="s">
        <v>1904</v>
      </c>
      <c r="C1009" s="906">
        <v>98102</v>
      </c>
    </row>
    <row r="1010" spans="2:3" x14ac:dyDescent="0.25">
      <c r="B1010" s="922" t="s">
        <v>2171</v>
      </c>
      <c r="C1010" s="906">
        <v>95321</v>
      </c>
    </row>
    <row r="1011" spans="2:3" x14ac:dyDescent="0.25">
      <c r="B1011" s="922" t="s">
        <v>2172</v>
      </c>
      <c r="C1011" s="906">
        <v>91861</v>
      </c>
    </row>
    <row r="1012" spans="2:3" x14ac:dyDescent="0.25">
      <c r="B1012" s="922" t="s">
        <v>2173</v>
      </c>
      <c r="C1012" s="906">
        <v>92421</v>
      </c>
    </row>
    <row r="1013" spans="2:3" x14ac:dyDescent="0.25">
      <c r="B1013" s="922" t="s">
        <v>3616</v>
      </c>
      <c r="C1013" s="906">
        <v>91006</v>
      </c>
    </row>
    <row r="1014" spans="2:3" x14ac:dyDescent="0.25">
      <c r="B1014" s="922" t="s">
        <v>3617</v>
      </c>
      <c r="C1014" s="906">
        <v>91003</v>
      </c>
    </row>
    <row r="1015" spans="2:3" x14ac:dyDescent="0.25">
      <c r="B1015" s="922" t="s">
        <v>1242</v>
      </c>
      <c r="C1015" s="906">
        <v>91001</v>
      </c>
    </row>
    <row r="1016" spans="2:3" x14ac:dyDescent="0.25">
      <c r="B1016" s="922" t="s">
        <v>3618</v>
      </c>
      <c r="C1016" s="906">
        <v>91004</v>
      </c>
    </row>
    <row r="1017" spans="2:3" x14ac:dyDescent="0.25">
      <c r="B1017" s="922" t="s">
        <v>3619</v>
      </c>
      <c r="C1017" s="906">
        <v>91009</v>
      </c>
    </row>
    <row r="1018" spans="2:3" x14ac:dyDescent="0.25">
      <c r="B1018" s="922" t="s">
        <v>3620</v>
      </c>
      <c r="C1018" s="906">
        <v>91042</v>
      </c>
    </row>
    <row r="1019" spans="2:3" x14ac:dyDescent="0.25">
      <c r="B1019" s="922" t="s">
        <v>2174</v>
      </c>
      <c r="C1019" s="906">
        <v>98711</v>
      </c>
    </row>
    <row r="1020" spans="2:3" x14ac:dyDescent="0.25">
      <c r="B1020" s="922" t="s">
        <v>3621</v>
      </c>
      <c r="C1020" s="906">
        <v>98717</v>
      </c>
    </row>
    <row r="1021" spans="2:3" x14ac:dyDescent="0.25">
      <c r="B1021" s="922" t="s">
        <v>1272</v>
      </c>
      <c r="C1021" s="906">
        <v>91101</v>
      </c>
    </row>
    <row r="1022" spans="2:3" x14ac:dyDescent="0.25">
      <c r="B1022" s="922" t="s">
        <v>2175</v>
      </c>
      <c r="C1022" s="906">
        <v>93531</v>
      </c>
    </row>
    <row r="1023" spans="2:3" x14ac:dyDescent="0.25">
      <c r="B1023" s="922" t="s">
        <v>3622</v>
      </c>
      <c r="C1023" s="906">
        <v>93537</v>
      </c>
    </row>
    <row r="1024" spans="2:3" x14ac:dyDescent="0.25">
      <c r="B1024" s="922" t="s">
        <v>2176</v>
      </c>
      <c r="C1024" s="906">
        <v>97111</v>
      </c>
    </row>
    <row r="1025" spans="2:3" x14ac:dyDescent="0.25">
      <c r="B1025" s="922" t="s">
        <v>3623</v>
      </c>
      <c r="C1025" s="906">
        <v>91206</v>
      </c>
    </row>
    <row r="1026" spans="2:3" x14ac:dyDescent="0.25">
      <c r="B1026" s="922" t="s">
        <v>3624</v>
      </c>
      <c r="C1026" s="906">
        <v>91203</v>
      </c>
    </row>
    <row r="1027" spans="2:3" x14ac:dyDescent="0.25">
      <c r="B1027" s="922" t="s">
        <v>1291</v>
      </c>
      <c r="C1027" s="906">
        <v>91201</v>
      </c>
    </row>
    <row r="1028" spans="2:3" x14ac:dyDescent="0.25">
      <c r="B1028" s="922" t="s">
        <v>3625</v>
      </c>
      <c r="C1028" s="906">
        <v>91208</v>
      </c>
    </row>
    <row r="1029" spans="2:3" x14ac:dyDescent="0.25">
      <c r="B1029" s="922" t="s">
        <v>3626</v>
      </c>
      <c r="C1029" s="906">
        <v>91202</v>
      </c>
    </row>
    <row r="1030" spans="2:3" x14ac:dyDescent="0.25">
      <c r="B1030" s="922" t="s">
        <v>2177</v>
      </c>
      <c r="C1030" s="906">
        <v>90111</v>
      </c>
    </row>
    <row r="1031" spans="2:3" x14ac:dyDescent="0.25">
      <c r="B1031" s="922" t="s">
        <v>2178</v>
      </c>
      <c r="C1031" s="906">
        <v>90011</v>
      </c>
    </row>
    <row r="1032" spans="2:3" x14ac:dyDescent="0.25">
      <c r="B1032" s="922" t="s">
        <v>2179</v>
      </c>
      <c r="C1032" s="906">
        <v>93931</v>
      </c>
    </row>
    <row r="1033" spans="2:3" x14ac:dyDescent="0.25">
      <c r="B1033" s="922" t="s">
        <v>3627</v>
      </c>
      <c r="C1033" s="913">
        <v>91306</v>
      </c>
    </row>
    <row r="1034" spans="2:3" x14ac:dyDescent="0.25">
      <c r="B1034" s="922" t="s">
        <v>1306</v>
      </c>
      <c r="C1034" s="906">
        <v>91301</v>
      </c>
    </row>
    <row r="1035" spans="2:3" x14ac:dyDescent="0.25">
      <c r="B1035" s="922" t="s">
        <v>3628</v>
      </c>
      <c r="C1035" s="913">
        <v>91308</v>
      </c>
    </row>
    <row r="1036" spans="2:3" x14ac:dyDescent="0.25">
      <c r="B1036" s="922" t="s">
        <v>3629</v>
      </c>
      <c r="C1036" s="906">
        <v>91461</v>
      </c>
    </row>
    <row r="1037" spans="2:3" x14ac:dyDescent="0.25">
      <c r="B1037" s="922" t="s">
        <v>2181</v>
      </c>
      <c r="C1037" s="906">
        <v>91010</v>
      </c>
    </row>
    <row r="1038" spans="2:3" x14ac:dyDescent="0.25">
      <c r="B1038" s="922" t="s">
        <v>3630</v>
      </c>
      <c r="C1038" s="906">
        <v>91007</v>
      </c>
    </row>
    <row r="1039" spans="2:3" x14ac:dyDescent="0.25">
      <c r="B1039" s="922" t="s">
        <v>1316</v>
      </c>
      <c r="C1039" s="906">
        <v>91401</v>
      </c>
    </row>
    <row r="1040" spans="2:3" x14ac:dyDescent="0.25">
      <c r="B1040" s="922" t="s">
        <v>2182</v>
      </c>
      <c r="C1040" s="906">
        <v>93171</v>
      </c>
    </row>
    <row r="1041" spans="2:3" x14ac:dyDescent="0.25">
      <c r="B1041" s="922" t="s">
        <v>1326</v>
      </c>
      <c r="C1041" s="906">
        <v>91501</v>
      </c>
    </row>
    <row r="1042" spans="2:3" x14ac:dyDescent="0.25">
      <c r="B1042" s="922" t="s">
        <v>3631</v>
      </c>
      <c r="C1042" s="906">
        <v>91504</v>
      </c>
    </row>
    <row r="1043" spans="2:3" x14ac:dyDescent="0.25">
      <c r="B1043" s="922" t="s">
        <v>2183</v>
      </c>
      <c r="C1043" s="906">
        <v>96312</v>
      </c>
    </row>
    <row r="1044" spans="2:3" x14ac:dyDescent="0.25">
      <c r="B1044" s="922" t="s">
        <v>2184</v>
      </c>
      <c r="C1044" s="906">
        <v>96241</v>
      </c>
    </row>
    <row r="1045" spans="2:3" x14ac:dyDescent="0.25">
      <c r="B1045" s="922" t="s">
        <v>2185</v>
      </c>
      <c r="C1045" s="906">
        <v>94431</v>
      </c>
    </row>
    <row r="1046" spans="2:3" x14ac:dyDescent="0.25">
      <c r="B1046" s="922" t="s">
        <v>3632</v>
      </c>
      <c r="C1046" s="906">
        <v>94437</v>
      </c>
    </row>
    <row r="1047" spans="2:3" x14ac:dyDescent="0.25">
      <c r="B1047" s="922" t="s">
        <v>2186</v>
      </c>
      <c r="C1047" s="906">
        <v>91671</v>
      </c>
    </row>
    <row r="1048" spans="2:3" x14ac:dyDescent="0.25">
      <c r="B1048" s="922" t="s">
        <v>1248</v>
      </c>
      <c r="C1048" s="906">
        <v>91008</v>
      </c>
    </row>
    <row r="1049" spans="2:3" x14ac:dyDescent="0.25">
      <c r="B1049" s="922" t="s">
        <v>1756</v>
      </c>
      <c r="C1049" s="906">
        <v>96512</v>
      </c>
    </row>
    <row r="1050" spans="2:3" x14ac:dyDescent="0.25">
      <c r="B1050" s="922" t="s">
        <v>1753</v>
      </c>
      <c r="C1050" s="906">
        <v>96507</v>
      </c>
    </row>
    <row r="1051" spans="2:3" x14ac:dyDescent="0.25">
      <c r="B1051" s="922" t="s">
        <v>2187</v>
      </c>
      <c r="C1051" s="906">
        <v>96521</v>
      </c>
    </row>
    <row r="1052" spans="2:3" x14ac:dyDescent="0.25">
      <c r="B1052" s="922" t="s">
        <v>2188</v>
      </c>
      <c r="C1052" s="906">
        <v>91024</v>
      </c>
    </row>
    <row r="1053" spans="2:3" x14ac:dyDescent="0.25">
      <c r="B1053" s="922" t="s">
        <v>2189</v>
      </c>
      <c r="C1053" s="906">
        <v>96821</v>
      </c>
    </row>
    <row r="1054" spans="2:3" x14ac:dyDescent="0.25">
      <c r="B1054" s="922" t="s">
        <v>1328</v>
      </c>
      <c r="C1054" s="906">
        <v>91601</v>
      </c>
    </row>
    <row r="1055" spans="2:3" x14ac:dyDescent="0.25">
      <c r="B1055" s="922" t="s">
        <v>3633</v>
      </c>
      <c r="C1055" s="906">
        <v>91604</v>
      </c>
    </row>
    <row r="1056" spans="2:3" x14ac:dyDescent="0.25">
      <c r="B1056" s="922" t="s">
        <v>2190</v>
      </c>
      <c r="C1056" s="906">
        <v>96391</v>
      </c>
    </row>
    <row r="1057" spans="2:3" x14ac:dyDescent="0.25">
      <c r="B1057" s="922" t="s">
        <v>2191</v>
      </c>
      <c r="C1057" s="906">
        <v>99221</v>
      </c>
    </row>
    <row r="1058" spans="2:3" x14ac:dyDescent="0.25">
      <c r="B1058" s="922" t="s">
        <v>2192</v>
      </c>
      <c r="C1058" s="906">
        <v>91051</v>
      </c>
    </row>
    <row r="1059" spans="2:3" x14ac:dyDescent="0.25">
      <c r="B1059" s="922" t="s">
        <v>3634</v>
      </c>
      <c r="C1059" s="906">
        <v>91706</v>
      </c>
    </row>
    <row r="1060" spans="2:3" x14ac:dyDescent="0.25">
      <c r="B1060" s="922" t="s">
        <v>1341</v>
      </c>
      <c r="C1060" s="906">
        <v>91701</v>
      </c>
    </row>
    <row r="1061" spans="2:3" x14ac:dyDescent="0.25">
      <c r="B1061" s="922" t="s">
        <v>3635</v>
      </c>
      <c r="C1061" s="906">
        <v>91704</v>
      </c>
    </row>
    <row r="1062" spans="2:3" x14ac:dyDescent="0.25">
      <c r="B1062" s="922" t="s">
        <v>2193</v>
      </c>
      <c r="C1062" s="906">
        <v>91881</v>
      </c>
    </row>
    <row r="1063" spans="2:3" x14ac:dyDescent="0.25">
      <c r="B1063" s="922" t="s">
        <v>1345</v>
      </c>
      <c r="C1063" s="906">
        <v>91801</v>
      </c>
    </row>
    <row r="1064" spans="2:3" x14ac:dyDescent="0.25">
      <c r="B1064" s="922" t="s">
        <v>3636</v>
      </c>
      <c r="C1064" s="906">
        <v>91804</v>
      </c>
    </row>
    <row r="1065" spans="2:3" x14ac:dyDescent="0.25">
      <c r="B1065" s="922" t="s">
        <v>2194</v>
      </c>
      <c r="C1065" s="906">
        <v>91691</v>
      </c>
    </row>
    <row r="1066" spans="2:3" x14ac:dyDescent="0.25">
      <c r="B1066" s="922" t="s">
        <v>3637</v>
      </c>
      <c r="C1066" s="906">
        <v>99222</v>
      </c>
    </row>
    <row r="1067" spans="2:3" x14ac:dyDescent="0.25">
      <c r="B1067" s="922" t="s">
        <v>3471</v>
      </c>
      <c r="C1067" s="906">
        <v>93408</v>
      </c>
    </row>
    <row r="1068" spans="2:3" x14ac:dyDescent="0.25">
      <c r="B1068" s="922" t="s">
        <v>1703</v>
      </c>
      <c r="C1068" s="906">
        <v>96009</v>
      </c>
    </row>
    <row r="1069" spans="2:3" x14ac:dyDescent="0.25">
      <c r="B1069" s="922" t="s">
        <v>2195</v>
      </c>
      <c r="C1069" s="906">
        <v>92441</v>
      </c>
    </row>
    <row r="1070" spans="2:3" x14ac:dyDescent="0.25">
      <c r="B1070" s="922" t="s">
        <v>2196</v>
      </c>
      <c r="C1070" s="906">
        <v>96811</v>
      </c>
    </row>
    <row r="1071" spans="2:3" x14ac:dyDescent="0.25">
      <c r="B1071" s="922" t="s">
        <v>2197</v>
      </c>
      <c r="C1071" s="906">
        <v>96011</v>
      </c>
    </row>
    <row r="1072" spans="2:3" x14ac:dyDescent="0.25">
      <c r="B1072" s="922" t="s">
        <v>3638</v>
      </c>
      <c r="C1072" s="906">
        <v>96018</v>
      </c>
    </row>
    <row r="1073" spans="2:3" x14ac:dyDescent="0.25">
      <c r="B1073" s="922" t="s">
        <v>3639</v>
      </c>
      <c r="C1073" s="906">
        <v>96003</v>
      </c>
    </row>
    <row r="1074" spans="2:3" x14ac:dyDescent="0.25">
      <c r="B1074" s="922" t="s">
        <v>3640</v>
      </c>
      <c r="C1074" s="906">
        <v>96005</v>
      </c>
    </row>
    <row r="1075" spans="2:3" x14ac:dyDescent="0.25">
      <c r="B1075" s="922" t="s">
        <v>3472</v>
      </c>
      <c r="C1075" s="906">
        <v>96012</v>
      </c>
    </row>
    <row r="1076" spans="2:3" x14ac:dyDescent="0.25">
      <c r="B1076" s="922" t="s">
        <v>3641</v>
      </c>
      <c r="C1076" s="906">
        <v>91903</v>
      </c>
    </row>
    <row r="1077" spans="2:3" x14ac:dyDescent="0.25">
      <c r="B1077" s="922" t="s">
        <v>1359</v>
      </c>
      <c r="C1077" s="906">
        <v>91901</v>
      </c>
    </row>
    <row r="1078" spans="2:3" x14ac:dyDescent="0.25">
      <c r="B1078" s="922" t="s">
        <v>3642</v>
      </c>
      <c r="C1078" s="906">
        <v>91904</v>
      </c>
    </row>
    <row r="1079" spans="2:3" x14ac:dyDescent="0.25">
      <c r="B1079" s="922" t="s">
        <v>1366</v>
      </c>
      <c r="C1079" s="906">
        <v>92001</v>
      </c>
    </row>
    <row r="1080" spans="2:3" x14ac:dyDescent="0.25">
      <c r="B1080" s="922" t="s">
        <v>2198</v>
      </c>
      <c r="C1080" s="906">
        <v>93641</v>
      </c>
    </row>
    <row r="1081" spans="2:3" x14ac:dyDescent="0.25">
      <c r="B1081" s="922" t="s">
        <v>3643</v>
      </c>
      <c r="C1081" s="906">
        <v>93647</v>
      </c>
    </row>
    <row r="1082" spans="2:3" x14ac:dyDescent="0.25">
      <c r="B1082" s="922" t="s">
        <v>2199</v>
      </c>
      <c r="C1082" s="906">
        <v>98041</v>
      </c>
    </row>
    <row r="1083" spans="2:3" x14ac:dyDescent="0.25">
      <c r="B1083" s="922" t="s">
        <v>3644</v>
      </c>
      <c r="C1083" s="906">
        <v>96612</v>
      </c>
    </row>
    <row r="1084" spans="2:3" x14ac:dyDescent="0.25">
      <c r="B1084" s="922" t="s">
        <v>2200</v>
      </c>
      <c r="C1084" s="906">
        <v>90751</v>
      </c>
    </row>
    <row r="1085" spans="2:3" x14ac:dyDescent="0.25">
      <c r="B1085" s="922" t="s">
        <v>1371</v>
      </c>
      <c r="C1085" s="906">
        <v>92101</v>
      </c>
    </row>
    <row r="1086" spans="2:3" x14ac:dyDescent="0.25">
      <c r="B1086" s="922" t="s">
        <v>3645</v>
      </c>
      <c r="C1086" s="906">
        <v>92104</v>
      </c>
    </row>
    <row r="1087" spans="2:3" x14ac:dyDescent="0.25">
      <c r="B1087" s="922" t="s">
        <v>2201</v>
      </c>
      <c r="C1087" s="906">
        <v>91821</v>
      </c>
    </row>
    <row r="1088" spans="2:3" x14ac:dyDescent="0.25">
      <c r="B1088" s="922" t="s">
        <v>2202</v>
      </c>
      <c r="C1088" s="906">
        <v>90931</v>
      </c>
    </row>
    <row r="1089" spans="2:3" x14ac:dyDescent="0.25">
      <c r="B1089" s="922" t="s">
        <v>1376</v>
      </c>
      <c r="C1089" s="906">
        <v>92201</v>
      </c>
    </row>
    <row r="1090" spans="2:3" x14ac:dyDescent="0.25">
      <c r="B1090" s="922" t="s">
        <v>2203</v>
      </c>
      <c r="C1090" s="906">
        <v>95131</v>
      </c>
    </row>
    <row r="1091" spans="2:3" x14ac:dyDescent="0.25">
      <c r="B1091" s="922" t="s">
        <v>2204</v>
      </c>
      <c r="C1091" s="906">
        <v>93441</v>
      </c>
    </row>
    <row r="1092" spans="2:3" x14ac:dyDescent="0.25">
      <c r="B1092" s="922" t="s">
        <v>1495</v>
      </c>
      <c r="C1092" s="906">
        <v>93442</v>
      </c>
    </row>
    <row r="1093" spans="2:3" x14ac:dyDescent="0.25">
      <c r="B1093" s="922" t="s">
        <v>2205</v>
      </c>
      <c r="C1093" s="906">
        <v>98091</v>
      </c>
    </row>
    <row r="1094" spans="2:3" x14ac:dyDescent="0.25">
      <c r="B1094" s="922" t="s">
        <v>1377</v>
      </c>
      <c r="C1094" s="906">
        <v>92301</v>
      </c>
    </row>
    <row r="1095" spans="2:3" x14ac:dyDescent="0.25">
      <c r="B1095" s="922" t="s">
        <v>3646</v>
      </c>
      <c r="C1095" s="906">
        <v>92302</v>
      </c>
    </row>
    <row r="1096" spans="2:3" x14ac:dyDescent="0.25">
      <c r="B1096" s="922" t="s">
        <v>2206</v>
      </c>
      <c r="C1096" s="906">
        <v>98211</v>
      </c>
    </row>
    <row r="1097" spans="2:3" x14ac:dyDescent="0.25">
      <c r="B1097" s="922" t="s">
        <v>3647</v>
      </c>
      <c r="C1097" s="906">
        <v>98218</v>
      </c>
    </row>
    <row r="1098" spans="2:3" x14ac:dyDescent="0.25">
      <c r="B1098" s="922" t="s">
        <v>3648</v>
      </c>
      <c r="C1098" s="906">
        <v>92506</v>
      </c>
    </row>
    <row r="1099" spans="2:3" x14ac:dyDescent="0.25">
      <c r="B1099" s="922" t="s">
        <v>3649</v>
      </c>
      <c r="C1099" s="906">
        <v>92508</v>
      </c>
    </row>
    <row r="1100" spans="2:3" x14ac:dyDescent="0.25">
      <c r="B1100" s="922" t="s">
        <v>2207</v>
      </c>
      <c r="C1100" s="906">
        <v>94341</v>
      </c>
    </row>
    <row r="1101" spans="2:3" x14ac:dyDescent="0.25">
      <c r="B1101" s="922" t="s">
        <v>2208</v>
      </c>
      <c r="C1101" s="906">
        <v>94641</v>
      </c>
    </row>
    <row r="1102" spans="2:3" x14ac:dyDescent="0.25">
      <c r="B1102" s="922" t="s">
        <v>2209</v>
      </c>
      <c r="C1102" s="906">
        <v>90813</v>
      </c>
    </row>
    <row r="1103" spans="2:3" x14ac:dyDescent="0.25">
      <c r="B1103" s="922" t="s">
        <v>1562</v>
      </c>
      <c r="C1103" s="906">
        <v>94168</v>
      </c>
    </row>
    <row r="1104" spans="2:3" x14ac:dyDescent="0.25">
      <c r="B1104" s="922" t="s">
        <v>2210</v>
      </c>
      <c r="C1104" s="906">
        <v>98911</v>
      </c>
    </row>
    <row r="1105" spans="2:3" x14ac:dyDescent="0.25">
      <c r="B1105" s="922" t="s">
        <v>2211</v>
      </c>
      <c r="C1105" s="906">
        <v>97521</v>
      </c>
    </row>
    <row r="1106" spans="2:3" x14ac:dyDescent="0.25">
      <c r="B1106" s="922" t="s">
        <v>1386</v>
      </c>
      <c r="C1106" s="906">
        <v>92401</v>
      </c>
    </row>
    <row r="1107" spans="2:3" x14ac:dyDescent="0.25">
      <c r="B1107" s="922" t="s">
        <v>2212</v>
      </c>
      <c r="C1107" s="906">
        <v>91311</v>
      </c>
    </row>
    <row r="1108" spans="2:3" x14ac:dyDescent="0.25">
      <c r="B1108" s="922" t="s">
        <v>3650</v>
      </c>
      <c r="C1108" s="906">
        <v>91317</v>
      </c>
    </row>
    <row r="1109" spans="2:3" x14ac:dyDescent="0.25">
      <c r="B1109" s="922" t="s">
        <v>2213</v>
      </c>
      <c r="C1109" s="906">
        <v>91261</v>
      </c>
    </row>
    <row r="1110" spans="2:3" x14ac:dyDescent="0.25">
      <c r="B1110" s="922" t="s">
        <v>2214</v>
      </c>
      <c r="C1110" s="906">
        <v>91851</v>
      </c>
    </row>
    <row r="1111" spans="2:3" x14ac:dyDescent="0.25">
      <c r="B1111" s="922" t="s">
        <v>3651</v>
      </c>
      <c r="C1111" s="906">
        <v>97408</v>
      </c>
    </row>
    <row r="1112" spans="2:3" x14ac:dyDescent="0.25">
      <c r="B1112" s="922" t="s">
        <v>2215</v>
      </c>
      <c r="C1112" s="906">
        <v>96641</v>
      </c>
    </row>
    <row r="1113" spans="2:3" x14ac:dyDescent="0.25">
      <c r="B1113" s="922" t="s">
        <v>2216</v>
      </c>
      <c r="C1113" s="906">
        <v>93031</v>
      </c>
    </row>
    <row r="1114" spans="2:3" x14ac:dyDescent="0.25">
      <c r="B1114" s="922" t="s">
        <v>3652</v>
      </c>
      <c r="C1114" s="906">
        <v>93027</v>
      </c>
    </row>
    <row r="1115" spans="2:3" x14ac:dyDescent="0.25">
      <c r="B1115" s="922" t="s">
        <v>2217</v>
      </c>
      <c r="C1115" s="906">
        <v>96051</v>
      </c>
    </row>
    <row r="1116" spans="2:3" x14ac:dyDescent="0.25">
      <c r="B1116" s="922" t="s">
        <v>3653</v>
      </c>
      <c r="C1116" s="906">
        <v>94501</v>
      </c>
    </row>
    <row r="1117" spans="2:3" x14ac:dyDescent="0.25">
      <c r="B1117" s="922" t="s">
        <v>2218</v>
      </c>
      <c r="C1117" s="906">
        <v>92571</v>
      </c>
    </row>
    <row r="1118" spans="2:3" x14ac:dyDescent="0.25">
      <c r="B1118" s="922" t="s">
        <v>2219</v>
      </c>
      <c r="C1118" s="906">
        <v>93631</v>
      </c>
    </row>
    <row r="1119" spans="2:3" x14ac:dyDescent="0.25">
      <c r="B1119" s="922" t="s">
        <v>3654</v>
      </c>
      <c r="C1119" s="906">
        <v>92504</v>
      </c>
    </row>
    <row r="1120" spans="2:3" x14ac:dyDescent="0.25">
      <c r="B1120" s="922" t="s">
        <v>1398</v>
      </c>
      <c r="C1120" s="906">
        <v>92501</v>
      </c>
    </row>
    <row r="1121" spans="2:3" x14ac:dyDescent="0.25">
      <c r="B1121" s="922" t="s">
        <v>1401</v>
      </c>
      <c r="C1121" s="906">
        <v>92505</v>
      </c>
    </row>
    <row r="1122" spans="2:3" x14ac:dyDescent="0.25">
      <c r="B1122" s="922" t="s">
        <v>2220</v>
      </c>
      <c r="C1122" s="906">
        <v>93921</v>
      </c>
    </row>
    <row r="1123" spans="2:3" x14ac:dyDescent="0.25">
      <c r="B1123" s="922" t="s">
        <v>2221</v>
      </c>
      <c r="C1123" s="906">
        <v>99431</v>
      </c>
    </row>
    <row r="1124" spans="2:3" x14ac:dyDescent="0.25">
      <c r="B1124" s="922" t="s">
        <v>3655</v>
      </c>
      <c r="C1124" s="906">
        <v>92604</v>
      </c>
    </row>
    <row r="1125" spans="2:3" x14ac:dyDescent="0.25">
      <c r="B1125" s="922" t="s">
        <v>1413</v>
      </c>
      <c r="C1125" s="906">
        <v>92601</v>
      </c>
    </row>
    <row r="1126" spans="2:3" x14ac:dyDescent="0.25">
      <c r="B1126" s="922" t="s">
        <v>1417</v>
      </c>
      <c r="C1126" s="906">
        <v>92608</v>
      </c>
    </row>
    <row r="1127" spans="2:3" x14ac:dyDescent="0.25">
      <c r="B1127" s="922" t="s">
        <v>3656</v>
      </c>
      <c r="C1127" s="906">
        <v>92704</v>
      </c>
    </row>
    <row r="1128" spans="2:3" x14ac:dyDescent="0.25">
      <c r="B1128" s="922" t="s">
        <v>1428</v>
      </c>
      <c r="C1128" s="906">
        <v>92701</v>
      </c>
    </row>
    <row r="1129" spans="2:3" x14ac:dyDescent="0.25">
      <c r="B1129" s="922" t="s">
        <v>2222</v>
      </c>
      <c r="C1129" s="906">
        <v>93651</v>
      </c>
    </row>
    <row r="1130" spans="2:3" x14ac:dyDescent="0.25">
      <c r="B1130" s="922" t="s">
        <v>1430</v>
      </c>
      <c r="C1130" s="906">
        <v>92801</v>
      </c>
    </row>
    <row r="1131" spans="2:3" x14ac:dyDescent="0.25">
      <c r="B1131" s="922" t="s">
        <v>3657</v>
      </c>
      <c r="C1131" s="906">
        <v>92804</v>
      </c>
    </row>
    <row r="1132" spans="2:3" x14ac:dyDescent="0.25">
      <c r="B1132" s="922" t="s">
        <v>1431</v>
      </c>
      <c r="C1132" s="906">
        <v>92802</v>
      </c>
    </row>
    <row r="1133" spans="2:3" x14ac:dyDescent="0.25">
      <c r="B1133" s="922" t="s">
        <v>2223</v>
      </c>
      <c r="C1133" s="906">
        <v>96081</v>
      </c>
    </row>
    <row r="1134" spans="2:3" x14ac:dyDescent="0.25">
      <c r="B1134" s="922" t="s">
        <v>1439</v>
      </c>
      <c r="C1134" s="906">
        <v>92901</v>
      </c>
    </row>
    <row r="1135" spans="2:3" x14ac:dyDescent="0.25">
      <c r="B1135" s="922" t="s">
        <v>1446</v>
      </c>
      <c r="C1135" s="906">
        <v>93001</v>
      </c>
    </row>
    <row r="1136" spans="2:3" x14ac:dyDescent="0.25">
      <c r="B1136" s="922" t="s">
        <v>3658</v>
      </c>
      <c r="C1136" s="906">
        <v>93009</v>
      </c>
    </row>
    <row r="1137" spans="2:3" x14ac:dyDescent="0.25">
      <c r="B1137" s="922" t="s">
        <v>2224</v>
      </c>
      <c r="C1137" s="906">
        <v>92921</v>
      </c>
    </row>
    <row r="1138" spans="2:3" x14ac:dyDescent="0.25">
      <c r="B1138" s="922" t="s">
        <v>2225</v>
      </c>
      <c r="C1138" s="906">
        <v>98621</v>
      </c>
    </row>
    <row r="1139" spans="2:3" x14ac:dyDescent="0.25">
      <c r="B1139" s="922" t="s">
        <v>3659</v>
      </c>
      <c r="C1139" s="906">
        <v>98627</v>
      </c>
    </row>
    <row r="1140" spans="2:3" x14ac:dyDescent="0.25">
      <c r="B1140" s="922" t="s">
        <v>2226</v>
      </c>
      <c r="C1140" s="906">
        <v>91221</v>
      </c>
    </row>
    <row r="1141" spans="2:3" x14ac:dyDescent="0.25">
      <c r="B1141" s="922" t="s">
        <v>2227</v>
      </c>
      <c r="C1141" s="906">
        <v>92861</v>
      </c>
    </row>
    <row r="1142" spans="2:3" x14ac:dyDescent="0.25">
      <c r="B1142" s="922" t="s">
        <v>2228</v>
      </c>
      <c r="C1142" s="906">
        <v>94311</v>
      </c>
    </row>
    <row r="1143" spans="2:3" x14ac:dyDescent="0.25">
      <c r="B1143" s="922" t="s">
        <v>3660</v>
      </c>
      <c r="C1143" s="906">
        <v>94317</v>
      </c>
    </row>
    <row r="1144" spans="2:3" x14ac:dyDescent="0.25">
      <c r="B1144" s="922" t="s">
        <v>1577</v>
      </c>
      <c r="C1144" s="906">
        <v>94313</v>
      </c>
    </row>
    <row r="1145" spans="2:3" x14ac:dyDescent="0.25">
      <c r="B1145" s="922" t="s">
        <v>1452</v>
      </c>
      <c r="C1145" s="906">
        <v>93101</v>
      </c>
    </row>
    <row r="1146" spans="2:3" x14ac:dyDescent="0.25">
      <c r="B1146" s="922" t="s">
        <v>2229</v>
      </c>
      <c r="C1146" s="906">
        <v>93103</v>
      </c>
    </row>
    <row r="1147" spans="2:3" x14ac:dyDescent="0.25">
      <c r="B1147" s="922" t="s">
        <v>2230</v>
      </c>
      <c r="C1147" s="906">
        <v>93211</v>
      </c>
    </row>
    <row r="1148" spans="2:3" x14ac:dyDescent="0.25">
      <c r="B1148" s="922" t="s">
        <v>3661</v>
      </c>
      <c r="C1148" s="906">
        <v>93212</v>
      </c>
    </row>
    <row r="1149" spans="2:3" x14ac:dyDescent="0.25">
      <c r="B1149" s="922" t="s">
        <v>1466</v>
      </c>
      <c r="C1149" s="906">
        <v>93201</v>
      </c>
    </row>
    <row r="1150" spans="2:3" x14ac:dyDescent="0.25">
      <c r="B1150" s="922" t="s">
        <v>3662</v>
      </c>
      <c r="C1150" s="906">
        <v>93204</v>
      </c>
    </row>
    <row r="1151" spans="2:3" x14ac:dyDescent="0.25">
      <c r="B1151" s="922" t="s">
        <v>3663</v>
      </c>
      <c r="C1151" s="906">
        <v>99212</v>
      </c>
    </row>
    <row r="1152" spans="2:3" x14ac:dyDescent="0.25">
      <c r="B1152" s="922" t="s">
        <v>1794</v>
      </c>
      <c r="C1152" s="906">
        <v>97005</v>
      </c>
    </row>
    <row r="1153" spans="2:3" x14ac:dyDescent="0.25">
      <c r="B1153" s="922" t="s">
        <v>2231</v>
      </c>
      <c r="C1153" s="906">
        <v>99931</v>
      </c>
    </row>
    <row r="1154" spans="2:3" x14ac:dyDescent="0.25">
      <c r="B1154" s="922" t="s">
        <v>2232</v>
      </c>
      <c r="C1154" s="906">
        <v>98021</v>
      </c>
    </row>
    <row r="1155" spans="2:3" x14ac:dyDescent="0.25">
      <c r="B1155" s="922" t="s">
        <v>1895</v>
      </c>
      <c r="C1155" s="906">
        <v>98023</v>
      </c>
    </row>
    <row r="1156" spans="2:3" x14ac:dyDescent="0.25">
      <c r="B1156" s="922" t="s">
        <v>1169</v>
      </c>
      <c r="C1156" s="906">
        <v>70505</v>
      </c>
    </row>
    <row r="1157" spans="2:3" x14ac:dyDescent="0.25">
      <c r="B1157" s="922" t="s">
        <v>3664</v>
      </c>
      <c r="C1157" s="906">
        <v>99603</v>
      </c>
    </row>
    <row r="1158" spans="2:3" x14ac:dyDescent="0.25">
      <c r="B1158" s="922" t="s">
        <v>3665</v>
      </c>
      <c r="C1158" s="906">
        <v>99610</v>
      </c>
    </row>
    <row r="1159" spans="2:3" x14ac:dyDescent="0.25">
      <c r="B1159" s="922" t="s">
        <v>2233</v>
      </c>
      <c r="C1159" s="906">
        <v>92681</v>
      </c>
    </row>
    <row r="1160" spans="2:3" x14ac:dyDescent="0.25">
      <c r="B1160" s="922" t="s">
        <v>3475</v>
      </c>
      <c r="C1160" s="906">
        <v>93108</v>
      </c>
    </row>
    <row r="1161" spans="2:3" x14ac:dyDescent="0.25">
      <c r="B1161" s="922" t="s">
        <v>2234</v>
      </c>
      <c r="C1161" s="906">
        <v>97951</v>
      </c>
    </row>
    <row r="1162" spans="2:3" x14ac:dyDescent="0.25">
      <c r="B1162" s="922" t="s">
        <v>3666</v>
      </c>
      <c r="C1162" s="906">
        <v>97957</v>
      </c>
    </row>
    <row r="1163" spans="2:3" x14ac:dyDescent="0.25">
      <c r="B1163" s="922" t="s">
        <v>2235</v>
      </c>
      <c r="C1163" s="906">
        <v>92111</v>
      </c>
    </row>
    <row r="1164" spans="2:3" x14ac:dyDescent="0.25">
      <c r="B1164" s="922" t="s">
        <v>1473</v>
      </c>
      <c r="C1164" s="906">
        <v>93301</v>
      </c>
    </row>
    <row r="1165" spans="2:3" x14ac:dyDescent="0.25">
      <c r="B1165" s="922" t="s">
        <v>3667</v>
      </c>
      <c r="C1165" s="906">
        <v>93304</v>
      </c>
    </row>
    <row r="1166" spans="2:3" x14ac:dyDescent="0.25">
      <c r="B1166" s="922" t="s">
        <v>3668</v>
      </c>
      <c r="C1166" s="906">
        <v>93305</v>
      </c>
    </row>
    <row r="1167" spans="2:3" x14ac:dyDescent="0.25">
      <c r="B1167" s="922" t="s">
        <v>3669</v>
      </c>
      <c r="C1167" s="906">
        <v>99210</v>
      </c>
    </row>
    <row r="1168" spans="2:3" x14ac:dyDescent="0.25">
      <c r="B1168" s="922" t="s">
        <v>1797</v>
      </c>
      <c r="C1168" s="906">
        <v>97011</v>
      </c>
    </row>
    <row r="1169" spans="2:3" x14ac:dyDescent="0.25">
      <c r="B1169" s="922" t="s">
        <v>3670</v>
      </c>
      <c r="C1169" s="906">
        <v>97013</v>
      </c>
    </row>
    <row r="1170" spans="2:3" x14ac:dyDescent="0.25">
      <c r="B1170" s="922" t="s">
        <v>3671</v>
      </c>
      <c r="C1170" s="906">
        <v>97012</v>
      </c>
    </row>
    <row r="1171" spans="2:3" x14ac:dyDescent="0.25">
      <c r="B1171" s="922" t="s">
        <v>3672</v>
      </c>
      <c r="C1171" s="906">
        <v>97018</v>
      </c>
    </row>
    <row r="1172" spans="2:3" x14ac:dyDescent="0.25">
      <c r="B1172" s="922" t="s">
        <v>2236</v>
      </c>
      <c r="C1172" s="906">
        <v>90911</v>
      </c>
    </row>
    <row r="1173" spans="2:3" x14ac:dyDescent="0.25">
      <c r="B1173" s="922" t="s">
        <v>3673</v>
      </c>
      <c r="C1173" s="906">
        <v>90917</v>
      </c>
    </row>
    <row r="1174" spans="2:3" x14ac:dyDescent="0.25">
      <c r="B1174" s="922" t="s">
        <v>2237</v>
      </c>
      <c r="C1174" s="906">
        <v>90641</v>
      </c>
    </row>
    <row r="1175" spans="2:3" x14ac:dyDescent="0.25">
      <c r="B1175" s="922" t="s">
        <v>2238</v>
      </c>
      <c r="C1175" s="906">
        <v>98641</v>
      </c>
    </row>
    <row r="1176" spans="2:3" x14ac:dyDescent="0.25">
      <c r="B1176" s="922" t="s">
        <v>2239</v>
      </c>
      <c r="C1176" s="906">
        <v>98161</v>
      </c>
    </row>
    <row r="1177" spans="2:3" x14ac:dyDescent="0.25">
      <c r="B1177" s="922" t="s">
        <v>2240</v>
      </c>
      <c r="C1177" s="906">
        <v>97731</v>
      </c>
    </row>
    <row r="1178" spans="2:3" x14ac:dyDescent="0.25">
      <c r="B1178" s="922" t="s">
        <v>2241</v>
      </c>
      <c r="C1178" s="906">
        <v>99851</v>
      </c>
    </row>
    <row r="1179" spans="2:3" x14ac:dyDescent="0.25">
      <c r="B1179" s="922" t="s">
        <v>3674</v>
      </c>
      <c r="C1179" s="906">
        <v>90131</v>
      </c>
    </row>
    <row r="1180" spans="2:3" x14ac:dyDescent="0.25">
      <c r="B1180" s="922" t="s">
        <v>2243</v>
      </c>
      <c r="C1180" s="906">
        <v>91651</v>
      </c>
    </row>
    <row r="1181" spans="2:3" x14ac:dyDescent="0.25">
      <c r="B1181" s="922" t="s">
        <v>2244</v>
      </c>
      <c r="C1181" s="906">
        <v>94211</v>
      </c>
    </row>
    <row r="1182" spans="2:3" x14ac:dyDescent="0.25">
      <c r="B1182" s="922" t="s">
        <v>2245</v>
      </c>
      <c r="C1182" s="906">
        <v>94331</v>
      </c>
    </row>
    <row r="1183" spans="2:3" x14ac:dyDescent="0.25">
      <c r="B1183" s="922" t="s">
        <v>2246</v>
      </c>
      <c r="C1183" s="906">
        <v>92431</v>
      </c>
    </row>
    <row r="1184" spans="2:3" x14ac:dyDescent="0.25">
      <c r="B1184" s="922" t="s">
        <v>2247</v>
      </c>
      <c r="C1184" s="906">
        <v>97821</v>
      </c>
    </row>
    <row r="1185" spans="2:3" x14ac:dyDescent="0.25">
      <c r="B1185" s="922" t="s">
        <v>1865</v>
      </c>
      <c r="C1185" s="906">
        <v>97823</v>
      </c>
    </row>
    <row r="1186" spans="2:3" x14ac:dyDescent="0.25">
      <c r="B1186" s="922" t="s">
        <v>2248</v>
      </c>
      <c r="C1186" s="906">
        <v>93141</v>
      </c>
    </row>
    <row r="1187" spans="2:3" x14ac:dyDescent="0.25">
      <c r="B1187" s="922" t="s">
        <v>2249</v>
      </c>
      <c r="C1187" s="906">
        <v>98081</v>
      </c>
    </row>
    <row r="1188" spans="2:3" x14ac:dyDescent="0.25">
      <c r="B1188" s="922" t="s">
        <v>2250</v>
      </c>
      <c r="C1188" s="906">
        <v>92671</v>
      </c>
    </row>
    <row r="1189" spans="2:3" x14ac:dyDescent="0.25">
      <c r="B1189" s="922" t="s">
        <v>2251</v>
      </c>
      <c r="C1189" s="906">
        <v>97421</v>
      </c>
    </row>
    <row r="1190" spans="2:3" x14ac:dyDescent="0.25">
      <c r="B1190" s="922" t="s">
        <v>1824</v>
      </c>
      <c r="C1190" s="906">
        <v>97423</v>
      </c>
    </row>
    <row r="1191" spans="2:3" x14ac:dyDescent="0.25">
      <c r="B1191" s="922" t="s">
        <v>2252</v>
      </c>
      <c r="C1191" s="906">
        <v>92611</v>
      </c>
    </row>
    <row r="1192" spans="2:3" x14ac:dyDescent="0.25">
      <c r="B1192" s="922" t="s">
        <v>3675</v>
      </c>
      <c r="C1192" s="906">
        <v>92613</v>
      </c>
    </row>
    <row r="1193" spans="2:3" x14ac:dyDescent="0.25">
      <c r="B1193" s="922" t="s">
        <v>3676</v>
      </c>
      <c r="C1193" s="906">
        <v>92502</v>
      </c>
    </row>
    <row r="1194" spans="2:3" x14ac:dyDescent="0.25">
      <c r="B1194" s="922" t="s">
        <v>2253</v>
      </c>
      <c r="C1194" s="906">
        <v>94531</v>
      </c>
    </row>
    <row r="1195" spans="2:3" x14ac:dyDescent="0.25">
      <c r="B1195" s="922" t="s">
        <v>2254</v>
      </c>
      <c r="C1195" s="906">
        <v>94541</v>
      </c>
    </row>
    <row r="1196" spans="2:3" x14ac:dyDescent="0.25">
      <c r="B1196" s="922" t="s">
        <v>3677</v>
      </c>
      <c r="C1196" s="906">
        <v>94547</v>
      </c>
    </row>
    <row r="1197" spans="2:3" x14ac:dyDescent="0.25">
      <c r="B1197" s="922" t="s">
        <v>1629</v>
      </c>
      <c r="C1197" s="906">
        <v>95005</v>
      </c>
    </row>
    <row r="1198" spans="2:3" x14ac:dyDescent="0.25">
      <c r="B1198" s="922" t="s">
        <v>1908</v>
      </c>
      <c r="C1198" s="906">
        <v>98111</v>
      </c>
    </row>
    <row r="1199" spans="2:3" x14ac:dyDescent="0.25">
      <c r="B1199" s="922" t="s">
        <v>3678</v>
      </c>
      <c r="C1199" s="906">
        <v>98107</v>
      </c>
    </row>
    <row r="1200" spans="2:3" x14ac:dyDescent="0.25">
      <c r="B1200" s="922" t="s">
        <v>1909</v>
      </c>
      <c r="C1200" s="906">
        <v>98113</v>
      </c>
    </row>
    <row r="1201" spans="2:3" x14ac:dyDescent="0.25">
      <c r="B1201" s="922" t="s">
        <v>3679</v>
      </c>
      <c r="C1201" s="906">
        <v>99602</v>
      </c>
    </row>
    <row r="1202" spans="2:3" x14ac:dyDescent="0.25">
      <c r="B1202" s="922" t="s">
        <v>1485</v>
      </c>
      <c r="C1202" s="906">
        <v>93401</v>
      </c>
    </row>
    <row r="1203" spans="2:3" x14ac:dyDescent="0.25">
      <c r="B1203" s="922" t="s">
        <v>3680</v>
      </c>
      <c r="C1203" s="906">
        <v>97491</v>
      </c>
    </row>
    <row r="1204" spans="2:3" x14ac:dyDescent="0.25">
      <c r="B1204" s="922" t="s">
        <v>2256</v>
      </c>
      <c r="C1204" s="906">
        <v>95151</v>
      </c>
    </row>
    <row r="1205" spans="2:3" x14ac:dyDescent="0.25">
      <c r="B1205" s="922" t="s">
        <v>1738</v>
      </c>
      <c r="C1205" s="906">
        <v>96381</v>
      </c>
    </row>
    <row r="1206" spans="2:3" x14ac:dyDescent="0.25">
      <c r="B1206" s="922" t="s">
        <v>2257</v>
      </c>
      <c r="C1206" s="906">
        <v>95611</v>
      </c>
    </row>
    <row r="1207" spans="2:3" x14ac:dyDescent="0.25">
      <c r="B1207" s="922" t="s">
        <v>1499</v>
      </c>
      <c r="C1207" s="906">
        <v>93501</v>
      </c>
    </row>
    <row r="1208" spans="2:3" x14ac:dyDescent="0.25">
      <c r="B1208" s="922" t="s">
        <v>2258</v>
      </c>
      <c r="C1208" s="906">
        <v>93511</v>
      </c>
    </row>
    <row r="1209" spans="2:3" x14ac:dyDescent="0.25">
      <c r="B1209" s="922" t="s">
        <v>3681</v>
      </c>
      <c r="C1209" s="906">
        <v>93517</v>
      </c>
    </row>
    <row r="1210" spans="2:3" x14ac:dyDescent="0.25">
      <c r="B1210" s="922" t="s">
        <v>2259</v>
      </c>
      <c r="C1210" s="906">
        <v>99631</v>
      </c>
    </row>
    <row r="1211" spans="2:3" x14ac:dyDescent="0.25">
      <c r="B1211" s="922" t="s">
        <v>2260</v>
      </c>
      <c r="C1211" s="906">
        <v>99261</v>
      </c>
    </row>
    <row r="1212" spans="2:3" x14ac:dyDescent="0.25">
      <c r="B1212" s="922" t="s">
        <v>2261</v>
      </c>
      <c r="C1212" s="906">
        <v>98241</v>
      </c>
    </row>
    <row r="1213" spans="2:3" x14ac:dyDescent="0.25">
      <c r="B1213" s="922" t="s">
        <v>2262</v>
      </c>
      <c r="C1213" s="906">
        <v>99251</v>
      </c>
    </row>
    <row r="1214" spans="2:3" x14ac:dyDescent="0.25">
      <c r="B1214" s="922" t="s">
        <v>3682</v>
      </c>
      <c r="C1214" s="906">
        <v>99252</v>
      </c>
    </row>
    <row r="1215" spans="2:3" x14ac:dyDescent="0.25">
      <c r="B1215" s="922" t="s">
        <v>2263</v>
      </c>
      <c r="C1215" s="906">
        <v>96631</v>
      </c>
    </row>
    <row r="1216" spans="2:3" x14ac:dyDescent="0.25">
      <c r="B1216" s="922" t="s">
        <v>2264</v>
      </c>
      <c r="C1216" s="906">
        <v>96651</v>
      </c>
    </row>
    <row r="1217" spans="2:3" x14ac:dyDescent="0.25">
      <c r="B1217" s="922" t="s">
        <v>1507</v>
      </c>
      <c r="C1217" s="906">
        <v>93601</v>
      </c>
    </row>
    <row r="1218" spans="2:3" x14ac:dyDescent="0.25">
      <c r="B1218" s="922" t="s">
        <v>3683</v>
      </c>
      <c r="C1218" s="906">
        <v>93618</v>
      </c>
    </row>
    <row r="1219" spans="2:3" x14ac:dyDescent="0.25">
      <c r="B1219" s="922" t="s">
        <v>2265</v>
      </c>
      <c r="C1219" s="906">
        <v>93611</v>
      </c>
    </row>
    <row r="1220" spans="2:3" x14ac:dyDescent="0.25">
      <c r="B1220" s="922" t="s">
        <v>3684</v>
      </c>
      <c r="C1220" s="906">
        <v>93617</v>
      </c>
    </row>
    <row r="1221" spans="2:3" x14ac:dyDescent="0.25">
      <c r="B1221" s="922" t="s">
        <v>1525</v>
      </c>
      <c r="C1221" s="906">
        <v>93701</v>
      </c>
    </row>
    <row r="1222" spans="2:3" x14ac:dyDescent="0.25">
      <c r="B1222" s="922" t="s">
        <v>3685</v>
      </c>
      <c r="C1222" s="906">
        <v>93704</v>
      </c>
    </row>
    <row r="1223" spans="2:3" x14ac:dyDescent="0.25">
      <c r="B1223" s="922" t="s">
        <v>2266</v>
      </c>
      <c r="C1223" s="906">
        <v>98331</v>
      </c>
    </row>
    <row r="1224" spans="2:3" x14ac:dyDescent="0.25">
      <c r="B1224" s="922" t="s">
        <v>2267</v>
      </c>
      <c r="C1224" s="906">
        <v>94151</v>
      </c>
    </row>
    <row r="1225" spans="2:3" x14ac:dyDescent="0.25">
      <c r="B1225" s="922" t="s">
        <v>3686</v>
      </c>
      <c r="C1225" s="906">
        <v>94157</v>
      </c>
    </row>
    <row r="1226" spans="2:3" x14ac:dyDescent="0.25">
      <c r="B1226" s="922" t="s">
        <v>2268</v>
      </c>
      <c r="C1226" s="906">
        <v>91241</v>
      </c>
    </row>
    <row r="1227" spans="2:3" x14ac:dyDescent="0.25">
      <c r="B1227" s="922" t="s">
        <v>1665</v>
      </c>
      <c r="C1227" s="906">
        <v>95412</v>
      </c>
    </row>
    <row r="1228" spans="2:3" x14ac:dyDescent="0.25">
      <c r="B1228" s="922" t="s">
        <v>2269</v>
      </c>
      <c r="C1228" s="906">
        <v>99611</v>
      </c>
    </row>
    <row r="1229" spans="2:3" x14ac:dyDescent="0.25">
      <c r="B1229" s="922" t="s">
        <v>1362</v>
      </c>
      <c r="C1229" s="906">
        <v>91908</v>
      </c>
    </row>
    <row r="1230" spans="2:3" x14ac:dyDescent="0.25">
      <c r="B1230" s="922" t="s">
        <v>2270</v>
      </c>
      <c r="C1230" s="906">
        <v>90121</v>
      </c>
    </row>
    <row r="1231" spans="2:3" x14ac:dyDescent="0.25">
      <c r="B1231" s="922" t="s">
        <v>3687</v>
      </c>
      <c r="C1231" s="906">
        <v>93803</v>
      </c>
    </row>
    <row r="1232" spans="2:3" x14ac:dyDescent="0.25">
      <c r="B1232" s="922" t="s">
        <v>1527</v>
      </c>
      <c r="C1232" s="906">
        <v>93801</v>
      </c>
    </row>
    <row r="1233" spans="2:3" x14ac:dyDescent="0.25">
      <c r="B1233" s="922" t="s">
        <v>3688</v>
      </c>
      <c r="C1233" s="906">
        <v>93806</v>
      </c>
    </row>
    <row r="1234" spans="2:3" x14ac:dyDescent="0.25">
      <c r="B1234" s="922" t="s">
        <v>2271</v>
      </c>
      <c r="C1234" s="906">
        <v>91411</v>
      </c>
    </row>
    <row r="1235" spans="2:3" x14ac:dyDescent="0.25">
      <c r="B1235" s="922" t="s">
        <v>3689</v>
      </c>
      <c r="C1235" s="906">
        <v>91417</v>
      </c>
    </row>
    <row r="1236" spans="2:3" x14ac:dyDescent="0.25">
      <c r="B1236" s="922" t="s">
        <v>2272</v>
      </c>
      <c r="C1236" s="906">
        <v>98061</v>
      </c>
    </row>
    <row r="1237" spans="2:3" x14ac:dyDescent="0.25">
      <c r="B1237" s="922" t="s">
        <v>3690</v>
      </c>
      <c r="C1237" s="906">
        <v>93904</v>
      </c>
    </row>
    <row r="1238" spans="2:3" x14ac:dyDescent="0.25">
      <c r="B1238" s="922" t="s">
        <v>1531</v>
      </c>
      <c r="C1238" s="906">
        <v>93901</v>
      </c>
    </row>
    <row r="1239" spans="2:3" x14ac:dyDescent="0.25">
      <c r="B1239" s="922" t="s">
        <v>1533</v>
      </c>
      <c r="C1239" s="906">
        <v>93906</v>
      </c>
    </row>
    <row r="1240" spans="2:3" x14ac:dyDescent="0.25">
      <c r="B1240" s="922" t="s">
        <v>3691</v>
      </c>
      <c r="C1240" s="906">
        <v>93908</v>
      </c>
    </row>
    <row r="1241" spans="2:3" x14ac:dyDescent="0.25">
      <c r="B1241" s="922" t="s">
        <v>3692</v>
      </c>
      <c r="C1241" s="906">
        <v>94908</v>
      </c>
    </row>
    <row r="1242" spans="2:3" x14ac:dyDescent="0.25">
      <c r="B1242" s="922" t="s">
        <v>2273</v>
      </c>
      <c r="C1242" s="906">
        <v>90161</v>
      </c>
    </row>
    <row r="1243" spans="2:3" x14ac:dyDescent="0.25">
      <c r="B1243" s="922" t="s">
        <v>1541</v>
      </c>
      <c r="C1243" s="906">
        <v>94001</v>
      </c>
    </row>
    <row r="1244" spans="2:3" x14ac:dyDescent="0.25">
      <c r="B1244" s="922" t="s">
        <v>3693</v>
      </c>
      <c r="C1244" s="906">
        <v>94004</v>
      </c>
    </row>
    <row r="1245" spans="2:3" x14ac:dyDescent="0.25">
      <c r="B1245" s="922" t="s">
        <v>2274</v>
      </c>
      <c r="C1245" s="906">
        <v>94111</v>
      </c>
    </row>
    <row r="1246" spans="2:3" x14ac:dyDescent="0.25">
      <c r="B1246" s="922" t="s">
        <v>3694</v>
      </c>
      <c r="C1246" s="906">
        <v>94117</v>
      </c>
    </row>
    <row r="1247" spans="2:3" x14ac:dyDescent="0.25">
      <c r="B1247" s="922" t="s">
        <v>2275</v>
      </c>
      <c r="C1247" s="906">
        <v>97411</v>
      </c>
    </row>
    <row r="1248" spans="2:3" x14ac:dyDescent="0.25">
      <c r="B1248" s="922" t="s">
        <v>1822</v>
      </c>
      <c r="C1248" s="906">
        <v>97413</v>
      </c>
    </row>
    <row r="1249" spans="2:3" x14ac:dyDescent="0.25">
      <c r="B1249" s="922" t="s">
        <v>1821</v>
      </c>
      <c r="C1249" s="906">
        <v>97412</v>
      </c>
    </row>
    <row r="1250" spans="2:3" x14ac:dyDescent="0.25">
      <c r="B1250" s="922" t="s">
        <v>2276</v>
      </c>
      <c r="C1250" s="906">
        <v>97431</v>
      </c>
    </row>
    <row r="1251" spans="2:3" x14ac:dyDescent="0.25">
      <c r="B1251" s="922" t="s">
        <v>2277</v>
      </c>
      <c r="C1251" s="906">
        <v>97471</v>
      </c>
    </row>
    <row r="1252" spans="2:3" x14ac:dyDescent="0.25">
      <c r="B1252" s="922" t="s">
        <v>2278</v>
      </c>
      <c r="C1252" s="906">
        <v>92351</v>
      </c>
    </row>
    <row r="1253" spans="2:3" x14ac:dyDescent="0.25">
      <c r="B1253" s="922" t="s">
        <v>2279</v>
      </c>
      <c r="C1253" s="906">
        <v>94101</v>
      </c>
    </row>
    <row r="1254" spans="2:3" x14ac:dyDescent="0.25">
      <c r="B1254" s="922" t="s">
        <v>3695</v>
      </c>
      <c r="C1254" s="906">
        <v>94118</v>
      </c>
    </row>
    <row r="1255" spans="2:3" x14ac:dyDescent="0.25">
      <c r="B1255" s="922" t="s">
        <v>1549</v>
      </c>
      <c r="C1255" s="906">
        <v>94102</v>
      </c>
    </row>
    <row r="1256" spans="2:3" x14ac:dyDescent="0.25">
      <c r="B1256" s="922" t="s">
        <v>1565</v>
      </c>
      <c r="C1256" s="906">
        <v>94201</v>
      </c>
    </row>
    <row r="1257" spans="2:3" x14ac:dyDescent="0.25">
      <c r="B1257" s="922" t="s">
        <v>3696</v>
      </c>
      <c r="C1257" s="906">
        <v>94204</v>
      </c>
    </row>
    <row r="1258" spans="2:3" x14ac:dyDescent="0.25">
      <c r="B1258" s="922" t="s">
        <v>1567</v>
      </c>
      <c r="C1258" s="906">
        <v>94205</v>
      </c>
    </row>
    <row r="1259" spans="2:3" x14ac:dyDescent="0.25">
      <c r="B1259" s="922" t="s">
        <v>2280</v>
      </c>
      <c r="C1259" s="906">
        <v>95831</v>
      </c>
    </row>
    <row r="1260" spans="2:3" x14ac:dyDescent="0.25">
      <c r="B1260" s="922" t="s">
        <v>2281</v>
      </c>
      <c r="C1260" s="906">
        <v>97721</v>
      </c>
    </row>
    <row r="1261" spans="2:3" x14ac:dyDescent="0.25">
      <c r="B1261" s="922" t="s">
        <v>3697</v>
      </c>
      <c r="C1261" s="906">
        <v>97717</v>
      </c>
    </row>
    <row r="1262" spans="2:3" x14ac:dyDescent="0.25">
      <c r="B1262" s="922" t="s">
        <v>1575</v>
      </c>
      <c r="C1262" s="906">
        <v>94301</v>
      </c>
    </row>
    <row r="1263" spans="2:3" x14ac:dyDescent="0.25">
      <c r="B1263" s="922" t="s">
        <v>2282</v>
      </c>
      <c r="C1263" s="906">
        <v>91441</v>
      </c>
    </row>
    <row r="1264" spans="2:3" x14ac:dyDescent="0.25">
      <c r="B1264" s="922" t="s">
        <v>2283</v>
      </c>
      <c r="C1264" s="906">
        <v>92531</v>
      </c>
    </row>
    <row r="1265" spans="2:3" x14ac:dyDescent="0.25">
      <c r="B1265" s="922" t="s">
        <v>2284</v>
      </c>
      <c r="C1265" s="906">
        <v>90141</v>
      </c>
    </row>
    <row r="1266" spans="2:3" x14ac:dyDescent="0.25">
      <c r="B1266" s="922" t="s">
        <v>1584</v>
      </c>
      <c r="C1266" s="906">
        <v>94401</v>
      </c>
    </row>
    <row r="1267" spans="2:3" x14ac:dyDescent="0.25">
      <c r="B1267" s="922" t="s">
        <v>3698</v>
      </c>
      <c r="C1267" s="906">
        <v>94403</v>
      </c>
    </row>
    <row r="1268" spans="2:3" x14ac:dyDescent="0.25">
      <c r="B1268" s="922" t="s">
        <v>1585</v>
      </c>
      <c r="C1268" s="906">
        <v>94402</v>
      </c>
    </row>
    <row r="1269" spans="2:3" x14ac:dyDescent="0.25">
      <c r="B1269" s="922" t="s">
        <v>2285</v>
      </c>
      <c r="C1269" s="906">
        <v>99111</v>
      </c>
    </row>
    <row r="1270" spans="2:3" x14ac:dyDescent="0.25">
      <c r="B1270" s="922" t="s">
        <v>2286</v>
      </c>
      <c r="C1270" s="906">
        <v>94511</v>
      </c>
    </row>
    <row r="1271" spans="2:3" x14ac:dyDescent="0.25">
      <c r="B1271" s="922" t="s">
        <v>3699</v>
      </c>
      <c r="C1271" s="906">
        <v>94517</v>
      </c>
    </row>
    <row r="1272" spans="2:3" x14ac:dyDescent="0.25">
      <c r="B1272" s="922" t="s">
        <v>1596</v>
      </c>
      <c r="C1272" s="906">
        <v>94512</v>
      </c>
    </row>
    <row r="1273" spans="2:3" x14ac:dyDescent="0.25">
      <c r="B1273" s="922" t="s">
        <v>2287</v>
      </c>
      <c r="C1273" s="906">
        <v>97211</v>
      </c>
    </row>
    <row r="1274" spans="2:3" x14ac:dyDescent="0.25">
      <c r="B1274" s="922" t="s">
        <v>3700</v>
      </c>
      <c r="C1274" s="906">
        <v>97217</v>
      </c>
    </row>
    <row r="1275" spans="2:3" x14ac:dyDescent="0.25">
      <c r="B1275" s="922" t="s">
        <v>1605</v>
      </c>
      <c r="C1275" s="906">
        <v>94601</v>
      </c>
    </row>
    <row r="1276" spans="2:3" x14ac:dyDescent="0.25">
      <c r="B1276" s="922" t="s">
        <v>3701</v>
      </c>
      <c r="C1276" s="906">
        <v>94604</v>
      </c>
    </row>
    <row r="1277" spans="2:3" x14ac:dyDescent="0.25">
      <c r="B1277" s="922" t="s">
        <v>1607</v>
      </c>
      <c r="C1277" s="906">
        <v>94606</v>
      </c>
    </row>
    <row r="1278" spans="2:3" x14ac:dyDescent="0.25">
      <c r="B1278" s="922" t="s">
        <v>3702</v>
      </c>
      <c r="C1278" s="906">
        <v>97213</v>
      </c>
    </row>
    <row r="1279" spans="2:3" x14ac:dyDescent="0.25">
      <c r="B1279" s="922" t="s">
        <v>2288</v>
      </c>
      <c r="C1279" s="906">
        <v>91811</v>
      </c>
    </row>
    <row r="1280" spans="2:3" x14ac:dyDescent="0.25">
      <c r="B1280" s="922" t="s">
        <v>3703</v>
      </c>
      <c r="C1280" s="906">
        <v>91812</v>
      </c>
    </row>
    <row r="1281" spans="2:3" x14ac:dyDescent="0.25">
      <c r="B1281" s="922" t="s">
        <v>3704</v>
      </c>
      <c r="C1281" s="906">
        <v>91813</v>
      </c>
    </row>
    <row r="1282" spans="2:3" x14ac:dyDescent="0.25">
      <c r="B1282" s="922" t="s">
        <v>3705</v>
      </c>
      <c r="C1282" s="906">
        <v>90617</v>
      </c>
    </row>
    <row r="1283" spans="2:3" x14ac:dyDescent="0.25">
      <c r="B1283" s="922" t="s">
        <v>3706</v>
      </c>
      <c r="C1283" s="906">
        <v>94127</v>
      </c>
    </row>
    <row r="1284" spans="2:3" x14ac:dyDescent="0.25">
      <c r="B1284" s="922" t="s">
        <v>2290</v>
      </c>
      <c r="C1284" s="906">
        <v>95621</v>
      </c>
    </row>
    <row r="1285" spans="2:3" x14ac:dyDescent="0.25">
      <c r="B1285" s="922" t="s">
        <v>3707</v>
      </c>
      <c r="C1285" s="906">
        <v>95617</v>
      </c>
    </row>
    <row r="1286" spans="2:3" x14ac:dyDescent="0.25">
      <c r="B1286" s="922" t="s">
        <v>3708</v>
      </c>
      <c r="C1286" s="906">
        <v>94121</v>
      </c>
    </row>
    <row r="1287" spans="2:3" x14ac:dyDescent="0.25">
      <c r="B1287" s="922" t="s">
        <v>3709</v>
      </c>
      <c r="C1287" s="906">
        <v>91251</v>
      </c>
    </row>
    <row r="1288" spans="2:3" x14ac:dyDescent="0.25">
      <c r="B1288" s="922" t="s">
        <v>2292</v>
      </c>
      <c r="C1288" s="906">
        <v>96831</v>
      </c>
    </row>
    <row r="1289" spans="2:3" x14ac:dyDescent="0.25">
      <c r="B1289" s="922" t="s">
        <v>2293</v>
      </c>
      <c r="C1289" s="906">
        <v>94251</v>
      </c>
    </row>
    <row r="1290" spans="2:3" x14ac:dyDescent="0.25">
      <c r="B1290" s="922" t="s">
        <v>1612</v>
      </c>
      <c r="C1290" s="906">
        <v>94701</v>
      </c>
    </row>
    <row r="1291" spans="2:3" x14ac:dyDescent="0.25">
      <c r="B1291" s="922" t="s">
        <v>3710</v>
      </c>
      <c r="C1291" s="906">
        <v>94704</v>
      </c>
    </row>
    <row r="1292" spans="2:3" x14ac:dyDescent="0.25">
      <c r="B1292" s="922" t="s">
        <v>2294</v>
      </c>
      <c r="C1292" s="906">
        <v>91014</v>
      </c>
    </row>
    <row r="1293" spans="2:3" x14ac:dyDescent="0.25">
      <c r="B1293" s="922" t="s">
        <v>2295</v>
      </c>
      <c r="C1293" s="906">
        <v>96731</v>
      </c>
    </row>
    <row r="1294" spans="2:3" x14ac:dyDescent="0.25">
      <c r="B1294" s="922" t="s">
        <v>1778</v>
      </c>
      <c r="C1294" s="906">
        <v>96733</v>
      </c>
    </row>
    <row r="1295" spans="2:3" x14ac:dyDescent="0.25">
      <c r="B1295" s="922" t="s">
        <v>2296</v>
      </c>
      <c r="C1295" s="906">
        <v>99202</v>
      </c>
    </row>
    <row r="1296" spans="2:3" x14ac:dyDescent="0.25">
      <c r="B1296" s="922" t="s">
        <v>2297</v>
      </c>
      <c r="C1296" s="906">
        <v>94011</v>
      </c>
    </row>
    <row r="1297" spans="2:3" x14ac:dyDescent="0.25">
      <c r="B1297" s="922" t="s">
        <v>2298</v>
      </c>
      <c r="C1297" s="906">
        <v>92631</v>
      </c>
    </row>
    <row r="1298" spans="2:3" x14ac:dyDescent="0.25">
      <c r="B1298" s="922" t="s">
        <v>1682</v>
      </c>
      <c r="C1298" s="906">
        <v>95733</v>
      </c>
    </row>
    <row r="1299" spans="2:3" x14ac:dyDescent="0.25">
      <c r="B1299" s="922" t="s">
        <v>3711</v>
      </c>
      <c r="C1299" s="906">
        <v>95413</v>
      </c>
    </row>
    <row r="1300" spans="2:3" x14ac:dyDescent="0.25">
      <c r="B1300" s="922" t="s">
        <v>3712</v>
      </c>
      <c r="C1300" s="906">
        <v>98013</v>
      </c>
    </row>
    <row r="1301" spans="2:3" x14ac:dyDescent="0.25">
      <c r="B1301" s="922" t="s">
        <v>3713</v>
      </c>
      <c r="C1301" s="906">
        <v>99613</v>
      </c>
    </row>
    <row r="1302" spans="2:3" x14ac:dyDescent="0.25">
      <c r="B1302" s="922" t="s">
        <v>2299</v>
      </c>
      <c r="C1302" s="906">
        <v>91431</v>
      </c>
    </row>
    <row r="1303" spans="2:3" x14ac:dyDescent="0.25">
      <c r="B1303" s="922" t="s">
        <v>2300</v>
      </c>
      <c r="C1303" s="906">
        <v>96041</v>
      </c>
    </row>
    <row r="1304" spans="2:3" x14ac:dyDescent="0.25">
      <c r="B1304" s="922" t="s">
        <v>1615</v>
      </c>
      <c r="C1304" s="906">
        <v>94801</v>
      </c>
    </row>
    <row r="1305" spans="2:3" x14ac:dyDescent="0.25">
      <c r="B1305" s="922" t="s">
        <v>3714</v>
      </c>
      <c r="C1305" s="906">
        <v>94804</v>
      </c>
    </row>
    <row r="1306" spans="2:3" x14ac:dyDescent="0.25">
      <c r="B1306" s="922" t="s">
        <v>2301</v>
      </c>
      <c r="C1306" s="906">
        <v>91661</v>
      </c>
    </row>
    <row r="1307" spans="2:3" x14ac:dyDescent="0.25">
      <c r="B1307" s="922" t="s">
        <v>2302</v>
      </c>
      <c r="C1307" s="906">
        <v>99051</v>
      </c>
    </row>
    <row r="1308" spans="2:3" x14ac:dyDescent="0.25">
      <c r="B1308" s="922" t="s">
        <v>3478</v>
      </c>
      <c r="C1308" s="906">
        <v>99014</v>
      </c>
    </row>
    <row r="1309" spans="2:3" x14ac:dyDescent="0.25">
      <c r="B1309" s="922" t="s">
        <v>1618</v>
      </c>
      <c r="C1309" s="906">
        <v>94901</v>
      </c>
    </row>
    <row r="1310" spans="2:3" x14ac:dyDescent="0.25">
      <c r="B1310" s="922" t="s">
        <v>3715</v>
      </c>
      <c r="C1310" s="906">
        <v>98109</v>
      </c>
    </row>
    <row r="1311" spans="2:3" x14ac:dyDescent="0.25">
      <c r="B1311" s="922" t="s">
        <v>3716</v>
      </c>
      <c r="C1311" s="906">
        <v>98205</v>
      </c>
    </row>
    <row r="1312" spans="2:3" x14ac:dyDescent="0.25">
      <c r="B1312" s="922" t="s">
        <v>2303</v>
      </c>
      <c r="C1312" s="906">
        <v>96661</v>
      </c>
    </row>
    <row r="1313" spans="2:3" x14ac:dyDescent="0.25">
      <c r="B1313" s="922" t="s">
        <v>1627</v>
      </c>
      <c r="C1313" s="906">
        <v>95001</v>
      </c>
    </row>
    <row r="1314" spans="2:3" x14ac:dyDescent="0.25">
      <c r="B1314" s="922" t="s">
        <v>3479</v>
      </c>
      <c r="C1314" s="906">
        <v>95017</v>
      </c>
    </row>
    <row r="1315" spans="2:3" x14ac:dyDescent="0.25">
      <c r="B1315" s="922" t="s">
        <v>2304</v>
      </c>
      <c r="C1315" s="906">
        <v>96711</v>
      </c>
    </row>
    <row r="1316" spans="2:3" x14ac:dyDescent="0.25">
      <c r="B1316" s="922" t="s">
        <v>2305</v>
      </c>
      <c r="C1316" s="906">
        <v>94131</v>
      </c>
    </row>
    <row r="1317" spans="2:3" x14ac:dyDescent="0.25">
      <c r="B1317" s="922" t="s">
        <v>2306</v>
      </c>
      <c r="C1317" s="906">
        <v>95841</v>
      </c>
    </row>
    <row r="1318" spans="2:3" x14ac:dyDescent="0.25">
      <c r="B1318" s="922" t="s">
        <v>2307</v>
      </c>
      <c r="C1318" s="906">
        <v>90511</v>
      </c>
    </row>
    <row r="1319" spans="2:3" x14ac:dyDescent="0.25">
      <c r="B1319" s="922" t="s">
        <v>1634</v>
      </c>
      <c r="C1319" s="906">
        <v>95101</v>
      </c>
    </row>
    <row r="1320" spans="2:3" x14ac:dyDescent="0.25">
      <c r="B1320" s="922" t="s">
        <v>3717</v>
      </c>
      <c r="C1320" s="906">
        <v>95104</v>
      </c>
    </row>
    <row r="1321" spans="2:3" x14ac:dyDescent="0.25">
      <c r="B1321" s="922" t="s">
        <v>3480</v>
      </c>
      <c r="C1321" s="906">
        <v>95110</v>
      </c>
    </row>
    <row r="1322" spans="2:3" x14ac:dyDescent="0.25">
      <c r="B1322" s="922" t="s">
        <v>1652</v>
      </c>
      <c r="C1322" s="906">
        <v>95201</v>
      </c>
    </row>
    <row r="1323" spans="2:3" x14ac:dyDescent="0.25">
      <c r="B1323" s="922" t="s">
        <v>3718</v>
      </c>
      <c r="C1323" s="906">
        <v>95204</v>
      </c>
    </row>
    <row r="1324" spans="2:3" x14ac:dyDescent="0.25">
      <c r="B1324" s="922" t="s">
        <v>2308</v>
      </c>
      <c r="C1324" s="906">
        <v>99921</v>
      </c>
    </row>
    <row r="1325" spans="2:3" x14ac:dyDescent="0.25">
      <c r="B1325" s="922" t="s">
        <v>1586</v>
      </c>
      <c r="C1325" s="906">
        <v>94408</v>
      </c>
    </row>
    <row r="1326" spans="2:3" x14ac:dyDescent="0.25">
      <c r="B1326" s="922" t="s">
        <v>2309</v>
      </c>
      <c r="C1326" s="906">
        <v>91331</v>
      </c>
    </row>
    <row r="1327" spans="2:3" x14ac:dyDescent="0.25">
      <c r="B1327" s="922" t="s">
        <v>2310</v>
      </c>
      <c r="C1327" s="906">
        <v>93121</v>
      </c>
    </row>
    <row r="1328" spans="2:3" x14ac:dyDescent="0.25">
      <c r="B1328" s="922" t="s">
        <v>3719</v>
      </c>
      <c r="C1328" s="906">
        <v>93127</v>
      </c>
    </row>
    <row r="1329" spans="2:3" x14ac:dyDescent="0.25">
      <c r="B1329" s="922" t="s">
        <v>2311</v>
      </c>
      <c r="C1329" s="906">
        <v>95171</v>
      </c>
    </row>
    <row r="1330" spans="2:3" x14ac:dyDescent="0.25">
      <c r="B1330" s="922" t="s">
        <v>2312</v>
      </c>
      <c r="C1330" s="906">
        <v>93421</v>
      </c>
    </row>
    <row r="1331" spans="2:3" x14ac:dyDescent="0.25">
      <c r="B1331" s="922" t="s">
        <v>3720</v>
      </c>
      <c r="C1331" s="906">
        <v>99110</v>
      </c>
    </row>
    <row r="1332" spans="2:3" x14ac:dyDescent="0.25">
      <c r="B1332" s="922" t="s">
        <v>3721</v>
      </c>
      <c r="C1332" s="906">
        <v>99109</v>
      </c>
    </row>
    <row r="1333" spans="2:3" x14ac:dyDescent="0.25">
      <c r="B1333" s="922" t="s">
        <v>2313</v>
      </c>
      <c r="C1333" s="906">
        <v>92821</v>
      </c>
    </row>
    <row r="1334" spans="2:3" x14ac:dyDescent="0.25">
      <c r="B1334" s="922" t="s">
        <v>2314</v>
      </c>
      <c r="C1334" s="906">
        <v>98521</v>
      </c>
    </row>
    <row r="1335" spans="2:3" x14ac:dyDescent="0.25">
      <c r="B1335" s="922" t="s">
        <v>3722</v>
      </c>
      <c r="C1335" s="906">
        <v>92327</v>
      </c>
    </row>
    <row r="1336" spans="2:3" x14ac:dyDescent="0.25">
      <c r="B1336" s="922" t="s">
        <v>3723</v>
      </c>
      <c r="C1336" s="906">
        <v>92321</v>
      </c>
    </row>
    <row r="1337" spans="2:3" x14ac:dyDescent="0.25">
      <c r="B1337" s="922" t="s">
        <v>2316</v>
      </c>
      <c r="C1337" s="906">
        <v>95411</v>
      </c>
    </row>
    <row r="1338" spans="2:3" x14ac:dyDescent="0.25">
      <c r="B1338" s="922" t="s">
        <v>3724</v>
      </c>
      <c r="C1338" s="906">
        <v>95415</v>
      </c>
    </row>
    <row r="1339" spans="2:3" x14ac:dyDescent="0.25">
      <c r="B1339" s="922" t="s">
        <v>2317</v>
      </c>
      <c r="C1339" s="906">
        <v>92851</v>
      </c>
    </row>
    <row r="1340" spans="2:3" x14ac:dyDescent="0.25">
      <c r="B1340" s="922" t="s">
        <v>2318</v>
      </c>
      <c r="C1340" s="906">
        <v>99291</v>
      </c>
    </row>
    <row r="1341" spans="2:3" x14ac:dyDescent="0.25">
      <c r="B1341" s="922" t="s">
        <v>2319</v>
      </c>
      <c r="C1341" s="906">
        <v>96541</v>
      </c>
    </row>
    <row r="1342" spans="2:3" x14ac:dyDescent="0.25">
      <c r="B1342" s="922" t="s">
        <v>2320</v>
      </c>
      <c r="C1342" s="906">
        <v>95431</v>
      </c>
    </row>
    <row r="1343" spans="2:3" x14ac:dyDescent="0.25">
      <c r="B1343" s="922" t="s">
        <v>2321</v>
      </c>
      <c r="C1343" s="906">
        <v>98131</v>
      </c>
    </row>
    <row r="1344" spans="2:3" x14ac:dyDescent="0.25">
      <c r="B1344" s="922" t="s">
        <v>3725</v>
      </c>
      <c r="C1344" s="906">
        <v>92461</v>
      </c>
    </row>
    <row r="1345" spans="2:3" x14ac:dyDescent="0.25">
      <c r="B1345" s="922" t="s">
        <v>3726</v>
      </c>
      <c r="C1345" s="906">
        <v>92427</v>
      </c>
    </row>
    <row r="1346" spans="2:3" x14ac:dyDescent="0.25">
      <c r="B1346" s="922" t="s">
        <v>2323</v>
      </c>
      <c r="C1346" s="906">
        <v>98051</v>
      </c>
    </row>
    <row r="1347" spans="2:3" x14ac:dyDescent="0.25">
      <c r="B1347" s="922" t="s">
        <v>1273</v>
      </c>
      <c r="C1347" s="906">
        <v>91102</v>
      </c>
    </row>
    <row r="1348" spans="2:3" x14ac:dyDescent="0.25">
      <c r="B1348" s="922" t="s">
        <v>2324</v>
      </c>
      <c r="C1348" s="906">
        <v>94521</v>
      </c>
    </row>
    <row r="1349" spans="2:3" x14ac:dyDescent="0.25">
      <c r="B1349" s="922" t="s">
        <v>3727</v>
      </c>
      <c r="C1349" s="906">
        <v>94527</v>
      </c>
    </row>
    <row r="1350" spans="2:3" x14ac:dyDescent="0.25">
      <c r="B1350" s="922" t="s">
        <v>2325</v>
      </c>
      <c r="C1350" s="906">
        <v>98311</v>
      </c>
    </row>
    <row r="1351" spans="2:3" x14ac:dyDescent="0.25">
      <c r="B1351" s="922" t="s">
        <v>3728</v>
      </c>
      <c r="C1351" s="906">
        <v>98313</v>
      </c>
    </row>
    <row r="1352" spans="2:3" x14ac:dyDescent="0.25">
      <c r="B1352" s="922" t="s">
        <v>1928</v>
      </c>
      <c r="C1352" s="906">
        <v>98308</v>
      </c>
    </row>
    <row r="1353" spans="2:3" x14ac:dyDescent="0.25">
      <c r="B1353" s="922" t="s">
        <v>2326</v>
      </c>
      <c r="C1353" s="906">
        <v>92341</v>
      </c>
    </row>
    <row r="1354" spans="2:3" x14ac:dyDescent="0.25">
      <c r="B1354" s="922" t="s">
        <v>1657</v>
      </c>
      <c r="C1354" s="906">
        <v>95301</v>
      </c>
    </row>
    <row r="1355" spans="2:3" x14ac:dyDescent="0.25">
      <c r="B1355" s="922" t="s">
        <v>2327</v>
      </c>
      <c r="C1355" s="906">
        <v>91002</v>
      </c>
    </row>
    <row r="1356" spans="2:3" x14ac:dyDescent="0.25">
      <c r="B1356" s="922" t="s">
        <v>2328</v>
      </c>
      <c r="C1356" s="906">
        <v>91451</v>
      </c>
    </row>
    <row r="1357" spans="2:3" x14ac:dyDescent="0.25">
      <c r="B1357" s="922" t="s">
        <v>1661</v>
      </c>
      <c r="C1357" s="906">
        <v>95401</v>
      </c>
    </row>
    <row r="1358" spans="2:3" x14ac:dyDescent="0.25">
      <c r="B1358" s="922" t="s">
        <v>3729</v>
      </c>
      <c r="C1358" s="906">
        <v>95404</v>
      </c>
    </row>
    <row r="1359" spans="2:3" x14ac:dyDescent="0.25">
      <c r="B1359" s="922" t="s">
        <v>1320</v>
      </c>
      <c r="C1359" s="906">
        <v>91423</v>
      </c>
    </row>
    <row r="1360" spans="2:3" x14ac:dyDescent="0.25">
      <c r="B1360" s="922" t="s">
        <v>3730</v>
      </c>
      <c r="C1360" s="906">
        <v>91457</v>
      </c>
    </row>
    <row r="1361" spans="2:3" x14ac:dyDescent="0.25">
      <c r="B1361" s="922" t="s">
        <v>3731</v>
      </c>
      <c r="C1361" s="906">
        <v>90861</v>
      </c>
    </row>
    <row r="1362" spans="2:3" x14ac:dyDescent="0.25">
      <c r="B1362" s="922" t="s">
        <v>2330</v>
      </c>
      <c r="C1362" s="906">
        <v>93451</v>
      </c>
    </row>
    <row r="1363" spans="2:3" x14ac:dyDescent="0.25">
      <c r="B1363" s="922" t="s">
        <v>2331</v>
      </c>
      <c r="C1363" s="906">
        <v>92931</v>
      </c>
    </row>
    <row r="1364" spans="2:3" x14ac:dyDescent="0.25">
      <c r="B1364" s="922" t="s">
        <v>3732</v>
      </c>
      <c r="C1364" s="906">
        <v>92917</v>
      </c>
    </row>
    <row r="1365" spans="2:3" x14ac:dyDescent="0.25">
      <c r="B1365" s="922" t="s">
        <v>2332</v>
      </c>
      <c r="C1365" s="906">
        <v>97631</v>
      </c>
    </row>
    <row r="1366" spans="2:3" x14ac:dyDescent="0.25">
      <c r="B1366" s="922" t="s">
        <v>3733</v>
      </c>
      <c r="C1366" s="906">
        <v>97637</v>
      </c>
    </row>
    <row r="1367" spans="2:3" x14ac:dyDescent="0.25">
      <c r="B1367" s="922" t="s">
        <v>2333</v>
      </c>
      <c r="C1367" s="906">
        <v>90421</v>
      </c>
    </row>
    <row r="1368" spans="2:3" x14ac:dyDescent="0.25">
      <c r="B1368" s="922" t="s">
        <v>2334</v>
      </c>
      <c r="C1368" s="906">
        <v>94321</v>
      </c>
    </row>
    <row r="1369" spans="2:3" x14ac:dyDescent="0.25">
      <c r="B1369" s="922" t="s">
        <v>1670</v>
      </c>
      <c r="C1369" s="906">
        <v>95501</v>
      </c>
    </row>
    <row r="1370" spans="2:3" x14ac:dyDescent="0.25">
      <c r="B1370" s="922" t="s">
        <v>3734</v>
      </c>
      <c r="C1370" s="906">
        <v>95504</v>
      </c>
    </row>
    <row r="1371" spans="2:3" x14ac:dyDescent="0.25">
      <c r="B1371" s="922" t="s">
        <v>2335</v>
      </c>
      <c r="C1371" s="906">
        <v>95511</v>
      </c>
    </row>
    <row r="1372" spans="2:3" x14ac:dyDescent="0.25">
      <c r="B1372" s="922" t="s">
        <v>3735</v>
      </c>
      <c r="C1372" s="906">
        <v>95517</v>
      </c>
    </row>
    <row r="1373" spans="2:3" x14ac:dyDescent="0.25">
      <c r="B1373" s="922" t="s">
        <v>1673</v>
      </c>
      <c r="C1373" s="906">
        <v>95513</v>
      </c>
    </row>
    <row r="1374" spans="2:3" x14ac:dyDescent="0.25">
      <c r="B1374" s="922" t="s">
        <v>2336</v>
      </c>
      <c r="C1374" s="906">
        <v>92651</v>
      </c>
    </row>
    <row r="1375" spans="2:3" x14ac:dyDescent="0.25">
      <c r="B1375" s="922" t="s">
        <v>2337</v>
      </c>
      <c r="C1375" s="906">
        <v>94261</v>
      </c>
    </row>
    <row r="1376" spans="2:3" x14ac:dyDescent="0.25">
      <c r="B1376" s="922" t="s">
        <v>2338</v>
      </c>
      <c r="C1376" s="906">
        <v>98431</v>
      </c>
    </row>
    <row r="1377" spans="2:3" x14ac:dyDescent="0.25">
      <c r="B1377" s="922" t="s">
        <v>3736</v>
      </c>
      <c r="C1377" s="906">
        <v>98404</v>
      </c>
    </row>
    <row r="1378" spans="2:3" x14ac:dyDescent="0.25">
      <c r="B1378" s="922" t="s">
        <v>3737</v>
      </c>
      <c r="C1378" s="906">
        <v>91841</v>
      </c>
    </row>
    <row r="1379" spans="2:3" x14ac:dyDescent="0.25">
      <c r="B1379" s="922" t="s">
        <v>2340</v>
      </c>
      <c r="C1379" s="906">
        <v>93521</v>
      </c>
    </row>
    <row r="1380" spans="2:3" x14ac:dyDescent="0.25">
      <c r="B1380" s="922" t="s">
        <v>3738</v>
      </c>
      <c r="C1380" s="906">
        <v>93527</v>
      </c>
    </row>
    <row r="1381" spans="2:3" x14ac:dyDescent="0.25">
      <c r="B1381" s="922" t="s">
        <v>2341</v>
      </c>
      <c r="C1381" s="906">
        <v>93661</v>
      </c>
    </row>
    <row r="1382" spans="2:3" x14ac:dyDescent="0.25">
      <c r="B1382" s="922" t="s">
        <v>1754</v>
      </c>
      <c r="C1382" s="906">
        <v>96508</v>
      </c>
    </row>
    <row r="1383" spans="2:3" x14ac:dyDescent="0.25">
      <c r="B1383" s="922" t="s">
        <v>2342</v>
      </c>
      <c r="C1383" s="906">
        <v>99841</v>
      </c>
    </row>
    <row r="1384" spans="2:3" x14ac:dyDescent="0.25">
      <c r="B1384" s="922" t="s">
        <v>1858</v>
      </c>
      <c r="C1384" s="906">
        <v>97802</v>
      </c>
    </row>
    <row r="1385" spans="2:3" x14ac:dyDescent="0.25">
      <c r="B1385" s="922" t="s">
        <v>2343</v>
      </c>
      <c r="C1385" s="906">
        <v>97811</v>
      </c>
    </row>
    <row r="1386" spans="2:3" x14ac:dyDescent="0.25">
      <c r="B1386" s="922" t="s">
        <v>3739</v>
      </c>
      <c r="C1386" s="906">
        <v>97817</v>
      </c>
    </row>
    <row r="1387" spans="2:3" x14ac:dyDescent="0.25">
      <c r="B1387" s="922" t="s">
        <v>3740</v>
      </c>
      <c r="C1387" s="906">
        <v>97818</v>
      </c>
    </row>
    <row r="1388" spans="2:3" x14ac:dyDescent="0.25">
      <c r="B1388" s="922" t="s">
        <v>2344</v>
      </c>
      <c r="C1388" s="906">
        <v>93341</v>
      </c>
    </row>
    <row r="1389" spans="2:3" x14ac:dyDescent="0.25">
      <c r="B1389" s="922" t="s">
        <v>1675</v>
      </c>
      <c r="C1389" s="906">
        <v>95601</v>
      </c>
    </row>
    <row r="1390" spans="2:3" x14ac:dyDescent="0.25">
      <c r="B1390" s="922" t="s">
        <v>2345</v>
      </c>
      <c r="C1390" s="906">
        <v>97941</v>
      </c>
    </row>
    <row r="1391" spans="2:3" x14ac:dyDescent="0.25">
      <c r="B1391" s="922" t="s">
        <v>3741</v>
      </c>
      <c r="C1391" s="906">
        <v>97947</v>
      </c>
    </row>
    <row r="1392" spans="2:3" x14ac:dyDescent="0.25">
      <c r="B1392" s="922" t="s">
        <v>1679</v>
      </c>
      <c r="C1392" s="906">
        <v>95701</v>
      </c>
    </row>
    <row r="1393" spans="2:3" x14ac:dyDescent="0.25">
      <c r="B1393" s="922" t="s">
        <v>1884</v>
      </c>
      <c r="C1393" s="906">
        <v>97948</v>
      </c>
    </row>
    <row r="1394" spans="2:3" x14ac:dyDescent="0.25">
      <c r="B1394" s="922" t="s">
        <v>2346</v>
      </c>
      <c r="C1394" s="906">
        <v>94421</v>
      </c>
    </row>
    <row r="1395" spans="2:3" x14ac:dyDescent="0.25">
      <c r="B1395" s="922" t="s">
        <v>3742</v>
      </c>
      <c r="C1395" s="906">
        <v>94427</v>
      </c>
    </row>
    <row r="1396" spans="2:3" x14ac:dyDescent="0.25">
      <c r="B1396" s="922" t="s">
        <v>3743</v>
      </c>
      <c r="C1396" s="906">
        <v>94428</v>
      </c>
    </row>
    <row r="1397" spans="2:3" x14ac:dyDescent="0.25">
      <c r="B1397" s="922" t="s">
        <v>2347</v>
      </c>
      <c r="C1397" s="906">
        <v>93191</v>
      </c>
    </row>
    <row r="1398" spans="2:3" x14ac:dyDescent="0.25">
      <c r="B1398" s="922" t="s">
        <v>2348</v>
      </c>
      <c r="C1398" s="906">
        <v>91831</v>
      </c>
    </row>
    <row r="1399" spans="2:3" x14ac:dyDescent="0.25">
      <c r="B1399" s="922" t="s">
        <v>2349</v>
      </c>
      <c r="C1399" s="906">
        <v>92831</v>
      </c>
    </row>
    <row r="1400" spans="2:3" x14ac:dyDescent="0.25">
      <c r="B1400" s="922" t="s">
        <v>2350</v>
      </c>
      <c r="C1400" s="906">
        <v>95911</v>
      </c>
    </row>
    <row r="1401" spans="2:3" x14ac:dyDescent="0.25">
      <c r="B1401" s="922" t="s">
        <v>3744</v>
      </c>
      <c r="C1401" s="906">
        <v>95917</v>
      </c>
    </row>
    <row r="1402" spans="2:3" x14ac:dyDescent="0.25">
      <c r="B1402" s="922" t="s">
        <v>2351</v>
      </c>
      <c r="C1402" s="906">
        <v>95711</v>
      </c>
    </row>
    <row r="1403" spans="2:3" x14ac:dyDescent="0.25">
      <c r="B1403" s="922" t="s">
        <v>2352</v>
      </c>
      <c r="C1403" s="906">
        <v>95721</v>
      </c>
    </row>
    <row r="1404" spans="2:3" x14ac:dyDescent="0.25">
      <c r="B1404" s="922" t="s">
        <v>2353</v>
      </c>
      <c r="C1404" s="906">
        <v>99021</v>
      </c>
    </row>
    <row r="1405" spans="2:3" x14ac:dyDescent="0.25">
      <c r="B1405" s="922" t="s">
        <v>3745</v>
      </c>
      <c r="C1405" s="906">
        <v>95802</v>
      </c>
    </row>
    <row r="1406" spans="2:3" x14ac:dyDescent="0.25">
      <c r="B1406" s="922" t="s">
        <v>1683</v>
      </c>
      <c r="C1406" s="906">
        <v>95801</v>
      </c>
    </row>
    <row r="1407" spans="2:3" x14ac:dyDescent="0.25">
      <c r="B1407" s="922" t="s">
        <v>3746</v>
      </c>
      <c r="C1407" s="906">
        <v>95804</v>
      </c>
    </row>
    <row r="1408" spans="2:3" x14ac:dyDescent="0.25">
      <c r="B1408" s="922" t="s">
        <v>3747</v>
      </c>
      <c r="C1408" s="906">
        <v>90092</v>
      </c>
    </row>
    <row r="1409" spans="2:3" x14ac:dyDescent="0.25">
      <c r="B1409" s="922" t="s">
        <v>2354</v>
      </c>
      <c r="C1409" s="906">
        <v>99081</v>
      </c>
    </row>
    <row r="1410" spans="2:3" x14ac:dyDescent="0.25">
      <c r="B1410" s="922" t="s">
        <v>2355</v>
      </c>
      <c r="C1410" s="906">
        <v>96071</v>
      </c>
    </row>
    <row r="1411" spans="2:3" x14ac:dyDescent="0.25">
      <c r="B1411" s="922" t="s">
        <v>1542</v>
      </c>
      <c r="C1411" s="906">
        <v>94002</v>
      </c>
    </row>
    <row r="1412" spans="2:3" x14ac:dyDescent="0.25">
      <c r="B1412" s="922" t="s">
        <v>2356</v>
      </c>
      <c r="C1412" s="906">
        <v>97840</v>
      </c>
    </row>
    <row r="1413" spans="2:3" x14ac:dyDescent="0.25">
      <c r="B1413" s="922" t="s">
        <v>3748</v>
      </c>
      <c r="C1413" s="906">
        <v>97847</v>
      </c>
    </row>
    <row r="1414" spans="2:3" x14ac:dyDescent="0.25">
      <c r="B1414" s="922" t="s">
        <v>2357</v>
      </c>
      <c r="C1414" s="906">
        <v>97921</v>
      </c>
    </row>
    <row r="1415" spans="2:3" x14ac:dyDescent="0.25">
      <c r="B1415" s="922" t="s">
        <v>2358</v>
      </c>
      <c r="C1415" s="906">
        <v>95221</v>
      </c>
    </row>
    <row r="1416" spans="2:3" x14ac:dyDescent="0.25">
      <c r="B1416" s="922" t="s">
        <v>2359</v>
      </c>
      <c r="C1416" s="906">
        <v>93610</v>
      </c>
    </row>
    <row r="1417" spans="2:3" x14ac:dyDescent="0.25">
      <c r="B1417" s="922" t="s">
        <v>3749</v>
      </c>
      <c r="C1417" s="906">
        <v>95901</v>
      </c>
    </row>
    <row r="1418" spans="2:3" x14ac:dyDescent="0.25">
      <c r="B1418" s="922" t="s">
        <v>2360</v>
      </c>
      <c r="C1418" s="906">
        <v>90114</v>
      </c>
    </row>
    <row r="1419" spans="2:3" x14ac:dyDescent="0.25">
      <c r="B1419" s="922" t="s">
        <v>1698</v>
      </c>
      <c r="C1419" s="906">
        <v>96001</v>
      </c>
    </row>
    <row r="1420" spans="2:3" x14ac:dyDescent="0.25">
      <c r="B1420" s="922" t="s">
        <v>3750</v>
      </c>
      <c r="C1420" s="906">
        <v>96004</v>
      </c>
    </row>
    <row r="1421" spans="2:3" x14ac:dyDescent="0.25">
      <c r="B1421" s="922" t="s">
        <v>3751</v>
      </c>
      <c r="C1421" s="906">
        <v>96008</v>
      </c>
    </row>
    <row r="1422" spans="2:3" x14ac:dyDescent="0.25">
      <c r="B1422" s="922" t="s">
        <v>1276</v>
      </c>
      <c r="C1422" s="906">
        <v>91108</v>
      </c>
    </row>
    <row r="1423" spans="2:3" x14ac:dyDescent="0.25">
      <c r="B1423" s="922" t="s">
        <v>3752</v>
      </c>
      <c r="C1423" s="906">
        <v>94941</v>
      </c>
    </row>
    <row r="1424" spans="2:3" x14ac:dyDescent="0.25">
      <c r="B1424" s="922" t="s">
        <v>2361</v>
      </c>
      <c r="C1424" s="906">
        <v>95122</v>
      </c>
    </row>
    <row r="1425" spans="2:3" x14ac:dyDescent="0.25">
      <c r="B1425" s="922" t="s">
        <v>3753</v>
      </c>
      <c r="C1425" s="906">
        <v>92607</v>
      </c>
    </row>
    <row r="1426" spans="2:3" x14ac:dyDescent="0.25">
      <c r="B1426" s="922" t="s">
        <v>2362</v>
      </c>
      <c r="C1426" s="906">
        <v>96431</v>
      </c>
    </row>
    <row r="1427" spans="2:3" x14ac:dyDescent="0.25">
      <c r="B1427" s="922" t="s">
        <v>3483</v>
      </c>
      <c r="C1427" s="906">
        <v>90709</v>
      </c>
    </row>
    <row r="1428" spans="2:3" x14ac:dyDescent="0.25">
      <c r="B1428" s="922" t="s">
        <v>2363</v>
      </c>
      <c r="C1428" s="906">
        <v>91341</v>
      </c>
    </row>
    <row r="1429" spans="2:3" x14ac:dyDescent="0.25">
      <c r="B1429" s="922" t="s">
        <v>2364</v>
      </c>
      <c r="C1429" s="906">
        <v>92941</v>
      </c>
    </row>
    <row r="1430" spans="2:3" x14ac:dyDescent="0.25">
      <c r="B1430" s="922" t="s">
        <v>2365</v>
      </c>
      <c r="C1430" s="906">
        <v>94551</v>
      </c>
    </row>
    <row r="1431" spans="2:3" x14ac:dyDescent="0.25">
      <c r="B1431" s="922" t="s">
        <v>2366</v>
      </c>
      <c r="C1431" s="906">
        <v>99022</v>
      </c>
    </row>
    <row r="1432" spans="2:3" x14ac:dyDescent="0.25">
      <c r="B1432" s="922" t="s">
        <v>2367</v>
      </c>
      <c r="C1432" s="906">
        <v>96031</v>
      </c>
    </row>
    <row r="1433" spans="2:3" x14ac:dyDescent="0.25">
      <c r="B1433" s="922" t="s">
        <v>2368</v>
      </c>
      <c r="C1433" s="906">
        <v>98414</v>
      </c>
    </row>
    <row r="1434" spans="2:3" x14ac:dyDescent="0.25">
      <c r="B1434" s="922" t="s">
        <v>1714</v>
      </c>
      <c r="C1434" s="906">
        <v>96101</v>
      </c>
    </row>
    <row r="1435" spans="2:3" x14ac:dyDescent="0.25">
      <c r="B1435" s="922" t="s">
        <v>3754</v>
      </c>
      <c r="C1435" s="906">
        <v>96102</v>
      </c>
    </row>
    <row r="1436" spans="2:3" x14ac:dyDescent="0.25">
      <c r="B1436" s="922" t="s">
        <v>2369</v>
      </c>
      <c r="C1436" s="906">
        <v>93011</v>
      </c>
    </row>
    <row r="1437" spans="2:3" x14ac:dyDescent="0.25">
      <c r="B1437" s="922" t="s">
        <v>2370</v>
      </c>
      <c r="C1437" s="906">
        <v>99011</v>
      </c>
    </row>
    <row r="1438" spans="2:3" x14ac:dyDescent="0.25">
      <c r="B1438" s="922" t="s">
        <v>3755</v>
      </c>
      <c r="C1438" s="906">
        <v>99017</v>
      </c>
    </row>
    <row r="1439" spans="2:3" x14ac:dyDescent="0.25">
      <c r="B1439" s="922" t="s">
        <v>3756</v>
      </c>
      <c r="C1439" s="906">
        <v>99013</v>
      </c>
    </row>
    <row r="1440" spans="2:3" x14ac:dyDescent="0.25">
      <c r="B1440" s="922" t="s">
        <v>1718</v>
      </c>
      <c r="C1440" s="906">
        <v>96201</v>
      </c>
    </row>
    <row r="1441" spans="2:3" x14ac:dyDescent="0.25">
      <c r="B1441" s="922" t="s">
        <v>3757</v>
      </c>
      <c r="C1441" s="906">
        <v>96204</v>
      </c>
    </row>
    <row r="1442" spans="2:3" x14ac:dyDescent="0.25">
      <c r="B1442" s="922" t="s">
        <v>2371</v>
      </c>
      <c r="C1442" s="906">
        <v>91161</v>
      </c>
    </row>
    <row r="1443" spans="2:3" x14ac:dyDescent="0.25">
      <c r="B1443" s="922" t="s">
        <v>1725</v>
      </c>
      <c r="C1443" s="906">
        <v>96301</v>
      </c>
    </row>
    <row r="1444" spans="2:3" x14ac:dyDescent="0.25">
      <c r="B1444" s="922" t="s">
        <v>3758</v>
      </c>
      <c r="C1444" s="906">
        <v>96304</v>
      </c>
    </row>
    <row r="1445" spans="2:3" x14ac:dyDescent="0.25">
      <c r="B1445" s="922" t="s">
        <v>1729</v>
      </c>
      <c r="C1445" s="906">
        <v>96310</v>
      </c>
    </row>
    <row r="1446" spans="2:3" x14ac:dyDescent="0.25">
      <c r="B1446" s="922" t="s">
        <v>3759</v>
      </c>
      <c r="C1446" s="906">
        <v>96305</v>
      </c>
    </row>
    <row r="1447" spans="2:3" x14ac:dyDescent="0.25">
      <c r="B1447" s="922" t="s">
        <v>2372</v>
      </c>
      <c r="C1447" s="906">
        <v>94921</v>
      </c>
    </row>
    <row r="1448" spans="2:3" x14ac:dyDescent="0.25">
      <c r="B1448" s="922" t="s">
        <v>3760</v>
      </c>
      <c r="C1448" s="906">
        <v>94927</v>
      </c>
    </row>
    <row r="1449" spans="2:3" x14ac:dyDescent="0.25">
      <c r="B1449" s="922" t="s">
        <v>1623</v>
      </c>
      <c r="C1449" s="906">
        <v>94923</v>
      </c>
    </row>
    <row r="1450" spans="2:3" x14ac:dyDescent="0.25">
      <c r="B1450" s="922" t="s">
        <v>2373</v>
      </c>
      <c r="C1450" s="906">
        <v>91611</v>
      </c>
    </row>
    <row r="1451" spans="2:3" x14ac:dyDescent="0.25">
      <c r="B1451" s="922" t="s">
        <v>2374</v>
      </c>
      <c r="C1451" s="906">
        <v>91231</v>
      </c>
    </row>
    <row r="1452" spans="2:3" x14ac:dyDescent="0.25">
      <c r="B1452" s="922" t="s">
        <v>3761</v>
      </c>
      <c r="C1452" s="906">
        <v>91217</v>
      </c>
    </row>
    <row r="1453" spans="2:3" x14ac:dyDescent="0.25">
      <c r="B1453" s="922" t="s">
        <v>1302</v>
      </c>
      <c r="C1453" s="906">
        <v>91233</v>
      </c>
    </row>
    <row r="1454" spans="2:3" x14ac:dyDescent="0.25">
      <c r="B1454" s="922" t="s">
        <v>2375</v>
      </c>
      <c r="C1454" s="906">
        <v>99206</v>
      </c>
    </row>
    <row r="1455" spans="2:3" x14ac:dyDescent="0.25">
      <c r="B1455" s="922" t="s">
        <v>2376</v>
      </c>
      <c r="C1455" s="906">
        <v>90461</v>
      </c>
    </row>
    <row r="1456" spans="2:3" x14ac:dyDescent="0.25">
      <c r="B1456" s="922" t="s">
        <v>3762</v>
      </c>
      <c r="C1456" s="906">
        <v>98637</v>
      </c>
    </row>
    <row r="1457" spans="2:3" x14ac:dyDescent="0.25">
      <c r="B1457" s="922" t="s">
        <v>2378</v>
      </c>
      <c r="C1457" s="906">
        <v>96251</v>
      </c>
    </row>
    <row r="1458" spans="2:3" x14ac:dyDescent="0.25">
      <c r="B1458" s="922" t="s">
        <v>2379</v>
      </c>
      <c r="C1458" s="906">
        <v>99621</v>
      </c>
    </row>
    <row r="1459" spans="2:3" x14ac:dyDescent="0.25">
      <c r="B1459" s="922" t="s">
        <v>2380</v>
      </c>
      <c r="C1459" s="906">
        <v>91321</v>
      </c>
    </row>
    <row r="1460" spans="2:3" x14ac:dyDescent="0.25">
      <c r="B1460" s="922" t="s">
        <v>3763</v>
      </c>
      <c r="C1460" s="906">
        <v>98631</v>
      </c>
    </row>
    <row r="1461" spans="2:3" x14ac:dyDescent="0.25">
      <c r="B1461" s="922" t="s">
        <v>3764</v>
      </c>
      <c r="C1461" s="906">
        <v>93691</v>
      </c>
    </row>
    <row r="1462" spans="2:3" x14ac:dyDescent="0.25">
      <c r="B1462" s="922" t="s">
        <v>3765</v>
      </c>
      <c r="C1462" s="906">
        <v>99623</v>
      </c>
    </row>
    <row r="1463" spans="2:3" x14ac:dyDescent="0.25">
      <c r="B1463" s="922" t="s">
        <v>3766</v>
      </c>
      <c r="C1463" s="906">
        <v>91327</v>
      </c>
    </row>
    <row r="1464" spans="2:3" x14ac:dyDescent="0.25">
      <c r="B1464" s="922" t="s">
        <v>2382</v>
      </c>
      <c r="C1464" s="906">
        <v>94621</v>
      </c>
    </row>
    <row r="1465" spans="2:3" x14ac:dyDescent="0.25">
      <c r="B1465" s="922" t="s">
        <v>2383</v>
      </c>
      <c r="C1465" s="906">
        <v>92011</v>
      </c>
    </row>
    <row r="1466" spans="2:3" x14ac:dyDescent="0.25">
      <c r="B1466" s="922" t="s">
        <v>3767</v>
      </c>
      <c r="C1466" s="906">
        <v>92017</v>
      </c>
    </row>
    <row r="1467" spans="2:3" x14ac:dyDescent="0.25">
      <c r="B1467" s="922" t="s">
        <v>3768</v>
      </c>
      <c r="C1467" s="906">
        <v>99991</v>
      </c>
    </row>
    <row r="1468" spans="2:3" x14ac:dyDescent="0.25">
      <c r="B1468" s="922" t="s">
        <v>3769</v>
      </c>
      <c r="C1468" s="906">
        <v>99999</v>
      </c>
    </row>
    <row r="1469" spans="2:3" x14ac:dyDescent="0.25">
      <c r="B1469" s="922" t="s">
        <v>2384</v>
      </c>
      <c r="C1469" s="906">
        <v>92811</v>
      </c>
    </row>
    <row r="1470" spans="2:3" x14ac:dyDescent="0.25">
      <c r="B1470" s="922" t="s">
        <v>1367</v>
      </c>
      <c r="C1470" s="906">
        <v>92005</v>
      </c>
    </row>
    <row r="1471" spans="2:3" x14ac:dyDescent="0.25">
      <c r="B1471" s="922" t="s">
        <v>1740</v>
      </c>
      <c r="C1471" s="906">
        <v>96401</v>
      </c>
    </row>
    <row r="1472" spans="2:3" x14ac:dyDescent="0.25">
      <c r="B1472" s="922" t="s">
        <v>3770</v>
      </c>
      <c r="C1472" s="906">
        <v>96404</v>
      </c>
    </row>
    <row r="1473" spans="2:3" x14ac:dyDescent="0.25">
      <c r="B1473" s="922" t="s">
        <v>2385</v>
      </c>
      <c r="C1473" s="906">
        <v>96421</v>
      </c>
    </row>
    <row r="1474" spans="2:3" x14ac:dyDescent="0.25">
      <c r="B1474" s="922" t="s">
        <v>2386</v>
      </c>
      <c r="C1474" s="906">
        <v>91026</v>
      </c>
    </row>
    <row r="1475" spans="2:3" x14ac:dyDescent="0.25">
      <c r="B1475" s="922" t="s">
        <v>1663</v>
      </c>
      <c r="C1475" s="906">
        <v>95405</v>
      </c>
    </row>
    <row r="1476" spans="2:3" x14ac:dyDescent="0.25">
      <c r="B1476" s="922" t="s">
        <v>3771</v>
      </c>
      <c r="C1476" s="906">
        <v>94005</v>
      </c>
    </row>
    <row r="1477" spans="2:3" x14ac:dyDescent="0.25">
      <c r="B1477" s="922" t="s">
        <v>3772</v>
      </c>
      <c r="C1477" s="906">
        <v>95205</v>
      </c>
    </row>
    <row r="1478" spans="2:3" x14ac:dyDescent="0.25">
      <c r="B1478" s="922" t="s">
        <v>1403</v>
      </c>
      <c r="C1478" s="906">
        <v>92507</v>
      </c>
    </row>
    <row r="1479" spans="2:3" x14ac:dyDescent="0.25">
      <c r="B1479" s="922" t="s">
        <v>3773</v>
      </c>
      <c r="C1479" s="906">
        <v>92113</v>
      </c>
    </row>
    <row r="1480" spans="2:3" x14ac:dyDescent="0.25">
      <c r="B1480" s="922" t="s">
        <v>3774</v>
      </c>
      <c r="C1480" s="906">
        <v>96502</v>
      </c>
    </row>
    <row r="1481" spans="2:3" x14ac:dyDescent="0.25">
      <c r="B1481" s="922" t="s">
        <v>1749</v>
      </c>
      <c r="C1481" s="906">
        <v>96501</v>
      </c>
    </row>
    <row r="1482" spans="2:3" x14ac:dyDescent="0.25">
      <c r="B1482" s="922" t="s">
        <v>3775</v>
      </c>
      <c r="C1482" s="906">
        <v>96504</v>
      </c>
    </row>
    <row r="1483" spans="2:3" x14ac:dyDescent="0.25">
      <c r="B1483" s="922" t="s">
        <v>3776</v>
      </c>
      <c r="C1483" s="906">
        <v>97913</v>
      </c>
    </row>
    <row r="1484" spans="2:3" x14ac:dyDescent="0.25">
      <c r="B1484" s="922" t="s">
        <v>3777</v>
      </c>
      <c r="C1484" s="906">
        <v>92511</v>
      </c>
    </row>
    <row r="1485" spans="2:3" x14ac:dyDescent="0.25">
      <c r="B1485" s="922" t="s">
        <v>2388</v>
      </c>
      <c r="C1485" s="906">
        <v>90621</v>
      </c>
    </row>
    <row r="1486" spans="2:3" x14ac:dyDescent="0.25">
      <c r="B1486" s="922" t="s">
        <v>2389</v>
      </c>
      <c r="C1486" s="906">
        <v>91621</v>
      </c>
    </row>
    <row r="1487" spans="2:3" x14ac:dyDescent="0.25">
      <c r="B1487" s="922" t="s">
        <v>2390</v>
      </c>
      <c r="C1487" s="906">
        <v>91871</v>
      </c>
    </row>
    <row r="1488" spans="2:3" x14ac:dyDescent="0.25">
      <c r="B1488" s="922" t="s">
        <v>2391</v>
      </c>
      <c r="C1488" s="906">
        <v>98231</v>
      </c>
    </row>
    <row r="1489" spans="2:3" x14ac:dyDescent="0.25">
      <c r="B1489" s="922" t="s">
        <v>2392</v>
      </c>
      <c r="C1489" s="906">
        <v>99311</v>
      </c>
    </row>
    <row r="1490" spans="2:3" x14ac:dyDescent="0.25">
      <c r="B1490" s="922" t="s">
        <v>2393</v>
      </c>
      <c r="C1490" s="906">
        <v>96751</v>
      </c>
    </row>
    <row r="1491" spans="2:3" x14ac:dyDescent="0.25">
      <c r="B1491" s="922" t="s">
        <v>2394</v>
      </c>
      <c r="C1491" s="906">
        <v>99711</v>
      </c>
    </row>
    <row r="1492" spans="2:3" x14ac:dyDescent="0.25">
      <c r="B1492" s="922" t="s">
        <v>3778</v>
      </c>
      <c r="C1492" s="906">
        <v>99717</v>
      </c>
    </row>
    <row r="1493" spans="2:3" x14ac:dyDescent="0.25">
      <c r="B1493" s="922" t="s">
        <v>1761</v>
      </c>
      <c r="C1493" s="906">
        <v>96601</v>
      </c>
    </row>
    <row r="1494" spans="2:3" x14ac:dyDescent="0.25">
      <c r="B1494" s="922" t="s">
        <v>3779</v>
      </c>
      <c r="C1494" s="906">
        <v>96604</v>
      </c>
    </row>
    <row r="1495" spans="2:3" x14ac:dyDescent="0.25">
      <c r="B1495" s="922" t="s">
        <v>2395</v>
      </c>
      <c r="C1495" s="906">
        <v>91012</v>
      </c>
    </row>
    <row r="1496" spans="2:3" x14ac:dyDescent="0.25">
      <c r="B1496" s="922" t="s">
        <v>1195</v>
      </c>
      <c r="C1496" s="906">
        <v>90305</v>
      </c>
    </row>
    <row r="1497" spans="2:3" x14ac:dyDescent="0.25">
      <c r="B1497" s="922" t="s">
        <v>2396</v>
      </c>
      <c r="C1497" s="906">
        <v>98421</v>
      </c>
    </row>
    <row r="1498" spans="2:3" x14ac:dyDescent="0.25">
      <c r="B1498" s="922" t="s">
        <v>3780</v>
      </c>
      <c r="C1498" s="906">
        <v>98427</v>
      </c>
    </row>
    <row r="1499" spans="2:3" x14ac:dyDescent="0.25">
      <c r="B1499" s="922" t="s">
        <v>2397</v>
      </c>
      <c r="C1499" s="906">
        <v>95821</v>
      </c>
    </row>
    <row r="1500" spans="2:3" x14ac:dyDescent="0.25">
      <c r="B1500" s="922" t="s">
        <v>2398</v>
      </c>
      <c r="C1500" s="906">
        <v>91021</v>
      </c>
    </row>
    <row r="1501" spans="2:3" x14ac:dyDescent="0.25">
      <c r="B1501" s="922" t="s">
        <v>3781</v>
      </c>
      <c r="C1501" s="906">
        <v>91027</v>
      </c>
    </row>
    <row r="1502" spans="2:3" x14ac:dyDescent="0.25">
      <c r="B1502" s="922" t="s">
        <v>2399</v>
      </c>
      <c r="C1502" s="906">
        <v>94161</v>
      </c>
    </row>
    <row r="1503" spans="2:3" x14ac:dyDescent="0.25">
      <c r="B1503" s="922" t="s">
        <v>2400</v>
      </c>
      <c r="C1503" s="906">
        <v>98441</v>
      </c>
    </row>
    <row r="1504" spans="2:3" x14ac:dyDescent="0.25">
      <c r="B1504" s="922" t="s">
        <v>2401</v>
      </c>
      <c r="C1504" s="906">
        <v>91061</v>
      </c>
    </row>
    <row r="1505" spans="2:3" x14ac:dyDescent="0.25">
      <c r="B1505" s="922" t="s">
        <v>3782</v>
      </c>
      <c r="C1505" s="906">
        <v>91067</v>
      </c>
    </row>
    <row r="1506" spans="2:3" x14ac:dyDescent="0.25">
      <c r="B1506" s="922" t="s">
        <v>3783</v>
      </c>
      <c r="C1506" s="906">
        <v>94812</v>
      </c>
    </row>
    <row r="1507" spans="2:3" x14ac:dyDescent="0.25">
      <c r="B1507" s="922" t="s">
        <v>2402</v>
      </c>
      <c r="C1507" s="906">
        <v>95921</v>
      </c>
    </row>
    <row r="1508" spans="2:3" x14ac:dyDescent="0.25">
      <c r="B1508" s="922" t="s">
        <v>1772</v>
      </c>
      <c r="C1508" s="906">
        <v>96701</v>
      </c>
    </row>
    <row r="1509" spans="2:3" x14ac:dyDescent="0.25">
      <c r="B1509" s="922" t="s">
        <v>3784</v>
      </c>
      <c r="C1509" s="906">
        <v>96704</v>
      </c>
    </row>
    <row r="1510" spans="2:3" x14ac:dyDescent="0.25">
      <c r="B1510" s="922" t="s">
        <v>3785</v>
      </c>
      <c r="C1510" s="906">
        <v>96708</v>
      </c>
    </row>
    <row r="1511" spans="2:3" x14ac:dyDescent="0.25">
      <c r="B1511" s="922" t="s">
        <v>1781</v>
      </c>
      <c r="C1511" s="906">
        <v>96801</v>
      </c>
    </row>
    <row r="1512" spans="2:3" x14ac:dyDescent="0.25">
      <c r="B1512" s="922" t="s">
        <v>3786</v>
      </c>
      <c r="C1512" s="906">
        <v>96804</v>
      </c>
    </row>
    <row r="1513" spans="2:3" x14ac:dyDescent="0.25">
      <c r="B1513" s="922" t="s">
        <v>3787</v>
      </c>
      <c r="C1513" s="906">
        <v>96808</v>
      </c>
    </row>
    <row r="1514" spans="2:3" x14ac:dyDescent="0.25">
      <c r="B1514" s="922" t="s">
        <v>2403</v>
      </c>
      <c r="C1514" s="906">
        <v>96912</v>
      </c>
    </row>
    <row r="1515" spans="2:3" x14ac:dyDescent="0.25">
      <c r="B1515" s="922" t="s">
        <v>2404</v>
      </c>
      <c r="C1515" s="906">
        <v>93911</v>
      </c>
    </row>
    <row r="1516" spans="2:3" x14ac:dyDescent="0.25">
      <c r="B1516" s="922" t="s">
        <v>1537</v>
      </c>
      <c r="C1516" s="906">
        <v>93913</v>
      </c>
    </row>
    <row r="1517" spans="2:3" x14ac:dyDescent="0.25">
      <c r="B1517" s="922" t="s">
        <v>1787</v>
      </c>
      <c r="C1517" s="906">
        <v>96901</v>
      </c>
    </row>
    <row r="1518" spans="2:3" x14ac:dyDescent="0.25">
      <c r="B1518" s="922" t="s">
        <v>3788</v>
      </c>
      <c r="C1518" s="906">
        <v>97841</v>
      </c>
    </row>
    <row r="1519" spans="2:3" x14ac:dyDescent="0.25">
      <c r="B1519" s="922" t="s">
        <v>1467</v>
      </c>
      <c r="C1519" s="906">
        <v>93202</v>
      </c>
    </row>
    <row r="1520" spans="2:3" x14ac:dyDescent="0.25">
      <c r="B1520" s="922" t="s">
        <v>3486</v>
      </c>
      <c r="C1520" s="906">
        <v>93609</v>
      </c>
    </row>
    <row r="1521" spans="2:3" x14ac:dyDescent="0.25">
      <c r="B1521" s="922" t="s">
        <v>3789</v>
      </c>
      <c r="C1521" s="906">
        <v>97004</v>
      </c>
    </row>
    <row r="1522" spans="2:3" x14ac:dyDescent="0.25">
      <c r="B1522" s="922" t="s">
        <v>1791</v>
      </c>
      <c r="C1522" s="906">
        <v>97001</v>
      </c>
    </row>
    <row r="1523" spans="2:3" x14ac:dyDescent="0.25">
      <c r="B1523" s="922" t="s">
        <v>1792</v>
      </c>
      <c r="C1523" s="906">
        <v>97002</v>
      </c>
    </row>
    <row r="1524" spans="2:3" x14ac:dyDescent="0.25">
      <c r="B1524" s="922" t="s">
        <v>1800</v>
      </c>
      <c r="C1524" s="906">
        <v>97015</v>
      </c>
    </row>
    <row r="1525" spans="2:3" x14ac:dyDescent="0.25">
      <c r="B1525" s="922" t="s">
        <v>2405</v>
      </c>
      <c r="C1525" s="906">
        <v>90441</v>
      </c>
    </row>
    <row r="1526" spans="2:3" x14ac:dyDescent="0.25">
      <c r="B1526" s="922" t="s">
        <v>2406</v>
      </c>
      <c r="C1526" s="906">
        <v>97851</v>
      </c>
    </row>
    <row r="1527" spans="2:3" x14ac:dyDescent="0.25">
      <c r="B1527" s="922" t="s">
        <v>1872</v>
      </c>
      <c r="C1527" s="906">
        <v>97853</v>
      </c>
    </row>
    <row r="1528" spans="2:3" x14ac:dyDescent="0.25">
      <c r="B1528" s="922" t="s">
        <v>1802</v>
      </c>
      <c r="C1528" s="906">
        <v>97101</v>
      </c>
    </row>
    <row r="1529" spans="2:3" x14ac:dyDescent="0.25">
      <c r="B1529" s="922" t="s">
        <v>3790</v>
      </c>
      <c r="C1529" s="906">
        <v>97104</v>
      </c>
    </row>
    <row r="1530" spans="2:3" x14ac:dyDescent="0.25">
      <c r="B1530" s="922" t="s">
        <v>1807</v>
      </c>
      <c r="C1530" s="906">
        <v>97201</v>
      </c>
    </row>
    <row r="1531" spans="2:3" x14ac:dyDescent="0.25">
      <c r="B1531" s="922" t="s">
        <v>3791</v>
      </c>
      <c r="C1531" s="906">
        <v>97304</v>
      </c>
    </row>
    <row r="1532" spans="2:3" x14ac:dyDescent="0.25">
      <c r="B1532" s="922" t="s">
        <v>1812</v>
      </c>
      <c r="C1532" s="906">
        <v>97301</v>
      </c>
    </row>
    <row r="1533" spans="2:3" x14ac:dyDescent="0.25">
      <c r="B1533" s="922" t="s">
        <v>2012</v>
      </c>
      <c r="C1533" s="906">
        <v>99405</v>
      </c>
    </row>
    <row r="1534" spans="2:3" x14ac:dyDescent="0.25">
      <c r="B1534" s="922" t="s">
        <v>1171</v>
      </c>
      <c r="C1534" s="906">
        <v>72265</v>
      </c>
    </row>
    <row r="1535" spans="2:3" x14ac:dyDescent="0.25">
      <c r="B1535" s="922" t="s">
        <v>3792</v>
      </c>
      <c r="C1535" s="906">
        <v>94112</v>
      </c>
    </row>
    <row r="1536" spans="2:3" x14ac:dyDescent="0.25">
      <c r="B1536" s="922" t="s">
        <v>1487</v>
      </c>
      <c r="C1536" s="906">
        <v>93406</v>
      </c>
    </row>
    <row r="1537" spans="2:3" x14ac:dyDescent="0.25">
      <c r="B1537" s="922" t="s">
        <v>2407</v>
      </c>
      <c r="C1537" s="906">
        <v>99651</v>
      </c>
    </row>
    <row r="1538" spans="2:3" x14ac:dyDescent="0.25">
      <c r="B1538" s="922" t="s">
        <v>2408</v>
      </c>
      <c r="C1538" s="906">
        <v>98611</v>
      </c>
    </row>
    <row r="1539" spans="2:3" x14ac:dyDescent="0.25">
      <c r="B1539" s="922" t="s">
        <v>3793</v>
      </c>
      <c r="C1539" s="906">
        <v>98607</v>
      </c>
    </row>
    <row r="1540" spans="2:3" x14ac:dyDescent="0.25">
      <c r="B1540" s="922" t="s">
        <v>2409</v>
      </c>
      <c r="C1540" s="906">
        <v>91641</v>
      </c>
    </row>
    <row r="1541" spans="2:3" x14ac:dyDescent="0.25">
      <c r="B1541" s="922" t="s">
        <v>2410</v>
      </c>
      <c r="C1541" s="906">
        <v>95161</v>
      </c>
    </row>
    <row r="1542" spans="2:3" x14ac:dyDescent="0.25">
      <c r="B1542" s="922" t="s">
        <v>2411</v>
      </c>
      <c r="C1542" s="906">
        <v>96361</v>
      </c>
    </row>
    <row r="1543" spans="2:3" x14ac:dyDescent="0.25">
      <c r="B1543" s="922" t="s">
        <v>3794</v>
      </c>
      <c r="C1543" s="906">
        <v>94108</v>
      </c>
    </row>
    <row r="1544" spans="2:3" x14ac:dyDescent="0.25">
      <c r="B1544" s="922" t="s">
        <v>2412</v>
      </c>
      <c r="C1544" s="906">
        <v>96351</v>
      </c>
    </row>
    <row r="1545" spans="2:3" x14ac:dyDescent="0.25">
      <c r="B1545" s="922" t="s">
        <v>2413</v>
      </c>
      <c r="C1545" s="906">
        <v>93331</v>
      </c>
    </row>
    <row r="1546" spans="2:3" x14ac:dyDescent="0.25">
      <c r="B1546" s="922" t="s">
        <v>2414</v>
      </c>
      <c r="C1546" s="906">
        <v>96021</v>
      </c>
    </row>
    <row r="1547" spans="2:3" x14ac:dyDescent="0.25">
      <c r="B1547" s="922" t="s">
        <v>2415</v>
      </c>
      <c r="C1547" s="906">
        <v>95421</v>
      </c>
    </row>
    <row r="1548" spans="2:3" x14ac:dyDescent="0.25">
      <c r="B1548" s="922" t="s">
        <v>1815</v>
      </c>
      <c r="C1548" s="906">
        <v>97401</v>
      </c>
    </row>
    <row r="1549" spans="2:3" x14ac:dyDescent="0.25">
      <c r="B1549" s="922" t="s">
        <v>3795</v>
      </c>
      <c r="C1549" s="906">
        <v>97404</v>
      </c>
    </row>
    <row r="1550" spans="2:3" x14ac:dyDescent="0.25">
      <c r="B1550" s="922" t="s">
        <v>3796</v>
      </c>
      <c r="C1550" s="906">
        <v>97402</v>
      </c>
    </row>
    <row r="1551" spans="2:3" x14ac:dyDescent="0.25">
      <c r="B1551" s="922" t="s">
        <v>2416</v>
      </c>
      <c r="C1551" s="906">
        <v>91921</v>
      </c>
    </row>
    <row r="1552" spans="2:3" x14ac:dyDescent="0.25">
      <c r="B1552" s="922" t="s">
        <v>3797</v>
      </c>
      <c r="C1552" s="906">
        <v>95908</v>
      </c>
    </row>
    <row r="1553" spans="2:3" x14ac:dyDescent="0.25">
      <c r="B1553" s="922" t="s">
        <v>2417</v>
      </c>
      <c r="C1553" s="906">
        <v>99411</v>
      </c>
    </row>
    <row r="1554" spans="2:3" x14ac:dyDescent="0.25">
      <c r="B1554" s="922" t="s">
        <v>2014</v>
      </c>
      <c r="C1554" s="906">
        <v>99413</v>
      </c>
    </row>
    <row r="1555" spans="2:3" x14ac:dyDescent="0.25">
      <c r="B1555" s="922" t="s">
        <v>1833</v>
      </c>
      <c r="C1555" s="906">
        <v>97501</v>
      </c>
    </row>
    <row r="1556" spans="2:3" x14ac:dyDescent="0.25">
      <c r="B1556" s="922" t="s">
        <v>2418</v>
      </c>
      <c r="C1556" s="906">
        <v>90431</v>
      </c>
    </row>
    <row r="1557" spans="2:3" x14ac:dyDescent="0.25">
      <c r="B1557" s="922" t="s">
        <v>2419</v>
      </c>
      <c r="C1557" s="906">
        <v>95211</v>
      </c>
    </row>
    <row r="1558" spans="2:3" x14ac:dyDescent="0.25">
      <c r="B1558" s="922" t="s">
        <v>2420</v>
      </c>
      <c r="C1558" s="906">
        <v>95181</v>
      </c>
    </row>
    <row r="1559" spans="2:3" x14ac:dyDescent="0.25">
      <c r="B1559" s="922" t="s">
        <v>2421</v>
      </c>
      <c r="C1559" s="906">
        <v>93351</v>
      </c>
    </row>
    <row r="1560" spans="2:3" x14ac:dyDescent="0.25">
      <c r="B1560" s="922" t="s">
        <v>3798</v>
      </c>
      <c r="C1560" s="906">
        <v>95105</v>
      </c>
    </row>
    <row r="1561" spans="2:3" x14ac:dyDescent="0.25">
      <c r="B1561" s="922" t="s">
        <v>3799</v>
      </c>
      <c r="C1561" s="906">
        <v>92614</v>
      </c>
    </row>
    <row r="1562" spans="2:3" x14ac:dyDescent="0.25">
      <c r="B1562" s="922" t="s">
        <v>2422</v>
      </c>
      <c r="C1562" s="906">
        <v>94711</v>
      </c>
    </row>
    <row r="1563" spans="2:3" x14ac:dyDescent="0.25">
      <c r="B1563" s="922" t="s">
        <v>2423</v>
      </c>
      <c r="C1563" s="906">
        <v>99211</v>
      </c>
    </row>
    <row r="1564" spans="2:3" x14ac:dyDescent="0.25">
      <c r="B1564" s="922" t="s">
        <v>1995</v>
      </c>
      <c r="C1564" s="906">
        <v>99218</v>
      </c>
    </row>
    <row r="1565" spans="2:3" x14ac:dyDescent="0.25">
      <c r="B1565" s="922" t="s">
        <v>3800</v>
      </c>
      <c r="C1565" s="906">
        <v>99213</v>
      </c>
    </row>
    <row r="1566" spans="2:3" x14ac:dyDescent="0.25">
      <c r="B1566" s="922" t="s">
        <v>2424</v>
      </c>
      <c r="C1566" s="906">
        <v>97641</v>
      </c>
    </row>
    <row r="1567" spans="2:3" x14ac:dyDescent="0.25">
      <c r="B1567" s="922" t="s">
        <v>2425</v>
      </c>
      <c r="C1567" s="906">
        <v>97621</v>
      </c>
    </row>
    <row r="1568" spans="2:3" x14ac:dyDescent="0.25">
      <c r="B1568" s="922" t="s">
        <v>3801</v>
      </c>
      <c r="C1568" s="906">
        <v>97627</v>
      </c>
    </row>
    <row r="1569" spans="2:3" x14ac:dyDescent="0.25">
      <c r="B1569" s="922" t="s">
        <v>3802</v>
      </c>
      <c r="C1569" s="906">
        <v>97623</v>
      </c>
    </row>
    <row r="1570" spans="2:3" x14ac:dyDescent="0.25">
      <c r="B1570" s="922" t="s">
        <v>1837</v>
      </c>
      <c r="C1570" s="906">
        <v>97601</v>
      </c>
    </row>
    <row r="1571" spans="2:3" x14ac:dyDescent="0.25">
      <c r="B1571" s="922" t="s">
        <v>2426</v>
      </c>
      <c r="C1571" s="906">
        <v>93681</v>
      </c>
    </row>
    <row r="1572" spans="2:3" x14ac:dyDescent="0.25">
      <c r="B1572" s="922" t="s">
        <v>2427</v>
      </c>
      <c r="C1572" s="906">
        <v>97871</v>
      </c>
    </row>
    <row r="1573" spans="2:3" x14ac:dyDescent="0.25">
      <c r="B1573" s="922" t="s">
        <v>3803</v>
      </c>
      <c r="C1573" s="906">
        <v>97877</v>
      </c>
    </row>
    <row r="1574" spans="2:3" x14ac:dyDescent="0.25">
      <c r="B1574" s="922" t="s">
        <v>2018</v>
      </c>
      <c r="C1574" s="906">
        <v>99502</v>
      </c>
    </row>
    <row r="1575" spans="2:3" x14ac:dyDescent="0.25">
      <c r="B1575" s="922" t="s">
        <v>2428</v>
      </c>
      <c r="C1575" s="906">
        <v>97911</v>
      </c>
    </row>
    <row r="1576" spans="2:3" x14ac:dyDescent="0.25">
      <c r="B1576" s="922" t="s">
        <v>3804</v>
      </c>
      <c r="C1576" s="906">
        <v>97917</v>
      </c>
    </row>
    <row r="1577" spans="2:3" x14ac:dyDescent="0.25">
      <c r="B1577" s="922" t="s">
        <v>2429</v>
      </c>
      <c r="C1577" s="906">
        <v>96611</v>
      </c>
    </row>
    <row r="1578" spans="2:3" x14ac:dyDescent="0.25">
      <c r="B1578" s="922" t="s">
        <v>2430</v>
      </c>
      <c r="C1578" s="906">
        <v>96741</v>
      </c>
    </row>
    <row r="1579" spans="2:3" x14ac:dyDescent="0.25">
      <c r="B1579" s="922" t="s">
        <v>1849</v>
      </c>
      <c r="C1579" s="906">
        <v>97701</v>
      </c>
    </row>
    <row r="1580" spans="2:3" x14ac:dyDescent="0.25">
      <c r="B1580" s="922" t="s">
        <v>2431</v>
      </c>
      <c r="C1580" s="906">
        <v>92541</v>
      </c>
    </row>
    <row r="1581" spans="2:3" x14ac:dyDescent="0.25">
      <c r="B1581" s="922" t="s">
        <v>1568</v>
      </c>
      <c r="C1581" s="906">
        <v>94209</v>
      </c>
    </row>
    <row r="1582" spans="2:3" x14ac:dyDescent="0.25">
      <c r="B1582" s="922" t="s">
        <v>3805</v>
      </c>
      <c r="C1582" s="906">
        <v>94221</v>
      </c>
    </row>
    <row r="1583" spans="2:3" x14ac:dyDescent="0.25">
      <c r="B1583" s="922" t="s">
        <v>2433</v>
      </c>
      <c r="C1583" s="906">
        <v>96341</v>
      </c>
    </row>
    <row r="1584" spans="2:3" x14ac:dyDescent="0.25">
      <c r="B1584" s="922" t="s">
        <v>2434</v>
      </c>
      <c r="C1584" s="906">
        <v>93821</v>
      </c>
    </row>
    <row r="1585" spans="2:3" x14ac:dyDescent="0.25">
      <c r="B1585" s="922" t="s">
        <v>2435</v>
      </c>
      <c r="C1585" s="906">
        <v>95851</v>
      </c>
    </row>
    <row r="1586" spans="2:3" x14ac:dyDescent="0.25">
      <c r="B1586" s="922" t="s">
        <v>1692</v>
      </c>
      <c r="C1586" s="906">
        <v>95853</v>
      </c>
    </row>
    <row r="1587" spans="2:3" x14ac:dyDescent="0.25">
      <c r="B1587" s="922" t="s">
        <v>1857</v>
      </c>
      <c r="C1587" s="906">
        <v>97801</v>
      </c>
    </row>
    <row r="1588" spans="2:3" x14ac:dyDescent="0.25">
      <c r="B1588" s="922" t="s">
        <v>1859</v>
      </c>
      <c r="C1588" s="906">
        <v>97803</v>
      </c>
    </row>
    <row r="1589" spans="2:3" x14ac:dyDescent="0.25">
      <c r="B1589" s="922" t="s">
        <v>1860</v>
      </c>
      <c r="C1589" s="906">
        <v>97805</v>
      </c>
    </row>
    <row r="1590" spans="2:3" x14ac:dyDescent="0.25">
      <c r="B1590" s="922" t="s">
        <v>2436</v>
      </c>
      <c r="C1590" s="906">
        <v>97711</v>
      </c>
    </row>
    <row r="1591" spans="2:3" x14ac:dyDescent="0.25">
      <c r="B1591" s="922" t="s">
        <v>1876</v>
      </c>
      <c r="C1591" s="906">
        <v>97901</v>
      </c>
    </row>
    <row r="1592" spans="2:3" x14ac:dyDescent="0.25">
      <c r="B1592" s="922" t="s">
        <v>1852</v>
      </c>
      <c r="C1592" s="906">
        <v>97713</v>
      </c>
    </row>
    <row r="1593" spans="2:3" x14ac:dyDescent="0.25">
      <c r="B1593" s="922" t="s">
        <v>3806</v>
      </c>
      <c r="C1593" s="906">
        <v>97727</v>
      </c>
    </row>
    <row r="1594" spans="2:3" x14ac:dyDescent="0.25">
      <c r="B1594" s="922" t="s">
        <v>2437</v>
      </c>
      <c r="C1594" s="906">
        <v>98071</v>
      </c>
    </row>
    <row r="1595" spans="2:3" x14ac:dyDescent="0.25">
      <c r="B1595" s="922" t="s">
        <v>1480</v>
      </c>
      <c r="C1595" s="906">
        <v>93323</v>
      </c>
    </row>
    <row r="1596" spans="2:3" x14ac:dyDescent="0.25">
      <c r="B1596" s="922" t="s">
        <v>3807</v>
      </c>
      <c r="C1596" s="906">
        <v>93333</v>
      </c>
    </row>
    <row r="1597" spans="2:3" x14ac:dyDescent="0.25">
      <c r="B1597" s="922" t="s">
        <v>3808</v>
      </c>
      <c r="C1597" s="906">
        <v>93321</v>
      </c>
    </row>
    <row r="1598" spans="2:3" x14ac:dyDescent="0.25">
      <c r="B1598" s="922" t="s">
        <v>2439</v>
      </c>
      <c r="C1598" s="906">
        <v>99203</v>
      </c>
    </row>
    <row r="1599" spans="2:3" x14ac:dyDescent="0.25">
      <c r="B1599" s="922" t="s">
        <v>2440</v>
      </c>
      <c r="C1599" s="906">
        <v>99421</v>
      </c>
    </row>
    <row r="1600" spans="2:3" x14ac:dyDescent="0.25">
      <c r="B1600" s="922" t="s">
        <v>2441</v>
      </c>
      <c r="C1600" s="906">
        <v>93161</v>
      </c>
    </row>
    <row r="1601" spans="2:3" x14ac:dyDescent="0.25">
      <c r="B1601" s="922" t="s">
        <v>2442</v>
      </c>
      <c r="C1601" s="906">
        <v>98261</v>
      </c>
    </row>
    <row r="1602" spans="2:3" x14ac:dyDescent="0.25">
      <c r="B1602" s="922" t="s">
        <v>3809</v>
      </c>
      <c r="C1602" s="906">
        <v>98237</v>
      </c>
    </row>
    <row r="1603" spans="2:3" x14ac:dyDescent="0.25">
      <c r="B1603" s="922" t="s">
        <v>3810</v>
      </c>
      <c r="C1603" s="906">
        <v>98003</v>
      </c>
    </row>
    <row r="1604" spans="2:3" x14ac:dyDescent="0.25">
      <c r="B1604" s="922" t="s">
        <v>3811</v>
      </c>
      <c r="C1604" s="906">
        <v>98008</v>
      </c>
    </row>
    <row r="1605" spans="2:3" x14ac:dyDescent="0.25">
      <c r="B1605" s="922" t="s">
        <v>3812</v>
      </c>
      <c r="C1605" s="906">
        <v>98002</v>
      </c>
    </row>
    <row r="1606" spans="2:3" x14ac:dyDescent="0.25">
      <c r="B1606" s="922" t="s">
        <v>1887</v>
      </c>
      <c r="C1606" s="906">
        <v>98001</v>
      </c>
    </row>
    <row r="1607" spans="2:3" x14ac:dyDescent="0.25">
      <c r="B1607" s="922" t="s">
        <v>3813</v>
      </c>
      <c r="C1607" s="906">
        <v>98004</v>
      </c>
    </row>
    <row r="1608" spans="2:3" x14ac:dyDescent="0.25">
      <c r="B1608" s="922" t="s">
        <v>2443</v>
      </c>
      <c r="C1608" s="906">
        <v>97861</v>
      </c>
    </row>
    <row r="1609" spans="2:3" x14ac:dyDescent="0.25">
      <c r="B1609" s="922" t="s">
        <v>2444</v>
      </c>
      <c r="C1609" s="906">
        <v>97311</v>
      </c>
    </row>
    <row r="1610" spans="2:3" x14ac:dyDescent="0.25">
      <c r="B1610" s="922" t="s">
        <v>2445</v>
      </c>
      <c r="C1610" s="906">
        <v>93431</v>
      </c>
    </row>
    <row r="1611" spans="2:3" x14ac:dyDescent="0.25">
      <c r="B1611" s="922" t="s">
        <v>2446</v>
      </c>
      <c r="C1611" s="906">
        <v>91214</v>
      </c>
    </row>
    <row r="1612" spans="2:3" x14ac:dyDescent="0.25">
      <c r="B1612" s="922" t="s">
        <v>1903</v>
      </c>
      <c r="C1612" s="906">
        <v>98101</v>
      </c>
    </row>
    <row r="1613" spans="2:3" x14ac:dyDescent="0.25">
      <c r="B1613" s="922" t="s">
        <v>3814</v>
      </c>
      <c r="C1613" s="906">
        <v>98103</v>
      </c>
    </row>
    <row r="1614" spans="2:3" x14ac:dyDescent="0.25">
      <c r="B1614" s="922" t="s">
        <v>2447</v>
      </c>
      <c r="C1614" s="906">
        <v>98141</v>
      </c>
    </row>
    <row r="1615" spans="2:3" x14ac:dyDescent="0.25">
      <c r="B1615" s="922" t="s">
        <v>3815</v>
      </c>
      <c r="C1615" s="906">
        <v>98147</v>
      </c>
    </row>
    <row r="1616" spans="2:3" x14ac:dyDescent="0.25">
      <c r="B1616" s="922" t="s">
        <v>2448</v>
      </c>
      <c r="C1616" s="906">
        <v>98221</v>
      </c>
    </row>
    <row r="1617" spans="2:3" x14ac:dyDescent="0.25">
      <c r="B1617" s="922" t="s">
        <v>2449</v>
      </c>
      <c r="C1617" s="906">
        <v>98011</v>
      </c>
    </row>
    <row r="1618" spans="2:3" x14ac:dyDescent="0.25">
      <c r="B1618" s="922" t="s">
        <v>2450</v>
      </c>
      <c r="C1618" s="906">
        <v>97531</v>
      </c>
    </row>
    <row r="1619" spans="2:3" x14ac:dyDescent="0.25">
      <c r="B1619" s="922" t="s">
        <v>1915</v>
      </c>
      <c r="C1619" s="906">
        <v>98201</v>
      </c>
    </row>
    <row r="1620" spans="2:3" x14ac:dyDescent="0.25">
      <c r="B1620" s="922" t="s">
        <v>1850</v>
      </c>
      <c r="C1620" s="906">
        <v>97705</v>
      </c>
    </row>
    <row r="1621" spans="2:3" x14ac:dyDescent="0.25">
      <c r="B1621" s="922" t="s">
        <v>3488</v>
      </c>
      <c r="C1621" s="906">
        <v>96318</v>
      </c>
    </row>
    <row r="1622" spans="2:3" x14ac:dyDescent="0.25">
      <c r="B1622" s="922" t="s">
        <v>2451</v>
      </c>
      <c r="C1622" s="906">
        <v>95311</v>
      </c>
    </row>
    <row r="1623" spans="2:3" x14ac:dyDescent="0.25">
      <c r="B1623" s="922" t="s">
        <v>3816</v>
      </c>
      <c r="C1623" s="906">
        <v>95317</v>
      </c>
    </row>
    <row r="1624" spans="2:3" x14ac:dyDescent="0.25">
      <c r="B1624" s="922" t="s">
        <v>2452</v>
      </c>
      <c r="C1624" s="906">
        <v>91421</v>
      </c>
    </row>
    <row r="1625" spans="2:3" x14ac:dyDescent="0.25">
      <c r="B1625" s="922" t="s">
        <v>1926</v>
      </c>
      <c r="C1625" s="906">
        <v>98301</v>
      </c>
    </row>
    <row r="1626" spans="2:3" x14ac:dyDescent="0.25">
      <c r="B1626" s="922" t="s">
        <v>3817</v>
      </c>
      <c r="C1626" s="906">
        <v>98304</v>
      </c>
    </row>
    <row r="1627" spans="2:3" x14ac:dyDescent="0.25">
      <c r="B1627" s="922" t="s">
        <v>2453</v>
      </c>
      <c r="C1627" s="906">
        <v>94241</v>
      </c>
    </row>
    <row r="1628" spans="2:3" x14ac:dyDescent="0.25">
      <c r="B1628" s="922" t="s">
        <v>2454</v>
      </c>
      <c r="C1628" s="906">
        <v>96681</v>
      </c>
    </row>
    <row r="1629" spans="2:3" x14ac:dyDescent="0.25">
      <c r="B1629" s="922" t="s">
        <v>3818</v>
      </c>
      <c r="C1629" s="906">
        <v>72593</v>
      </c>
    </row>
    <row r="1630" spans="2:3" x14ac:dyDescent="0.25">
      <c r="B1630" s="922" t="s">
        <v>2455</v>
      </c>
      <c r="C1630" s="906">
        <v>95121</v>
      </c>
    </row>
    <row r="1631" spans="2:3" x14ac:dyDescent="0.25">
      <c r="B1631" s="922" t="s">
        <v>1644</v>
      </c>
      <c r="C1631" s="906">
        <v>95123</v>
      </c>
    </row>
    <row r="1632" spans="2:3" x14ac:dyDescent="0.25">
      <c r="B1632" s="922" t="s">
        <v>2456</v>
      </c>
      <c r="C1632" s="906">
        <v>99531</v>
      </c>
    </row>
    <row r="1633" spans="2:3" x14ac:dyDescent="0.25">
      <c r="B1633" s="922" t="s">
        <v>2457</v>
      </c>
      <c r="C1633" s="906">
        <v>96671</v>
      </c>
    </row>
    <row r="1634" spans="2:3" x14ac:dyDescent="0.25">
      <c r="B1634" s="922" t="s">
        <v>2458</v>
      </c>
      <c r="C1634" s="906">
        <v>91081</v>
      </c>
    </row>
    <row r="1635" spans="2:3" x14ac:dyDescent="0.25">
      <c r="B1635" s="922" t="s">
        <v>3819</v>
      </c>
      <c r="C1635" s="906">
        <v>91057</v>
      </c>
    </row>
    <row r="1636" spans="2:3" x14ac:dyDescent="0.25">
      <c r="B1636" s="922" t="s">
        <v>2459</v>
      </c>
      <c r="C1636" s="906">
        <v>96461</v>
      </c>
    </row>
    <row r="1637" spans="2:3" x14ac:dyDescent="0.25">
      <c r="B1637" s="922" t="s">
        <v>2460</v>
      </c>
      <c r="C1637" s="906">
        <v>92311</v>
      </c>
    </row>
    <row r="1638" spans="2:3" x14ac:dyDescent="0.25">
      <c r="B1638" s="922" t="s">
        <v>3820</v>
      </c>
      <c r="C1638" s="906">
        <v>92317</v>
      </c>
    </row>
    <row r="1639" spans="2:3" x14ac:dyDescent="0.25">
      <c r="B1639" s="922" t="s">
        <v>1818</v>
      </c>
      <c r="C1639" s="906">
        <v>97405</v>
      </c>
    </row>
    <row r="1640" spans="2:3" x14ac:dyDescent="0.25">
      <c r="B1640" s="922" t="s">
        <v>2461</v>
      </c>
      <c r="C1640" s="906">
        <v>91911</v>
      </c>
    </row>
    <row r="1641" spans="2:3" x14ac:dyDescent="0.25">
      <c r="B1641" s="922" t="s">
        <v>3821</v>
      </c>
      <c r="C1641" s="906">
        <v>91917</v>
      </c>
    </row>
    <row r="1642" spans="2:3" x14ac:dyDescent="0.25">
      <c r="B1642" s="922" t="s">
        <v>2462</v>
      </c>
      <c r="C1642" s="906">
        <v>97481</v>
      </c>
    </row>
    <row r="1643" spans="2:3" x14ac:dyDescent="0.25">
      <c r="B1643" s="922" t="s">
        <v>3822</v>
      </c>
      <c r="C1643" s="906">
        <v>91138</v>
      </c>
    </row>
    <row r="1644" spans="2:3" x14ac:dyDescent="0.25">
      <c r="B1644" s="922" t="s">
        <v>2463</v>
      </c>
      <c r="C1644" s="906">
        <v>95111</v>
      </c>
    </row>
    <row r="1645" spans="2:3" x14ac:dyDescent="0.25">
      <c r="B1645" s="922" t="s">
        <v>1641</v>
      </c>
      <c r="C1645" s="906">
        <v>95113</v>
      </c>
    </row>
    <row r="1646" spans="2:3" x14ac:dyDescent="0.25">
      <c r="B1646" s="922" t="s">
        <v>2464</v>
      </c>
      <c r="C1646" s="906">
        <v>94021</v>
      </c>
    </row>
    <row r="1647" spans="2:3" x14ac:dyDescent="0.25">
      <c r="B1647" s="922" t="s">
        <v>3823</v>
      </c>
      <c r="C1647" s="906">
        <v>90918</v>
      </c>
    </row>
    <row r="1648" spans="2:3" x14ac:dyDescent="0.25">
      <c r="B1648" s="922" t="s">
        <v>3824</v>
      </c>
      <c r="C1648" s="906">
        <v>93910</v>
      </c>
    </row>
    <row r="1649" spans="2:3" x14ac:dyDescent="0.25">
      <c r="B1649" s="922" t="s">
        <v>3489</v>
      </c>
      <c r="C1649" s="906">
        <v>91013</v>
      </c>
    </row>
    <row r="1650" spans="2:3" x14ac:dyDescent="0.25">
      <c r="B1650" s="922" t="s">
        <v>2465</v>
      </c>
      <c r="C1650" s="906">
        <v>96311</v>
      </c>
    </row>
    <row r="1651" spans="2:3" x14ac:dyDescent="0.25">
      <c r="B1651" s="922" t="s">
        <v>2466</v>
      </c>
      <c r="C1651" s="906">
        <v>92841</v>
      </c>
    </row>
    <row r="1652" spans="2:3" x14ac:dyDescent="0.25">
      <c r="B1652" s="922" t="s">
        <v>2029</v>
      </c>
      <c r="C1652" s="906">
        <v>99609</v>
      </c>
    </row>
    <row r="1653" spans="2:3" x14ac:dyDescent="0.25">
      <c r="B1653" s="922" t="s">
        <v>2467</v>
      </c>
      <c r="C1653" s="906">
        <v>91011</v>
      </c>
    </row>
    <row r="1654" spans="2:3" x14ac:dyDescent="0.25">
      <c r="B1654" s="922" t="s">
        <v>3825</v>
      </c>
      <c r="C1654" s="906">
        <v>91017</v>
      </c>
    </row>
    <row r="1655" spans="2:3" x14ac:dyDescent="0.25">
      <c r="B1655" s="922" t="s">
        <v>3826</v>
      </c>
      <c r="C1655" s="906">
        <v>95008</v>
      </c>
    </row>
    <row r="1656" spans="2:3" x14ac:dyDescent="0.25">
      <c r="B1656" s="922" t="s">
        <v>2468</v>
      </c>
      <c r="C1656" s="906">
        <v>72657</v>
      </c>
    </row>
    <row r="1657" spans="2:3" x14ac:dyDescent="0.25">
      <c r="B1657" s="922" t="s">
        <v>3827</v>
      </c>
      <c r="C1657" s="906">
        <v>90307</v>
      </c>
    </row>
    <row r="1658" spans="2:3" x14ac:dyDescent="0.25">
      <c r="B1658" s="922" t="s">
        <v>2469</v>
      </c>
      <c r="C1658" s="906">
        <v>98031</v>
      </c>
    </row>
    <row r="1659" spans="2:3" x14ac:dyDescent="0.25">
      <c r="B1659" s="922" t="s">
        <v>2470</v>
      </c>
      <c r="C1659" s="906">
        <v>98121</v>
      </c>
    </row>
    <row r="1660" spans="2:3" x14ac:dyDescent="0.25">
      <c r="B1660" s="922" t="s">
        <v>2471</v>
      </c>
      <c r="C1660" s="906">
        <v>96411</v>
      </c>
    </row>
    <row r="1661" spans="2:3" x14ac:dyDescent="0.25">
      <c r="B1661" s="922" t="s">
        <v>2472</v>
      </c>
      <c r="C1661" s="906">
        <v>92661</v>
      </c>
    </row>
    <row r="1662" spans="2:3" x14ac:dyDescent="0.25">
      <c r="B1662" s="922" t="s">
        <v>2473</v>
      </c>
      <c r="C1662" s="906">
        <v>96111</v>
      </c>
    </row>
    <row r="1663" spans="2:3" x14ac:dyDescent="0.25">
      <c r="B1663" s="922" t="s">
        <v>3828</v>
      </c>
      <c r="C1663" s="906">
        <v>91032</v>
      </c>
    </row>
    <row r="1664" spans="2:3" x14ac:dyDescent="0.25">
      <c r="B1664" s="922" t="s">
        <v>3829</v>
      </c>
      <c r="C1664" s="906">
        <v>97831</v>
      </c>
    </row>
    <row r="1665" spans="2:3" x14ac:dyDescent="0.25">
      <c r="B1665" s="922" t="s">
        <v>3830</v>
      </c>
      <c r="C1665" s="906">
        <v>97837</v>
      </c>
    </row>
    <row r="1666" spans="2:3" x14ac:dyDescent="0.25">
      <c r="B1666" s="922" t="s">
        <v>2476</v>
      </c>
      <c r="C1666" s="906">
        <v>96061</v>
      </c>
    </row>
    <row r="1667" spans="2:3" x14ac:dyDescent="0.25">
      <c r="B1667" s="922" t="s">
        <v>2477</v>
      </c>
      <c r="C1667" s="906">
        <v>98481</v>
      </c>
    </row>
    <row r="1668" spans="2:3" x14ac:dyDescent="0.25">
      <c r="B1668" s="922" t="s">
        <v>2478</v>
      </c>
      <c r="C1668" s="906">
        <v>93602</v>
      </c>
    </row>
    <row r="1669" spans="2:3" x14ac:dyDescent="0.25">
      <c r="B1669" s="922" t="s">
        <v>1933</v>
      </c>
      <c r="C1669" s="906">
        <v>98401</v>
      </c>
    </row>
    <row r="1670" spans="2:3" x14ac:dyDescent="0.25">
      <c r="B1670" s="922" t="s">
        <v>2479</v>
      </c>
      <c r="C1670" s="906">
        <v>99821</v>
      </c>
    </row>
    <row r="1671" spans="2:3" x14ac:dyDescent="0.25">
      <c r="B1671" s="922" t="s">
        <v>2480</v>
      </c>
      <c r="C1671" s="906">
        <v>96211</v>
      </c>
    </row>
    <row r="1672" spans="2:3" x14ac:dyDescent="0.25">
      <c r="B1672" s="922" t="s">
        <v>2481</v>
      </c>
      <c r="C1672" s="906">
        <v>94911</v>
      </c>
    </row>
    <row r="1673" spans="2:3" x14ac:dyDescent="0.25">
      <c r="B1673" s="922" t="s">
        <v>3831</v>
      </c>
      <c r="C1673" s="906">
        <v>94917</v>
      </c>
    </row>
    <row r="1674" spans="2:3" x14ac:dyDescent="0.25">
      <c r="B1674" s="922" t="s">
        <v>2482</v>
      </c>
      <c r="C1674" s="906">
        <v>92621</v>
      </c>
    </row>
    <row r="1675" spans="2:3" x14ac:dyDescent="0.25">
      <c r="B1675" s="922" t="s">
        <v>1942</v>
      </c>
      <c r="C1675" s="906">
        <v>98501</v>
      </c>
    </row>
    <row r="1676" spans="2:3" x14ac:dyDescent="0.25">
      <c r="B1676" s="922" t="s">
        <v>2483</v>
      </c>
      <c r="C1676" s="906">
        <v>97931</v>
      </c>
    </row>
    <row r="1677" spans="2:3" x14ac:dyDescent="0.25">
      <c r="B1677" s="922" t="s">
        <v>2484</v>
      </c>
      <c r="C1677" s="906">
        <v>93914</v>
      </c>
    </row>
    <row r="1678" spans="2:3" x14ac:dyDescent="0.25">
      <c r="B1678" s="922" t="s">
        <v>2485</v>
      </c>
      <c r="C1678" s="906">
        <v>90651</v>
      </c>
    </row>
    <row r="1679" spans="2:3" x14ac:dyDescent="0.25">
      <c r="B1679" s="922" t="s">
        <v>2486</v>
      </c>
      <c r="C1679" s="906">
        <v>94171</v>
      </c>
    </row>
    <row r="1680" spans="2:3" x14ac:dyDescent="0.25">
      <c r="B1680" s="922" t="s">
        <v>1564</v>
      </c>
      <c r="C1680" s="906">
        <v>94172</v>
      </c>
    </row>
    <row r="1681" spans="2:3" x14ac:dyDescent="0.25">
      <c r="B1681" s="922" t="s">
        <v>2487</v>
      </c>
      <c r="C1681" s="906">
        <v>91041</v>
      </c>
    </row>
    <row r="1682" spans="2:3" x14ac:dyDescent="0.25">
      <c r="B1682" s="922" t="s">
        <v>3832</v>
      </c>
      <c r="C1682" s="906">
        <v>91047</v>
      </c>
    </row>
    <row r="1683" spans="2:3" x14ac:dyDescent="0.25">
      <c r="B1683" s="922" t="s">
        <v>1806</v>
      </c>
      <c r="C1683" s="906">
        <v>97131</v>
      </c>
    </row>
    <row r="1684" spans="2:3" x14ac:dyDescent="0.25">
      <c r="B1684" s="922" t="s">
        <v>1946</v>
      </c>
      <c r="C1684" s="906">
        <v>98601</v>
      </c>
    </row>
    <row r="1685" spans="2:3" x14ac:dyDescent="0.25">
      <c r="B1685" s="922" t="s">
        <v>1956</v>
      </c>
      <c r="C1685" s="906">
        <v>98701</v>
      </c>
    </row>
    <row r="1686" spans="2:3" x14ac:dyDescent="0.25">
      <c r="B1686" s="922" t="s">
        <v>2488</v>
      </c>
      <c r="C1686" s="906">
        <v>96721</v>
      </c>
    </row>
    <row r="1687" spans="2:3" x14ac:dyDescent="0.25">
      <c r="B1687" s="922" t="s">
        <v>2489</v>
      </c>
      <c r="C1687" s="906">
        <v>95011</v>
      </c>
    </row>
    <row r="1688" spans="2:3" x14ac:dyDescent="0.25">
      <c r="B1688" s="922" t="s">
        <v>2490</v>
      </c>
      <c r="C1688" s="906">
        <v>92451</v>
      </c>
    </row>
    <row r="1689" spans="2:3" x14ac:dyDescent="0.25">
      <c r="B1689" s="922" t="s">
        <v>2491</v>
      </c>
      <c r="C1689" s="906">
        <v>93311</v>
      </c>
    </row>
    <row r="1690" spans="2:3" x14ac:dyDescent="0.25">
      <c r="B1690" s="922" t="s">
        <v>1478</v>
      </c>
      <c r="C1690" s="906">
        <v>93317</v>
      </c>
    </row>
    <row r="1691" spans="2:3" x14ac:dyDescent="0.25">
      <c r="B1691" s="922" t="s">
        <v>2492</v>
      </c>
      <c r="C1691" s="906">
        <v>90211</v>
      </c>
    </row>
    <row r="1692" spans="2:3" x14ac:dyDescent="0.25">
      <c r="B1692" s="922" t="s">
        <v>2493</v>
      </c>
      <c r="C1692" s="906">
        <v>96302</v>
      </c>
    </row>
    <row r="1693" spans="2:3" x14ac:dyDescent="0.25">
      <c r="B1693" s="922" t="s">
        <v>2494</v>
      </c>
      <c r="C1693" s="906">
        <v>93181</v>
      </c>
    </row>
    <row r="1694" spans="2:3" x14ac:dyDescent="0.25">
      <c r="B1694" s="922" t="s">
        <v>2495</v>
      </c>
      <c r="C1694" s="906">
        <v>92911</v>
      </c>
    </row>
    <row r="1695" spans="2:3" x14ac:dyDescent="0.25">
      <c r="B1695" s="922" t="s">
        <v>3833</v>
      </c>
      <c r="C1695" s="906">
        <v>92914</v>
      </c>
    </row>
    <row r="1696" spans="2:3" x14ac:dyDescent="0.25">
      <c r="B1696" s="922" t="s">
        <v>1441</v>
      </c>
      <c r="C1696" s="906">
        <v>92913</v>
      </c>
    </row>
    <row r="1697" spans="2:3" x14ac:dyDescent="0.25">
      <c r="B1697" s="922" t="s">
        <v>2496</v>
      </c>
      <c r="C1697" s="906">
        <v>93471</v>
      </c>
    </row>
    <row r="1698" spans="2:3" x14ac:dyDescent="0.25">
      <c r="B1698" s="922" t="s">
        <v>3834</v>
      </c>
      <c r="C1698" s="906">
        <v>90098</v>
      </c>
    </row>
    <row r="1699" spans="2:3" x14ac:dyDescent="0.25">
      <c r="B1699" s="922" t="s">
        <v>2497</v>
      </c>
      <c r="C1699" s="906">
        <v>97121</v>
      </c>
    </row>
    <row r="1700" spans="2:3" x14ac:dyDescent="0.25">
      <c r="B1700" s="922" t="s">
        <v>1959</v>
      </c>
      <c r="C1700" s="906">
        <v>98801</v>
      </c>
    </row>
    <row r="1701" spans="2:3" x14ac:dyDescent="0.25">
      <c r="B1701" s="922" t="s">
        <v>2498</v>
      </c>
      <c r="C1701" s="906">
        <v>92521</v>
      </c>
    </row>
    <row r="1702" spans="2:3" x14ac:dyDescent="0.25">
      <c r="B1702" s="922" t="s">
        <v>3490</v>
      </c>
      <c r="C1702" s="906">
        <v>93417</v>
      </c>
    </row>
    <row r="1703" spans="2:3" x14ac:dyDescent="0.25">
      <c r="B1703" s="922" t="s">
        <v>1472</v>
      </c>
      <c r="C1703" s="906">
        <v>93219</v>
      </c>
    </row>
    <row r="1704" spans="2:3" x14ac:dyDescent="0.25">
      <c r="B1704" s="922" t="s">
        <v>3491</v>
      </c>
      <c r="C1704" s="906">
        <v>92513</v>
      </c>
    </row>
    <row r="1705" spans="2:3" x14ac:dyDescent="0.25">
      <c r="B1705" s="922" t="s">
        <v>2499</v>
      </c>
      <c r="C1705" s="906">
        <v>97661</v>
      </c>
    </row>
    <row r="1706" spans="2:3" x14ac:dyDescent="0.25">
      <c r="B1706" s="922" t="s">
        <v>2500</v>
      </c>
      <c r="C1706" s="906">
        <v>94931</v>
      </c>
    </row>
    <row r="1707" spans="2:3" x14ac:dyDescent="0.25">
      <c r="B1707" s="922" t="s">
        <v>2501</v>
      </c>
      <c r="C1707" s="906">
        <v>96221</v>
      </c>
    </row>
    <row r="1708" spans="2:3" x14ac:dyDescent="0.25">
      <c r="B1708" s="922" t="s">
        <v>2502</v>
      </c>
      <c r="C1708" s="906">
        <v>97511</v>
      </c>
    </row>
    <row r="1709" spans="2:3" x14ac:dyDescent="0.25">
      <c r="B1709" s="922" t="s">
        <v>3835</v>
      </c>
      <c r="C1709" s="906">
        <v>95002</v>
      </c>
    </row>
    <row r="1710" spans="2:3" x14ac:dyDescent="0.25">
      <c r="B1710" s="922" t="s">
        <v>2503</v>
      </c>
      <c r="C1710" s="906">
        <v>98251</v>
      </c>
    </row>
    <row r="1711" spans="2:3" x14ac:dyDescent="0.25">
      <c r="B1711" s="922" t="s">
        <v>3836</v>
      </c>
      <c r="C1711" s="906">
        <v>98904</v>
      </c>
    </row>
    <row r="1712" spans="2:3" x14ac:dyDescent="0.25">
      <c r="B1712" s="922" t="s">
        <v>1962</v>
      </c>
      <c r="C1712" s="906">
        <v>98901</v>
      </c>
    </row>
    <row r="1713" spans="2:3" x14ac:dyDescent="0.25">
      <c r="B1713" s="922" t="s">
        <v>1965</v>
      </c>
      <c r="C1713" s="906">
        <v>99001</v>
      </c>
    </row>
    <row r="1714" spans="2:3" x14ac:dyDescent="0.25">
      <c r="B1714" s="922" t="s">
        <v>2504</v>
      </c>
      <c r="C1714" s="906">
        <v>99061</v>
      </c>
    </row>
    <row r="1715" spans="2:3" x14ac:dyDescent="0.25">
      <c r="B1715" s="922" t="s">
        <v>3837</v>
      </c>
      <c r="C1715" s="906">
        <v>93309</v>
      </c>
    </row>
    <row r="1716" spans="2:3" x14ac:dyDescent="0.25">
      <c r="B1716" s="922" t="s">
        <v>2505</v>
      </c>
      <c r="C1716" s="906">
        <v>91211</v>
      </c>
    </row>
    <row r="1717" spans="2:3" x14ac:dyDescent="0.25">
      <c r="B1717" s="922" t="s">
        <v>1297</v>
      </c>
      <c r="C1717" s="906">
        <v>91213</v>
      </c>
    </row>
    <row r="1718" spans="2:3" x14ac:dyDescent="0.25">
      <c r="B1718" s="922" t="s">
        <v>1979</v>
      </c>
      <c r="C1718" s="906">
        <v>99101</v>
      </c>
    </row>
    <row r="1719" spans="2:3" x14ac:dyDescent="0.25">
      <c r="B1719" s="922" t="s">
        <v>3838</v>
      </c>
      <c r="C1719" s="906">
        <v>99104</v>
      </c>
    </row>
    <row r="1720" spans="2:3" x14ac:dyDescent="0.25">
      <c r="B1720" s="922" t="s">
        <v>2506</v>
      </c>
      <c r="C1720" s="906">
        <v>92551</v>
      </c>
    </row>
    <row r="1721" spans="2:3" x14ac:dyDescent="0.25">
      <c r="B1721" s="922" t="s">
        <v>2507</v>
      </c>
      <c r="C1721" s="906">
        <v>96321</v>
      </c>
    </row>
    <row r="1722" spans="2:3" x14ac:dyDescent="0.25">
      <c r="B1722" s="922" t="s">
        <v>3839</v>
      </c>
      <c r="C1722" s="906">
        <v>95009</v>
      </c>
    </row>
    <row r="1723" spans="2:3" x14ac:dyDescent="0.25">
      <c r="B1723" s="922" t="s">
        <v>2508</v>
      </c>
      <c r="C1723" s="906">
        <v>92641</v>
      </c>
    </row>
    <row r="1724" spans="2:3" x14ac:dyDescent="0.25">
      <c r="B1724" s="922" t="s">
        <v>2509</v>
      </c>
      <c r="C1724" s="906">
        <v>90411</v>
      </c>
    </row>
    <row r="1725" spans="2:3" x14ac:dyDescent="0.25">
      <c r="B1725" s="922" t="s">
        <v>3840</v>
      </c>
      <c r="C1725" s="906">
        <v>90417</v>
      </c>
    </row>
    <row r="1726" spans="2:3" x14ac:dyDescent="0.25">
      <c r="B1726" s="922" t="s">
        <v>1199</v>
      </c>
      <c r="C1726" s="906">
        <v>90413</v>
      </c>
    </row>
    <row r="1727" spans="2:3" x14ac:dyDescent="0.25">
      <c r="B1727" s="922" t="s">
        <v>2510</v>
      </c>
      <c r="C1727" s="906">
        <v>98321</v>
      </c>
    </row>
    <row r="1728" spans="2:3" x14ac:dyDescent="0.25">
      <c r="B1728" s="922" t="s">
        <v>1984</v>
      </c>
      <c r="C1728" s="906">
        <v>99201</v>
      </c>
    </row>
    <row r="1729" spans="2:3" x14ac:dyDescent="0.25">
      <c r="B1729" s="922" t="s">
        <v>3841</v>
      </c>
      <c r="C1729" s="906">
        <v>99204</v>
      </c>
    </row>
    <row r="1730" spans="2:3" x14ac:dyDescent="0.25">
      <c r="B1730" s="922" t="s">
        <v>1989</v>
      </c>
      <c r="C1730" s="906">
        <v>99207</v>
      </c>
    </row>
    <row r="1731" spans="2:3" x14ac:dyDescent="0.25">
      <c r="B1731" s="922" t="s">
        <v>2511</v>
      </c>
      <c r="C1731" s="906">
        <v>99281</v>
      </c>
    </row>
    <row r="1732" spans="2:3" x14ac:dyDescent="0.25">
      <c r="B1732" s="922" t="s">
        <v>2512</v>
      </c>
      <c r="C1732" s="906">
        <v>93461</v>
      </c>
    </row>
    <row r="1733" spans="2:3" x14ac:dyDescent="0.25">
      <c r="B1733" s="922" t="s">
        <v>2513</v>
      </c>
      <c r="C1733" s="906">
        <v>93151</v>
      </c>
    </row>
    <row r="1734" spans="2:3" x14ac:dyDescent="0.25">
      <c r="B1734" s="922" t="s">
        <v>3842</v>
      </c>
      <c r="C1734" s="906">
        <v>93157</v>
      </c>
    </row>
    <row r="1735" spans="2:3" x14ac:dyDescent="0.25">
      <c r="B1735" s="922" t="s">
        <v>2514</v>
      </c>
      <c r="C1735" s="906">
        <v>98511</v>
      </c>
    </row>
    <row r="1736" spans="2:3" x14ac:dyDescent="0.25">
      <c r="B1736" s="922" t="s">
        <v>3843</v>
      </c>
      <c r="C1736" s="906">
        <v>98517</v>
      </c>
    </row>
    <row r="1737" spans="2:3" x14ac:dyDescent="0.25">
      <c r="B1737" s="922" t="s">
        <v>2515</v>
      </c>
      <c r="C1737" s="906">
        <v>99661</v>
      </c>
    </row>
    <row r="1738" spans="2:3" x14ac:dyDescent="0.25">
      <c r="B1738" s="922" t="s">
        <v>2516</v>
      </c>
      <c r="C1738" s="906">
        <v>94031</v>
      </c>
    </row>
    <row r="1739" spans="2:3" x14ac:dyDescent="0.25">
      <c r="B1739" s="922" t="s">
        <v>2006</v>
      </c>
      <c r="C1739" s="906">
        <v>99301</v>
      </c>
    </row>
    <row r="1740" spans="2:3" x14ac:dyDescent="0.25">
      <c r="B1740" s="922" t="s">
        <v>3844</v>
      </c>
      <c r="C1740" s="906">
        <v>99304</v>
      </c>
    </row>
    <row r="1741" spans="2:3" x14ac:dyDescent="0.25">
      <c r="B1741" s="922" t="s">
        <v>2517</v>
      </c>
      <c r="C1741" s="906">
        <v>99321</v>
      </c>
    </row>
    <row r="1742" spans="2:3" x14ac:dyDescent="0.25">
      <c r="B1742" s="922" t="s">
        <v>2518</v>
      </c>
      <c r="C1742" s="906">
        <v>93131</v>
      </c>
    </row>
    <row r="1743" spans="2:3" x14ac:dyDescent="0.25">
      <c r="B1743" s="922" t="s">
        <v>3845</v>
      </c>
      <c r="C1743" s="906">
        <v>93137</v>
      </c>
    </row>
    <row r="1744" spans="2:3" x14ac:dyDescent="0.25">
      <c r="B1744" s="922" t="s">
        <v>2519</v>
      </c>
      <c r="C1744" s="906">
        <v>90711</v>
      </c>
    </row>
    <row r="1745" spans="2:3" x14ac:dyDescent="0.25">
      <c r="B1745" s="922" t="s">
        <v>2010</v>
      </c>
      <c r="C1745" s="906">
        <v>99401</v>
      </c>
    </row>
    <row r="1746" spans="2:3" x14ac:dyDescent="0.25">
      <c r="B1746" s="922" t="s">
        <v>3846</v>
      </c>
      <c r="C1746" s="906">
        <v>99404</v>
      </c>
    </row>
    <row r="1747" spans="2:3" x14ac:dyDescent="0.25">
      <c r="B1747" s="922" t="s">
        <v>2520</v>
      </c>
      <c r="C1747" s="906">
        <v>90741</v>
      </c>
    </row>
    <row r="1748" spans="2:3" x14ac:dyDescent="0.25">
      <c r="B1748" s="922" t="s">
        <v>2017</v>
      </c>
      <c r="C1748" s="906">
        <v>99501</v>
      </c>
    </row>
    <row r="1749" spans="2:3" x14ac:dyDescent="0.25">
      <c r="B1749" s="922" t="s">
        <v>3847</v>
      </c>
      <c r="C1749" s="906">
        <v>99509</v>
      </c>
    </row>
    <row r="1750" spans="2:3" x14ac:dyDescent="0.25">
      <c r="B1750" s="922" t="s">
        <v>3848</v>
      </c>
      <c r="C1750" s="913">
        <v>91302</v>
      </c>
    </row>
    <row r="1751" spans="2:3" x14ac:dyDescent="0.25">
      <c r="B1751" s="922" t="s">
        <v>2521</v>
      </c>
      <c r="C1751" s="906">
        <v>99041</v>
      </c>
    </row>
    <row r="1752" spans="2:3" x14ac:dyDescent="0.25">
      <c r="B1752" s="922" t="s">
        <v>3849</v>
      </c>
      <c r="C1752" s="906">
        <v>99047</v>
      </c>
    </row>
    <row r="1753" spans="2:3" x14ac:dyDescent="0.25">
      <c r="B1753" s="922" t="s">
        <v>2025</v>
      </c>
      <c r="C1753" s="906">
        <v>99601</v>
      </c>
    </row>
    <row r="1754" spans="2:3" x14ac:dyDescent="0.25">
      <c r="B1754" s="922" t="s">
        <v>3850</v>
      </c>
      <c r="C1754" s="906">
        <v>99604</v>
      </c>
    </row>
    <row r="1755" spans="2:3" x14ac:dyDescent="0.25">
      <c r="B1755" s="922" t="s">
        <v>2522</v>
      </c>
      <c r="C1755" s="906">
        <v>94411</v>
      </c>
    </row>
    <row r="1756" spans="2:3" x14ac:dyDescent="0.25">
      <c r="B1756" s="922" t="s">
        <v>3851</v>
      </c>
      <c r="C1756" s="906">
        <v>94412</v>
      </c>
    </row>
    <row r="1757" spans="2:3" x14ac:dyDescent="0.25">
      <c r="B1757" s="922" t="s">
        <v>2523</v>
      </c>
      <c r="C1757" s="906">
        <v>91141</v>
      </c>
    </row>
    <row r="1758" spans="2:3" x14ac:dyDescent="0.25">
      <c r="B1758" s="922" t="s">
        <v>3852</v>
      </c>
      <c r="C1758" s="906">
        <v>91147</v>
      </c>
    </row>
    <row r="1759" spans="2:3" x14ac:dyDescent="0.25">
      <c r="B1759" s="922" t="s">
        <v>2524</v>
      </c>
      <c r="C1759" s="906">
        <v>99071</v>
      </c>
    </row>
    <row r="1760" spans="2:3" x14ac:dyDescent="0.25">
      <c r="B1760" s="922" t="s">
        <v>2525</v>
      </c>
      <c r="C1760" s="906">
        <v>94231</v>
      </c>
    </row>
    <row r="1761" spans="2:3" x14ac:dyDescent="0.25">
      <c r="B1761" s="922" t="s">
        <v>2526</v>
      </c>
      <c r="C1761" s="906">
        <v>99231</v>
      </c>
    </row>
    <row r="1762" spans="2:3" x14ac:dyDescent="0.25">
      <c r="B1762" s="922" t="s">
        <v>2527</v>
      </c>
      <c r="C1762" s="906">
        <v>99091</v>
      </c>
    </row>
    <row r="1763" spans="2:3" x14ac:dyDescent="0.25">
      <c r="B1763" s="922" t="s">
        <v>3853</v>
      </c>
      <c r="C1763" s="906">
        <v>91120</v>
      </c>
    </row>
    <row r="1764" spans="2:3" x14ac:dyDescent="0.25">
      <c r="B1764" s="922" t="s">
        <v>3493</v>
      </c>
      <c r="C1764" s="906">
        <v>92444</v>
      </c>
    </row>
    <row r="1765" spans="2:3" x14ac:dyDescent="0.25">
      <c r="B1765" s="922" t="s">
        <v>2528</v>
      </c>
      <c r="C1765" s="906">
        <v>90521</v>
      </c>
    </row>
    <row r="1766" spans="2:3" x14ac:dyDescent="0.25">
      <c r="B1766" s="922" t="s">
        <v>3854</v>
      </c>
      <c r="C1766" s="906">
        <v>90507</v>
      </c>
    </row>
    <row r="1767" spans="2:3" x14ac:dyDescent="0.25">
      <c r="B1767" s="922" t="s">
        <v>3855</v>
      </c>
      <c r="C1767" s="906">
        <v>92602</v>
      </c>
    </row>
    <row r="1768" spans="2:3" x14ac:dyDescent="0.25">
      <c r="B1768" s="922" t="s">
        <v>3856</v>
      </c>
      <c r="C1768" s="906">
        <v>91608</v>
      </c>
    </row>
    <row r="1769" spans="2:3" x14ac:dyDescent="0.25">
      <c r="B1769" s="922" t="s">
        <v>2529</v>
      </c>
      <c r="C1769" s="906">
        <v>91119</v>
      </c>
    </row>
    <row r="1770" spans="2:3" x14ac:dyDescent="0.25">
      <c r="B1770" s="922" t="s">
        <v>3857</v>
      </c>
      <c r="C1770" s="906">
        <v>91107</v>
      </c>
    </row>
    <row r="1771" spans="2:3" x14ac:dyDescent="0.25">
      <c r="B1771" s="922" t="s">
        <v>3858</v>
      </c>
      <c r="C1771" s="906">
        <v>91818</v>
      </c>
    </row>
    <row r="1772" spans="2:3" x14ac:dyDescent="0.25">
      <c r="B1772" s="922" t="s">
        <v>1351</v>
      </c>
      <c r="C1772" s="906">
        <v>91819</v>
      </c>
    </row>
    <row r="1773" spans="2:3" x14ac:dyDescent="0.25">
      <c r="B1773" s="922" t="s">
        <v>2530</v>
      </c>
      <c r="C1773" s="906">
        <v>96371</v>
      </c>
    </row>
    <row r="1774" spans="2:3" x14ac:dyDescent="0.25">
      <c r="B1774" s="922" t="s">
        <v>2531</v>
      </c>
      <c r="C1774" s="906">
        <v>96441</v>
      </c>
    </row>
    <row r="1775" spans="2:3" x14ac:dyDescent="0.25">
      <c r="B1775" s="922" t="s">
        <v>2532</v>
      </c>
      <c r="C1775" s="906">
        <v>90921</v>
      </c>
    </row>
    <row r="1776" spans="2:3" x14ac:dyDescent="0.25">
      <c r="B1776" s="922" t="s">
        <v>2533</v>
      </c>
      <c r="C1776" s="906">
        <v>92411</v>
      </c>
    </row>
    <row r="1777" spans="2:3" x14ac:dyDescent="0.25">
      <c r="B1777" s="922" t="s">
        <v>3859</v>
      </c>
      <c r="C1777" s="906">
        <v>92417</v>
      </c>
    </row>
    <row r="1778" spans="2:3" x14ac:dyDescent="0.25">
      <c r="B1778" s="922" t="s">
        <v>1387</v>
      </c>
      <c r="C1778" s="906">
        <v>92403</v>
      </c>
    </row>
    <row r="1779" spans="2:3" x14ac:dyDescent="0.25">
      <c r="B1779" s="922" t="s">
        <v>2038</v>
      </c>
      <c r="C1779" s="906">
        <v>99701</v>
      </c>
    </row>
    <row r="1780" spans="2:3" x14ac:dyDescent="0.25">
      <c r="B1780" s="922" t="s">
        <v>2534</v>
      </c>
      <c r="C1780" s="906">
        <v>99721</v>
      </c>
    </row>
    <row r="1781" spans="2:3" x14ac:dyDescent="0.25">
      <c r="B1781" s="922" t="s">
        <v>3860</v>
      </c>
      <c r="C1781" s="906">
        <v>99727</v>
      </c>
    </row>
    <row r="1782" spans="2:3" x14ac:dyDescent="0.25">
      <c r="B1782" s="922" t="s">
        <v>2535</v>
      </c>
      <c r="C1782" s="906">
        <v>95811</v>
      </c>
    </row>
    <row r="1783" spans="2:3" x14ac:dyDescent="0.25">
      <c r="B1783" s="922" t="s">
        <v>1687</v>
      </c>
      <c r="C1783" s="906">
        <v>95813</v>
      </c>
    </row>
    <row r="1784" spans="2:3" x14ac:dyDescent="0.25">
      <c r="B1784" s="922" t="s">
        <v>2536</v>
      </c>
      <c r="C1784" s="906">
        <v>96531</v>
      </c>
    </row>
    <row r="1785" spans="2:3" x14ac:dyDescent="0.25">
      <c r="B1785" s="922" t="s">
        <v>1751</v>
      </c>
      <c r="C1785" s="906">
        <v>96503</v>
      </c>
    </row>
    <row r="1786" spans="2:3" x14ac:dyDescent="0.25">
      <c r="B1786" s="922" t="s">
        <v>2537</v>
      </c>
      <c r="C1786" s="906">
        <v>99811</v>
      </c>
    </row>
    <row r="1787" spans="2:3" x14ac:dyDescent="0.25">
      <c r="B1787" s="922" t="s">
        <v>3861</v>
      </c>
      <c r="C1787" s="906">
        <v>99818</v>
      </c>
    </row>
    <row r="1788" spans="2:3" x14ac:dyDescent="0.25">
      <c r="B1788" s="922" t="s">
        <v>2044</v>
      </c>
      <c r="C1788" s="906">
        <v>99801</v>
      </c>
    </row>
    <row r="1789" spans="2:3" x14ac:dyDescent="0.25">
      <c r="B1789" s="922" t="s">
        <v>3862</v>
      </c>
      <c r="C1789" s="906">
        <v>99804</v>
      </c>
    </row>
    <row r="1790" spans="2:3" x14ac:dyDescent="0.25">
      <c r="B1790" s="922" t="s">
        <v>3863</v>
      </c>
      <c r="C1790" s="906">
        <v>99802</v>
      </c>
    </row>
    <row r="1791" spans="2:3" x14ac:dyDescent="0.25">
      <c r="B1791" s="922" t="s">
        <v>3864</v>
      </c>
      <c r="C1791" s="906">
        <v>99812</v>
      </c>
    </row>
    <row r="1792" spans="2:3" x14ac:dyDescent="0.25">
      <c r="B1792" s="922" t="s">
        <v>3865</v>
      </c>
      <c r="C1792" s="906">
        <v>95191</v>
      </c>
    </row>
    <row r="1793" spans="2:3" x14ac:dyDescent="0.25">
      <c r="B1793" s="922" t="s">
        <v>2539</v>
      </c>
      <c r="C1793" s="906">
        <v>90812</v>
      </c>
    </row>
    <row r="1794" spans="2:3" x14ac:dyDescent="0.25">
      <c r="B1794" s="922" t="s">
        <v>2540</v>
      </c>
      <c r="C1794" s="906">
        <v>97221</v>
      </c>
    </row>
    <row r="1795" spans="2:3" x14ac:dyDescent="0.25">
      <c r="B1795" s="922" t="s">
        <v>2541</v>
      </c>
      <c r="C1795" s="906">
        <v>99031</v>
      </c>
    </row>
    <row r="1796" spans="2:3" x14ac:dyDescent="0.25">
      <c r="B1796" s="922" t="s">
        <v>2542</v>
      </c>
      <c r="C1796" s="906">
        <v>93411</v>
      </c>
    </row>
    <row r="1797" spans="2:3" x14ac:dyDescent="0.25">
      <c r="B1797" s="922" t="s">
        <v>1490</v>
      </c>
      <c r="C1797" s="906">
        <v>93413</v>
      </c>
    </row>
    <row r="1798" spans="2:3" x14ac:dyDescent="0.25">
      <c r="B1798" s="922" t="s">
        <v>2543</v>
      </c>
      <c r="C1798" s="906">
        <v>97451</v>
      </c>
    </row>
    <row r="1799" spans="2:3" x14ac:dyDescent="0.25">
      <c r="B1799" s="922" t="s">
        <v>2544</v>
      </c>
      <c r="C1799" s="906">
        <v>94631</v>
      </c>
    </row>
    <row r="1800" spans="2:3" x14ac:dyDescent="0.25">
      <c r="B1800" s="922" t="s">
        <v>2545</v>
      </c>
      <c r="C1800" s="906">
        <v>91171</v>
      </c>
    </row>
    <row r="1801" spans="2:3" x14ac:dyDescent="0.25">
      <c r="B1801" s="922" t="s">
        <v>1274</v>
      </c>
      <c r="C1801" s="906">
        <v>91104</v>
      </c>
    </row>
    <row r="1802" spans="2:3" x14ac:dyDescent="0.25">
      <c r="B1802" s="922" t="s">
        <v>3866</v>
      </c>
      <c r="C1802" s="906">
        <v>91109</v>
      </c>
    </row>
    <row r="1803" spans="2:3" x14ac:dyDescent="0.25">
      <c r="B1803" s="922" t="s">
        <v>2546</v>
      </c>
      <c r="C1803" s="906">
        <v>96621</v>
      </c>
    </row>
    <row r="1804" spans="2:3" x14ac:dyDescent="0.25">
      <c r="B1804" s="922" t="s">
        <v>2547</v>
      </c>
      <c r="C1804" s="906">
        <v>96511</v>
      </c>
    </row>
    <row r="1805" spans="2:3" x14ac:dyDescent="0.25">
      <c r="B1805" s="922" t="s">
        <v>2054</v>
      </c>
      <c r="C1805" s="906">
        <v>99901</v>
      </c>
    </row>
    <row r="1806" spans="2:3" x14ac:dyDescent="0.25">
      <c r="B1806" s="922" t="s">
        <v>3494</v>
      </c>
      <c r="C1806" s="906">
        <v>98604</v>
      </c>
    </row>
    <row r="1807" spans="2:3" x14ac:dyDescent="0.25">
      <c r="B1807" s="922" t="s">
        <v>1948</v>
      </c>
      <c r="C1807" s="906">
        <v>98608</v>
      </c>
    </row>
    <row r="1808" spans="2:3" x14ac:dyDescent="0.25">
      <c r="B1808" s="922" t="s">
        <v>2548</v>
      </c>
      <c r="C1808" s="906">
        <v>99911</v>
      </c>
    </row>
    <row r="1809" spans="2:3" x14ac:dyDescent="0.25">
      <c r="B1809" s="922" t="s">
        <v>1173</v>
      </c>
      <c r="C1809" s="906">
        <v>90001</v>
      </c>
    </row>
    <row r="1810" spans="2:3" x14ac:dyDescent="0.25">
      <c r="B1810" s="922" t="s">
        <v>3867</v>
      </c>
      <c r="C1810" s="906">
        <v>90002</v>
      </c>
    </row>
    <row r="1811" spans="2:3" x14ac:dyDescent="0.25">
      <c r="B1811" s="922" t="s">
        <v>2549</v>
      </c>
      <c r="C1811" s="906">
        <v>91719</v>
      </c>
    </row>
    <row r="1812" spans="2:3" x14ac:dyDescent="0.25">
      <c r="B1812" s="922" t="s">
        <v>2550</v>
      </c>
      <c r="C1812" s="906">
        <v>93541</v>
      </c>
    </row>
    <row r="1813" spans="2:3" x14ac:dyDescent="0.25">
      <c r="B1813" s="922" t="s">
        <v>2551</v>
      </c>
      <c r="C1813" s="906">
        <v>99241</v>
      </c>
    </row>
  </sheetData>
  <pageMargins left="0.7" right="0.7" top="0.75" bottom="0.75" header="0.3" footer="0.3"/>
  <pageSetup paperSize="5" scale="50" fitToHeight="0"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pageSetUpPr fitToPage="1"/>
  </sheetPr>
  <dimension ref="A2:V144"/>
  <sheetViews>
    <sheetView workbookViewId="0">
      <selection activeCell="C13" sqref="C13"/>
    </sheetView>
  </sheetViews>
  <sheetFormatPr defaultRowHeight="12.75" x14ac:dyDescent="0.2"/>
  <cols>
    <col min="1" max="1" width="11.85546875" customWidth="1"/>
    <col min="2" max="2" width="45.42578125" customWidth="1"/>
    <col min="3" max="3" width="25.140625" customWidth="1"/>
    <col min="4" max="4" width="23.5703125" customWidth="1"/>
    <col min="5" max="5" width="18.28515625" customWidth="1"/>
    <col min="6" max="6" width="25.42578125" customWidth="1"/>
    <col min="7" max="7" width="18.28515625" customWidth="1"/>
    <col min="8" max="8" width="20" customWidth="1"/>
    <col min="9" max="9" width="32.85546875" customWidth="1"/>
    <col min="10" max="10" width="19.42578125" customWidth="1"/>
    <col min="11" max="11" width="23" customWidth="1"/>
    <col min="12" max="12" width="18.28515625" customWidth="1"/>
    <col min="13" max="13" width="20" customWidth="1"/>
    <col min="14" max="14" width="16.28515625" customWidth="1"/>
    <col min="15" max="15" width="19.42578125" customWidth="1"/>
    <col min="16" max="16" width="28.140625" customWidth="1"/>
    <col min="17" max="17" width="13.85546875" customWidth="1"/>
    <col min="18" max="18" width="22.42578125" customWidth="1"/>
    <col min="19" max="19" width="5.7109375" customWidth="1"/>
    <col min="20" max="20" width="13.5703125" customWidth="1"/>
    <col min="21" max="21" width="26.85546875" customWidth="1"/>
    <col min="22" max="22" width="16.7109375" customWidth="1"/>
  </cols>
  <sheetData>
    <row r="2" spans="1:18" ht="38.25" customHeight="1" x14ac:dyDescent="0.25">
      <c r="A2" s="1351" t="s">
        <v>2071</v>
      </c>
      <c r="B2" s="1352"/>
      <c r="C2" s="1353"/>
    </row>
    <row r="3" spans="1:18" x14ac:dyDescent="0.2">
      <c r="E3" s="5"/>
    </row>
    <row r="4" spans="1:18" x14ac:dyDescent="0.2">
      <c r="E4" s="661"/>
    </row>
    <row r="5" spans="1:18" ht="64.5" customHeight="1" x14ac:dyDescent="0.2">
      <c r="A5" s="1365" t="s">
        <v>3546</v>
      </c>
      <c r="B5" s="1365"/>
      <c r="C5" s="1365"/>
    </row>
    <row r="11" spans="1:18" x14ac:dyDescent="0.2">
      <c r="A11" s="662" t="s">
        <v>876</v>
      </c>
      <c r="B11" s="663" t="s">
        <v>3555</v>
      </c>
      <c r="C11" s="663"/>
      <c r="D11" s="663"/>
    </row>
    <row r="13" spans="1:18" s="799" customFormat="1" x14ac:dyDescent="0.2">
      <c r="B13" s="259" t="s">
        <v>2062</v>
      </c>
      <c r="C13" s="859" t="s">
        <v>2121</v>
      </c>
      <c r="R13" s="799">
        <f>59675+10963</f>
        <v>70638</v>
      </c>
    </row>
    <row r="14" spans="1:18" s="770" customFormat="1" x14ac:dyDescent="0.2">
      <c r="B14" s="771"/>
      <c r="C14" s="495"/>
    </row>
    <row r="15" spans="1:18" s="770" customFormat="1" x14ac:dyDescent="0.2">
      <c r="B15" s="771" t="s">
        <v>2562</v>
      </c>
      <c r="C15" s="860" t="s">
        <v>2121</v>
      </c>
    </row>
    <row r="16" spans="1:18" s="771" customFormat="1" x14ac:dyDescent="0.2">
      <c r="C16" s="495"/>
    </row>
    <row r="17" spans="1:22" s="770" customFormat="1" ht="50.25" customHeight="1" x14ac:dyDescent="0.2">
      <c r="B17" s="801" t="s">
        <v>3871</v>
      </c>
      <c r="C17" s="861"/>
    </row>
    <row r="18" spans="1:22" s="771" customFormat="1" x14ac:dyDescent="0.2">
      <c r="C18" s="495"/>
    </row>
    <row r="19" spans="1:22" x14ac:dyDescent="0.2">
      <c r="B19" s="771"/>
    </row>
    <row r="20" spans="1:22" s="770" customFormat="1" x14ac:dyDescent="0.2">
      <c r="B20" s="771"/>
    </row>
    <row r="21" spans="1:22" s="770" customFormat="1" hidden="1" x14ac:dyDescent="0.2">
      <c r="C21" s="770">
        <v>3</v>
      </c>
      <c r="D21" s="770">
        <v>4</v>
      </c>
      <c r="F21" s="770">
        <v>5</v>
      </c>
      <c r="G21" s="770">
        <v>6</v>
      </c>
      <c r="H21" s="770">
        <v>7</v>
      </c>
      <c r="I21" s="770">
        <v>8</v>
      </c>
      <c r="J21" s="770">
        <v>9</v>
      </c>
      <c r="K21" s="770">
        <v>10</v>
      </c>
      <c r="L21" s="770">
        <v>11</v>
      </c>
      <c r="M21" s="770">
        <v>12</v>
      </c>
      <c r="N21" s="770">
        <v>13</v>
      </c>
      <c r="O21" s="770">
        <v>14</v>
      </c>
      <c r="P21" s="770">
        <v>15</v>
      </c>
      <c r="Q21" s="770">
        <v>16</v>
      </c>
      <c r="R21" s="770">
        <v>17</v>
      </c>
      <c r="S21" s="770">
        <v>18</v>
      </c>
      <c r="T21" s="770">
        <v>19</v>
      </c>
      <c r="U21" s="770">
        <v>20</v>
      </c>
      <c r="V21" s="770">
        <v>21</v>
      </c>
    </row>
    <row r="22" spans="1:22" s="770" customFormat="1" ht="15" x14ac:dyDescent="0.25">
      <c r="F22" s="84"/>
      <c r="G22" s="84"/>
      <c r="J22" s="658" t="s">
        <v>1156</v>
      </c>
      <c r="K22" s="658"/>
      <c r="L22" s="658"/>
      <c r="M22" s="658"/>
      <c r="O22" s="658" t="s">
        <v>1157</v>
      </c>
      <c r="P22" s="658"/>
      <c r="Q22" s="658"/>
      <c r="R22" s="658"/>
      <c r="T22" s="658" t="s">
        <v>1158</v>
      </c>
      <c r="U22" s="658"/>
      <c r="V22" s="658"/>
    </row>
    <row r="23" spans="1:22" s="770" customFormat="1" ht="105" x14ac:dyDescent="0.25">
      <c r="A23" s="659" t="s">
        <v>1155</v>
      </c>
      <c r="B23" s="659" t="s">
        <v>1159</v>
      </c>
      <c r="C23" s="659" t="s">
        <v>2117</v>
      </c>
      <c r="D23" s="659" t="s">
        <v>2118</v>
      </c>
      <c r="E23" s="659" t="s">
        <v>2554</v>
      </c>
      <c r="F23" s="659" t="s">
        <v>2555</v>
      </c>
      <c r="G23" s="659" t="s">
        <v>2556</v>
      </c>
      <c r="H23" s="659" t="s">
        <v>2557</v>
      </c>
      <c r="I23" s="659"/>
      <c r="J23" s="659" t="s">
        <v>1161</v>
      </c>
      <c r="K23" s="659" t="s">
        <v>1162</v>
      </c>
      <c r="L23" s="659" t="s">
        <v>1163</v>
      </c>
      <c r="M23" s="659" t="s">
        <v>1164</v>
      </c>
      <c r="N23" s="659"/>
      <c r="O23" s="659" t="s">
        <v>1161</v>
      </c>
      <c r="P23" s="659" t="s">
        <v>1162</v>
      </c>
      <c r="Q23" s="659" t="s">
        <v>1163</v>
      </c>
      <c r="R23" s="659" t="s">
        <v>1164</v>
      </c>
      <c r="S23" s="659"/>
      <c r="T23" s="659" t="s">
        <v>1165</v>
      </c>
      <c r="U23" s="659" t="s">
        <v>1166</v>
      </c>
      <c r="V23" s="659" t="s">
        <v>2558</v>
      </c>
    </row>
    <row r="24" spans="1:22" s="770" customFormat="1" ht="15" x14ac:dyDescent="0.25">
      <c r="A24" s="659"/>
      <c r="B24" s="659"/>
      <c r="C24" s="659"/>
      <c r="D24" s="659"/>
      <c r="E24" s="659"/>
      <c r="F24" s="659"/>
      <c r="G24" s="659"/>
      <c r="H24" s="659"/>
      <c r="I24" s="659"/>
      <c r="J24" s="659"/>
      <c r="K24" s="659"/>
      <c r="L24" s="659"/>
      <c r="M24" s="659"/>
      <c r="N24" s="659"/>
      <c r="O24" s="659"/>
      <c r="P24" s="659"/>
      <c r="Q24" s="659"/>
      <c r="R24" s="659"/>
      <c r="S24" s="659"/>
      <c r="T24" s="659"/>
      <c r="U24" s="659"/>
      <c r="V24" s="659"/>
    </row>
    <row r="25" spans="1:22" s="770" customFormat="1" ht="30" x14ac:dyDescent="0.25">
      <c r="A25" s="659" t="s">
        <v>2559</v>
      </c>
      <c r="B25" s="659"/>
      <c r="C25" s="659"/>
      <c r="D25" s="659"/>
      <c r="E25" s="659"/>
      <c r="F25" s="659"/>
      <c r="G25" s="659"/>
      <c r="H25" s="659"/>
      <c r="I25" s="659"/>
      <c r="J25" s="659"/>
      <c r="K25" s="659"/>
      <c r="L25" s="659"/>
      <c r="M25" s="659"/>
      <c r="N25" s="659"/>
      <c r="O25" s="659"/>
      <c r="P25" s="659"/>
      <c r="Q25" s="659"/>
      <c r="R25" s="659"/>
      <c r="S25" s="659"/>
      <c r="T25" s="659"/>
      <c r="U25" s="659"/>
      <c r="V25" s="659"/>
    </row>
    <row r="26" spans="1:22" s="770" customFormat="1" x14ac:dyDescent="0.2">
      <c r="A26" s="773" t="str">
        <f>VLOOKUP(C13,'N.1a 2019 summary'!$B$927:$C$1838,2,FALSE)</f>
        <v>N/A</v>
      </c>
      <c r="B26" s="770" t="str">
        <f>C13</f>
        <v>No additional agency chosen</v>
      </c>
      <c r="C26" s="948">
        <f>VLOOKUP($A26,'N.1a 2019 summary'!$A:$T,3,FALSE)</f>
        <v>0</v>
      </c>
      <c r="D26" s="948">
        <f>VLOOKUP($A26,'N.1a 2019 summary'!$A:$T,4,FALSE)</f>
        <v>0</v>
      </c>
      <c r="E26" s="948">
        <f>C26-D26</f>
        <v>0</v>
      </c>
      <c r="F26" s="949">
        <f>VLOOKUP($A26,'N.1c LGERS Contributions FY2018'!$A:$C,3,FALSE)</f>
        <v>0</v>
      </c>
      <c r="G26" s="949">
        <f>VLOOKUP($A26,'N.1a 2018 summary'!$A:$V,5,FALSE)</f>
        <v>0</v>
      </c>
      <c r="H26" s="949">
        <f>VLOOKUP($A26,'N.1a 2019 summary'!$A:$U,5,FALSE)</f>
        <v>0</v>
      </c>
      <c r="J26" s="954">
        <f>VLOOKUP($A26,'N.1a 2019 summary'!$A:$U,7,FALSE)</f>
        <v>0</v>
      </c>
      <c r="K26" s="954">
        <f>VLOOKUP($A26,'N.1a 2019 summary'!$A:$U,8,FALSE)</f>
        <v>0</v>
      </c>
      <c r="L26" s="954">
        <f>VLOOKUP($A26,'N.1a 2019 summary'!$A:$U,9,FALSE)</f>
        <v>0</v>
      </c>
      <c r="M26" s="954">
        <f>VLOOKUP($A26,'N.1a 2019 summary'!$A:$U,10,FALSE)</f>
        <v>0</v>
      </c>
      <c r="O26" s="954">
        <f>VLOOKUP($A26,'N.1a 2019 summary'!$A:$U,13,FALSE)</f>
        <v>0</v>
      </c>
      <c r="P26" s="1101" t="s">
        <v>487</v>
      </c>
      <c r="Q26" s="954">
        <f>VLOOKUP($A26,'N.1a 2019 summary'!$A:$U,14,FALSE)</f>
        <v>0</v>
      </c>
      <c r="R26" s="954">
        <f>VLOOKUP($A26,'N.1a 2019 summary'!$A:$U,15,FALSE)</f>
        <v>0</v>
      </c>
      <c r="T26" s="954">
        <f>VLOOKUP($A26,'N.1a 2019 summary'!$A:$U,18,FALSE)</f>
        <v>0</v>
      </c>
      <c r="U26" s="954">
        <f>VLOOKUP($A26,'N.1a 2019 summary'!$A:$U,19,FALSE)</f>
        <v>0</v>
      </c>
      <c r="V26" s="954">
        <f>VLOOKUP($A26,'N.1a 2019 summary'!$A:$U,20,FALSE)</f>
        <v>0</v>
      </c>
    </row>
    <row r="27" spans="1:22" s="770" customFormat="1" ht="15" x14ac:dyDescent="0.25">
      <c r="A27" s="659"/>
      <c r="B27" s="659"/>
      <c r="C27" s="659"/>
      <c r="D27" s="659"/>
      <c r="E27" s="659"/>
      <c r="F27" s="659"/>
      <c r="G27" s="659"/>
      <c r="H27" s="659"/>
      <c r="I27" s="659"/>
      <c r="J27" s="659"/>
      <c r="K27" s="659"/>
      <c r="L27" s="659"/>
      <c r="M27" s="659"/>
      <c r="N27" s="659"/>
      <c r="O27" s="659"/>
      <c r="P27" s="957"/>
      <c r="Q27" s="659"/>
      <c r="R27" s="659"/>
      <c r="S27" s="659"/>
      <c r="T27" s="659"/>
      <c r="U27" s="659"/>
      <c r="V27" s="659"/>
    </row>
    <row r="28" spans="1:22" s="770" customFormat="1" x14ac:dyDescent="0.2">
      <c r="A28" s="1104" t="str">
        <f>VLOOKUP(C15,'N.1a 2019 summary'!$B$927:$C$1838,2,FALSE)</f>
        <v>N/A</v>
      </c>
      <c r="B28" s="795" t="str">
        <f>C15</f>
        <v>No additional agency chosen</v>
      </c>
      <c r="C28" s="948">
        <f>VLOOKUP($A28,'N.1a 2019 summary'!$A:$T,3,FALSE)</f>
        <v>0</v>
      </c>
      <c r="D28" s="948">
        <f>VLOOKUP($A28,'N.1a 2019 summary'!$A:$T,4,FALSE)</f>
        <v>0</v>
      </c>
      <c r="E28" s="948">
        <f>C28-D28</f>
        <v>0</v>
      </c>
      <c r="F28" s="949">
        <f>VLOOKUP($A28,'N.1c LGERS Contributions FY2018'!$A:$C,3,FALSE)</f>
        <v>0</v>
      </c>
      <c r="G28" s="949">
        <f>VLOOKUP($A28,'N.1a 2018 summary'!$A:$V,5,FALSE)</f>
        <v>0</v>
      </c>
      <c r="H28" s="949">
        <f>VLOOKUP($A28,'N.1a 2019 summary'!$A:$U,5,FALSE)</f>
        <v>0</v>
      </c>
      <c r="I28" s="815"/>
      <c r="J28" s="954">
        <f>VLOOKUP($A28,'N.1a 2019 summary'!$A:$U,7,FALSE)</f>
        <v>0</v>
      </c>
      <c r="K28" s="954">
        <f>VLOOKUP($A28,'N.1a 2019 summary'!$A:$U,8,FALSE)</f>
        <v>0</v>
      </c>
      <c r="L28" s="954">
        <f>VLOOKUP($A28,'N.1a 2019 summary'!$A:$U,9,FALSE)</f>
        <v>0</v>
      </c>
      <c r="M28" s="954">
        <f>VLOOKUP($A28,'N.1a 2019 summary'!$A:$U,10,FALSE)</f>
        <v>0</v>
      </c>
      <c r="N28" s="1045"/>
      <c r="O28" s="954">
        <f>VLOOKUP($A28,'N.1a 2019 summary'!$A:$U,13,FALSE)</f>
        <v>0</v>
      </c>
      <c r="P28" s="1101" t="s">
        <v>487</v>
      </c>
      <c r="Q28" s="954">
        <f>VLOOKUP($A28,'N.1a 2019 summary'!$A:$U,14,FALSE)</f>
        <v>0</v>
      </c>
      <c r="R28" s="954">
        <f>VLOOKUP($A28,'N.1a 2019 summary'!$A:$U,15,FALSE)</f>
        <v>0</v>
      </c>
      <c r="S28" s="1045"/>
      <c r="T28" s="954">
        <f>VLOOKUP($A28,'N.1a 2019 summary'!$A:$U,18,FALSE)</f>
        <v>0</v>
      </c>
      <c r="U28" s="954">
        <f>VLOOKUP($A28,'N.1a 2019 summary'!$A:$U,19,FALSE)</f>
        <v>0</v>
      </c>
      <c r="V28" s="954">
        <f>VLOOKUP($A28,'N.1a 2019 summary'!$A:$U,20,FALSE)</f>
        <v>0</v>
      </c>
    </row>
    <row r="29" spans="1:22" s="770" customFormat="1" ht="15" x14ac:dyDescent="0.25">
      <c r="A29" s="659"/>
      <c r="B29" s="659"/>
      <c r="C29" s="659"/>
      <c r="D29" s="659"/>
      <c r="E29" s="659"/>
      <c r="F29" s="659"/>
      <c r="G29" s="659"/>
      <c r="H29" s="659"/>
      <c r="I29" s="659"/>
      <c r="J29" s="659"/>
      <c r="K29" s="659"/>
      <c r="L29" s="659"/>
      <c r="M29" s="659"/>
      <c r="N29" s="659"/>
      <c r="O29" s="659"/>
      <c r="P29" s="957"/>
      <c r="Q29" s="659"/>
      <c r="R29" s="659"/>
      <c r="S29" s="659"/>
      <c r="T29" s="659"/>
      <c r="U29" s="659"/>
      <c r="V29" s="659"/>
    </row>
    <row r="30" spans="1:22" s="770" customFormat="1" x14ac:dyDescent="0.2">
      <c r="B30" s="770" t="s">
        <v>2560</v>
      </c>
      <c r="C30" s="794">
        <f>C26+C28</f>
        <v>0</v>
      </c>
      <c r="D30" s="794">
        <f>D26+D28</f>
        <v>0</v>
      </c>
      <c r="E30" s="794">
        <f>C30-D30</f>
        <v>0</v>
      </c>
      <c r="F30" s="792">
        <f>F26+F28</f>
        <v>0</v>
      </c>
      <c r="G30" s="792">
        <f>G26+G28</f>
        <v>0</v>
      </c>
      <c r="H30" s="792">
        <f>H26+H28</f>
        <v>0</v>
      </c>
      <c r="I30" s="792"/>
      <c r="J30" s="792">
        <f>J26+J28</f>
        <v>0</v>
      </c>
      <c r="K30" s="792">
        <f>K26+K28</f>
        <v>0</v>
      </c>
      <c r="L30" s="792">
        <f>L26+L28</f>
        <v>0</v>
      </c>
      <c r="M30" s="792">
        <f>M26+M28</f>
        <v>0</v>
      </c>
      <c r="N30" s="792"/>
      <c r="O30" s="792">
        <f>O26+O28</f>
        <v>0</v>
      </c>
      <c r="P30" s="958" t="s">
        <v>487</v>
      </c>
      <c r="Q30" s="792">
        <f>Q26+Q28</f>
        <v>0</v>
      </c>
      <c r="R30" s="792">
        <f>R26+R28</f>
        <v>0</v>
      </c>
      <c r="S30" s="792"/>
      <c r="T30" s="792">
        <f>T26+T28</f>
        <v>0</v>
      </c>
      <c r="U30" s="792">
        <f>U26+U28</f>
        <v>0</v>
      </c>
      <c r="V30" s="792">
        <f>V26+V28</f>
        <v>0</v>
      </c>
    </row>
    <row r="31" spans="1:22" s="770" customFormat="1" x14ac:dyDescent="0.2">
      <c r="G31" s="953"/>
    </row>
    <row r="32" spans="1:22" s="770" customFormat="1" x14ac:dyDescent="0.2">
      <c r="A32" s="36"/>
      <c r="B32" s="770" t="s">
        <v>4885</v>
      </c>
      <c r="F32" s="955">
        <f>'N.1c LGERS Contributions FY2018'!C904</f>
        <v>489372689</v>
      </c>
      <c r="G32" s="956">
        <f>'N.1a 2018 summary'!E909</f>
        <v>1527723006</v>
      </c>
      <c r="H32" s="955">
        <f>'N.1a 2019 summary'!E925</f>
        <v>2372341991</v>
      </c>
      <c r="I32" s="792"/>
      <c r="J32" s="955">
        <f>'N.1a 2019 summary'!G925</f>
        <v>365996013</v>
      </c>
      <c r="K32" s="955">
        <f>'N.1a 2019 summary'!H925</f>
        <v>325651977</v>
      </c>
      <c r="L32" s="955">
        <f>'N.1a 2019 summary'!I925</f>
        <v>629527990</v>
      </c>
      <c r="M32" s="955">
        <f>'N.1a 2019 summary'!J925</f>
        <v>39321171</v>
      </c>
      <c r="N32" s="792"/>
      <c r="O32" s="955">
        <f>'N.1a 2019 summary'!M925</f>
        <v>12280987</v>
      </c>
      <c r="P32" s="1102" t="s">
        <v>487</v>
      </c>
      <c r="Q32" s="955">
        <f>'N.1a 2019 summary'!N925</f>
        <v>0</v>
      </c>
      <c r="R32" s="955">
        <f>'N.1a 2019 summary'!O925</f>
        <v>39321083</v>
      </c>
      <c r="S32" s="792"/>
      <c r="T32" s="955">
        <f>'N.1a 2019 summary'!R925</f>
        <v>658973009</v>
      </c>
      <c r="U32" s="955">
        <f>'N.1a 2019 summary'!S925</f>
        <v>6</v>
      </c>
      <c r="V32" s="955">
        <f>'N.1a 2019 summary'!T925</f>
        <v>658973015</v>
      </c>
    </row>
    <row r="33" spans="1:22" s="770" customFormat="1" x14ac:dyDescent="0.2">
      <c r="A33" s="36"/>
      <c r="F33" s="792"/>
      <c r="G33" s="792"/>
      <c r="H33" s="792"/>
      <c r="J33" s="792"/>
      <c r="K33" s="792"/>
      <c r="L33" s="792"/>
      <c r="M33" s="792"/>
      <c r="O33" s="792"/>
      <c r="P33" s="792"/>
      <c r="Q33" s="792"/>
      <c r="R33" s="792"/>
      <c r="T33" s="792"/>
      <c r="U33" s="792"/>
      <c r="V33" s="792"/>
    </row>
    <row r="34" spans="1:22" s="770" customFormat="1" ht="15" x14ac:dyDescent="0.25">
      <c r="A34" s="796" t="s">
        <v>2561</v>
      </c>
      <c r="F34" s="792"/>
      <c r="G34" s="792"/>
      <c r="H34" s="792"/>
      <c r="J34" s="792"/>
      <c r="K34" s="792"/>
      <c r="L34" s="792"/>
      <c r="M34" s="792"/>
      <c r="O34" s="792"/>
      <c r="P34" s="792"/>
      <c r="Q34" s="792"/>
      <c r="R34" s="792"/>
      <c r="T34" s="792"/>
      <c r="U34" s="792"/>
      <c r="V34" s="792"/>
    </row>
    <row r="35" spans="1:22" s="770" customFormat="1" x14ac:dyDescent="0.2">
      <c r="A35" s="1104" t="str">
        <f>VLOOKUP(C13,'N.1a 2019 summary'!$B$927:$C$1838,2,FALSE)</f>
        <v>N/A</v>
      </c>
      <c r="B35" s="770" t="str">
        <f>C13</f>
        <v>No additional agency chosen</v>
      </c>
      <c r="C35" s="948">
        <f>VLOOKUP($A35,'N.1a 2018 summary'!$A:$T,3,FALSE)</f>
        <v>0</v>
      </c>
      <c r="D35" s="948">
        <f>VLOOKUP($A35,'N.1b 2017 summary'!$A:$T,3,FALSE)</f>
        <v>0</v>
      </c>
      <c r="E35" s="794">
        <f>C35-D35</f>
        <v>0</v>
      </c>
      <c r="F35" s="949">
        <f>VLOOKUP($A35,'N.1c LGERS Contributions FY2017'!$A:$T,3,FALSE)</f>
        <v>0</v>
      </c>
      <c r="G35" s="949">
        <f>VLOOKUP($A35,'N.1b 2017 summary'!$A:$V,7,FALSE)</f>
        <v>0</v>
      </c>
      <c r="H35" s="949">
        <f>VLOOKUP($A35,'N.1a 2018 summary'!$A:$V,5,FALSE)</f>
        <v>0</v>
      </c>
      <c r="I35" s="61"/>
      <c r="J35" s="954">
        <f>VLOOKUP($A35,'N.1a 2018 summary'!$A:$U,7,FALSE)</f>
        <v>0</v>
      </c>
      <c r="K35" s="954">
        <f>VLOOKUP($A35,'N.1a 2018 summary'!$A:$U,8,FALSE)</f>
        <v>0</v>
      </c>
      <c r="L35" s="954">
        <f>VLOOKUP($A35,'N.1a 2018 summary'!$A:$U,9,FALSE)</f>
        <v>0</v>
      </c>
      <c r="M35" s="954">
        <f>VLOOKUP($A35,'N.1a 2018 summary'!$A:$U,10,FALSE)</f>
        <v>0</v>
      </c>
      <c r="N35" s="1045"/>
      <c r="O35" s="954">
        <f>VLOOKUP($A35,'N.1a 2018 summary'!$A:$U,13,FALSE)</f>
        <v>0</v>
      </c>
      <c r="P35" s="1101">
        <v>0</v>
      </c>
      <c r="Q35" s="954">
        <f>VLOOKUP($A35,'N.1a 2018 summary'!$A:$U,14,FALSE)</f>
        <v>0</v>
      </c>
      <c r="R35" s="954">
        <f>VLOOKUP($A35,'N.1a 2018 summary'!$A:$U,15,FALSE)</f>
        <v>0</v>
      </c>
      <c r="S35" s="1045"/>
      <c r="T35" s="954">
        <f>VLOOKUP($A35,'N.1a 2018 summary'!$A:$U,18,FALSE)</f>
        <v>0</v>
      </c>
      <c r="U35" s="954">
        <f>VLOOKUP($A35,'N.1a 2018 summary'!$A:$U,19,FALSE)</f>
        <v>0</v>
      </c>
      <c r="V35" s="954">
        <f>VLOOKUP($A35,'N.1a 2018 summary'!$A:$U,20,FALSE)</f>
        <v>0</v>
      </c>
    </row>
    <row r="36" spans="1:22" s="770" customFormat="1" ht="15" x14ac:dyDescent="0.25">
      <c r="A36" s="797"/>
      <c r="F36" s="792"/>
      <c r="G36" s="792"/>
      <c r="H36" s="792"/>
      <c r="J36" s="659"/>
      <c r="K36" s="659"/>
      <c r="L36" s="659"/>
      <c r="M36" s="659"/>
      <c r="N36" s="659"/>
      <c r="O36" s="659"/>
      <c r="P36" s="957"/>
      <c r="Q36" s="659"/>
      <c r="R36" s="659"/>
      <c r="S36" s="659"/>
      <c r="T36" s="659"/>
      <c r="U36" s="659"/>
      <c r="V36" s="659"/>
    </row>
    <row r="37" spans="1:22" s="770" customFormat="1" x14ac:dyDescent="0.2">
      <c r="A37" s="1104" t="str">
        <f>VLOOKUP(C15,'N.1a 2019 summary'!$B$927:$C$1838,2,FALSE)</f>
        <v>N/A</v>
      </c>
      <c r="B37" s="798" t="str">
        <f>C15</f>
        <v>No additional agency chosen</v>
      </c>
      <c r="C37" s="948">
        <f>VLOOKUP($A37,'N.1a 2018 summary'!$A:$T,3,FALSE)</f>
        <v>0</v>
      </c>
      <c r="D37" s="948">
        <f>VLOOKUP($A37,'N.1b 2017 summary'!$A:$T,3,FALSE)</f>
        <v>0</v>
      </c>
      <c r="E37" s="794">
        <f>C37-D37</f>
        <v>0</v>
      </c>
      <c r="F37" s="949">
        <f>VLOOKUP($A37,'N.1c LGERS Contributions FY2017'!$A:$T,3,FALSE)</f>
        <v>0</v>
      </c>
      <c r="G37" s="949">
        <f>VLOOKUP($A37,'N.1b 2017 summary'!$A:$V,7,FALSE)</f>
        <v>0</v>
      </c>
      <c r="H37" s="949">
        <f>VLOOKUP($A37,'N.1a 2018 summary'!$A:$V,5,FALSE)</f>
        <v>0</v>
      </c>
      <c r="I37" s="61"/>
      <c r="J37" s="949">
        <f>VLOOKUP($A37,'N.1a 2018 summary'!$A:$U,7,FALSE)</f>
        <v>0</v>
      </c>
      <c r="K37" s="954">
        <f>VLOOKUP($A37,'N.1a 2018 summary'!$A:$U,8,FALSE)</f>
        <v>0</v>
      </c>
      <c r="L37" s="954">
        <f>VLOOKUP($A37,'N.1a 2018 summary'!$A:$U,9,FALSE)</f>
        <v>0</v>
      </c>
      <c r="M37" s="954">
        <f>VLOOKUP($A37,'N.1a 2018 summary'!$A:$U,10,FALSE)</f>
        <v>0</v>
      </c>
      <c r="N37" s="1045"/>
      <c r="O37" s="954">
        <f>VLOOKUP($A37,'N.1a 2018 summary'!$A:$U,13,FALSE)</f>
        <v>0</v>
      </c>
      <c r="P37" s="1101">
        <v>0</v>
      </c>
      <c r="Q37" s="954">
        <f>VLOOKUP($A37,'N.1a 2018 summary'!$A:$U,14,FALSE)</f>
        <v>0</v>
      </c>
      <c r="R37" s="954">
        <f>VLOOKUP($A37,'N.1a 2018 summary'!$A:$U,15,FALSE)</f>
        <v>0</v>
      </c>
      <c r="S37" s="1045"/>
      <c r="T37" s="954">
        <f>VLOOKUP($A37,'N.1a 2018 summary'!$A:$U,18,FALSE)</f>
        <v>0</v>
      </c>
      <c r="U37" s="954">
        <f>VLOOKUP($A37,'N.1a 2018 summary'!$A:$U,19,FALSE)</f>
        <v>0</v>
      </c>
      <c r="V37" s="954">
        <f>VLOOKUP($A37,'N.1a 2018 summary'!$A:$U,20,FALSE)</f>
        <v>0</v>
      </c>
    </row>
    <row r="38" spans="1:22" s="770" customFormat="1" ht="15" x14ac:dyDescent="0.25">
      <c r="A38" s="796"/>
      <c r="F38" s="792"/>
      <c r="G38" s="792"/>
      <c r="H38" s="792"/>
      <c r="J38" s="659"/>
      <c r="K38" s="659"/>
      <c r="L38" s="659"/>
      <c r="M38" s="659"/>
      <c r="N38" s="659"/>
      <c r="O38" s="659"/>
      <c r="P38" s="957"/>
      <c r="Q38" s="659"/>
      <c r="R38" s="659"/>
      <c r="S38" s="659"/>
      <c r="T38" s="659"/>
      <c r="U38" s="659"/>
      <c r="V38" s="659"/>
    </row>
    <row r="39" spans="1:22" s="14" customFormat="1" x14ac:dyDescent="0.2">
      <c r="A39" s="36"/>
      <c r="B39" s="770" t="s">
        <v>2560</v>
      </c>
      <c r="C39" s="794">
        <f>C35+C37</f>
        <v>0</v>
      </c>
      <c r="D39" s="794">
        <f>D35+D37</f>
        <v>0</v>
      </c>
      <c r="E39" s="794">
        <f>C39-D39</f>
        <v>0</v>
      </c>
      <c r="F39" s="792">
        <f>F35+F37</f>
        <v>0</v>
      </c>
      <c r="G39" s="792">
        <f>G35+G37</f>
        <v>0</v>
      </c>
      <c r="H39" s="792">
        <f>H35+H37</f>
        <v>0</v>
      </c>
      <c r="I39" s="792"/>
      <c r="J39" s="792">
        <f>J35+J37</f>
        <v>0</v>
      </c>
      <c r="K39" s="792">
        <f>K35+K37</f>
        <v>0</v>
      </c>
      <c r="L39" s="792">
        <f>L35+L37</f>
        <v>0</v>
      </c>
      <c r="M39" s="792">
        <f>M35+M37</f>
        <v>0</v>
      </c>
      <c r="N39" s="792"/>
      <c r="O39" s="792">
        <f>O35+O37</f>
        <v>0</v>
      </c>
      <c r="P39" s="792">
        <f>P35+P37</f>
        <v>0</v>
      </c>
      <c r="Q39" s="792">
        <f>Q35+Q37</f>
        <v>0</v>
      </c>
      <c r="R39" s="792">
        <f>R35+R37</f>
        <v>0</v>
      </c>
      <c r="S39" s="792"/>
      <c r="T39" s="792">
        <f>T35+T37</f>
        <v>0</v>
      </c>
      <c r="U39" s="792">
        <f>U35+U37</f>
        <v>0</v>
      </c>
      <c r="V39" s="792">
        <f>V35+V37</f>
        <v>0</v>
      </c>
    </row>
    <row r="40" spans="1:22" s="14" customFormat="1" x14ac:dyDescent="0.2">
      <c r="A40" s="36"/>
      <c r="B40" s="770"/>
      <c r="C40" s="770"/>
      <c r="D40" s="770"/>
      <c r="E40" s="770"/>
      <c r="F40" s="792"/>
      <c r="G40" s="792"/>
      <c r="H40" s="792"/>
      <c r="I40" s="770"/>
      <c r="J40" s="1045"/>
      <c r="K40" s="1045"/>
      <c r="L40" s="1045"/>
      <c r="M40" s="1045"/>
      <c r="N40" s="1045"/>
      <c r="O40" s="1045"/>
      <c r="P40" s="1045"/>
      <c r="Q40" s="1045"/>
      <c r="R40" s="1045"/>
      <c r="S40" s="1045"/>
      <c r="T40" s="1045"/>
      <c r="U40" s="1045"/>
      <c r="V40" s="1045"/>
    </row>
    <row r="41" spans="1:22" s="14" customFormat="1" x14ac:dyDescent="0.2">
      <c r="A41" s="36"/>
      <c r="B41" s="770" t="s">
        <v>3880</v>
      </c>
      <c r="C41" s="770"/>
      <c r="D41" s="770"/>
      <c r="E41" s="770"/>
      <c r="F41" s="955">
        <f>'N.1c LGERS Contributions FY2017'!C898</f>
        <v>459089443</v>
      </c>
      <c r="G41" s="955">
        <f>'N.1b 2017 summary'!G908</f>
        <v>2122335002</v>
      </c>
      <c r="H41" s="955">
        <f>'N.1a 2018 summary'!E909</f>
        <v>1527723006</v>
      </c>
      <c r="I41" s="792"/>
      <c r="J41" s="955">
        <f>'N.1a 2018 summary'!G909</f>
        <v>88010998</v>
      </c>
      <c r="K41" s="955">
        <f>'N.1a 2018 summary'!H909</f>
        <v>370932998</v>
      </c>
      <c r="L41" s="955">
        <f>'N.1a 2018 summary'!I909</f>
        <v>218179990</v>
      </c>
      <c r="M41" s="955">
        <f>'N.1a 2018 summary'!J909</f>
        <v>44399345</v>
      </c>
      <c r="N41" s="792"/>
      <c r="O41" s="955">
        <f>'N.1a 2018 summary'!M909</f>
        <v>43245007</v>
      </c>
      <c r="P41" s="1102" t="s">
        <v>487</v>
      </c>
      <c r="Q41" s="955">
        <f>'N.1a 2018 summary'!N909</f>
        <v>0</v>
      </c>
      <c r="R41" s="955">
        <f>'N.1a 2018 summary'!O909</f>
        <v>44399369</v>
      </c>
      <c r="S41" s="792"/>
      <c r="T41" s="955">
        <f>'N.1a 2018 summary'!R909</f>
        <v>514844016</v>
      </c>
      <c r="U41" s="955">
        <f>'N.1a 2018 summary'!S909</f>
        <v>36</v>
      </c>
      <c r="V41" s="955">
        <f>'N.1a 2018 summary'!T909</f>
        <v>514844052</v>
      </c>
    </row>
    <row r="42" spans="1:22" s="14" customFormat="1" x14ac:dyDescent="0.2">
      <c r="C42" s="73"/>
      <c r="D42" s="73"/>
      <c r="E42" s="73"/>
      <c r="F42" s="73"/>
      <c r="G42" s="73"/>
      <c r="H42" s="73"/>
      <c r="I42" s="73"/>
      <c r="J42" s="73"/>
      <c r="K42" s="73"/>
      <c r="L42" s="73"/>
      <c r="M42" s="73"/>
      <c r="N42" s="73"/>
      <c r="O42" s="73"/>
      <c r="P42" s="73"/>
      <c r="Q42" s="73"/>
      <c r="R42" s="73"/>
      <c r="S42" s="73"/>
      <c r="U42" s="12"/>
      <c r="V42" s="12"/>
    </row>
    <row r="43" spans="1:22" s="855" customFormat="1" x14ac:dyDescent="0.2">
      <c r="A43" s="856"/>
      <c r="B43" s="856"/>
      <c r="C43" s="856"/>
      <c r="D43" s="856"/>
      <c r="E43" s="856"/>
      <c r="F43" s="856"/>
      <c r="G43" s="856"/>
      <c r="H43" s="856"/>
      <c r="I43" s="856"/>
      <c r="J43" s="857"/>
      <c r="K43" s="10"/>
      <c r="L43" s="856"/>
      <c r="M43" s="856"/>
      <c r="N43" s="856"/>
    </row>
    <row r="44" spans="1:22" s="855" customFormat="1" x14ac:dyDescent="0.2">
      <c r="A44" s="856"/>
      <c r="B44" s="856"/>
      <c r="C44" s="856"/>
      <c r="D44" s="856"/>
      <c r="E44" s="125"/>
      <c r="F44" s="125"/>
      <c r="G44" s="856"/>
      <c r="H44" s="856"/>
      <c r="I44" s="856"/>
      <c r="J44" s="856"/>
      <c r="K44" s="856"/>
      <c r="L44" s="856"/>
      <c r="M44" s="856"/>
      <c r="N44" s="856"/>
    </row>
    <row r="45" spans="1:22" s="855" customFormat="1" ht="15" x14ac:dyDescent="0.25">
      <c r="A45" s="844"/>
      <c r="B45" s="856" t="s">
        <v>3495</v>
      </c>
      <c r="C45" s="856"/>
      <c r="D45" s="10">
        <f>G30</f>
        <v>0</v>
      </c>
      <c r="E45" s="848"/>
      <c r="F45" s="125"/>
      <c r="G45" s="856"/>
      <c r="H45" s="856"/>
      <c r="I45" s="856"/>
      <c r="J45" s="856"/>
      <c r="K45" s="856"/>
      <c r="L45" s="856"/>
      <c r="M45" s="856"/>
      <c r="N45" s="856"/>
    </row>
    <row r="46" spans="1:22" s="855" customFormat="1" x14ac:dyDescent="0.2">
      <c r="A46" s="856"/>
      <c r="B46" s="856" t="s">
        <v>3496</v>
      </c>
      <c r="C46" s="856"/>
      <c r="D46" s="10"/>
      <c r="E46" s="848">
        <f>H30</f>
        <v>0</v>
      </c>
      <c r="F46" s="125"/>
      <c r="G46" s="856"/>
      <c r="H46" s="856"/>
      <c r="I46" s="856"/>
      <c r="J46" s="856"/>
      <c r="K46" s="856"/>
      <c r="L46" s="856"/>
      <c r="M46" s="856"/>
      <c r="N46" s="856"/>
    </row>
    <row r="47" spans="1:22" s="855" customFormat="1" x14ac:dyDescent="0.2">
      <c r="A47" s="856"/>
      <c r="B47" s="856" t="s">
        <v>3514</v>
      </c>
      <c r="C47" s="856"/>
      <c r="D47" s="10">
        <f>V30</f>
        <v>0</v>
      </c>
      <c r="E47" s="848"/>
      <c r="F47" s="125"/>
      <c r="G47" s="856"/>
      <c r="H47" s="856"/>
      <c r="I47" s="856"/>
      <c r="J47" s="845"/>
      <c r="K47" s="845"/>
      <c r="L47" s="845"/>
      <c r="M47" s="856"/>
      <c r="N47" s="856"/>
    </row>
    <row r="48" spans="1:22" s="855" customFormat="1" x14ac:dyDescent="0.2">
      <c r="A48" s="856"/>
      <c r="B48" s="856" t="s">
        <v>3497</v>
      </c>
      <c r="C48" s="856"/>
      <c r="D48" s="10"/>
      <c r="E48" s="848">
        <f>J39</f>
        <v>0</v>
      </c>
      <c r="F48" s="125"/>
      <c r="G48" s="856"/>
      <c r="H48" s="856"/>
      <c r="I48" s="856"/>
      <c r="J48" s="856"/>
      <c r="K48" s="856"/>
      <c r="L48" s="856"/>
      <c r="M48" s="856"/>
      <c r="N48" s="856"/>
    </row>
    <row r="49" spans="1:14" s="855" customFormat="1" x14ac:dyDescent="0.2">
      <c r="A49" s="846"/>
      <c r="B49" s="856" t="s">
        <v>3498</v>
      </c>
      <c r="C49" s="856"/>
      <c r="D49" s="10"/>
      <c r="E49" s="848">
        <f>IF(K39-P39&gt;0,K39-P39,0)</f>
        <v>0</v>
      </c>
      <c r="F49" s="125"/>
      <c r="G49" s="856"/>
      <c r="H49" s="856"/>
      <c r="I49" s="856"/>
      <c r="J49" s="72"/>
      <c r="K49" s="72"/>
      <c r="L49" s="72"/>
      <c r="M49" s="856"/>
      <c r="N49" s="856"/>
    </row>
    <row r="50" spans="1:14" s="855" customFormat="1" x14ac:dyDescent="0.2">
      <c r="A50" s="847"/>
      <c r="B50" s="856" t="s">
        <v>3499</v>
      </c>
      <c r="C50" s="856"/>
      <c r="D50" s="10"/>
      <c r="E50" s="848">
        <f>L39</f>
        <v>0</v>
      </c>
      <c r="F50" s="125"/>
      <c r="G50" s="856"/>
      <c r="H50" s="856"/>
      <c r="I50" s="856"/>
      <c r="J50" s="72"/>
      <c r="K50" s="72"/>
      <c r="L50" s="72"/>
      <c r="M50" s="856"/>
      <c r="N50" s="856"/>
    </row>
    <row r="51" spans="1:14" s="855" customFormat="1" x14ac:dyDescent="0.2">
      <c r="A51" s="847"/>
      <c r="B51" s="857" t="s">
        <v>3500</v>
      </c>
      <c r="C51" s="856"/>
      <c r="D51" s="10"/>
      <c r="E51" s="848">
        <f>M39</f>
        <v>0</v>
      </c>
      <c r="F51" s="848"/>
      <c r="G51" s="856"/>
      <c r="H51" s="856"/>
      <c r="I51" s="857"/>
      <c r="J51" s="72"/>
      <c r="K51" s="72"/>
      <c r="L51" s="72"/>
      <c r="M51" s="856"/>
      <c r="N51" s="856"/>
    </row>
    <row r="52" spans="1:14" s="855" customFormat="1" x14ac:dyDescent="0.2">
      <c r="A52" s="847"/>
      <c r="B52" s="857" t="s">
        <v>3501</v>
      </c>
      <c r="C52" s="856"/>
      <c r="D52" s="10">
        <f>O39</f>
        <v>0</v>
      </c>
      <c r="E52" s="172"/>
      <c r="F52" s="172"/>
      <c r="G52" s="856"/>
      <c r="H52" s="856"/>
      <c r="I52" s="857"/>
      <c r="J52" s="10"/>
      <c r="K52" s="856"/>
      <c r="L52" s="10"/>
      <c r="M52" s="856"/>
      <c r="N52" s="856"/>
    </row>
    <row r="53" spans="1:14" s="855" customFormat="1" x14ac:dyDescent="0.2">
      <c r="A53" s="847"/>
      <c r="B53" s="856" t="s">
        <v>3502</v>
      </c>
      <c r="C53" s="856"/>
      <c r="D53" s="10">
        <f>IF(P39-K39&gt;0,P39-K39,0)</f>
        <v>0</v>
      </c>
      <c r="E53" s="848"/>
      <c r="F53" s="125"/>
      <c r="G53" s="856"/>
      <c r="H53" s="856"/>
      <c r="I53" s="856"/>
      <c r="J53" s="856"/>
      <c r="K53" s="856"/>
      <c r="L53" s="856"/>
      <c r="M53" s="856"/>
      <c r="N53" s="856"/>
    </row>
    <row r="54" spans="1:14" s="855" customFormat="1" x14ac:dyDescent="0.2">
      <c r="A54" s="846"/>
      <c r="B54" s="883" t="s">
        <v>3503</v>
      </c>
      <c r="C54" s="846"/>
      <c r="D54" s="884">
        <f>Q39</f>
        <v>0</v>
      </c>
      <c r="E54" s="884"/>
      <c r="F54" s="125"/>
      <c r="G54" s="856"/>
      <c r="H54" s="856"/>
      <c r="I54" s="857"/>
      <c r="J54" s="10"/>
      <c r="K54" s="10"/>
      <c r="L54" s="10"/>
      <c r="M54" s="856"/>
      <c r="N54" s="856"/>
    </row>
    <row r="55" spans="1:14" s="855" customFormat="1" x14ac:dyDescent="0.2">
      <c r="A55" s="846"/>
      <c r="B55" s="883" t="s">
        <v>3504</v>
      </c>
      <c r="C55" s="846"/>
      <c r="D55" s="884">
        <f>R39</f>
        <v>0</v>
      </c>
      <c r="E55" s="884"/>
      <c r="F55" s="125"/>
      <c r="G55" s="856"/>
      <c r="H55" s="856"/>
      <c r="I55" s="856"/>
      <c r="J55" s="10"/>
      <c r="K55" s="10"/>
      <c r="L55" s="10"/>
      <c r="M55" s="856"/>
      <c r="N55" s="856"/>
    </row>
    <row r="56" spans="1:14" s="855" customFormat="1" x14ac:dyDescent="0.2">
      <c r="A56" s="846"/>
      <c r="B56" s="856" t="s">
        <v>3505</v>
      </c>
      <c r="C56" s="846"/>
      <c r="D56" s="884">
        <f>J30</f>
        <v>0</v>
      </c>
      <c r="E56" s="884"/>
      <c r="F56" s="125"/>
      <c r="G56" s="856"/>
      <c r="H56" s="856"/>
      <c r="I56" s="856"/>
      <c r="J56" s="10"/>
      <c r="K56" s="10"/>
      <c r="L56" s="10"/>
      <c r="M56" s="856"/>
      <c r="N56" s="856"/>
    </row>
    <row r="57" spans="1:14" s="855" customFormat="1" x14ac:dyDescent="0.2">
      <c r="A57" s="846"/>
      <c r="B57" s="856" t="s">
        <v>3506</v>
      </c>
      <c r="C57" s="846"/>
      <c r="D57" s="884">
        <f>K30</f>
        <v>0</v>
      </c>
      <c r="E57" s="884"/>
      <c r="F57" s="125"/>
      <c r="G57" s="856"/>
      <c r="H57" s="856"/>
      <c r="I57" s="856"/>
      <c r="J57" s="10"/>
      <c r="K57" s="10"/>
      <c r="L57" s="10"/>
      <c r="M57" s="856"/>
      <c r="N57" s="856"/>
    </row>
    <row r="58" spans="1:14" s="855" customFormat="1" x14ac:dyDescent="0.2">
      <c r="A58" s="846"/>
      <c r="B58" s="856" t="s">
        <v>3507</v>
      </c>
      <c r="C58" s="846"/>
      <c r="D58" s="884">
        <f>L30</f>
        <v>0</v>
      </c>
      <c r="E58" s="172"/>
      <c r="F58" s="172"/>
      <c r="G58" s="856"/>
      <c r="H58" s="856"/>
      <c r="I58" s="856"/>
      <c r="J58" s="10"/>
      <c r="K58" s="10"/>
      <c r="L58" s="10"/>
      <c r="M58" s="856"/>
      <c r="N58" s="856"/>
    </row>
    <row r="59" spans="1:14" s="855" customFormat="1" x14ac:dyDescent="0.2">
      <c r="A59" s="846"/>
      <c r="B59" s="857" t="s">
        <v>3508</v>
      </c>
      <c r="C59" s="846"/>
      <c r="D59" s="884">
        <f>M30</f>
        <v>0</v>
      </c>
      <c r="E59" s="172"/>
      <c r="F59" s="172"/>
      <c r="G59" s="856"/>
      <c r="H59" s="856"/>
      <c r="I59" s="856"/>
      <c r="J59" s="10"/>
      <c r="K59" s="10"/>
      <c r="L59" s="10"/>
      <c r="M59" s="856"/>
      <c r="N59" s="856"/>
    </row>
    <row r="60" spans="1:14" s="855" customFormat="1" x14ac:dyDescent="0.2">
      <c r="A60" s="846"/>
      <c r="B60" s="857" t="s">
        <v>3509</v>
      </c>
      <c r="C60" s="846"/>
      <c r="D60" s="884"/>
      <c r="E60" s="172">
        <f>O30</f>
        <v>0</v>
      </c>
      <c r="F60" s="172"/>
      <c r="G60" s="856"/>
      <c r="H60" s="856"/>
      <c r="I60" s="856"/>
      <c r="J60" s="10"/>
      <c r="K60" s="10"/>
      <c r="L60" s="10"/>
      <c r="M60" s="856"/>
      <c r="N60" s="856"/>
    </row>
    <row r="61" spans="1:14" s="855" customFormat="1" x14ac:dyDescent="0.2">
      <c r="A61" s="847"/>
      <c r="B61" s="856" t="s">
        <v>3510</v>
      </c>
      <c r="C61" s="856"/>
      <c r="D61" s="10"/>
      <c r="E61" s="848">
        <v>0</v>
      </c>
      <c r="F61" s="125"/>
      <c r="G61" s="856"/>
      <c r="H61" s="856"/>
      <c r="I61" s="856"/>
      <c r="J61" s="10"/>
      <c r="K61" s="10"/>
      <c r="L61" s="10"/>
      <c r="M61" s="856"/>
      <c r="N61" s="856"/>
    </row>
    <row r="62" spans="1:14" s="855" customFormat="1" x14ac:dyDescent="0.2">
      <c r="A62" s="847"/>
      <c r="B62" s="883" t="s">
        <v>3511</v>
      </c>
      <c r="C62" s="856"/>
      <c r="D62" s="10"/>
      <c r="E62" s="848">
        <f>Q30</f>
        <v>0</v>
      </c>
      <c r="F62" s="125"/>
      <c r="G62" s="856"/>
      <c r="H62" s="856"/>
      <c r="I62" s="856"/>
      <c r="J62" s="856"/>
      <c r="K62" s="856"/>
      <c r="L62" s="10"/>
      <c r="M62" s="856"/>
      <c r="N62" s="856"/>
    </row>
    <row r="63" spans="1:14" s="855" customFormat="1" x14ac:dyDescent="0.2">
      <c r="A63" s="846"/>
      <c r="B63" s="883" t="s">
        <v>3512</v>
      </c>
      <c r="C63" s="856"/>
      <c r="D63" s="10"/>
      <c r="E63" s="848">
        <f>R30</f>
        <v>0</v>
      </c>
      <c r="F63" s="125"/>
      <c r="G63" s="856"/>
      <c r="H63" s="856"/>
      <c r="I63" s="856"/>
      <c r="J63" s="856"/>
      <c r="K63" s="10"/>
      <c r="L63" s="10"/>
      <c r="M63" s="856"/>
      <c r="N63" s="856"/>
    </row>
    <row r="64" spans="1:14" s="855" customFormat="1" x14ac:dyDescent="0.2">
      <c r="A64" s="856"/>
      <c r="B64" s="856" t="s">
        <v>3513</v>
      </c>
      <c r="C64" s="856"/>
      <c r="D64" s="10"/>
      <c r="E64" s="848">
        <f>C17</f>
        <v>0</v>
      </c>
      <c r="F64" s="125"/>
      <c r="G64" s="856"/>
      <c r="H64" s="856"/>
      <c r="I64" s="856"/>
      <c r="J64" s="856"/>
      <c r="K64" s="10"/>
      <c r="L64" s="10"/>
      <c r="M64" s="856"/>
      <c r="N64" s="856"/>
    </row>
    <row r="65" spans="1:15" s="855" customFormat="1" x14ac:dyDescent="0.2">
      <c r="A65" s="856"/>
      <c r="B65" s="856" t="s">
        <v>3515</v>
      </c>
      <c r="C65" s="856"/>
      <c r="D65" s="10">
        <f>IF(C17-F30&gt;0,C17-F30,0)</f>
        <v>0</v>
      </c>
      <c r="E65" s="848">
        <f>IF(F30-C17&gt;0,F30-C17,0)</f>
        <v>0</v>
      </c>
      <c r="F65" s="125"/>
      <c r="G65" s="856"/>
      <c r="H65" s="856"/>
      <c r="I65" s="856"/>
      <c r="J65" s="856"/>
      <c r="K65" s="856"/>
      <c r="L65" s="10"/>
      <c r="M65" s="856"/>
      <c r="N65" s="856"/>
    </row>
    <row r="66" spans="1:15" s="855" customFormat="1" x14ac:dyDescent="0.2">
      <c r="A66" s="856"/>
      <c r="B66" s="856" t="s">
        <v>3516</v>
      </c>
      <c r="C66" s="856"/>
      <c r="D66" s="10">
        <f>IF(SUM(E45:E65)&gt;SUM(D45:D65),SUM(E45:E65)-SUM(D45:D65),0)</f>
        <v>0</v>
      </c>
      <c r="E66" s="848">
        <f>IF(SUM(D45:D65)&gt;SUM(E45:E65),SUM(D45:D65)-SUM(E45:E65),0)</f>
        <v>0</v>
      </c>
      <c r="F66" s="125"/>
      <c r="G66" s="856"/>
      <c r="H66" s="856"/>
      <c r="I66" s="856"/>
      <c r="J66" s="856"/>
      <c r="K66" s="10"/>
      <c r="L66" s="10"/>
      <c r="M66" s="856"/>
      <c r="N66" s="856"/>
    </row>
    <row r="67" spans="1:15" s="855" customFormat="1" x14ac:dyDescent="0.2">
      <c r="A67" s="856"/>
      <c r="B67" s="856"/>
      <c r="C67" s="856"/>
      <c r="D67" s="10">
        <f>SUM(D45:D66)</f>
        <v>0</v>
      </c>
      <c r="E67" s="10">
        <f>SUM(E45:E66)</f>
        <v>0</v>
      </c>
      <c r="F67" s="172"/>
      <c r="G67" s="856"/>
      <c r="H67" s="856"/>
      <c r="I67" s="856"/>
      <c r="J67" s="856"/>
      <c r="K67" s="10"/>
      <c r="L67" s="10"/>
      <c r="M67" s="856"/>
      <c r="N67" s="856"/>
    </row>
    <row r="68" spans="1:15" s="855" customFormat="1" x14ac:dyDescent="0.2">
      <c r="A68" s="856"/>
      <c r="B68" s="856"/>
      <c r="C68" s="856"/>
      <c r="D68" s="856"/>
      <c r="E68" s="172"/>
      <c r="F68" s="172"/>
      <c r="G68" s="856"/>
      <c r="H68" s="856"/>
      <c r="I68" s="856"/>
      <c r="J68" s="856"/>
      <c r="K68" s="856"/>
      <c r="L68" s="10"/>
      <c r="M68" s="856"/>
      <c r="N68" s="856"/>
    </row>
    <row r="69" spans="1:15" s="855" customFormat="1" x14ac:dyDescent="0.2">
      <c r="A69" s="627"/>
      <c r="B69" s="857"/>
      <c r="C69" s="857"/>
      <c r="D69" s="857"/>
      <c r="E69" s="665"/>
      <c r="F69" s="665"/>
      <c r="G69" s="856"/>
      <c r="H69" s="856"/>
      <c r="I69" s="856"/>
      <c r="J69" s="856"/>
      <c r="K69" s="10"/>
      <c r="L69" s="10"/>
      <c r="M69" s="856"/>
      <c r="N69" s="856"/>
    </row>
    <row r="70" spans="1:15" x14ac:dyDescent="0.2">
      <c r="A70" s="627"/>
      <c r="B70" s="774"/>
      <c r="C70" s="665"/>
      <c r="D70" s="665"/>
      <c r="E70" s="772"/>
      <c r="F70" s="772"/>
      <c r="G70" s="772"/>
      <c r="H70" s="772"/>
      <c r="I70" s="772"/>
      <c r="J70" s="772"/>
      <c r="K70" s="10"/>
      <c r="L70" s="10"/>
    </row>
    <row r="71" spans="1:15" x14ac:dyDescent="0.2">
      <c r="A71" s="626"/>
      <c r="B71" s="59"/>
      <c r="C71" s="660"/>
      <c r="D71" s="660"/>
      <c r="K71" s="816"/>
      <c r="L71" s="10"/>
    </row>
    <row r="72" spans="1:15" x14ac:dyDescent="0.2">
      <c r="A72" s="670" t="s">
        <v>877</v>
      </c>
      <c r="B72" s="1366" t="s">
        <v>2066</v>
      </c>
      <c r="C72" s="1367"/>
      <c r="D72" s="1367"/>
      <c r="E72" s="1367"/>
      <c r="F72" s="1367"/>
      <c r="G72" s="1367"/>
      <c r="H72" s="1367"/>
      <c r="I72" s="1368"/>
      <c r="J72" s="160"/>
      <c r="K72" s="10"/>
      <c r="L72" s="10"/>
      <c r="M72" s="160"/>
      <c r="N72" s="160"/>
      <c r="O72" s="160"/>
    </row>
    <row r="73" spans="1:15" s="672" customFormat="1" x14ac:dyDescent="0.2">
      <c r="A73" s="670"/>
      <c r="B73" s="683"/>
      <c r="C73" s="683"/>
      <c r="D73" s="683"/>
      <c r="E73" s="683"/>
      <c r="F73" s="683"/>
      <c r="G73" s="683"/>
      <c r="H73" s="683"/>
      <c r="I73" s="683"/>
      <c r="J73" s="160"/>
      <c r="K73" s="10"/>
      <c r="L73" s="10"/>
      <c r="M73" s="160"/>
      <c r="N73" s="160"/>
      <c r="O73" s="160"/>
    </row>
    <row r="74" spans="1:15" s="672" customFormat="1" x14ac:dyDescent="0.2">
      <c r="A74" s="670"/>
      <c r="B74" s="1369" t="s">
        <v>2092</v>
      </c>
      <c r="C74" s="1370"/>
      <c r="D74" s="1370"/>
      <c r="E74" s="1371"/>
      <c r="F74" s="683"/>
      <c r="G74" s="683"/>
      <c r="H74" s="683"/>
      <c r="I74" s="683"/>
      <c r="J74" s="160"/>
      <c r="K74" s="816"/>
      <c r="L74" s="10"/>
      <c r="M74" s="160"/>
      <c r="N74" s="160"/>
      <c r="O74" s="160"/>
    </row>
    <row r="75" spans="1:15" x14ac:dyDescent="0.2">
      <c r="A75" s="626"/>
      <c r="B75" s="710" t="s">
        <v>2067</v>
      </c>
      <c r="C75" s="703">
        <f>'J. Other Liability &amp; Expenses'!L151</f>
        <v>0</v>
      </c>
      <c r="D75" s="683"/>
      <c r="E75" s="711"/>
      <c r="F75" s="54"/>
      <c r="G75" s="54"/>
      <c r="H75" s="54"/>
      <c r="I75" s="54"/>
      <c r="J75" s="54"/>
      <c r="K75" s="54"/>
      <c r="L75" s="54"/>
      <c r="M75" s="54"/>
      <c r="N75" s="54"/>
      <c r="O75" s="54"/>
    </row>
    <row r="76" spans="1:15" s="743" customFormat="1" x14ac:dyDescent="0.2">
      <c r="A76" s="626"/>
      <c r="B76" s="710" t="s">
        <v>2107</v>
      </c>
      <c r="C76" s="703">
        <f>'J. Other Liability &amp; Expenses'!L152</f>
        <v>0</v>
      </c>
      <c r="D76" s="959">
        <f>SUM(C75:C76)</f>
        <v>0</v>
      </c>
      <c r="E76" s="711"/>
      <c r="F76" s="744"/>
      <c r="G76" s="744"/>
      <c r="H76" s="744"/>
      <c r="I76" s="744"/>
      <c r="J76" s="744"/>
      <c r="K76" s="744"/>
      <c r="L76" s="744"/>
      <c r="M76" s="744"/>
      <c r="N76" s="744"/>
      <c r="O76" s="744"/>
    </row>
    <row r="77" spans="1:15" s="689" customFormat="1" x14ac:dyDescent="0.2">
      <c r="A77" s="626"/>
      <c r="B77" s="710" t="s">
        <v>2078</v>
      </c>
      <c r="C77" s="703">
        <f>'J. Other Liability &amp; Expenses'!L153</f>
        <v>0</v>
      </c>
      <c r="D77" s="683"/>
      <c r="E77" s="711"/>
      <c r="F77" s="690"/>
      <c r="G77" s="690"/>
      <c r="H77" s="690"/>
      <c r="I77" s="690"/>
      <c r="J77" s="690"/>
      <c r="K77" s="690"/>
      <c r="L77" s="690"/>
      <c r="M77" s="690"/>
      <c r="N77" s="690"/>
      <c r="O77" s="690"/>
    </row>
    <row r="78" spans="1:15" s="689" customFormat="1" x14ac:dyDescent="0.2">
      <c r="A78" s="626"/>
      <c r="B78" s="712" t="s">
        <v>2079</v>
      </c>
      <c r="C78" s="703">
        <f>SUM(C75:C77)</f>
        <v>0</v>
      </c>
      <c r="D78" s="683" t="str">
        <f>IF(C78=1,"","DOES NOT EQUAL 100%!!!")</f>
        <v>DOES NOT EQUAL 100%!!!</v>
      </c>
      <c r="E78" s="664"/>
      <c r="F78" s="690"/>
      <c r="G78" s="690"/>
      <c r="H78" s="690"/>
      <c r="I78" s="690"/>
      <c r="J78" s="690"/>
      <c r="K78" s="690"/>
      <c r="L78" s="690"/>
      <c r="M78" s="690"/>
      <c r="N78" s="690"/>
      <c r="O78" s="690"/>
    </row>
    <row r="79" spans="1:15" s="689" customFormat="1" x14ac:dyDescent="0.2">
      <c r="A79" s="626"/>
      <c r="B79" s="713"/>
      <c r="C79" s="696"/>
      <c r="D79" s="696"/>
      <c r="E79" s="664"/>
      <c r="F79" s="690"/>
      <c r="G79" s="690"/>
      <c r="H79" s="690"/>
      <c r="I79" s="690"/>
      <c r="J79" s="690"/>
      <c r="K79" s="690"/>
      <c r="L79" s="690"/>
      <c r="M79" s="690"/>
      <c r="N79" s="690"/>
      <c r="O79" s="690"/>
    </row>
    <row r="80" spans="1:15" s="689" customFormat="1" x14ac:dyDescent="0.2">
      <c r="A80" s="626"/>
      <c r="B80" s="714" t="s">
        <v>2080</v>
      </c>
      <c r="C80" s="696"/>
      <c r="D80" s="696"/>
      <c r="E80" s="664"/>
      <c r="F80" s="690"/>
      <c r="G80" s="690"/>
      <c r="H80" s="690"/>
      <c r="I80" s="690"/>
      <c r="J80" s="690"/>
      <c r="K80" s="690"/>
      <c r="L80" s="690"/>
      <c r="M80" s="690"/>
      <c r="N80" s="690"/>
      <c r="O80" s="690"/>
    </row>
    <row r="81" spans="1:15" s="689" customFormat="1" x14ac:dyDescent="0.2">
      <c r="A81" s="626"/>
      <c r="B81" s="713" t="s">
        <v>2081</v>
      </c>
      <c r="C81" s="703">
        <f>'J. Other Liability &amp; Expenses'!L157</f>
        <v>0</v>
      </c>
      <c r="D81" s="696"/>
      <c r="E81" s="664"/>
      <c r="F81" s="690"/>
      <c r="G81" s="690"/>
      <c r="H81" s="690"/>
      <c r="I81" s="690"/>
      <c r="J81" s="690"/>
      <c r="K81" s="690"/>
      <c r="L81" s="690"/>
      <c r="M81" s="690"/>
      <c r="N81" s="690"/>
      <c r="O81" s="690"/>
    </row>
    <row r="82" spans="1:15" s="689" customFormat="1" x14ac:dyDescent="0.2">
      <c r="A82" s="626"/>
      <c r="B82" s="713" t="s">
        <v>2082</v>
      </c>
      <c r="C82" s="703">
        <f>'J. Other Liability &amp; Expenses'!L158</f>
        <v>0</v>
      </c>
      <c r="D82" s="696"/>
      <c r="E82" s="664"/>
      <c r="F82" s="690"/>
      <c r="G82" s="690"/>
      <c r="H82" s="690"/>
      <c r="I82" s="690"/>
      <c r="J82" s="690"/>
      <c r="K82" s="690"/>
      <c r="L82" s="690"/>
      <c r="M82" s="690"/>
      <c r="N82" s="690"/>
      <c r="O82" s="690"/>
    </row>
    <row r="83" spans="1:15" s="689" customFormat="1" x14ac:dyDescent="0.2">
      <c r="A83" s="626"/>
      <c r="B83" s="713" t="s">
        <v>2083</v>
      </c>
      <c r="C83" s="703">
        <f>'J. Other Liability &amp; Expenses'!L159</f>
        <v>0</v>
      </c>
      <c r="D83" s="696"/>
      <c r="E83" s="664"/>
      <c r="F83" s="690"/>
      <c r="G83" s="690"/>
      <c r="H83" s="690"/>
      <c r="I83" s="690"/>
      <c r="J83" s="690"/>
      <c r="K83" s="690"/>
      <c r="L83" s="690"/>
      <c r="M83" s="690"/>
      <c r="N83" s="690"/>
      <c r="O83" s="690"/>
    </row>
    <row r="84" spans="1:15" s="689" customFormat="1" x14ac:dyDescent="0.2">
      <c r="A84" s="626"/>
      <c r="B84" s="713" t="s">
        <v>2084</v>
      </c>
      <c r="C84" s="703">
        <f>'J. Other Liability &amp; Expenses'!L160</f>
        <v>0</v>
      </c>
      <c r="D84" s="696"/>
      <c r="E84" s="664"/>
      <c r="F84" s="690"/>
      <c r="G84" s="690"/>
      <c r="H84" s="690"/>
      <c r="I84" s="690"/>
      <c r="J84" s="690"/>
      <c r="K84" s="690"/>
      <c r="L84" s="690"/>
      <c r="M84" s="690"/>
      <c r="N84" s="690"/>
      <c r="O84" s="690"/>
    </row>
    <row r="85" spans="1:15" s="689" customFormat="1" x14ac:dyDescent="0.2">
      <c r="A85" s="626"/>
      <c r="B85" s="713" t="s">
        <v>2085</v>
      </c>
      <c r="C85" s="703">
        <f>'J. Other Liability &amp; Expenses'!L161</f>
        <v>0</v>
      </c>
      <c r="D85" s="696"/>
      <c r="E85" s="664"/>
      <c r="F85" s="690"/>
      <c r="G85" s="690"/>
      <c r="H85" s="690"/>
      <c r="I85" s="690"/>
      <c r="J85" s="690"/>
      <c r="K85" s="690"/>
      <c r="L85" s="690"/>
      <c r="M85" s="690"/>
      <c r="N85" s="690"/>
      <c r="O85" s="690"/>
    </row>
    <row r="86" spans="1:15" s="689" customFormat="1" x14ac:dyDescent="0.2">
      <c r="A86" s="626"/>
      <c r="B86" s="713" t="s">
        <v>2086</v>
      </c>
      <c r="C86" s="703">
        <f>'J. Other Liability &amp; Expenses'!L162</f>
        <v>0</v>
      </c>
      <c r="D86" s="696"/>
      <c r="E86" s="664"/>
      <c r="F86" s="690"/>
      <c r="G86" s="690"/>
      <c r="H86" s="690"/>
      <c r="I86" s="690"/>
      <c r="J86" s="690"/>
      <c r="K86" s="690"/>
      <c r="L86" s="690"/>
      <c r="M86" s="690"/>
      <c r="N86" s="690"/>
      <c r="O86" s="690"/>
    </row>
    <row r="87" spans="1:15" s="689" customFormat="1" x14ac:dyDescent="0.2">
      <c r="A87" s="626"/>
      <c r="B87" s="713" t="s">
        <v>2087</v>
      </c>
      <c r="C87" s="703">
        <f>'J. Other Liability &amp; Expenses'!L163</f>
        <v>0</v>
      </c>
      <c r="D87" s="696"/>
      <c r="E87" s="664"/>
      <c r="F87" s="690"/>
      <c r="G87" s="690"/>
      <c r="H87" s="690"/>
      <c r="I87" s="690"/>
      <c r="J87" s="690"/>
      <c r="K87" s="690"/>
      <c r="L87" s="690"/>
      <c r="M87" s="690"/>
      <c r="N87" s="690"/>
      <c r="O87" s="690"/>
    </row>
    <row r="88" spans="1:15" s="689" customFormat="1" x14ac:dyDescent="0.2">
      <c r="A88" s="626"/>
      <c r="B88" s="713" t="s">
        <v>2089</v>
      </c>
      <c r="C88" s="703">
        <f>'J. Other Liability &amp; Expenses'!L164</f>
        <v>0</v>
      </c>
      <c r="D88" s="696"/>
      <c r="E88" s="664"/>
      <c r="F88" s="690"/>
      <c r="G88" s="690"/>
      <c r="H88" s="690"/>
      <c r="I88" s="690"/>
      <c r="J88" s="690"/>
      <c r="K88" s="690"/>
      <c r="L88" s="690"/>
      <c r="M88" s="690"/>
      <c r="N88" s="690"/>
      <c r="O88" s="690"/>
    </row>
    <row r="89" spans="1:15" s="689" customFormat="1" x14ac:dyDescent="0.2">
      <c r="A89" s="626"/>
      <c r="B89" s="715" t="s">
        <v>2088</v>
      </c>
      <c r="C89" s="716">
        <f>SUM(C81:C88)</f>
        <v>0</v>
      </c>
      <c r="D89" s="717" t="str">
        <f>IF(C89=C75,"Equals Governmental Activities","DOES NOT EQUAL Governmental Activities!!!")</f>
        <v>Equals Governmental Activities</v>
      </c>
      <c r="E89" s="718"/>
      <c r="F89" s="690"/>
      <c r="G89" s="690"/>
      <c r="H89" s="690"/>
      <c r="I89" s="690"/>
      <c r="J89" s="690"/>
      <c r="K89" s="690"/>
      <c r="L89" s="690"/>
      <c r="M89" s="690"/>
      <c r="N89" s="690"/>
      <c r="O89" s="690"/>
    </row>
    <row r="90" spans="1:15" s="689" customFormat="1" x14ac:dyDescent="0.2">
      <c r="A90" s="626"/>
      <c r="B90" s="695"/>
      <c r="C90" s="696"/>
      <c r="D90" s="696"/>
      <c r="E90" s="696"/>
      <c r="F90" s="690"/>
      <c r="G90" s="690"/>
      <c r="H90" s="690"/>
      <c r="I90" s="690"/>
      <c r="J90" s="690"/>
      <c r="K90" s="690"/>
      <c r="L90" s="690"/>
      <c r="M90" s="690"/>
      <c r="N90" s="690"/>
      <c r="O90" s="690"/>
    </row>
    <row r="91" spans="1:15" s="689" customFormat="1" x14ac:dyDescent="0.2">
      <c r="A91" s="626"/>
      <c r="B91" s="695"/>
      <c r="C91" s="696"/>
      <c r="D91" s="696"/>
      <c r="E91" s="696"/>
      <c r="F91" s="690"/>
      <c r="G91" s="690"/>
      <c r="H91" s="690"/>
      <c r="I91" s="690"/>
      <c r="J91" s="690"/>
      <c r="K91" s="690"/>
      <c r="L91" s="690"/>
      <c r="M91" s="690"/>
      <c r="N91" s="690"/>
      <c r="O91" s="690"/>
    </row>
    <row r="92" spans="1:15" x14ac:dyDescent="0.2">
      <c r="A92" s="626"/>
      <c r="B92" s="695"/>
      <c r="C92" s="696"/>
      <c r="D92" s="696"/>
      <c r="E92" s="696"/>
    </row>
    <row r="93" spans="1:15" x14ac:dyDescent="0.2">
      <c r="A93" s="626"/>
      <c r="B93" s="694"/>
      <c r="C93" s="719" t="s">
        <v>2064</v>
      </c>
      <c r="D93" s="719" t="s">
        <v>2065</v>
      </c>
      <c r="E93" s="693"/>
    </row>
    <row r="94" spans="1:15" x14ac:dyDescent="0.2">
      <c r="A94" s="626"/>
      <c r="B94" s="684" t="s">
        <v>1131</v>
      </c>
      <c r="C94" s="407">
        <f>G124</f>
        <v>0</v>
      </c>
      <c r="D94" s="407">
        <f>H124</f>
        <v>0</v>
      </c>
      <c r="E94" s="693"/>
    </row>
    <row r="95" spans="1:15" x14ac:dyDescent="0.2">
      <c r="A95" s="626"/>
      <c r="B95" s="684" t="s">
        <v>2563</v>
      </c>
      <c r="C95" s="407">
        <f t="shared" ref="C95:C113" si="0">G125</f>
        <v>0</v>
      </c>
      <c r="D95" s="407">
        <f t="shared" ref="D95:D113" si="1">H125</f>
        <v>0</v>
      </c>
      <c r="E95" s="661"/>
      <c r="G95" s="5"/>
    </row>
    <row r="96" spans="1:15" s="771" customFormat="1" x14ac:dyDescent="0.2">
      <c r="A96" s="626"/>
      <c r="B96" s="684" t="s">
        <v>1168</v>
      </c>
      <c r="C96" s="407">
        <f t="shared" si="0"/>
        <v>0</v>
      </c>
      <c r="D96" s="407">
        <f t="shared" si="1"/>
        <v>0</v>
      </c>
      <c r="E96" s="661"/>
      <c r="G96" s="5"/>
    </row>
    <row r="97" spans="1:9" x14ac:dyDescent="0.2">
      <c r="A97" s="626"/>
      <c r="B97" s="684" t="s">
        <v>3940</v>
      </c>
      <c r="C97" s="407">
        <f t="shared" si="0"/>
        <v>0</v>
      </c>
      <c r="D97" s="407">
        <f t="shared" si="1"/>
        <v>0</v>
      </c>
      <c r="E97" s="661"/>
    </row>
    <row r="98" spans="1:9" x14ac:dyDescent="0.2">
      <c r="A98" s="626"/>
      <c r="B98" s="684" t="s">
        <v>2093</v>
      </c>
      <c r="C98" s="407">
        <f t="shared" si="0"/>
        <v>0</v>
      </c>
      <c r="D98" s="407">
        <f t="shared" si="1"/>
        <v>0</v>
      </c>
      <c r="E98" s="661"/>
    </row>
    <row r="99" spans="1:9" x14ac:dyDescent="0.2">
      <c r="A99" s="626"/>
      <c r="B99" s="684" t="s">
        <v>2094</v>
      </c>
      <c r="C99" s="407">
        <f t="shared" si="0"/>
        <v>0</v>
      </c>
      <c r="D99" s="407">
        <f t="shared" si="1"/>
        <v>0</v>
      </c>
      <c r="E99" s="661"/>
    </row>
    <row r="100" spans="1:9" ht="25.5" x14ac:dyDescent="0.2">
      <c r="A100" s="626"/>
      <c r="B100" s="684" t="s">
        <v>2095</v>
      </c>
      <c r="C100" s="407">
        <f t="shared" si="0"/>
        <v>0</v>
      </c>
      <c r="D100" s="407">
        <f t="shared" si="1"/>
        <v>0</v>
      </c>
      <c r="E100" s="661"/>
    </row>
    <row r="101" spans="1:9" x14ac:dyDescent="0.2">
      <c r="A101" s="626"/>
      <c r="B101" s="684" t="s">
        <v>2096</v>
      </c>
      <c r="C101" s="407">
        <f t="shared" si="0"/>
        <v>0</v>
      </c>
      <c r="D101" s="407">
        <f t="shared" si="1"/>
        <v>0</v>
      </c>
      <c r="E101" s="661"/>
    </row>
    <row r="102" spans="1:9" x14ac:dyDescent="0.2">
      <c r="A102" s="626"/>
      <c r="B102" s="684" t="s">
        <v>2097</v>
      </c>
      <c r="C102" s="407">
        <f t="shared" si="0"/>
        <v>0</v>
      </c>
      <c r="D102" s="407">
        <f t="shared" si="1"/>
        <v>0</v>
      </c>
      <c r="E102" s="661"/>
      <c r="G102" s="682"/>
      <c r="H102" s="682"/>
      <c r="I102" s="682"/>
    </row>
    <row r="103" spans="1:9" x14ac:dyDescent="0.2">
      <c r="A103" s="626"/>
      <c r="B103" s="684" t="s">
        <v>2098</v>
      </c>
      <c r="C103" s="407">
        <f t="shared" si="0"/>
        <v>0</v>
      </c>
      <c r="D103" s="407">
        <f t="shared" si="1"/>
        <v>0</v>
      </c>
      <c r="E103" s="661"/>
    </row>
    <row r="104" spans="1:9" x14ac:dyDescent="0.2">
      <c r="A104" s="626"/>
      <c r="B104" s="684" t="s">
        <v>2099</v>
      </c>
      <c r="C104" s="407">
        <f t="shared" si="0"/>
        <v>0</v>
      </c>
      <c r="D104" s="407">
        <f t="shared" si="1"/>
        <v>0</v>
      </c>
      <c r="E104" s="661"/>
    </row>
    <row r="105" spans="1:9" s="693" customFormat="1" ht="25.5" x14ac:dyDescent="0.2">
      <c r="A105" s="626"/>
      <c r="B105" s="684" t="s">
        <v>3518</v>
      </c>
      <c r="C105" s="407">
        <f t="shared" si="0"/>
        <v>0</v>
      </c>
      <c r="D105" s="407">
        <f t="shared" si="1"/>
        <v>0</v>
      </c>
    </row>
    <row r="106" spans="1:9" s="693" customFormat="1" ht="38.25" x14ac:dyDescent="0.2">
      <c r="A106" s="626"/>
      <c r="B106" s="684" t="s">
        <v>2567</v>
      </c>
      <c r="C106" s="407">
        <f t="shared" si="0"/>
        <v>0</v>
      </c>
      <c r="D106" s="407">
        <f t="shared" si="1"/>
        <v>0</v>
      </c>
    </row>
    <row r="107" spans="1:9" s="771" customFormat="1" x14ac:dyDescent="0.2">
      <c r="A107" s="626"/>
      <c r="B107" s="684" t="s">
        <v>3519</v>
      </c>
      <c r="C107" s="407">
        <f t="shared" si="0"/>
        <v>0</v>
      </c>
      <c r="D107" s="407">
        <f t="shared" si="1"/>
        <v>0</v>
      </c>
    </row>
    <row r="108" spans="1:9" s="693" customFormat="1" ht="38.25" x14ac:dyDescent="0.2">
      <c r="A108" s="626"/>
      <c r="B108" s="684" t="s">
        <v>3517</v>
      </c>
      <c r="C108" s="407">
        <f t="shared" si="0"/>
        <v>0</v>
      </c>
      <c r="D108" s="407">
        <f t="shared" si="1"/>
        <v>0</v>
      </c>
    </row>
    <row r="109" spans="1:9" s="771" customFormat="1" ht="25.5" x14ac:dyDescent="0.2">
      <c r="A109" s="626"/>
      <c r="B109" s="684" t="s">
        <v>3520</v>
      </c>
      <c r="C109" s="407">
        <f t="shared" si="0"/>
        <v>0</v>
      </c>
      <c r="D109" s="407">
        <f t="shared" si="1"/>
        <v>0</v>
      </c>
    </row>
    <row r="110" spans="1:9" s="693" customFormat="1" ht="38.25" x14ac:dyDescent="0.2">
      <c r="A110" s="626"/>
      <c r="B110" s="684" t="s">
        <v>3521</v>
      </c>
      <c r="C110" s="407">
        <f t="shared" si="0"/>
        <v>0</v>
      </c>
      <c r="D110" s="407">
        <f t="shared" si="1"/>
        <v>0</v>
      </c>
    </row>
    <row r="111" spans="1:9" s="771" customFormat="1" x14ac:dyDescent="0.2">
      <c r="A111" s="626"/>
      <c r="B111" s="684" t="s">
        <v>3523</v>
      </c>
      <c r="C111" s="407">
        <f t="shared" si="0"/>
        <v>0</v>
      </c>
      <c r="D111" s="407">
        <f t="shared" si="1"/>
        <v>0</v>
      </c>
    </row>
    <row r="112" spans="1:9" s="771" customFormat="1" ht="38.25" x14ac:dyDescent="0.2">
      <c r="A112" s="626"/>
      <c r="B112" s="684" t="s">
        <v>3522</v>
      </c>
      <c r="C112" s="407">
        <f t="shared" si="0"/>
        <v>0</v>
      </c>
      <c r="D112" s="407">
        <f t="shared" si="1"/>
        <v>0</v>
      </c>
    </row>
    <row r="113" spans="1:8" s="771" customFormat="1" ht="25.5" x14ac:dyDescent="0.2">
      <c r="A113" s="626"/>
      <c r="B113" s="684" t="s">
        <v>2063</v>
      </c>
      <c r="C113" s="407">
        <f t="shared" si="0"/>
        <v>0</v>
      </c>
      <c r="D113" s="407">
        <f t="shared" si="1"/>
        <v>0</v>
      </c>
    </row>
    <row r="114" spans="1:8" s="771" customFormat="1" x14ac:dyDescent="0.2">
      <c r="A114" s="626"/>
      <c r="B114" s="684"/>
      <c r="C114" s="407"/>
      <c r="D114" s="407"/>
    </row>
    <row r="115" spans="1:8" x14ac:dyDescent="0.2">
      <c r="A115" s="626"/>
      <c r="B115" s="694"/>
      <c r="C115" s="660"/>
      <c r="D115" s="660"/>
      <c r="E115" s="693"/>
    </row>
    <row r="116" spans="1:8" s="693" customFormat="1" ht="13.5" thickBot="1" x14ac:dyDescent="0.25">
      <c r="A116" s="626"/>
      <c r="B116" s="694"/>
      <c r="C116" s="671">
        <f>SUM(C94:C115)</f>
        <v>0</v>
      </c>
      <c r="D116" s="671">
        <f>SUM(D94:D115)</f>
        <v>0</v>
      </c>
    </row>
    <row r="117" spans="1:8" ht="13.5" thickTop="1" x14ac:dyDescent="0.2">
      <c r="A117" s="626"/>
      <c r="B117" s="59"/>
      <c r="C117" s="660"/>
      <c r="D117" s="660"/>
    </row>
    <row r="118" spans="1:8" s="693" customFormat="1" x14ac:dyDescent="0.2">
      <c r="A118" s="626"/>
      <c r="B118" s="1364" t="s">
        <v>2100</v>
      </c>
      <c r="C118" s="1364"/>
      <c r="D118" s="1364"/>
      <c r="E118" s="1364"/>
      <c r="F118" s="1364"/>
      <c r="G118" s="1364"/>
      <c r="H118" s="1364"/>
    </row>
    <row r="119" spans="1:8" s="693" customFormat="1" x14ac:dyDescent="0.2">
      <c r="A119" s="626"/>
      <c r="B119" s="1364"/>
      <c r="C119" s="1364"/>
      <c r="D119" s="1364"/>
      <c r="E119" s="1364"/>
      <c r="F119" s="1364"/>
      <c r="G119" s="1364"/>
      <c r="H119" s="1364"/>
    </row>
    <row r="120" spans="1:8" s="693" customFormat="1" ht="18" x14ac:dyDescent="0.25">
      <c r="A120" s="626"/>
      <c r="B120" s="720"/>
      <c r="C120" s="720"/>
      <c r="D120" s="720"/>
      <c r="E120" s="720"/>
      <c r="F120" s="720"/>
      <c r="G120" s="720"/>
      <c r="H120" s="721"/>
    </row>
    <row r="121" spans="1:8" s="693" customFormat="1" ht="18" x14ac:dyDescent="0.2">
      <c r="A121" s="626"/>
      <c r="B121" s="720"/>
      <c r="C121" s="722"/>
      <c r="D121" s="723"/>
      <c r="E121" s="724"/>
      <c r="F121" s="720"/>
      <c r="G121" s="1220" t="s">
        <v>103</v>
      </c>
      <c r="H121" s="1221"/>
    </row>
    <row r="122" spans="1:8" x14ac:dyDescent="0.2">
      <c r="B122" s="701"/>
      <c r="C122" s="725"/>
      <c r="D122" s="726"/>
      <c r="E122" s="727"/>
      <c r="F122" s="696"/>
      <c r="G122" s="239"/>
      <c r="H122" s="240"/>
    </row>
    <row r="123" spans="1:8" x14ac:dyDescent="0.2">
      <c r="B123" s="701"/>
      <c r="C123" s="728" t="s">
        <v>65</v>
      </c>
      <c r="D123" s="181" t="s">
        <v>66</v>
      </c>
      <c r="E123" s="737" t="s">
        <v>2101</v>
      </c>
      <c r="F123" s="696"/>
      <c r="G123" s="95" t="s">
        <v>65</v>
      </c>
      <c r="H123" s="96" t="s">
        <v>66</v>
      </c>
    </row>
    <row r="124" spans="1:8" x14ac:dyDescent="0.2">
      <c r="B124" s="684" t="s">
        <v>1131</v>
      </c>
      <c r="C124" s="729">
        <v>0</v>
      </c>
      <c r="D124" s="730">
        <v>0</v>
      </c>
      <c r="E124" s="732">
        <f>C124-D124</f>
        <v>0</v>
      </c>
      <c r="G124" s="141">
        <f t="shared" ref="G124:G134" si="2">IF(E124&lt;0,0,E124)</f>
        <v>0</v>
      </c>
      <c r="H124" s="733">
        <f t="shared" ref="H124:H134" si="3">IF(E124&gt;0,0,E124*-1)</f>
        <v>0</v>
      </c>
    </row>
    <row r="125" spans="1:8" x14ac:dyDescent="0.2">
      <c r="B125" s="684" t="s">
        <v>2563</v>
      </c>
      <c r="C125" s="800">
        <v>0</v>
      </c>
      <c r="D125" s="731">
        <v>0</v>
      </c>
      <c r="E125" s="732">
        <f t="shared" ref="E125:E143" si="4">C125-D125</f>
        <v>0</v>
      </c>
      <c r="G125" s="141">
        <f t="shared" si="2"/>
        <v>0</v>
      </c>
      <c r="H125" s="733">
        <f>IF(E125&gt;0,0,E125*-1)</f>
        <v>0</v>
      </c>
    </row>
    <row r="126" spans="1:8" s="771" customFormat="1" x14ac:dyDescent="0.2">
      <c r="B126" s="684" t="s">
        <v>1168</v>
      </c>
      <c r="C126" s="800">
        <f>(D45+D46)*(C75)</f>
        <v>0</v>
      </c>
      <c r="D126" s="731">
        <f>(E45+E46)*(C75)</f>
        <v>0</v>
      </c>
      <c r="E126" s="732">
        <f t="shared" si="4"/>
        <v>0</v>
      </c>
      <c r="G126" s="141">
        <f>IF(E126&lt;0,0,E126)</f>
        <v>0</v>
      </c>
      <c r="H126" s="733">
        <f>IF(E126&gt;0,0,E126*-1)</f>
        <v>0</v>
      </c>
    </row>
    <row r="127" spans="1:8" x14ac:dyDescent="0.2">
      <c r="B127" s="684" t="s">
        <v>3940</v>
      </c>
      <c r="C127" s="800">
        <f>($D$47+$D$65+$D$66)*(C75)</f>
        <v>0</v>
      </c>
      <c r="D127" s="731">
        <f>($E$47+$E$65+$E$66)*C81</f>
        <v>0</v>
      </c>
      <c r="E127" s="732">
        <f t="shared" si="4"/>
        <v>0</v>
      </c>
      <c r="G127" s="141">
        <f>IF(E127&lt;0,0,E127)-E144</f>
        <v>0</v>
      </c>
      <c r="H127" s="733">
        <f t="shared" si="3"/>
        <v>0</v>
      </c>
    </row>
    <row r="128" spans="1:8" x14ac:dyDescent="0.2">
      <c r="B128" s="684" t="s">
        <v>2093</v>
      </c>
      <c r="C128" s="800">
        <f t="shared" ref="C128:C134" si="5">($D$47+$D$65+$D$66)*C82</f>
        <v>0</v>
      </c>
      <c r="D128" s="731">
        <f t="shared" ref="D128:D134" si="6">($E$47+$E$65+$E$66)*C82</f>
        <v>0</v>
      </c>
      <c r="E128" s="732">
        <f t="shared" si="4"/>
        <v>0</v>
      </c>
      <c r="G128" s="141">
        <f t="shared" si="2"/>
        <v>0</v>
      </c>
      <c r="H128" s="733">
        <f t="shared" si="3"/>
        <v>0</v>
      </c>
    </row>
    <row r="129" spans="2:9" x14ac:dyDescent="0.2">
      <c r="B129" s="684" t="s">
        <v>2094</v>
      </c>
      <c r="C129" s="800">
        <f t="shared" si="5"/>
        <v>0</v>
      </c>
      <c r="D129" s="731">
        <f t="shared" si="6"/>
        <v>0</v>
      </c>
      <c r="E129" s="732">
        <f t="shared" si="4"/>
        <v>0</v>
      </c>
      <c r="G129" s="141">
        <f t="shared" si="2"/>
        <v>0</v>
      </c>
      <c r="H129" s="733">
        <f t="shared" si="3"/>
        <v>0</v>
      </c>
    </row>
    <row r="130" spans="2:9" ht="25.5" x14ac:dyDescent="0.2">
      <c r="B130" s="684" t="s">
        <v>2095</v>
      </c>
      <c r="C130" s="800">
        <f t="shared" si="5"/>
        <v>0</v>
      </c>
      <c r="D130" s="731">
        <f t="shared" si="6"/>
        <v>0</v>
      </c>
      <c r="E130" s="732">
        <f t="shared" si="4"/>
        <v>0</v>
      </c>
      <c r="G130" s="141">
        <f t="shared" si="2"/>
        <v>0</v>
      </c>
      <c r="H130" s="733">
        <f t="shared" si="3"/>
        <v>0</v>
      </c>
    </row>
    <row r="131" spans="2:9" x14ac:dyDescent="0.2">
      <c r="B131" s="684" t="s">
        <v>2096</v>
      </c>
      <c r="C131" s="800">
        <f t="shared" si="5"/>
        <v>0</v>
      </c>
      <c r="D131" s="731">
        <f t="shared" si="6"/>
        <v>0</v>
      </c>
      <c r="E131" s="732">
        <f t="shared" si="4"/>
        <v>0</v>
      </c>
      <c r="G131" s="141">
        <f t="shared" si="2"/>
        <v>0</v>
      </c>
      <c r="H131" s="733">
        <f t="shared" si="3"/>
        <v>0</v>
      </c>
    </row>
    <row r="132" spans="2:9" x14ac:dyDescent="0.2">
      <c r="B132" s="684" t="s">
        <v>2097</v>
      </c>
      <c r="C132" s="800">
        <f t="shared" si="5"/>
        <v>0</v>
      </c>
      <c r="D132" s="731">
        <f t="shared" si="6"/>
        <v>0</v>
      </c>
      <c r="E132" s="732">
        <f t="shared" si="4"/>
        <v>0</v>
      </c>
      <c r="G132" s="141">
        <f t="shared" si="2"/>
        <v>0</v>
      </c>
      <c r="H132" s="733">
        <f t="shared" si="3"/>
        <v>0</v>
      </c>
    </row>
    <row r="133" spans="2:9" x14ac:dyDescent="0.2">
      <c r="B133" s="684" t="s">
        <v>2098</v>
      </c>
      <c r="C133" s="800">
        <f t="shared" si="5"/>
        <v>0</v>
      </c>
      <c r="D133" s="731">
        <f t="shared" si="6"/>
        <v>0</v>
      </c>
      <c r="E133" s="732">
        <f t="shared" si="4"/>
        <v>0</v>
      </c>
      <c r="G133" s="141">
        <f t="shared" si="2"/>
        <v>0</v>
      </c>
      <c r="H133" s="733">
        <f t="shared" si="3"/>
        <v>0</v>
      </c>
    </row>
    <row r="134" spans="2:9" x14ac:dyDescent="0.2">
      <c r="B134" s="684" t="s">
        <v>2099</v>
      </c>
      <c r="C134" s="800">
        <f t="shared" si="5"/>
        <v>0</v>
      </c>
      <c r="D134" s="731">
        <f t="shared" si="6"/>
        <v>0</v>
      </c>
      <c r="E134" s="732">
        <f t="shared" si="4"/>
        <v>0</v>
      </c>
      <c r="G134" s="141">
        <f t="shared" si="2"/>
        <v>0</v>
      </c>
      <c r="H134" s="733">
        <f t="shared" si="3"/>
        <v>0</v>
      </c>
    </row>
    <row r="135" spans="2:9" ht="25.5" x14ac:dyDescent="0.2">
      <c r="B135" s="684" t="s">
        <v>3518</v>
      </c>
      <c r="C135" s="800">
        <f>(D48+D56)*(C75)</f>
        <v>0</v>
      </c>
      <c r="D135" s="731">
        <f>(E48+E56)*(C75)</f>
        <v>0</v>
      </c>
      <c r="E135" s="732">
        <f t="shared" si="4"/>
        <v>0</v>
      </c>
      <c r="F135" s="696"/>
      <c r="G135" s="141">
        <f>IF(E135&lt;0,0,E135)</f>
        <v>0</v>
      </c>
      <c r="H135" s="733">
        <f>IF(E135&gt;0,0,E135*-1)</f>
        <v>0</v>
      </c>
      <c r="I135" s="751"/>
    </row>
    <row r="136" spans="2:9" s="771" customFormat="1" ht="38.25" x14ac:dyDescent="0.2">
      <c r="B136" s="684" t="s">
        <v>2567</v>
      </c>
      <c r="C136" s="800">
        <f>(D49+D57)*(C75)</f>
        <v>0</v>
      </c>
      <c r="D136" s="731">
        <f>(E49+E57)*(C75)</f>
        <v>0</v>
      </c>
      <c r="E136" s="732">
        <f t="shared" si="4"/>
        <v>0</v>
      </c>
      <c r="F136" s="772"/>
      <c r="G136" s="141">
        <f>IF(E136&lt;0,0,E136)</f>
        <v>0</v>
      </c>
      <c r="H136" s="733">
        <f>IF(E136&gt;0,0,E136*-1)</f>
        <v>0</v>
      </c>
      <c r="I136" s="751"/>
    </row>
    <row r="137" spans="2:9" x14ac:dyDescent="0.2">
      <c r="B137" s="684" t="s">
        <v>3519</v>
      </c>
      <c r="C137" s="800">
        <f>(D50+D58)*(C75)</f>
        <v>0</v>
      </c>
      <c r="D137" s="731">
        <f>(E50+E58)*(C75)</f>
        <v>0</v>
      </c>
      <c r="E137" s="732">
        <f t="shared" si="4"/>
        <v>0</v>
      </c>
      <c r="F137" s="696"/>
      <c r="G137" s="141">
        <f>IF(E137&lt;0,0,E137)</f>
        <v>0</v>
      </c>
      <c r="H137" s="733">
        <f>IF(E137&gt;0,0,E137*-1)</f>
        <v>0</v>
      </c>
      <c r="I137" s="751"/>
    </row>
    <row r="138" spans="2:9" s="771" customFormat="1" ht="38.25" x14ac:dyDescent="0.2">
      <c r="B138" s="684" t="s">
        <v>3517</v>
      </c>
      <c r="C138" s="800">
        <f>(D51+D59)*(C75)</f>
        <v>0</v>
      </c>
      <c r="D138" s="731">
        <f>(E51+E59)*(C75)</f>
        <v>0</v>
      </c>
      <c r="E138" s="732">
        <f t="shared" si="4"/>
        <v>0</v>
      </c>
      <c r="F138" s="772"/>
      <c r="G138" s="141">
        <f t="shared" ref="G138:G143" si="7">IF(E138&lt;0,0,E138)</f>
        <v>0</v>
      </c>
      <c r="H138" s="733">
        <f t="shared" ref="H138:H143" si="8">IF(E138&gt;0,0,E138*-1)</f>
        <v>0</v>
      </c>
      <c r="I138" s="751"/>
    </row>
    <row r="139" spans="2:9" ht="25.5" x14ac:dyDescent="0.2">
      <c r="B139" s="684" t="s">
        <v>3520</v>
      </c>
      <c r="C139" s="800">
        <f>(D52+D60)*(C75)</f>
        <v>0</v>
      </c>
      <c r="D139" s="731">
        <f>(E52+E60)*(C75)</f>
        <v>0</v>
      </c>
      <c r="E139" s="732">
        <f t="shared" si="4"/>
        <v>0</v>
      </c>
      <c r="F139" s="696"/>
      <c r="G139" s="141">
        <f t="shared" si="7"/>
        <v>0</v>
      </c>
      <c r="H139" s="733">
        <f t="shared" si="8"/>
        <v>0</v>
      </c>
    </row>
    <row r="140" spans="2:9" s="771" customFormat="1" ht="38.25" x14ac:dyDescent="0.2">
      <c r="B140" s="684" t="s">
        <v>3521</v>
      </c>
      <c r="C140" s="800">
        <f>(D53+D61)*C75</f>
        <v>0</v>
      </c>
      <c r="D140" s="731">
        <f>(E53+E61)*C75</f>
        <v>0</v>
      </c>
      <c r="E140" s="732">
        <f t="shared" si="4"/>
        <v>0</v>
      </c>
      <c r="F140" s="772"/>
      <c r="G140" s="141">
        <f t="shared" si="7"/>
        <v>0</v>
      </c>
      <c r="H140" s="733">
        <f t="shared" si="8"/>
        <v>0</v>
      </c>
    </row>
    <row r="141" spans="2:9" s="771" customFormat="1" x14ac:dyDescent="0.2">
      <c r="B141" s="684" t="s">
        <v>3523</v>
      </c>
      <c r="C141" s="800">
        <f>(D54+D62)*C75</f>
        <v>0</v>
      </c>
      <c r="D141" s="731">
        <f>(E54+E62)*C75</f>
        <v>0</v>
      </c>
      <c r="E141" s="732">
        <f t="shared" si="4"/>
        <v>0</v>
      </c>
      <c r="F141" s="772"/>
      <c r="G141" s="141">
        <f t="shared" si="7"/>
        <v>0</v>
      </c>
      <c r="H141" s="733">
        <f t="shared" si="8"/>
        <v>0</v>
      </c>
    </row>
    <row r="142" spans="2:9" s="771" customFormat="1" ht="38.25" x14ac:dyDescent="0.2">
      <c r="B142" s="684" t="s">
        <v>3522</v>
      </c>
      <c r="C142" s="800">
        <f>(D55+D63)*(C75)</f>
        <v>0</v>
      </c>
      <c r="D142" s="731">
        <f>(E55+E63)*(C75)</f>
        <v>0</v>
      </c>
      <c r="E142" s="732">
        <f t="shared" si="4"/>
        <v>0</v>
      </c>
      <c r="F142" s="772"/>
      <c r="G142" s="141">
        <f t="shared" si="7"/>
        <v>0</v>
      </c>
      <c r="H142" s="733">
        <f t="shared" si="8"/>
        <v>0</v>
      </c>
    </row>
    <row r="143" spans="2:9" s="771" customFormat="1" ht="25.5" x14ac:dyDescent="0.2">
      <c r="B143" s="684" t="s">
        <v>2063</v>
      </c>
      <c r="C143" s="800">
        <f>D64*C75</f>
        <v>0</v>
      </c>
      <c r="D143" s="731">
        <f>E64*(C75)</f>
        <v>0</v>
      </c>
      <c r="E143" s="732">
        <f t="shared" si="4"/>
        <v>0</v>
      </c>
      <c r="F143" s="772"/>
      <c r="G143" s="141">
        <f t="shared" si="7"/>
        <v>0</v>
      </c>
      <c r="H143" s="733">
        <f t="shared" si="8"/>
        <v>0</v>
      </c>
    </row>
    <row r="144" spans="2:9" x14ac:dyDescent="0.2">
      <c r="C144" s="734">
        <f>SUM(C123:C143)</f>
        <v>0</v>
      </c>
      <c r="D144" s="735">
        <f>SUM(D123:D143)</f>
        <v>0</v>
      </c>
      <c r="E144" s="736">
        <f>SUM(E123:E143)</f>
        <v>0</v>
      </c>
      <c r="F144" s="696"/>
      <c r="G144" s="734">
        <f>SUM(G123:G143)</f>
        <v>0</v>
      </c>
      <c r="H144" s="735">
        <f>SUM(H123:H143)</f>
        <v>0</v>
      </c>
    </row>
  </sheetData>
  <mergeCells count="6">
    <mergeCell ref="B118:H119"/>
    <mergeCell ref="G121:H121"/>
    <mergeCell ref="A2:C2"/>
    <mergeCell ref="A5:C5"/>
    <mergeCell ref="B72:I72"/>
    <mergeCell ref="B74:E74"/>
  </mergeCells>
  <conditionalFormatting sqref="A46:F53 A61:A63 C61:F63 A64:F68">
    <cfRule type="expression" dxfId="16" priority="15">
      <formula>#REF!=2</formula>
    </cfRule>
  </conditionalFormatting>
  <conditionalFormatting sqref="A54">
    <cfRule type="expression" dxfId="15" priority="13">
      <formula>#REF!=2</formula>
    </cfRule>
  </conditionalFormatting>
  <conditionalFormatting sqref="A55:A60">
    <cfRule type="expression" dxfId="14" priority="8">
      <formula>#REF!=2</formula>
    </cfRule>
  </conditionalFormatting>
  <conditionalFormatting sqref="B54">
    <cfRule type="expression" dxfId="13" priority="12">
      <formula>#REF!=2</formula>
    </cfRule>
  </conditionalFormatting>
  <conditionalFormatting sqref="E58:F60">
    <cfRule type="expression" dxfId="12" priority="11">
      <formula>#REF!=2</formula>
    </cfRule>
  </conditionalFormatting>
  <conditionalFormatting sqref="C54:E54">
    <cfRule type="expression" dxfId="11" priority="10">
      <formula>#REF!=2</formula>
    </cfRule>
  </conditionalFormatting>
  <conditionalFormatting sqref="F54:F57">
    <cfRule type="expression" dxfId="10" priority="9">
      <formula>#REF!=2</formula>
    </cfRule>
  </conditionalFormatting>
  <conditionalFormatting sqref="B55">
    <cfRule type="expression" dxfId="9" priority="7">
      <formula>#REF!=2</formula>
    </cfRule>
  </conditionalFormatting>
  <conditionalFormatting sqref="C55:C60">
    <cfRule type="expression" dxfId="8" priority="6">
      <formula>#REF!=2</formula>
    </cfRule>
  </conditionalFormatting>
  <conditionalFormatting sqref="D55:D60">
    <cfRule type="expression" dxfId="7" priority="5">
      <formula>#REF!=2</formula>
    </cfRule>
  </conditionalFormatting>
  <conditionalFormatting sqref="E55:E57">
    <cfRule type="expression" dxfId="6" priority="4">
      <formula>#REF!=2</formula>
    </cfRule>
  </conditionalFormatting>
  <conditionalFormatting sqref="B56:B61">
    <cfRule type="expression" dxfId="5" priority="3">
      <formula>#REF!=2</formula>
    </cfRule>
  </conditionalFormatting>
  <conditionalFormatting sqref="B62">
    <cfRule type="expression" dxfId="4" priority="2">
      <formula>#REF!=2</formula>
    </cfRule>
  </conditionalFormatting>
  <conditionalFormatting sqref="B63">
    <cfRule type="expression" dxfId="3" priority="1">
      <formula>#REF!=2</formula>
    </cfRule>
  </conditionalFormatting>
  <pageMargins left="0.7" right="0.7" top="0.75" bottom="0.75" header="0.3" footer="0.3"/>
  <pageSetup scale="26" fitToHeight="11"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400-000000000000}">
          <x14:formula1>
            <xm:f>'N.1a LGERS Data CY'!$B$907:$B$1807</xm:f>
          </x14:formula1>
          <xm:sqref>C15</xm:sqref>
        </x14:dataValidation>
        <x14:dataValidation type="list" allowBlank="1" showInputMessage="1" showErrorMessage="1" xr:uid="{00000000-0002-0000-1400-000001000000}">
          <x14:formula1>
            <xm:f>'N.1a 2018 summary'!$B$912:$B$1813</xm:f>
          </x14:formula1>
          <xm:sqref>C13</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pageSetUpPr fitToPage="1"/>
  </sheetPr>
  <dimension ref="A1:V1812"/>
  <sheetViews>
    <sheetView topLeftCell="A41" zoomScaleNormal="100" workbookViewId="0">
      <selection activeCell="B57" sqref="B57"/>
    </sheetView>
  </sheetViews>
  <sheetFormatPr defaultRowHeight="15" x14ac:dyDescent="0.25"/>
  <cols>
    <col min="1" max="1" width="15.28515625" style="893" customWidth="1"/>
    <col min="2" max="2" width="39.5703125" style="893" customWidth="1"/>
    <col min="3" max="5" width="13.85546875" style="893" customWidth="1"/>
    <col min="6" max="6" width="13.42578125" style="893" customWidth="1"/>
    <col min="7" max="7" width="18.28515625" style="893" customWidth="1"/>
    <col min="8" max="8" width="1.5703125" style="893" customWidth="1"/>
    <col min="9" max="9" width="18.28515625" style="893" customWidth="1"/>
    <col min="10" max="10" width="20" style="893" customWidth="1"/>
    <col min="11" max="11" width="14.42578125" style="893" customWidth="1"/>
    <col min="12" max="12" width="19.42578125" style="893" customWidth="1"/>
    <col min="13" max="13" width="3" style="893" customWidth="1"/>
    <col min="14" max="14" width="18.28515625" style="893" customWidth="1"/>
    <col min="15" max="15" width="20" style="893" customWidth="1"/>
    <col min="16" max="16" width="9.140625" style="893" customWidth="1"/>
    <col min="17" max="17" width="19.42578125" style="893" customWidth="1"/>
    <col min="18" max="18" width="14" style="893" customWidth="1"/>
    <col min="19" max="19" width="2.42578125" style="893" customWidth="1"/>
    <col min="20" max="20" width="13.85546875" style="893" customWidth="1"/>
    <col min="21" max="21" width="22.42578125" style="893" customWidth="1"/>
    <col min="22" max="22" width="14.28515625" style="893" customWidth="1"/>
    <col min="23" max="16384" width="9.140625" style="893"/>
  </cols>
  <sheetData>
    <row r="1" spans="1:22" x14ac:dyDescent="0.25">
      <c r="A1" s="893" t="s">
        <v>3868</v>
      </c>
    </row>
    <row r="2" spans="1:22" x14ac:dyDescent="0.25">
      <c r="A2" s="893" t="s">
        <v>3869</v>
      </c>
    </row>
    <row r="4" spans="1:22" x14ac:dyDescent="0.25">
      <c r="A4" s="895" t="s">
        <v>2572</v>
      </c>
      <c r="I4" s="923" t="s">
        <v>1156</v>
      </c>
      <c r="J4" s="923"/>
      <c r="K4" s="923"/>
      <c r="L4" s="923"/>
      <c r="N4" s="923" t="s">
        <v>1157</v>
      </c>
      <c r="O4" s="923"/>
      <c r="P4" s="923"/>
      <c r="Q4" s="923"/>
      <c r="T4" s="923" t="s">
        <v>1158</v>
      </c>
      <c r="U4" s="923"/>
      <c r="V4" s="923"/>
    </row>
    <row r="5" spans="1:22" ht="165" x14ac:dyDescent="0.25">
      <c r="A5" s="904" t="s">
        <v>937</v>
      </c>
      <c r="B5" s="904" t="s">
        <v>1159</v>
      </c>
      <c r="C5" s="904" t="s">
        <v>2117</v>
      </c>
      <c r="D5" s="904" t="s">
        <v>2118</v>
      </c>
      <c r="E5" s="904" t="s">
        <v>2573</v>
      </c>
      <c r="F5" s="904" t="s">
        <v>2574</v>
      </c>
      <c r="G5" s="904" t="s">
        <v>1160</v>
      </c>
      <c r="H5" s="904"/>
      <c r="I5" s="904" t="s">
        <v>1161</v>
      </c>
      <c r="J5" s="904" t="s">
        <v>1162</v>
      </c>
      <c r="K5" s="904" t="s">
        <v>1163</v>
      </c>
      <c r="L5" s="904" t="s">
        <v>1164</v>
      </c>
      <c r="M5" s="904"/>
      <c r="N5" s="904" t="s">
        <v>1161</v>
      </c>
      <c r="O5" s="904" t="s">
        <v>1162</v>
      </c>
      <c r="P5" s="904" t="s">
        <v>1163</v>
      </c>
      <c r="Q5" s="904" t="s">
        <v>1164</v>
      </c>
      <c r="R5" s="904" t="s">
        <v>3870</v>
      </c>
      <c r="S5" s="904"/>
      <c r="T5" s="904" t="s">
        <v>1165</v>
      </c>
      <c r="U5" s="904" t="s">
        <v>1166</v>
      </c>
      <c r="V5" s="904" t="s">
        <v>1167</v>
      </c>
    </row>
    <row r="6" spans="1:22" x14ac:dyDescent="0.25">
      <c r="A6" s="904" t="s">
        <v>487</v>
      </c>
      <c r="B6" s="905" t="s">
        <v>2121</v>
      </c>
      <c r="C6" s="910"/>
      <c r="D6" s="910"/>
      <c r="E6" s="910"/>
      <c r="F6" s="910"/>
      <c r="G6" s="910"/>
      <c r="H6" s="904"/>
      <c r="I6" s="910"/>
      <c r="J6" s="910"/>
      <c r="K6" s="910"/>
      <c r="L6" s="910"/>
      <c r="M6" s="924"/>
      <c r="N6" s="910"/>
      <c r="O6" s="910"/>
      <c r="P6" s="910"/>
      <c r="Q6" s="910"/>
      <c r="R6" s="910">
        <f>IF(J6&gt;O6,J6-O6,O6-J6)</f>
        <v>0</v>
      </c>
      <c r="S6" s="910"/>
      <c r="T6" s="910"/>
      <c r="U6" s="910"/>
      <c r="V6" s="910"/>
    </row>
    <row r="7" spans="1:22" x14ac:dyDescent="0.25">
      <c r="A7" s="906">
        <v>70505</v>
      </c>
      <c r="B7" s="907" t="s">
        <v>2575</v>
      </c>
      <c r="C7" s="908">
        <v>4.6880000000000001E-4</v>
      </c>
      <c r="D7" s="908">
        <v>5.0319999999999998E-4</v>
      </c>
      <c r="E7" s="909">
        <v>186822</v>
      </c>
      <c r="F7" s="909">
        <v>225833</v>
      </c>
      <c r="G7" s="909">
        <v>994951</v>
      </c>
      <c r="H7" s="909"/>
      <c r="I7" s="910">
        <v>18693</v>
      </c>
      <c r="J7" s="910">
        <v>871894</v>
      </c>
      <c r="K7" s="910">
        <v>68145</v>
      </c>
      <c r="L7" s="909">
        <v>0</v>
      </c>
      <c r="M7" s="909"/>
      <c r="N7" s="910">
        <v>34864</v>
      </c>
      <c r="O7" s="910">
        <v>321812</v>
      </c>
      <c r="P7" s="910">
        <v>0</v>
      </c>
      <c r="Q7" s="909">
        <v>31773</v>
      </c>
      <c r="R7" s="910">
        <f t="shared" ref="R7:R70" si="0">IF(J7&gt;O7,J7-O7,O7-J7)</f>
        <v>550082</v>
      </c>
      <c r="S7" s="909"/>
      <c r="T7" s="910">
        <v>265936</v>
      </c>
      <c r="U7" s="912">
        <v>-10267</v>
      </c>
      <c r="V7" s="912">
        <v>255668</v>
      </c>
    </row>
    <row r="8" spans="1:22" x14ac:dyDescent="0.25">
      <c r="A8" s="906">
        <v>71786</v>
      </c>
      <c r="B8" s="907" t="s">
        <v>2576</v>
      </c>
      <c r="C8" s="908">
        <v>4.3600000000000003E-5</v>
      </c>
      <c r="D8" s="908">
        <v>4.3699999999999998E-5</v>
      </c>
      <c r="E8" s="909">
        <v>14646.29</v>
      </c>
      <c r="F8" s="909">
        <v>19612</v>
      </c>
      <c r="G8" s="909">
        <v>92534</v>
      </c>
      <c r="H8" s="909"/>
      <c r="I8" s="910">
        <v>1739</v>
      </c>
      <c r="J8" s="910">
        <v>81089</v>
      </c>
      <c r="K8" s="910">
        <v>6338</v>
      </c>
      <c r="L8" s="909">
        <v>0</v>
      </c>
      <c r="M8" s="909"/>
      <c r="N8" s="910">
        <v>3242</v>
      </c>
      <c r="O8" s="910">
        <v>29930</v>
      </c>
      <c r="P8" s="910">
        <v>0</v>
      </c>
      <c r="Q8" s="909">
        <v>6350</v>
      </c>
      <c r="R8" s="910">
        <f t="shared" si="0"/>
        <v>51159</v>
      </c>
      <c r="S8" s="909"/>
      <c r="T8" s="910">
        <v>24733</v>
      </c>
      <c r="U8" s="912">
        <v>-2337</v>
      </c>
      <c r="V8" s="912">
        <v>22396</v>
      </c>
    </row>
    <row r="9" spans="1:22" x14ac:dyDescent="0.25">
      <c r="A9" s="906">
        <v>72265</v>
      </c>
      <c r="B9" s="907" t="s">
        <v>2577</v>
      </c>
      <c r="C9" s="908">
        <v>1.327E-4</v>
      </c>
      <c r="D9" s="908">
        <v>1.3329999999999999E-4</v>
      </c>
      <c r="E9" s="909">
        <v>48905</v>
      </c>
      <c r="F9" s="909">
        <v>59824</v>
      </c>
      <c r="G9" s="909">
        <v>281634</v>
      </c>
      <c r="H9" s="909"/>
      <c r="I9" s="910">
        <v>5291</v>
      </c>
      <c r="J9" s="910">
        <v>246801</v>
      </c>
      <c r="K9" s="910">
        <v>19289</v>
      </c>
      <c r="L9" s="909">
        <v>7214</v>
      </c>
      <c r="M9" s="909"/>
      <c r="N9" s="910">
        <v>9869</v>
      </c>
      <c r="O9" s="910">
        <v>91093</v>
      </c>
      <c r="P9" s="910">
        <v>0</v>
      </c>
      <c r="Q9" s="909">
        <v>5063</v>
      </c>
      <c r="R9" s="910">
        <f t="shared" si="0"/>
        <v>155708</v>
      </c>
      <c r="S9" s="909"/>
      <c r="T9" s="910">
        <v>75277</v>
      </c>
      <c r="U9" s="912">
        <v>2291</v>
      </c>
      <c r="V9" s="912">
        <v>77567</v>
      </c>
    </row>
    <row r="10" spans="1:22" x14ac:dyDescent="0.25">
      <c r="A10" s="906">
        <v>72657</v>
      </c>
      <c r="B10" s="907" t="s">
        <v>2578</v>
      </c>
      <c r="C10" s="908">
        <v>4.2799999999999997E-5</v>
      </c>
      <c r="D10" s="908">
        <v>4.0800000000000002E-5</v>
      </c>
      <c r="E10" s="909">
        <v>15356.17</v>
      </c>
      <c r="F10" s="909">
        <v>18311</v>
      </c>
      <c r="G10" s="909">
        <v>90836</v>
      </c>
      <c r="H10" s="909"/>
      <c r="I10" s="910">
        <v>1707</v>
      </c>
      <c r="J10" s="910">
        <v>79601</v>
      </c>
      <c r="K10" s="910">
        <v>6221</v>
      </c>
      <c r="L10" s="909">
        <v>6577</v>
      </c>
      <c r="M10" s="909"/>
      <c r="N10" s="910">
        <v>3183</v>
      </c>
      <c r="O10" s="910">
        <v>29380</v>
      </c>
      <c r="P10" s="910">
        <v>0</v>
      </c>
      <c r="Q10" s="909">
        <v>4643</v>
      </c>
      <c r="R10" s="910">
        <f t="shared" si="0"/>
        <v>50221</v>
      </c>
      <c r="S10" s="909"/>
      <c r="T10" s="910">
        <v>24279</v>
      </c>
      <c r="U10" s="912">
        <v>1725</v>
      </c>
      <c r="V10" s="912">
        <v>26005</v>
      </c>
    </row>
    <row r="11" spans="1:22" x14ac:dyDescent="0.25">
      <c r="A11" s="906">
        <v>90001</v>
      </c>
      <c r="B11" s="907" t="s">
        <v>2579</v>
      </c>
      <c r="C11" s="908">
        <v>8.6910000000000004E-4</v>
      </c>
      <c r="D11" s="908">
        <v>8.2339999999999996E-4</v>
      </c>
      <c r="E11" s="909">
        <v>342848</v>
      </c>
      <c r="F11" s="909">
        <v>369537</v>
      </c>
      <c r="G11" s="909">
        <v>1844521</v>
      </c>
      <c r="H11" s="909"/>
      <c r="I11" s="910">
        <v>34655</v>
      </c>
      <c r="J11" s="910">
        <v>1616389</v>
      </c>
      <c r="K11" s="910">
        <v>126333</v>
      </c>
      <c r="L11" s="909">
        <v>17611</v>
      </c>
      <c r="M11" s="909"/>
      <c r="N11" s="910">
        <v>64634</v>
      </c>
      <c r="O11" s="910">
        <v>596601</v>
      </c>
      <c r="P11" s="910">
        <v>0</v>
      </c>
      <c r="Q11" s="909">
        <v>4549</v>
      </c>
      <c r="R11" s="910">
        <f t="shared" si="0"/>
        <v>1019788</v>
      </c>
      <c r="S11" s="909"/>
      <c r="T11" s="910">
        <v>493013</v>
      </c>
      <c r="U11" s="912">
        <v>4026</v>
      </c>
      <c r="V11" s="912">
        <v>497039</v>
      </c>
    </row>
    <row r="12" spans="1:22" x14ac:dyDescent="0.25">
      <c r="A12" s="906">
        <v>90002</v>
      </c>
      <c r="B12" s="907" t="s">
        <v>2580</v>
      </c>
      <c r="C12" s="908">
        <v>1.15E-5</v>
      </c>
      <c r="D12" s="908">
        <v>1.15E-5</v>
      </c>
      <c r="E12" s="909">
        <v>5945</v>
      </c>
      <c r="F12" s="909">
        <v>5161</v>
      </c>
      <c r="G12" s="909">
        <v>24407</v>
      </c>
      <c r="H12" s="909"/>
      <c r="I12" s="910">
        <v>458.5625</v>
      </c>
      <c r="J12" s="910">
        <v>21388</v>
      </c>
      <c r="K12" s="910">
        <v>1672</v>
      </c>
      <c r="L12" s="909">
        <v>1428</v>
      </c>
      <c r="M12" s="909"/>
      <c r="N12" s="910">
        <v>855</v>
      </c>
      <c r="O12" s="910">
        <v>7894</v>
      </c>
      <c r="P12" s="910">
        <v>0</v>
      </c>
      <c r="Q12" s="909">
        <v>0</v>
      </c>
      <c r="R12" s="910">
        <f t="shared" si="0"/>
        <v>13494</v>
      </c>
      <c r="S12" s="909"/>
      <c r="T12" s="910">
        <v>6524</v>
      </c>
      <c r="U12" s="912">
        <v>436</v>
      </c>
      <c r="V12" s="912">
        <v>6960</v>
      </c>
    </row>
    <row r="13" spans="1:22" x14ac:dyDescent="0.25">
      <c r="A13" s="906">
        <v>90011</v>
      </c>
      <c r="B13" s="907" t="s">
        <v>2581</v>
      </c>
      <c r="C13" s="908">
        <v>2.0819999999999999E-4</v>
      </c>
      <c r="D13" s="908">
        <v>2.2800000000000001E-4</v>
      </c>
      <c r="E13" s="909">
        <v>74534</v>
      </c>
      <c r="F13" s="909">
        <v>102325</v>
      </c>
      <c r="G13" s="909">
        <v>441870</v>
      </c>
      <c r="H13" s="909"/>
      <c r="I13" s="910">
        <v>8302</v>
      </c>
      <c r="J13" s="910">
        <v>387219</v>
      </c>
      <c r="K13" s="910">
        <v>30264</v>
      </c>
      <c r="L13" s="909">
        <v>4623</v>
      </c>
      <c r="M13" s="909"/>
      <c r="N13" s="910">
        <v>15484</v>
      </c>
      <c r="O13" s="910">
        <v>142921</v>
      </c>
      <c r="P13" s="910">
        <v>0</v>
      </c>
      <c r="Q13" s="909">
        <v>24562</v>
      </c>
      <c r="R13" s="910">
        <f t="shared" si="0"/>
        <v>244298</v>
      </c>
      <c r="S13" s="909"/>
      <c r="T13" s="910">
        <v>118105</v>
      </c>
      <c r="U13" s="912">
        <v>-4521</v>
      </c>
      <c r="V13" s="912">
        <v>113585</v>
      </c>
    </row>
    <row r="14" spans="1:22" x14ac:dyDescent="0.25">
      <c r="A14" s="906">
        <v>90092</v>
      </c>
      <c r="B14" s="907" t="s">
        <v>2582</v>
      </c>
      <c r="C14" s="908">
        <v>3.946E-4</v>
      </c>
      <c r="D14" s="908">
        <v>4.8670000000000001E-4</v>
      </c>
      <c r="E14" s="909">
        <v>169426.22</v>
      </c>
      <c r="F14" s="909">
        <v>218428</v>
      </c>
      <c r="G14" s="909">
        <v>837473</v>
      </c>
      <c r="H14" s="909"/>
      <c r="I14" s="910">
        <v>15735</v>
      </c>
      <c r="J14" s="910">
        <v>733894</v>
      </c>
      <c r="K14" s="910">
        <v>57359</v>
      </c>
      <c r="L14" s="909">
        <v>0</v>
      </c>
      <c r="M14" s="909"/>
      <c r="N14" s="910">
        <v>29346</v>
      </c>
      <c r="O14" s="910">
        <v>270876</v>
      </c>
      <c r="P14" s="910">
        <v>0</v>
      </c>
      <c r="Q14" s="909">
        <v>115870</v>
      </c>
      <c r="R14" s="910">
        <f t="shared" si="0"/>
        <v>463018</v>
      </c>
      <c r="S14" s="909"/>
      <c r="T14" s="910">
        <v>223844</v>
      </c>
      <c r="U14" s="912">
        <v>-40775</v>
      </c>
      <c r="V14" s="912">
        <v>183070</v>
      </c>
    </row>
    <row r="15" spans="1:22" x14ac:dyDescent="0.25">
      <c r="A15" s="906">
        <v>90096</v>
      </c>
      <c r="B15" s="907" t="s">
        <v>2583</v>
      </c>
      <c r="C15" s="908">
        <v>1.3860999999999999E-3</v>
      </c>
      <c r="D15" s="908">
        <v>1.4866E-3</v>
      </c>
      <c r="E15" s="909">
        <v>582268</v>
      </c>
      <c r="F15" s="909">
        <v>667177</v>
      </c>
      <c r="G15" s="909">
        <v>2941769</v>
      </c>
      <c r="H15" s="909"/>
      <c r="I15" s="910">
        <v>55271</v>
      </c>
      <c r="J15" s="910">
        <v>2577927</v>
      </c>
      <c r="K15" s="910">
        <v>201485</v>
      </c>
      <c r="L15" s="909">
        <v>79002</v>
      </c>
      <c r="M15" s="909"/>
      <c r="N15" s="910">
        <v>103083</v>
      </c>
      <c r="O15" s="910">
        <v>951499</v>
      </c>
      <c r="P15" s="910">
        <v>0</v>
      </c>
      <c r="Q15" s="909">
        <v>44718</v>
      </c>
      <c r="R15" s="910">
        <f t="shared" si="0"/>
        <v>1626428</v>
      </c>
      <c r="S15" s="909"/>
      <c r="T15" s="910">
        <v>786292</v>
      </c>
      <c r="U15" s="912">
        <v>23820</v>
      </c>
      <c r="V15" s="912">
        <v>810111</v>
      </c>
    </row>
    <row r="16" spans="1:22" x14ac:dyDescent="0.25">
      <c r="A16" s="906">
        <v>90098</v>
      </c>
      <c r="B16" s="907" t="s">
        <v>2584</v>
      </c>
      <c r="C16" s="908">
        <v>2.9280000000000002E-4</v>
      </c>
      <c r="D16" s="908">
        <v>5.0869999999999995E-4</v>
      </c>
      <c r="E16" s="909">
        <v>129330</v>
      </c>
      <c r="F16" s="909">
        <v>228302</v>
      </c>
      <c r="G16" s="909">
        <v>621420</v>
      </c>
      <c r="H16" s="909"/>
      <c r="I16" s="910">
        <v>11675</v>
      </c>
      <c r="J16" s="910">
        <v>544562</v>
      </c>
      <c r="K16" s="910">
        <v>42562</v>
      </c>
      <c r="L16" s="909">
        <v>0</v>
      </c>
      <c r="M16" s="909"/>
      <c r="N16" s="910">
        <v>21775</v>
      </c>
      <c r="O16" s="910">
        <v>200995</v>
      </c>
      <c r="P16" s="910">
        <v>0</v>
      </c>
      <c r="Q16" s="909">
        <v>163662</v>
      </c>
      <c r="R16" s="910">
        <f t="shared" si="0"/>
        <v>343567</v>
      </c>
      <c r="S16" s="909"/>
      <c r="T16" s="910">
        <v>166096</v>
      </c>
      <c r="U16" s="912">
        <v>-52769</v>
      </c>
      <c r="V16" s="912">
        <v>113327</v>
      </c>
    </row>
    <row r="17" spans="1:22" x14ac:dyDescent="0.25">
      <c r="A17" s="906">
        <v>90099</v>
      </c>
      <c r="B17" s="907" t="s">
        <v>2585</v>
      </c>
      <c r="C17" s="908">
        <v>4.9330000000000001E-4</v>
      </c>
      <c r="D17" s="908">
        <v>5.9599999999999996E-4</v>
      </c>
      <c r="E17" s="909">
        <v>207476.25</v>
      </c>
      <c r="F17" s="909">
        <v>267481</v>
      </c>
      <c r="G17" s="909">
        <v>1046948</v>
      </c>
      <c r="H17" s="909"/>
      <c r="I17" s="910">
        <v>19670</v>
      </c>
      <c r="J17" s="910">
        <v>917460</v>
      </c>
      <c r="K17" s="910">
        <v>71707</v>
      </c>
      <c r="L17" s="909">
        <v>4838</v>
      </c>
      <c r="M17" s="909"/>
      <c r="N17" s="910">
        <v>36686</v>
      </c>
      <c r="O17" s="910">
        <v>338630</v>
      </c>
      <c r="P17" s="910">
        <v>0</v>
      </c>
      <c r="Q17" s="909">
        <v>60491</v>
      </c>
      <c r="R17" s="910">
        <f t="shared" si="0"/>
        <v>578830</v>
      </c>
      <c r="S17" s="909"/>
      <c r="T17" s="910">
        <v>279834</v>
      </c>
      <c r="U17" s="912">
        <v>-14054</v>
      </c>
      <c r="V17" s="912">
        <v>265780</v>
      </c>
    </row>
    <row r="18" spans="1:22" x14ac:dyDescent="0.25">
      <c r="A18" s="906">
        <v>90101</v>
      </c>
      <c r="B18" s="907" t="s">
        <v>2586</v>
      </c>
      <c r="C18" s="908">
        <v>6.3996000000000001E-3</v>
      </c>
      <c r="D18" s="908">
        <v>6.1599000000000003E-3</v>
      </c>
      <c r="E18" s="909">
        <v>2594375.06</v>
      </c>
      <c r="F18" s="909">
        <v>2764526</v>
      </c>
      <c r="G18" s="909">
        <v>13582095</v>
      </c>
      <c r="H18" s="909"/>
      <c r="I18" s="910">
        <v>255184</v>
      </c>
      <c r="J18" s="910">
        <v>11902245</v>
      </c>
      <c r="K18" s="910">
        <v>930252</v>
      </c>
      <c r="L18" s="909">
        <v>229062</v>
      </c>
      <c r="M18" s="909"/>
      <c r="N18" s="910">
        <v>475932</v>
      </c>
      <c r="O18" s="910">
        <v>4393057</v>
      </c>
      <c r="P18" s="910">
        <v>0</v>
      </c>
      <c r="Q18" s="909">
        <v>51491</v>
      </c>
      <c r="R18" s="910">
        <f t="shared" si="0"/>
        <v>7509188</v>
      </c>
      <c r="S18" s="909"/>
      <c r="T18" s="910">
        <v>3630295</v>
      </c>
      <c r="U18" s="912">
        <v>45786</v>
      </c>
      <c r="V18" s="912">
        <v>3676081</v>
      </c>
    </row>
    <row r="19" spans="1:22" x14ac:dyDescent="0.25">
      <c r="A19" s="906">
        <v>90111</v>
      </c>
      <c r="B19" s="907" t="s">
        <v>2587</v>
      </c>
      <c r="C19" s="908">
        <v>4.8874000000000001E-3</v>
      </c>
      <c r="D19" s="908">
        <v>4.9893000000000003E-3</v>
      </c>
      <c r="E19" s="909">
        <v>1973481.4</v>
      </c>
      <c r="F19" s="909">
        <v>2239168</v>
      </c>
      <c r="G19" s="909">
        <v>10372700</v>
      </c>
      <c r="H19" s="909"/>
      <c r="I19" s="910">
        <v>194885</v>
      </c>
      <c r="J19" s="910">
        <v>9089792</v>
      </c>
      <c r="K19" s="910">
        <v>710437</v>
      </c>
      <c r="L19" s="909">
        <v>0</v>
      </c>
      <c r="M19" s="909"/>
      <c r="N19" s="910">
        <v>363471</v>
      </c>
      <c r="O19" s="910">
        <v>3354995</v>
      </c>
      <c r="P19" s="910">
        <v>0</v>
      </c>
      <c r="Q19" s="909">
        <v>163983</v>
      </c>
      <c r="R19" s="910">
        <f t="shared" si="0"/>
        <v>5734797</v>
      </c>
      <c r="S19" s="909"/>
      <c r="T19" s="910">
        <v>2772471</v>
      </c>
      <c r="U19" s="912">
        <v>-57381</v>
      </c>
      <c r="V19" s="912">
        <v>2715090</v>
      </c>
    </row>
    <row r="20" spans="1:22" x14ac:dyDescent="0.25">
      <c r="A20" s="906">
        <v>90114</v>
      </c>
      <c r="B20" s="907" t="s">
        <v>2588</v>
      </c>
      <c r="C20" s="908">
        <v>1.0681E-3</v>
      </c>
      <c r="D20" s="908">
        <v>1.0043000000000001E-3</v>
      </c>
      <c r="E20" s="909">
        <v>1022992</v>
      </c>
      <c r="F20" s="909">
        <v>450724</v>
      </c>
      <c r="G20" s="909">
        <v>2266866</v>
      </c>
      <c r="H20" s="909"/>
      <c r="I20" s="910">
        <v>42590</v>
      </c>
      <c r="J20" s="910">
        <v>1986497</v>
      </c>
      <c r="K20" s="910">
        <v>155260</v>
      </c>
      <c r="L20" s="909">
        <v>821100</v>
      </c>
      <c r="M20" s="909"/>
      <c r="N20" s="910">
        <v>79434</v>
      </c>
      <c r="O20" s="910">
        <v>733206</v>
      </c>
      <c r="P20" s="910">
        <v>0</v>
      </c>
      <c r="Q20" s="909">
        <v>0</v>
      </c>
      <c r="R20" s="910">
        <f t="shared" si="0"/>
        <v>1253291</v>
      </c>
      <c r="S20" s="909"/>
      <c r="T20" s="910">
        <v>605900</v>
      </c>
      <c r="U20" s="912">
        <v>245765</v>
      </c>
      <c r="V20" s="912">
        <v>851665</v>
      </c>
    </row>
    <row r="21" spans="1:22" x14ac:dyDescent="0.25">
      <c r="A21" s="906">
        <v>90117</v>
      </c>
      <c r="B21" s="907" t="s">
        <v>2589</v>
      </c>
      <c r="C21" s="908">
        <v>1.35E-4</v>
      </c>
      <c r="D21" s="908">
        <v>1.3019999999999999E-4</v>
      </c>
      <c r="E21" s="909">
        <v>78954</v>
      </c>
      <c r="F21" s="909">
        <v>58433</v>
      </c>
      <c r="G21" s="909">
        <v>286515</v>
      </c>
      <c r="H21" s="909"/>
      <c r="I21" s="910">
        <v>5383.125</v>
      </c>
      <c r="J21" s="910">
        <v>251078.67</v>
      </c>
      <c r="K21" s="910">
        <v>19624</v>
      </c>
      <c r="L21" s="909">
        <v>42554</v>
      </c>
      <c r="M21" s="909"/>
      <c r="N21" s="910">
        <v>10040</v>
      </c>
      <c r="O21" s="910">
        <v>92671.83</v>
      </c>
      <c r="P21" s="910">
        <v>0</v>
      </c>
      <c r="Q21" s="909">
        <v>0</v>
      </c>
      <c r="R21" s="910">
        <f t="shared" si="0"/>
        <v>158407</v>
      </c>
      <c r="S21" s="909"/>
      <c r="T21" s="910">
        <v>76581</v>
      </c>
      <c r="U21" s="912">
        <v>14293</v>
      </c>
      <c r="V21" s="912">
        <v>90874</v>
      </c>
    </row>
    <row r="22" spans="1:22" x14ac:dyDescent="0.25">
      <c r="A22" s="906">
        <v>90121</v>
      </c>
      <c r="B22" s="907" t="s">
        <v>2590</v>
      </c>
      <c r="C22" s="908">
        <v>1.0789E-3</v>
      </c>
      <c r="D22" s="908">
        <v>1.1057E-3</v>
      </c>
      <c r="E22" s="909">
        <v>394126</v>
      </c>
      <c r="F22" s="909">
        <v>496232</v>
      </c>
      <c r="G22" s="909">
        <v>2289787</v>
      </c>
      <c r="H22" s="909"/>
      <c r="I22" s="910">
        <v>43021</v>
      </c>
      <c r="J22" s="910">
        <v>2006584</v>
      </c>
      <c r="K22" s="910">
        <v>156830</v>
      </c>
      <c r="L22" s="909">
        <v>6521</v>
      </c>
      <c r="M22" s="909"/>
      <c r="N22" s="910">
        <v>80237</v>
      </c>
      <c r="O22" s="910">
        <v>740620</v>
      </c>
      <c r="P22" s="910">
        <v>0</v>
      </c>
      <c r="Q22" s="909">
        <v>74370</v>
      </c>
      <c r="R22" s="910">
        <f t="shared" si="0"/>
        <v>1265964</v>
      </c>
      <c r="S22" s="909"/>
      <c r="T22" s="910">
        <v>612027</v>
      </c>
      <c r="U22" s="912">
        <v>-17947</v>
      </c>
      <c r="V22" s="912">
        <v>594079</v>
      </c>
    </row>
    <row r="23" spans="1:22" x14ac:dyDescent="0.25">
      <c r="A23" s="906">
        <v>90131</v>
      </c>
      <c r="B23" s="907" t="s">
        <v>2591</v>
      </c>
      <c r="C23" s="908">
        <v>5.0440000000000001E-4</v>
      </c>
      <c r="D23" s="908">
        <v>4.727E-4</v>
      </c>
      <c r="E23" s="909">
        <v>173703</v>
      </c>
      <c r="F23" s="909">
        <v>212145</v>
      </c>
      <c r="G23" s="909">
        <v>1070506</v>
      </c>
      <c r="H23" s="909"/>
      <c r="I23" s="910">
        <v>20112.95</v>
      </c>
      <c r="J23" s="910">
        <v>938104</v>
      </c>
      <c r="K23" s="910">
        <v>73320</v>
      </c>
      <c r="L23" s="909">
        <v>0</v>
      </c>
      <c r="M23" s="909"/>
      <c r="N23" s="910">
        <v>37512</v>
      </c>
      <c r="O23" s="910">
        <v>346249</v>
      </c>
      <c r="P23" s="910">
        <v>0</v>
      </c>
      <c r="Q23" s="909">
        <v>23072</v>
      </c>
      <c r="R23" s="910">
        <f t="shared" si="0"/>
        <v>591855</v>
      </c>
      <c r="S23" s="909"/>
      <c r="T23" s="910">
        <v>286130</v>
      </c>
      <c r="U23" s="912">
        <v>-8951</v>
      </c>
      <c r="V23" s="912">
        <v>277180</v>
      </c>
    </row>
    <row r="24" spans="1:22" x14ac:dyDescent="0.25">
      <c r="A24" s="906">
        <v>90141</v>
      </c>
      <c r="B24" s="907" t="s">
        <v>2592</v>
      </c>
      <c r="C24" s="908">
        <v>1.306E-4</v>
      </c>
      <c r="D24" s="908">
        <v>1.5919999999999999E-4</v>
      </c>
      <c r="E24" s="909">
        <v>55925.87</v>
      </c>
      <c r="F24" s="909">
        <v>71448</v>
      </c>
      <c r="G24" s="909">
        <v>277177</v>
      </c>
      <c r="H24" s="909"/>
      <c r="I24" s="910">
        <v>5208</v>
      </c>
      <c r="J24" s="910">
        <v>242895</v>
      </c>
      <c r="K24" s="910">
        <v>18984</v>
      </c>
      <c r="L24" s="909">
        <v>2143</v>
      </c>
      <c r="M24" s="909"/>
      <c r="N24" s="910">
        <v>9713</v>
      </c>
      <c r="O24" s="910">
        <v>89651</v>
      </c>
      <c r="P24" s="910">
        <v>0</v>
      </c>
      <c r="Q24" s="909">
        <v>13732</v>
      </c>
      <c r="R24" s="910">
        <f t="shared" si="0"/>
        <v>153244</v>
      </c>
      <c r="S24" s="909"/>
      <c r="T24" s="910">
        <v>74085</v>
      </c>
      <c r="U24" s="912">
        <v>-2701</v>
      </c>
      <c r="V24" s="912">
        <v>71385</v>
      </c>
    </row>
    <row r="25" spans="1:22" x14ac:dyDescent="0.25">
      <c r="A25" s="906">
        <v>90151</v>
      </c>
      <c r="B25" s="907" t="s">
        <v>2593</v>
      </c>
      <c r="C25" s="908">
        <v>1.0000000000000001E-5</v>
      </c>
      <c r="D25" s="908">
        <v>9.7999999999999993E-6</v>
      </c>
      <c r="E25" s="909">
        <v>2703</v>
      </c>
      <c r="F25" s="909">
        <v>4398</v>
      </c>
      <c r="G25" s="909">
        <v>21223</v>
      </c>
      <c r="H25" s="909"/>
      <c r="I25" s="910">
        <v>399</v>
      </c>
      <c r="J25" s="910">
        <v>18598</v>
      </c>
      <c r="K25" s="910">
        <v>1454</v>
      </c>
      <c r="L25" s="909">
        <v>0</v>
      </c>
      <c r="M25" s="909"/>
      <c r="N25" s="910">
        <v>743.69</v>
      </c>
      <c r="O25" s="910">
        <v>6865</v>
      </c>
      <c r="P25" s="910">
        <v>0</v>
      </c>
      <c r="Q25" s="909">
        <v>2266</v>
      </c>
      <c r="R25" s="910">
        <f t="shared" si="0"/>
        <v>11733</v>
      </c>
      <c r="S25" s="909"/>
      <c r="T25" s="910">
        <v>5673</v>
      </c>
      <c r="U25" s="912">
        <v>-782</v>
      </c>
      <c r="V25" s="912">
        <v>4891</v>
      </c>
    </row>
    <row r="26" spans="1:22" x14ac:dyDescent="0.25">
      <c r="A26" s="906">
        <v>90161</v>
      </c>
      <c r="B26" s="907" t="s">
        <v>2594</v>
      </c>
      <c r="C26" s="908">
        <v>3.4799999999999999E-5</v>
      </c>
      <c r="D26" s="908">
        <v>2.6299999999999999E-5</v>
      </c>
      <c r="E26" s="909">
        <v>13115.62</v>
      </c>
      <c r="F26" s="909">
        <v>11803</v>
      </c>
      <c r="G26" s="909">
        <v>73857</v>
      </c>
      <c r="H26" s="909"/>
      <c r="I26" s="910">
        <v>1388</v>
      </c>
      <c r="J26" s="910">
        <v>64723</v>
      </c>
      <c r="K26" s="910">
        <v>5059</v>
      </c>
      <c r="L26" s="909">
        <v>5728</v>
      </c>
      <c r="M26" s="909"/>
      <c r="N26" s="910">
        <v>2588</v>
      </c>
      <c r="O26" s="910">
        <v>23889</v>
      </c>
      <c r="P26" s="910">
        <v>0</v>
      </c>
      <c r="Q26" s="909">
        <v>0</v>
      </c>
      <c r="R26" s="910">
        <f t="shared" si="0"/>
        <v>40834</v>
      </c>
      <c r="S26" s="909"/>
      <c r="T26" s="910">
        <v>19741</v>
      </c>
      <c r="U26" s="912">
        <v>1706</v>
      </c>
      <c r="V26" s="912">
        <v>21447</v>
      </c>
    </row>
    <row r="27" spans="1:22" x14ac:dyDescent="0.25">
      <c r="A27" s="906">
        <v>90201</v>
      </c>
      <c r="B27" s="907" t="s">
        <v>2595</v>
      </c>
      <c r="C27" s="908">
        <v>1.2419E-3</v>
      </c>
      <c r="D27" s="908">
        <v>1.1842999999999999E-3</v>
      </c>
      <c r="E27" s="909">
        <v>470870</v>
      </c>
      <c r="F27" s="909">
        <v>531507</v>
      </c>
      <c r="G27" s="909">
        <v>2635728</v>
      </c>
      <c r="H27" s="909"/>
      <c r="I27" s="910">
        <v>49521</v>
      </c>
      <c r="J27" s="910">
        <v>2309738</v>
      </c>
      <c r="K27" s="910">
        <v>180524</v>
      </c>
      <c r="L27" s="909">
        <v>70694</v>
      </c>
      <c r="M27" s="909"/>
      <c r="N27" s="910">
        <v>92359</v>
      </c>
      <c r="O27" s="910">
        <v>852512</v>
      </c>
      <c r="P27" s="910">
        <v>0</v>
      </c>
      <c r="Q27" s="909">
        <v>450</v>
      </c>
      <c r="R27" s="910">
        <f t="shared" si="0"/>
        <v>1457226</v>
      </c>
      <c r="S27" s="909"/>
      <c r="T27" s="910">
        <v>704491</v>
      </c>
      <c r="U27" s="912">
        <v>33957</v>
      </c>
      <c r="V27" s="912">
        <v>738448</v>
      </c>
    </row>
    <row r="28" spans="1:22" x14ac:dyDescent="0.25">
      <c r="A28" s="906">
        <v>90203</v>
      </c>
      <c r="B28" s="907" t="s">
        <v>2596</v>
      </c>
      <c r="C28" s="908">
        <v>2.3680000000000001E-4</v>
      </c>
      <c r="D28" s="908">
        <v>2.7530000000000002E-4</v>
      </c>
      <c r="E28" s="909">
        <v>95318</v>
      </c>
      <c r="F28" s="909">
        <v>123553</v>
      </c>
      <c r="G28" s="909">
        <v>502569</v>
      </c>
      <c r="H28" s="909"/>
      <c r="I28" s="910">
        <v>9442.4</v>
      </c>
      <c r="J28" s="910">
        <v>440411</v>
      </c>
      <c r="K28" s="910">
        <v>34421</v>
      </c>
      <c r="L28" s="909">
        <v>3338</v>
      </c>
      <c r="M28" s="909"/>
      <c r="N28" s="910">
        <v>17611</v>
      </c>
      <c r="O28" s="910">
        <v>162553</v>
      </c>
      <c r="P28" s="910">
        <v>0</v>
      </c>
      <c r="Q28" s="909">
        <v>36458</v>
      </c>
      <c r="R28" s="910">
        <f t="shared" si="0"/>
        <v>277858</v>
      </c>
      <c r="S28" s="909"/>
      <c r="T28" s="910">
        <v>134329</v>
      </c>
      <c r="U28" s="912">
        <v>-11660</v>
      </c>
      <c r="V28" s="912">
        <v>122669</v>
      </c>
    </row>
    <row r="29" spans="1:22" x14ac:dyDescent="0.25">
      <c r="A29" s="906">
        <v>90205</v>
      </c>
      <c r="B29" s="907" t="s">
        <v>2597</v>
      </c>
      <c r="C29" s="908">
        <v>3.3599999999999997E-5</v>
      </c>
      <c r="D29" s="908">
        <v>3.5299999999999997E-5</v>
      </c>
      <c r="E29" s="909">
        <v>13992.72</v>
      </c>
      <c r="F29" s="909">
        <v>15842</v>
      </c>
      <c r="G29" s="909">
        <v>71310</v>
      </c>
      <c r="H29" s="909"/>
      <c r="I29" s="910">
        <v>1339.8</v>
      </c>
      <c r="J29" s="910">
        <v>62491</v>
      </c>
      <c r="K29" s="910">
        <v>4884</v>
      </c>
      <c r="L29" s="909">
        <v>1378</v>
      </c>
      <c r="M29" s="909"/>
      <c r="N29" s="910">
        <v>2499</v>
      </c>
      <c r="O29" s="910">
        <v>23065</v>
      </c>
      <c r="P29" s="910">
        <v>0</v>
      </c>
      <c r="Q29" s="909">
        <v>782</v>
      </c>
      <c r="R29" s="910">
        <f t="shared" si="0"/>
        <v>39426</v>
      </c>
      <c r="S29" s="909"/>
      <c r="T29" s="910">
        <v>19060</v>
      </c>
      <c r="U29" s="912">
        <v>406</v>
      </c>
      <c r="V29" s="912">
        <v>19467</v>
      </c>
    </row>
    <row r="30" spans="1:22" x14ac:dyDescent="0.25">
      <c r="A30" s="906">
        <v>90206</v>
      </c>
      <c r="B30" s="907" t="s">
        <v>2598</v>
      </c>
      <c r="C30" s="908">
        <v>4.347E-4</v>
      </c>
      <c r="D30" s="908">
        <v>4.3810000000000002E-4</v>
      </c>
      <c r="E30" s="909">
        <v>170440.57</v>
      </c>
      <c r="F30" s="909">
        <v>196617</v>
      </c>
      <c r="G30" s="909">
        <v>922579</v>
      </c>
      <c r="H30" s="909"/>
      <c r="I30" s="910">
        <v>17334</v>
      </c>
      <c r="J30" s="910">
        <v>808473</v>
      </c>
      <c r="K30" s="910">
        <v>63188</v>
      </c>
      <c r="L30" s="909">
        <v>18047</v>
      </c>
      <c r="M30" s="909"/>
      <c r="N30" s="910">
        <v>32328</v>
      </c>
      <c r="O30" s="910">
        <v>298403</v>
      </c>
      <c r="P30" s="910">
        <v>0</v>
      </c>
      <c r="Q30" s="909">
        <v>12515</v>
      </c>
      <c r="R30" s="910">
        <f t="shared" si="0"/>
        <v>510070</v>
      </c>
      <c r="S30" s="909"/>
      <c r="T30" s="910">
        <v>246592</v>
      </c>
      <c r="U30" s="912">
        <v>5439</v>
      </c>
      <c r="V30" s="912">
        <v>252031</v>
      </c>
    </row>
    <row r="31" spans="1:22" x14ac:dyDescent="0.25">
      <c r="A31" s="906">
        <v>90211</v>
      </c>
      <c r="B31" s="907" t="s">
        <v>2599</v>
      </c>
      <c r="C31" s="908">
        <v>1.5689999999999999E-4</v>
      </c>
      <c r="D31" s="908">
        <v>1.708E-4</v>
      </c>
      <c r="E31" s="909">
        <v>58970</v>
      </c>
      <c r="F31" s="909">
        <v>76654</v>
      </c>
      <c r="G31" s="909">
        <v>332994</v>
      </c>
      <c r="H31" s="909"/>
      <c r="I31" s="910">
        <v>6256</v>
      </c>
      <c r="J31" s="910">
        <v>291809</v>
      </c>
      <c r="K31" s="910">
        <v>22807</v>
      </c>
      <c r="L31" s="909">
        <v>0</v>
      </c>
      <c r="M31" s="909"/>
      <c r="N31" s="910">
        <v>11668</v>
      </c>
      <c r="O31" s="910">
        <v>107705</v>
      </c>
      <c r="P31" s="910">
        <v>0</v>
      </c>
      <c r="Q31" s="909">
        <v>17335</v>
      </c>
      <c r="R31" s="910">
        <f t="shared" si="0"/>
        <v>184104</v>
      </c>
      <c r="S31" s="909"/>
      <c r="T31" s="910">
        <v>89005</v>
      </c>
      <c r="U31" s="912">
        <v>-5305</v>
      </c>
      <c r="V31" s="912">
        <v>83699</v>
      </c>
    </row>
    <row r="32" spans="1:22" x14ac:dyDescent="0.25">
      <c r="A32" s="906">
        <v>90301</v>
      </c>
      <c r="B32" s="907" t="s">
        <v>2600</v>
      </c>
      <c r="C32" s="908">
        <v>6.4000000000000005E-4</v>
      </c>
      <c r="D32" s="908">
        <v>6.2489999999999996E-4</v>
      </c>
      <c r="E32" s="909">
        <v>241334.31</v>
      </c>
      <c r="F32" s="909">
        <v>280451</v>
      </c>
      <c r="G32" s="909">
        <v>1358294</v>
      </c>
      <c r="H32" s="909"/>
      <c r="I32" s="910">
        <v>25520</v>
      </c>
      <c r="J32" s="910">
        <v>1190299</v>
      </c>
      <c r="K32" s="910">
        <v>93031</v>
      </c>
      <c r="L32" s="909">
        <v>6684</v>
      </c>
      <c r="M32" s="909"/>
      <c r="N32" s="910">
        <v>47596.160000000003</v>
      </c>
      <c r="O32" s="910">
        <v>439333</v>
      </c>
      <c r="P32" s="910">
        <v>0</v>
      </c>
      <c r="Q32" s="909">
        <v>19561</v>
      </c>
      <c r="R32" s="910">
        <f t="shared" si="0"/>
        <v>750966</v>
      </c>
      <c r="S32" s="909"/>
      <c r="T32" s="910">
        <v>363052</v>
      </c>
      <c r="U32" s="912">
        <v>-5224</v>
      </c>
      <c r="V32" s="912">
        <v>357828</v>
      </c>
    </row>
    <row r="33" spans="1:22" x14ac:dyDescent="0.25">
      <c r="A33" s="906">
        <v>90305</v>
      </c>
      <c r="B33" s="907" t="s">
        <v>2601</v>
      </c>
      <c r="C33" s="908">
        <v>1.7009999999999999E-4</v>
      </c>
      <c r="D33" s="908">
        <v>1.773E-4</v>
      </c>
      <c r="E33" s="909">
        <v>84901.17</v>
      </c>
      <c r="F33" s="909">
        <v>79571</v>
      </c>
      <c r="G33" s="909">
        <v>361009</v>
      </c>
      <c r="H33" s="909"/>
      <c r="I33" s="910">
        <v>6783</v>
      </c>
      <c r="J33" s="910">
        <v>316359</v>
      </c>
      <c r="K33" s="910">
        <v>24726</v>
      </c>
      <c r="L33" s="909">
        <v>26122</v>
      </c>
      <c r="M33" s="909"/>
      <c r="N33" s="910">
        <v>12650</v>
      </c>
      <c r="O33" s="910">
        <v>116767</v>
      </c>
      <c r="P33" s="910">
        <v>0</v>
      </c>
      <c r="Q33" s="909">
        <v>0</v>
      </c>
      <c r="R33" s="910">
        <f t="shared" si="0"/>
        <v>199592</v>
      </c>
      <c r="S33" s="909"/>
      <c r="T33" s="910">
        <v>96492</v>
      </c>
      <c r="U33" s="912">
        <v>9101</v>
      </c>
      <c r="V33" s="912">
        <v>105594</v>
      </c>
    </row>
    <row r="34" spans="1:22" x14ac:dyDescent="0.25">
      <c r="A34" s="906">
        <v>90307</v>
      </c>
      <c r="B34" s="907" t="s">
        <v>2602</v>
      </c>
      <c r="C34" s="908">
        <v>7.7000000000000008E-6</v>
      </c>
      <c r="D34" s="908">
        <v>8.4999999999999999E-6</v>
      </c>
      <c r="E34" s="909">
        <v>3744</v>
      </c>
      <c r="F34" s="909">
        <v>3815</v>
      </c>
      <c r="G34" s="909">
        <v>16342</v>
      </c>
      <c r="H34" s="909"/>
      <c r="I34" s="910">
        <v>307</v>
      </c>
      <c r="J34" s="910">
        <v>14321</v>
      </c>
      <c r="K34" s="910">
        <v>1119</v>
      </c>
      <c r="L34" s="909">
        <v>213</v>
      </c>
      <c r="M34" s="909"/>
      <c r="N34" s="910">
        <v>573</v>
      </c>
      <c r="O34" s="910">
        <v>5286</v>
      </c>
      <c r="P34" s="910">
        <v>0</v>
      </c>
      <c r="Q34" s="909">
        <v>80</v>
      </c>
      <c r="R34" s="910">
        <f t="shared" si="0"/>
        <v>9035</v>
      </c>
      <c r="S34" s="909"/>
      <c r="T34" s="910">
        <v>4368</v>
      </c>
      <c r="U34" s="912">
        <v>33</v>
      </c>
      <c r="V34" s="912">
        <v>4401</v>
      </c>
    </row>
    <row r="35" spans="1:22" x14ac:dyDescent="0.25">
      <c r="A35" s="906">
        <v>90401</v>
      </c>
      <c r="B35" s="907" t="s">
        <v>2603</v>
      </c>
      <c r="C35" s="908">
        <v>1.3626999999999999E-3</v>
      </c>
      <c r="D35" s="908">
        <v>1.359E-3</v>
      </c>
      <c r="E35" s="909">
        <v>569788.09</v>
      </c>
      <c r="F35" s="909">
        <v>609911</v>
      </c>
      <c r="G35" s="909">
        <v>2892106</v>
      </c>
      <c r="H35" s="909"/>
      <c r="I35" s="910">
        <v>54338</v>
      </c>
      <c r="J35" s="910">
        <f>VLOOKUP($A35,'N.1b 2017 summary'!A:Y,'N.1 GASB 68 LGERS'!J$21,FALSE)</f>
        <v>54338</v>
      </c>
      <c r="K35" s="910">
        <v>198083</v>
      </c>
      <c r="L35" s="909">
        <v>70826</v>
      </c>
      <c r="M35" s="909"/>
      <c r="N35" s="910">
        <v>101343</v>
      </c>
      <c r="O35" s="910">
        <v>935436</v>
      </c>
      <c r="P35" s="910">
        <v>0</v>
      </c>
      <c r="Q35" s="909">
        <v>0</v>
      </c>
      <c r="R35" s="910">
        <f t="shared" si="0"/>
        <v>881098</v>
      </c>
      <c r="S35" s="909"/>
      <c r="T35" s="910">
        <v>773017</v>
      </c>
      <c r="U35" s="912">
        <v>26807</v>
      </c>
      <c r="V35" s="912">
        <v>799824</v>
      </c>
    </row>
    <row r="36" spans="1:22" x14ac:dyDescent="0.25">
      <c r="A36" s="906">
        <v>90411</v>
      </c>
      <c r="B36" s="907" t="s">
        <v>2604</v>
      </c>
      <c r="C36" s="908">
        <v>3.5490000000000001E-4</v>
      </c>
      <c r="D36" s="908">
        <v>4.0069999999999998E-4</v>
      </c>
      <c r="E36" s="909">
        <v>139271.16</v>
      </c>
      <c r="F36" s="909">
        <v>179832</v>
      </c>
      <c r="G36" s="909">
        <v>753217</v>
      </c>
      <c r="H36" s="909"/>
      <c r="I36" s="910">
        <v>14152</v>
      </c>
      <c r="J36" s="910">
        <v>660058</v>
      </c>
      <c r="K36" s="910">
        <v>51589</v>
      </c>
      <c r="L36" s="909">
        <v>0</v>
      </c>
      <c r="M36" s="909"/>
      <c r="N36" s="910">
        <v>26394</v>
      </c>
      <c r="O36" s="910">
        <v>243624</v>
      </c>
      <c r="P36" s="910">
        <v>0</v>
      </c>
      <c r="Q36" s="909">
        <v>45866</v>
      </c>
      <c r="R36" s="910">
        <f t="shared" si="0"/>
        <v>416434</v>
      </c>
      <c r="S36" s="909"/>
      <c r="T36" s="910">
        <v>201324</v>
      </c>
      <c r="U36" s="912">
        <v>-13553</v>
      </c>
      <c r="V36" s="912">
        <v>187770</v>
      </c>
    </row>
    <row r="37" spans="1:22" x14ac:dyDescent="0.25">
      <c r="A37" s="906">
        <v>90413</v>
      </c>
      <c r="B37" s="907" t="s">
        <v>2605</v>
      </c>
      <c r="C37" s="908">
        <v>3.7299999999999999E-5</v>
      </c>
      <c r="D37" s="908">
        <v>3.6399999999999997E-5</v>
      </c>
      <c r="E37" s="909">
        <v>16560</v>
      </c>
      <c r="F37" s="909">
        <v>16336</v>
      </c>
      <c r="G37" s="909">
        <v>79163</v>
      </c>
      <c r="H37" s="909"/>
      <c r="I37" s="910">
        <v>1487</v>
      </c>
      <c r="J37" s="910">
        <v>69372</v>
      </c>
      <c r="K37" s="910">
        <v>5422</v>
      </c>
      <c r="L37" s="909">
        <v>9568</v>
      </c>
      <c r="M37" s="909"/>
      <c r="N37" s="910">
        <v>2774</v>
      </c>
      <c r="O37" s="910">
        <v>25605</v>
      </c>
      <c r="P37" s="910">
        <v>0</v>
      </c>
      <c r="Q37" s="909">
        <v>0</v>
      </c>
      <c r="R37" s="910">
        <f t="shared" si="0"/>
        <v>43767</v>
      </c>
      <c r="S37" s="909"/>
      <c r="T37" s="910">
        <v>21159</v>
      </c>
      <c r="U37" s="912">
        <v>3645</v>
      </c>
      <c r="V37" s="912">
        <v>24804</v>
      </c>
    </row>
    <row r="38" spans="1:22" x14ac:dyDescent="0.25">
      <c r="A38" s="906">
        <v>90417</v>
      </c>
      <c r="B38" s="907" t="s">
        <v>2606</v>
      </c>
      <c r="C38" s="908">
        <v>1.2099999999999999E-5</v>
      </c>
      <c r="D38" s="908">
        <v>1.38E-5</v>
      </c>
      <c r="E38" s="909">
        <v>7492</v>
      </c>
      <c r="F38" s="909">
        <v>6193</v>
      </c>
      <c r="G38" s="909">
        <v>25680</v>
      </c>
      <c r="H38" s="909"/>
      <c r="I38" s="910">
        <v>482</v>
      </c>
      <c r="J38" s="910">
        <v>22504</v>
      </c>
      <c r="K38" s="910">
        <v>1759</v>
      </c>
      <c r="L38" s="909">
        <v>2032</v>
      </c>
      <c r="M38" s="909"/>
      <c r="N38" s="910">
        <v>900</v>
      </c>
      <c r="O38" s="910">
        <v>8306</v>
      </c>
      <c r="P38" s="910">
        <v>0</v>
      </c>
      <c r="Q38" s="909">
        <v>0</v>
      </c>
      <c r="R38" s="910">
        <f t="shared" si="0"/>
        <v>14198</v>
      </c>
      <c r="S38" s="909"/>
      <c r="T38" s="910">
        <v>6864</v>
      </c>
      <c r="U38" s="912">
        <v>687</v>
      </c>
      <c r="V38" s="912">
        <v>7551</v>
      </c>
    </row>
    <row r="39" spans="1:22" x14ac:dyDescent="0.25">
      <c r="A39" s="906">
        <v>90421</v>
      </c>
      <c r="B39" s="907" t="s">
        <v>2607</v>
      </c>
      <c r="C39" s="908">
        <v>2.3600000000000001E-5</v>
      </c>
      <c r="D39" s="908">
        <v>2.4700000000000001E-5</v>
      </c>
      <c r="E39" s="909">
        <v>7745.31</v>
      </c>
      <c r="F39" s="909">
        <v>11085</v>
      </c>
      <c r="G39" s="909">
        <v>50087</v>
      </c>
      <c r="H39" s="909"/>
      <c r="I39" s="910">
        <v>941</v>
      </c>
      <c r="J39" s="910">
        <v>43892</v>
      </c>
      <c r="K39" s="910">
        <v>3431</v>
      </c>
      <c r="L39" s="909">
        <v>0</v>
      </c>
      <c r="M39" s="909"/>
      <c r="N39" s="910">
        <v>1755</v>
      </c>
      <c r="O39" s="910">
        <v>16200</v>
      </c>
      <c r="P39" s="910">
        <v>0</v>
      </c>
      <c r="Q39" s="909">
        <v>3590</v>
      </c>
      <c r="R39" s="910">
        <f t="shared" si="0"/>
        <v>27692</v>
      </c>
      <c r="S39" s="909"/>
      <c r="T39" s="910">
        <v>13388</v>
      </c>
      <c r="U39" s="912">
        <v>-1226</v>
      </c>
      <c r="V39" s="912">
        <v>12162</v>
      </c>
    </row>
    <row r="40" spans="1:22" x14ac:dyDescent="0.25">
      <c r="A40" s="906">
        <v>90431</v>
      </c>
      <c r="B40" s="907" t="s">
        <v>2608</v>
      </c>
      <c r="C40" s="908">
        <v>4.2799999999999997E-5</v>
      </c>
      <c r="D40" s="908">
        <v>4.7599999999999998E-5</v>
      </c>
      <c r="E40" s="909">
        <v>18711.07</v>
      </c>
      <c r="F40" s="909">
        <v>21363</v>
      </c>
      <c r="G40" s="909">
        <v>90836</v>
      </c>
      <c r="H40" s="909"/>
      <c r="I40" s="910">
        <v>1707</v>
      </c>
      <c r="J40" s="910">
        <v>79601</v>
      </c>
      <c r="K40" s="910">
        <v>6221</v>
      </c>
      <c r="L40" s="909">
        <v>8478</v>
      </c>
      <c r="M40" s="909"/>
      <c r="N40" s="910">
        <v>3183</v>
      </c>
      <c r="O40" s="910">
        <v>29380</v>
      </c>
      <c r="P40" s="910">
        <v>0</v>
      </c>
      <c r="Q40" s="909">
        <v>1719</v>
      </c>
      <c r="R40" s="910">
        <f t="shared" si="0"/>
        <v>50221</v>
      </c>
      <c r="S40" s="909"/>
      <c r="T40" s="910">
        <v>24279</v>
      </c>
      <c r="U40" s="912">
        <v>2793</v>
      </c>
      <c r="V40" s="912">
        <v>27072</v>
      </c>
    </row>
    <row r="41" spans="1:22" x14ac:dyDescent="0.25">
      <c r="A41" s="906">
        <v>90441</v>
      </c>
      <c r="B41" s="907" t="s">
        <v>2609</v>
      </c>
      <c r="C41" s="908">
        <v>9.3999999999999998E-6</v>
      </c>
      <c r="D41" s="908">
        <v>1.03E-5</v>
      </c>
      <c r="E41" s="909">
        <v>4675</v>
      </c>
      <c r="F41" s="909">
        <v>4623</v>
      </c>
      <c r="G41" s="909">
        <v>19950</v>
      </c>
      <c r="H41" s="909"/>
      <c r="I41" s="910">
        <v>374.82499999999999</v>
      </c>
      <c r="J41" s="910">
        <v>17483</v>
      </c>
      <c r="K41" s="910">
        <v>1366</v>
      </c>
      <c r="L41" s="909">
        <v>1367</v>
      </c>
      <c r="M41" s="909"/>
      <c r="N41" s="910">
        <v>699</v>
      </c>
      <c r="O41" s="910">
        <v>6453</v>
      </c>
      <c r="P41" s="910">
        <v>0</v>
      </c>
      <c r="Q41" s="909">
        <v>200</v>
      </c>
      <c r="R41" s="910">
        <f t="shared" si="0"/>
        <v>11030</v>
      </c>
      <c r="S41" s="909"/>
      <c r="T41" s="910">
        <v>5332</v>
      </c>
      <c r="U41" s="912">
        <v>578</v>
      </c>
      <c r="V41" s="912">
        <v>5911</v>
      </c>
    </row>
    <row r="42" spans="1:22" x14ac:dyDescent="0.25">
      <c r="A42" s="906">
        <v>90451</v>
      </c>
      <c r="B42" s="907" t="s">
        <v>2610</v>
      </c>
      <c r="C42" s="908">
        <v>1.7900000000000001E-5</v>
      </c>
      <c r="D42" s="908">
        <v>1.2099999999999999E-5</v>
      </c>
      <c r="E42" s="909">
        <v>6772.25</v>
      </c>
      <c r="F42" s="909">
        <v>5430</v>
      </c>
      <c r="G42" s="909">
        <v>37990</v>
      </c>
      <c r="H42" s="909"/>
      <c r="I42" s="910">
        <v>713.76250000000005</v>
      </c>
      <c r="J42" s="910">
        <v>33291</v>
      </c>
      <c r="K42" s="910">
        <v>2602</v>
      </c>
      <c r="L42" s="909">
        <v>3118</v>
      </c>
      <c r="M42" s="909"/>
      <c r="N42" s="910">
        <v>1331</v>
      </c>
      <c r="O42" s="910">
        <v>12288</v>
      </c>
      <c r="P42" s="910">
        <v>0</v>
      </c>
      <c r="Q42" s="909">
        <v>288</v>
      </c>
      <c r="R42" s="910">
        <f t="shared" si="0"/>
        <v>21003</v>
      </c>
      <c r="S42" s="909"/>
      <c r="T42" s="910">
        <v>10154</v>
      </c>
      <c r="U42" s="912">
        <v>814</v>
      </c>
      <c r="V42" s="912">
        <v>10968</v>
      </c>
    </row>
    <row r="43" spans="1:22" x14ac:dyDescent="0.25">
      <c r="A43" s="906">
        <v>90461</v>
      </c>
      <c r="B43" s="907" t="s">
        <v>2611</v>
      </c>
      <c r="C43" s="908">
        <v>1.7200000000000001E-5</v>
      </c>
      <c r="D43" s="908">
        <v>1.7200000000000001E-5</v>
      </c>
      <c r="E43" s="909">
        <v>6466.34</v>
      </c>
      <c r="F43" s="909">
        <v>7719</v>
      </c>
      <c r="G43" s="909">
        <v>36504</v>
      </c>
      <c r="H43" s="909"/>
      <c r="I43" s="910">
        <v>685.85</v>
      </c>
      <c r="J43" s="910">
        <v>31989</v>
      </c>
      <c r="K43" s="910">
        <v>2500</v>
      </c>
      <c r="L43" s="909">
        <v>4750</v>
      </c>
      <c r="M43" s="909"/>
      <c r="N43" s="910">
        <v>1279</v>
      </c>
      <c r="O43" s="910">
        <v>11807</v>
      </c>
      <c r="P43" s="910">
        <v>0</v>
      </c>
      <c r="Q43" s="909">
        <v>2426</v>
      </c>
      <c r="R43" s="910">
        <f t="shared" si="0"/>
        <v>20182</v>
      </c>
      <c r="S43" s="909"/>
      <c r="T43" s="910">
        <v>9757</v>
      </c>
      <c r="U43" s="912">
        <v>583</v>
      </c>
      <c r="V43" s="912">
        <v>10340</v>
      </c>
    </row>
    <row r="44" spans="1:22" x14ac:dyDescent="0.25">
      <c r="A44" s="906">
        <v>90501</v>
      </c>
      <c r="B44" s="907" t="s">
        <v>2612</v>
      </c>
      <c r="C44" s="908">
        <v>1.4001E-3</v>
      </c>
      <c r="D44" s="908">
        <v>1.4352E-3</v>
      </c>
      <c r="E44" s="909">
        <v>603983</v>
      </c>
      <c r="F44" s="909">
        <v>644109</v>
      </c>
      <c r="G44" s="909">
        <v>2971481</v>
      </c>
      <c r="H44" s="909"/>
      <c r="I44" s="910">
        <v>55829</v>
      </c>
      <c r="J44" s="910">
        <v>2603965</v>
      </c>
      <c r="K44" s="910">
        <v>203520</v>
      </c>
      <c r="L44" s="909">
        <v>46994</v>
      </c>
      <c r="M44" s="909"/>
      <c r="N44" s="910">
        <v>104124</v>
      </c>
      <c r="O44" s="910">
        <v>961110</v>
      </c>
      <c r="P44" s="910">
        <v>0</v>
      </c>
      <c r="Q44" s="909">
        <v>0</v>
      </c>
      <c r="R44" s="910">
        <f t="shared" si="0"/>
        <v>1642855</v>
      </c>
      <c r="S44" s="909"/>
      <c r="T44" s="910">
        <v>794233</v>
      </c>
      <c r="U44" s="912">
        <v>20332</v>
      </c>
      <c r="V44" s="912">
        <v>814566</v>
      </c>
    </row>
    <row r="45" spans="1:22" x14ac:dyDescent="0.25">
      <c r="A45" s="906">
        <v>90507</v>
      </c>
      <c r="B45" s="907" t="s">
        <v>1207</v>
      </c>
      <c r="C45" s="908">
        <v>7.3000000000000004E-6</v>
      </c>
      <c r="D45" s="908">
        <v>7.7000000000000008E-6</v>
      </c>
      <c r="E45" s="909">
        <v>9534.18</v>
      </c>
      <c r="F45" s="909">
        <v>3456</v>
      </c>
      <c r="G45" s="909">
        <v>15493</v>
      </c>
      <c r="H45" s="909"/>
      <c r="I45" s="910">
        <v>291</v>
      </c>
      <c r="J45" s="910">
        <v>13577</v>
      </c>
      <c r="K45" s="910">
        <v>1061</v>
      </c>
      <c r="L45" s="909">
        <v>8871</v>
      </c>
      <c r="M45" s="909"/>
      <c r="N45" s="910">
        <v>543</v>
      </c>
      <c r="O45" s="910">
        <v>5011</v>
      </c>
      <c r="P45" s="910">
        <v>0</v>
      </c>
      <c r="Q45" s="909">
        <v>0</v>
      </c>
      <c r="R45" s="910">
        <f t="shared" si="0"/>
        <v>8566</v>
      </c>
      <c r="S45" s="909"/>
      <c r="T45" s="910">
        <v>4141</v>
      </c>
      <c r="U45" s="912">
        <v>2759</v>
      </c>
      <c r="V45" s="912">
        <v>6900</v>
      </c>
    </row>
    <row r="46" spans="1:22" x14ac:dyDescent="0.25">
      <c r="A46" s="906">
        <v>90511</v>
      </c>
      <c r="B46" s="907" t="s">
        <v>2613</v>
      </c>
      <c r="C46" s="908">
        <v>9.5500000000000004E-5</v>
      </c>
      <c r="D46" s="908">
        <v>9.0699999999999996E-5</v>
      </c>
      <c r="E46" s="909">
        <v>45634.76</v>
      </c>
      <c r="F46" s="909">
        <v>40706</v>
      </c>
      <c r="G46" s="909">
        <v>202683</v>
      </c>
      <c r="H46" s="909"/>
      <c r="I46" s="910">
        <v>3808.0625</v>
      </c>
      <c r="J46" s="910">
        <v>177615</v>
      </c>
      <c r="K46" s="910">
        <v>13882</v>
      </c>
      <c r="L46" s="909">
        <v>15579</v>
      </c>
      <c r="M46" s="909"/>
      <c r="N46" s="910">
        <v>7102</v>
      </c>
      <c r="O46" s="910">
        <v>65557</v>
      </c>
      <c r="P46" s="910">
        <v>0</v>
      </c>
      <c r="Q46" s="909">
        <v>0</v>
      </c>
      <c r="R46" s="910">
        <f t="shared" si="0"/>
        <v>112058</v>
      </c>
      <c r="S46" s="909"/>
      <c r="T46" s="910">
        <v>54174</v>
      </c>
      <c r="U46" s="912">
        <v>5418</v>
      </c>
      <c r="V46" s="912">
        <v>59592</v>
      </c>
    </row>
    <row r="47" spans="1:22" x14ac:dyDescent="0.25">
      <c r="A47" s="906">
        <v>90521</v>
      </c>
      <c r="B47" s="907" t="s">
        <v>2614</v>
      </c>
      <c r="C47" s="908">
        <v>1.395E-4</v>
      </c>
      <c r="D47" s="908">
        <v>1.451E-4</v>
      </c>
      <c r="E47" s="909">
        <v>47723.41</v>
      </c>
      <c r="F47" s="909">
        <v>65120</v>
      </c>
      <c r="G47" s="909">
        <v>296066</v>
      </c>
      <c r="H47" s="909"/>
      <c r="I47" s="910">
        <v>5562.5625</v>
      </c>
      <c r="J47" s="910">
        <v>259448</v>
      </c>
      <c r="K47" s="910">
        <v>20278</v>
      </c>
      <c r="L47" s="909">
        <v>0</v>
      </c>
      <c r="M47" s="909"/>
      <c r="N47" s="910">
        <v>10374</v>
      </c>
      <c r="O47" s="910">
        <v>95761</v>
      </c>
      <c r="P47" s="910">
        <v>0</v>
      </c>
      <c r="Q47" s="909">
        <v>17468</v>
      </c>
      <c r="R47" s="910">
        <f t="shared" si="0"/>
        <v>163687</v>
      </c>
      <c r="S47" s="909"/>
      <c r="T47" s="910">
        <v>79134</v>
      </c>
      <c r="U47" s="912">
        <v>-5509</v>
      </c>
      <c r="V47" s="912">
        <v>73625</v>
      </c>
    </row>
    <row r="48" spans="1:22" x14ac:dyDescent="0.25">
      <c r="A48" s="906">
        <v>90601</v>
      </c>
      <c r="B48" s="907" t="s">
        <v>2615</v>
      </c>
      <c r="C48" s="908">
        <v>1.1785999999999999E-3</v>
      </c>
      <c r="D48" s="908">
        <v>1.2051E-3</v>
      </c>
      <c r="E48" s="909">
        <v>469146.06</v>
      </c>
      <c r="F48" s="909">
        <v>540842</v>
      </c>
      <c r="G48" s="909">
        <v>2501384</v>
      </c>
      <c r="H48" s="909"/>
      <c r="I48" s="910">
        <v>46997</v>
      </c>
      <c r="J48" s="910">
        <v>2192010</v>
      </c>
      <c r="K48" s="910">
        <v>171322</v>
      </c>
      <c r="L48" s="909">
        <v>32298</v>
      </c>
      <c r="M48" s="909"/>
      <c r="N48" s="910">
        <v>87651</v>
      </c>
      <c r="O48" s="910">
        <v>809059</v>
      </c>
      <c r="P48" s="910">
        <v>0</v>
      </c>
      <c r="Q48" s="909">
        <v>26702</v>
      </c>
      <c r="R48" s="910">
        <f t="shared" si="0"/>
        <v>1382951</v>
      </c>
      <c r="S48" s="909"/>
      <c r="T48" s="910">
        <v>668583</v>
      </c>
      <c r="U48" s="912">
        <v>7604</v>
      </c>
      <c r="V48" s="912">
        <v>676188</v>
      </c>
    </row>
    <row r="49" spans="1:22" x14ac:dyDescent="0.25">
      <c r="A49" s="906">
        <v>90602</v>
      </c>
      <c r="B49" s="907" t="s">
        <v>2122</v>
      </c>
      <c r="C49" s="908">
        <v>6.3299999999999994E-5</v>
      </c>
      <c r="D49" s="908">
        <v>0</v>
      </c>
      <c r="E49" s="909">
        <v>31566.720000000001</v>
      </c>
      <c r="F49" s="909">
        <v>0</v>
      </c>
      <c r="G49" s="909">
        <v>134344</v>
      </c>
      <c r="H49" s="909"/>
      <c r="I49" s="910">
        <v>2524</v>
      </c>
      <c r="J49" s="910">
        <v>117728</v>
      </c>
      <c r="K49" s="910">
        <v>9201</v>
      </c>
      <c r="L49" s="909">
        <v>46975</v>
      </c>
      <c r="M49" s="909"/>
      <c r="N49" s="910">
        <v>4708</v>
      </c>
      <c r="O49" s="910">
        <v>43453</v>
      </c>
      <c r="P49" s="910">
        <v>0</v>
      </c>
      <c r="Q49" s="909">
        <v>0</v>
      </c>
      <c r="R49" s="910">
        <f t="shared" si="0"/>
        <v>74275</v>
      </c>
      <c r="S49" s="909"/>
      <c r="T49" s="910">
        <v>35908</v>
      </c>
      <c r="U49" s="912">
        <v>12962</v>
      </c>
      <c r="V49" s="912">
        <v>48870</v>
      </c>
    </row>
    <row r="50" spans="1:22" x14ac:dyDescent="0.25">
      <c r="A50" s="906">
        <v>90605</v>
      </c>
      <c r="B50" s="907" t="s">
        <v>2616</v>
      </c>
      <c r="C50" s="908">
        <v>3.8399999999999998E-5</v>
      </c>
      <c r="D50" s="908">
        <v>3.6399999999999997E-5</v>
      </c>
      <c r="E50" s="909">
        <v>22332.880000000001</v>
      </c>
      <c r="F50" s="909">
        <v>16336</v>
      </c>
      <c r="G50" s="909">
        <v>81498</v>
      </c>
      <c r="H50" s="909"/>
      <c r="I50" s="910">
        <v>1531</v>
      </c>
      <c r="J50" s="910">
        <v>71418</v>
      </c>
      <c r="K50" s="910">
        <v>5582</v>
      </c>
      <c r="L50" s="909">
        <v>11852</v>
      </c>
      <c r="M50" s="909"/>
      <c r="N50" s="910">
        <v>2856</v>
      </c>
      <c r="O50" s="910">
        <v>26360</v>
      </c>
      <c r="P50" s="910">
        <v>0</v>
      </c>
      <c r="Q50" s="909">
        <v>0</v>
      </c>
      <c r="R50" s="910">
        <f t="shared" si="0"/>
        <v>45058</v>
      </c>
      <c r="S50" s="909"/>
      <c r="T50" s="910">
        <v>21783</v>
      </c>
      <c r="U50" s="912">
        <v>3784</v>
      </c>
      <c r="V50" s="912">
        <v>25567</v>
      </c>
    </row>
    <row r="51" spans="1:22" x14ac:dyDescent="0.25">
      <c r="A51" s="906">
        <v>90611</v>
      </c>
      <c r="B51" s="907" t="s">
        <v>2617</v>
      </c>
      <c r="C51" s="908">
        <v>1.5669999999999999E-4</v>
      </c>
      <c r="D51" s="908">
        <v>1.663E-4</v>
      </c>
      <c r="E51" s="909">
        <v>56254</v>
      </c>
      <c r="F51" s="909">
        <v>74634</v>
      </c>
      <c r="G51" s="909">
        <v>332570</v>
      </c>
      <c r="H51" s="909"/>
      <c r="I51" s="910">
        <v>6248</v>
      </c>
      <c r="J51" s="910">
        <v>291437</v>
      </c>
      <c r="K51" s="910">
        <v>22778</v>
      </c>
      <c r="L51" s="909">
        <v>5072.51</v>
      </c>
      <c r="M51" s="909"/>
      <c r="N51" s="910">
        <v>11654</v>
      </c>
      <c r="O51" s="910">
        <v>107568</v>
      </c>
      <c r="P51" s="910">
        <v>0</v>
      </c>
      <c r="Q51" s="909">
        <v>13074</v>
      </c>
      <c r="R51" s="910">
        <f t="shared" si="0"/>
        <v>183869</v>
      </c>
      <c r="S51" s="909"/>
      <c r="T51" s="910">
        <v>88891</v>
      </c>
      <c r="U51" s="912">
        <v>-969</v>
      </c>
      <c r="V51" s="912">
        <v>87922</v>
      </c>
    </row>
    <row r="52" spans="1:22" x14ac:dyDescent="0.25">
      <c r="A52" s="906">
        <v>90617</v>
      </c>
      <c r="B52" s="907" t="s">
        <v>2618</v>
      </c>
      <c r="C52" s="908">
        <v>2.6800000000000001E-5</v>
      </c>
      <c r="D52" s="908">
        <v>2.6599999999999999E-5</v>
      </c>
      <c r="E52" s="909">
        <v>14103</v>
      </c>
      <c r="F52" s="909">
        <v>11938</v>
      </c>
      <c r="G52" s="909">
        <v>56879</v>
      </c>
      <c r="H52" s="909"/>
      <c r="I52" s="910">
        <v>1069</v>
      </c>
      <c r="J52" s="910">
        <v>49844</v>
      </c>
      <c r="K52" s="910">
        <v>3896</v>
      </c>
      <c r="L52" s="909">
        <v>8505</v>
      </c>
      <c r="M52" s="909"/>
      <c r="N52" s="910">
        <v>1993</v>
      </c>
      <c r="O52" s="910">
        <v>18397</v>
      </c>
      <c r="P52" s="910">
        <v>0</v>
      </c>
      <c r="Q52" s="909">
        <v>0</v>
      </c>
      <c r="R52" s="910">
        <f t="shared" si="0"/>
        <v>31447</v>
      </c>
      <c r="S52" s="909"/>
      <c r="T52" s="910">
        <v>15203</v>
      </c>
      <c r="U52" s="912">
        <v>3445</v>
      </c>
      <c r="V52" s="912">
        <v>18647</v>
      </c>
    </row>
    <row r="53" spans="1:22" x14ac:dyDescent="0.25">
      <c r="A53" s="906">
        <v>90621</v>
      </c>
      <c r="B53" s="907" t="s">
        <v>2619</v>
      </c>
      <c r="C53" s="908">
        <v>8.2100000000000003E-5</v>
      </c>
      <c r="D53" s="908">
        <v>7.9400000000000006E-5</v>
      </c>
      <c r="E53" s="909">
        <v>28252</v>
      </c>
      <c r="F53" s="909">
        <v>35634</v>
      </c>
      <c r="G53" s="909">
        <v>174244</v>
      </c>
      <c r="H53" s="909"/>
      <c r="I53" s="910">
        <v>3274</v>
      </c>
      <c r="J53" s="910">
        <v>152693</v>
      </c>
      <c r="K53" s="910">
        <v>11934</v>
      </c>
      <c r="L53" s="909">
        <v>1182</v>
      </c>
      <c r="M53" s="909"/>
      <c r="N53" s="910">
        <v>6106</v>
      </c>
      <c r="O53" s="910">
        <v>56358</v>
      </c>
      <c r="P53" s="910">
        <v>0</v>
      </c>
      <c r="Q53" s="909">
        <v>7913</v>
      </c>
      <c r="R53" s="910">
        <f t="shared" si="0"/>
        <v>96335</v>
      </c>
      <c r="S53" s="909"/>
      <c r="T53" s="910">
        <v>46573</v>
      </c>
      <c r="U53" s="912">
        <v>-1933</v>
      </c>
      <c r="V53" s="912">
        <v>44639</v>
      </c>
    </row>
    <row r="54" spans="1:22" x14ac:dyDescent="0.25">
      <c r="A54" s="906">
        <v>90631</v>
      </c>
      <c r="B54" s="907" t="s">
        <v>2620</v>
      </c>
      <c r="C54" s="908">
        <v>3.8000000000000002E-4</v>
      </c>
      <c r="D54" s="908">
        <v>3.4539999999999999E-4</v>
      </c>
      <c r="E54" s="909">
        <v>153531.72</v>
      </c>
      <c r="F54" s="909">
        <v>155013</v>
      </c>
      <c r="G54" s="909">
        <v>806487.3</v>
      </c>
      <c r="H54" s="909"/>
      <c r="I54" s="910">
        <v>15152.5</v>
      </c>
      <c r="J54" s="910">
        <v>706740</v>
      </c>
      <c r="K54" s="910">
        <v>55237.18</v>
      </c>
      <c r="L54" s="909">
        <v>16567</v>
      </c>
      <c r="M54" s="909"/>
      <c r="N54" s="910">
        <v>28260.22</v>
      </c>
      <c r="O54" s="910">
        <v>260854.04</v>
      </c>
      <c r="P54" s="910">
        <v>0</v>
      </c>
      <c r="Q54" s="909">
        <v>14381</v>
      </c>
      <c r="R54" s="910">
        <f t="shared" si="0"/>
        <v>445886</v>
      </c>
      <c r="S54" s="909"/>
      <c r="T54" s="910">
        <v>215562.22</v>
      </c>
      <c r="U54" s="912">
        <v>-1856</v>
      </c>
      <c r="V54" s="912">
        <v>213706</v>
      </c>
    </row>
    <row r="55" spans="1:22" x14ac:dyDescent="0.25">
      <c r="A55" s="906">
        <v>90641</v>
      </c>
      <c r="B55" s="907" t="s">
        <v>2621</v>
      </c>
      <c r="C55" s="908">
        <v>1.4399999999999999E-5</v>
      </c>
      <c r="D55" s="908">
        <v>1.5400000000000002E-5</v>
      </c>
      <c r="E55" s="909">
        <v>5940.04</v>
      </c>
      <c r="F55" s="909">
        <v>6911</v>
      </c>
      <c r="G55" s="909">
        <v>30562</v>
      </c>
      <c r="H55" s="909"/>
      <c r="I55" s="910">
        <v>574</v>
      </c>
      <c r="J55" s="910">
        <v>26782</v>
      </c>
      <c r="K55" s="910">
        <v>2093</v>
      </c>
      <c r="L55" s="909">
        <v>340</v>
      </c>
      <c r="M55" s="909"/>
      <c r="N55" s="910">
        <v>1071</v>
      </c>
      <c r="O55" s="910">
        <v>9885</v>
      </c>
      <c r="P55" s="910">
        <v>0</v>
      </c>
      <c r="Q55" s="909">
        <v>782</v>
      </c>
      <c r="R55" s="910">
        <f t="shared" si="0"/>
        <v>16897</v>
      </c>
      <c r="S55" s="909"/>
      <c r="T55" s="910">
        <v>8169</v>
      </c>
      <c r="U55" s="912">
        <v>-144</v>
      </c>
      <c r="V55" s="912">
        <v>8025</v>
      </c>
    </row>
    <row r="56" spans="1:22" x14ac:dyDescent="0.25">
      <c r="A56" s="906">
        <v>90651</v>
      </c>
      <c r="B56" s="907" t="s">
        <v>2622</v>
      </c>
      <c r="C56" s="908">
        <v>1.108E-4</v>
      </c>
      <c r="D56" s="908">
        <v>1.042E-4</v>
      </c>
      <c r="E56" s="909">
        <v>96248</v>
      </c>
      <c r="F56" s="909">
        <v>46764</v>
      </c>
      <c r="G56" s="909">
        <v>235155</v>
      </c>
      <c r="H56" s="909"/>
      <c r="I56" s="910">
        <v>4418</v>
      </c>
      <c r="J56" s="910">
        <v>206070</v>
      </c>
      <c r="K56" s="910">
        <v>16106</v>
      </c>
      <c r="L56" s="909">
        <v>73167</v>
      </c>
      <c r="M56" s="909"/>
      <c r="N56" s="910">
        <v>8240</v>
      </c>
      <c r="O56" s="910">
        <v>76060</v>
      </c>
      <c r="P56" s="910">
        <v>0</v>
      </c>
      <c r="Q56" s="909">
        <v>9364.94</v>
      </c>
      <c r="R56" s="910">
        <f t="shared" si="0"/>
        <v>130010</v>
      </c>
      <c r="S56" s="909"/>
      <c r="T56" s="910">
        <v>62853</v>
      </c>
      <c r="U56" s="912">
        <v>17052</v>
      </c>
      <c r="V56" s="912">
        <v>79906</v>
      </c>
    </row>
    <row r="57" spans="1:22" x14ac:dyDescent="0.25">
      <c r="A57" s="906">
        <v>90701</v>
      </c>
      <c r="B57" s="907" t="s">
        <v>2623</v>
      </c>
      <c r="C57" s="908">
        <v>2.3587E-3</v>
      </c>
      <c r="D57" s="908">
        <v>2.3326000000000002E-3</v>
      </c>
      <c r="E57" s="909">
        <v>908617.53</v>
      </c>
      <c r="F57" s="909">
        <v>1046857</v>
      </c>
      <c r="G57" s="909">
        <v>5005952</v>
      </c>
      <c r="H57" s="909"/>
      <c r="I57" s="910">
        <v>94053</v>
      </c>
      <c r="J57" s="910">
        <v>4386809</v>
      </c>
      <c r="K57" s="910">
        <v>342863</v>
      </c>
      <c r="L57" s="909">
        <v>35812.04</v>
      </c>
      <c r="M57" s="909"/>
      <c r="N57" s="910">
        <v>175414</v>
      </c>
      <c r="O57" s="910">
        <v>1619148</v>
      </c>
      <c r="P57" s="910">
        <v>0</v>
      </c>
      <c r="Q57" s="909">
        <v>44222</v>
      </c>
      <c r="R57" s="910">
        <f t="shared" si="0"/>
        <v>2767661</v>
      </c>
      <c r="S57" s="909"/>
      <c r="T57" s="910">
        <v>1338017</v>
      </c>
      <c r="U57" s="912">
        <v>5621</v>
      </c>
      <c r="V57" s="912">
        <v>1343639</v>
      </c>
    </row>
    <row r="58" spans="1:22" x14ac:dyDescent="0.25">
      <c r="A58" s="906">
        <v>90704</v>
      </c>
      <c r="B58" s="907" t="s">
        <v>2624</v>
      </c>
      <c r="C58" s="908">
        <v>3.4900000000000001E-5</v>
      </c>
      <c r="D58" s="908">
        <v>3.3300000000000003E-5</v>
      </c>
      <c r="E58" s="909">
        <v>22788</v>
      </c>
      <c r="F58" s="909">
        <v>14945</v>
      </c>
      <c r="G58" s="909">
        <v>74069</v>
      </c>
      <c r="H58" s="909"/>
      <c r="I58" s="910">
        <v>1392</v>
      </c>
      <c r="J58" s="910">
        <v>64908</v>
      </c>
      <c r="K58" s="910">
        <v>5073</v>
      </c>
      <c r="L58" s="909">
        <v>13042</v>
      </c>
      <c r="M58" s="909"/>
      <c r="N58" s="910">
        <v>2595</v>
      </c>
      <c r="O58" s="910">
        <v>23957</v>
      </c>
      <c r="P58" s="910">
        <v>0</v>
      </c>
      <c r="Q58" s="909">
        <v>0</v>
      </c>
      <c r="R58" s="910">
        <f t="shared" si="0"/>
        <v>40951</v>
      </c>
      <c r="S58" s="909"/>
      <c r="T58" s="910">
        <v>19798</v>
      </c>
      <c r="U58" s="912">
        <v>4197</v>
      </c>
      <c r="V58" s="912">
        <v>23995</v>
      </c>
    </row>
    <row r="59" spans="1:22" x14ac:dyDescent="0.25">
      <c r="A59" s="906">
        <v>90705</v>
      </c>
      <c r="B59" s="907" t="s">
        <v>2625</v>
      </c>
      <c r="C59" s="908">
        <v>3.3899999999999997E-5</v>
      </c>
      <c r="D59" s="908">
        <v>3.0599999999999998E-5</v>
      </c>
      <c r="E59" s="909">
        <v>17670</v>
      </c>
      <c r="F59" s="909">
        <v>13733</v>
      </c>
      <c r="G59" s="909">
        <v>71947</v>
      </c>
      <c r="H59" s="909"/>
      <c r="I59" s="910">
        <v>1352</v>
      </c>
      <c r="J59" s="910">
        <v>63049</v>
      </c>
      <c r="K59" s="910">
        <v>4928</v>
      </c>
      <c r="L59" s="909">
        <v>9785</v>
      </c>
      <c r="M59" s="909"/>
      <c r="N59" s="910">
        <v>2521</v>
      </c>
      <c r="O59" s="910">
        <v>23271</v>
      </c>
      <c r="P59" s="910">
        <v>0</v>
      </c>
      <c r="Q59" s="909">
        <v>0</v>
      </c>
      <c r="R59" s="910">
        <f t="shared" si="0"/>
        <v>39778</v>
      </c>
      <c r="S59" s="909"/>
      <c r="T59" s="910">
        <v>19230</v>
      </c>
      <c r="U59" s="912">
        <v>3239</v>
      </c>
      <c r="V59" s="912">
        <v>22470</v>
      </c>
    </row>
    <row r="60" spans="1:22" x14ac:dyDescent="0.25">
      <c r="A60" s="906">
        <v>90709</v>
      </c>
      <c r="B60" s="907" t="s">
        <v>2626</v>
      </c>
      <c r="C60" s="908">
        <v>1.4569999999999999E-4</v>
      </c>
      <c r="D60" s="908">
        <v>2.1790000000000001E-4</v>
      </c>
      <c r="E60" s="909">
        <v>59289.13</v>
      </c>
      <c r="F60" s="909">
        <v>97792</v>
      </c>
      <c r="G60" s="909">
        <v>309224</v>
      </c>
      <c r="H60" s="909"/>
      <c r="I60" s="910">
        <v>5810</v>
      </c>
      <c r="J60" s="910">
        <v>270979</v>
      </c>
      <c r="K60" s="910">
        <v>21179</v>
      </c>
      <c r="L60" s="909">
        <v>10221</v>
      </c>
      <c r="M60" s="909"/>
      <c r="N60" s="910">
        <v>10836</v>
      </c>
      <c r="O60" s="910">
        <v>100017</v>
      </c>
      <c r="P60" s="910">
        <v>0</v>
      </c>
      <c r="Q60" s="909">
        <v>44565</v>
      </c>
      <c r="R60" s="910">
        <f t="shared" si="0"/>
        <v>170962</v>
      </c>
      <c r="S60" s="909"/>
      <c r="T60" s="910">
        <v>82651</v>
      </c>
      <c r="U60" s="912">
        <v>-6883</v>
      </c>
      <c r="V60" s="912">
        <v>75769</v>
      </c>
    </row>
    <row r="61" spans="1:22" x14ac:dyDescent="0.25">
      <c r="A61" s="906">
        <v>90711</v>
      </c>
      <c r="B61" s="907" t="s">
        <v>2627</v>
      </c>
      <c r="C61" s="908">
        <v>1.7302000000000001E-3</v>
      </c>
      <c r="D61" s="908">
        <v>1.8802000000000001E-3</v>
      </c>
      <c r="E61" s="909">
        <v>667293.38</v>
      </c>
      <c r="F61" s="909">
        <v>843822</v>
      </c>
      <c r="G61" s="909">
        <v>3672064</v>
      </c>
      <c r="H61" s="909"/>
      <c r="I61" s="910">
        <v>68992</v>
      </c>
      <c r="J61" s="910">
        <v>3217899</v>
      </c>
      <c r="K61" s="910">
        <v>251504</v>
      </c>
      <c r="L61" s="909">
        <v>0</v>
      </c>
      <c r="M61" s="909"/>
      <c r="N61" s="910">
        <v>128673</v>
      </c>
      <c r="O61" s="910">
        <v>1187710</v>
      </c>
      <c r="P61" s="910">
        <v>0</v>
      </c>
      <c r="Q61" s="909">
        <v>193488</v>
      </c>
      <c r="R61" s="910">
        <f t="shared" si="0"/>
        <v>2030189</v>
      </c>
      <c r="S61" s="909"/>
      <c r="T61" s="910">
        <v>981489</v>
      </c>
      <c r="U61" s="912">
        <v>-61566</v>
      </c>
      <c r="V61" s="912">
        <v>919922</v>
      </c>
    </row>
    <row r="62" spans="1:22" x14ac:dyDescent="0.25">
      <c r="A62" s="906">
        <v>90721</v>
      </c>
      <c r="B62" s="907" t="s">
        <v>2628</v>
      </c>
      <c r="C62" s="908">
        <v>3.7299999999999999E-5</v>
      </c>
      <c r="D62" s="908">
        <v>3.82E-5</v>
      </c>
      <c r="E62" s="909">
        <v>14531.46</v>
      </c>
      <c r="F62" s="909">
        <v>17144</v>
      </c>
      <c r="G62" s="909">
        <v>79163</v>
      </c>
      <c r="H62" s="909"/>
      <c r="I62" s="910">
        <v>1487</v>
      </c>
      <c r="J62" s="910">
        <v>69372</v>
      </c>
      <c r="K62" s="910">
        <v>5422</v>
      </c>
      <c r="L62" s="909">
        <v>5347</v>
      </c>
      <c r="M62" s="909"/>
      <c r="N62" s="910">
        <v>2774</v>
      </c>
      <c r="O62" s="910">
        <v>25605</v>
      </c>
      <c r="P62" s="910">
        <v>0</v>
      </c>
      <c r="Q62" s="909">
        <v>1129</v>
      </c>
      <c r="R62" s="910">
        <f t="shared" si="0"/>
        <v>43767</v>
      </c>
      <c r="S62" s="909"/>
      <c r="T62" s="910">
        <v>21159</v>
      </c>
      <c r="U62" s="912">
        <v>2098</v>
      </c>
      <c r="V62" s="912">
        <v>23258</v>
      </c>
    </row>
    <row r="63" spans="1:22" x14ac:dyDescent="0.25">
      <c r="A63" s="906">
        <v>90731</v>
      </c>
      <c r="B63" s="907" t="s">
        <v>2629</v>
      </c>
      <c r="C63" s="908">
        <v>1.917E-4</v>
      </c>
      <c r="D63" s="908">
        <v>1.9459999999999999E-4</v>
      </c>
      <c r="E63" s="909">
        <v>77066</v>
      </c>
      <c r="F63" s="909">
        <v>87335</v>
      </c>
      <c r="G63" s="909">
        <v>406852</v>
      </c>
      <c r="H63" s="909"/>
      <c r="I63" s="910">
        <v>7644</v>
      </c>
      <c r="J63" s="910">
        <v>356532</v>
      </c>
      <c r="K63" s="910">
        <v>27866</v>
      </c>
      <c r="L63" s="909">
        <v>0</v>
      </c>
      <c r="M63" s="909"/>
      <c r="N63" s="910">
        <v>14257</v>
      </c>
      <c r="O63" s="910">
        <v>131594</v>
      </c>
      <c r="P63" s="910">
        <v>0</v>
      </c>
      <c r="Q63" s="909">
        <v>10037</v>
      </c>
      <c r="R63" s="910">
        <f t="shared" si="0"/>
        <v>224938</v>
      </c>
      <c r="S63" s="909"/>
      <c r="T63" s="910">
        <v>108745</v>
      </c>
      <c r="U63" s="912">
        <v>-3998</v>
      </c>
      <c r="V63" s="912">
        <v>104747</v>
      </c>
    </row>
    <row r="64" spans="1:22" x14ac:dyDescent="0.25">
      <c r="A64" s="906">
        <v>90741</v>
      </c>
      <c r="B64" s="907" t="s">
        <v>2630</v>
      </c>
      <c r="C64" s="908">
        <v>1.2099999999999999E-5</v>
      </c>
      <c r="D64" s="908">
        <v>1.2799999999999999E-5</v>
      </c>
      <c r="E64" s="909">
        <v>6754</v>
      </c>
      <c r="F64" s="909">
        <v>5745</v>
      </c>
      <c r="G64" s="909">
        <v>25680</v>
      </c>
      <c r="H64" s="909"/>
      <c r="I64" s="910">
        <v>482</v>
      </c>
      <c r="J64" s="910">
        <v>22504</v>
      </c>
      <c r="K64" s="910">
        <v>1759</v>
      </c>
      <c r="L64" s="909">
        <v>3208</v>
      </c>
      <c r="M64" s="909"/>
      <c r="N64" s="910">
        <v>900</v>
      </c>
      <c r="O64" s="910">
        <v>8306</v>
      </c>
      <c r="P64" s="910">
        <v>0</v>
      </c>
      <c r="Q64" s="909">
        <v>1496</v>
      </c>
      <c r="R64" s="910">
        <f t="shared" si="0"/>
        <v>14198</v>
      </c>
      <c r="S64" s="909"/>
      <c r="T64" s="910">
        <v>6864</v>
      </c>
      <c r="U64" s="912">
        <v>287</v>
      </c>
      <c r="V64" s="912">
        <v>7151</v>
      </c>
    </row>
    <row r="65" spans="1:22" x14ac:dyDescent="0.25">
      <c r="A65" s="906">
        <v>90751</v>
      </c>
      <c r="B65" s="907" t="s">
        <v>2631</v>
      </c>
      <c r="C65" s="908">
        <v>6.5599999999999995E-5</v>
      </c>
      <c r="D65" s="908">
        <v>6.2000000000000003E-5</v>
      </c>
      <c r="E65" s="909">
        <v>24796.57</v>
      </c>
      <c r="F65" s="909">
        <v>27825</v>
      </c>
      <c r="G65" s="909">
        <v>139225</v>
      </c>
      <c r="H65" s="909"/>
      <c r="I65" s="910">
        <v>2616</v>
      </c>
      <c r="J65" s="910">
        <v>122006</v>
      </c>
      <c r="K65" s="910">
        <v>9536</v>
      </c>
      <c r="L65" s="909">
        <v>8610</v>
      </c>
      <c r="M65" s="909"/>
      <c r="N65" s="910">
        <v>4879</v>
      </c>
      <c r="O65" s="910">
        <v>45032</v>
      </c>
      <c r="P65" s="910">
        <v>0</v>
      </c>
      <c r="Q65" s="909">
        <v>0</v>
      </c>
      <c r="R65" s="910">
        <f t="shared" si="0"/>
        <v>76974</v>
      </c>
      <c r="S65" s="909"/>
      <c r="T65" s="910">
        <v>37213</v>
      </c>
      <c r="U65" s="912">
        <v>3670</v>
      </c>
      <c r="V65" s="912">
        <v>40883</v>
      </c>
    </row>
    <row r="66" spans="1:22" x14ac:dyDescent="0.25">
      <c r="A66" s="906">
        <v>90801</v>
      </c>
      <c r="B66" s="907" t="s">
        <v>2632</v>
      </c>
      <c r="C66" s="908">
        <v>1.1404E-3</v>
      </c>
      <c r="D66" s="908">
        <v>1.0472000000000001E-3</v>
      </c>
      <c r="E66" s="909">
        <v>442982.95</v>
      </c>
      <c r="F66" s="909">
        <v>469977</v>
      </c>
      <c r="G66" s="909">
        <v>2420311</v>
      </c>
      <c r="H66" s="909"/>
      <c r="I66" s="910">
        <v>45473.45</v>
      </c>
      <c r="J66" s="910">
        <v>2120964</v>
      </c>
      <c r="K66" s="910">
        <v>165770</v>
      </c>
      <c r="L66" s="909">
        <v>156481</v>
      </c>
      <c r="M66" s="909"/>
      <c r="N66" s="910">
        <v>84810</v>
      </c>
      <c r="O66" s="910">
        <v>782837</v>
      </c>
      <c r="P66" s="910">
        <v>0</v>
      </c>
      <c r="Q66" s="909">
        <v>0</v>
      </c>
      <c r="R66" s="910">
        <f t="shared" si="0"/>
        <v>1338127</v>
      </c>
      <c r="S66" s="909"/>
      <c r="T66" s="910">
        <v>646914</v>
      </c>
      <c r="U66" s="912">
        <v>53264</v>
      </c>
      <c r="V66" s="912">
        <v>700177</v>
      </c>
    </row>
    <row r="67" spans="1:22" x14ac:dyDescent="0.25">
      <c r="A67" s="906">
        <v>90804</v>
      </c>
      <c r="B67" s="907" t="s">
        <v>2633</v>
      </c>
      <c r="C67" s="908">
        <v>6.0000000000000002E-6</v>
      </c>
      <c r="D67" s="908">
        <v>4.6999999999999999E-6</v>
      </c>
      <c r="E67" s="909">
        <v>2490.12</v>
      </c>
      <c r="F67" s="909">
        <v>2109</v>
      </c>
      <c r="G67" s="909">
        <v>12734.01</v>
      </c>
      <c r="H67" s="909"/>
      <c r="I67" s="910">
        <v>239.25</v>
      </c>
      <c r="J67" s="910">
        <v>11159</v>
      </c>
      <c r="K67" s="910">
        <v>872</v>
      </c>
      <c r="L67" s="909">
        <v>2282</v>
      </c>
      <c r="M67" s="909"/>
      <c r="N67" s="910">
        <v>446</v>
      </c>
      <c r="O67" s="910">
        <v>4119</v>
      </c>
      <c r="P67" s="910">
        <v>0</v>
      </c>
      <c r="Q67" s="909">
        <v>0</v>
      </c>
      <c r="R67" s="910">
        <f t="shared" si="0"/>
        <v>7040</v>
      </c>
      <c r="S67" s="909"/>
      <c r="T67" s="910">
        <v>3404</v>
      </c>
      <c r="U67" s="912">
        <v>878</v>
      </c>
      <c r="V67" s="912">
        <v>4282</v>
      </c>
    </row>
    <row r="68" spans="1:22" x14ac:dyDescent="0.25">
      <c r="A68" s="906">
        <v>90805</v>
      </c>
      <c r="B68" s="907" t="s">
        <v>2634</v>
      </c>
      <c r="C68" s="908">
        <v>5.5099999999999998E-5</v>
      </c>
      <c r="D68" s="908">
        <v>5.2800000000000003E-5</v>
      </c>
      <c r="E68" s="909">
        <v>34303</v>
      </c>
      <c r="F68" s="909">
        <v>23696</v>
      </c>
      <c r="G68" s="909">
        <v>116941</v>
      </c>
      <c r="H68" s="909"/>
      <c r="I68" s="910">
        <v>2197</v>
      </c>
      <c r="J68" s="910">
        <v>102477</v>
      </c>
      <c r="K68" s="910">
        <v>8009</v>
      </c>
      <c r="L68" s="909">
        <v>22372</v>
      </c>
      <c r="M68" s="909"/>
      <c r="N68" s="910">
        <v>4098</v>
      </c>
      <c r="O68" s="910">
        <v>37824</v>
      </c>
      <c r="P68" s="910">
        <v>0</v>
      </c>
      <c r="Q68" s="909">
        <v>0</v>
      </c>
      <c r="R68" s="910">
        <f t="shared" si="0"/>
        <v>64653</v>
      </c>
      <c r="S68" s="909"/>
      <c r="T68" s="910">
        <v>31257</v>
      </c>
      <c r="U68" s="912">
        <v>7625</v>
      </c>
      <c r="V68" s="912">
        <v>38881</v>
      </c>
    </row>
    <row r="69" spans="1:22" x14ac:dyDescent="0.25">
      <c r="A69" s="906">
        <v>90808</v>
      </c>
      <c r="B69" s="907" t="s">
        <v>2635</v>
      </c>
      <c r="C69" s="908">
        <v>1.109E-4</v>
      </c>
      <c r="D69" s="908">
        <v>1.176E-4</v>
      </c>
      <c r="E69" s="909">
        <v>47437.34</v>
      </c>
      <c r="F69" s="909">
        <v>52778</v>
      </c>
      <c r="G69" s="909">
        <v>235367</v>
      </c>
      <c r="H69" s="909"/>
      <c r="I69" s="910">
        <v>4422</v>
      </c>
      <c r="J69" s="910">
        <v>206256</v>
      </c>
      <c r="K69" s="910">
        <v>16121</v>
      </c>
      <c r="L69" s="909">
        <v>1422</v>
      </c>
      <c r="M69" s="909"/>
      <c r="N69" s="910">
        <v>8248</v>
      </c>
      <c r="O69" s="910">
        <v>76128</v>
      </c>
      <c r="P69" s="910">
        <v>0</v>
      </c>
      <c r="Q69" s="909">
        <v>2972</v>
      </c>
      <c r="R69" s="910">
        <f t="shared" si="0"/>
        <v>130128</v>
      </c>
      <c r="S69" s="909"/>
      <c r="T69" s="910">
        <v>62910</v>
      </c>
      <c r="U69" s="912">
        <v>-460</v>
      </c>
      <c r="V69" s="912">
        <v>62451</v>
      </c>
    </row>
    <row r="70" spans="1:22" x14ac:dyDescent="0.25">
      <c r="A70" s="906">
        <v>90811</v>
      </c>
      <c r="B70" s="907" t="s">
        <v>2636</v>
      </c>
      <c r="C70" s="908">
        <v>4.0000000000000003E-5</v>
      </c>
      <c r="D70" s="908">
        <v>3.6199999999999999E-5</v>
      </c>
      <c r="E70" s="909">
        <v>12069.34</v>
      </c>
      <c r="F70" s="909">
        <v>16246</v>
      </c>
      <c r="G70" s="909">
        <v>84893</v>
      </c>
      <c r="H70" s="909"/>
      <c r="I70" s="910">
        <v>1595</v>
      </c>
      <c r="J70" s="910">
        <v>74394</v>
      </c>
      <c r="K70" s="910">
        <v>5814</v>
      </c>
      <c r="L70" s="909">
        <v>947</v>
      </c>
      <c r="M70" s="909"/>
      <c r="N70" s="910">
        <v>2974.76</v>
      </c>
      <c r="O70" s="910">
        <v>27458</v>
      </c>
      <c r="P70" s="910">
        <v>0</v>
      </c>
      <c r="Q70" s="909">
        <v>2175</v>
      </c>
      <c r="R70" s="910">
        <f t="shared" si="0"/>
        <v>46936</v>
      </c>
      <c r="S70" s="909"/>
      <c r="T70" s="910">
        <v>22691</v>
      </c>
      <c r="U70" s="912">
        <v>-159</v>
      </c>
      <c r="V70" s="912">
        <v>22531</v>
      </c>
    </row>
    <row r="71" spans="1:22" x14ac:dyDescent="0.25">
      <c r="A71" s="906">
        <v>90812</v>
      </c>
      <c r="B71" s="907" t="s">
        <v>2637</v>
      </c>
      <c r="C71" s="908">
        <v>2.13E-4</v>
      </c>
      <c r="D71" s="908">
        <v>2.409E-4</v>
      </c>
      <c r="E71" s="909">
        <v>88699.09</v>
      </c>
      <c r="F71" s="909">
        <v>108114</v>
      </c>
      <c r="G71" s="909">
        <v>452057</v>
      </c>
      <c r="H71" s="909"/>
      <c r="I71" s="910">
        <v>8493.375</v>
      </c>
      <c r="J71" s="910">
        <v>396146</v>
      </c>
      <c r="K71" s="910">
        <v>30962</v>
      </c>
      <c r="L71" s="909">
        <v>8573</v>
      </c>
      <c r="M71" s="909"/>
      <c r="N71" s="910">
        <v>15841</v>
      </c>
      <c r="O71" s="910">
        <v>146216</v>
      </c>
      <c r="P71" s="910">
        <v>0</v>
      </c>
      <c r="Q71" s="909">
        <v>14237</v>
      </c>
      <c r="R71" s="910">
        <f t="shared" ref="R71:R134" si="1">IF(J71&gt;O71,J71-O71,O71-J71)</f>
        <v>249930</v>
      </c>
      <c r="S71" s="909"/>
      <c r="T71" s="910">
        <v>120828</v>
      </c>
      <c r="U71" s="912">
        <v>453</v>
      </c>
      <c r="V71" s="912">
        <v>121281</v>
      </c>
    </row>
    <row r="72" spans="1:22" x14ac:dyDescent="0.25">
      <c r="A72" s="906">
        <v>90813</v>
      </c>
      <c r="B72" s="907" t="s">
        <v>2638</v>
      </c>
      <c r="C72" s="908">
        <v>5.4999999999999999E-6</v>
      </c>
      <c r="D72" s="908">
        <v>5.4E-6</v>
      </c>
      <c r="E72" s="909">
        <v>1841</v>
      </c>
      <c r="F72" s="909">
        <v>2423</v>
      </c>
      <c r="G72" s="909">
        <v>11673</v>
      </c>
      <c r="H72" s="909"/>
      <c r="I72" s="910">
        <v>219.3125</v>
      </c>
      <c r="J72" s="910">
        <v>10229</v>
      </c>
      <c r="K72" s="910">
        <v>799</v>
      </c>
      <c r="L72" s="909">
        <v>0</v>
      </c>
      <c r="M72" s="909"/>
      <c r="N72" s="910">
        <v>409</v>
      </c>
      <c r="O72" s="910">
        <v>3776</v>
      </c>
      <c r="P72" s="910">
        <v>0</v>
      </c>
      <c r="Q72" s="909">
        <v>1089</v>
      </c>
      <c r="R72" s="910">
        <f t="shared" si="1"/>
        <v>6453</v>
      </c>
      <c r="S72" s="909"/>
      <c r="T72" s="910">
        <v>3120</v>
      </c>
      <c r="U72" s="912">
        <v>-397</v>
      </c>
      <c r="V72" s="912">
        <v>2723</v>
      </c>
    </row>
    <row r="73" spans="1:22" x14ac:dyDescent="0.25">
      <c r="A73" s="906">
        <v>90861</v>
      </c>
      <c r="B73" s="907" t="s">
        <v>2639</v>
      </c>
      <c r="C73" s="908">
        <v>4.7999999999999998E-6</v>
      </c>
      <c r="D73" s="908">
        <v>5.3000000000000001E-6</v>
      </c>
      <c r="E73" s="909">
        <v>3510</v>
      </c>
      <c r="F73" s="909">
        <v>2379</v>
      </c>
      <c r="G73" s="909">
        <v>10187</v>
      </c>
      <c r="H73" s="909"/>
      <c r="I73" s="910">
        <v>191</v>
      </c>
      <c r="J73" s="910">
        <v>8927</v>
      </c>
      <c r="K73" s="910">
        <v>698</v>
      </c>
      <c r="L73" s="909">
        <v>3258</v>
      </c>
      <c r="M73" s="909"/>
      <c r="N73" s="910">
        <v>357</v>
      </c>
      <c r="O73" s="910">
        <v>3295</v>
      </c>
      <c r="P73" s="910">
        <v>0</v>
      </c>
      <c r="Q73" s="909">
        <v>2245</v>
      </c>
      <c r="R73" s="910">
        <f t="shared" si="1"/>
        <v>5632</v>
      </c>
      <c r="S73" s="909"/>
      <c r="T73" s="910">
        <v>2723</v>
      </c>
      <c r="U73" s="912">
        <v>-63</v>
      </c>
      <c r="V73" s="912">
        <v>2659</v>
      </c>
    </row>
    <row r="74" spans="1:22" x14ac:dyDescent="0.25">
      <c r="A74" s="906">
        <v>90901</v>
      </c>
      <c r="B74" s="907" t="s">
        <v>2640</v>
      </c>
      <c r="C74" s="908">
        <v>2.1302999999999999E-3</v>
      </c>
      <c r="D74" s="908">
        <v>2.2187000000000001E-3</v>
      </c>
      <c r="E74" s="909">
        <v>886463</v>
      </c>
      <c r="F74" s="909">
        <v>995739</v>
      </c>
      <c r="G74" s="909">
        <v>4521210</v>
      </c>
      <c r="H74" s="909"/>
      <c r="I74" s="910">
        <v>84946</v>
      </c>
      <c r="J74" s="910">
        <v>3962021</v>
      </c>
      <c r="K74" s="910">
        <v>309663</v>
      </c>
      <c r="L74" s="909">
        <v>9118.18</v>
      </c>
      <c r="M74" s="909"/>
      <c r="N74" s="910">
        <v>158428</v>
      </c>
      <c r="O74" s="910">
        <v>1462361</v>
      </c>
      <c r="P74" s="910">
        <v>0</v>
      </c>
      <c r="Q74" s="909">
        <v>53019</v>
      </c>
      <c r="R74" s="910">
        <f t="shared" si="1"/>
        <v>2499660</v>
      </c>
      <c r="S74" s="909"/>
      <c r="T74" s="910">
        <v>1208453</v>
      </c>
      <c r="U74" s="912">
        <v>-10432</v>
      </c>
      <c r="V74" s="912">
        <v>1198021</v>
      </c>
    </row>
    <row r="75" spans="1:22" x14ac:dyDescent="0.25">
      <c r="A75" s="906">
        <v>90911</v>
      </c>
      <c r="B75" s="907" t="s">
        <v>2641</v>
      </c>
      <c r="C75" s="908">
        <v>3.6010000000000003E-4</v>
      </c>
      <c r="D75" s="908">
        <v>3.6860000000000001E-4</v>
      </c>
      <c r="E75" s="909">
        <v>130625.3</v>
      </c>
      <c r="F75" s="909">
        <v>165425</v>
      </c>
      <c r="G75" s="909">
        <v>764253</v>
      </c>
      <c r="H75" s="909"/>
      <c r="I75" s="910">
        <v>14359</v>
      </c>
      <c r="J75" s="910">
        <v>669729</v>
      </c>
      <c r="K75" s="910">
        <v>52344</v>
      </c>
      <c r="L75" s="909">
        <v>0</v>
      </c>
      <c r="M75" s="909"/>
      <c r="N75" s="910">
        <v>26780</v>
      </c>
      <c r="O75" s="910">
        <v>247194</v>
      </c>
      <c r="P75" s="910">
        <v>0</v>
      </c>
      <c r="Q75" s="909">
        <v>51509</v>
      </c>
      <c r="R75" s="910">
        <f t="shared" si="1"/>
        <v>422535</v>
      </c>
      <c r="S75" s="909"/>
      <c r="T75" s="910">
        <v>204274</v>
      </c>
      <c r="U75" s="912">
        <v>-20027</v>
      </c>
      <c r="V75" s="912">
        <v>184246</v>
      </c>
    </row>
    <row r="76" spans="1:22" x14ac:dyDescent="0.25">
      <c r="A76" s="906">
        <v>90917</v>
      </c>
      <c r="B76" s="907" t="s">
        <v>2642</v>
      </c>
      <c r="C76" s="908">
        <v>1.42E-5</v>
      </c>
      <c r="D76" s="908">
        <v>1.01E-5</v>
      </c>
      <c r="E76" s="909">
        <v>5169</v>
      </c>
      <c r="F76" s="909">
        <v>4533</v>
      </c>
      <c r="G76" s="909">
        <v>30137</v>
      </c>
      <c r="H76" s="909"/>
      <c r="I76" s="910">
        <v>566.22500000000002</v>
      </c>
      <c r="J76" s="910">
        <v>26410</v>
      </c>
      <c r="K76" s="910">
        <v>2064</v>
      </c>
      <c r="L76" s="909">
        <v>2014</v>
      </c>
      <c r="M76" s="909"/>
      <c r="N76" s="910">
        <v>1056</v>
      </c>
      <c r="O76" s="910">
        <v>9748</v>
      </c>
      <c r="P76" s="910">
        <v>0</v>
      </c>
      <c r="Q76" s="909">
        <v>881.57</v>
      </c>
      <c r="R76" s="910">
        <f t="shared" si="1"/>
        <v>16662</v>
      </c>
      <c r="S76" s="909"/>
      <c r="T76" s="910">
        <v>8055</v>
      </c>
      <c r="U76" s="912">
        <v>110</v>
      </c>
      <c r="V76" s="912">
        <v>8165</v>
      </c>
    </row>
    <row r="77" spans="1:22" x14ac:dyDescent="0.25">
      <c r="A77" s="906">
        <v>90918</v>
      </c>
      <c r="B77" s="907" t="s">
        <v>2643</v>
      </c>
      <c r="C77" s="908">
        <v>1.24E-5</v>
      </c>
      <c r="D77" s="908">
        <v>1.3499999999999999E-5</v>
      </c>
      <c r="E77" s="909">
        <v>4291.66</v>
      </c>
      <c r="F77" s="909">
        <v>6059</v>
      </c>
      <c r="G77" s="909">
        <v>26317</v>
      </c>
      <c r="H77" s="909"/>
      <c r="I77" s="910">
        <v>494.45</v>
      </c>
      <c r="J77" s="910">
        <v>23062</v>
      </c>
      <c r="K77" s="910">
        <v>1802</v>
      </c>
      <c r="L77" s="909">
        <v>0</v>
      </c>
      <c r="M77" s="909"/>
      <c r="N77" s="910">
        <v>922</v>
      </c>
      <c r="O77" s="910">
        <v>8512</v>
      </c>
      <c r="P77" s="910">
        <v>0</v>
      </c>
      <c r="Q77" s="909">
        <v>2531</v>
      </c>
      <c r="R77" s="910">
        <f t="shared" si="1"/>
        <v>14550</v>
      </c>
      <c r="S77" s="909"/>
      <c r="T77" s="910">
        <v>7034</v>
      </c>
      <c r="U77" s="912">
        <v>-865</v>
      </c>
      <c r="V77" s="912">
        <v>6169</v>
      </c>
    </row>
    <row r="78" spans="1:22" x14ac:dyDescent="0.25">
      <c r="A78" s="906">
        <v>90921</v>
      </c>
      <c r="B78" s="907" t="s">
        <v>2644</v>
      </c>
      <c r="C78" s="908">
        <v>8.7399999999999997E-5</v>
      </c>
      <c r="D78" s="908">
        <v>1.149E-4</v>
      </c>
      <c r="E78" s="909">
        <v>45670.59</v>
      </c>
      <c r="F78" s="909">
        <v>51566</v>
      </c>
      <c r="G78" s="909">
        <v>185492</v>
      </c>
      <c r="H78" s="909"/>
      <c r="I78" s="910">
        <v>3485</v>
      </c>
      <c r="J78" s="910">
        <v>162550</v>
      </c>
      <c r="K78" s="910">
        <v>12705</v>
      </c>
      <c r="L78" s="909">
        <v>4488</v>
      </c>
      <c r="M78" s="909"/>
      <c r="N78" s="910">
        <v>6500</v>
      </c>
      <c r="O78" s="910">
        <v>59996</v>
      </c>
      <c r="P78" s="910">
        <v>0</v>
      </c>
      <c r="Q78" s="909">
        <v>10576</v>
      </c>
      <c r="R78" s="910">
        <f t="shared" si="1"/>
        <v>102554</v>
      </c>
      <c r="S78" s="909"/>
      <c r="T78" s="910">
        <v>49579</v>
      </c>
      <c r="U78" s="912">
        <v>-1977</v>
      </c>
      <c r="V78" s="912">
        <v>47602</v>
      </c>
    </row>
    <row r="79" spans="1:22" x14ac:dyDescent="0.25">
      <c r="A79" s="906">
        <v>90931</v>
      </c>
      <c r="B79" s="907" t="s">
        <v>2645</v>
      </c>
      <c r="C79" s="908">
        <v>5.1900000000000001E-5</v>
      </c>
      <c r="D79" s="908">
        <v>6.2700000000000006E-5</v>
      </c>
      <c r="E79" s="909">
        <v>20869.29</v>
      </c>
      <c r="F79" s="909">
        <v>28139</v>
      </c>
      <c r="G79" s="909">
        <v>110149</v>
      </c>
      <c r="H79" s="909"/>
      <c r="I79" s="910">
        <v>2070</v>
      </c>
      <c r="J79" s="910">
        <v>96526</v>
      </c>
      <c r="K79" s="910">
        <v>7544</v>
      </c>
      <c r="L79" s="909">
        <v>6439</v>
      </c>
      <c r="M79" s="909"/>
      <c r="N79" s="910">
        <v>3860</v>
      </c>
      <c r="O79" s="910">
        <v>35627</v>
      </c>
      <c r="P79" s="910">
        <v>0</v>
      </c>
      <c r="Q79" s="909">
        <v>6227</v>
      </c>
      <c r="R79" s="910">
        <f t="shared" si="1"/>
        <v>60899</v>
      </c>
      <c r="S79" s="909"/>
      <c r="T79" s="910">
        <v>29441</v>
      </c>
      <c r="U79" s="912">
        <v>1082</v>
      </c>
      <c r="V79" s="912">
        <v>30524</v>
      </c>
    </row>
    <row r="80" spans="1:22" x14ac:dyDescent="0.25">
      <c r="A80" s="906">
        <v>90941</v>
      </c>
      <c r="B80" s="907" t="s">
        <v>2646</v>
      </c>
      <c r="C80" s="908">
        <v>9.0799999999999998E-5</v>
      </c>
      <c r="D80" s="908">
        <v>8.1199999999999995E-5</v>
      </c>
      <c r="E80" s="909">
        <v>33657.32</v>
      </c>
      <c r="F80" s="909">
        <v>36442</v>
      </c>
      <c r="G80" s="909">
        <v>192708</v>
      </c>
      <c r="H80" s="909"/>
      <c r="I80" s="910">
        <v>3620.65</v>
      </c>
      <c r="J80" s="910">
        <v>168874</v>
      </c>
      <c r="K80" s="910">
        <v>13199</v>
      </c>
      <c r="L80" s="909">
        <v>2275</v>
      </c>
      <c r="M80" s="909"/>
      <c r="N80" s="910">
        <v>6753</v>
      </c>
      <c r="O80" s="910">
        <v>62330</v>
      </c>
      <c r="P80" s="910">
        <v>0</v>
      </c>
      <c r="Q80" s="909">
        <v>7609</v>
      </c>
      <c r="R80" s="910">
        <f t="shared" si="1"/>
        <v>106544</v>
      </c>
      <c r="S80" s="909"/>
      <c r="T80" s="910">
        <v>51508</v>
      </c>
      <c r="U80" s="912">
        <v>-2188</v>
      </c>
      <c r="V80" s="912">
        <v>49320</v>
      </c>
    </row>
    <row r="81" spans="1:22" x14ac:dyDescent="0.25">
      <c r="A81" s="906">
        <v>91001</v>
      </c>
      <c r="B81" s="907" t="s">
        <v>2647</v>
      </c>
      <c r="C81" s="908">
        <v>6.6189999999999999E-3</v>
      </c>
      <c r="D81" s="908">
        <v>6.5719999999999997E-3</v>
      </c>
      <c r="E81" s="909">
        <v>2476167.31</v>
      </c>
      <c r="F81" s="909">
        <v>2949474</v>
      </c>
      <c r="G81" s="909">
        <v>14047735</v>
      </c>
      <c r="H81" s="909"/>
      <c r="I81" s="910">
        <v>263933</v>
      </c>
      <c r="J81" s="910">
        <v>12310294</v>
      </c>
      <c r="K81" s="910">
        <v>962144</v>
      </c>
      <c r="L81" s="909">
        <v>72024</v>
      </c>
      <c r="M81" s="909"/>
      <c r="N81" s="910">
        <v>492248</v>
      </c>
      <c r="O81" s="910">
        <v>4543666</v>
      </c>
      <c r="P81" s="910">
        <v>0</v>
      </c>
      <c r="Q81" s="909">
        <v>203248</v>
      </c>
      <c r="R81" s="910">
        <f t="shared" si="1"/>
        <v>7766628</v>
      </c>
      <c r="S81" s="909"/>
      <c r="T81" s="910">
        <v>3754754</v>
      </c>
      <c r="U81" s="912">
        <v>-19657</v>
      </c>
      <c r="V81" s="912">
        <v>3735096</v>
      </c>
    </row>
    <row r="82" spans="1:22" x14ac:dyDescent="0.25">
      <c r="A82" s="906">
        <v>91002</v>
      </c>
      <c r="B82" s="907" t="s">
        <v>2648</v>
      </c>
      <c r="C82" s="908">
        <v>5.6360000000000004E-4</v>
      </c>
      <c r="D82" s="908">
        <v>5.8929999999999996E-4</v>
      </c>
      <c r="E82" s="909">
        <v>198213.95</v>
      </c>
      <c r="F82" s="909">
        <v>264474</v>
      </c>
      <c r="G82" s="909">
        <v>1196148</v>
      </c>
      <c r="H82" s="909"/>
      <c r="I82" s="910">
        <v>22474</v>
      </c>
      <c r="J82" s="910">
        <v>1048207</v>
      </c>
      <c r="K82" s="910">
        <v>81925</v>
      </c>
      <c r="L82" s="909">
        <v>5287.43</v>
      </c>
      <c r="M82" s="909"/>
      <c r="N82" s="910">
        <v>41914</v>
      </c>
      <c r="O82" s="910">
        <v>386888</v>
      </c>
      <c r="P82" s="910">
        <v>0</v>
      </c>
      <c r="Q82" s="909">
        <v>69296</v>
      </c>
      <c r="R82" s="910">
        <f t="shared" si="1"/>
        <v>661319</v>
      </c>
      <c r="S82" s="909"/>
      <c r="T82" s="910">
        <v>319713</v>
      </c>
      <c r="U82" s="912">
        <v>-18039</v>
      </c>
      <c r="V82" s="912">
        <v>301674</v>
      </c>
    </row>
    <row r="83" spans="1:22" x14ac:dyDescent="0.25">
      <c r="A83" s="906">
        <v>91003</v>
      </c>
      <c r="B83" s="907" t="s">
        <v>2649</v>
      </c>
      <c r="C83" s="908">
        <v>5.6550000000000003E-4</v>
      </c>
      <c r="D83" s="908">
        <v>6.4320000000000002E-4</v>
      </c>
      <c r="E83" s="909">
        <v>237083</v>
      </c>
      <c r="F83" s="909">
        <v>288664</v>
      </c>
      <c r="G83" s="909">
        <v>1200180</v>
      </c>
      <c r="H83" s="909"/>
      <c r="I83" s="910">
        <v>22549.3125</v>
      </c>
      <c r="J83" s="910">
        <v>1051741</v>
      </c>
      <c r="K83" s="910">
        <v>82202</v>
      </c>
      <c r="L83" s="909">
        <v>33107</v>
      </c>
      <c r="M83" s="909"/>
      <c r="N83" s="910">
        <v>42056</v>
      </c>
      <c r="O83" s="910">
        <v>388192</v>
      </c>
      <c r="P83" s="910">
        <v>0</v>
      </c>
      <c r="Q83" s="909">
        <v>38498</v>
      </c>
      <c r="R83" s="910">
        <f t="shared" si="1"/>
        <v>663549</v>
      </c>
      <c r="S83" s="909"/>
      <c r="T83" s="910">
        <v>320791</v>
      </c>
      <c r="U83" s="912">
        <v>4893</v>
      </c>
      <c r="V83" s="912">
        <v>325683</v>
      </c>
    </row>
    <row r="84" spans="1:22" x14ac:dyDescent="0.25">
      <c r="A84" s="906">
        <v>91004</v>
      </c>
      <c r="B84" s="907" t="s">
        <v>2650</v>
      </c>
      <c r="C84" s="908">
        <v>1.7499999999999998E-5</v>
      </c>
      <c r="D84" s="908">
        <v>1.8199999999999999E-5</v>
      </c>
      <c r="E84" s="909">
        <v>9480</v>
      </c>
      <c r="F84" s="909">
        <v>8168</v>
      </c>
      <c r="G84" s="909">
        <v>37141</v>
      </c>
      <c r="H84" s="909"/>
      <c r="I84" s="910">
        <v>698</v>
      </c>
      <c r="J84" s="910">
        <v>32547</v>
      </c>
      <c r="K84" s="910">
        <v>2544</v>
      </c>
      <c r="L84" s="909">
        <v>7859</v>
      </c>
      <c r="M84" s="909"/>
      <c r="N84" s="910">
        <v>1301.4575</v>
      </c>
      <c r="O84" s="910">
        <v>12013</v>
      </c>
      <c r="P84" s="910">
        <v>0</v>
      </c>
      <c r="Q84" s="909">
        <v>217</v>
      </c>
      <c r="R84" s="910">
        <f t="shared" si="1"/>
        <v>20534</v>
      </c>
      <c r="S84" s="909"/>
      <c r="T84" s="910">
        <v>9927</v>
      </c>
      <c r="U84" s="912">
        <v>2541</v>
      </c>
      <c r="V84" s="912">
        <v>12468</v>
      </c>
    </row>
    <row r="85" spans="1:22" x14ac:dyDescent="0.25">
      <c r="A85" s="906">
        <v>91006</v>
      </c>
      <c r="B85" s="907" t="s">
        <v>2651</v>
      </c>
      <c r="C85" s="908">
        <v>1.0096E-3</v>
      </c>
      <c r="D85" s="908">
        <v>1.0097000000000001E-3</v>
      </c>
      <c r="E85" s="909">
        <v>387783</v>
      </c>
      <c r="F85" s="909">
        <v>453147</v>
      </c>
      <c r="G85" s="909">
        <v>2142709</v>
      </c>
      <c r="H85" s="909"/>
      <c r="I85" s="910">
        <v>40258</v>
      </c>
      <c r="J85" s="910">
        <v>1877696</v>
      </c>
      <c r="K85" s="910">
        <v>146756</v>
      </c>
      <c r="L85" s="909">
        <v>28780</v>
      </c>
      <c r="M85" s="909"/>
      <c r="N85" s="910">
        <v>75083</v>
      </c>
      <c r="O85" s="910">
        <v>693048</v>
      </c>
      <c r="P85" s="910">
        <v>0</v>
      </c>
      <c r="Q85" s="909">
        <v>21822</v>
      </c>
      <c r="R85" s="910">
        <f t="shared" si="1"/>
        <v>1184648</v>
      </c>
      <c r="S85" s="909"/>
      <c r="T85" s="910">
        <v>572715</v>
      </c>
      <c r="U85" s="912">
        <v>4927</v>
      </c>
      <c r="V85" s="912">
        <v>577642</v>
      </c>
    </row>
    <row r="86" spans="1:22" x14ac:dyDescent="0.25">
      <c r="A86" s="906">
        <v>91007</v>
      </c>
      <c r="B86" s="907" t="s">
        <v>2652</v>
      </c>
      <c r="C86" s="908">
        <v>1.2500000000000001E-5</v>
      </c>
      <c r="D86" s="908">
        <v>9.5999999999999996E-6</v>
      </c>
      <c r="E86" s="909">
        <v>10106.58</v>
      </c>
      <c r="F86" s="909">
        <v>4308</v>
      </c>
      <c r="G86" s="909">
        <v>26529.1875</v>
      </c>
      <c r="H86" s="909"/>
      <c r="I86" s="910">
        <v>498.4375</v>
      </c>
      <c r="J86" s="910">
        <v>23248</v>
      </c>
      <c r="K86" s="910">
        <v>1817</v>
      </c>
      <c r="L86" s="909">
        <v>7512</v>
      </c>
      <c r="M86" s="909"/>
      <c r="N86" s="910">
        <v>930</v>
      </c>
      <c r="O86" s="910">
        <v>8581</v>
      </c>
      <c r="P86" s="910">
        <v>0</v>
      </c>
      <c r="Q86" s="909">
        <v>1019</v>
      </c>
      <c r="R86" s="910">
        <f t="shared" si="1"/>
        <v>14667</v>
      </c>
      <c r="S86" s="909"/>
      <c r="T86" s="910">
        <v>7091</v>
      </c>
      <c r="U86" s="912">
        <v>1625</v>
      </c>
      <c r="V86" s="912">
        <v>8716</v>
      </c>
    </row>
    <row r="87" spans="1:22" x14ac:dyDescent="0.25">
      <c r="A87" s="906">
        <v>91008</v>
      </c>
      <c r="B87" s="907" t="s">
        <v>2653</v>
      </c>
      <c r="C87" s="908">
        <v>1.273E-4</v>
      </c>
      <c r="D87" s="908">
        <v>1.1629999999999999E-4</v>
      </c>
      <c r="E87" s="909">
        <v>64143</v>
      </c>
      <c r="F87" s="909">
        <v>52195</v>
      </c>
      <c r="G87" s="909">
        <v>270173</v>
      </c>
      <c r="H87" s="909"/>
      <c r="I87" s="910">
        <v>5076</v>
      </c>
      <c r="J87" s="910">
        <v>236758</v>
      </c>
      <c r="K87" s="910">
        <v>18504</v>
      </c>
      <c r="L87" s="909">
        <v>45460</v>
      </c>
      <c r="M87" s="909"/>
      <c r="N87" s="910">
        <v>9467</v>
      </c>
      <c r="O87" s="910">
        <v>87386</v>
      </c>
      <c r="P87" s="910">
        <v>0</v>
      </c>
      <c r="Q87" s="909">
        <v>0</v>
      </c>
      <c r="R87" s="910">
        <f t="shared" si="1"/>
        <v>149372</v>
      </c>
      <c r="S87" s="909"/>
      <c r="T87" s="910">
        <v>72213</v>
      </c>
      <c r="U87" s="912">
        <v>15722</v>
      </c>
      <c r="V87" s="912">
        <v>87935</v>
      </c>
    </row>
    <row r="88" spans="1:22" x14ac:dyDescent="0.25">
      <c r="A88" s="906">
        <v>91009</v>
      </c>
      <c r="B88" s="907" t="s">
        <v>2654</v>
      </c>
      <c r="C88" s="908">
        <v>1.8700000000000001E-5</v>
      </c>
      <c r="D88" s="908">
        <v>1.5099999999999999E-5</v>
      </c>
      <c r="E88" s="909">
        <v>10450.36</v>
      </c>
      <c r="F88" s="909">
        <v>6777</v>
      </c>
      <c r="G88" s="909">
        <v>39688</v>
      </c>
      <c r="H88" s="909"/>
      <c r="I88" s="910">
        <v>745.66250000000002</v>
      </c>
      <c r="J88" s="910">
        <v>34779</v>
      </c>
      <c r="K88" s="910">
        <v>2718</v>
      </c>
      <c r="L88" s="909">
        <v>4142</v>
      </c>
      <c r="M88" s="909"/>
      <c r="N88" s="910">
        <v>1391</v>
      </c>
      <c r="O88" s="910">
        <v>12837</v>
      </c>
      <c r="P88" s="910">
        <v>0</v>
      </c>
      <c r="Q88" s="909">
        <v>3815</v>
      </c>
      <c r="R88" s="910">
        <f t="shared" si="1"/>
        <v>21942</v>
      </c>
      <c r="S88" s="909"/>
      <c r="T88" s="910">
        <v>10608</v>
      </c>
      <c r="U88" s="912">
        <v>-284</v>
      </c>
      <c r="V88" s="912">
        <v>10324</v>
      </c>
    </row>
    <row r="89" spans="1:22" x14ac:dyDescent="0.25">
      <c r="A89" s="906">
        <v>91010</v>
      </c>
      <c r="B89" s="907" t="s">
        <v>2655</v>
      </c>
      <c r="C89" s="908">
        <v>6.8399999999999996E-5</v>
      </c>
      <c r="D89" s="908">
        <v>7.08E-5</v>
      </c>
      <c r="E89" s="909">
        <v>29262</v>
      </c>
      <c r="F89" s="909">
        <v>31775</v>
      </c>
      <c r="G89" s="909">
        <v>145168</v>
      </c>
      <c r="H89" s="909"/>
      <c r="I89" s="910">
        <v>2727.45</v>
      </c>
      <c r="J89" s="910">
        <v>127213</v>
      </c>
      <c r="K89" s="910">
        <v>9943</v>
      </c>
      <c r="L89" s="909">
        <v>10683</v>
      </c>
      <c r="M89" s="909"/>
      <c r="N89" s="910">
        <v>5087</v>
      </c>
      <c r="O89" s="910">
        <v>46954</v>
      </c>
      <c r="P89" s="910">
        <v>0</v>
      </c>
      <c r="Q89" s="909">
        <v>400</v>
      </c>
      <c r="R89" s="910">
        <f t="shared" si="1"/>
        <v>80259</v>
      </c>
      <c r="S89" s="909"/>
      <c r="T89" s="910">
        <v>38801</v>
      </c>
      <c r="U89" s="912">
        <v>4384</v>
      </c>
      <c r="V89" s="912">
        <v>43185</v>
      </c>
    </row>
    <row r="90" spans="1:22" x14ac:dyDescent="0.25">
      <c r="A90" s="906">
        <v>91011</v>
      </c>
      <c r="B90" s="907" t="s">
        <v>2656</v>
      </c>
      <c r="C90" s="908">
        <v>3.1789999999999998E-4</v>
      </c>
      <c r="D90" s="908">
        <v>3.0249999999999998E-4</v>
      </c>
      <c r="E90" s="909">
        <v>134881.49</v>
      </c>
      <c r="F90" s="909">
        <v>135760</v>
      </c>
      <c r="G90" s="909">
        <v>674690</v>
      </c>
      <c r="H90" s="909"/>
      <c r="I90" s="910">
        <v>12676</v>
      </c>
      <c r="J90" s="910">
        <v>591244</v>
      </c>
      <c r="K90" s="910">
        <v>46210</v>
      </c>
      <c r="L90" s="909">
        <v>30818</v>
      </c>
      <c r="M90" s="909"/>
      <c r="N90" s="910">
        <v>23642</v>
      </c>
      <c r="O90" s="910">
        <v>218225</v>
      </c>
      <c r="P90" s="910">
        <v>0</v>
      </c>
      <c r="Q90" s="909">
        <v>0</v>
      </c>
      <c r="R90" s="910">
        <f t="shared" si="1"/>
        <v>373019</v>
      </c>
      <c r="S90" s="909"/>
      <c r="T90" s="910">
        <v>180335</v>
      </c>
      <c r="U90" s="912">
        <v>10335</v>
      </c>
      <c r="V90" s="912">
        <v>190670</v>
      </c>
    </row>
    <row r="91" spans="1:22" x14ac:dyDescent="0.25">
      <c r="A91" s="906">
        <v>91012</v>
      </c>
      <c r="B91" s="907" t="s">
        <v>2657</v>
      </c>
      <c r="C91" s="908">
        <v>1.49E-5</v>
      </c>
      <c r="D91" s="908">
        <v>1.08E-5</v>
      </c>
      <c r="E91" s="909">
        <v>7817.43</v>
      </c>
      <c r="F91" s="909">
        <v>4847</v>
      </c>
      <c r="G91" s="909">
        <v>31623</v>
      </c>
      <c r="H91" s="909"/>
      <c r="I91" s="910">
        <v>594</v>
      </c>
      <c r="J91" s="910">
        <v>27712</v>
      </c>
      <c r="K91" s="910">
        <v>2166</v>
      </c>
      <c r="L91" s="909">
        <v>3563</v>
      </c>
      <c r="M91" s="909"/>
      <c r="N91" s="910">
        <v>1108</v>
      </c>
      <c r="O91" s="910">
        <v>10228</v>
      </c>
      <c r="P91" s="910">
        <v>0</v>
      </c>
      <c r="Q91" s="909">
        <v>4733</v>
      </c>
      <c r="R91" s="910">
        <f t="shared" si="1"/>
        <v>17484</v>
      </c>
      <c r="S91" s="909"/>
      <c r="T91" s="910">
        <v>8452</v>
      </c>
      <c r="U91" s="912">
        <v>-1352</v>
      </c>
      <c r="V91" s="912">
        <v>7100</v>
      </c>
    </row>
    <row r="92" spans="1:22" x14ac:dyDescent="0.25">
      <c r="A92" s="906">
        <v>91013</v>
      </c>
      <c r="B92" s="907" t="s">
        <v>2658</v>
      </c>
      <c r="C92" s="908">
        <v>2.1800000000000001E-5</v>
      </c>
      <c r="D92" s="908">
        <v>0</v>
      </c>
      <c r="E92" s="909">
        <v>20992.21</v>
      </c>
      <c r="F92" s="909">
        <v>0</v>
      </c>
      <c r="G92" s="909">
        <v>46267</v>
      </c>
      <c r="H92" s="909"/>
      <c r="I92" s="910">
        <v>869</v>
      </c>
      <c r="J92" s="910">
        <v>40545</v>
      </c>
      <c r="K92" s="910">
        <v>3169</v>
      </c>
      <c r="L92" s="909">
        <v>21362</v>
      </c>
      <c r="M92" s="909"/>
      <c r="N92" s="910">
        <v>1621</v>
      </c>
      <c r="O92" s="910">
        <v>14965</v>
      </c>
      <c r="P92" s="910">
        <v>0</v>
      </c>
      <c r="Q92" s="909">
        <v>0</v>
      </c>
      <c r="R92" s="910">
        <f t="shared" si="1"/>
        <v>25580</v>
      </c>
      <c r="S92" s="909"/>
      <c r="T92" s="910">
        <v>12366</v>
      </c>
      <c r="U92" s="912">
        <v>5534</v>
      </c>
      <c r="V92" s="912">
        <v>17901</v>
      </c>
    </row>
    <row r="93" spans="1:22" x14ac:dyDescent="0.25">
      <c r="A93" s="906">
        <v>91014</v>
      </c>
      <c r="B93" s="907" t="s">
        <v>2659</v>
      </c>
      <c r="C93" s="908">
        <v>2.1499999999999999E-4</v>
      </c>
      <c r="D93" s="908">
        <v>2.241E-4</v>
      </c>
      <c r="E93" s="909">
        <v>84391.47</v>
      </c>
      <c r="F93" s="909">
        <v>100575</v>
      </c>
      <c r="G93" s="909">
        <v>456302</v>
      </c>
      <c r="H93" s="909"/>
      <c r="I93" s="910">
        <v>8573.125</v>
      </c>
      <c r="J93" s="910">
        <v>399866</v>
      </c>
      <c r="K93" s="910">
        <v>31253</v>
      </c>
      <c r="L93" s="909">
        <v>0</v>
      </c>
      <c r="M93" s="909"/>
      <c r="N93" s="910">
        <v>15989</v>
      </c>
      <c r="O93" s="910">
        <v>147588.47</v>
      </c>
      <c r="P93" s="910">
        <v>0</v>
      </c>
      <c r="Q93" s="909">
        <v>17744</v>
      </c>
      <c r="R93" s="910">
        <f t="shared" si="1"/>
        <v>252278</v>
      </c>
      <c r="S93" s="909"/>
      <c r="T93" s="910">
        <v>121963</v>
      </c>
      <c r="U93" s="912">
        <v>-6457</v>
      </c>
      <c r="V93" s="912">
        <v>115506</v>
      </c>
    </row>
    <row r="94" spans="1:22" x14ac:dyDescent="0.25">
      <c r="A94" s="906">
        <v>91017</v>
      </c>
      <c r="B94" s="907" t="s">
        <v>2660</v>
      </c>
      <c r="C94" s="908">
        <v>2.3E-5</v>
      </c>
      <c r="D94" s="908">
        <v>1.01E-5</v>
      </c>
      <c r="E94" s="909">
        <v>10837.78</v>
      </c>
      <c r="F94" s="909">
        <v>4533</v>
      </c>
      <c r="G94" s="909">
        <v>48814</v>
      </c>
      <c r="H94" s="909"/>
      <c r="I94" s="910">
        <v>917.125</v>
      </c>
      <c r="J94" s="910">
        <v>42776</v>
      </c>
      <c r="K94" s="910">
        <v>3343</v>
      </c>
      <c r="L94" s="909">
        <v>11872</v>
      </c>
      <c r="M94" s="909"/>
      <c r="N94" s="910">
        <v>1710</v>
      </c>
      <c r="O94" s="910">
        <v>15789</v>
      </c>
      <c r="P94" s="910">
        <v>0</v>
      </c>
      <c r="Q94" s="909">
        <v>0</v>
      </c>
      <c r="R94" s="910">
        <f t="shared" si="1"/>
        <v>26987</v>
      </c>
      <c r="S94" s="909"/>
      <c r="T94" s="910">
        <v>13047</v>
      </c>
      <c r="U94" s="912">
        <v>3546</v>
      </c>
      <c r="V94" s="912">
        <v>16593</v>
      </c>
    </row>
    <row r="95" spans="1:22" x14ac:dyDescent="0.25">
      <c r="A95" s="906">
        <v>91020</v>
      </c>
      <c r="B95" s="907" t="s">
        <v>2661</v>
      </c>
      <c r="C95" s="908">
        <v>1.9899999999999999E-5</v>
      </c>
      <c r="D95" s="908">
        <v>1.7E-5</v>
      </c>
      <c r="E95" s="909">
        <v>8500.07</v>
      </c>
      <c r="F95" s="909">
        <v>7629</v>
      </c>
      <c r="G95" s="909">
        <v>42234</v>
      </c>
      <c r="H95" s="909"/>
      <c r="I95" s="910">
        <v>794</v>
      </c>
      <c r="J95" s="910">
        <v>37011</v>
      </c>
      <c r="K95" s="910">
        <v>2893</v>
      </c>
      <c r="L95" s="909">
        <v>2656</v>
      </c>
      <c r="M95" s="909"/>
      <c r="N95" s="910">
        <v>1480</v>
      </c>
      <c r="O95" s="910">
        <v>13661</v>
      </c>
      <c r="P95" s="910">
        <v>0</v>
      </c>
      <c r="Q95" s="909">
        <v>582</v>
      </c>
      <c r="R95" s="910">
        <f t="shared" si="1"/>
        <v>23350</v>
      </c>
      <c r="S95" s="909"/>
      <c r="T95" s="910">
        <v>11289</v>
      </c>
      <c r="U95" s="912">
        <v>685</v>
      </c>
      <c r="V95" s="912">
        <v>11973</v>
      </c>
    </row>
    <row r="96" spans="1:22" x14ac:dyDescent="0.25">
      <c r="A96" s="906">
        <v>91021</v>
      </c>
      <c r="B96" s="907" t="s">
        <v>2662</v>
      </c>
      <c r="C96" s="908">
        <v>8.6989999999999995E-4</v>
      </c>
      <c r="D96" s="908">
        <v>9.4979999999999999E-4</v>
      </c>
      <c r="E96" s="909">
        <v>366474.75</v>
      </c>
      <c r="F96" s="909">
        <v>426265</v>
      </c>
      <c r="G96" s="909">
        <v>1846219</v>
      </c>
      <c r="H96" s="909"/>
      <c r="I96" s="910">
        <v>34687</v>
      </c>
      <c r="J96" s="910">
        <v>1617877</v>
      </c>
      <c r="K96" s="910">
        <v>126450</v>
      </c>
      <c r="L96" s="909">
        <v>0</v>
      </c>
      <c r="M96" s="909"/>
      <c r="N96" s="910">
        <v>64694</v>
      </c>
      <c r="O96" s="910">
        <v>597150</v>
      </c>
      <c r="P96" s="910">
        <v>0</v>
      </c>
      <c r="Q96" s="909">
        <v>117733</v>
      </c>
      <c r="R96" s="910">
        <f t="shared" si="1"/>
        <v>1020727</v>
      </c>
      <c r="S96" s="909"/>
      <c r="T96" s="910">
        <v>493467</v>
      </c>
      <c r="U96" s="912">
        <v>-45954</v>
      </c>
      <c r="V96" s="912">
        <v>447513</v>
      </c>
    </row>
    <row r="97" spans="1:22" x14ac:dyDescent="0.25">
      <c r="A97" s="906">
        <v>91024</v>
      </c>
      <c r="B97" s="907" t="s">
        <v>2663</v>
      </c>
      <c r="C97" s="908">
        <v>6.6299999999999999E-5</v>
      </c>
      <c r="D97" s="908">
        <v>4.3800000000000001E-5</v>
      </c>
      <c r="E97" s="909">
        <v>26295.57</v>
      </c>
      <c r="F97" s="909">
        <v>19657</v>
      </c>
      <c r="G97" s="909">
        <v>140711</v>
      </c>
      <c r="H97" s="909"/>
      <c r="I97" s="910">
        <v>2644</v>
      </c>
      <c r="J97" s="910">
        <v>123308</v>
      </c>
      <c r="K97" s="910">
        <v>9637</v>
      </c>
      <c r="L97" s="909">
        <v>28363</v>
      </c>
      <c r="M97" s="909"/>
      <c r="N97" s="910">
        <v>4931</v>
      </c>
      <c r="O97" s="910">
        <v>45512</v>
      </c>
      <c r="P97" s="910">
        <v>0</v>
      </c>
      <c r="Q97" s="909">
        <v>0</v>
      </c>
      <c r="R97" s="910">
        <f t="shared" si="1"/>
        <v>77796</v>
      </c>
      <c r="S97" s="909"/>
      <c r="T97" s="910">
        <v>37610</v>
      </c>
      <c r="U97" s="912">
        <v>9531</v>
      </c>
      <c r="V97" s="912">
        <v>47141</v>
      </c>
    </row>
    <row r="98" spans="1:22" x14ac:dyDescent="0.25">
      <c r="A98" s="906">
        <v>91026</v>
      </c>
      <c r="B98" s="907" t="s">
        <v>1258</v>
      </c>
      <c r="C98" s="908">
        <v>6.0900000000000003E-5</v>
      </c>
      <c r="D98" s="908">
        <v>5.4700000000000001E-5</v>
      </c>
      <c r="E98" s="909">
        <v>45660</v>
      </c>
      <c r="F98" s="909">
        <v>24549</v>
      </c>
      <c r="G98" s="909">
        <v>129250</v>
      </c>
      <c r="H98" s="909"/>
      <c r="I98" s="910">
        <v>2428</v>
      </c>
      <c r="J98" s="910">
        <v>113264</v>
      </c>
      <c r="K98" s="910">
        <v>8852</v>
      </c>
      <c r="L98" s="909">
        <v>43564</v>
      </c>
      <c r="M98" s="909"/>
      <c r="N98" s="910">
        <v>4529</v>
      </c>
      <c r="O98" s="910">
        <v>41805</v>
      </c>
      <c r="P98" s="910">
        <v>0</v>
      </c>
      <c r="Q98" s="909">
        <v>6237</v>
      </c>
      <c r="R98" s="910">
        <f t="shared" si="1"/>
        <v>71459</v>
      </c>
      <c r="S98" s="909"/>
      <c r="T98" s="910">
        <v>34547</v>
      </c>
      <c r="U98" s="912">
        <v>10429</v>
      </c>
      <c r="V98" s="912">
        <v>44976</v>
      </c>
    </row>
    <row r="99" spans="1:22" x14ac:dyDescent="0.25">
      <c r="A99" s="906">
        <v>91027</v>
      </c>
      <c r="B99" s="907" t="s">
        <v>2664</v>
      </c>
      <c r="C99" s="908">
        <v>1.6099999999999998E-5</v>
      </c>
      <c r="D99" s="908">
        <v>1.6099999999999998E-5</v>
      </c>
      <c r="E99" s="909">
        <v>15581</v>
      </c>
      <c r="F99" s="909">
        <v>7226</v>
      </c>
      <c r="G99" s="909">
        <v>34170</v>
      </c>
      <c r="H99" s="909"/>
      <c r="I99" s="910">
        <v>642</v>
      </c>
      <c r="J99" s="910">
        <v>29943</v>
      </c>
      <c r="K99" s="910">
        <v>2340</v>
      </c>
      <c r="L99" s="909">
        <v>15162</v>
      </c>
      <c r="M99" s="909"/>
      <c r="N99" s="910">
        <v>1197</v>
      </c>
      <c r="O99" s="910">
        <v>11052</v>
      </c>
      <c r="P99" s="910">
        <v>0</v>
      </c>
      <c r="Q99" s="909">
        <v>0</v>
      </c>
      <c r="R99" s="910">
        <f t="shared" si="1"/>
        <v>18891</v>
      </c>
      <c r="S99" s="909"/>
      <c r="T99" s="910">
        <v>9133</v>
      </c>
      <c r="U99" s="912">
        <v>5044</v>
      </c>
      <c r="V99" s="912">
        <v>14177</v>
      </c>
    </row>
    <row r="100" spans="1:22" x14ac:dyDescent="0.25">
      <c r="A100" s="906">
        <v>91032</v>
      </c>
      <c r="B100" s="907" t="s">
        <v>2665</v>
      </c>
      <c r="C100" s="908">
        <v>1.8600000000000001E-5</v>
      </c>
      <c r="D100" s="908">
        <v>2.12E-5</v>
      </c>
      <c r="E100" s="909">
        <v>14204.55</v>
      </c>
      <c r="F100" s="909">
        <v>9514</v>
      </c>
      <c r="G100" s="909">
        <v>39475</v>
      </c>
      <c r="H100" s="909"/>
      <c r="I100" s="910">
        <v>742</v>
      </c>
      <c r="J100" s="910">
        <v>34593</v>
      </c>
      <c r="K100" s="910">
        <v>2704</v>
      </c>
      <c r="L100" s="909">
        <v>14052</v>
      </c>
      <c r="M100" s="909"/>
      <c r="N100" s="910">
        <v>1383</v>
      </c>
      <c r="O100" s="910">
        <v>12768</v>
      </c>
      <c r="P100" s="910">
        <v>0</v>
      </c>
      <c r="Q100" s="909">
        <v>0</v>
      </c>
      <c r="R100" s="910">
        <f t="shared" si="1"/>
        <v>21825</v>
      </c>
      <c r="S100" s="909"/>
      <c r="T100" s="910">
        <v>10551</v>
      </c>
      <c r="U100" s="912">
        <v>4978</v>
      </c>
      <c r="V100" s="912">
        <v>15529</v>
      </c>
    </row>
    <row r="101" spans="1:22" x14ac:dyDescent="0.25">
      <c r="A101" s="906">
        <v>91041</v>
      </c>
      <c r="B101" s="907" t="s">
        <v>2666</v>
      </c>
      <c r="C101" s="908">
        <v>4.3609999999999998E-4</v>
      </c>
      <c r="D101" s="908">
        <v>4.8910000000000002E-4</v>
      </c>
      <c r="E101" s="909">
        <v>143841.5</v>
      </c>
      <c r="F101" s="909">
        <v>219505</v>
      </c>
      <c r="G101" s="909">
        <v>925550</v>
      </c>
      <c r="H101" s="909"/>
      <c r="I101" s="910">
        <v>17389</v>
      </c>
      <c r="J101" s="910">
        <v>811077</v>
      </c>
      <c r="K101" s="910">
        <v>63392</v>
      </c>
      <c r="L101" s="909">
        <v>0</v>
      </c>
      <c r="M101" s="909"/>
      <c r="N101" s="910">
        <v>32432</v>
      </c>
      <c r="O101" s="910">
        <v>299364</v>
      </c>
      <c r="P101" s="910">
        <v>0</v>
      </c>
      <c r="Q101" s="909">
        <v>93669</v>
      </c>
      <c r="R101" s="910">
        <f t="shared" si="1"/>
        <v>511713</v>
      </c>
      <c r="S101" s="909"/>
      <c r="T101" s="910">
        <v>247386</v>
      </c>
      <c r="U101" s="912">
        <v>-28115</v>
      </c>
      <c r="V101" s="912">
        <v>219271</v>
      </c>
    </row>
    <row r="102" spans="1:22" x14ac:dyDescent="0.25">
      <c r="A102" s="906">
        <v>91042</v>
      </c>
      <c r="B102" s="907" t="s">
        <v>2667</v>
      </c>
      <c r="C102" s="908">
        <v>2.062E-4</v>
      </c>
      <c r="D102" s="908">
        <v>2.1579999999999999E-4</v>
      </c>
      <c r="E102" s="909">
        <v>79476</v>
      </c>
      <c r="F102" s="909">
        <v>96850</v>
      </c>
      <c r="G102" s="909">
        <v>437625</v>
      </c>
      <c r="H102" s="909"/>
      <c r="I102" s="910">
        <v>8222</v>
      </c>
      <c r="J102" s="910">
        <v>383499</v>
      </c>
      <c r="K102" s="910">
        <v>29973</v>
      </c>
      <c r="L102" s="909">
        <v>241</v>
      </c>
      <c r="M102" s="909"/>
      <c r="N102" s="910">
        <v>15335</v>
      </c>
      <c r="O102" s="910">
        <v>141548</v>
      </c>
      <c r="P102" s="910">
        <v>0</v>
      </c>
      <c r="Q102" s="909">
        <v>9427</v>
      </c>
      <c r="R102" s="910">
        <f t="shared" si="1"/>
        <v>241951</v>
      </c>
      <c r="S102" s="909"/>
      <c r="T102" s="910">
        <v>116971</v>
      </c>
      <c r="U102" s="912">
        <v>-2338</v>
      </c>
      <c r="V102" s="912">
        <v>114633</v>
      </c>
    </row>
    <row r="103" spans="1:22" x14ac:dyDescent="0.25">
      <c r="A103" s="906">
        <v>91047</v>
      </c>
      <c r="B103" s="907" t="s">
        <v>2668</v>
      </c>
      <c r="C103" s="908">
        <v>1.3200000000000001E-5</v>
      </c>
      <c r="D103" s="908">
        <v>1.29E-5</v>
      </c>
      <c r="E103" s="909">
        <v>17711.78</v>
      </c>
      <c r="F103" s="909">
        <v>5789</v>
      </c>
      <c r="G103" s="909">
        <v>28015</v>
      </c>
      <c r="H103" s="909"/>
      <c r="I103" s="910">
        <v>526.35</v>
      </c>
      <c r="J103" s="910">
        <v>24550</v>
      </c>
      <c r="K103" s="910">
        <v>1919</v>
      </c>
      <c r="L103" s="909">
        <v>17767</v>
      </c>
      <c r="M103" s="909"/>
      <c r="N103" s="910">
        <v>982</v>
      </c>
      <c r="O103" s="910">
        <v>9061</v>
      </c>
      <c r="P103" s="910">
        <v>0</v>
      </c>
      <c r="Q103" s="909">
        <v>0</v>
      </c>
      <c r="R103" s="910">
        <f t="shared" si="1"/>
        <v>15489</v>
      </c>
      <c r="S103" s="909"/>
      <c r="T103" s="910">
        <v>7488</v>
      </c>
      <c r="U103" s="912">
        <v>5499</v>
      </c>
      <c r="V103" s="912">
        <v>12987</v>
      </c>
    </row>
    <row r="104" spans="1:22" x14ac:dyDescent="0.25">
      <c r="A104" s="906">
        <v>91051</v>
      </c>
      <c r="B104" s="907" t="s">
        <v>2669</v>
      </c>
      <c r="C104" s="908">
        <v>7.6600000000000005E-5</v>
      </c>
      <c r="D104" s="908">
        <v>8.14E-5</v>
      </c>
      <c r="E104" s="909">
        <v>31833</v>
      </c>
      <c r="F104" s="909">
        <v>36532</v>
      </c>
      <c r="G104" s="909">
        <v>162571</v>
      </c>
      <c r="H104" s="909"/>
      <c r="I104" s="910">
        <v>3054</v>
      </c>
      <c r="J104" s="910">
        <v>142464</v>
      </c>
      <c r="K104" s="910">
        <v>11135</v>
      </c>
      <c r="L104" s="909">
        <v>2509</v>
      </c>
      <c r="M104" s="909"/>
      <c r="N104" s="910">
        <v>5697</v>
      </c>
      <c r="O104" s="910">
        <v>52583</v>
      </c>
      <c r="P104" s="910">
        <v>0</v>
      </c>
      <c r="Q104" s="909">
        <v>2829</v>
      </c>
      <c r="R104" s="910">
        <f t="shared" si="1"/>
        <v>89881</v>
      </c>
      <c r="S104" s="909"/>
      <c r="T104" s="910">
        <v>43453</v>
      </c>
      <c r="U104" s="912">
        <v>37</v>
      </c>
      <c r="V104" s="912">
        <v>43490</v>
      </c>
    </row>
    <row r="105" spans="1:22" x14ac:dyDescent="0.25">
      <c r="A105" s="906">
        <v>91057</v>
      </c>
      <c r="B105" s="907" t="s">
        <v>2670</v>
      </c>
      <c r="C105" s="908">
        <v>1.5E-5</v>
      </c>
      <c r="D105" s="908">
        <v>1.49E-5</v>
      </c>
      <c r="E105" s="909">
        <v>9524.76</v>
      </c>
      <c r="F105" s="909">
        <v>6687</v>
      </c>
      <c r="G105" s="909">
        <v>31835</v>
      </c>
      <c r="H105" s="909"/>
      <c r="I105" s="910">
        <v>598.125</v>
      </c>
      <c r="J105" s="910">
        <v>27897.63</v>
      </c>
      <c r="K105" s="910">
        <v>2180.415</v>
      </c>
      <c r="L105" s="909">
        <v>5494</v>
      </c>
      <c r="M105" s="909"/>
      <c r="N105" s="910">
        <v>1116</v>
      </c>
      <c r="O105" s="910">
        <v>10297</v>
      </c>
      <c r="P105" s="910">
        <v>0</v>
      </c>
      <c r="Q105" s="909">
        <v>0</v>
      </c>
      <c r="R105" s="910">
        <f t="shared" si="1"/>
        <v>17601</v>
      </c>
      <c r="S105" s="909"/>
      <c r="T105" s="910">
        <v>8509</v>
      </c>
      <c r="U105" s="912">
        <v>1691</v>
      </c>
      <c r="V105" s="912">
        <v>10200</v>
      </c>
    </row>
    <row r="106" spans="1:22" x14ac:dyDescent="0.25">
      <c r="A106" s="906">
        <v>91061</v>
      </c>
      <c r="B106" s="907" t="s">
        <v>2671</v>
      </c>
      <c r="C106" s="908">
        <v>3.7730000000000001E-4</v>
      </c>
      <c r="D106" s="908">
        <v>3.322E-4</v>
      </c>
      <c r="E106" s="909">
        <v>141049.84</v>
      </c>
      <c r="F106" s="909">
        <v>149089</v>
      </c>
      <c r="G106" s="909">
        <v>800757</v>
      </c>
      <c r="H106" s="909"/>
      <c r="I106" s="910">
        <v>15045</v>
      </c>
      <c r="J106" s="910">
        <v>701718</v>
      </c>
      <c r="K106" s="910">
        <v>54845</v>
      </c>
      <c r="L106" s="909">
        <v>13223</v>
      </c>
      <c r="M106" s="909"/>
      <c r="N106" s="910">
        <v>28059</v>
      </c>
      <c r="O106" s="910">
        <v>259001</v>
      </c>
      <c r="P106" s="910">
        <v>0</v>
      </c>
      <c r="Q106" s="909">
        <v>46977</v>
      </c>
      <c r="R106" s="910">
        <f t="shared" si="1"/>
        <v>442717</v>
      </c>
      <c r="S106" s="909"/>
      <c r="T106" s="910">
        <v>214031</v>
      </c>
      <c r="U106" s="912">
        <v>-15751</v>
      </c>
      <c r="V106" s="912">
        <v>198279</v>
      </c>
    </row>
    <row r="107" spans="1:22" x14ac:dyDescent="0.25">
      <c r="A107" s="906">
        <v>91067</v>
      </c>
      <c r="B107" s="907" t="s">
        <v>2672</v>
      </c>
      <c r="C107" s="908">
        <v>1.8499999999999999E-5</v>
      </c>
      <c r="D107" s="908">
        <v>1.7099999999999999E-5</v>
      </c>
      <c r="E107" s="909">
        <v>8476</v>
      </c>
      <c r="F107" s="909">
        <v>7674</v>
      </c>
      <c r="G107" s="909">
        <v>39263</v>
      </c>
      <c r="H107" s="909"/>
      <c r="I107" s="910">
        <v>737.6875</v>
      </c>
      <c r="J107" s="910">
        <v>34407</v>
      </c>
      <c r="K107" s="910">
        <v>2689</v>
      </c>
      <c r="L107" s="909">
        <v>3670</v>
      </c>
      <c r="M107" s="909"/>
      <c r="N107" s="910">
        <v>1376</v>
      </c>
      <c r="O107" s="910">
        <v>12699</v>
      </c>
      <c r="P107" s="910">
        <v>0</v>
      </c>
      <c r="Q107" s="909">
        <v>0</v>
      </c>
      <c r="R107" s="910">
        <f t="shared" si="1"/>
        <v>21708</v>
      </c>
      <c r="S107" s="909"/>
      <c r="T107" s="910">
        <v>10494</v>
      </c>
      <c r="U107" s="912">
        <v>1258</v>
      </c>
      <c r="V107" s="912">
        <v>11752</v>
      </c>
    </row>
    <row r="108" spans="1:22" x14ac:dyDescent="0.25">
      <c r="A108" s="906">
        <v>91071</v>
      </c>
      <c r="B108" s="907" t="s">
        <v>2673</v>
      </c>
      <c r="C108" s="908">
        <v>2.4379999999999999E-4</v>
      </c>
      <c r="D108" s="908">
        <v>2.321E-4</v>
      </c>
      <c r="E108" s="909">
        <v>89648</v>
      </c>
      <c r="F108" s="909">
        <v>104165</v>
      </c>
      <c r="G108" s="909">
        <v>517425</v>
      </c>
      <c r="H108" s="909"/>
      <c r="I108" s="910">
        <v>9722</v>
      </c>
      <c r="J108" s="910">
        <v>453429</v>
      </c>
      <c r="K108" s="910">
        <v>35439</v>
      </c>
      <c r="L108" s="909">
        <v>16829.43</v>
      </c>
      <c r="M108" s="909"/>
      <c r="N108" s="910">
        <v>18131</v>
      </c>
      <c r="O108" s="910">
        <v>167358</v>
      </c>
      <c r="P108" s="910">
        <v>0</v>
      </c>
      <c r="Q108" s="909">
        <v>3799</v>
      </c>
      <c r="R108" s="910">
        <f t="shared" si="1"/>
        <v>286071</v>
      </c>
      <c r="S108" s="909"/>
      <c r="T108" s="910">
        <v>138300</v>
      </c>
      <c r="U108" s="912">
        <v>7310</v>
      </c>
      <c r="V108" s="912">
        <v>145610</v>
      </c>
    </row>
    <row r="109" spans="1:22" x14ac:dyDescent="0.25">
      <c r="A109" s="906">
        <v>91077</v>
      </c>
      <c r="B109" s="907" t="s">
        <v>2674</v>
      </c>
      <c r="C109" s="908">
        <v>3.9999999999999998E-6</v>
      </c>
      <c r="D109" s="908">
        <v>4.7999999999999998E-6</v>
      </c>
      <c r="E109" s="909">
        <v>2964.42</v>
      </c>
      <c r="F109" s="909">
        <v>2154</v>
      </c>
      <c r="G109" s="909">
        <v>8489.34</v>
      </c>
      <c r="H109" s="909"/>
      <c r="I109" s="910">
        <v>159.5</v>
      </c>
      <c r="J109" s="910">
        <v>7439</v>
      </c>
      <c r="K109" s="910">
        <v>581</v>
      </c>
      <c r="L109" s="909">
        <v>1140</v>
      </c>
      <c r="M109" s="909"/>
      <c r="N109" s="910">
        <v>297</v>
      </c>
      <c r="O109" s="910">
        <v>2746</v>
      </c>
      <c r="P109" s="910">
        <v>0</v>
      </c>
      <c r="Q109" s="909">
        <v>103</v>
      </c>
      <c r="R109" s="910">
        <f t="shared" si="1"/>
        <v>4693</v>
      </c>
      <c r="S109" s="909"/>
      <c r="T109" s="910">
        <v>2269</v>
      </c>
      <c r="U109" s="912">
        <v>294</v>
      </c>
      <c r="V109" s="912">
        <v>2563</v>
      </c>
    </row>
    <row r="110" spans="1:22" x14ac:dyDescent="0.25">
      <c r="A110" s="906">
        <v>91081</v>
      </c>
      <c r="B110" s="907" t="s">
        <v>2675</v>
      </c>
      <c r="C110" s="908">
        <v>3.6499999999999998E-4</v>
      </c>
      <c r="D110" s="908">
        <v>3.5750000000000002E-4</v>
      </c>
      <c r="E110" s="909">
        <v>146436</v>
      </c>
      <c r="F110" s="909">
        <v>160444</v>
      </c>
      <c r="G110" s="909">
        <v>774652</v>
      </c>
      <c r="H110" s="909"/>
      <c r="I110" s="910">
        <v>14554.375</v>
      </c>
      <c r="J110" s="910">
        <v>678842.33</v>
      </c>
      <c r="K110" s="910">
        <v>53057</v>
      </c>
      <c r="L110" s="909">
        <v>1642</v>
      </c>
      <c r="M110" s="909"/>
      <c r="N110" s="910">
        <v>27145</v>
      </c>
      <c r="O110" s="910">
        <v>250557</v>
      </c>
      <c r="P110" s="910">
        <v>0</v>
      </c>
      <c r="Q110" s="909">
        <v>27235</v>
      </c>
      <c r="R110" s="910">
        <f t="shared" si="1"/>
        <v>428285</v>
      </c>
      <c r="S110" s="909"/>
      <c r="T110" s="910">
        <v>207053</v>
      </c>
      <c r="U110" s="912">
        <v>-13214</v>
      </c>
      <c r="V110" s="912">
        <v>193840</v>
      </c>
    </row>
    <row r="111" spans="1:22" x14ac:dyDescent="0.25">
      <c r="A111" s="906">
        <v>91091</v>
      </c>
      <c r="B111" s="907" t="s">
        <v>2676</v>
      </c>
      <c r="C111" s="908">
        <v>5.6380000000000004E-4</v>
      </c>
      <c r="D111" s="908">
        <v>5.3359999999999996E-4</v>
      </c>
      <c r="E111" s="909">
        <v>203382.8</v>
      </c>
      <c r="F111" s="909">
        <v>239476</v>
      </c>
      <c r="G111" s="909">
        <v>1196572</v>
      </c>
      <c r="H111" s="909"/>
      <c r="I111" s="910">
        <v>22482</v>
      </c>
      <c r="J111" s="910">
        <v>1048579</v>
      </c>
      <c r="K111" s="910">
        <v>81955</v>
      </c>
      <c r="L111" s="909">
        <v>0</v>
      </c>
      <c r="M111" s="909"/>
      <c r="N111" s="910">
        <v>41929</v>
      </c>
      <c r="O111" s="910">
        <v>387025</v>
      </c>
      <c r="P111" s="910">
        <v>0</v>
      </c>
      <c r="Q111" s="909">
        <v>54149</v>
      </c>
      <c r="R111" s="910">
        <f t="shared" si="1"/>
        <v>661554</v>
      </c>
      <c r="S111" s="909"/>
      <c r="T111" s="910">
        <v>319826</v>
      </c>
      <c r="U111" s="912">
        <v>-22256</v>
      </c>
      <c r="V111" s="912">
        <v>297571</v>
      </c>
    </row>
    <row r="112" spans="1:22" x14ac:dyDescent="0.25">
      <c r="A112" s="906">
        <v>91101</v>
      </c>
      <c r="B112" s="907" t="s">
        <v>2677</v>
      </c>
      <c r="C112" s="908">
        <v>1.36685E-2</v>
      </c>
      <c r="D112" s="908">
        <v>1.3700499999999999E-2</v>
      </c>
      <c r="E112" s="909">
        <v>5218349</v>
      </c>
      <c r="F112" s="909">
        <v>6148702</v>
      </c>
      <c r="G112" s="909">
        <v>29009136</v>
      </c>
      <c r="H112" s="909"/>
      <c r="I112" s="910">
        <v>545031</v>
      </c>
      <c r="J112" s="910">
        <v>25421250</v>
      </c>
      <c r="K112" s="910">
        <v>1986867</v>
      </c>
      <c r="L112" s="909">
        <v>791280</v>
      </c>
      <c r="M112" s="909"/>
      <c r="N112" s="910">
        <v>1016513</v>
      </c>
      <c r="O112" s="910">
        <v>9382851</v>
      </c>
      <c r="P112" s="910">
        <v>0</v>
      </c>
      <c r="Q112" s="909">
        <v>337196</v>
      </c>
      <c r="R112" s="910">
        <f t="shared" si="1"/>
        <v>16038399</v>
      </c>
      <c r="S112" s="909"/>
      <c r="T112" s="910">
        <v>7753716</v>
      </c>
      <c r="U112" s="912">
        <v>232315</v>
      </c>
      <c r="V112" s="912">
        <v>7986031</v>
      </c>
    </row>
    <row r="113" spans="1:22" x14ac:dyDescent="0.25">
      <c r="A113" s="906">
        <v>91102</v>
      </c>
      <c r="B113" s="907" t="s">
        <v>2678</v>
      </c>
      <c r="C113" s="908">
        <v>3.034E-4</v>
      </c>
      <c r="D113" s="908">
        <v>2.834E-4</v>
      </c>
      <c r="E113" s="909">
        <v>133771</v>
      </c>
      <c r="F113" s="909">
        <v>127188</v>
      </c>
      <c r="G113" s="909">
        <v>643916</v>
      </c>
      <c r="H113" s="909"/>
      <c r="I113" s="910">
        <v>12098</v>
      </c>
      <c r="J113" s="910">
        <v>564276</v>
      </c>
      <c r="K113" s="910">
        <v>44103</v>
      </c>
      <c r="L113" s="909">
        <v>18534</v>
      </c>
      <c r="M113" s="909"/>
      <c r="N113" s="910">
        <v>22564</v>
      </c>
      <c r="O113" s="910">
        <v>208271</v>
      </c>
      <c r="P113" s="910">
        <v>0</v>
      </c>
      <c r="Q113" s="909">
        <v>52648</v>
      </c>
      <c r="R113" s="910">
        <f t="shared" si="1"/>
        <v>356005</v>
      </c>
      <c r="S113" s="909"/>
      <c r="T113" s="910">
        <v>172109</v>
      </c>
      <c r="U113" s="912">
        <v>-13734</v>
      </c>
      <c r="V113" s="912">
        <v>158376</v>
      </c>
    </row>
    <row r="114" spans="1:22" x14ac:dyDescent="0.25">
      <c r="A114" s="906">
        <v>91104</v>
      </c>
      <c r="B114" s="907" t="s">
        <v>2679</v>
      </c>
      <c r="C114" s="908">
        <v>8.1999999999999994E-6</v>
      </c>
      <c r="D114" s="908">
        <v>9.2E-6</v>
      </c>
      <c r="E114" s="909">
        <v>5034.29</v>
      </c>
      <c r="F114" s="909">
        <v>4129</v>
      </c>
      <c r="G114" s="909">
        <v>17403</v>
      </c>
      <c r="H114" s="909"/>
      <c r="I114" s="910">
        <v>327</v>
      </c>
      <c r="J114" s="910">
        <v>15251</v>
      </c>
      <c r="K114" s="910">
        <v>1192</v>
      </c>
      <c r="L114" s="909">
        <v>993</v>
      </c>
      <c r="M114" s="909"/>
      <c r="N114" s="910">
        <v>610</v>
      </c>
      <c r="O114" s="910">
        <v>5629</v>
      </c>
      <c r="P114" s="910">
        <v>0</v>
      </c>
      <c r="Q114" s="909">
        <v>78</v>
      </c>
      <c r="R114" s="910">
        <f t="shared" si="1"/>
        <v>9622</v>
      </c>
      <c r="S114" s="909"/>
      <c r="T114" s="910">
        <v>4652</v>
      </c>
      <c r="U114" s="912">
        <v>239</v>
      </c>
      <c r="V114" s="912">
        <v>4890</v>
      </c>
    </row>
    <row r="115" spans="1:22" x14ac:dyDescent="0.25">
      <c r="A115" s="906">
        <v>91107</v>
      </c>
      <c r="B115" s="907" t="s">
        <v>2680</v>
      </c>
      <c r="C115" s="908">
        <v>6.7899999999999997E-5</v>
      </c>
      <c r="D115" s="908">
        <v>6.3999999999999997E-5</v>
      </c>
      <c r="E115" s="909">
        <v>34872.559999999998</v>
      </c>
      <c r="F115" s="909">
        <v>28723</v>
      </c>
      <c r="G115" s="909">
        <v>144107</v>
      </c>
      <c r="H115" s="909"/>
      <c r="I115" s="910">
        <v>2708</v>
      </c>
      <c r="J115" s="910">
        <v>126283</v>
      </c>
      <c r="K115" s="910">
        <v>9870</v>
      </c>
      <c r="L115" s="909">
        <v>11761</v>
      </c>
      <c r="M115" s="909"/>
      <c r="N115" s="910">
        <v>5050</v>
      </c>
      <c r="O115" s="910">
        <v>46610</v>
      </c>
      <c r="P115" s="910">
        <v>0</v>
      </c>
      <c r="Q115" s="909">
        <v>0</v>
      </c>
      <c r="R115" s="910">
        <f t="shared" si="1"/>
        <v>79673</v>
      </c>
      <c r="S115" s="909"/>
      <c r="T115" s="910">
        <v>38518</v>
      </c>
      <c r="U115" s="912">
        <v>3853</v>
      </c>
      <c r="V115" s="912">
        <v>42371</v>
      </c>
    </row>
    <row r="116" spans="1:22" x14ac:dyDescent="0.25">
      <c r="A116" s="906">
        <v>91108</v>
      </c>
      <c r="B116" s="907" t="s">
        <v>2681</v>
      </c>
      <c r="C116" s="908">
        <v>1.2622E-3</v>
      </c>
      <c r="D116" s="908">
        <v>1.2565E-3</v>
      </c>
      <c r="E116" s="909">
        <v>552346.72</v>
      </c>
      <c r="F116" s="909">
        <v>563910</v>
      </c>
      <c r="G116" s="909">
        <v>2678811</v>
      </c>
      <c r="H116" s="909"/>
      <c r="I116" s="910">
        <v>50330</v>
      </c>
      <c r="J116" s="910">
        <v>2347493</v>
      </c>
      <c r="K116" s="910">
        <v>183475</v>
      </c>
      <c r="L116" s="909">
        <v>83626</v>
      </c>
      <c r="M116" s="909"/>
      <c r="N116" s="910">
        <v>93869</v>
      </c>
      <c r="O116" s="910">
        <v>866447</v>
      </c>
      <c r="P116" s="910">
        <v>0</v>
      </c>
      <c r="Q116" s="909">
        <v>0</v>
      </c>
      <c r="R116" s="910">
        <f t="shared" si="1"/>
        <v>1481046</v>
      </c>
      <c r="S116" s="909"/>
      <c r="T116" s="910">
        <v>716007</v>
      </c>
      <c r="U116" s="912">
        <v>29649</v>
      </c>
      <c r="V116" s="912">
        <v>745656</v>
      </c>
    </row>
    <row r="117" spans="1:22" x14ac:dyDescent="0.25">
      <c r="A117" s="906">
        <v>91109</v>
      </c>
      <c r="B117" s="907" t="s">
        <v>2682</v>
      </c>
      <c r="C117" s="908">
        <v>9.2100000000000003E-5</v>
      </c>
      <c r="D117" s="908">
        <v>9.6600000000000003E-5</v>
      </c>
      <c r="E117" s="909">
        <v>40330</v>
      </c>
      <c r="F117" s="909">
        <v>43354</v>
      </c>
      <c r="G117" s="909">
        <v>195467</v>
      </c>
      <c r="H117" s="909"/>
      <c r="I117" s="910">
        <v>3672</v>
      </c>
      <c r="J117" s="910">
        <v>171291</v>
      </c>
      <c r="K117" s="910">
        <v>13388</v>
      </c>
      <c r="L117" s="909">
        <v>2200</v>
      </c>
      <c r="M117" s="909"/>
      <c r="N117" s="910">
        <v>6849</v>
      </c>
      <c r="O117" s="910">
        <v>63223</v>
      </c>
      <c r="P117" s="910">
        <v>0</v>
      </c>
      <c r="Q117" s="909">
        <v>1611</v>
      </c>
      <c r="R117" s="910">
        <f t="shared" si="1"/>
        <v>108068</v>
      </c>
      <c r="S117" s="909"/>
      <c r="T117" s="910">
        <v>52245</v>
      </c>
      <c r="U117" s="912">
        <v>89</v>
      </c>
      <c r="V117" s="912">
        <v>52335</v>
      </c>
    </row>
    <row r="118" spans="1:22" x14ac:dyDescent="0.25">
      <c r="A118" s="906">
        <v>91111</v>
      </c>
      <c r="B118" s="907" t="s">
        <v>2683</v>
      </c>
      <c r="C118" s="908">
        <v>2.2359999999999999E-4</v>
      </c>
      <c r="D118" s="908">
        <v>2.2049999999999999E-4</v>
      </c>
      <c r="E118" s="909">
        <v>98685</v>
      </c>
      <c r="F118" s="909">
        <v>98959</v>
      </c>
      <c r="G118" s="909">
        <v>474554</v>
      </c>
      <c r="H118" s="909"/>
      <c r="I118" s="910">
        <v>8916</v>
      </c>
      <c r="J118" s="910">
        <v>415861</v>
      </c>
      <c r="K118" s="910">
        <v>32503</v>
      </c>
      <c r="L118" s="909">
        <v>26669</v>
      </c>
      <c r="M118" s="909"/>
      <c r="N118" s="910">
        <v>16629</v>
      </c>
      <c r="O118" s="910">
        <v>153492</v>
      </c>
      <c r="P118" s="910">
        <v>0</v>
      </c>
      <c r="Q118" s="909">
        <v>0</v>
      </c>
      <c r="R118" s="910">
        <f t="shared" si="1"/>
        <v>262369</v>
      </c>
      <c r="S118" s="909"/>
      <c r="T118" s="910">
        <v>126841</v>
      </c>
      <c r="U118" s="912">
        <v>8870</v>
      </c>
      <c r="V118" s="912">
        <v>135711</v>
      </c>
    </row>
    <row r="119" spans="1:22" x14ac:dyDescent="0.25">
      <c r="A119" s="906">
        <v>91119</v>
      </c>
      <c r="B119" s="907" t="s">
        <v>1279</v>
      </c>
      <c r="C119" s="908">
        <v>0</v>
      </c>
      <c r="D119" s="908">
        <v>0</v>
      </c>
      <c r="E119" s="909">
        <v>0</v>
      </c>
      <c r="F119" s="909">
        <v>0</v>
      </c>
      <c r="G119" s="909">
        <v>0</v>
      </c>
      <c r="H119" s="909"/>
      <c r="I119" s="910">
        <v>0</v>
      </c>
      <c r="J119" s="910">
        <v>0</v>
      </c>
      <c r="K119" s="910">
        <v>0</v>
      </c>
      <c r="L119" s="909">
        <v>0</v>
      </c>
      <c r="M119" s="909"/>
      <c r="N119" s="910">
        <v>0</v>
      </c>
      <c r="O119" s="910">
        <v>0</v>
      </c>
      <c r="P119" s="910">
        <v>0</v>
      </c>
      <c r="Q119" s="909">
        <v>645424.66</v>
      </c>
      <c r="R119" s="910">
        <f t="shared" si="1"/>
        <v>0</v>
      </c>
      <c r="S119" s="909"/>
      <c r="T119" s="910">
        <v>0</v>
      </c>
      <c r="U119" s="912">
        <v>-324334</v>
      </c>
      <c r="V119" s="912">
        <v>-324334</v>
      </c>
    </row>
    <row r="120" spans="1:22" x14ac:dyDescent="0.25">
      <c r="A120" s="906">
        <v>91120</v>
      </c>
      <c r="B120" s="907" t="s">
        <v>2684</v>
      </c>
      <c r="C120" s="908">
        <v>1.184E-4</v>
      </c>
      <c r="D120" s="908">
        <v>1.161E-4</v>
      </c>
      <c r="E120" s="909">
        <v>42592.1</v>
      </c>
      <c r="F120" s="909">
        <v>52105</v>
      </c>
      <c r="G120" s="909">
        <v>251284</v>
      </c>
      <c r="H120" s="909"/>
      <c r="I120" s="910">
        <v>4721.2</v>
      </c>
      <c r="J120" s="910">
        <v>220205</v>
      </c>
      <c r="K120" s="910">
        <v>17211</v>
      </c>
      <c r="L120" s="909">
        <v>0</v>
      </c>
      <c r="M120" s="909"/>
      <c r="N120" s="910">
        <v>8805</v>
      </c>
      <c r="O120" s="910">
        <v>81277</v>
      </c>
      <c r="P120" s="910">
        <v>0</v>
      </c>
      <c r="Q120" s="909">
        <v>29635</v>
      </c>
      <c r="R120" s="910">
        <f t="shared" si="1"/>
        <v>138928</v>
      </c>
      <c r="S120" s="909"/>
      <c r="T120" s="910">
        <v>67165</v>
      </c>
      <c r="U120" s="912">
        <v>-11244</v>
      </c>
      <c r="V120" s="912">
        <v>55921</v>
      </c>
    </row>
    <row r="121" spans="1:22" x14ac:dyDescent="0.25">
      <c r="A121" s="906">
        <v>91121</v>
      </c>
      <c r="B121" s="907" t="s">
        <v>2685</v>
      </c>
      <c r="C121" s="908">
        <v>9.7842999999999992E-3</v>
      </c>
      <c r="D121" s="908">
        <v>1.0167600000000001E-2</v>
      </c>
      <c r="E121" s="909">
        <v>3705845</v>
      </c>
      <c r="F121" s="909">
        <v>4563158</v>
      </c>
      <c r="G121" s="909">
        <v>20765562</v>
      </c>
      <c r="H121" s="909"/>
      <c r="I121" s="910">
        <v>390149</v>
      </c>
      <c r="J121" s="910">
        <v>18197252</v>
      </c>
      <c r="K121" s="910">
        <v>1422256</v>
      </c>
      <c r="L121" s="909">
        <v>0</v>
      </c>
      <c r="M121" s="909"/>
      <c r="N121" s="910">
        <v>727649</v>
      </c>
      <c r="O121" s="910">
        <v>6716511</v>
      </c>
      <c r="P121" s="910">
        <v>0</v>
      </c>
      <c r="Q121" s="909">
        <v>834506</v>
      </c>
      <c r="R121" s="910">
        <f t="shared" si="1"/>
        <v>11480741</v>
      </c>
      <c r="S121" s="909"/>
      <c r="T121" s="910">
        <v>5550330</v>
      </c>
      <c r="U121" s="912">
        <v>-296106</v>
      </c>
      <c r="V121" s="912">
        <v>5254224</v>
      </c>
    </row>
    <row r="122" spans="1:22" x14ac:dyDescent="0.25">
      <c r="A122" s="906">
        <v>91127</v>
      </c>
      <c r="B122" s="907" t="s">
        <v>2686</v>
      </c>
      <c r="C122" s="908">
        <v>2.8229999999999998E-4</v>
      </c>
      <c r="D122" s="908">
        <v>2.7680000000000001E-4</v>
      </c>
      <c r="E122" s="909">
        <v>136473</v>
      </c>
      <c r="F122" s="909">
        <v>124226</v>
      </c>
      <c r="G122" s="909">
        <v>599135</v>
      </c>
      <c r="H122" s="909"/>
      <c r="I122" s="910">
        <v>11257</v>
      </c>
      <c r="J122" s="910">
        <v>525033</v>
      </c>
      <c r="K122" s="910">
        <v>41035</v>
      </c>
      <c r="L122" s="909">
        <v>59704</v>
      </c>
      <c r="M122" s="909"/>
      <c r="N122" s="910">
        <v>20994</v>
      </c>
      <c r="O122" s="910">
        <v>193787</v>
      </c>
      <c r="P122" s="910">
        <v>0</v>
      </c>
      <c r="Q122" s="909">
        <v>0</v>
      </c>
      <c r="R122" s="910">
        <f t="shared" si="1"/>
        <v>331246</v>
      </c>
      <c r="S122" s="909"/>
      <c r="T122" s="910">
        <v>160140</v>
      </c>
      <c r="U122" s="912">
        <v>22617</v>
      </c>
      <c r="V122" s="912">
        <v>182757</v>
      </c>
    </row>
    <row r="123" spans="1:22" x14ac:dyDescent="0.25">
      <c r="A123" s="906">
        <v>91128</v>
      </c>
      <c r="B123" s="907" t="s">
        <v>2687</v>
      </c>
      <c r="C123" s="908">
        <v>5.0929999999999997E-4</v>
      </c>
      <c r="D123" s="908">
        <v>5.042E-4</v>
      </c>
      <c r="E123" s="909">
        <v>208474</v>
      </c>
      <c r="F123" s="909">
        <v>226282</v>
      </c>
      <c r="G123" s="909">
        <v>1080905</v>
      </c>
      <c r="H123" s="909"/>
      <c r="I123" s="910">
        <v>20308</v>
      </c>
      <c r="J123" s="910">
        <v>947218</v>
      </c>
      <c r="K123" s="910">
        <v>74032</v>
      </c>
      <c r="L123" s="909">
        <v>10827</v>
      </c>
      <c r="M123" s="909"/>
      <c r="N123" s="910">
        <v>37876</v>
      </c>
      <c r="O123" s="910">
        <v>349613</v>
      </c>
      <c r="P123" s="910">
        <v>0</v>
      </c>
      <c r="Q123" s="909">
        <v>12589</v>
      </c>
      <c r="R123" s="910">
        <f t="shared" si="1"/>
        <v>597605</v>
      </c>
      <c r="S123" s="909"/>
      <c r="T123" s="910">
        <v>288910</v>
      </c>
      <c r="U123" s="912">
        <v>-2677</v>
      </c>
      <c r="V123" s="912">
        <v>286233</v>
      </c>
    </row>
    <row r="124" spans="1:22" x14ac:dyDescent="0.25">
      <c r="A124" s="906">
        <v>91138</v>
      </c>
      <c r="B124" s="907" t="s">
        <v>2688</v>
      </c>
      <c r="C124" s="908">
        <v>6.2350000000000003E-4</v>
      </c>
      <c r="D124" s="908">
        <v>6.6279999999999996E-4</v>
      </c>
      <c r="E124" s="909">
        <v>190650</v>
      </c>
      <c r="F124" s="909">
        <v>297461</v>
      </c>
      <c r="G124" s="909">
        <v>1323276</v>
      </c>
      <c r="H124" s="909"/>
      <c r="I124" s="910">
        <v>24862.0625</v>
      </c>
      <c r="J124" s="910">
        <v>1159611</v>
      </c>
      <c r="K124" s="910">
        <v>90633</v>
      </c>
      <c r="L124" s="909">
        <v>0</v>
      </c>
      <c r="M124" s="909"/>
      <c r="N124" s="910">
        <v>46369</v>
      </c>
      <c r="O124" s="910">
        <v>428007</v>
      </c>
      <c r="P124" s="910">
        <v>0</v>
      </c>
      <c r="Q124" s="909">
        <v>111983</v>
      </c>
      <c r="R124" s="910">
        <f t="shared" si="1"/>
        <v>731604</v>
      </c>
      <c r="S124" s="909"/>
      <c r="T124" s="910">
        <v>353692</v>
      </c>
      <c r="U124" s="912">
        <v>-35624</v>
      </c>
      <c r="V124" s="912">
        <v>318068</v>
      </c>
    </row>
    <row r="125" spans="1:22" x14ac:dyDescent="0.25">
      <c r="A125" s="906">
        <v>91141</v>
      </c>
      <c r="B125" s="907" t="s">
        <v>2689</v>
      </c>
      <c r="C125" s="908">
        <v>5.5679999999999998E-4</v>
      </c>
      <c r="D125" s="908">
        <v>6.2560000000000003E-4</v>
      </c>
      <c r="E125" s="909">
        <v>214309.96</v>
      </c>
      <c r="F125" s="909">
        <v>280766</v>
      </c>
      <c r="G125" s="909">
        <v>1181716</v>
      </c>
      <c r="H125" s="909"/>
      <c r="I125" s="910">
        <v>22202</v>
      </c>
      <c r="J125" s="910">
        <v>1035560</v>
      </c>
      <c r="K125" s="910">
        <v>80937</v>
      </c>
      <c r="L125" s="909">
        <v>0</v>
      </c>
      <c r="M125" s="909"/>
      <c r="N125" s="910">
        <v>41409</v>
      </c>
      <c r="O125" s="910">
        <v>382220</v>
      </c>
      <c r="P125" s="910">
        <v>0</v>
      </c>
      <c r="Q125" s="909">
        <v>106380</v>
      </c>
      <c r="R125" s="910">
        <f t="shared" si="1"/>
        <v>653340</v>
      </c>
      <c r="S125" s="909"/>
      <c r="T125" s="910">
        <v>315855</v>
      </c>
      <c r="U125" s="912">
        <v>-35698</v>
      </c>
      <c r="V125" s="912">
        <v>280157</v>
      </c>
    </row>
    <row r="126" spans="1:22" x14ac:dyDescent="0.25">
      <c r="A126" s="906">
        <v>91147</v>
      </c>
      <c r="B126" s="907" t="s">
        <v>2690</v>
      </c>
      <c r="C126" s="908">
        <v>2.4199999999999999E-5</v>
      </c>
      <c r="D126" s="908">
        <v>2.1399999999999998E-5</v>
      </c>
      <c r="E126" s="909">
        <v>10371</v>
      </c>
      <c r="F126" s="909">
        <v>9604</v>
      </c>
      <c r="G126" s="909">
        <v>51361</v>
      </c>
      <c r="H126" s="909"/>
      <c r="I126" s="910">
        <v>965</v>
      </c>
      <c r="J126" s="910">
        <v>45008</v>
      </c>
      <c r="K126" s="910">
        <v>3518</v>
      </c>
      <c r="L126" s="909">
        <v>10859</v>
      </c>
      <c r="M126" s="909"/>
      <c r="N126" s="910">
        <v>1800</v>
      </c>
      <c r="O126" s="910">
        <v>16612</v>
      </c>
      <c r="P126" s="910">
        <v>0</v>
      </c>
      <c r="Q126" s="909">
        <v>0</v>
      </c>
      <c r="R126" s="910">
        <f t="shared" si="1"/>
        <v>28396</v>
      </c>
      <c r="S126" s="909"/>
      <c r="T126" s="910">
        <v>13728</v>
      </c>
      <c r="U126" s="912">
        <v>3941</v>
      </c>
      <c r="V126" s="912">
        <v>17669</v>
      </c>
    </row>
    <row r="127" spans="1:22" x14ac:dyDescent="0.25">
      <c r="A127" s="906">
        <v>91151</v>
      </c>
      <c r="B127" s="907" t="s">
        <v>2691</v>
      </c>
      <c r="C127" s="908">
        <v>6.1180000000000002E-4</v>
      </c>
      <c r="D127" s="908">
        <v>6.4479999999999995E-4</v>
      </c>
      <c r="E127" s="909">
        <v>222681.43</v>
      </c>
      <c r="F127" s="909">
        <v>289382</v>
      </c>
      <c r="G127" s="909">
        <v>1298445</v>
      </c>
      <c r="H127" s="909"/>
      <c r="I127" s="910">
        <v>24396</v>
      </c>
      <c r="J127" s="910">
        <v>1137851</v>
      </c>
      <c r="K127" s="910">
        <v>88932</v>
      </c>
      <c r="L127" s="909">
        <v>10702</v>
      </c>
      <c r="M127" s="909"/>
      <c r="N127" s="910">
        <v>45499</v>
      </c>
      <c r="O127" s="910">
        <v>419975</v>
      </c>
      <c r="P127" s="910">
        <v>0</v>
      </c>
      <c r="Q127" s="909">
        <v>50740</v>
      </c>
      <c r="R127" s="910">
        <f t="shared" si="1"/>
        <v>717876</v>
      </c>
      <c r="S127" s="909"/>
      <c r="T127" s="910">
        <v>347055</v>
      </c>
      <c r="U127" s="912">
        <v>-11759</v>
      </c>
      <c r="V127" s="912">
        <v>335296</v>
      </c>
    </row>
    <row r="128" spans="1:22" x14ac:dyDescent="0.25">
      <c r="A128" s="906">
        <v>91154</v>
      </c>
      <c r="B128" s="907" t="s">
        <v>2692</v>
      </c>
      <c r="C128" s="908">
        <v>1.9599999999999999E-5</v>
      </c>
      <c r="D128" s="908">
        <v>1.59E-5</v>
      </c>
      <c r="E128" s="909">
        <v>8048.64</v>
      </c>
      <c r="F128" s="909">
        <v>7136</v>
      </c>
      <c r="G128" s="909">
        <v>41598</v>
      </c>
      <c r="H128" s="909"/>
      <c r="I128" s="910">
        <v>781.55</v>
      </c>
      <c r="J128" s="910">
        <v>36453</v>
      </c>
      <c r="K128" s="910">
        <v>2849</v>
      </c>
      <c r="L128" s="909">
        <v>5846</v>
      </c>
      <c r="M128" s="909"/>
      <c r="N128" s="910">
        <v>1458</v>
      </c>
      <c r="O128" s="910">
        <v>13455</v>
      </c>
      <c r="P128" s="910">
        <v>0</v>
      </c>
      <c r="Q128" s="909">
        <v>0</v>
      </c>
      <c r="R128" s="910">
        <f t="shared" si="1"/>
        <v>22998</v>
      </c>
      <c r="S128" s="909"/>
      <c r="T128" s="910">
        <v>11118</v>
      </c>
      <c r="U128" s="912">
        <v>2074</v>
      </c>
      <c r="V128" s="912">
        <v>13192</v>
      </c>
    </row>
    <row r="129" spans="1:22" x14ac:dyDescent="0.25">
      <c r="A129" s="906">
        <v>91161</v>
      </c>
      <c r="B129" s="907" t="s">
        <v>2693</v>
      </c>
      <c r="C129" s="908">
        <v>9.4599999999999996E-5</v>
      </c>
      <c r="D129" s="908">
        <v>1.0670000000000001E-4</v>
      </c>
      <c r="E129" s="909">
        <v>44114</v>
      </c>
      <c r="F129" s="909">
        <v>47886</v>
      </c>
      <c r="G129" s="909">
        <v>200773</v>
      </c>
      <c r="H129" s="909"/>
      <c r="I129" s="910">
        <v>3772</v>
      </c>
      <c r="J129" s="910">
        <v>175941</v>
      </c>
      <c r="K129" s="910">
        <v>13751</v>
      </c>
      <c r="L129" s="909">
        <v>7920</v>
      </c>
      <c r="M129" s="909"/>
      <c r="N129" s="910">
        <v>7035</v>
      </c>
      <c r="O129" s="910">
        <v>64939</v>
      </c>
      <c r="P129" s="910">
        <v>0</v>
      </c>
      <c r="Q129" s="909">
        <v>5006</v>
      </c>
      <c r="R129" s="910">
        <f t="shared" si="1"/>
        <v>111002</v>
      </c>
      <c r="S129" s="909"/>
      <c r="T129" s="910">
        <v>53664</v>
      </c>
      <c r="U129" s="912">
        <v>881</v>
      </c>
      <c r="V129" s="912">
        <v>54545</v>
      </c>
    </row>
    <row r="130" spans="1:22" x14ac:dyDescent="0.25">
      <c r="A130" s="906">
        <v>91171</v>
      </c>
      <c r="B130" s="907" t="s">
        <v>2694</v>
      </c>
      <c r="C130" s="908">
        <v>2.5589999999999999E-4</v>
      </c>
      <c r="D130" s="908">
        <v>2.5240000000000001E-4</v>
      </c>
      <c r="E130" s="909">
        <v>90093.88</v>
      </c>
      <c r="F130" s="909">
        <v>113276</v>
      </c>
      <c r="G130" s="909">
        <v>543106</v>
      </c>
      <c r="H130" s="909"/>
      <c r="I130" s="910">
        <v>10204</v>
      </c>
      <c r="J130" s="910">
        <v>475934</v>
      </c>
      <c r="K130" s="910">
        <v>37198</v>
      </c>
      <c r="L130" s="909">
        <v>0</v>
      </c>
      <c r="M130" s="909"/>
      <c r="N130" s="910">
        <v>19031</v>
      </c>
      <c r="O130" s="910">
        <v>175665</v>
      </c>
      <c r="P130" s="910">
        <v>0</v>
      </c>
      <c r="Q130" s="909">
        <v>32510</v>
      </c>
      <c r="R130" s="910">
        <f t="shared" si="1"/>
        <v>300269</v>
      </c>
      <c r="S130" s="909"/>
      <c r="T130" s="910">
        <v>145164</v>
      </c>
      <c r="U130" s="912">
        <v>-12018</v>
      </c>
      <c r="V130" s="912">
        <v>133146</v>
      </c>
    </row>
    <row r="131" spans="1:22" x14ac:dyDescent="0.25">
      <c r="A131" s="906">
        <v>91201</v>
      </c>
      <c r="B131" s="907" t="s">
        <v>2695</v>
      </c>
      <c r="C131" s="908">
        <v>2.3127999999999998E-3</v>
      </c>
      <c r="D131" s="908">
        <v>2.2309000000000001E-3</v>
      </c>
      <c r="E131" s="909">
        <v>868644</v>
      </c>
      <c r="F131" s="909">
        <v>1001215</v>
      </c>
      <c r="G131" s="909">
        <v>4908536</v>
      </c>
      <c r="H131" s="909"/>
      <c r="I131" s="910">
        <v>92222.9</v>
      </c>
      <c r="J131" s="910">
        <v>4301443</v>
      </c>
      <c r="K131" s="910">
        <v>336191</v>
      </c>
      <c r="L131" s="909">
        <v>65448</v>
      </c>
      <c r="M131" s="909"/>
      <c r="N131" s="910">
        <v>172001</v>
      </c>
      <c r="O131" s="910">
        <v>1587640</v>
      </c>
      <c r="P131" s="910">
        <v>0</v>
      </c>
      <c r="Q131" s="909">
        <v>21142</v>
      </c>
      <c r="R131" s="910">
        <f t="shared" si="1"/>
        <v>2713803</v>
      </c>
      <c r="S131" s="909"/>
      <c r="T131" s="910">
        <v>1311980</v>
      </c>
      <c r="U131" s="912">
        <v>19623</v>
      </c>
      <c r="V131" s="912">
        <v>1331603</v>
      </c>
    </row>
    <row r="132" spans="1:22" x14ac:dyDescent="0.25">
      <c r="A132" s="906">
        <v>91202</v>
      </c>
      <c r="B132" s="907" t="s">
        <v>2696</v>
      </c>
      <c r="C132" s="908">
        <v>1.897E-4</v>
      </c>
      <c r="D132" s="908">
        <v>1.7560000000000001E-4</v>
      </c>
      <c r="E132" s="909">
        <v>85259.9</v>
      </c>
      <c r="F132" s="909">
        <v>78808</v>
      </c>
      <c r="G132" s="909">
        <v>402607</v>
      </c>
      <c r="H132" s="909"/>
      <c r="I132" s="910">
        <v>7564</v>
      </c>
      <c r="J132" s="910">
        <v>352812</v>
      </c>
      <c r="K132" s="910">
        <v>27575</v>
      </c>
      <c r="L132" s="909">
        <v>29505</v>
      </c>
      <c r="M132" s="909"/>
      <c r="N132" s="910">
        <v>14108</v>
      </c>
      <c r="O132" s="910">
        <v>130221</v>
      </c>
      <c r="P132" s="910">
        <v>0</v>
      </c>
      <c r="Q132" s="909">
        <v>0</v>
      </c>
      <c r="R132" s="910">
        <f t="shared" si="1"/>
        <v>222591</v>
      </c>
      <c r="S132" s="909"/>
      <c r="T132" s="910">
        <v>107611</v>
      </c>
      <c r="U132" s="912">
        <v>10216</v>
      </c>
      <c r="V132" s="912">
        <v>117827</v>
      </c>
    </row>
    <row r="133" spans="1:22" x14ac:dyDescent="0.25">
      <c r="A133" s="906">
        <v>91203</v>
      </c>
      <c r="B133" s="907" t="s">
        <v>2697</v>
      </c>
      <c r="C133" s="908">
        <v>2.4479999999999999E-4</v>
      </c>
      <c r="D133" s="908">
        <v>2.4909999999999998E-4</v>
      </c>
      <c r="E133" s="909">
        <v>123805</v>
      </c>
      <c r="F133" s="909">
        <v>111795</v>
      </c>
      <c r="G133" s="909">
        <v>519548</v>
      </c>
      <c r="H133" s="909"/>
      <c r="I133" s="910">
        <v>9761.4</v>
      </c>
      <c r="J133" s="910">
        <v>455289</v>
      </c>
      <c r="K133" s="910">
        <v>35584</v>
      </c>
      <c r="L133" s="909">
        <v>32505</v>
      </c>
      <c r="M133" s="909"/>
      <c r="N133" s="910">
        <v>18206</v>
      </c>
      <c r="O133" s="910">
        <v>168045</v>
      </c>
      <c r="P133" s="910">
        <v>0</v>
      </c>
      <c r="Q133" s="909">
        <v>0</v>
      </c>
      <c r="R133" s="910">
        <f t="shared" si="1"/>
        <v>287244</v>
      </c>
      <c r="S133" s="909"/>
      <c r="T133" s="910">
        <v>138867</v>
      </c>
      <c r="U133" s="912">
        <v>11460</v>
      </c>
      <c r="V133" s="912">
        <v>150327</v>
      </c>
    </row>
    <row r="134" spans="1:22" x14ac:dyDescent="0.25">
      <c r="A134" s="906">
        <v>91206</v>
      </c>
      <c r="B134" s="907" t="s">
        <v>2698</v>
      </c>
      <c r="C134" s="908">
        <v>8.2129999999999996E-4</v>
      </c>
      <c r="D134" s="908">
        <v>8.1959999999999997E-4</v>
      </c>
      <c r="E134" s="909">
        <v>334673.01</v>
      </c>
      <c r="F134" s="909">
        <v>367832</v>
      </c>
      <c r="G134" s="909">
        <v>1743074</v>
      </c>
      <c r="H134" s="909"/>
      <c r="I134" s="910">
        <v>32749</v>
      </c>
      <c r="J134" s="910">
        <v>1527488</v>
      </c>
      <c r="K134" s="910">
        <v>119385</v>
      </c>
      <c r="L134" s="909">
        <v>21519</v>
      </c>
      <c r="M134" s="909"/>
      <c r="N134" s="910">
        <v>61079</v>
      </c>
      <c r="O134" s="910">
        <v>563788</v>
      </c>
      <c r="P134" s="910">
        <v>0</v>
      </c>
      <c r="Q134" s="909">
        <v>1526</v>
      </c>
      <c r="R134" s="910">
        <f t="shared" si="1"/>
        <v>963700</v>
      </c>
      <c r="S134" s="909"/>
      <c r="T134" s="910">
        <v>465898</v>
      </c>
      <c r="U134" s="912">
        <v>10203</v>
      </c>
      <c r="V134" s="912">
        <v>476101</v>
      </c>
    </row>
    <row r="135" spans="1:22" x14ac:dyDescent="0.25">
      <c r="A135" s="906">
        <v>91208</v>
      </c>
      <c r="B135" s="907" t="s">
        <v>2699</v>
      </c>
      <c r="C135" s="908">
        <v>1.3699999999999999E-5</v>
      </c>
      <c r="D135" s="908">
        <v>1.2999999999999999E-5</v>
      </c>
      <c r="E135" s="909">
        <v>5593</v>
      </c>
      <c r="F135" s="909">
        <v>5834</v>
      </c>
      <c r="G135" s="909">
        <v>29076</v>
      </c>
      <c r="H135" s="909"/>
      <c r="I135" s="910">
        <v>546.28750000000002</v>
      </c>
      <c r="J135" s="910">
        <v>25480</v>
      </c>
      <c r="K135" s="910">
        <v>1991</v>
      </c>
      <c r="L135" s="909">
        <v>7123</v>
      </c>
      <c r="M135" s="909"/>
      <c r="N135" s="910">
        <v>1019</v>
      </c>
      <c r="O135" s="910">
        <v>9404</v>
      </c>
      <c r="P135" s="910">
        <v>0</v>
      </c>
      <c r="Q135" s="909">
        <v>0</v>
      </c>
      <c r="R135" s="910">
        <f t="shared" ref="R135:R198" si="2">IF(J135&gt;O135,J135-O135,O135-J135)</f>
        <v>16076</v>
      </c>
      <c r="S135" s="909"/>
      <c r="T135" s="910">
        <v>7772</v>
      </c>
      <c r="U135" s="912">
        <v>3401</v>
      </c>
      <c r="V135" s="912">
        <v>11172</v>
      </c>
    </row>
    <row r="136" spans="1:22" x14ac:dyDescent="0.25">
      <c r="A136" s="906">
        <v>91211</v>
      </c>
      <c r="B136" s="907" t="s">
        <v>2700</v>
      </c>
      <c r="C136" s="908">
        <v>4.6789999999999999E-4</v>
      </c>
      <c r="D136" s="908">
        <v>4.6260000000000002E-4</v>
      </c>
      <c r="E136" s="909">
        <v>192012</v>
      </c>
      <c r="F136" s="909">
        <v>207612</v>
      </c>
      <c r="G136" s="909">
        <v>993041</v>
      </c>
      <c r="H136" s="909"/>
      <c r="I136" s="910">
        <v>18658</v>
      </c>
      <c r="J136" s="910">
        <v>870220</v>
      </c>
      <c r="K136" s="910">
        <v>68014</v>
      </c>
      <c r="L136" s="909">
        <v>5989</v>
      </c>
      <c r="M136" s="909"/>
      <c r="N136" s="910">
        <v>34797</v>
      </c>
      <c r="O136" s="910">
        <v>321194</v>
      </c>
      <c r="P136" s="910">
        <v>0</v>
      </c>
      <c r="Q136" s="909">
        <v>5137</v>
      </c>
      <c r="R136" s="910">
        <f t="shared" si="2"/>
        <v>549026</v>
      </c>
      <c r="S136" s="909"/>
      <c r="T136" s="910">
        <v>265425</v>
      </c>
      <c r="U136" s="912">
        <v>568</v>
      </c>
      <c r="V136" s="912">
        <v>265993</v>
      </c>
    </row>
    <row r="137" spans="1:22" x14ac:dyDescent="0.25">
      <c r="A137" s="906">
        <v>91213</v>
      </c>
      <c r="B137" s="907" t="s">
        <v>2701</v>
      </c>
      <c r="C137" s="908">
        <v>3.57E-5</v>
      </c>
      <c r="D137" s="908">
        <v>3.5500000000000002E-5</v>
      </c>
      <c r="E137" s="909">
        <v>11312</v>
      </c>
      <c r="F137" s="909">
        <v>15932</v>
      </c>
      <c r="G137" s="909">
        <v>75767</v>
      </c>
      <c r="H137" s="909"/>
      <c r="I137" s="910">
        <v>1424</v>
      </c>
      <c r="J137" s="910">
        <v>66396</v>
      </c>
      <c r="K137" s="910">
        <v>5189</v>
      </c>
      <c r="L137" s="909">
        <v>0</v>
      </c>
      <c r="M137" s="909"/>
      <c r="N137" s="910">
        <v>2655</v>
      </c>
      <c r="O137" s="910">
        <v>24507</v>
      </c>
      <c r="P137" s="910">
        <v>0</v>
      </c>
      <c r="Q137" s="909">
        <v>4828</v>
      </c>
      <c r="R137" s="910">
        <f t="shared" si="2"/>
        <v>41889</v>
      </c>
      <c r="S137" s="909"/>
      <c r="T137" s="910">
        <v>20252</v>
      </c>
      <c r="U137" s="912">
        <v>-1558</v>
      </c>
      <c r="V137" s="912">
        <v>18694</v>
      </c>
    </row>
    <row r="138" spans="1:22" x14ac:dyDescent="0.25">
      <c r="A138" s="906">
        <v>91214</v>
      </c>
      <c r="B138" s="907" t="s">
        <v>2702</v>
      </c>
      <c r="C138" s="908">
        <v>2.8200000000000001E-5</v>
      </c>
      <c r="D138" s="908">
        <v>2.6800000000000001E-5</v>
      </c>
      <c r="E138" s="909">
        <v>8297</v>
      </c>
      <c r="F138" s="909">
        <v>12028</v>
      </c>
      <c r="G138" s="909">
        <v>59850</v>
      </c>
      <c r="H138" s="909"/>
      <c r="I138" s="910">
        <v>1124</v>
      </c>
      <c r="J138" s="910">
        <v>52448</v>
      </c>
      <c r="K138" s="910">
        <v>4099</v>
      </c>
      <c r="L138" s="909">
        <v>2071</v>
      </c>
      <c r="M138" s="909"/>
      <c r="N138" s="910">
        <v>2097</v>
      </c>
      <c r="O138" s="910">
        <v>19358</v>
      </c>
      <c r="P138" s="910">
        <v>0</v>
      </c>
      <c r="Q138" s="909">
        <v>1863</v>
      </c>
      <c r="R138" s="910">
        <f t="shared" si="2"/>
        <v>33090</v>
      </c>
      <c r="S138" s="909"/>
      <c r="T138" s="910">
        <v>15997</v>
      </c>
      <c r="U138" s="912">
        <v>289</v>
      </c>
      <c r="V138" s="912">
        <v>16286</v>
      </c>
    </row>
    <row r="139" spans="1:22" x14ac:dyDescent="0.25">
      <c r="A139" s="906">
        <v>91217</v>
      </c>
      <c r="B139" s="907" t="s">
        <v>2703</v>
      </c>
      <c r="C139" s="908">
        <v>2.6699999999999998E-5</v>
      </c>
      <c r="D139" s="908">
        <v>1.8700000000000001E-5</v>
      </c>
      <c r="E139" s="909">
        <v>15053.92</v>
      </c>
      <c r="F139" s="909">
        <v>8392</v>
      </c>
      <c r="G139" s="909">
        <v>56666</v>
      </c>
      <c r="H139" s="909"/>
      <c r="I139" s="910">
        <v>1065</v>
      </c>
      <c r="J139" s="910">
        <v>49658</v>
      </c>
      <c r="K139" s="910">
        <v>3881</v>
      </c>
      <c r="L139" s="909">
        <v>11622</v>
      </c>
      <c r="M139" s="909"/>
      <c r="N139" s="910">
        <v>1986</v>
      </c>
      <c r="O139" s="910">
        <v>18328</v>
      </c>
      <c r="P139" s="910">
        <v>0</v>
      </c>
      <c r="Q139" s="909">
        <v>0</v>
      </c>
      <c r="R139" s="910">
        <f t="shared" si="2"/>
        <v>31330</v>
      </c>
      <c r="S139" s="909"/>
      <c r="T139" s="910">
        <v>15146</v>
      </c>
      <c r="U139" s="912">
        <v>3617</v>
      </c>
      <c r="V139" s="912">
        <v>18763</v>
      </c>
    </row>
    <row r="140" spans="1:22" x14ac:dyDescent="0.25">
      <c r="A140" s="906">
        <v>91221</v>
      </c>
      <c r="B140" s="907" t="s">
        <v>2704</v>
      </c>
      <c r="C140" s="908">
        <v>1.294E-4</v>
      </c>
      <c r="D140" s="908">
        <v>1.404E-4</v>
      </c>
      <c r="E140" s="909">
        <v>50416</v>
      </c>
      <c r="F140" s="909">
        <v>63011</v>
      </c>
      <c r="G140" s="909">
        <v>274630</v>
      </c>
      <c r="H140" s="909"/>
      <c r="I140" s="910">
        <v>5160</v>
      </c>
      <c r="J140" s="910">
        <v>240664</v>
      </c>
      <c r="K140" s="910">
        <v>18810</v>
      </c>
      <c r="L140" s="909">
        <v>7496</v>
      </c>
      <c r="M140" s="909"/>
      <c r="N140" s="910">
        <v>9623</v>
      </c>
      <c r="O140" s="910">
        <v>88828</v>
      </c>
      <c r="P140" s="910">
        <v>0</v>
      </c>
      <c r="Q140" s="909">
        <v>9810</v>
      </c>
      <c r="R140" s="910">
        <f t="shared" si="2"/>
        <v>151836</v>
      </c>
      <c r="S140" s="909"/>
      <c r="T140" s="910">
        <v>73405</v>
      </c>
      <c r="U140" s="912">
        <v>1070</v>
      </c>
      <c r="V140" s="912">
        <v>74475</v>
      </c>
    </row>
    <row r="141" spans="1:22" x14ac:dyDescent="0.25">
      <c r="A141" s="906">
        <v>91231</v>
      </c>
      <c r="B141" s="907" t="s">
        <v>2705</v>
      </c>
      <c r="C141" s="908">
        <v>1.9957E-3</v>
      </c>
      <c r="D141" s="908">
        <v>2.0203999999999999E-3</v>
      </c>
      <c r="E141" s="909">
        <v>763104.33</v>
      </c>
      <c r="F141" s="909">
        <v>906743</v>
      </c>
      <c r="G141" s="909">
        <v>4235544</v>
      </c>
      <c r="H141" s="909"/>
      <c r="I141" s="910">
        <v>79579</v>
      </c>
      <c r="J141" s="910">
        <v>3711687</v>
      </c>
      <c r="K141" s="910">
        <v>290097</v>
      </c>
      <c r="L141" s="909">
        <v>21281.06</v>
      </c>
      <c r="M141" s="909"/>
      <c r="N141" s="910">
        <v>148418</v>
      </c>
      <c r="O141" s="910">
        <v>1369964</v>
      </c>
      <c r="P141" s="910">
        <v>0</v>
      </c>
      <c r="Q141" s="909">
        <v>85796</v>
      </c>
      <c r="R141" s="910">
        <f t="shared" si="2"/>
        <v>2341723</v>
      </c>
      <c r="S141" s="909"/>
      <c r="T141" s="910">
        <v>1132099</v>
      </c>
      <c r="U141" s="912">
        <v>-14080</v>
      </c>
      <c r="V141" s="912">
        <v>1118019</v>
      </c>
    </row>
    <row r="142" spans="1:22" x14ac:dyDescent="0.25">
      <c r="A142" s="906">
        <v>91233</v>
      </c>
      <c r="B142" s="907" t="s">
        <v>2706</v>
      </c>
      <c r="C142" s="908">
        <v>4.5599999999999997E-5</v>
      </c>
      <c r="D142" s="908">
        <v>4.3399999999999998E-5</v>
      </c>
      <c r="E142" s="909">
        <v>17053</v>
      </c>
      <c r="F142" s="909">
        <v>19478</v>
      </c>
      <c r="G142" s="909">
        <v>96778</v>
      </c>
      <c r="H142" s="909"/>
      <c r="I142" s="910">
        <v>1818.3</v>
      </c>
      <c r="J142" s="910">
        <v>84809</v>
      </c>
      <c r="K142" s="910">
        <v>6628</v>
      </c>
      <c r="L142" s="909">
        <v>8243</v>
      </c>
      <c r="M142" s="909"/>
      <c r="N142" s="910">
        <v>3391</v>
      </c>
      <c r="O142" s="910">
        <v>31302</v>
      </c>
      <c r="P142" s="910">
        <v>0</v>
      </c>
      <c r="Q142" s="909">
        <v>159</v>
      </c>
      <c r="R142" s="910">
        <f t="shared" si="2"/>
        <v>53507</v>
      </c>
      <c r="S142" s="909"/>
      <c r="T142" s="910">
        <v>25867</v>
      </c>
      <c r="U142" s="912">
        <v>3163</v>
      </c>
      <c r="V142" s="912">
        <v>29031</v>
      </c>
    </row>
    <row r="143" spans="1:22" x14ac:dyDescent="0.25">
      <c r="A143" s="906">
        <v>91241</v>
      </c>
      <c r="B143" s="907" t="s">
        <v>2707</v>
      </c>
      <c r="C143" s="908">
        <v>3.68E-5</v>
      </c>
      <c r="D143" s="908">
        <v>4.0800000000000002E-5</v>
      </c>
      <c r="E143" s="909">
        <v>13967</v>
      </c>
      <c r="F143" s="909">
        <v>18311</v>
      </c>
      <c r="G143" s="909">
        <v>78102</v>
      </c>
      <c r="H143" s="909"/>
      <c r="I143" s="910">
        <v>1467.4</v>
      </c>
      <c r="J143" s="910">
        <v>68442</v>
      </c>
      <c r="K143" s="910">
        <v>5349</v>
      </c>
      <c r="L143" s="909">
        <v>0</v>
      </c>
      <c r="M143" s="909"/>
      <c r="N143" s="910">
        <v>2737</v>
      </c>
      <c r="O143" s="910">
        <v>25262</v>
      </c>
      <c r="P143" s="910">
        <v>0</v>
      </c>
      <c r="Q143" s="909">
        <v>6784</v>
      </c>
      <c r="R143" s="910">
        <f t="shared" si="2"/>
        <v>43180</v>
      </c>
      <c r="S143" s="909"/>
      <c r="T143" s="910">
        <v>20875</v>
      </c>
      <c r="U143" s="912">
        <v>-2529</v>
      </c>
      <c r="V143" s="912">
        <v>18346</v>
      </c>
    </row>
    <row r="144" spans="1:22" x14ac:dyDescent="0.25">
      <c r="A144" s="906">
        <v>91251</v>
      </c>
      <c r="B144" s="907" t="s">
        <v>2708</v>
      </c>
      <c r="C144" s="908">
        <v>2.65E-5</v>
      </c>
      <c r="D144" s="908">
        <v>2.6699999999999998E-5</v>
      </c>
      <c r="E144" s="909">
        <v>9989</v>
      </c>
      <c r="F144" s="909">
        <v>11983</v>
      </c>
      <c r="G144" s="909">
        <v>56242</v>
      </c>
      <c r="H144" s="909"/>
      <c r="I144" s="910">
        <v>1056.6875</v>
      </c>
      <c r="J144" s="910">
        <v>49286</v>
      </c>
      <c r="K144" s="910">
        <v>3852</v>
      </c>
      <c r="L144" s="909">
        <v>4706</v>
      </c>
      <c r="M144" s="909"/>
      <c r="N144" s="910">
        <v>1971</v>
      </c>
      <c r="O144" s="910">
        <v>18191</v>
      </c>
      <c r="P144" s="910">
        <v>0</v>
      </c>
      <c r="Q144" s="909">
        <v>1236</v>
      </c>
      <c r="R144" s="910">
        <f t="shared" si="2"/>
        <v>31095</v>
      </c>
      <c r="S144" s="909"/>
      <c r="T144" s="910">
        <v>15033</v>
      </c>
      <c r="U144" s="912">
        <v>2006</v>
      </c>
      <c r="V144" s="912">
        <v>17039</v>
      </c>
    </row>
    <row r="145" spans="1:22" x14ac:dyDescent="0.25">
      <c r="A145" s="906">
        <v>91261</v>
      </c>
      <c r="B145" s="907" t="s">
        <v>2709</v>
      </c>
      <c r="C145" s="908">
        <v>9.5000000000000005E-6</v>
      </c>
      <c r="D145" s="908">
        <v>8.8000000000000004E-6</v>
      </c>
      <c r="E145" s="909">
        <v>4130</v>
      </c>
      <c r="F145" s="909">
        <v>3949</v>
      </c>
      <c r="G145" s="909">
        <v>20162</v>
      </c>
      <c r="H145" s="909"/>
      <c r="I145" s="910">
        <v>378.8125</v>
      </c>
      <c r="J145" s="910">
        <v>17668</v>
      </c>
      <c r="K145" s="910">
        <v>1381</v>
      </c>
      <c r="L145" s="909">
        <v>2027</v>
      </c>
      <c r="M145" s="909"/>
      <c r="N145" s="910">
        <v>707</v>
      </c>
      <c r="O145" s="910">
        <v>6521</v>
      </c>
      <c r="P145" s="910">
        <v>0</v>
      </c>
      <c r="Q145" s="909">
        <v>0</v>
      </c>
      <c r="R145" s="910">
        <f t="shared" si="2"/>
        <v>11147</v>
      </c>
      <c r="S145" s="909"/>
      <c r="T145" s="910">
        <v>5389</v>
      </c>
      <c r="U145" s="912">
        <v>729</v>
      </c>
      <c r="V145" s="912">
        <v>6118</v>
      </c>
    </row>
    <row r="146" spans="1:22" x14ac:dyDescent="0.25">
      <c r="A146" s="913">
        <v>91301</v>
      </c>
      <c r="B146" s="907" t="s">
        <v>2710</v>
      </c>
      <c r="C146" s="908">
        <v>7.7765000000000004E-3</v>
      </c>
      <c r="D146" s="908">
        <v>7.2360999999999997E-3</v>
      </c>
      <c r="E146" s="909">
        <v>2863288</v>
      </c>
      <c r="F146" s="909">
        <v>3247518</v>
      </c>
      <c r="G146" s="909">
        <v>16504338</v>
      </c>
      <c r="H146" s="909"/>
      <c r="I146" s="910">
        <v>310088</v>
      </c>
      <c r="J146" s="910">
        <v>14463061</v>
      </c>
      <c r="K146" s="910">
        <v>1130400</v>
      </c>
      <c r="L146" s="909">
        <v>26878</v>
      </c>
      <c r="M146" s="909"/>
      <c r="N146" s="910">
        <v>578331</v>
      </c>
      <c r="O146" s="910">
        <v>5338241</v>
      </c>
      <c r="P146" s="910">
        <v>0</v>
      </c>
      <c r="Q146" s="909">
        <v>184573</v>
      </c>
      <c r="R146" s="910">
        <f t="shared" si="2"/>
        <v>9124820</v>
      </c>
      <c r="S146" s="909"/>
      <c r="T146" s="910">
        <v>4411367</v>
      </c>
      <c r="U146" s="912">
        <v>-64544</v>
      </c>
      <c r="V146" s="912">
        <v>4346824</v>
      </c>
    </row>
    <row r="147" spans="1:22" x14ac:dyDescent="0.25">
      <c r="A147" s="913">
        <v>91302</v>
      </c>
      <c r="B147" s="907" t="s">
        <v>2711</v>
      </c>
      <c r="C147" s="908">
        <v>5.9190000000000002E-4</v>
      </c>
      <c r="D147" s="908">
        <v>5.8169999999999999E-4</v>
      </c>
      <c r="E147" s="909">
        <v>242052.32</v>
      </c>
      <c r="F147" s="909">
        <v>261063</v>
      </c>
      <c r="G147" s="909">
        <v>1256210</v>
      </c>
      <c r="H147" s="909"/>
      <c r="I147" s="910">
        <v>23602</v>
      </c>
      <c r="J147" s="910">
        <v>1100840</v>
      </c>
      <c r="K147" s="910">
        <v>86039</v>
      </c>
      <c r="L147" s="909">
        <v>53000</v>
      </c>
      <c r="M147" s="909"/>
      <c r="N147" s="910">
        <v>44019</v>
      </c>
      <c r="O147" s="910">
        <v>406314</v>
      </c>
      <c r="P147" s="910">
        <v>0</v>
      </c>
      <c r="Q147" s="909">
        <v>0</v>
      </c>
      <c r="R147" s="910">
        <f t="shared" si="2"/>
        <v>694526</v>
      </c>
      <c r="S147" s="909"/>
      <c r="T147" s="910">
        <v>335767</v>
      </c>
      <c r="U147" s="912">
        <v>20102</v>
      </c>
      <c r="V147" s="912">
        <v>355869</v>
      </c>
    </row>
    <row r="148" spans="1:22" x14ac:dyDescent="0.25">
      <c r="A148" s="913">
        <v>91306</v>
      </c>
      <c r="B148" s="907" t="s">
        <v>2712</v>
      </c>
      <c r="C148" s="908">
        <v>1.6676E-3</v>
      </c>
      <c r="D148" s="908">
        <v>1.5539E-3</v>
      </c>
      <c r="E148" s="909">
        <v>693271</v>
      </c>
      <c r="F148" s="909">
        <v>697381</v>
      </c>
      <c r="G148" s="909">
        <v>3539206</v>
      </c>
      <c r="H148" s="909"/>
      <c r="I148" s="910">
        <v>66495.55</v>
      </c>
      <c r="J148" s="910">
        <v>3101473</v>
      </c>
      <c r="K148" s="910">
        <v>242404</v>
      </c>
      <c r="L148" s="909">
        <v>174697</v>
      </c>
      <c r="M148" s="909"/>
      <c r="N148" s="910">
        <v>124018</v>
      </c>
      <c r="O148" s="910">
        <v>1144737</v>
      </c>
      <c r="P148" s="910">
        <v>0</v>
      </c>
      <c r="Q148" s="909">
        <v>0</v>
      </c>
      <c r="R148" s="910">
        <f t="shared" si="2"/>
        <v>1956736</v>
      </c>
      <c r="S148" s="909"/>
      <c r="T148" s="910">
        <v>945978</v>
      </c>
      <c r="U148" s="912">
        <v>60990</v>
      </c>
      <c r="V148" s="912">
        <v>1006968</v>
      </c>
    </row>
    <row r="149" spans="1:22" x14ac:dyDescent="0.25">
      <c r="A149" s="906">
        <v>91308</v>
      </c>
      <c r="B149" s="907" t="s">
        <v>2713</v>
      </c>
      <c r="C149" s="908">
        <v>2.05E-4</v>
      </c>
      <c r="D149" s="908">
        <v>1.8650000000000001E-4</v>
      </c>
      <c r="E149" s="909">
        <v>71992.33</v>
      </c>
      <c r="F149" s="909">
        <v>83700</v>
      </c>
      <c r="G149" s="909">
        <v>435079</v>
      </c>
      <c r="H149" s="909"/>
      <c r="I149" s="910">
        <v>8174.375</v>
      </c>
      <c r="J149" s="910">
        <v>381267.61</v>
      </c>
      <c r="K149" s="910">
        <v>29799</v>
      </c>
      <c r="L149" s="909">
        <v>4790</v>
      </c>
      <c r="M149" s="909"/>
      <c r="N149" s="910">
        <v>15246</v>
      </c>
      <c r="O149" s="910">
        <v>140724</v>
      </c>
      <c r="P149" s="910">
        <v>0</v>
      </c>
      <c r="Q149" s="909">
        <v>3858</v>
      </c>
      <c r="R149" s="910">
        <f t="shared" si="2"/>
        <v>240544</v>
      </c>
      <c r="S149" s="909"/>
      <c r="T149" s="910">
        <v>116290</v>
      </c>
      <c r="U149" s="912">
        <v>980</v>
      </c>
      <c r="V149" s="912">
        <v>117270</v>
      </c>
    </row>
    <row r="150" spans="1:22" x14ac:dyDescent="0.25">
      <c r="A150" s="906">
        <v>91311</v>
      </c>
      <c r="B150" s="907" t="s">
        <v>2714</v>
      </c>
      <c r="C150" s="908">
        <v>7.6649999999999999E-3</v>
      </c>
      <c r="D150" s="908">
        <v>7.9313999999999999E-3</v>
      </c>
      <c r="E150" s="909">
        <v>2915494</v>
      </c>
      <c r="F150" s="909">
        <v>3559565</v>
      </c>
      <c r="G150" s="909">
        <v>16267698</v>
      </c>
      <c r="H150" s="909"/>
      <c r="I150" s="910">
        <v>305642</v>
      </c>
      <c r="J150" s="910">
        <v>14255689</v>
      </c>
      <c r="K150" s="910">
        <v>1114192</v>
      </c>
      <c r="L150" s="909">
        <v>121391</v>
      </c>
      <c r="M150" s="909"/>
      <c r="N150" s="910">
        <v>570038</v>
      </c>
      <c r="O150" s="910">
        <v>5261700.57</v>
      </c>
      <c r="P150" s="910">
        <v>0</v>
      </c>
      <c r="Q150" s="909">
        <v>535505</v>
      </c>
      <c r="R150" s="910">
        <f t="shared" si="2"/>
        <v>8993988</v>
      </c>
      <c r="S150" s="909"/>
      <c r="T150" s="910">
        <v>4348117</v>
      </c>
      <c r="U150" s="912">
        <v>-145156</v>
      </c>
      <c r="V150" s="912">
        <v>4202961</v>
      </c>
    </row>
    <row r="151" spans="1:22" x14ac:dyDescent="0.25">
      <c r="A151" s="906">
        <v>91317</v>
      </c>
      <c r="B151" s="907" t="s">
        <v>2715</v>
      </c>
      <c r="C151" s="908">
        <v>9.0500000000000004E-5</v>
      </c>
      <c r="D151" s="908">
        <v>9.59E-5</v>
      </c>
      <c r="E151" s="909">
        <v>39328.85</v>
      </c>
      <c r="F151" s="909">
        <v>43039</v>
      </c>
      <c r="G151" s="909">
        <v>192071</v>
      </c>
      <c r="H151" s="909"/>
      <c r="I151" s="910">
        <v>3608.6875</v>
      </c>
      <c r="J151" s="910">
        <v>168316</v>
      </c>
      <c r="K151" s="910">
        <v>13155</v>
      </c>
      <c r="L151" s="909">
        <v>3623</v>
      </c>
      <c r="M151" s="909"/>
      <c r="N151" s="910">
        <v>6730</v>
      </c>
      <c r="O151" s="910">
        <v>62124</v>
      </c>
      <c r="P151" s="910">
        <v>0</v>
      </c>
      <c r="Q151" s="909">
        <v>2926</v>
      </c>
      <c r="R151" s="910">
        <f t="shared" si="2"/>
        <v>106192</v>
      </c>
      <c r="S151" s="909"/>
      <c r="T151" s="910">
        <v>51338</v>
      </c>
      <c r="U151" s="912">
        <v>118</v>
      </c>
      <c r="V151" s="912">
        <v>51456</v>
      </c>
    </row>
    <row r="152" spans="1:22" x14ac:dyDescent="0.25">
      <c r="A152" s="906">
        <v>91321</v>
      </c>
      <c r="B152" s="907" t="s">
        <v>2716</v>
      </c>
      <c r="C152" s="908">
        <v>4.1999999999999998E-5</v>
      </c>
      <c r="D152" s="908">
        <v>3.1999999999999999E-5</v>
      </c>
      <c r="E152" s="909">
        <v>17123</v>
      </c>
      <c r="F152" s="909">
        <v>14361</v>
      </c>
      <c r="G152" s="909">
        <v>89138</v>
      </c>
      <c r="H152" s="909"/>
      <c r="I152" s="910">
        <v>1674.75</v>
      </c>
      <c r="J152" s="910">
        <v>78113</v>
      </c>
      <c r="K152" s="910">
        <v>6105</v>
      </c>
      <c r="L152" s="909">
        <v>6260</v>
      </c>
      <c r="M152" s="909"/>
      <c r="N152" s="910">
        <v>3123</v>
      </c>
      <c r="O152" s="910">
        <v>28831</v>
      </c>
      <c r="P152" s="910">
        <v>0</v>
      </c>
      <c r="Q152" s="909">
        <v>5826</v>
      </c>
      <c r="R152" s="910">
        <f t="shared" si="2"/>
        <v>49282</v>
      </c>
      <c r="S152" s="909"/>
      <c r="T152" s="910">
        <v>23825</v>
      </c>
      <c r="U152" s="912">
        <v>-210</v>
      </c>
      <c r="V152" s="912">
        <v>23615</v>
      </c>
    </row>
    <row r="153" spans="1:22" x14ac:dyDescent="0.25">
      <c r="A153" s="906">
        <v>91327</v>
      </c>
      <c r="B153" s="907" t="s">
        <v>2717</v>
      </c>
      <c r="C153" s="908">
        <v>1.03E-5</v>
      </c>
      <c r="D153" s="908">
        <v>1.13E-5</v>
      </c>
      <c r="E153" s="909">
        <v>4112</v>
      </c>
      <c r="F153" s="909">
        <v>5071</v>
      </c>
      <c r="G153" s="909">
        <v>21860</v>
      </c>
      <c r="H153" s="909"/>
      <c r="I153" s="910">
        <v>410.71249999999998</v>
      </c>
      <c r="J153" s="910">
        <v>19156</v>
      </c>
      <c r="K153" s="910">
        <v>1497</v>
      </c>
      <c r="L153" s="909">
        <v>72</v>
      </c>
      <c r="M153" s="909"/>
      <c r="N153" s="910">
        <v>766</v>
      </c>
      <c r="O153" s="910">
        <v>7071</v>
      </c>
      <c r="P153" s="910">
        <v>0</v>
      </c>
      <c r="Q153" s="909">
        <v>1050</v>
      </c>
      <c r="R153" s="910">
        <f t="shared" si="2"/>
        <v>12085</v>
      </c>
      <c r="S153" s="909"/>
      <c r="T153" s="910">
        <v>5843</v>
      </c>
      <c r="U153" s="912">
        <v>-275</v>
      </c>
      <c r="V153" s="912">
        <v>5568</v>
      </c>
    </row>
    <row r="154" spans="1:22" x14ac:dyDescent="0.25">
      <c r="A154" s="906">
        <v>91331</v>
      </c>
      <c r="B154" s="907" t="s">
        <v>2718</v>
      </c>
      <c r="C154" s="908">
        <v>2.8509999999999998E-3</v>
      </c>
      <c r="D154" s="908">
        <v>3.0317E-3</v>
      </c>
      <c r="E154" s="909">
        <v>1040695.76</v>
      </c>
      <c r="F154" s="909">
        <v>1360609</v>
      </c>
      <c r="G154" s="909">
        <v>6050777</v>
      </c>
      <c r="H154" s="909"/>
      <c r="I154" s="910">
        <v>113684</v>
      </c>
      <c r="J154" s="910">
        <v>5302410</v>
      </c>
      <c r="K154" s="910">
        <v>414424</v>
      </c>
      <c r="L154" s="909">
        <v>0</v>
      </c>
      <c r="M154" s="909"/>
      <c r="N154" s="910">
        <v>212026</v>
      </c>
      <c r="O154" s="910">
        <v>1957092</v>
      </c>
      <c r="P154" s="910">
        <v>0</v>
      </c>
      <c r="Q154" s="909">
        <v>459221</v>
      </c>
      <c r="R154" s="910">
        <f t="shared" si="2"/>
        <v>3345318</v>
      </c>
      <c r="S154" s="909"/>
      <c r="T154" s="910">
        <v>1617284</v>
      </c>
      <c r="U154" s="912">
        <v>-164462</v>
      </c>
      <c r="V154" s="912">
        <v>1452822</v>
      </c>
    </row>
    <row r="155" spans="1:22" x14ac:dyDescent="0.25">
      <c r="A155" s="906">
        <v>91341</v>
      </c>
      <c r="B155" s="907" t="s">
        <v>2719</v>
      </c>
      <c r="C155" s="908">
        <v>1.4399999999999999E-5</v>
      </c>
      <c r="D155" s="908">
        <v>2.1299999999999999E-5</v>
      </c>
      <c r="E155" s="909">
        <v>7639.09</v>
      </c>
      <c r="F155" s="909">
        <v>9559</v>
      </c>
      <c r="G155" s="909">
        <v>30562</v>
      </c>
      <c r="H155" s="909"/>
      <c r="I155" s="910">
        <v>574</v>
      </c>
      <c r="J155" s="910">
        <v>26782</v>
      </c>
      <c r="K155" s="910">
        <v>2093</v>
      </c>
      <c r="L155" s="909">
        <v>514</v>
      </c>
      <c r="M155" s="909"/>
      <c r="N155" s="910">
        <v>1071</v>
      </c>
      <c r="O155" s="910">
        <v>9885</v>
      </c>
      <c r="P155" s="910">
        <v>0</v>
      </c>
      <c r="Q155" s="909">
        <v>2374</v>
      </c>
      <c r="R155" s="910">
        <f t="shared" si="2"/>
        <v>16897</v>
      </c>
      <c r="S155" s="909"/>
      <c r="T155" s="910">
        <v>8169</v>
      </c>
      <c r="U155" s="912">
        <v>-382</v>
      </c>
      <c r="V155" s="912">
        <v>7786</v>
      </c>
    </row>
    <row r="156" spans="1:22" x14ac:dyDescent="0.25">
      <c r="A156" s="906">
        <v>91401</v>
      </c>
      <c r="B156" s="907" t="s">
        <v>2720</v>
      </c>
      <c r="C156" s="908">
        <v>3.6841E-3</v>
      </c>
      <c r="D156" s="908">
        <v>3.5414999999999999E-3</v>
      </c>
      <c r="E156" s="909">
        <v>1403464.74</v>
      </c>
      <c r="F156" s="909">
        <v>1589404</v>
      </c>
      <c r="G156" s="909">
        <v>7818894</v>
      </c>
      <c r="H156" s="909"/>
      <c r="I156" s="910">
        <v>146903</v>
      </c>
      <c r="J156" s="910">
        <v>6851844</v>
      </c>
      <c r="K156" s="910">
        <v>535524</v>
      </c>
      <c r="L156" s="909">
        <v>30858</v>
      </c>
      <c r="M156" s="909"/>
      <c r="N156" s="910">
        <v>273983</v>
      </c>
      <c r="O156" s="910">
        <v>2528980</v>
      </c>
      <c r="P156" s="910">
        <v>0</v>
      </c>
      <c r="Q156" s="909">
        <v>11385</v>
      </c>
      <c r="R156" s="910">
        <f t="shared" si="2"/>
        <v>4322864</v>
      </c>
      <c r="S156" s="909"/>
      <c r="T156" s="910">
        <v>2089876</v>
      </c>
      <c r="U156" s="912">
        <v>10463</v>
      </c>
      <c r="V156" s="912">
        <v>2100338</v>
      </c>
    </row>
    <row r="157" spans="1:22" x14ac:dyDescent="0.25">
      <c r="A157" s="906">
        <v>91411</v>
      </c>
      <c r="B157" s="907" t="s">
        <v>2721</v>
      </c>
      <c r="C157" s="908">
        <v>3.5379999999999998E-4</v>
      </c>
      <c r="D157" s="908">
        <v>3.1189999999999999E-4</v>
      </c>
      <c r="E157" s="909">
        <v>141435.49</v>
      </c>
      <c r="F157" s="909">
        <v>139979</v>
      </c>
      <c r="G157" s="909">
        <v>750882</v>
      </c>
      <c r="H157" s="909"/>
      <c r="I157" s="910">
        <v>14108</v>
      </c>
      <c r="J157" s="910">
        <v>658012</v>
      </c>
      <c r="K157" s="910">
        <v>51429</v>
      </c>
      <c r="L157" s="909">
        <v>22528</v>
      </c>
      <c r="M157" s="909"/>
      <c r="N157" s="910">
        <v>26312</v>
      </c>
      <c r="O157" s="910">
        <v>242869</v>
      </c>
      <c r="P157" s="910">
        <v>0</v>
      </c>
      <c r="Q157" s="909">
        <v>2801.92</v>
      </c>
      <c r="R157" s="910">
        <f t="shared" si="2"/>
        <v>415143</v>
      </c>
      <c r="S157" s="909"/>
      <c r="T157" s="910">
        <v>200700</v>
      </c>
      <c r="U157" s="912">
        <v>4720</v>
      </c>
      <c r="V157" s="912">
        <v>205420</v>
      </c>
    </row>
    <row r="158" spans="1:22" x14ac:dyDescent="0.25">
      <c r="A158" s="906">
        <v>91417</v>
      </c>
      <c r="B158" s="907" t="s">
        <v>2722</v>
      </c>
      <c r="C158" s="908">
        <v>9.9000000000000001E-6</v>
      </c>
      <c r="D158" s="908">
        <v>1.04E-5</v>
      </c>
      <c r="E158" s="909">
        <v>4800</v>
      </c>
      <c r="F158" s="909">
        <v>4667</v>
      </c>
      <c r="G158" s="909">
        <v>21011</v>
      </c>
      <c r="H158" s="909"/>
      <c r="I158" s="910">
        <v>394.76249999999999</v>
      </c>
      <c r="J158" s="910">
        <v>18412</v>
      </c>
      <c r="K158" s="910">
        <v>1439</v>
      </c>
      <c r="L158" s="909">
        <v>3686</v>
      </c>
      <c r="M158" s="909"/>
      <c r="N158" s="910">
        <v>736</v>
      </c>
      <c r="O158" s="910">
        <v>6796</v>
      </c>
      <c r="P158" s="910">
        <v>0</v>
      </c>
      <c r="Q158" s="909">
        <v>0</v>
      </c>
      <c r="R158" s="910">
        <f t="shared" si="2"/>
        <v>11616</v>
      </c>
      <c r="S158" s="909"/>
      <c r="T158" s="910">
        <v>5616</v>
      </c>
      <c r="U158" s="912">
        <v>1711</v>
      </c>
      <c r="V158" s="912">
        <v>7327</v>
      </c>
    </row>
    <row r="159" spans="1:22" x14ac:dyDescent="0.25">
      <c r="A159" s="906">
        <v>91421</v>
      </c>
      <c r="B159" s="907" t="s">
        <v>2723</v>
      </c>
      <c r="C159" s="908">
        <v>7.0400000000000004E-5</v>
      </c>
      <c r="D159" s="908">
        <v>7.3399999999999995E-5</v>
      </c>
      <c r="E159" s="909">
        <v>30683</v>
      </c>
      <c r="F159" s="909">
        <v>32941</v>
      </c>
      <c r="G159" s="909">
        <v>149412</v>
      </c>
      <c r="H159" s="909"/>
      <c r="I159" s="910">
        <v>2807</v>
      </c>
      <c r="J159" s="910">
        <v>130933</v>
      </c>
      <c r="K159" s="910">
        <v>10233</v>
      </c>
      <c r="L159" s="909">
        <v>2567</v>
      </c>
      <c r="M159" s="909"/>
      <c r="N159" s="910">
        <v>5236</v>
      </c>
      <c r="O159" s="910">
        <v>48327</v>
      </c>
      <c r="P159" s="910">
        <v>0</v>
      </c>
      <c r="Q159" s="909">
        <v>4833</v>
      </c>
      <c r="R159" s="910">
        <f t="shared" si="2"/>
        <v>82606</v>
      </c>
      <c r="S159" s="909"/>
      <c r="T159" s="910">
        <v>39936</v>
      </c>
      <c r="U159" s="912">
        <v>-400</v>
      </c>
      <c r="V159" s="912">
        <v>39536</v>
      </c>
    </row>
    <row r="160" spans="1:22" x14ac:dyDescent="0.25">
      <c r="A160" s="906">
        <v>91423</v>
      </c>
      <c r="B160" s="907" t="s">
        <v>2724</v>
      </c>
      <c r="C160" s="908">
        <v>3.8699999999999999E-5</v>
      </c>
      <c r="D160" s="908">
        <v>3.9499999999999998E-5</v>
      </c>
      <c r="E160" s="909">
        <v>17177.96</v>
      </c>
      <c r="F160" s="909">
        <v>17727</v>
      </c>
      <c r="G160" s="909">
        <v>82134</v>
      </c>
      <c r="H160" s="909"/>
      <c r="I160" s="910">
        <v>1543</v>
      </c>
      <c r="J160" s="910">
        <v>71976</v>
      </c>
      <c r="K160" s="910">
        <v>5625</v>
      </c>
      <c r="L160" s="909">
        <v>10132</v>
      </c>
      <c r="M160" s="909"/>
      <c r="N160" s="910">
        <v>2878</v>
      </c>
      <c r="O160" s="910">
        <v>26566</v>
      </c>
      <c r="P160" s="910">
        <v>0</v>
      </c>
      <c r="Q160" s="909">
        <v>4072</v>
      </c>
      <c r="R160" s="910">
        <f t="shared" si="2"/>
        <v>45410</v>
      </c>
      <c r="S160" s="909"/>
      <c r="T160" s="910">
        <v>21953</v>
      </c>
      <c r="U160" s="912">
        <v>1493</v>
      </c>
      <c r="V160" s="912">
        <v>23446</v>
      </c>
    </row>
    <row r="161" spans="1:22" x14ac:dyDescent="0.25">
      <c r="A161" s="906">
        <v>91431</v>
      </c>
      <c r="B161" s="907" t="s">
        <v>2725</v>
      </c>
      <c r="C161" s="908">
        <v>1.417E-4</v>
      </c>
      <c r="D161" s="908">
        <v>1.606E-4</v>
      </c>
      <c r="E161" s="909">
        <v>68459</v>
      </c>
      <c r="F161" s="909">
        <v>72076</v>
      </c>
      <c r="G161" s="909">
        <v>300735</v>
      </c>
      <c r="H161" s="909"/>
      <c r="I161" s="910">
        <v>5650</v>
      </c>
      <c r="J161" s="910">
        <v>263540</v>
      </c>
      <c r="K161" s="910">
        <v>20598</v>
      </c>
      <c r="L161" s="909">
        <v>1741</v>
      </c>
      <c r="M161" s="909"/>
      <c r="N161" s="910">
        <v>10538</v>
      </c>
      <c r="O161" s="910">
        <v>97271</v>
      </c>
      <c r="P161" s="910">
        <v>0</v>
      </c>
      <c r="Q161" s="909">
        <v>2500</v>
      </c>
      <c r="R161" s="910">
        <f t="shared" si="2"/>
        <v>166269</v>
      </c>
      <c r="S161" s="909"/>
      <c r="T161" s="910">
        <v>80382</v>
      </c>
      <c r="U161" s="912">
        <v>-116</v>
      </c>
      <c r="V161" s="912">
        <v>80266</v>
      </c>
    </row>
    <row r="162" spans="1:22" x14ac:dyDescent="0.25">
      <c r="A162" s="906">
        <v>91441</v>
      </c>
      <c r="B162" s="907" t="s">
        <v>2726</v>
      </c>
      <c r="C162" s="908">
        <v>7.3800000000000005E-4</v>
      </c>
      <c r="D162" s="908">
        <v>8.0199999999999998E-4</v>
      </c>
      <c r="E162" s="909">
        <v>243177.92</v>
      </c>
      <c r="F162" s="909">
        <v>359933</v>
      </c>
      <c r="G162" s="909">
        <v>1566283</v>
      </c>
      <c r="H162" s="909"/>
      <c r="I162" s="910">
        <v>29428</v>
      </c>
      <c r="J162" s="910">
        <v>1372563</v>
      </c>
      <c r="K162" s="910">
        <v>107276</v>
      </c>
      <c r="L162" s="909">
        <v>0</v>
      </c>
      <c r="M162" s="909"/>
      <c r="N162" s="910">
        <v>54884</v>
      </c>
      <c r="O162" s="910">
        <v>506606</v>
      </c>
      <c r="P162" s="910">
        <v>0</v>
      </c>
      <c r="Q162" s="909">
        <v>154968</v>
      </c>
      <c r="R162" s="910">
        <f t="shared" si="2"/>
        <v>865957</v>
      </c>
      <c r="S162" s="909"/>
      <c r="T162" s="910">
        <v>418645</v>
      </c>
      <c r="U162" s="912">
        <v>-51667</v>
      </c>
      <c r="V162" s="912">
        <v>366977</v>
      </c>
    </row>
    <row r="163" spans="1:22" x14ac:dyDescent="0.25">
      <c r="A163" s="906">
        <v>91451</v>
      </c>
      <c r="B163" s="907" t="s">
        <v>2727</v>
      </c>
      <c r="C163" s="908">
        <v>1.5629000000000001E-3</v>
      </c>
      <c r="D163" s="908">
        <v>1.7028E-3</v>
      </c>
      <c r="E163" s="909">
        <v>596685</v>
      </c>
      <c r="F163" s="909">
        <v>764206</v>
      </c>
      <c r="G163" s="909">
        <v>3316997</v>
      </c>
      <c r="H163" s="909"/>
      <c r="I163" s="910">
        <v>62321</v>
      </c>
      <c r="J163" s="910">
        <v>2906747</v>
      </c>
      <c r="K163" s="910">
        <v>227185</v>
      </c>
      <c r="L163" s="909">
        <v>0</v>
      </c>
      <c r="M163" s="909"/>
      <c r="N163" s="910">
        <v>116231</v>
      </c>
      <c r="O163" s="910">
        <v>1072865</v>
      </c>
      <c r="P163" s="910">
        <v>0</v>
      </c>
      <c r="Q163" s="909">
        <v>204791</v>
      </c>
      <c r="R163" s="910">
        <f t="shared" si="2"/>
        <v>1833882</v>
      </c>
      <c r="S163" s="909"/>
      <c r="T163" s="910">
        <v>886585</v>
      </c>
      <c r="U163" s="912">
        <v>-69029</v>
      </c>
      <c r="V163" s="912">
        <v>817556</v>
      </c>
    </row>
    <row r="164" spans="1:22" x14ac:dyDescent="0.25">
      <c r="A164" s="906">
        <v>91457</v>
      </c>
      <c r="B164" s="907" t="s">
        <v>2728</v>
      </c>
      <c r="C164" s="908">
        <v>2.58E-5</v>
      </c>
      <c r="D164" s="908">
        <v>2.7500000000000001E-5</v>
      </c>
      <c r="E164" s="909">
        <v>28421</v>
      </c>
      <c r="F164" s="909">
        <v>12342</v>
      </c>
      <c r="G164" s="909">
        <v>54756</v>
      </c>
      <c r="H164" s="909"/>
      <c r="I164" s="910">
        <v>1029</v>
      </c>
      <c r="J164" s="910">
        <v>47984</v>
      </c>
      <c r="K164" s="910">
        <v>3750</v>
      </c>
      <c r="L164" s="909">
        <v>24288</v>
      </c>
      <c r="M164" s="909"/>
      <c r="N164" s="910">
        <v>1919</v>
      </c>
      <c r="O164" s="910">
        <v>17711</v>
      </c>
      <c r="P164" s="910">
        <v>0</v>
      </c>
      <c r="Q164" s="909">
        <v>0</v>
      </c>
      <c r="R164" s="910">
        <f t="shared" si="2"/>
        <v>30273</v>
      </c>
      <c r="S164" s="909"/>
      <c r="T164" s="910">
        <v>14636</v>
      </c>
      <c r="U164" s="912">
        <v>7429</v>
      </c>
      <c r="V164" s="912">
        <v>22065</v>
      </c>
    </row>
    <row r="165" spans="1:22" x14ac:dyDescent="0.25">
      <c r="A165" s="906">
        <v>91461</v>
      </c>
      <c r="B165" s="907" t="s">
        <v>2729</v>
      </c>
      <c r="C165" s="908">
        <v>8.6999999999999997E-6</v>
      </c>
      <c r="D165" s="908">
        <v>6.3999999999999997E-6</v>
      </c>
      <c r="E165" s="909">
        <v>2697</v>
      </c>
      <c r="F165" s="909">
        <v>2872</v>
      </c>
      <c r="G165" s="909">
        <v>18464</v>
      </c>
      <c r="H165" s="909"/>
      <c r="I165" s="910">
        <v>347</v>
      </c>
      <c r="J165" s="910">
        <v>16181</v>
      </c>
      <c r="K165" s="910">
        <v>1265</v>
      </c>
      <c r="L165" s="909">
        <v>3156</v>
      </c>
      <c r="M165" s="909"/>
      <c r="N165" s="910">
        <v>647</v>
      </c>
      <c r="O165" s="910">
        <v>5972</v>
      </c>
      <c r="P165" s="910">
        <v>0</v>
      </c>
      <c r="Q165" s="909">
        <v>0</v>
      </c>
      <c r="R165" s="910">
        <f t="shared" si="2"/>
        <v>10209</v>
      </c>
      <c r="S165" s="909"/>
      <c r="T165" s="910">
        <v>4935</v>
      </c>
      <c r="U165" s="912">
        <v>1104</v>
      </c>
      <c r="V165" s="912">
        <v>6039</v>
      </c>
    </row>
    <row r="166" spans="1:22" x14ac:dyDescent="0.25">
      <c r="A166" s="906">
        <v>91501</v>
      </c>
      <c r="B166" s="907" t="s">
        <v>2730</v>
      </c>
      <c r="C166" s="908">
        <v>5.1099999999999995E-4</v>
      </c>
      <c r="D166" s="908">
        <v>4.8660000000000001E-4</v>
      </c>
      <c r="E166" s="909">
        <v>207396</v>
      </c>
      <c r="F166" s="909">
        <v>218383</v>
      </c>
      <c r="G166" s="909">
        <v>1084513</v>
      </c>
      <c r="H166" s="909"/>
      <c r="I166" s="910">
        <v>20376</v>
      </c>
      <c r="J166" s="910">
        <v>950379</v>
      </c>
      <c r="K166" s="910">
        <v>74279</v>
      </c>
      <c r="L166" s="909">
        <v>41752</v>
      </c>
      <c r="M166" s="909"/>
      <c r="N166" s="910">
        <v>38003</v>
      </c>
      <c r="O166" s="910">
        <v>350780</v>
      </c>
      <c r="P166" s="910">
        <v>0</v>
      </c>
      <c r="Q166" s="909">
        <v>0</v>
      </c>
      <c r="R166" s="910">
        <f t="shared" si="2"/>
        <v>599599</v>
      </c>
      <c r="S166" s="909"/>
      <c r="T166" s="910">
        <v>289874</v>
      </c>
      <c r="U166" s="912">
        <v>17322</v>
      </c>
      <c r="V166" s="912">
        <v>307197</v>
      </c>
    </row>
    <row r="167" spans="1:22" x14ac:dyDescent="0.25">
      <c r="A167" s="906">
        <v>91504</v>
      </c>
      <c r="B167" s="907" t="s">
        <v>2731</v>
      </c>
      <c r="C167" s="908">
        <v>1.0200000000000001E-5</v>
      </c>
      <c r="D167" s="908">
        <v>9.7999999999999993E-6</v>
      </c>
      <c r="E167" s="909">
        <v>5951</v>
      </c>
      <c r="F167" s="909">
        <v>4398</v>
      </c>
      <c r="G167" s="909">
        <v>21648</v>
      </c>
      <c r="H167" s="909"/>
      <c r="I167" s="910">
        <v>406.72500000000002</v>
      </c>
      <c r="J167" s="910">
        <v>18970</v>
      </c>
      <c r="K167" s="910">
        <v>1483</v>
      </c>
      <c r="L167" s="909">
        <v>6563</v>
      </c>
      <c r="M167" s="909"/>
      <c r="N167" s="910">
        <v>759</v>
      </c>
      <c r="O167" s="910">
        <v>7002</v>
      </c>
      <c r="P167" s="910">
        <v>0</v>
      </c>
      <c r="Q167" s="909">
        <v>0</v>
      </c>
      <c r="R167" s="910">
        <f t="shared" si="2"/>
        <v>11968</v>
      </c>
      <c r="S167" s="909"/>
      <c r="T167" s="910">
        <v>5786</v>
      </c>
      <c r="U167" s="912">
        <v>2270</v>
      </c>
      <c r="V167" s="912">
        <v>8056</v>
      </c>
    </row>
    <row r="168" spans="1:22" x14ac:dyDescent="0.25">
      <c r="A168" s="906">
        <v>91601</v>
      </c>
      <c r="B168" s="907" t="s">
        <v>2732</v>
      </c>
      <c r="C168" s="908">
        <v>2.9077999999999999E-3</v>
      </c>
      <c r="D168" s="908">
        <v>2.5893000000000001E-3</v>
      </c>
      <c r="E168" s="909">
        <v>1153048.76</v>
      </c>
      <c r="F168" s="909">
        <v>1162062</v>
      </c>
      <c r="G168" s="909">
        <v>6171326</v>
      </c>
      <c r="H168" s="909"/>
      <c r="I168" s="910">
        <v>115949</v>
      </c>
      <c r="J168" s="910">
        <v>5408049</v>
      </c>
      <c r="K168" s="910">
        <v>422681</v>
      </c>
      <c r="L168" s="909">
        <v>254754</v>
      </c>
      <c r="M168" s="909"/>
      <c r="N168" s="910">
        <v>216250</v>
      </c>
      <c r="O168" s="910">
        <v>1996083</v>
      </c>
      <c r="P168" s="910">
        <v>0</v>
      </c>
      <c r="Q168" s="909">
        <v>0</v>
      </c>
      <c r="R168" s="910">
        <f t="shared" si="2"/>
        <v>3411966</v>
      </c>
      <c r="S168" s="909"/>
      <c r="T168" s="910">
        <v>1649505</v>
      </c>
      <c r="U168" s="912">
        <v>86224</v>
      </c>
      <c r="V168" s="912">
        <v>1735729</v>
      </c>
    </row>
    <row r="169" spans="1:22" x14ac:dyDescent="0.25">
      <c r="A169" s="906">
        <v>91604</v>
      </c>
      <c r="B169" s="907" t="s">
        <v>2733</v>
      </c>
      <c r="C169" s="908">
        <v>8.6799999999999996E-5</v>
      </c>
      <c r="D169" s="908">
        <v>8.5000000000000006E-5</v>
      </c>
      <c r="E169" s="909">
        <v>47160</v>
      </c>
      <c r="F169" s="909">
        <v>38147</v>
      </c>
      <c r="G169" s="909">
        <v>184219</v>
      </c>
      <c r="H169" s="909"/>
      <c r="I169" s="910">
        <v>3461</v>
      </c>
      <c r="J169" s="910">
        <v>161434</v>
      </c>
      <c r="K169" s="910">
        <v>12617</v>
      </c>
      <c r="L169" s="909">
        <v>17354</v>
      </c>
      <c r="M169" s="909"/>
      <c r="N169" s="910">
        <v>6455</v>
      </c>
      <c r="O169" s="910">
        <v>59585</v>
      </c>
      <c r="P169" s="910">
        <v>0</v>
      </c>
      <c r="Q169" s="909">
        <v>0</v>
      </c>
      <c r="R169" s="910">
        <f t="shared" si="2"/>
        <v>101849</v>
      </c>
      <c r="S169" s="909"/>
      <c r="T169" s="910">
        <v>49239</v>
      </c>
      <c r="U169" s="912">
        <v>5419</v>
      </c>
      <c r="V169" s="912">
        <v>54658</v>
      </c>
    </row>
    <row r="170" spans="1:22" x14ac:dyDescent="0.25">
      <c r="A170" s="906">
        <v>91608</v>
      </c>
      <c r="B170" s="907" t="s">
        <v>2734</v>
      </c>
      <c r="C170" s="908">
        <v>1.208E-4</v>
      </c>
      <c r="D170" s="908">
        <v>1.178E-4</v>
      </c>
      <c r="E170" s="909">
        <v>33634</v>
      </c>
      <c r="F170" s="909">
        <v>52868</v>
      </c>
      <c r="G170" s="909">
        <v>256378</v>
      </c>
      <c r="H170" s="909"/>
      <c r="I170" s="910">
        <v>4817</v>
      </c>
      <c r="J170" s="910">
        <v>224669</v>
      </c>
      <c r="K170" s="910">
        <v>17560</v>
      </c>
      <c r="L170" s="909">
        <v>1751</v>
      </c>
      <c r="M170" s="909"/>
      <c r="N170" s="910">
        <v>8984</v>
      </c>
      <c r="O170" s="910">
        <v>82924</v>
      </c>
      <c r="P170" s="910">
        <v>0</v>
      </c>
      <c r="Q170" s="909">
        <v>42921</v>
      </c>
      <c r="R170" s="910">
        <f t="shared" si="2"/>
        <v>141745</v>
      </c>
      <c r="S170" s="909"/>
      <c r="T170" s="910">
        <v>68526</v>
      </c>
      <c r="U170" s="912">
        <v>-13278</v>
      </c>
      <c r="V170" s="912">
        <v>55248</v>
      </c>
    </row>
    <row r="171" spans="1:22" x14ac:dyDescent="0.25">
      <c r="A171" s="906">
        <v>91611</v>
      </c>
      <c r="B171" s="907" t="s">
        <v>2735</v>
      </c>
      <c r="C171" s="908">
        <v>1.4345E-3</v>
      </c>
      <c r="D171" s="908">
        <v>1.3361E-3</v>
      </c>
      <c r="E171" s="909">
        <v>495192</v>
      </c>
      <c r="F171" s="909">
        <v>599634</v>
      </c>
      <c r="G171" s="909">
        <v>3044490</v>
      </c>
      <c r="H171" s="909"/>
      <c r="I171" s="910">
        <v>57201</v>
      </c>
      <c r="J171" s="910">
        <v>2667943</v>
      </c>
      <c r="K171" s="910">
        <v>208520</v>
      </c>
      <c r="L171" s="909">
        <v>36769</v>
      </c>
      <c r="M171" s="909"/>
      <c r="N171" s="910">
        <v>106682</v>
      </c>
      <c r="O171" s="910">
        <v>984724</v>
      </c>
      <c r="P171" s="910">
        <v>0</v>
      </c>
      <c r="Q171" s="909">
        <v>21938</v>
      </c>
      <c r="R171" s="910">
        <f t="shared" si="2"/>
        <v>1683219</v>
      </c>
      <c r="S171" s="909"/>
      <c r="T171" s="910">
        <v>813747</v>
      </c>
      <c r="U171" s="912">
        <v>11752</v>
      </c>
      <c r="V171" s="912">
        <v>825500</v>
      </c>
    </row>
    <row r="172" spans="1:22" x14ac:dyDescent="0.25">
      <c r="A172" s="906">
        <v>91621</v>
      </c>
      <c r="B172" s="907" t="s">
        <v>2736</v>
      </c>
      <c r="C172" s="908">
        <v>2.5240000000000001E-4</v>
      </c>
      <c r="D172" s="908">
        <v>2.6200000000000003E-4</v>
      </c>
      <c r="E172" s="909">
        <v>102644</v>
      </c>
      <c r="F172" s="909">
        <v>117584</v>
      </c>
      <c r="G172" s="909">
        <v>535677</v>
      </c>
      <c r="H172" s="909"/>
      <c r="I172" s="910">
        <v>10064</v>
      </c>
      <c r="J172" s="910">
        <v>469424</v>
      </c>
      <c r="K172" s="910">
        <v>36689</v>
      </c>
      <c r="L172" s="909">
        <v>20545</v>
      </c>
      <c r="M172" s="909"/>
      <c r="N172" s="910">
        <v>18771</v>
      </c>
      <c r="O172" s="910">
        <v>173262</v>
      </c>
      <c r="P172" s="910">
        <v>0</v>
      </c>
      <c r="Q172" s="909">
        <v>25591</v>
      </c>
      <c r="R172" s="910">
        <f t="shared" si="2"/>
        <v>296162</v>
      </c>
      <c r="S172" s="909"/>
      <c r="T172" s="910">
        <v>143179</v>
      </c>
      <c r="U172" s="912">
        <v>-4085</v>
      </c>
      <c r="V172" s="912">
        <v>139094</v>
      </c>
    </row>
    <row r="173" spans="1:22" x14ac:dyDescent="0.25">
      <c r="A173" s="906">
        <v>91631</v>
      </c>
      <c r="B173" s="907" t="s">
        <v>2737</v>
      </c>
      <c r="C173" s="908">
        <v>5.3870000000000003E-4</v>
      </c>
      <c r="D173" s="908">
        <v>5.4830000000000005E-4</v>
      </c>
      <c r="E173" s="909">
        <v>189554.94</v>
      </c>
      <c r="F173" s="909">
        <v>246074</v>
      </c>
      <c r="G173" s="909">
        <v>1143302</v>
      </c>
      <c r="H173" s="909"/>
      <c r="I173" s="910">
        <v>21481</v>
      </c>
      <c r="J173" s="910">
        <v>1001897</v>
      </c>
      <c r="K173" s="910">
        <v>78306</v>
      </c>
      <c r="L173" s="909">
        <v>0</v>
      </c>
      <c r="M173" s="909"/>
      <c r="N173" s="910">
        <v>40063</v>
      </c>
      <c r="O173" s="910">
        <v>369795</v>
      </c>
      <c r="P173" s="910">
        <v>0</v>
      </c>
      <c r="Q173" s="909">
        <v>35292</v>
      </c>
      <c r="R173" s="910">
        <f t="shared" si="2"/>
        <v>632102</v>
      </c>
      <c r="S173" s="909"/>
      <c r="T173" s="910">
        <v>305588</v>
      </c>
      <c r="U173" s="912">
        <v>-10001</v>
      </c>
      <c r="V173" s="912">
        <v>295587</v>
      </c>
    </row>
    <row r="174" spans="1:22" x14ac:dyDescent="0.25">
      <c r="A174" s="906">
        <v>91633</v>
      </c>
      <c r="B174" s="907" t="s">
        <v>2738</v>
      </c>
      <c r="C174" s="908">
        <v>2.3799999999999999E-5</v>
      </c>
      <c r="D174" s="908">
        <v>2.3200000000000001E-5</v>
      </c>
      <c r="E174" s="909">
        <v>11149</v>
      </c>
      <c r="F174" s="909">
        <v>10412</v>
      </c>
      <c r="G174" s="909">
        <v>50512</v>
      </c>
      <c r="H174" s="909"/>
      <c r="I174" s="910">
        <v>949.02499999999998</v>
      </c>
      <c r="J174" s="910">
        <v>44264</v>
      </c>
      <c r="K174" s="910">
        <v>3460</v>
      </c>
      <c r="L174" s="909">
        <v>1407</v>
      </c>
      <c r="M174" s="909"/>
      <c r="N174" s="910">
        <v>1770</v>
      </c>
      <c r="O174" s="910">
        <v>16338</v>
      </c>
      <c r="P174" s="910">
        <v>0</v>
      </c>
      <c r="Q174" s="909">
        <v>5064</v>
      </c>
      <c r="R174" s="910">
        <f t="shared" si="2"/>
        <v>27926</v>
      </c>
      <c r="S174" s="909"/>
      <c r="T174" s="910">
        <v>13501</v>
      </c>
      <c r="U174" s="912">
        <v>-1485</v>
      </c>
      <c r="V174" s="912">
        <v>12016</v>
      </c>
    </row>
    <row r="175" spans="1:22" x14ac:dyDescent="0.25">
      <c r="A175" s="906">
        <v>91641</v>
      </c>
      <c r="B175" s="907" t="s">
        <v>2739</v>
      </c>
      <c r="C175" s="908">
        <v>2.742E-4</v>
      </c>
      <c r="D175" s="908">
        <v>3.1080000000000002E-4</v>
      </c>
      <c r="E175" s="909">
        <v>90324.84</v>
      </c>
      <c r="F175" s="909">
        <v>139485</v>
      </c>
      <c r="G175" s="909">
        <v>581944</v>
      </c>
      <c r="H175" s="909"/>
      <c r="I175" s="910">
        <v>10934</v>
      </c>
      <c r="J175" s="910">
        <v>509969</v>
      </c>
      <c r="K175" s="910">
        <v>39858</v>
      </c>
      <c r="L175" s="909">
        <v>0</v>
      </c>
      <c r="M175" s="909"/>
      <c r="N175" s="910">
        <v>20392</v>
      </c>
      <c r="O175" s="910">
        <v>188227</v>
      </c>
      <c r="P175" s="910">
        <v>0</v>
      </c>
      <c r="Q175" s="909">
        <v>73613</v>
      </c>
      <c r="R175" s="910">
        <f t="shared" si="2"/>
        <v>321742</v>
      </c>
      <c r="S175" s="909"/>
      <c r="T175" s="910">
        <v>155545</v>
      </c>
      <c r="U175" s="912">
        <v>-24397</v>
      </c>
      <c r="V175" s="912">
        <v>131148</v>
      </c>
    </row>
    <row r="176" spans="1:22" x14ac:dyDescent="0.25">
      <c r="A176" s="906">
        <v>91651</v>
      </c>
      <c r="B176" s="907" t="s">
        <v>2740</v>
      </c>
      <c r="C176" s="908">
        <v>4.6099999999999998E-4</v>
      </c>
      <c r="D176" s="908">
        <v>4.797E-4</v>
      </c>
      <c r="E176" s="909">
        <v>182169.7</v>
      </c>
      <c r="F176" s="909">
        <v>215286</v>
      </c>
      <c r="G176" s="909">
        <v>978396</v>
      </c>
      <c r="H176" s="909"/>
      <c r="I176" s="910">
        <v>18382.375</v>
      </c>
      <c r="J176" s="910">
        <v>857387</v>
      </c>
      <c r="K176" s="910">
        <v>67011</v>
      </c>
      <c r="L176" s="909">
        <v>0</v>
      </c>
      <c r="M176" s="909"/>
      <c r="N176" s="910">
        <v>34284</v>
      </c>
      <c r="O176" s="910">
        <v>316457</v>
      </c>
      <c r="P176" s="910">
        <v>0</v>
      </c>
      <c r="Q176" s="909">
        <v>30276</v>
      </c>
      <c r="R176" s="910">
        <f t="shared" si="2"/>
        <v>540930</v>
      </c>
      <c r="S176" s="909"/>
      <c r="T176" s="910">
        <v>261511</v>
      </c>
      <c r="U176" s="912">
        <v>-9842</v>
      </c>
      <c r="V176" s="912">
        <v>251669</v>
      </c>
    </row>
    <row r="177" spans="1:22" x14ac:dyDescent="0.25">
      <c r="A177" s="906">
        <v>91661</v>
      </c>
      <c r="B177" s="907" t="s">
        <v>2741</v>
      </c>
      <c r="C177" s="908">
        <v>1.6750000000000001E-4</v>
      </c>
      <c r="D177" s="908">
        <v>1.9149999999999999E-4</v>
      </c>
      <c r="E177" s="909">
        <v>50933.13</v>
      </c>
      <c r="F177" s="909">
        <v>85944</v>
      </c>
      <c r="G177" s="909">
        <v>355491</v>
      </c>
      <c r="H177" s="909"/>
      <c r="I177" s="910">
        <v>6679.0625</v>
      </c>
      <c r="J177" s="910">
        <v>311524</v>
      </c>
      <c r="K177" s="910">
        <v>24348</v>
      </c>
      <c r="L177" s="909">
        <v>0</v>
      </c>
      <c r="M177" s="909"/>
      <c r="N177" s="910">
        <v>12457</v>
      </c>
      <c r="O177" s="910">
        <v>114982</v>
      </c>
      <c r="P177" s="910">
        <v>0</v>
      </c>
      <c r="Q177" s="909">
        <v>40976</v>
      </c>
      <c r="R177" s="910">
        <f t="shared" si="2"/>
        <v>196542</v>
      </c>
      <c r="S177" s="909"/>
      <c r="T177" s="910">
        <v>95018</v>
      </c>
      <c r="U177" s="912">
        <v>-12042</v>
      </c>
      <c r="V177" s="912">
        <v>82975</v>
      </c>
    </row>
    <row r="178" spans="1:22" x14ac:dyDescent="0.25">
      <c r="A178" s="906">
        <v>91671</v>
      </c>
      <c r="B178" s="907" t="s">
        <v>2742</v>
      </c>
      <c r="C178" s="908">
        <v>9.7600000000000001E-5</v>
      </c>
      <c r="D178" s="908">
        <v>9.0000000000000006E-5</v>
      </c>
      <c r="E178" s="909">
        <v>40599.14</v>
      </c>
      <c r="F178" s="909">
        <v>40391.46</v>
      </c>
      <c r="G178" s="909">
        <v>207140</v>
      </c>
      <c r="H178" s="909"/>
      <c r="I178" s="910">
        <v>3891.8</v>
      </c>
      <c r="J178" s="910">
        <v>181521</v>
      </c>
      <c r="K178" s="910">
        <v>14187</v>
      </c>
      <c r="L178" s="909">
        <v>17521</v>
      </c>
      <c r="M178" s="909"/>
      <c r="N178" s="910">
        <v>7258</v>
      </c>
      <c r="O178" s="910">
        <v>66998</v>
      </c>
      <c r="P178" s="910">
        <v>0</v>
      </c>
      <c r="Q178" s="909">
        <v>0</v>
      </c>
      <c r="R178" s="910">
        <f t="shared" si="2"/>
        <v>114523</v>
      </c>
      <c r="S178" s="909"/>
      <c r="T178" s="910">
        <v>55365</v>
      </c>
      <c r="U178" s="912">
        <v>6024</v>
      </c>
      <c r="V178" s="912">
        <v>61390</v>
      </c>
    </row>
    <row r="179" spans="1:22" x14ac:dyDescent="0.25">
      <c r="A179" s="906">
        <v>91681</v>
      </c>
      <c r="B179" s="907" t="s">
        <v>2743</v>
      </c>
      <c r="C179" s="908">
        <v>4.7130000000000002E-4</v>
      </c>
      <c r="D179" s="908">
        <v>5.2590000000000004E-4</v>
      </c>
      <c r="E179" s="909">
        <v>361073.65</v>
      </c>
      <c r="F179" s="909">
        <v>236021</v>
      </c>
      <c r="G179" s="909">
        <v>1000256</v>
      </c>
      <c r="H179" s="909"/>
      <c r="I179" s="910">
        <v>18793</v>
      </c>
      <c r="J179" s="910">
        <v>876544</v>
      </c>
      <c r="K179" s="910">
        <v>68509</v>
      </c>
      <c r="L179" s="909">
        <v>196447</v>
      </c>
      <c r="M179" s="909"/>
      <c r="N179" s="910">
        <v>35050</v>
      </c>
      <c r="O179" s="910">
        <v>323528</v>
      </c>
      <c r="P179" s="910">
        <v>0</v>
      </c>
      <c r="Q179" s="909">
        <v>9078</v>
      </c>
      <c r="R179" s="910">
        <f t="shared" si="2"/>
        <v>553016</v>
      </c>
      <c r="S179" s="909"/>
      <c r="T179" s="910">
        <v>267354</v>
      </c>
      <c r="U179" s="912">
        <v>55234</v>
      </c>
      <c r="V179" s="912">
        <v>322588</v>
      </c>
    </row>
    <row r="180" spans="1:22" x14ac:dyDescent="0.25">
      <c r="A180" s="906">
        <v>91691</v>
      </c>
      <c r="B180" s="907" t="s">
        <v>2744</v>
      </c>
      <c r="C180" s="908">
        <v>2.4199999999999999E-5</v>
      </c>
      <c r="D180" s="908">
        <v>1.8700000000000001E-5</v>
      </c>
      <c r="E180" s="909">
        <v>9114</v>
      </c>
      <c r="F180" s="909">
        <v>8392</v>
      </c>
      <c r="G180" s="909">
        <v>51361</v>
      </c>
      <c r="H180" s="909"/>
      <c r="I180" s="910">
        <v>965</v>
      </c>
      <c r="J180" s="910">
        <v>45008</v>
      </c>
      <c r="K180" s="910">
        <v>3518</v>
      </c>
      <c r="L180" s="909">
        <v>2449</v>
      </c>
      <c r="M180" s="909"/>
      <c r="N180" s="910">
        <v>1800</v>
      </c>
      <c r="O180" s="910">
        <v>16612</v>
      </c>
      <c r="P180" s="910">
        <v>0</v>
      </c>
      <c r="Q180" s="909">
        <v>801</v>
      </c>
      <c r="R180" s="910">
        <f t="shared" si="2"/>
        <v>28396</v>
      </c>
      <c r="S180" s="909"/>
      <c r="T180" s="910">
        <v>13728</v>
      </c>
      <c r="U180" s="912">
        <v>383</v>
      </c>
      <c r="V180" s="912">
        <v>14111</v>
      </c>
    </row>
    <row r="181" spans="1:22" x14ac:dyDescent="0.25">
      <c r="A181" s="906">
        <v>91701</v>
      </c>
      <c r="B181" s="907" t="s">
        <v>2745</v>
      </c>
      <c r="C181" s="908">
        <v>1.0897000000000001E-3</v>
      </c>
      <c r="D181" s="908">
        <v>1.0575999999999999E-3</v>
      </c>
      <c r="E181" s="909">
        <v>448773</v>
      </c>
      <c r="F181" s="909">
        <v>474645</v>
      </c>
      <c r="G181" s="909">
        <v>2312708</v>
      </c>
      <c r="H181" s="909"/>
      <c r="I181" s="910">
        <v>43452</v>
      </c>
      <c r="J181" s="910">
        <v>2026670</v>
      </c>
      <c r="K181" s="910">
        <v>158400</v>
      </c>
      <c r="L181" s="909">
        <v>20132</v>
      </c>
      <c r="M181" s="909"/>
      <c r="N181" s="910">
        <v>81040</v>
      </c>
      <c r="O181" s="910">
        <v>748033</v>
      </c>
      <c r="P181" s="910">
        <v>0</v>
      </c>
      <c r="Q181" s="909">
        <v>13968</v>
      </c>
      <c r="R181" s="910">
        <f t="shared" si="2"/>
        <v>1278637</v>
      </c>
      <c r="S181" s="909"/>
      <c r="T181" s="910">
        <v>618153</v>
      </c>
      <c r="U181" s="912">
        <v>-1590</v>
      </c>
      <c r="V181" s="912">
        <v>616563</v>
      </c>
    </row>
    <row r="182" spans="1:22" x14ac:dyDescent="0.25">
      <c r="A182" s="906">
        <v>91704</v>
      </c>
      <c r="B182" s="907" t="s">
        <v>2746</v>
      </c>
      <c r="C182" s="908">
        <v>1.6699999999999999E-5</v>
      </c>
      <c r="D182" s="908">
        <v>1.66E-5</v>
      </c>
      <c r="E182" s="909">
        <v>6924</v>
      </c>
      <c r="F182" s="909">
        <v>7450</v>
      </c>
      <c r="G182" s="909">
        <v>35443</v>
      </c>
      <c r="H182" s="909"/>
      <c r="I182" s="910">
        <v>665.91250000000002</v>
      </c>
      <c r="J182" s="910">
        <v>31059</v>
      </c>
      <c r="K182" s="910">
        <v>2428</v>
      </c>
      <c r="L182" s="909">
        <v>1658</v>
      </c>
      <c r="M182" s="909"/>
      <c r="N182" s="910">
        <v>1242</v>
      </c>
      <c r="O182" s="910">
        <v>11464</v>
      </c>
      <c r="P182" s="910">
        <v>0</v>
      </c>
      <c r="Q182" s="909">
        <v>0</v>
      </c>
      <c r="R182" s="910">
        <f t="shared" si="2"/>
        <v>19595</v>
      </c>
      <c r="S182" s="909"/>
      <c r="T182" s="910">
        <v>9473</v>
      </c>
      <c r="U182" s="912">
        <v>628</v>
      </c>
      <c r="V182" s="912">
        <v>10101</v>
      </c>
    </row>
    <row r="183" spans="1:22" x14ac:dyDescent="0.25">
      <c r="A183" s="906">
        <v>91706</v>
      </c>
      <c r="B183" s="907" t="s">
        <v>2747</v>
      </c>
      <c r="C183" s="908">
        <v>2.4279999999999999E-4</v>
      </c>
      <c r="D183" s="908">
        <v>2.565E-4</v>
      </c>
      <c r="E183" s="909">
        <v>104554</v>
      </c>
      <c r="F183" s="909">
        <v>115116</v>
      </c>
      <c r="G183" s="909">
        <v>515303</v>
      </c>
      <c r="H183" s="909"/>
      <c r="I183" s="910">
        <v>9681.65</v>
      </c>
      <c r="J183" s="910">
        <v>451570</v>
      </c>
      <c r="K183" s="910">
        <v>35294</v>
      </c>
      <c r="L183" s="909">
        <v>807</v>
      </c>
      <c r="M183" s="909"/>
      <c r="N183" s="910">
        <v>18057</v>
      </c>
      <c r="O183" s="910">
        <v>166672</v>
      </c>
      <c r="P183" s="910">
        <v>0</v>
      </c>
      <c r="Q183" s="909">
        <v>14823</v>
      </c>
      <c r="R183" s="910">
        <f t="shared" si="2"/>
        <v>284898</v>
      </c>
      <c r="S183" s="909"/>
      <c r="T183" s="910">
        <v>137733</v>
      </c>
      <c r="U183" s="912">
        <v>-6265</v>
      </c>
      <c r="V183" s="912">
        <v>131468</v>
      </c>
    </row>
    <row r="184" spans="1:22" x14ac:dyDescent="0.25">
      <c r="A184" s="906">
        <v>91719</v>
      </c>
      <c r="B184" s="907" t="s">
        <v>2748</v>
      </c>
      <c r="C184" s="908">
        <v>4.9299999999999999E-5</v>
      </c>
      <c r="D184" s="908">
        <v>4.4199999999999997E-5</v>
      </c>
      <c r="E184" s="909">
        <v>15848</v>
      </c>
      <c r="F184" s="909">
        <v>19837</v>
      </c>
      <c r="G184" s="909">
        <v>104631</v>
      </c>
      <c r="H184" s="909"/>
      <c r="I184" s="910">
        <v>1966</v>
      </c>
      <c r="J184" s="910">
        <v>91690</v>
      </c>
      <c r="K184" s="910">
        <v>7166</v>
      </c>
      <c r="L184" s="909">
        <v>6810</v>
      </c>
      <c r="M184" s="909"/>
      <c r="N184" s="910">
        <v>3666</v>
      </c>
      <c r="O184" s="910">
        <v>33842</v>
      </c>
      <c r="P184" s="910">
        <v>0</v>
      </c>
      <c r="Q184" s="909">
        <v>3972</v>
      </c>
      <c r="R184" s="910">
        <f t="shared" si="2"/>
        <v>57848</v>
      </c>
      <c r="S184" s="909"/>
      <c r="T184" s="910">
        <v>27966</v>
      </c>
      <c r="U184" s="912">
        <v>602</v>
      </c>
      <c r="V184" s="912">
        <v>28568</v>
      </c>
    </row>
    <row r="185" spans="1:22" x14ac:dyDescent="0.25">
      <c r="A185" s="906">
        <v>91801</v>
      </c>
      <c r="B185" s="907" t="s">
        <v>2749</v>
      </c>
      <c r="C185" s="908">
        <v>8.3853999999999995E-3</v>
      </c>
      <c r="D185" s="908">
        <v>8.1784000000000006E-3</v>
      </c>
      <c r="E185" s="909">
        <v>3229080.93</v>
      </c>
      <c r="F185" s="909">
        <v>3670417</v>
      </c>
      <c r="G185" s="909">
        <v>17796628</v>
      </c>
      <c r="H185" s="909"/>
      <c r="I185" s="910">
        <v>334368</v>
      </c>
      <c r="J185" s="910">
        <v>15595519</v>
      </c>
      <c r="K185" s="910">
        <v>1218910</v>
      </c>
      <c r="L185" s="909">
        <v>0</v>
      </c>
      <c r="M185" s="909"/>
      <c r="N185" s="910">
        <v>623614</v>
      </c>
      <c r="O185" s="910">
        <v>5756225</v>
      </c>
      <c r="P185" s="910">
        <v>0</v>
      </c>
      <c r="Q185" s="909">
        <v>122778</v>
      </c>
      <c r="R185" s="910">
        <f t="shared" si="2"/>
        <v>9839294</v>
      </c>
      <c r="S185" s="909"/>
      <c r="T185" s="910">
        <v>4756777</v>
      </c>
      <c r="U185" s="912">
        <v>-45736</v>
      </c>
      <c r="V185" s="912">
        <v>4711042</v>
      </c>
    </row>
    <row r="186" spans="1:22" x14ac:dyDescent="0.25">
      <c r="A186" s="906">
        <v>91804</v>
      </c>
      <c r="B186" s="907" t="s">
        <v>2750</v>
      </c>
      <c r="C186" s="908">
        <v>1.462E-4</v>
      </c>
      <c r="D186" s="908">
        <v>1.4349999999999999E-4</v>
      </c>
      <c r="E186" s="909">
        <v>90420.56</v>
      </c>
      <c r="F186" s="909">
        <v>64402</v>
      </c>
      <c r="G186" s="909">
        <v>310285</v>
      </c>
      <c r="H186" s="909"/>
      <c r="I186" s="910">
        <v>5830</v>
      </c>
      <c r="J186" s="910">
        <v>271909</v>
      </c>
      <c r="K186" s="910">
        <v>21252</v>
      </c>
      <c r="L186" s="909">
        <v>55024</v>
      </c>
      <c r="M186" s="909"/>
      <c r="N186" s="910">
        <v>10873</v>
      </c>
      <c r="O186" s="910">
        <v>100360</v>
      </c>
      <c r="P186" s="910">
        <v>0</v>
      </c>
      <c r="Q186" s="909">
        <v>0</v>
      </c>
      <c r="R186" s="910">
        <f t="shared" si="2"/>
        <v>171549</v>
      </c>
      <c r="S186" s="909"/>
      <c r="T186" s="910">
        <v>82935</v>
      </c>
      <c r="U186" s="912">
        <v>18762</v>
      </c>
      <c r="V186" s="912">
        <v>101697</v>
      </c>
    </row>
    <row r="187" spans="1:22" x14ac:dyDescent="0.25">
      <c r="A187" s="906">
        <v>91811</v>
      </c>
      <c r="B187" s="907" t="s">
        <v>2751</v>
      </c>
      <c r="C187" s="908">
        <v>4.6454000000000001E-3</v>
      </c>
      <c r="D187" s="908">
        <v>5.0266E-3</v>
      </c>
      <c r="E187" s="909">
        <v>1763088</v>
      </c>
      <c r="F187" s="909">
        <v>2255908</v>
      </c>
      <c r="G187" s="909">
        <v>9859095</v>
      </c>
      <c r="H187" s="909"/>
      <c r="I187" s="910">
        <v>185235</v>
      </c>
      <c r="J187" s="910">
        <v>8639710</v>
      </c>
      <c r="K187" s="910">
        <v>675260</v>
      </c>
      <c r="L187" s="909">
        <v>0</v>
      </c>
      <c r="M187" s="909"/>
      <c r="N187" s="910">
        <v>345474</v>
      </c>
      <c r="O187" s="910">
        <v>3188872</v>
      </c>
      <c r="P187" s="910">
        <v>0</v>
      </c>
      <c r="Q187" s="909">
        <v>514506</v>
      </c>
      <c r="R187" s="910">
        <f t="shared" si="2"/>
        <v>5450838</v>
      </c>
      <c r="S187" s="909"/>
      <c r="T187" s="910">
        <v>2635191</v>
      </c>
      <c r="U187" s="912">
        <v>-157089</v>
      </c>
      <c r="V187" s="912">
        <v>2478102</v>
      </c>
    </row>
    <row r="188" spans="1:22" x14ac:dyDescent="0.25">
      <c r="A188" s="906">
        <v>91812</v>
      </c>
      <c r="B188" s="907" t="s">
        <v>2752</v>
      </c>
      <c r="C188" s="908">
        <v>5.8199999999999998E-5</v>
      </c>
      <c r="D188" s="908">
        <v>4.1499999999999999E-5</v>
      </c>
      <c r="E188" s="909">
        <v>24707</v>
      </c>
      <c r="F188" s="909">
        <v>18625</v>
      </c>
      <c r="G188" s="909">
        <v>123520</v>
      </c>
      <c r="H188" s="909"/>
      <c r="I188" s="910">
        <v>2320.7249999999999</v>
      </c>
      <c r="J188" s="910">
        <v>108243</v>
      </c>
      <c r="K188" s="910">
        <v>8460</v>
      </c>
      <c r="L188" s="909">
        <v>16587</v>
      </c>
      <c r="M188" s="909"/>
      <c r="N188" s="910">
        <v>4328</v>
      </c>
      <c r="O188" s="910">
        <v>39952</v>
      </c>
      <c r="P188" s="910">
        <v>0</v>
      </c>
      <c r="Q188" s="909">
        <v>0</v>
      </c>
      <c r="R188" s="910">
        <f t="shared" si="2"/>
        <v>68291</v>
      </c>
      <c r="S188" s="909"/>
      <c r="T188" s="910">
        <v>33015</v>
      </c>
      <c r="U188" s="912">
        <v>5261</v>
      </c>
      <c r="V188" s="912">
        <v>38276</v>
      </c>
    </row>
    <row r="189" spans="1:22" x14ac:dyDescent="0.25">
      <c r="A189" s="906">
        <v>91813</v>
      </c>
      <c r="B189" s="907" t="s">
        <v>2753</v>
      </c>
      <c r="C189" s="908">
        <v>1.083E-4</v>
      </c>
      <c r="D189" s="908">
        <v>9.6100000000000005E-5</v>
      </c>
      <c r="E189" s="909">
        <v>43088.72</v>
      </c>
      <c r="F189" s="909">
        <v>43129</v>
      </c>
      <c r="G189" s="909">
        <v>229849</v>
      </c>
      <c r="H189" s="909"/>
      <c r="I189" s="910">
        <v>4318</v>
      </c>
      <c r="J189" s="910">
        <v>201421</v>
      </c>
      <c r="K189" s="910">
        <v>15743</v>
      </c>
      <c r="L189" s="909">
        <v>16214</v>
      </c>
      <c r="M189" s="909"/>
      <c r="N189" s="910">
        <v>8054</v>
      </c>
      <c r="O189" s="910">
        <v>74343</v>
      </c>
      <c r="P189" s="910">
        <v>0</v>
      </c>
      <c r="Q189" s="909">
        <v>5268</v>
      </c>
      <c r="R189" s="910">
        <f t="shared" si="2"/>
        <v>127078</v>
      </c>
      <c r="S189" s="909"/>
      <c r="T189" s="910">
        <v>61435</v>
      </c>
      <c r="U189" s="912">
        <v>2581</v>
      </c>
      <c r="V189" s="912">
        <v>64016</v>
      </c>
    </row>
    <row r="190" spans="1:22" x14ac:dyDescent="0.25">
      <c r="A190" s="906">
        <v>91818</v>
      </c>
      <c r="B190" s="907" t="s">
        <v>2754</v>
      </c>
      <c r="C190" s="908">
        <v>3.8559999999999999E-4</v>
      </c>
      <c r="D190" s="908">
        <v>3.8890000000000002E-4</v>
      </c>
      <c r="E190" s="909">
        <v>416376</v>
      </c>
      <c r="F190" s="909">
        <v>174536</v>
      </c>
      <c r="G190" s="909">
        <v>818372</v>
      </c>
      <c r="H190" s="909"/>
      <c r="I190" s="910">
        <v>15375.8</v>
      </c>
      <c r="J190" s="910">
        <v>717155</v>
      </c>
      <c r="K190" s="910">
        <v>56051</v>
      </c>
      <c r="L190" s="909">
        <v>347266</v>
      </c>
      <c r="M190" s="909"/>
      <c r="N190" s="910">
        <v>28677</v>
      </c>
      <c r="O190" s="910">
        <v>264698</v>
      </c>
      <c r="P190" s="910">
        <v>0</v>
      </c>
      <c r="Q190" s="909">
        <v>10099</v>
      </c>
      <c r="R190" s="910">
        <f t="shared" si="2"/>
        <v>452457</v>
      </c>
      <c r="S190" s="909"/>
      <c r="T190" s="910">
        <v>218739</v>
      </c>
      <c r="U190" s="912">
        <v>98677</v>
      </c>
      <c r="V190" s="912">
        <v>317416</v>
      </c>
    </row>
    <row r="191" spans="1:22" x14ac:dyDescent="0.25">
      <c r="A191" s="906">
        <v>91819</v>
      </c>
      <c r="B191" s="907" t="s">
        <v>2755</v>
      </c>
      <c r="C191" s="908">
        <v>2.8200000000000002E-4</v>
      </c>
      <c r="D191" s="908">
        <v>2.9609999999999999E-4</v>
      </c>
      <c r="E191" s="909">
        <v>118267.02</v>
      </c>
      <c r="F191" s="909">
        <v>132888</v>
      </c>
      <c r="G191" s="909">
        <v>598498</v>
      </c>
      <c r="H191" s="909"/>
      <c r="I191" s="910">
        <v>11245</v>
      </c>
      <c r="J191" s="910">
        <v>524475</v>
      </c>
      <c r="K191" s="910">
        <v>40992</v>
      </c>
      <c r="L191" s="909">
        <v>13743</v>
      </c>
      <c r="M191" s="909"/>
      <c r="N191" s="910">
        <v>20972</v>
      </c>
      <c r="O191" s="910">
        <v>193581</v>
      </c>
      <c r="P191" s="910">
        <v>0</v>
      </c>
      <c r="Q191" s="909">
        <v>11963</v>
      </c>
      <c r="R191" s="910">
        <f t="shared" si="2"/>
        <v>330894</v>
      </c>
      <c r="S191" s="909"/>
      <c r="T191" s="910">
        <v>159970</v>
      </c>
      <c r="U191" s="912">
        <v>3219</v>
      </c>
      <c r="V191" s="912">
        <v>163189</v>
      </c>
    </row>
    <row r="192" spans="1:22" x14ac:dyDescent="0.25">
      <c r="A192" s="906">
        <v>91821</v>
      </c>
      <c r="B192" s="907" t="s">
        <v>2756</v>
      </c>
      <c r="C192" s="908">
        <v>1.63E-4</v>
      </c>
      <c r="D192" s="908">
        <v>1.5799999999999999E-4</v>
      </c>
      <c r="E192" s="909">
        <v>61732.91</v>
      </c>
      <c r="F192" s="909">
        <v>70909</v>
      </c>
      <c r="G192" s="909">
        <v>345941</v>
      </c>
      <c r="H192" s="909"/>
      <c r="I192" s="910">
        <v>6499.625</v>
      </c>
      <c r="J192" s="910">
        <v>303154</v>
      </c>
      <c r="K192" s="910">
        <v>23694</v>
      </c>
      <c r="L192" s="909">
        <v>4196</v>
      </c>
      <c r="M192" s="909"/>
      <c r="N192" s="910">
        <v>12122</v>
      </c>
      <c r="O192" s="910">
        <v>111893</v>
      </c>
      <c r="P192" s="910">
        <v>0</v>
      </c>
      <c r="Q192" s="909">
        <v>1501</v>
      </c>
      <c r="R192" s="910">
        <f t="shared" si="2"/>
        <v>191261</v>
      </c>
      <c r="S192" s="909"/>
      <c r="T192" s="910">
        <v>92465</v>
      </c>
      <c r="U192" s="912">
        <v>1532</v>
      </c>
      <c r="V192" s="912">
        <v>93997</v>
      </c>
    </row>
    <row r="193" spans="1:22" x14ac:dyDescent="0.25">
      <c r="A193" s="906">
        <v>91831</v>
      </c>
      <c r="B193" s="907" t="s">
        <v>2757</v>
      </c>
      <c r="C193" s="908">
        <v>3.414E-4</v>
      </c>
      <c r="D193" s="908">
        <v>3.344E-4</v>
      </c>
      <c r="E193" s="909">
        <v>124107.91</v>
      </c>
      <c r="F193" s="909">
        <v>150077</v>
      </c>
      <c r="G193" s="909">
        <v>724565</v>
      </c>
      <c r="H193" s="909"/>
      <c r="I193" s="910">
        <v>13613</v>
      </c>
      <c r="J193" s="910">
        <v>634950</v>
      </c>
      <c r="K193" s="910">
        <v>49626</v>
      </c>
      <c r="L193" s="909">
        <v>12411</v>
      </c>
      <c r="M193" s="909"/>
      <c r="N193" s="910">
        <v>25390</v>
      </c>
      <c r="O193" s="910">
        <v>234357</v>
      </c>
      <c r="P193" s="910">
        <v>0</v>
      </c>
      <c r="Q193" s="909">
        <v>9146</v>
      </c>
      <c r="R193" s="910">
        <f t="shared" si="2"/>
        <v>400593</v>
      </c>
      <c r="S193" s="909"/>
      <c r="T193" s="910">
        <v>193666</v>
      </c>
      <c r="U193" s="912">
        <v>2194</v>
      </c>
      <c r="V193" s="912">
        <v>195860</v>
      </c>
    </row>
    <row r="194" spans="1:22" x14ac:dyDescent="0.25">
      <c r="A194" s="906">
        <v>91841</v>
      </c>
      <c r="B194" s="907" t="s">
        <v>2758</v>
      </c>
      <c r="C194" s="908">
        <v>2.63E-4</v>
      </c>
      <c r="D194" s="908">
        <v>2.7290000000000002E-4</v>
      </c>
      <c r="E194" s="909">
        <v>112188.05</v>
      </c>
      <c r="F194" s="909">
        <v>122476</v>
      </c>
      <c r="G194" s="909">
        <v>558174</v>
      </c>
      <c r="H194" s="909"/>
      <c r="I194" s="910">
        <v>10487.125</v>
      </c>
      <c r="J194" s="910">
        <v>489138</v>
      </c>
      <c r="K194" s="910">
        <v>38230</v>
      </c>
      <c r="L194" s="909">
        <v>0</v>
      </c>
      <c r="M194" s="909"/>
      <c r="N194" s="910">
        <v>19559</v>
      </c>
      <c r="O194" s="910">
        <v>180538</v>
      </c>
      <c r="P194" s="910">
        <v>0</v>
      </c>
      <c r="Q194" s="909">
        <v>24859</v>
      </c>
      <c r="R194" s="910">
        <f t="shared" si="2"/>
        <v>308600</v>
      </c>
      <c r="S194" s="909"/>
      <c r="T194" s="910">
        <v>149192</v>
      </c>
      <c r="U194" s="912">
        <v>-10148</v>
      </c>
      <c r="V194" s="912">
        <v>139044</v>
      </c>
    </row>
    <row r="195" spans="1:22" x14ac:dyDescent="0.25">
      <c r="A195" s="906">
        <v>91851</v>
      </c>
      <c r="B195" s="907" t="s">
        <v>2759</v>
      </c>
      <c r="C195" s="908">
        <v>7.2059999999999995E-4</v>
      </c>
      <c r="D195" s="908">
        <v>7.8410000000000003E-4</v>
      </c>
      <c r="E195" s="909">
        <v>289167</v>
      </c>
      <c r="F195" s="909">
        <v>351899</v>
      </c>
      <c r="G195" s="909">
        <v>1529355</v>
      </c>
      <c r="H195" s="909"/>
      <c r="I195" s="910">
        <v>28734</v>
      </c>
      <c r="J195" s="910">
        <v>1340202</v>
      </c>
      <c r="K195" s="910">
        <v>104747</v>
      </c>
      <c r="L195" s="909">
        <v>7182</v>
      </c>
      <c r="M195" s="909"/>
      <c r="N195" s="910">
        <v>53590</v>
      </c>
      <c r="O195" s="910">
        <v>494662</v>
      </c>
      <c r="P195" s="910">
        <v>0</v>
      </c>
      <c r="Q195" s="909">
        <v>62684</v>
      </c>
      <c r="R195" s="910">
        <f t="shared" si="2"/>
        <v>845540</v>
      </c>
      <c r="S195" s="909"/>
      <c r="T195" s="910">
        <v>408774</v>
      </c>
      <c r="U195" s="912">
        <v>-14788</v>
      </c>
      <c r="V195" s="912">
        <v>393986</v>
      </c>
    </row>
    <row r="196" spans="1:22" x14ac:dyDescent="0.25">
      <c r="A196" s="906">
        <v>91861</v>
      </c>
      <c r="B196" s="907" t="s">
        <v>2760</v>
      </c>
      <c r="C196" s="908">
        <v>1.9899999999999999E-5</v>
      </c>
      <c r="D196" s="908">
        <v>1.8499999999999999E-5</v>
      </c>
      <c r="E196" s="909">
        <v>7958</v>
      </c>
      <c r="F196" s="909">
        <v>8303</v>
      </c>
      <c r="G196" s="909">
        <v>42234</v>
      </c>
      <c r="H196" s="909"/>
      <c r="I196" s="910">
        <v>794</v>
      </c>
      <c r="J196" s="910">
        <v>37011</v>
      </c>
      <c r="K196" s="910">
        <v>2893</v>
      </c>
      <c r="L196" s="909">
        <v>3091</v>
      </c>
      <c r="M196" s="909"/>
      <c r="N196" s="910">
        <v>1480</v>
      </c>
      <c r="O196" s="910">
        <v>13661</v>
      </c>
      <c r="P196" s="910">
        <v>0</v>
      </c>
      <c r="Q196" s="909">
        <v>221</v>
      </c>
      <c r="R196" s="910">
        <f t="shared" si="2"/>
        <v>23350</v>
      </c>
      <c r="S196" s="909"/>
      <c r="T196" s="910">
        <v>11289</v>
      </c>
      <c r="U196" s="912">
        <v>930</v>
      </c>
      <c r="V196" s="912">
        <v>12219</v>
      </c>
    </row>
    <row r="197" spans="1:22" x14ac:dyDescent="0.25">
      <c r="A197" s="906">
        <v>91871</v>
      </c>
      <c r="B197" s="907" t="s">
        <v>2761</v>
      </c>
      <c r="C197" s="908">
        <v>1.2712000000000001E-3</v>
      </c>
      <c r="D197" s="908">
        <v>1.3523000000000001E-3</v>
      </c>
      <c r="E197" s="909">
        <v>508749.63</v>
      </c>
      <c r="F197" s="909">
        <v>606904</v>
      </c>
      <c r="G197" s="909">
        <v>2697912</v>
      </c>
      <c r="H197" s="909"/>
      <c r="I197" s="910">
        <v>50689</v>
      </c>
      <c r="J197" s="910">
        <v>2364231</v>
      </c>
      <c r="K197" s="910">
        <v>184783</v>
      </c>
      <c r="L197" s="909">
        <v>0</v>
      </c>
      <c r="M197" s="909"/>
      <c r="N197" s="910">
        <v>94538</v>
      </c>
      <c r="O197" s="910">
        <v>872625</v>
      </c>
      <c r="P197" s="910">
        <v>0</v>
      </c>
      <c r="Q197" s="909">
        <v>108234</v>
      </c>
      <c r="R197" s="910">
        <f t="shared" si="2"/>
        <v>1491606</v>
      </c>
      <c r="S197" s="909"/>
      <c r="T197" s="910">
        <v>721112</v>
      </c>
      <c r="U197" s="912">
        <v>-34437</v>
      </c>
      <c r="V197" s="912">
        <v>686676</v>
      </c>
    </row>
    <row r="198" spans="1:22" x14ac:dyDescent="0.25">
      <c r="A198" s="906">
        <v>91881</v>
      </c>
      <c r="B198" s="907" t="s">
        <v>2762</v>
      </c>
      <c r="C198" s="908">
        <v>1.01E-5</v>
      </c>
      <c r="D198" s="908">
        <v>2.1399999999999998E-5</v>
      </c>
      <c r="E198" s="909">
        <v>5881.13</v>
      </c>
      <c r="F198" s="909">
        <v>9604</v>
      </c>
      <c r="G198" s="909">
        <v>21436</v>
      </c>
      <c r="H198" s="909"/>
      <c r="I198" s="910">
        <v>402.73750000000001</v>
      </c>
      <c r="J198" s="910">
        <v>18784</v>
      </c>
      <c r="K198" s="910">
        <v>1468</v>
      </c>
      <c r="L198" s="909">
        <v>0</v>
      </c>
      <c r="M198" s="909"/>
      <c r="N198" s="910">
        <v>751</v>
      </c>
      <c r="O198" s="910">
        <v>6933</v>
      </c>
      <c r="P198" s="910">
        <v>0</v>
      </c>
      <c r="Q198" s="909">
        <v>14714</v>
      </c>
      <c r="R198" s="910">
        <f t="shared" si="2"/>
        <v>11851</v>
      </c>
      <c r="S198" s="909"/>
      <c r="T198" s="910">
        <v>5729</v>
      </c>
      <c r="U198" s="912">
        <v>-5904</v>
      </c>
      <c r="V198" s="912">
        <v>-175</v>
      </c>
    </row>
    <row r="199" spans="1:22" x14ac:dyDescent="0.25">
      <c r="A199" s="906">
        <v>91901</v>
      </c>
      <c r="B199" s="907" t="s">
        <v>2763</v>
      </c>
      <c r="C199" s="908">
        <v>3.6564000000000002E-3</v>
      </c>
      <c r="D199" s="908">
        <v>3.4198000000000002E-3</v>
      </c>
      <c r="E199" s="909">
        <v>1388384.1</v>
      </c>
      <c r="F199" s="909">
        <v>1534786</v>
      </c>
      <c r="G199" s="909">
        <v>7760106</v>
      </c>
      <c r="H199" s="909"/>
      <c r="I199" s="910">
        <v>145799</v>
      </c>
      <c r="J199" s="910">
        <v>6800326</v>
      </c>
      <c r="K199" s="910">
        <v>531498</v>
      </c>
      <c r="L199" s="909">
        <v>147570</v>
      </c>
      <c r="M199" s="909"/>
      <c r="N199" s="910">
        <v>271923</v>
      </c>
      <c r="O199" s="910">
        <v>2509965</v>
      </c>
      <c r="P199" s="910">
        <v>0</v>
      </c>
      <c r="Q199" s="909">
        <v>0</v>
      </c>
      <c r="R199" s="910">
        <f t="shared" ref="R199:R262" si="3">IF(J199&gt;O199,J199-O199,O199-J199)</f>
        <v>4290361</v>
      </c>
      <c r="S199" s="909"/>
      <c r="T199" s="910">
        <v>2074162</v>
      </c>
      <c r="U199" s="912">
        <v>57850</v>
      </c>
      <c r="V199" s="912">
        <v>2132013</v>
      </c>
    </row>
    <row r="200" spans="1:22" x14ac:dyDescent="0.25">
      <c r="A200" s="906">
        <v>91903</v>
      </c>
      <c r="B200" s="907" t="s">
        <v>2764</v>
      </c>
      <c r="C200" s="908">
        <v>8.3999999999999992E-6</v>
      </c>
      <c r="D200" s="908">
        <v>9.5000000000000005E-6</v>
      </c>
      <c r="E200" s="909">
        <v>4422</v>
      </c>
      <c r="F200" s="909">
        <v>4264</v>
      </c>
      <c r="G200" s="909">
        <v>17828</v>
      </c>
      <c r="H200" s="909"/>
      <c r="I200" s="910">
        <v>334.95</v>
      </c>
      <c r="J200" s="910">
        <v>15623</v>
      </c>
      <c r="K200" s="910">
        <v>1221</v>
      </c>
      <c r="L200" s="909">
        <v>656</v>
      </c>
      <c r="M200" s="909"/>
      <c r="N200" s="910">
        <v>625</v>
      </c>
      <c r="O200" s="910">
        <v>5766</v>
      </c>
      <c r="P200" s="910">
        <v>0</v>
      </c>
      <c r="Q200" s="909">
        <v>6052</v>
      </c>
      <c r="R200" s="910">
        <f t="shared" si="3"/>
        <v>9857</v>
      </c>
      <c r="S200" s="909"/>
      <c r="T200" s="910">
        <v>4765</v>
      </c>
      <c r="U200" s="912">
        <v>-2825</v>
      </c>
      <c r="V200" s="912">
        <v>1940</v>
      </c>
    </row>
    <row r="201" spans="1:22" x14ac:dyDescent="0.25">
      <c r="A201" s="906">
        <v>91904</v>
      </c>
      <c r="B201" s="907" t="s">
        <v>2765</v>
      </c>
      <c r="C201" s="908">
        <v>2.3300000000000001E-5</v>
      </c>
      <c r="D201" s="908">
        <v>1.1600000000000001E-5</v>
      </c>
      <c r="E201" s="909">
        <v>9195</v>
      </c>
      <c r="F201" s="909">
        <v>5206</v>
      </c>
      <c r="G201" s="909">
        <v>49450</v>
      </c>
      <c r="H201" s="909"/>
      <c r="I201" s="910">
        <v>929.08749999999998</v>
      </c>
      <c r="J201" s="910">
        <v>43334</v>
      </c>
      <c r="K201" s="910">
        <v>3387</v>
      </c>
      <c r="L201" s="909">
        <v>9161</v>
      </c>
      <c r="M201" s="909"/>
      <c r="N201" s="910">
        <v>1733</v>
      </c>
      <c r="O201" s="910">
        <v>15994</v>
      </c>
      <c r="P201" s="910">
        <v>0</v>
      </c>
      <c r="Q201" s="909">
        <v>0</v>
      </c>
      <c r="R201" s="910">
        <f t="shared" si="3"/>
        <v>27340</v>
      </c>
      <c r="S201" s="909"/>
      <c r="T201" s="910">
        <v>13217</v>
      </c>
      <c r="U201" s="912">
        <v>3062</v>
      </c>
      <c r="V201" s="912">
        <v>16279</v>
      </c>
    </row>
    <row r="202" spans="1:22" x14ac:dyDescent="0.25">
      <c r="A202" s="906">
        <v>91908</v>
      </c>
      <c r="B202" s="907" t="s">
        <v>2766</v>
      </c>
      <c r="C202" s="908">
        <v>1.3699999999999999E-5</v>
      </c>
      <c r="D202" s="908">
        <v>1.73E-5</v>
      </c>
      <c r="E202" s="909">
        <v>3751.2</v>
      </c>
      <c r="F202" s="909">
        <v>7764</v>
      </c>
      <c r="G202" s="909">
        <v>29076</v>
      </c>
      <c r="H202" s="909"/>
      <c r="I202" s="910">
        <v>546.28750000000002</v>
      </c>
      <c r="J202" s="910">
        <v>25480</v>
      </c>
      <c r="K202" s="910">
        <v>1991</v>
      </c>
      <c r="L202" s="909">
        <v>1638</v>
      </c>
      <c r="M202" s="909"/>
      <c r="N202" s="910">
        <v>1019</v>
      </c>
      <c r="O202" s="910">
        <v>9404</v>
      </c>
      <c r="P202" s="910">
        <v>0</v>
      </c>
      <c r="Q202" s="909">
        <v>3446</v>
      </c>
      <c r="R202" s="910">
        <f t="shared" si="3"/>
        <v>16076</v>
      </c>
      <c r="S202" s="909"/>
      <c r="T202" s="910">
        <v>7772</v>
      </c>
      <c r="U202" s="912">
        <v>-83</v>
      </c>
      <c r="V202" s="912">
        <v>7689</v>
      </c>
    </row>
    <row r="203" spans="1:22" x14ac:dyDescent="0.25">
      <c r="A203" s="906">
        <v>91911</v>
      </c>
      <c r="B203" s="907" t="s">
        <v>2767</v>
      </c>
      <c r="C203" s="908">
        <v>4.639E-4</v>
      </c>
      <c r="D203" s="908">
        <v>4.4079999999999998E-4</v>
      </c>
      <c r="E203" s="909">
        <v>186806.7</v>
      </c>
      <c r="F203" s="909">
        <v>197828</v>
      </c>
      <c r="G203" s="909">
        <v>984551</v>
      </c>
      <c r="H203" s="909"/>
      <c r="I203" s="910">
        <v>18498</v>
      </c>
      <c r="J203" s="910">
        <v>862781</v>
      </c>
      <c r="K203" s="910">
        <v>67433</v>
      </c>
      <c r="L203" s="909">
        <v>9361</v>
      </c>
      <c r="M203" s="909"/>
      <c r="N203" s="910">
        <v>34500</v>
      </c>
      <c r="O203" s="910">
        <v>318448</v>
      </c>
      <c r="P203" s="910">
        <v>0</v>
      </c>
      <c r="Q203" s="909">
        <v>8482</v>
      </c>
      <c r="R203" s="910">
        <f t="shared" si="3"/>
        <v>544333</v>
      </c>
      <c r="S203" s="909"/>
      <c r="T203" s="910">
        <v>263156</v>
      </c>
      <c r="U203" s="912">
        <v>-1046</v>
      </c>
      <c r="V203" s="912">
        <v>262110</v>
      </c>
    </row>
    <row r="204" spans="1:22" x14ac:dyDescent="0.25">
      <c r="A204" s="906">
        <v>91917</v>
      </c>
      <c r="B204" s="907" t="s">
        <v>2768</v>
      </c>
      <c r="C204" s="908">
        <v>1.36E-5</v>
      </c>
      <c r="D204" s="908">
        <v>1.42E-5</v>
      </c>
      <c r="E204" s="909">
        <v>6743.42</v>
      </c>
      <c r="F204" s="909">
        <v>6373</v>
      </c>
      <c r="G204" s="909">
        <v>28864</v>
      </c>
      <c r="H204" s="909"/>
      <c r="I204" s="910">
        <v>542</v>
      </c>
      <c r="J204" s="910">
        <v>25294</v>
      </c>
      <c r="K204" s="910">
        <v>1977</v>
      </c>
      <c r="L204" s="909">
        <v>731</v>
      </c>
      <c r="M204" s="909"/>
      <c r="N204" s="910">
        <v>1011</v>
      </c>
      <c r="O204" s="910">
        <v>9336</v>
      </c>
      <c r="P204" s="910">
        <v>0</v>
      </c>
      <c r="Q204" s="909">
        <v>0</v>
      </c>
      <c r="R204" s="910">
        <f t="shared" si="3"/>
        <v>15958</v>
      </c>
      <c r="S204" s="909"/>
      <c r="T204" s="910">
        <v>7715</v>
      </c>
      <c r="U204" s="912">
        <v>203</v>
      </c>
      <c r="V204" s="912">
        <v>7918</v>
      </c>
    </row>
    <row r="205" spans="1:22" x14ac:dyDescent="0.25">
      <c r="A205" s="906">
        <v>91921</v>
      </c>
      <c r="B205" s="907" t="s">
        <v>2769</v>
      </c>
      <c r="C205" s="908">
        <v>3.6600000000000001E-4</v>
      </c>
      <c r="D205" s="908">
        <v>3.4840000000000001E-4</v>
      </c>
      <c r="E205" s="909">
        <v>136994.49</v>
      </c>
      <c r="F205" s="909">
        <v>156360</v>
      </c>
      <c r="G205" s="909">
        <v>776774.61</v>
      </c>
      <c r="H205" s="909"/>
      <c r="I205" s="910">
        <v>14594.25</v>
      </c>
      <c r="J205" s="910">
        <v>680702</v>
      </c>
      <c r="K205" s="910">
        <v>53202</v>
      </c>
      <c r="L205" s="909">
        <v>0</v>
      </c>
      <c r="M205" s="909"/>
      <c r="N205" s="910">
        <v>27219</v>
      </c>
      <c r="O205" s="910">
        <v>251244</v>
      </c>
      <c r="P205" s="910">
        <v>0</v>
      </c>
      <c r="Q205" s="909">
        <v>12578</v>
      </c>
      <c r="R205" s="910">
        <f t="shared" si="3"/>
        <v>429458</v>
      </c>
      <c r="S205" s="909"/>
      <c r="T205" s="910">
        <v>207620</v>
      </c>
      <c r="U205" s="912">
        <v>-4638</v>
      </c>
      <c r="V205" s="912">
        <v>202982</v>
      </c>
    </row>
    <row r="206" spans="1:22" x14ac:dyDescent="0.25">
      <c r="A206" s="906">
        <v>92001</v>
      </c>
      <c r="B206" s="907" t="s">
        <v>2770</v>
      </c>
      <c r="C206" s="908">
        <v>1.9604000000000002E-3</v>
      </c>
      <c r="D206" s="908">
        <v>1.7531000000000001E-3</v>
      </c>
      <c r="E206" s="909">
        <v>743048.49</v>
      </c>
      <c r="F206" s="909">
        <v>786781</v>
      </c>
      <c r="G206" s="909">
        <v>4160626</v>
      </c>
      <c r="H206" s="909"/>
      <c r="I206" s="910">
        <v>78171</v>
      </c>
      <c r="J206" s="910">
        <v>3646034</v>
      </c>
      <c r="K206" s="910">
        <v>284966</v>
      </c>
      <c r="L206" s="909">
        <v>65513</v>
      </c>
      <c r="M206" s="909"/>
      <c r="N206" s="910">
        <v>145793</v>
      </c>
      <c r="O206" s="910">
        <v>1345732</v>
      </c>
      <c r="P206" s="910">
        <v>0</v>
      </c>
      <c r="Q206" s="909">
        <v>52440.480000000003</v>
      </c>
      <c r="R206" s="910">
        <f t="shared" si="3"/>
        <v>2300302</v>
      </c>
      <c r="S206" s="909"/>
      <c r="T206" s="910">
        <v>1112074</v>
      </c>
      <c r="U206" s="912">
        <v>-9057</v>
      </c>
      <c r="V206" s="912">
        <v>1103017</v>
      </c>
    </row>
    <row r="207" spans="1:22" x14ac:dyDescent="0.25">
      <c r="A207" s="906">
        <v>92005</v>
      </c>
      <c r="B207" s="907" t="s">
        <v>2771</v>
      </c>
      <c r="C207" s="908">
        <v>4.6499999999999999E-5</v>
      </c>
      <c r="D207" s="908">
        <v>4.5800000000000002E-5</v>
      </c>
      <c r="E207" s="909">
        <v>20891.13</v>
      </c>
      <c r="F207" s="909">
        <v>20555</v>
      </c>
      <c r="G207" s="909">
        <v>98689</v>
      </c>
      <c r="H207" s="909"/>
      <c r="I207" s="910">
        <v>1854.1875</v>
      </c>
      <c r="J207" s="910">
        <v>86483</v>
      </c>
      <c r="K207" s="910">
        <v>6759</v>
      </c>
      <c r="L207" s="909">
        <v>2627</v>
      </c>
      <c r="M207" s="909"/>
      <c r="N207" s="910">
        <v>3458</v>
      </c>
      <c r="O207" s="910">
        <v>31920</v>
      </c>
      <c r="P207" s="910">
        <v>0</v>
      </c>
      <c r="Q207" s="909">
        <v>597</v>
      </c>
      <c r="R207" s="910">
        <f t="shared" si="3"/>
        <v>54563</v>
      </c>
      <c r="S207" s="909"/>
      <c r="T207" s="910">
        <v>26378</v>
      </c>
      <c r="U207" s="912">
        <v>674</v>
      </c>
      <c r="V207" s="912">
        <v>27053</v>
      </c>
    </row>
    <row r="208" spans="1:22" x14ac:dyDescent="0.25">
      <c r="A208" s="906">
        <v>92011</v>
      </c>
      <c r="B208" s="907" t="s">
        <v>2772</v>
      </c>
      <c r="C208" s="908">
        <v>1.8660000000000001E-4</v>
      </c>
      <c r="D208" s="908">
        <v>1.8230000000000001E-4</v>
      </c>
      <c r="E208" s="909">
        <v>77716</v>
      </c>
      <c r="F208" s="909">
        <v>81815</v>
      </c>
      <c r="G208" s="909">
        <v>396028</v>
      </c>
      <c r="H208" s="909"/>
      <c r="I208" s="910">
        <v>7441</v>
      </c>
      <c r="J208" s="910">
        <v>347047</v>
      </c>
      <c r="K208" s="910">
        <v>27124</v>
      </c>
      <c r="L208" s="909">
        <v>17408</v>
      </c>
      <c r="M208" s="909"/>
      <c r="N208" s="910">
        <v>13877</v>
      </c>
      <c r="O208" s="910">
        <v>128093</v>
      </c>
      <c r="P208" s="910">
        <v>0</v>
      </c>
      <c r="Q208" s="909">
        <v>0</v>
      </c>
      <c r="R208" s="910">
        <f t="shared" si="3"/>
        <v>218954</v>
      </c>
      <c r="S208" s="909"/>
      <c r="T208" s="910">
        <v>105852</v>
      </c>
      <c r="U208" s="912">
        <v>7783</v>
      </c>
      <c r="V208" s="912">
        <v>113635</v>
      </c>
    </row>
    <row r="209" spans="1:22" x14ac:dyDescent="0.25">
      <c r="A209" s="906">
        <v>92017</v>
      </c>
      <c r="B209" s="907" t="s">
        <v>2773</v>
      </c>
      <c r="C209" s="908">
        <v>3.5099999999999999E-5</v>
      </c>
      <c r="D209" s="908">
        <v>3.7100000000000001E-5</v>
      </c>
      <c r="E209" s="909">
        <v>14855.15</v>
      </c>
      <c r="F209" s="909">
        <v>16650</v>
      </c>
      <c r="G209" s="909">
        <v>74494</v>
      </c>
      <c r="H209" s="909"/>
      <c r="I209" s="910">
        <v>1400</v>
      </c>
      <c r="J209" s="910">
        <v>65280</v>
      </c>
      <c r="K209" s="910">
        <v>5102</v>
      </c>
      <c r="L209" s="909">
        <v>388</v>
      </c>
      <c r="M209" s="909"/>
      <c r="N209" s="910">
        <v>2610</v>
      </c>
      <c r="O209" s="910">
        <v>24095</v>
      </c>
      <c r="P209" s="910">
        <v>0</v>
      </c>
      <c r="Q209" s="909">
        <v>2160</v>
      </c>
      <c r="R209" s="910">
        <f t="shared" si="3"/>
        <v>41185</v>
      </c>
      <c r="S209" s="909"/>
      <c r="T209" s="910">
        <v>19911</v>
      </c>
      <c r="U209" s="912">
        <v>-766</v>
      </c>
      <c r="V209" s="912">
        <v>19146</v>
      </c>
    </row>
    <row r="210" spans="1:22" x14ac:dyDescent="0.25">
      <c r="A210" s="906">
        <v>92021</v>
      </c>
      <c r="B210" s="907" t="s">
        <v>2774</v>
      </c>
      <c r="C210" s="908">
        <v>1.4249999999999999E-4</v>
      </c>
      <c r="D210" s="908">
        <v>9.8999999999999994E-5</v>
      </c>
      <c r="E210" s="909">
        <v>63077</v>
      </c>
      <c r="F210" s="909">
        <v>44431</v>
      </c>
      <c r="G210" s="909">
        <v>302433</v>
      </c>
      <c r="H210" s="909"/>
      <c r="I210" s="910">
        <v>5682.1875</v>
      </c>
      <c r="J210" s="910">
        <v>265027</v>
      </c>
      <c r="K210" s="910">
        <v>20714</v>
      </c>
      <c r="L210" s="909">
        <v>27119</v>
      </c>
      <c r="M210" s="909"/>
      <c r="N210" s="910">
        <v>10598</v>
      </c>
      <c r="O210" s="910">
        <v>97820</v>
      </c>
      <c r="P210" s="910">
        <v>0</v>
      </c>
      <c r="Q210" s="909">
        <v>18999</v>
      </c>
      <c r="R210" s="910">
        <f t="shared" si="3"/>
        <v>167207</v>
      </c>
      <c r="S210" s="909"/>
      <c r="T210" s="910">
        <v>80836</v>
      </c>
      <c r="U210" s="912">
        <v>-831</v>
      </c>
      <c r="V210" s="912">
        <v>80004</v>
      </c>
    </row>
    <row r="211" spans="1:22" x14ac:dyDescent="0.25">
      <c r="A211" s="906">
        <v>92101</v>
      </c>
      <c r="B211" s="907" t="s">
        <v>2775</v>
      </c>
      <c r="C211" s="908">
        <v>8.6870000000000003E-4</v>
      </c>
      <c r="D211" s="908">
        <v>9.1750000000000002E-4</v>
      </c>
      <c r="E211" s="909">
        <v>332881</v>
      </c>
      <c r="F211" s="909">
        <v>411768</v>
      </c>
      <c r="G211" s="909">
        <v>1843672</v>
      </c>
      <c r="H211" s="909"/>
      <c r="I211" s="910">
        <v>34639</v>
      </c>
      <c r="J211" s="910">
        <v>1615645</v>
      </c>
      <c r="K211" s="910">
        <v>126275</v>
      </c>
      <c r="L211" s="909">
        <v>18519</v>
      </c>
      <c r="M211" s="909"/>
      <c r="N211" s="910">
        <v>64604</v>
      </c>
      <c r="O211" s="910">
        <v>596326</v>
      </c>
      <c r="P211" s="910">
        <v>0</v>
      </c>
      <c r="Q211" s="909">
        <v>45788</v>
      </c>
      <c r="R211" s="910">
        <f t="shared" si="3"/>
        <v>1019319</v>
      </c>
      <c r="S211" s="909"/>
      <c r="T211" s="910">
        <v>492787</v>
      </c>
      <c r="U211" s="912">
        <v>-2848</v>
      </c>
      <c r="V211" s="912">
        <v>489939</v>
      </c>
    </row>
    <row r="212" spans="1:22" x14ac:dyDescent="0.25">
      <c r="A212" s="906">
        <v>92104</v>
      </c>
      <c r="B212" s="907" t="s">
        <v>2776</v>
      </c>
      <c r="C212" s="908">
        <v>8.8000000000000004E-6</v>
      </c>
      <c r="D212" s="908">
        <v>8.1000000000000004E-6</v>
      </c>
      <c r="E212" s="909">
        <v>4596</v>
      </c>
      <c r="F212" s="909">
        <v>3635</v>
      </c>
      <c r="G212" s="909">
        <v>18677</v>
      </c>
      <c r="H212" s="909"/>
      <c r="I212" s="910">
        <v>351</v>
      </c>
      <c r="J212" s="910">
        <v>16367</v>
      </c>
      <c r="K212" s="910">
        <v>1279</v>
      </c>
      <c r="L212" s="909">
        <v>4163</v>
      </c>
      <c r="M212" s="909"/>
      <c r="N212" s="910">
        <v>654</v>
      </c>
      <c r="O212" s="910">
        <v>6041</v>
      </c>
      <c r="P212" s="910">
        <v>0</v>
      </c>
      <c r="Q212" s="909">
        <v>0</v>
      </c>
      <c r="R212" s="910">
        <f t="shared" si="3"/>
        <v>10326</v>
      </c>
      <c r="S212" s="909"/>
      <c r="T212" s="910">
        <v>4992</v>
      </c>
      <c r="U212" s="912">
        <v>1637</v>
      </c>
      <c r="V212" s="912">
        <v>6629</v>
      </c>
    </row>
    <row r="213" spans="1:22" x14ac:dyDescent="0.25">
      <c r="A213" s="906">
        <v>92109</v>
      </c>
      <c r="B213" s="907" t="s">
        <v>2777</v>
      </c>
      <c r="C213" s="908">
        <v>1.7909999999999999E-4</v>
      </c>
      <c r="D213" s="908">
        <v>1.7310000000000001E-4</v>
      </c>
      <c r="E213" s="909">
        <v>70342</v>
      </c>
      <c r="F213" s="909">
        <v>77686</v>
      </c>
      <c r="G213" s="909">
        <v>380110</v>
      </c>
      <c r="H213" s="909"/>
      <c r="I213" s="910">
        <v>7142</v>
      </c>
      <c r="J213" s="910">
        <v>333098</v>
      </c>
      <c r="K213" s="910">
        <v>26034</v>
      </c>
      <c r="L213" s="909">
        <v>3189</v>
      </c>
      <c r="M213" s="909"/>
      <c r="N213" s="910">
        <v>13319</v>
      </c>
      <c r="O213" s="910">
        <v>122945</v>
      </c>
      <c r="P213" s="910">
        <v>0</v>
      </c>
      <c r="Q213" s="909">
        <v>19542</v>
      </c>
      <c r="R213" s="910">
        <f t="shared" si="3"/>
        <v>210153</v>
      </c>
      <c r="S213" s="909"/>
      <c r="T213" s="910">
        <v>101598</v>
      </c>
      <c r="U213" s="912">
        <v>-5478</v>
      </c>
      <c r="V213" s="912">
        <v>96120</v>
      </c>
    </row>
    <row r="214" spans="1:22" x14ac:dyDescent="0.25">
      <c r="A214" s="906">
        <v>92111</v>
      </c>
      <c r="B214" s="907" t="s">
        <v>2778</v>
      </c>
      <c r="C214" s="908">
        <v>5.0009999999999996E-4</v>
      </c>
      <c r="D214" s="908">
        <v>5.3319999999999995E-4</v>
      </c>
      <c r="E214" s="909">
        <v>205690.42</v>
      </c>
      <c r="F214" s="909">
        <v>239297</v>
      </c>
      <c r="G214" s="909">
        <v>1061380</v>
      </c>
      <c r="H214" s="909"/>
      <c r="I214" s="910">
        <v>19941</v>
      </c>
      <c r="J214" s="910">
        <v>930107</v>
      </c>
      <c r="K214" s="910">
        <v>72695</v>
      </c>
      <c r="L214" s="909">
        <v>14524</v>
      </c>
      <c r="M214" s="909"/>
      <c r="N214" s="910">
        <v>37192</v>
      </c>
      <c r="O214" s="910">
        <v>343298</v>
      </c>
      <c r="P214" s="910">
        <v>0</v>
      </c>
      <c r="Q214" s="909">
        <v>17909</v>
      </c>
      <c r="R214" s="910">
        <f t="shared" si="3"/>
        <v>586809</v>
      </c>
      <c r="S214" s="909"/>
      <c r="T214" s="910">
        <v>283691</v>
      </c>
      <c r="U214" s="912">
        <v>1816</v>
      </c>
      <c r="V214" s="912">
        <v>285507</v>
      </c>
    </row>
    <row r="215" spans="1:22" x14ac:dyDescent="0.25">
      <c r="A215" s="906">
        <v>92113</v>
      </c>
      <c r="B215" s="907" t="s">
        <v>2779</v>
      </c>
      <c r="C215" s="908">
        <v>2.2099999999999998E-5</v>
      </c>
      <c r="D215" s="908">
        <v>2.2900000000000001E-5</v>
      </c>
      <c r="E215" s="909">
        <v>27800</v>
      </c>
      <c r="F215" s="909">
        <v>10277</v>
      </c>
      <c r="G215" s="909">
        <v>46904</v>
      </c>
      <c r="H215" s="909"/>
      <c r="I215" s="910">
        <v>881.23749999999995</v>
      </c>
      <c r="J215" s="910">
        <v>41103</v>
      </c>
      <c r="K215" s="910">
        <v>3212</v>
      </c>
      <c r="L215" s="909">
        <v>25322</v>
      </c>
      <c r="M215" s="909"/>
      <c r="N215" s="910">
        <v>1644</v>
      </c>
      <c r="O215" s="910">
        <v>15171</v>
      </c>
      <c r="P215" s="910">
        <v>0</v>
      </c>
      <c r="Q215" s="909">
        <v>0</v>
      </c>
      <c r="R215" s="910">
        <f t="shared" si="3"/>
        <v>25932</v>
      </c>
      <c r="S215" s="909"/>
      <c r="T215" s="910">
        <v>12537</v>
      </c>
      <c r="U215" s="912">
        <v>7718</v>
      </c>
      <c r="V215" s="912">
        <v>20255</v>
      </c>
    </row>
    <row r="216" spans="1:22" x14ac:dyDescent="0.25">
      <c r="A216" s="906">
        <v>92201</v>
      </c>
      <c r="B216" s="907" t="s">
        <v>2780</v>
      </c>
      <c r="C216" s="908">
        <v>1.0267E-3</v>
      </c>
      <c r="D216" s="908">
        <v>9.8930000000000003E-4</v>
      </c>
      <c r="E216" s="909">
        <v>411545</v>
      </c>
      <c r="F216" s="909">
        <v>443992</v>
      </c>
      <c r="G216" s="909">
        <v>2179001</v>
      </c>
      <c r="H216" s="909"/>
      <c r="I216" s="910">
        <v>40940</v>
      </c>
      <c r="J216" s="910">
        <v>1909500</v>
      </c>
      <c r="K216" s="910">
        <v>149242</v>
      </c>
      <c r="L216" s="909">
        <v>60698</v>
      </c>
      <c r="M216" s="909"/>
      <c r="N216" s="910">
        <v>76355</v>
      </c>
      <c r="O216" s="910">
        <v>704786</v>
      </c>
      <c r="P216" s="910">
        <v>0</v>
      </c>
      <c r="Q216" s="909">
        <v>0</v>
      </c>
      <c r="R216" s="910">
        <f t="shared" si="3"/>
        <v>1204714</v>
      </c>
      <c r="S216" s="909"/>
      <c r="T216" s="910">
        <v>582415</v>
      </c>
      <c r="U216" s="912">
        <v>23895</v>
      </c>
      <c r="V216" s="912">
        <v>606310</v>
      </c>
    </row>
    <row r="217" spans="1:22" x14ac:dyDescent="0.25">
      <c r="A217" s="906">
        <v>92301</v>
      </c>
      <c r="B217" s="907" t="s">
        <v>2781</v>
      </c>
      <c r="C217" s="908">
        <v>5.2411000000000003E-3</v>
      </c>
      <c r="D217" s="908">
        <v>5.0804999999999999E-3</v>
      </c>
      <c r="E217" s="909">
        <v>2094643.33</v>
      </c>
      <c r="F217" s="909">
        <v>2280098</v>
      </c>
      <c r="G217" s="909">
        <v>11123370</v>
      </c>
      <c r="H217" s="909"/>
      <c r="I217" s="910">
        <v>208989</v>
      </c>
      <c r="J217" s="910">
        <v>9747618</v>
      </c>
      <c r="K217" s="910">
        <v>761852</v>
      </c>
      <c r="L217" s="909">
        <v>77417</v>
      </c>
      <c r="M217" s="909"/>
      <c r="N217" s="910">
        <v>389775</v>
      </c>
      <c r="O217" s="910">
        <v>3597795</v>
      </c>
      <c r="P217" s="910">
        <v>0</v>
      </c>
      <c r="Q217" s="909">
        <v>16658.29</v>
      </c>
      <c r="R217" s="910">
        <f t="shared" si="3"/>
        <v>6149823</v>
      </c>
      <c r="S217" s="909"/>
      <c r="T217" s="910">
        <v>2973114</v>
      </c>
      <c r="U217" s="912">
        <v>15378</v>
      </c>
      <c r="V217" s="912">
        <v>2988491</v>
      </c>
    </row>
    <row r="218" spans="1:22" x14ac:dyDescent="0.25">
      <c r="A218" s="906">
        <v>92302</v>
      </c>
      <c r="B218" s="907" t="s">
        <v>2782</v>
      </c>
      <c r="C218" s="908">
        <v>3.168E-4</v>
      </c>
      <c r="D218" s="908">
        <v>2.9910000000000001E-4</v>
      </c>
      <c r="E218" s="909">
        <v>116637</v>
      </c>
      <c r="F218" s="909">
        <v>134234</v>
      </c>
      <c r="G218" s="909">
        <v>672356</v>
      </c>
      <c r="H218" s="909"/>
      <c r="I218" s="910">
        <v>12632.4</v>
      </c>
      <c r="J218" s="910">
        <v>589198</v>
      </c>
      <c r="K218" s="910">
        <v>46050</v>
      </c>
      <c r="L218" s="909">
        <v>0</v>
      </c>
      <c r="M218" s="909"/>
      <c r="N218" s="910">
        <v>23560</v>
      </c>
      <c r="O218" s="910">
        <v>217470</v>
      </c>
      <c r="P218" s="910">
        <v>0</v>
      </c>
      <c r="Q218" s="909">
        <v>9658</v>
      </c>
      <c r="R218" s="910">
        <f t="shared" si="3"/>
        <v>371728</v>
      </c>
      <c r="S218" s="909"/>
      <c r="T218" s="910">
        <v>179711</v>
      </c>
      <c r="U218" s="912">
        <v>-3995</v>
      </c>
      <c r="V218" s="912">
        <v>175716</v>
      </c>
    </row>
    <row r="219" spans="1:22" x14ac:dyDescent="0.25">
      <c r="A219" s="906">
        <v>92311</v>
      </c>
      <c r="B219" s="907" t="s">
        <v>2783</v>
      </c>
      <c r="C219" s="908">
        <v>2.1857000000000001E-3</v>
      </c>
      <c r="D219" s="908">
        <v>2.1316E-3</v>
      </c>
      <c r="E219" s="909">
        <v>841005.71</v>
      </c>
      <c r="F219" s="909">
        <v>956649</v>
      </c>
      <c r="G219" s="909">
        <v>4638788</v>
      </c>
      <c r="H219" s="909"/>
      <c r="I219" s="910">
        <v>87155</v>
      </c>
      <c r="J219" s="910">
        <v>4065057</v>
      </c>
      <c r="K219" s="910">
        <v>317716</v>
      </c>
      <c r="L219" s="909">
        <v>0</v>
      </c>
      <c r="M219" s="909"/>
      <c r="N219" s="910">
        <v>162548</v>
      </c>
      <c r="O219" s="910">
        <v>1500391</v>
      </c>
      <c r="P219" s="910">
        <v>0</v>
      </c>
      <c r="Q219" s="909">
        <v>92864</v>
      </c>
      <c r="R219" s="910">
        <f t="shared" si="3"/>
        <v>2564666</v>
      </c>
      <c r="S219" s="909"/>
      <c r="T219" s="910">
        <v>1239880</v>
      </c>
      <c r="U219" s="912">
        <v>-38618</v>
      </c>
      <c r="V219" s="912">
        <v>1201261</v>
      </c>
    </row>
    <row r="220" spans="1:22" x14ac:dyDescent="0.25">
      <c r="A220" s="906">
        <v>92317</v>
      </c>
      <c r="B220" s="907" t="s">
        <v>2784</v>
      </c>
      <c r="C220" s="908">
        <v>2.9600000000000001E-5</v>
      </c>
      <c r="D220" s="908">
        <v>3.3300000000000003E-5</v>
      </c>
      <c r="E220" s="909">
        <v>20482</v>
      </c>
      <c r="F220" s="909">
        <v>14945</v>
      </c>
      <c r="G220" s="909">
        <v>62821</v>
      </c>
      <c r="H220" s="909"/>
      <c r="I220" s="910">
        <v>1180.3</v>
      </c>
      <c r="J220" s="910">
        <v>55051</v>
      </c>
      <c r="K220" s="910">
        <v>4303</v>
      </c>
      <c r="L220" s="909">
        <v>12749</v>
      </c>
      <c r="M220" s="909"/>
      <c r="N220" s="910">
        <v>2201</v>
      </c>
      <c r="O220" s="910">
        <v>20319</v>
      </c>
      <c r="P220" s="910">
        <v>0</v>
      </c>
      <c r="Q220" s="909">
        <v>0</v>
      </c>
      <c r="R220" s="910">
        <f t="shared" si="3"/>
        <v>34732</v>
      </c>
      <c r="S220" s="909"/>
      <c r="T220" s="910">
        <v>16791</v>
      </c>
      <c r="U220" s="912">
        <v>4401</v>
      </c>
      <c r="V220" s="912">
        <v>21192</v>
      </c>
    </row>
    <row r="221" spans="1:22" x14ac:dyDescent="0.25">
      <c r="A221" s="906">
        <v>92321</v>
      </c>
      <c r="B221" s="907" t="s">
        <v>2785</v>
      </c>
      <c r="C221" s="908">
        <v>1.2218999999999999E-3</v>
      </c>
      <c r="D221" s="908">
        <v>1.1936E-3</v>
      </c>
      <c r="E221" s="909">
        <v>481504.52</v>
      </c>
      <c r="F221" s="909">
        <v>535681</v>
      </c>
      <c r="G221" s="909">
        <v>2593281</v>
      </c>
      <c r="H221" s="909"/>
      <c r="I221" s="910">
        <v>48723</v>
      </c>
      <c r="J221" s="910">
        <v>2272541</v>
      </c>
      <c r="K221" s="910">
        <v>177617</v>
      </c>
      <c r="L221" s="909">
        <v>61228</v>
      </c>
      <c r="M221" s="909"/>
      <c r="N221" s="910">
        <v>90871</v>
      </c>
      <c r="O221" s="910">
        <v>838783</v>
      </c>
      <c r="P221" s="910">
        <v>0</v>
      </c>
      <c r="Q221" s="909">
        <v>1343</v>
      </c>
      <c r="R221" s="910">
        <f t="shared" si="3"/>
        <v>1433758</v>
      </c>
      <c r="S221" s="909"/>
      <c r="T221" s="910">
        <v>693146</v>
      </c>
      <c r="U221" s="912">
        <v>25416</v>
      </c>
      <c r="V221" s="912">
        <v>718562</v>
      </c>
    </row>
    <row r="222" spans="1:22" x14ac:dyDescent="0.25">
      <c r="A222" s="906">
        <v>92327</v>
      </c>
      <c r="B222" s="907" t="s">
        <v>2786</v>
      </c>
      <c r="C222" s="908">
        <v>7.6000000000000001E-6</v>
      </c>
      <c r="D222" s="908">
        <v>7.7999999999999999E-6</v>
      </c>
      <c r="E222" s="909">
        <v>5004.42</v>
      </c>
      <c r="F222" s="909">
        <v>3501</v>
      </c>
      <c r="G222" s="909">
        <v>16130</v>
      </c>
      <c r="H222" s="909"/>
      <c r="I222" s="910">
        <v>303.05</v>
      </c>
      <c r="J222" s="910">
        <v>14135</v>
      </c>
      <c r="K222" s="910">
        <v>1105</v>
      </c>
      <c r="L222" s="909">
        <v>2630</v>
      </c>
      <c r="M222" s="909"/>
      <c r="N222" s="910">
        <v>565</v>
      </c>
      <c r="O222" s="910">
        <v>5217</v>
      </c>
      <c r="P222" s="910">
        <v>0</v>
      </c>
      <c r="Q222" s="909">
        <v>0</v>
      </c>
      <c r="R222" s="910">
        <f t="shared" si="3"/>
        <v>8918</v>
      </c>
      <c r="S222" s="909"/>
      <c r="T222" s="910">
        <v>4311</v>
      </c>
      <c r="U222" s="912">
        <v>853</v>
      </c>
      <c r="V222" s="912">
        <v>5165</v>
      </c>
    </row>
    <row r="223" spans="1:22" x14ac:dyDescent="0.25">
      <c r="A223" s="906">
        <v>92331</v>
      </c>
      <c r="B223" s="907" t="s">
        <v>2787</v>
      </c>
      <c r="C223" s="908">
        <v>1.393E-4</v>
      </c>
      <c r="D223" s="908">
        <v>1.4789999999999999E-4</v>
      </c>
      <c r="E223" s="909">
        <v>54278.720000000001</v>
      </c>
      <c r="F223" s="909">
        <v>66377</v>
      </c>
      <c r="G223" s="909">
        <v>295641</v>
      </c>
      <c r="H223" s="909"/>
      <c r="I223" s="910">
        <v>5555</v>
      </c>
      <c r="J223" s="910">
        <v>259076</v>
      </c>
      <c r="K223" s="910">
        <v>20249</v>
      </c>
      <c r="L223" s="909">
        <v>3725</v>
      </c>
      <c r="M223" s="909"/>
      <c r="N223" s="910">
        <v>10360</v>
      </c>
      <c r="O223" s="910">
        <v>95624</v>
      </c>
      <c r="P223" s="910">
        <v>0</v>
      </c>
      <c r="Q223" s="909">
        <v>7047</v>
      </c>
      <c r="R223" s="910">
        <f t="shared" si="3"/>
        <v>163452</v>
      </c>
      <c r="S223" s="909"/>
      <c r="T223" s="910">
        <v>79021</v>
      </c>
      <c r="U223" s="912">
        <v>-171</v>
      </c>
      <c r="V223" s="912">
        <v>78850</v>
      </c>
    </row>
    <row r="224" spans="1:22" x14ac:dyDescent="0.25">
      <c r="A224" s="906">
        <v>92341</v>
      </c>
      <c r="B224" s="907" t="s">
        <v>2788</v>
      </c>
      <c r="C224" s="908">
        <v>7.9000000000000006E-6</v>
      </c>
      <c r="D224" s="908">
        <v>6.3999999999999997E-6</v>
      </c>
      <c r="E224" s="909">
        <v>2572</v>
      </c>
      <c r="F224" s="909">
        <v>2872</v>
      </c>
      <c r="G224" s="909">
        <v>16766</v>
      </c>
      <c r="H224" s="909"/>
      <c r="I224" s="910">
        <v>315</v>
      </c>
      <c r="J224" s="910">
        <v>14693</v>
      </c>
      <c r="K224" s="910">
        <v>1148</v>
      </c>
      <c r="L224" s="909">
        <v>478</v>
      </c>
      <c r="M224" s="909"/>
      <c r="N224" s="910">
        <v>588</v>
      </c>
      <c r="O224" s="910">
        <v>5423</v>
      </c>
      <c r="P224" s="910">
        <v>0</v>
      </c>
      <c r="Q224" s="909">
        <v>3063</v>
      </c>
      <c r="R224" s="910">
        <f t="shared" si="3"/>
        <v>9270</v>
      </c>
      <c r="S224" s="909"/>
      <c r="T224" s="910">
        <v>4481</v>
      </c>
      <c r="U224" s="912">
        <v>-913</v>
      </c>
      <c r="V224" s="912">
        <v>3568</v>
      </c>
    </row>
    <row r="225" spans="1:22" x14ac:dyDescent="0.25">
      <c r="A225" s="906">
        <v>92351</v>
      </c>
      <c r="B225" s="907" t="s">
        <v>2789</v>
      </c>
      <c r="C225" s="908">
        <v>1.95E-5</v>
      </c>
      <c r="D225" s="908">
        <v>2.8399999999999999E-5</v>
      </c>
      <c r="E225" s="909">
        <v>8512</v>
      </c>
      <c r="F225" s="909">
        <v>12746</v>
      </c>
      <c r="G225" s="909">
        <v>41386</v>
      </c>
      <c r="H225" s="909"/>
      <c r="I225" s="910">
        <v>777.5625</v>
      </c>
      <c r="J225" s="910">
        <v>36267</v>
      </c>
      <c r="K225" s="910">
        <v>2835</v>
      </c>
      <c r="L225" s="909">
        <v>1156.19</v>
      </c>
      <c r="M225" s="909"/>
      <c r="N225" s="910">
        <v>1450</v>
      </c>
      <c r="O225" s="910">
        <v>13386</v>
      </c>
      <c r="P225" s="910">
        <v>0</v>
      </c>
      <c r="Q225" s="909">
        <v>5799</v>
      </c>
      <c r="R225" s="910">
        <f t="shared" si="3"/>
        <v>22881</v>
      </c>
      <c r="S225" s="909"/>
      <c r="T225" s="910">
        <v>11062</v>
      </c>
      <c r="U225" s="912">
        <v>-1052</v>
      </c>
      <c r="V225" s="912">
        <v>10010</v>
      </c>
    </row>
    <row r="226" spans="1:22" x14ac:dyDescent="0.25">
      <c r="A226" s="906">
        <v>92401</v>
      </c>
      <c r="B226" s="907" t="s">
        <v>2790</v>
      </c>
      <c r="C226" s="908">
        <v>2.7449000000000002E-3</v>
      </c>
      <c r="D226" s="908">
        <v>2.7921999999999999E-3</v>
      </c>
      <c r="E226" s="909">
        <v>1162719</v>
      </c>
      <c r="F226" s="909">
        <v>1253123</v>
      </c>
      <c r="G226" s="909">
        <v>5825597</v>
      </c>
      <c r="H226" s="909"/>
      <c r="I226" s="910">
        <v>109453</v>
      </c>
      <c r="J226" s="910">
        <v>5105080</v>
      </c>
      <c r="K226" s="910">
        <v>399001</v>
      </c>
      <c r="L226" s="909">
        <v>33227</v>
      </c>
      <c r="M226" s="909"/>
      <c r="N226" s="910">
        <v>204135</v>
      </c>
      <c r="O226" s="910">
        <v>1884259</v>
      </c>
      <c r="P226" s="910">
        <v>0</v>
      </c>
      <c r="Q226" s="909">
        <v>5343</v>
      </c>
      <c r="R226" s="910">
        <f t="shared" si="3"/>
        <v>3220821</v>
      </c>
      <c r="S226" s="909"/>
      <c r="T226" s="910">
        <v>1557097</v>
      </c>
      <c r="U226" s="912">
        <v>14486</v>
      </c>
      <c r="V226" s="912">
        <v>1571583</v>
      </c>
    </row>
    <row r="227" spans="1:22" x14ac:dyDescent="0.25">
      <c r="A227" s="906">
        <v>92403</v>
      </c>
      <c r="B227" s="907" t="s">
        <v>2791</v>
      </c>
      <c r="C227" s="908">
        <v>9.7999999999999993E-6</v>
      </c>
      <c r="D227" s="908">
        <v>1.59E-5</v>
      </c>
      <c r="E227" s="909">
        <v>5969</v>
      </c>
      <c r="F227" s="909">
        <v>7136</v>
      </c>
      <c r="G227" s="909">
        <v>20799</v>
      </c>
      <c r="H227" s="909"/>
      <c r="I227" s="910">
        <v>390.77499999999998</v>
      </c>
      <c r="J227" s="910">
        <v>18226</v>
      </c>
      <c r="K227" s="910">
        <v>1425</v>
      </c>
      <c r="L227" s="909">
        <v>564</v>
      </c>
      <c r="M227" s="909"/>
      <c r="N227" s="910">
        <v>729</v>
      </c>
      <c r="O227" s="910">
        <v>6727</v>
      </c>
      <c r="P227" s="910">
        <v>0</v>
      </c>
      <c r="Q227" s="909">
        <v>1764</v>
      </c>
      <c r="R227" s="910">
        <f t="shared" si="3"/>
        <v>11499</v>
      </c>
      <c r="S227" s="909"/>
      <c r="T227" s="910">
        <v>5559</v>
      </c>
      <c r="U227" s="912">
        <v>-243</v>
      </c>
      <c r="V227" s="912">
        <v>5317</v>
      </c>
    </row>
    <row r="228" spans="1:22" x14ac:dyDescent="0.25">
      <c r="A228" s="906">
        <v>92411</v>
      </c>
      <c r="B228" s="907" t="s">
        <v>2792</v>
      </c>
      <c r="C228" s="908">
        <v>4.8030000000000002E-4</v>
      </c>
      <c r="D228" s="908">
        <v>5.2820000000000005E-4</v>
      </c>
      <c r="E228" s="909">
        <v>173749.71</v>
      </c>
      <c r="F228" s="909">
        <v>237053</v>
      </c>
      <c r="G228" s="909">
        <v>1019358</v>
      </c>
      <c r="H228" s="909"/>
      <c r="I228" s="910">
        <v>19152</v>
      </c>
      <c r="J228" s="910">
        <v>893282</v>
      </c>
      <c r="K228" s="910">
        <v>69817</v>
      </c>
      <c r="L228" s="909">
        <v>572</v>
      </c>
      <c r="M228" s="909"/>
      <c r="N228" s="910">
        <v>35719</v>
      </c>
      <c r="O228" s="910">
        <v>329706</v>
      </c>
      <c r="P228" s="910">
        <v>0</v>
      </c>
      <c r="Q228" s="909">
        <v>54750</v>
      </c>
      <c r="R228" s="910">
        <f t="shared" si="3"/>
        <v>563576</v>
      </c>
      <c r="S228" s="909"/>
      <c r="T228" s="910">
        <v>272459</v>
      </c>
      <c r="U228" s="912">
        <v>-16396</v>
      </c>
      <c r="V228" s="912">
        <v>256063</v>
      </c>
    </row>
    <row r="229" spans="1:22" x14ac:dyDescent="0.25">
      <c r="A229" s="906">
        <v>92414</v>
      </c>
      <c r="B229" s="907" t="s">
        <v>1389</v>
      </c>
      <c r="C229" s="908">
        <v>0</v>
      </c>
      <c r="D229" s="908">
        <v>9.7999999999999993E-6</v>
      </c>
      <c r="E229" s="909">
        <v>0</v>
      </c>
      <c r="F229" s="909">
        <v>4398</v>
      </c>
      <c r="G229" s="909">
        <v>0</v>
      </c>
      <c r="H229" s="909"/>
      <c r="I229" s="910">
        <v>0</v>
      </c>
      <c r="J229" s="910">
        <v>0</v>
      </c>
      <c r="K229" s="910">
        <v>0</v>
      </c>
      <c r="L229" s="909">
        <v>0</v>
      </c>
      <c r="M229" s="909"/>
      <c r="N229" s="910">
        <v>0</v>
      </c>
      <c r="O229" s="910">
        <v>0</v>
      </c>
      <c r="P229" s="910">
        <v>0</v>
      </c>
      <c r="Q229" s="909">
        <v>8157</v>
      </c>
      <c r="R229" s="910">
        <f t="shared" si="3"/>
        <v>0</v>
      </c>
      <c r="S229" s="909"/>
      <c r="T229" s="910">
        <v>0</v>
      </c>
      <c r="U229" s="912">
        <v>-2445</v>
      </c>
      <c r="V229" s="912">
        <v>-2445</v>
      </c>
    </row>
    <row r="230" spans="1:22" x14ac:dyDescent="0.25">
      <c r="A230" s="906">
        <v>92417</v>
      </c>
      <c r="B230" s="907" t="s">
        <v>2793</v>
      </c>
      <c r="C230" s="908">
        <v>1.77E-5</v>
      </c>
      <c r="D230" s="908">
        <v>1.6699999999999999E-5</v>
      </c>
      <c r="E230" s="909">
        <v>5354.85</v>
      </c>
      <c r="F230" s="909">
        <v>7495</v>
      </c>
      <c r="G230" s="909">
        <v>37565</v>
      </c>
      <c r="H230" s="909"/>
      <c r="I230" s="910">
        <v>705.78750000000002</v>
      </c>
      <c r="J230" s="910">
        <v>32919</v>
      </c>
      <c r="K230" s="910">
        <v>2573</v>
      </c>
      <c r="L230" s="909">
        <v>0</v>
      </c>
      <c r="M230" s="909"/>
      <c r="N230" s="910">
        <v>1316</v>
      </c>
      <c r="O230" s="910">
        <v>12150</v>
      </c>
      <c r="P230" s="910">
        <v>0</v>
      </c>
      <c r="Q230" s="909">
        <v>1694</v>
      </c>
      <c r="R230" s="910">
        <f t="shared" si="3"/>
        <v>20769</v>
      </c>
      <c r="S230" s="909"/>
      <c r="T230" s="910">
        <v>10041</v>
      </c>
      <c r="U230" s="912">
        <v>-509</v>
      </c>
      <c r="V230" s="912">
        <v>9531</v>
      </c>
    </row>
    <row r="231" spans="1:22" x14ac:dyDescent="0.25">
      <c r="A231" s="906">
        <v>92421</v>
      </c>
      <c r="B231" s="907" t="s">
        <v>2794</v>
      </c>
      <c r="C231" s="908">
        <v>9.0000000000000002E-6</v>
      </c>
      <c r="D231" s="908">
        <v>1.98E-5</v>
      </c>
      <c r="E231" s="909">
        <v>9114.76</v>
      </c>
      <c r="F231" s="909">
        <v>8886</v>
      </c>
      <c r="G231" s="909">
        <v>19101</v>
      </c>
      <c r="H231" s="909"/>
      <c r="I231" s="910">
        <v>358.875</v>
      </c>
      <c r="J231" s="910">
        <v>16739</v>
      </c>
      <c r="K231" s="910">
        <v>1308</v>
      </c>
      <c r="L231" s="909">
        <v>1510</v>
      </c>
      <c r="M231" s="909"/>
      <c r="N231" s="910">
        <v>669</v>
      </c>
      <c r="O231" s="910">
        <v>6178</v>
      </c>
      <c r="P231" s="910">
        <v>0</v>
      </c>
      <c r="Q231" s="909">
        <v>1551</v>
      </c>
      <c r="R231" s="910">
        <f t="shared" si="3"/>
        <v>10561</v>
      </c>
      <c r="S231" s="909"/>
      <c r="T231" s="910">
        <v>5105</v>
      </c>
      <c r="U231" s="912">
        <v>261</v>
      </c>
      <c r="V231" s="912">
        <v>5366</v>
      </c>
    </row>
    <row r="232" spans="1:22" x14ac:dyDescent="0.25">
      <c r="A232" s="906">
        <v>92427</v>
      </c>
      <c r="B232" s="907" t="s">
        <v>2795</v>
      </c>
      <c r="C232" s="908">
        <v>6.9999999999999997E-7</v>
      </c>
      <c r="D232" s="908">
        <v>8.9999999999999996E-7</v>
      </c>
      <c r="E232" s="909">
        <v>1425.53</v>
      </c>
      <c r="F232" s="909">
        <v>404</v>
      </c>
      <c r="G232" s="909">
        <v>1486</v>
      </c>
      <c r="H232" s="909"/>
      <c r="I232" s="910">
        <v>28</v>
      </c>
      <c r="J232" s="910">
        <v>1302</v>
      </c>
      <c r="K232" s="910">
        <v>102</v>
      </c>
      <c r="L232" s="909">
        <v>1812</v>
      </c>
      <c r="M232" s="909"/>
      <c r="N232" s="910">
        <v>52</v>
      </c>
      <c r="O232" s="910">
        <v>481</v>
      </c>
      <c r="P232" s="910">
        <v>0</v>
      </c>
      <c r="Q232" s="909">
        <v>0</v>
      </c>
      <c r="R232" s="910">
        <f t="shared" si="3"/>
        <v>821</v>
      </c>
      <c r="S232" s="909"/>
      <c r="T232" s="910">
        <v>397</v>
      </c>
      <c r="U232" s="912">
        <v>636</v>
      </c>
      <c r="V232" s="912">
        <v>1033</v>
      </c>
    </row>
    <row r="233" spans="1:22" x14ac:dyDescent="0.25">
      <c r="A233" s="906">
        <v>92431</v>
      </c>
      <c r="B233" s="907" t="s">
        <v>2796</v>
      </c>
      <c r="C233" s="908">
        <v>1.8499999999999999E-5</v>
      </c>
      <c r="D233" s="908">
        <v>4.0800000000000002E-5</v>
      </c>
      <c r="E233" s="909">
        <v>17502.95</v>
      </c>
      <c r="F233" s="909">
        <v>18311</v>
      </c>
      <c r="G233" s="909">
        <v>39263</v>
      </c>
      <c r="H233" s="909"/>
      <c r="I233" s="910">
        <v>737.6875</v>
      </c>
      <c r="J233" s="910">
        <v>34407</v>
      </c>
      <c r="K233" s="910">
        <v>2689</v>
      </c>
      <c r="L233" s="909">
        <v>6093</v>
      </c>
      <c r="M233" s="909"/>
      <c r="N233" s="910">
        <v>1376</v>
      </c>
      <c r="O233" s="910">
        <v>12699</v>
      </c>
      <c r="P233" s="910">
        <v>0</v>
      </c>
      <c r="Q233" s="909">
        <v>5505</v>
      </c>
      <c r="R233" s="910">
        <f t="shared" si="3"/>
        <v>21708</v>
      </c>
      <c r="S233" s="909"/>
      <c r="T233" s="910">
        <v>10494</v>
      </c>
      <c r="U233" s="912">
        <v>422</v>
      </c>
      <c r="V233" s="912">
        <v>10917</v>
      </c>
    </row>
    <row r="234" spans="1:22" x14ac:dyDescent="0.25">
      <c r="A234" s="906">
        <v>92441</v>
      </c>
      <c r="B234" s="907" t="s">
        <v>2797</v>
      </c>
      <c r="C234" s="908">
        <v>9.2299999999999994E-5</v>
      </c>
      <c r="D234" s="908">
        <v>1.0170000000000001E-4</v>
      </c>
      <c r="E234" s="909">
        <v>38127.360000000001</v>
      </c>
      <c r="F234" s="909">
        <v>45642</v>
      </c>
      <c r="G234" s="909">
        <v>195892</v>
      </c>
      <c r="H234" s="909"/>
      <c r="I234" s="910">
        <v>3680</v>
      </c>
      <c r="J234" s="910">
        <v>171663</v>
      </c>
      <c r="K234" s="910">
        <v>13417</v>
      </c>
      <c r="L234" s="909">
        <v>0</v>
      </c>
      <c r="M234" s="909"/>
      <c r="N234" s="910">
        <v>6864</v>
      </c>
      <c r="O234" s="910">
        <v>63360</v>
      </c>
      <c r="P234" s="910">
        <v>0</v>
      </c>
      <c r="Q234" s="909">
        <v>12688</v>
      </c>
      <c r="R234" s="910">
        <f t="shared" si="3"/>
        <v>108303</v>
      </c>
      <c r="S234" s="909"/>
      <c r="T234" s="910">
        <v>52359</v>
      </c>
      <c r="U234" s="912">
        <v>-5069</v>
      </c>
      <c r="V234" s="912">
        <v>47290</v>
      </c>
    </row>
    <row r="235" spans="1:22" x14ac:dyDescent="0.25">
      <c r="A235" s="906">
        <v>92444</v>
      </c>
      <c r="B235" s="907" t="s">
        <v>2798</v>
      </c>
      <c r="C235" s="908">
        <v>1.9999999999999999E-6</v>
      </c>
      <c r="D235" s="908">
        <v>1.7999999999999999E-6</v>
      </c>
      <c r="E235" s="909">
        <v>1966</v>
      </c>
      <c r="F235" s="909">
        <v>808</v>
      </c>
      <c r="G235" s="909">
        <v>4244.67</v>
      </c>
      <c r="H235" s="909"/>
      <c r="I235" s="910">
        <v>79.75</v>
      </c>
      <c r="J235" s="910">
        <v>3720</v>
      </c>
      <c r="K235" s="910">
        <v>291</v>
      </c>
      <c r="L235" s="909">
        <v>2653</v>
      </c>
      <c r="M235" s="909"/>
      <c r="N235" s="910">
        <v>149</v>
      </c>
      <c r="O235" s="910">
        <v>1373</v>
      </c>
      <c r="P235" s="910">
        <v>0</v>
      </c>
      <c r="Q235" s="909">
        <v>0</v>
      </c>
      <c r="R235" s="910">
        <f t="shared" si="3"/>
        <v>2347</v>
      </c>
      <c r="S235" s="909"/>
      <c r="T235" s="910">
        <v>1135</v>
      </c>
      <c r="U235" s="912">
        <v>971</v>
      </c>
      <c r="V235" s="912">
        <v>2106</v>
      </c>
    </row>
    <row r="236" spans="1:22" x14ac:dyDescent="0.25">
      <c r="A236" s="906">
        <v>92451</v>
      </c>
      <c r="B236" s="907" t="s">
        <v>2799</v>
      </c>
      <c r="C236" s="908">
        <v>1.4559999999999999E-4</v>
      </c>
      <c r="D236" s="908">
        <v>1.132E-4</v>
      </c>
      <c r="E236" s="909">
        <v>67281</v>
      </c>
      <c r="F236" s="909">
        <v>50803</v>
      </c>
      <c r="G236" s="909">
        <v>309012</v>
      </c>
      <c r="H236" s="909"/>
      <c r="I236" s="910">
        <v>5806</v>
      </c>
      <c r="J236" s="910">
        <v>270793</v>
      </c>
      <c r="K236" s="910">
        <v>21165</v>
      </c>
      <c r="L236" s="909">
        <v>36170</v>
      </c>
      <c r="M236" s="909"/>
      <c r="N236" s="910">
        <v>10828</v>
      </c>
      <c r="O236" s="910">
        <v>99948</v>
      </c>
      <c r="P236" s="910">
        <v>0</v>
      </c>
      <c r="Q236" s="909">
        <v>0</v>
      </c>
      <c r="R236" s="910">
        <f t="shared" si="3"/>
        <v>170845</v>
      </c>
      <c r="S236" s="909"/>
      <c r="T236" s="910">
        <v>82594</v>
      </c>
      <c r="U236" s="912">
        <v>11273</v>
      </c>
      <c r="V236" s="912">
        <v>93868</v>
      </c>
    </row>
    <row r="237" spans="1:22" x14ac:dyDescent="0.25">
      <c r="A237" s="906">
        <v>92461</v>
      </c>
      <c r="B237" s="907" t="s">
        <v>2800</v>
      </c>
      <c r="C237" s="908">
        <v>7.2999999999999999E-5</v>
      </c>
      <c r="D237" s="908">
        <v>6.3499999999999999E-5</v>
      </c>
      <c r="E237" s="909">
        <v>36576</v>
      </c>
      <c r="F237" s="909">
        <v>28498</v>
      </c>
      <c r="G237" s="909">
        <v>154930</v>
      </c>
      <c r="H237" s="909"/>
      <c r="I237" s="910">
        <v>2910.875</v>
      </c>
      <c r="J237" s="910">
        <v>135768</v>
      </c>
      <c r="K237" s="910">
        <v>10611</v>
      </c>
      <c r="L237" s="909">
        <v>10353</v>
      </c>
      <c r="M237" s="909"/>
      <c r="N237" s="910">
        <v>5429</v>
      </c>
      <c r="O237" s="910">
        <v>50111</v>
      </c>
      <c r="P237" s="910">
        <v>0</v>
      </c>
      <c r="Q237" s="909">
        <v>7817</v>
      </c>
      <c r="R237" s="910">
        <f t="shared" si="3"/>
        <v>85657</v>
      </c>
      <c r="S237" s="909"/>
      <c r="T237" s="910">
        <v>41411</v>
      </c>
      <c r="U237" s="912">
        <v>-170</v>
      </c>
      <c r="V237" s="912">
        <v>41240</v>
      </c>
    </row>
    <row r="238" spans="1:22" x14ac:dyDescent="0.25">
      <c r="A238" s="906">
        <v>92501</v>
      </c>
      <c r="B238" s="907" t="s">
        <v>2801</v>
      </c>
      <c r="C238" s="908">
        <v>3.8141E-3</v>
      </c>
      <c r="D238" s="908">
        <v>3.8955999999999999E-3</v>
      </c>
      <c r="E238" s="909">
        <v>1660692.83</v>
      </c>
      <c r="F238" s="909">
        <v>1748322</v>
      </c>
      <c r="G238" s="909">
        <v>8094798</v>
      </c>
      <c r="H238" s="909"/>
      <c r="I238" s="910">
        <v>152087</v>
      </c>
      <c r="J238" s="910">
        <v>7093623</v>
      </c>
      <c r="K238" s="910">
        <v>554421</v>
      </c>
      <c r="L238" s="909">
        <v>65347</v>
      </c>
      <c r="M238" s="909"/>
      <c r="N238" s="910">
        <v>283651</v>
      </c>
      <c r="O238" s="910">
        <v>2618219</v>
      </c>
      <c r="P238" s="910">
        <v>0</v>
      </c>
      <c r="Q238" s="909">
        <v>13995</v>
      </c>
      <c r="R238" s="910">
        <f t="shared" si="3"/>
        <v>4475404</v>
      </c>
      <c r="S238" s="909"/>
      <c r="T238" s="910">
        <v>2163621</v>
      </c>
      <c r="U238" s="912">
        <v>20802</v>
      </c>
      <c r="V238" s="912">
        <v>2184422</v>
      </c>
    </row>
    <row r="239" spans="1:22" x14ac:dyDescent="0.25">
      <c r="A239" s="906">
        <v>92502</v>
      </c>
      <c r="B239" s="907" t="s">
        <v>2802</v>
      </c>
      <c r="C239" s="908">
        <v>2.8799999999999999E-5</v>
      </c>
      <c r="D239" s="908">
        <v>2.1399999999999998E-5</v>
      </c>
      <c r="E239" s="909">
        <v>12881</v>
      </c>
      <c r="F239" s="909">
        <v>9604</v>
      </c>
      <c r="G239" s="909">
        <v>61123</v>
      </c>
      <c r="H239" s="909"/>
      <c r="I239" s="910">
        <v>1148</v>
      </c>
      <c r="J239" s="910">
        <v>53563</v>
      </c>
      <c r="K239" s="910">
        <v>4186</v>
      </c>
      <c r="L239" s="909">
        <v>4833</v>
      </c>
      <c r="M239" s="909"/>
      <c r="N239" s="910">
        <v>2142</v>
      </c>
      <c r="O239" s="910">
        <v>19770</v>
      </c>
      <c r="P239" s="910">
        <v>0</v>
      </c>
      <c r="Q239" s="909">
        <v>3509</v>
      </c>
      <c r="R239" s="910">
        <f t="shared" si="3"/>
        <v>33793</v>
      </c>
      <c r="S239" s="909"/>
      <c r="T239" s="910">
        <v>16337</v>
      </c>
      <c r="U239" s="912">
        <v>-103</v>
      </c>
      <c r="V239" s="912">
        <v>16234</v>
      </c>
    </row>
    <row r="240" spans="1:22" x14ac:dyDescent="0.25">
      <c r="A240" s="906">
        <v>92504</v>
      </c>
      <c r="B240" s="907" t="s">
        <v>2803</v>
      </c>
      <c r="C240" s="908">
        <v>7.2799999999999994E-5</v>
      </c>
      <c r="D240" s="908">
        <v>7.3499999999999998E-5</v>
      </c>
      <c r="E240" s="909">
        <v>38689</v>
      </c>
      <c r="F240" s="909">
        <v>32986</v>
      </c>
      <c r="G240" s="909">
        <v>154506</v>
      </c>
      <c r="H240" s="909"/>
      <c r="I240" s="910">
        <v>2903</v>
      </c>
      <c r="J240" s="910">
        <v>135396</v>
      </c>
      <c r="K240" s="910">
        <v>10582</v>
      </c>
      <c r="L240" s="909">
        <v>18501</v>
      </c>
      <c r="M240" s="909"/>
      <c r="N240" s="910">
        <v>5414</v>
      </c>
      <c r="O240" s="910">
        <v>49974</v>
      </c>
      <c r="P240" s="910">
        <v>0</v>
      </c>
      <c r="Q240" s="909">
        <v>54</v>
      </c>
      <c r="R240" s="910">
        <f t="shared" si="3"/>
        <v>85422</v>
      </c>
      <c r="S240" s="909"/>
      <c r="T240" s="910">
        <v>41297</v>
      </c>
      <c r="U240" s="912">
        <v>5906</v>
      </c>
      <c r="V240" s="912">
        <v>47203</v>
      </c>
    </row>
    <row r="241" spans="1:22" x14ac:dyDescent="0.25">
      <c r="A241" s="906">
        <v>92505</v>
      </c>
      <c r="B241" s="907" t="s">
        <v>2804</v>
      </c>
      <c r="C241" s="908">
        <v>1.8709999999999999E-4</v>
      </c>
      <c r="D241" s="908">
        <v>1.9699999999999999E-4</v>
      </c>
      <c r="E241" s="909">
        <v>106739.73</v>
      </c>
      <c r="F241" s="909">
        <v>88412</v>
      </c>
      <c r="G241" s="909">
        <v>397089</v>
      </c>
      <c r="H241" s="909"/>
      <c r="I241" s="910">
        <v>7461</v>
      </c>
      <c r="J241" s="910">
        <v>347976</v>
      </c>
      <c r="K241" s="910">
        <v>27197</v>
      </c>
      <c r="L241" s="909">
        <v>47178</v>
      </c>
      <c r="M241" s="909"/>
      <c r="N241" s="910">
        <v>13914</v>
      </c>
      <c r="O241" s="910">
        <v>128436</v>
      </c>
      <c r="P241" s="910">
        <v>0</v>
      </c>
      <c r="Q241" s="909">
        <v>0</v>
      </c>
      <c r="R241" s="910">
        <f t="shared" si="3"/>
        <v>219540</v>
      </c>
      <c r="S241" s="909"/>
      <c r="T241" s="910">
        <v>106136</v>
      </c>
      <c r="U241" s="912">
        <v>16270</v>
      </c>
      <c r="V241" s="912">
        <v>122406</v>
      </c>
    </row>
    <row r="242" spans="1:22" x14ac:dyDescent="0.25">
      <c r="A242" s="906">
        <v>92506</v>
      </c>
      <c r="B242" s="907" t="s">
        <v>2805</v>
      </c>
      <c r="C242" s="908">
        <v>4.3699999999999998E-5</v>
      </c>
      <c r="D242" s="908">
        <v>3.8999999999999999E-5</v>
      </c>
      <c r="E242" s="909">
        <v>23626</v>
      </c>
      <c r="F242" s="909">
        <v>17503</v>
      </c>
      <c r="G242" s="909">
        <v>92746</v>
      </c>
      <c r="H242" s="909"/>
      <c r="I242" s="910">
        <v>1743</v>
      </c>
      <c r="J242" s="910">
        <v>81275</v>
      </c>
      <c r="K242" s="910">
        <v>6352</v>
      </c>
      <c r="L242" s="909">
        <v>17344</v>
      </c>
      <c r="M242" s="909"/>
      <c r="N242" s="910">
        <v>3250</v>
      </c>
      <c r="O242" s="910">
        <v>29998</v>
      </c>
      <c r="P242" s="910">
        <v>0</v>
      </c>
      <c r="Q242" s="909">
        <v>0</v>
      </c>
      <c r="R242" s="910">
        <f t="shared" si="3"/>
        <v>51277</v>
      </c>
      <c r="S242" s="909"/>
      <c r="T242" s="910">
        <v>24790</v>
      </c>
      <c r="U242" s="912">
        <v>5809</v>
      </c>
      <c r="V242" s="912">
        <v>30599</v>
      </c>
    </row>
    <row r="243" spans="1:22" x14ac:dyDescent="0.25">
      <c r="A243" s="906">
        <v>92507</v>
      </c>
      <c r="B243" s="907" t="s">
        <v>2806</v>
      </c>
      <c r="C243" s="908">
        <v>7.6799999999999997E-5</v>
      </c>
      <c r="D243" s="908">
        <v>1.032E-4</v>
      </c>
      <c r="E243" s="909">
        <v>33480.47</v>
      </c>
      <c r="F243" s="909">
        <v>46316</v>
      </c>
      <c r="G243" s="909">
        <v>162995</v>
      </c>
      <c r="H243" s="909"/>
      <c r="I243" s="910">
        <v>3062</v>
      </c>
      <c r="J243" s="910">
        <v>142836</v>
      </c>
      <c r="K243" s="910">
        <v>11164</v>
      </c>
      <c r="L243" s="909">
        <v>348</v>
      </c>
      <c r="M243" s="909"/>
      <c r="N243" s="910">
        <v>5712</v>
      </c>
      <c r="O243" s="910">
        <v>52720</v>
      </c>
      <c r="P243" s="910">
        <v>0</v>
      </c>
      <c r="Q243" s="909">
        <v>22450</v>
      </c>
      <c r="R243" s="910">
        <f t="shared" si="3"/>
        <v>90116</v>
      </c>
      <c r="S243" s="909"/>
      <c r="T243" s="910">
        <v>43566</v>
      </c>
      <c r="U243" s="912">
        <v>-8043</v>
      </c>
      <c r="V243" s="912">
        <v>35523</v>
      </c>
    </row>
    <row r="244" spans="1:22" x14ac:dyDescent="0.25">
      <c r="A244" s="906">
        <v>92508</v>
      </c>
      <c r="B244" s="907" t="s">
        <v>2807</v>
      </c>
      <c r="C244" s="908">
        <v>3.1930000000000001E-4</v>
      </c>
      <c r="D244" s="908">
        <v>3.2959999999999999E-4</v>
      </c>
      <c r="E244" s="909">
        <v>135945</v>
      </c>
      <c r="F244" s="909">
        <v>147923</v>
      </c>
      <c r="G244" s="909">
        <v>677662</v>
      </c>
      <c r="H244" s="909"/>
      <c r="I244" s="910">
        <v>12732</v>
      </c>
      <c r="J244" s="910">
        <v>593848</v>
      </c>
      <c r="K244" s="910">
        <v>46414</v>
      </c>
      <c r="L244" s="909">
        <v>7876</v>
      </c>
      <c r="M244" s="909"/>
      <c r="N244" s="910">
        <v>23746</v>
      </c>
      <c r="O244" s="910">
        <v>219186</v>
      </c>
      <c r="P244" s="910">
        <v>0</v>
      </c>
      <c r="Q244" s="909">
        <v>1898</v>
      </c>
      <c r="R244" s="910">
        <f t="shared" si="3"/>
        <v>374662</v>
      </c>
      <c r="S244" s="909"/>
      <c r="T244" s="910">
        <v>181129</v>
      </c>
      <c r="U244" s="912">
        <v>3029</v>
      </c>
      <c r="V244" s="912">
        <v>184158</v>
      </c>
    </row>
    <row r="245" spans="1:22" x14ac:dyDescent="0.25">
      <c r="A245" s="906">
        <v>92509</v>
      </c>
      <c r="B245" s="907" t="s">
        <v>2808</v>
      </c>
      <c r="C245" s="908">
        <v>0</v>
      </c>
      <c r="D245" s="908">
        <v>2.1614E-3</v>
      </c>
      <c r="E245" s="909">
        <v>0</v>
      </c>
      <c r="F245" s="909">
        <v>970023</v>
      </c>
      <c r="G245" s="909">
        <v>0</v>
      </c>
      <c r="H245" s="909"/>
      <c r="I245" s="910">
        <v>0</v>
      </c>
      <c r="J245" s="910">
        <v>0</v>
      </c>
      <c r="K245" s="910">
        <v>0</v>
      </c>
      <c r="L245" s="909">
        <v>166634</v>
      </c>
      <c r="M245" s="909"/>
      <c r="N245" s="910">
        <v>0</v>
      </c>
      <c r="O245" s="910">
        <v>0</v>
      </c>
      <c r="P245" s="910">
        <v>0</v>
      </c>
      <c r="Q245" s="909">
        <v>1170867</v>
      </c>
      <c r="R245" s="910">
        <f t="shared" si="3"/>
        <v>0</v>
      </c>
      <c r="S245" s="909"/>
      <c r="T245" s="910">
        <v>0</v>
      </c>
      <c r="U245" s="912">
        <v>-223763</v>
      </c>
      <c r="V245" s="912">
        <v>-223763</v>
      </c>
    </row>
    <row r="246" spans="1:22" x14ac:dyDescent="0.25">
      <c r="A246" s="906">
        <v>92511</v>
      </c>
      <c r="B246" s="907" t="s">
        <v>2809</v>
      </c>
      <c r="C246" s="908">
        <v>3.4164E-3</v>
      </c>
      <c r="D246" s="908">
        <v>3.6713000000000002E-3</v>
      </c>
      <c r="E246" s="909">
        <v>1353009</v>
      </c>
      <c r="F246" s="909">
        <v>1647657</v>
      </c>
      <c r="G246" s="909">
        <v>7250745</v>
      </c>
      <c r="H246" s="909"/>
      <c r="I246" s="910">
        <v>136229</v>
      </c>
      <c r="J246" s="910">
        <v>6353964</v>
      </c>
      <c r="K246" s="910">
        <v>496611</v>
      </c>
      <c r="L246" s="909">
        <v>24415.31</v>
      </c>
      <c r="M246" s="909"/>
      <c r="N246" s="910">
        <v>254074</v>
      </c>
      <c r="O246" s="910">
        <v>2345215</v>
      </c>
      <c r="P246" s="910">
        <v>0</v>
      </c>
      <c r="Q246" s="909">
        <v>243809</v>
      </c>
      <c r="R246" s="910">
        <f t="shared" si="3"/>
        <v>4008749</v>
      </c>
      <c r="S246" s="909"/>
      <c r="T246" s="910">
        <v>1938018</v>
      </c>
      <c r="U246" s="912">
        <v>-57052</v>
      </c>
      <c r="V246" s="912">
        <v>1880965</v>
      </c>
    </row>
    <row r="247" spans="1:22" x14ac:dyDescent="0.25">
      <c r="A247" s="906">
        <v>92513</v>
      </c>
      <c r="B247" s="907" t="s">
        <v>2810</v>
      </c>
      <c r="C247" s="908">
        <v>3.9753000000000002E-3</v>
      </c>
      <c r="D247" s="908">
        <v>0</v>
      </c>
      <c r="E247" s="909">
        <v>1441013</v>
      </c>
      <c r="F247" s="909">
        <v>0</v>
      </c>
      <c r="G247" s="909">
        <v>8436918</v>
      </c>
      <c r="H247" s="909"/>
      <c r="I247" s="910">
        <v>158515</v>
      </c>
      <c r="J247" s="910">
        <v>7393430</v>
      </c>
      <c r="K247" s="910">
        <v>577854</v>
      </c>
      <c r="L247" s="909">
        <v>1999562</v>
      </c>
      <c r="M247" s="909"/>
      <c r="N247" s="910">
        <v>295639</v>
      </c>
      <c r="O247" s="910">
        <v>2728876</v>
      </c>
      <c r="P247" s="910">
        <v>0</v>
      </c>
      <c r="Q247" s="909">
        <v>0</v>
      </c>
      <c r="R247" s="910">
        <f t="shared" si="3"/>
        <v>4664554</v>
      </c>
      <c r="S247" s="909"/>
      <c r="T247" s="910">
        <v>2255064</v>
      </c>
      <c r="U247" s="912">
        <v>518021</v>
      </c>
      <c r="V247" s="912">
        <v>2773086</v>
      </c>
    </row>
    <row r="248" spans="1:22" x14ac:dyDescent="0.25">
      <c r="A248" s="906">
        <v>92521</v>
      </c>
      <c r="B248" s="907" t="s">
        <v>2811</v>
      </c>
      <c r="C248" s="908">
        <v>8.9800000000000001E-5</v>
      </c>
      <c r="D248" s="908">
        <v>9.59E-5</v>
      </c>
      <c r="E248" s="909">
        <v>32294.23</v>
      </c>
      <c r="F248" s="909">
        <v>43039</v>
      </c>
      <c r="G248" s="909">
        <v>190586</v>
      </c>
      <c r="H248" s="909"/>
      <c r="I248" s="910">
        <v>3581</v>
      </c>
      <c r="J248" s="910">
        <v>167014</v>
      </c>
      <c r="K248" s="910">
        <v>13053</v>
      </c>
      <c r="L248" s="909">
        <v>4908</v>
      </c>
      <c r="M248" s="909"/>
      <c r="N248" s="910">
        <v>6678</v>
      </c>
      <c r="O248" s="910">
        <v>61644</v>
      </c>
      <c r="P248" s="910">
        <v>0</v>
      </c>
      <c r="Q248" s="909">
        <v>9965</v>
      </c>
      <c r="R248" s="910">
        <f t="shared" si="3"/>
        <v>105370</v>
      </c>
      <c r="S248" s="909"/>
      <c r="T248" s="910">
        <v>50941</v>
      </c>
      <c r="U248" s="912">
        <v>-1566</v>
      </c>
      <c r="V248" s="912">
        <v>49374</v>
      </c>
    </row>
    <row r="249" spans="1:22" x14ac:dyDescent="0.25">
      <c r="A249" s="906">
        <v>92531</v>
      </c>
      <c r="B249" s="907" t="s">
        <v>2812</v>
      </c>
      <c r="C249" s="908">
        <v>8.3779999999999998E-4</v>
      </c>
      <c r="D249" s="908">
        <v>9.3610000000000004E-4</v>
      </c>
      <c r="E249" s="909">
        <v>310253</v>
      </c>
      <c r="F249" s="909">
        <v>420116</v>
      </c>
      <c r="G249" s="909">
        <v>1778092</v>
      </c>
      <c r="H249" s="909"/>
      <c r="I249" s="910">
        <v>33407</v>
      </c>
      <c r="J249" s="910">
        <v>1558176</v>
      </c>
      <c r="K249" s="910">
        <v>121783</v>
      </c>
      <c r="L249" s="909">
        <v>0</v>
      </c>
      <c r="M249" s="909"/>
      <c r="N249" s="910">
        <v>62306</v>
      </c>
      <c r="O249" s="910">
        <v>575115</v>
      </c>
      <c r="P249" s="910">
        <v>0</v>
      </c>
      <c r="Q249" s="909">
        <v>169554</v>
      </c>
      <c r="R249" s="910">
        <f t="shared" si="3"/>
        <v>983061</v>
      </c>
      <c r="S249" s="909"/>
      <c r="T249" s="910">
        <v>475258</v>
      </c>
      <c r="U249" s="912">
        <v>-58220</v>
      </c>
      <c r="V249" s="912">
        <v>417038</v>
      </c>
    </row>
    <row r="250" spans="1:22" x14ac:dyDescent="0.25">
      <c r="A250" s="906">
        <v>92541</v>
      </c>
      <c r="B250" s="907" t="s">
        <v>2813</v>
      </c>
      <c r="C250" s="908">
        <v>1.4300000000000001E-4</v>
      </c>
      <c r="D250" s="908">
        <v>1.2679999999999999E-4</v>
      </c>
      <c r="E250" s="909">
        <v>54919</v>
      </c>
      <c r="F250" s="909">
        <v>56907</v>
      </c>
      <c r="G250" s="909">
        <v>303494</v>
      </c>
      <c r="H250" s="909"/>
      <c r="I250" s="910">
        <v>5702.125</v>
      </c>
      <c r="J250" s="910">
        <v>265957</v>
      </c>
      <c r="K250" s="910">
        <v>20787</v>
      </c>
      <c r="L250" s="909">
        <v>11874</v>
      </c>
      <c r="M250" s="909"/>
      <c r="N250" s="910">
        <v>10635</v>
      </c>
      <c r="O250" s="910">
        <v>98163</v>
      </c>
      <c r="P250" s="910">
        <v>0</v>
      </c>
      <c r="Q250" s="909">
        <v>3822</v>
      </c>
      <c r="R250" s="910">
        <f t="shared" si="3"/>
        <v>167794</v>
      </c>
      <c r="S250" s="909"/>
      <c r="T250" s="910">
        <v>81119</v>
      </c>
      <c r="U250" s="912">
        <v>3227</v>
      </c>
      <c r="V250" s="912">
        <v>84346</v>
      </c>
    </row>
    <row r="251" spans="1:22" x14ac:dyDescent="0.25">
      <c r="A251" s="906">
        <v>92551</v>
      </c>
      <c r="B251" s="907" t="s">
        <v>2814</v>
      </c>
      <c r="C251" s="908">
        <v>4.18E-5</v>
      </c>
      <c r="D251" s="908">
        <v>5.4799999999999997E-5</v>
      </c>
      <c r="E251" s="909">
        <v>16805.93</v>
      </c>
      <c r="F251" s="909">
        <v>24594</v>
      </c>
      <c r="G251" s="909">
        <v>88714</v>
      </c>
      <c r="H251" s="909"/>
      <c r="I251" s="910">
        <v>1666.7750000000001</v>
      </c>
      <c r="J251" s="910">
        <v>77741</v>
      </c>
      <c r="K251" s="910">
        <v>6076</v>
      </c>
      <c r="L251" s="909">
        <v>6834</v>
      </c>
      <c r="M251" s="909"/>
      <c r="N251" s="910">
        <v>3109</v>
      </c>
      <c r="O251" s="910">
        <v>28694</v>
      </c>
      <c r="P251" s="910">
        <v>0</v>
      </c>
      <c r="Q251" s="909">
        <v>11864</v>
      </c>
      <c r="R251" s="910">
        <f t="shared" si="3"/>
        <v>49047</v>
      </c>
      <c r="S251" s="909"/>
      <c r="T251" s="910">
        <v>23712</v>
      </c>
      <c r="U251" s="912">
        <v>-71</v>
      </c>
      <c r="V251" s="912">
        <v>23641</v>
      </c>
    </row>
    <row r="252" spans="1:22" x14ac:dyDescent="0.25">
      <c r="A252" s="906">
        <v>92561</v>
      </c>
      <c r="B252" s="907" t="s">
        <v>2815</v>
      </c>
      <c r="C252" s="908">
        <v>2.2900000000000001E-5</v>
      </c>
      <c r="D252" s="908">
        <v>2.1800000000000001E-5</v>
      </c>
      <c r="E252" s="909">
        <v>12865.05</v>
      </c>
      <c r="F252" s="909">
        <v>9784</v>
      </c>
      <c r="G252" s="909">
        <v>48601</v>
      </c>
      <c r="H252" s="909"/>
      <c r="I252" s="910">
        <v>913.13750000000005</v>
      </c>
      <c r="J252" s="910">
        <v>42590</v>
      </c>
      <c r="K252" s="910">
        <v>3329</v>
      </c>
      <c r="L252" s="909">
        <v>7071</v>
      </c>
      <c r="M252" s="909"/>
      <c r="N252" s="910">
        <v>1703</v>
      </c>
      <c r="O252" s="910">
        <v>15720</v>
      </c>
      <c r="P252" s="910">
        <v>0</v>
      </c>
      <c r="Q252" s="909">
        <v>0</v>
      </c>
      <c r="R252" s="910">
        <f t="shared" si="3"/>
        <v>26870</v>
      </c>
      <c r="S252" s="909"/>
      <c r="T252" s="910">
        <v>12990</v>
      </c>
      <c r="U252" s="912">
        <v>2451</v>
      </c>
      <c r="V252" s="912">
        <v>15442</v>
      </c>
    </row>
    <row r="253" spans="1:22" x14ac:dyDescent="0.25">
      <c r="A253" s="906">
        <v>92571</v>
      </c>
      <c r="B253" s="907" t="s">
        <v>2816</v>
      </c>
      <c r="C253" s="908">
        <v>3.1E-6</v>
      </c>
      <c r="D253" s="908">
        <v>3.8E-6</v>
      </c>
      <c r="E253" s="909">
        <v>6093</v>
      </c>
      <c r="F253" s="909">
        <v>1705</v>
      </c>
      <c r="G253" s="909">
        <v>6579</v>
      </c>
      <c r="H253" s="909"/>
      <c r="I253" s="910">
        <v>123.6125</v>
      </c>
      <c r="J253" s="910">
        <v>5766</v>
      </c>
      <c r="K253" s="910">
        <v>451</v>
      </c>
      <c r="L253" s="909">
        <v>4439</v>
      </c>
      <c r="M253" s="909"/>
      <c r="N253" s="910">
        <v>231</v>
      </c>
      <c r="O253" s="910">
        <v>2128</v>
      </c>
      <c r="P253" s="910">
        <v>0</v>
      </c>
      <c r="Q253" s="909">
        <v>200.99</v>
      </c>
      <c r="R253" s="910">
        <f t="shared" si="3"/>
        <v>3638</v>
      </c>
      <c r="S253" s="909"/>
      <c r="T253" s="910">
        <v>1759</v>
      </c>
      <c r="U253" s="912">
        <v>1144</v>
      </c>
      <c r="V253" s="912">
        <v>2902</v>
      </c>
    </row>
    <row r="254" spans="1:22" x14ac:dyDescent="0.25">
      <c r="A254" s="906">
        <v>92601</v>
      </c>
      <c r="B254" s="907" t="s">
        <v>2817</v>
      </c>
      <c r="C254" s="908">
        <v>1.54185E-2</v>
      </c>
      <c r="D254" s="908">
        <v>1.5052899999999999E-2</v>
      </c>
      <c r="E254" s="909">
        <v>6115436</v>
      </c>
      <c r="F254" s="909">
        <v>6755651</v>
      </c>
      <c r="G254" s="909">
        <v>32723222</v>
      </c>
      <c r="H254" s="909"/>
      <c r="I254" s="910">
        <v>614813</v>
      </c>
      <c r="J254" s="910">
        <v>28675974</v>
      </c>
      <c r="K254" s="910">
        <v>2241249</v>
      </c>
      <c r="L254" s="909">
        <v>258399</v>
      </c>
      <c r="M254" s="909"/>
      <c r="N254" s="910">
        <v>1146658</v>
      </c>
      <c r="O254" s="910">
        <v>10584153</v>
      </c>
      <c r="P254" s="910">
        <v>0</v>
      </c>
      <c r="Q254" s="909">
        <v>0</v>
      </c>
      <c r="R254" s="910">
        <f t="shared" si="3"/>
        <v>18091821</v>
      </c>
      <c r="S254" s="909"/>
      <c r="T254" s="910">
        <v>8746437</v>
      </c>
      <c r="U254" s="912">
        <v>123589</v>
      </c>
      <c r="V254" s="912">
        <v>8870026</v>
      </c>
    </row>
    <row r="255" spans="1:22" x14ac:dyDescent="0.25">
      <c r="A255" s="906">
        <v>92602</v>
      </c>
      <c r="B255" s="907" t="s">
        <v>2818</v>
      </c>
      <c r="C255" s="908">
        <v>8.1999999999999994E-6</v>
      </c>
      <c r="D255" s="908">
        <v>8.3999999999999992E-6</v>
      </c>
      <c r="E255" s="909">
        <v>3297.75</v>
      </c>
      <c r="F255" s="909">
        <v>3770</v>
      </c>
      <c r="G255" s="909">
        <v>17403</v>
      </c>
      <c r="H255" s="909"/>
      <c r="I255" s="910">
        <v>327</v>
      </c>
      <c r="J255" s="910">
        <v>15251</v>
      </c>
      <c r="K255" s="910">
        <v>1192</v>
      </c>
      <c r="L255" s="909">
        <v>708.44</v>
      </c>
      <c r="M255" s="909"/>
      <c r="N255" s="910">
        <v>610</v>
      </c>
      <c r="O255" s="910">
        <v>5629</v>
      </c>
      <c r="P255" s="910">
        <v>0</v>
      </c>
      <c r="Q255" s="909">
        <v>1260</v>
      </c>
      <c r="R255" s="910">
        <f t="shared" si="3"/>
        <v>9622</v>
      </c>
      <c r="S255" s="909"/>
      <c r="T255" s="910">
        <v>4652</v>
      </c>
      <c r="U255" s="912">
        <v>-75</v>
      </c>
      <c r="V255" s="912">
        <v>4577</v>
      </c>
    </row>
    <row r="256" spans="1:22" x14ac:dyDescent="0.25">
      <c r="A256" s="906">
        <v>92604</v>
      </c>
      <c r="B256" s="907" t="s">
        <v>2819</v>
      </c>
      <c r="C256" s="908">
        <v>3.4380000000000001E-4</v>
      </c>
      <c r="D256" s="908">
        <v>3.2019999999999998E-4</v>
      </c>
      <c r="E256" s="909">
        <v>164086</v>
      </c>
      <c r="F256" s="909">
        <v>143704</v>
      </c>
      <c r="G256" s="909">
        <v>729659</v>
      </c>
      <c r="H256" s="909"/>
      <c r="I256" s="910">
        <v>13709</v>
      </c>
      <c r="J256" s="910">
        <v>639414</v>
      </c>
      <c r="K256" s="910">
        <v>49975</v>
      </c>
      <c r="L256" s="909">
        <v>56939</v>
      </c>
      <c r="M256" s="909"/>
      <c r="N256" s="910">
        <v>25568</v>
      </c>
      <c r="O256" s="910">
        <v>236004</v>
      </c>
      <c r="P256" s="910">
        <v>0</v>
      </c>
      <c r="Q256" s="909">
        <v>0</v>
      </c>
      <c r="R256" s="910">
        <f t="shared" si="3"/>
        <v>403410</v>
      </c>
      <c r="S256" s="909"/>
      <c r="T256" s="910">
        <v>195027</v>
      </c>
      <c r="U256" s="912">
        <v>20016</v>
      </c>
      <c r="V256" s="912">
        <v>215043</v>
      </c>
    </row>
    <row r="257" spans="1:22" x14ac:dyDescent="0.25">
      <c r="A257" s="906">
        <v>92607</v>
      </c>
      <c r="B257" s="907" t="s">
        <v>2820</v>
      </c>
      <c r="C257" s="908">
        <v>7.0400000000000004E-5</v>
      </c>
      <c r="D257" s="908">
        <v>7.4099999999999999E-5</v>
      </c>
      <c r="E257" s="909">
        <v>34300</v>
      </c>
      <c r="F257" s="909">
        <v>33256</v>
      </c>
      <c r="G257" s="909">
        <v>149412</v>
      </c>
      <c r="H257" s="909"/>
      <c r="I257" s="910">
        <v>2807</v>
      </c>
      <c r="J257" s="910">
        <v>130933</v>
      </c>
      <c r="K257" s="910">
        <v>10233</v>
      </c>
      <c r="L257" s="909">
        <v>9606</v>
      </c>
      <c r="M257" s="909"/>
      <c r="N257" s="910">
        <v>5236</v>
      </c>
      <c r="O257" s="910">
        <v>48327</v>
      </c>
      <c r="P257" s="910">
        <v>0</v>
      </c>
      <c r="Q257" s="909">
        <v>0</v>
      </c>
      <c r="R257" s="910">
        <f t="shared" si="3"/>
        <v>82606</v>
      </c>
      <c r="S257" s="909"/>
      <c r="T257" s="910">
        <v>39936</v>
      </c>
      <c r="U257" s="912">
        <v>3862</v>
      </c>
      <c r="V257" s="912">
        <v>43798</v>
      </c>
    </row>
    <row r="258" spans="1:22" x14ac:dyDescent="0.25">
      <c r="A258" s="906">
        <v>92608</v>
      </c>
      <c r="B258" s="907" t="s">
        <v>2821</v>
      </c>
      <c r="C258" s="908">
        <v>0</v>
      </c>
      <c r="D258" s="908">
        <v>0</v>
      </c>
      <c r="E258" s="909">
        <v>0</v>
      </c>
      <c r="F258" s="909">
        <v>0</v>
      </c>
      <c r="G258" s="909">
        <v>0</v>
      </c>
      <c r="H258" s="909"/>
      <c r="I258" s="910">
        <v>0</v>
      </c>
      <c r="J258" s="910">
        <v>0</v>
      </c>
      <c r="K258" s="910">
        <v>0</v>
      </c>
      <c r="L258" s="909">
        <v>0</v>
      </c>
      <c r="M258" s="909"/>
      <c r="N258" s="910">
        <v>0</v>
      </c>
      <c r="O258" s="910">
        <v>0</v>
      </c>
      <c r="P258" s="910">
        <v>0</v>
      </c>
      <c r="Q258" s="909">
        <v>139807</v>
      </c>
      <c r="R258" s="910">
        <f t="shared" si="3"/>
        <v>0</v>
      </c>
      <c r="S258" s="909"/>
      <c r="T258" s="910">
        <v>0</v>
      </c>
      <c r="U258" s="912">
        <v>-69872</v>
      </c>
      <c r="V258" s="912">
        <v>-69872</v>
      </c>
    </row>
    <row r="259" spans="1:22" x14ac:dyDescent="0.25">
      <c r="A259" s="906">
        <v>92611</v>
      </c>
      <c r="B259" s="907" t="s">
        <v>2822</v>
      </c>
      <c r="C259" s="908">
        <v>1.3650799999999999E-2</v>
      </c>
      <c r="D259" s="908">
        <v>1.3731999999999999E-2</v>
      </c>
      <c r="E259" s="909">
        <v>5062641</v>
      </c>
      <c r="F259" s="909">
        <v>6162839</v>
      </c>
      <c r="G259" s="909">
        <v>28971571</v>
      </c>
      <c r="H259" s="909"/>
      <c r="I259" s="910">
        <v>544325.65</v>
      </c>
      <c r="J259" s="910">
        <v>25388331</v>
      </c>
      <c r="K259" s="910">
        <v>1984294</v>
      </c>
      <c r="L259" s="909">
        <v>20320</v>
      </c>
      <c r="M259" s="909"/>
      <c r="N259" s="910">
        <v>1015196</v>
      </c>
      <c r="O259" s="910">
        <v>9370701</v>
      </c>
      <c r="P259" s="910">
        <v>0</v>
      </c>
      <c r="Q259" s="909">
        <v>707501</v>
      </c>
      <c r="R259" s="910">
        <f t="shared" si="3"/>
        <v>16017630</v>
      </c>
      <c r="S259" s="909"/>
      <c r="T259" s="910">
        <v>7743676</v>
      </c>
      <c r="U259" s="912">
        <v>-194650</v>
      </c>
      <c r="V259" s="912">
        <v>7549026</v>
      </c>
    </row>
    <row r="260" spans="1:22" x14ac:dyDescent="0.25">
      <c r="A260" s="906">
        <v>92613</v>
      </c>
      <c r="B260" s="907" t="s">
        <v>2823</v>
      </c>
      <c r="C260" s="908">
        <v>2.81E-4</v>
      </c>
      <c r="D260" s="908">
        <v>2.9250000000000001E-4</v>
      </c>
      <c r="E260" s="909">
        <v>141183</v>
      </c>
      <c r="F260" s="909">
        <v>131272</v>
      </c>
      <c r="G260" s="909">
        <v>596376</v>
      </c>
      <c r="H260" s="909"/>
      <c r="I260" s="910">
        <v>11204.875</v>
      </c>
      <c r="J260" s="910">
        <v>522616</v>
      </c>
      <c r="K260" s="910">
        <v>40846</v>
      </c>
      <c r="L260" s="909">
        <v>119119</v>
      </c>
      <c r="M260" s="909"/>
      <c r="N260" s="910">
        <v>20898</v>
      </c>
      <c r="O260" s="910">
        <v>192895</v>
      </c>
      <c r="P260" s="910">
        <v>0</v>
      </c>
      <c r="Q260" s="909">
        <v>1892</v>
      </c>
      <c r="R260" s="910">
        <f t="shared" si="3"/>
        <v>329721</v>
      </c>
      <c r="S260" s="909"/>
      <c r="T260" s="910">
        <v>159403</v>
      </c>
      <c r="U260" s="912">
        <v>39940</v>
      </c>
      <c r="V260" s="912">
        <v>199343</v>
      </c>
    </row>
    <row r="261" spans="1:22" x14ac:dyDescent="0.25">
      <c r="A261" s="906">
        <v>92614</v>
      </c>
      <c r="B261" s="907" t="s">
        <v>2824</v>
      </c>
      <c r="C261" s="908">
        <v>5.6468000000000004E-3</v>
      </c>
      <c r="D261" s="908">
        <v>5.6173999999999998E-3</v>
      </c>
      <c r="E261" s="909">
        <v>4370417</v>
      </c>
      <c r="F261" s="909">
        <v>2521055</v>
      </c>
      <c r="G261" s="909">
        <v>11984401</v>
      </c>
      <c r="H261" s="909"/>
      <c r="I261" s="910">
        <v>225166</v>
      </c>
      <c r="J261" s="910">
        <v>10502156</v>
      </c>
      <c r="K261" s="910">
        <v>820824</v>
      </c>
      <c r="L261" s="909">
        <v>3097959</v>
      </c>
      <c r="M261" s="909"/>
      <c r="N261" s="910">
        <v>419947</v>
      </c>
      <c r="O261" s="910">
        <v>3876291</v>
      </c>
      <c r="P261" s="910">
        <v>0</v>
      </c>
      <c r="Q261" s="909">
        <v>0</v>
      </c>
      <c r="R261" s="910">
        <f t="shared" si="3"/>
        <v>6625865</v>
      </c>
      <c r="S261" s="909"/>
      <c r="T261" s="910">
        <v>3203255</v>
      </c>
      <c r="U261" s="912">
        <v>970834</v>
      </c>
      <c r="V261" s="912">
        <v>4174089</v>
      </c>
    </row>
    <row r="262" spans="1:22" x14ac:dyDescent="0.25">
      <c r="A262" s="906">
        <v>92621</v>
      </c>
      <c r="B262" s="907" t="s">
        <v>2825</v>
      </c>
      <c r="C262" s="908">
        <v>3.2799999999999998E-5</v>
      </c>
      <c r="D262" s="908">
        <v>3.3099999999999998E-5</v>
      </c>
      <c r="E262" s="909">
        <v>12384</v>
      </c>
      <c r="F262" s="909">
        <v>14855</v>
      </c>
      <c r="G262" s="909">
        <v>69613</v>
      </c>
      <c r="H262" s="909"/>
      <c r="I262" s="910">
        <v>1308</v>
      </c>
      <c r="J262" s="910">
        <v>61003</v>
      </c>
      <c r="K262" s="910">
        <v>4768</v>
      </c>
      <c r="L262" s="909">
        <v>1351</v>
      </c>
      <c r="M262" s="909"/>
      <c r="N262" s="910">
        <v>2439</v>
      </c>
      <c r="O262" s="910">
        <v>22516</v>
      </c>
      <c r="P262" s="910">
        <v>0</v>
      </c>
      <c r="Q262" s="909">
        <v>3050</v>
      </c>
      <c r="R262" s="910">
        <f t="shared" si="3"/>
        <v>38487</v>
      </c>
      <c r="S262" s="909"/>
      <c r="T262" s="910">
        <v>18606</v>
      </c>
      <c r="U262" s="912">
        <v>-800</v>
      </c>
      <c r="V262" s="912">
        <v>17806</v>
      </c>
    </row>
    <row r="263" spans="1:22" x14ac:dyDescent="0.25">
      <c r="A263" s="906">
        <v>92631</v>
      </c>
      <c r="B263" s="907" t="s">
        <v>2826</v>
      </c>
      <c r="C263" s="908">
        <v>1.0068E-3</v>
      </c>
      <c r="D263" s="908">
        <v>1.0248E-3</v>
      </c>
      <c r="E263" s="909">
        <v>343817.77</v>
      </c>
      <c r="F263" s="909">
        <v>459924</v>
      </c>
      <c r="G263" s="909">
        <v>2136767</v>
      </c>
      <c r="H263" s="909"/>
      <c r="I263" s="910">
        <v>40146.15</v>
      </c>
      <c r="J263" s="910">
        <v>1872489</v>
      </c>
      <c r="K263" s="910">
        <v>146349</v>
      </c>
      <c r="L263" s="909">
        <v>0</v>
      </c>
      <c r="M263" s="909"/>
      <c r="N263" s="910">
        <v>74875</v>
      </c>
      <c r="O263" s="910">
        <v>691126</v>
      </c>
      <c r="P263" s="910">
        <v>0</v>
      </c>
      <c r="Q263" s="909">
        <v>101284</v>
      </c>
      <c r="R263" s="910">
        <f t="shared" ref="R263:R326" si="4">IF(J263&gt;O263,J263-O263,O263-J263)</f>
        <v>1181363</v>
      </c>
      <c r="S263" s="909"/>
      <c r="T263" s="910">
        <v>571126</v>
      </c>
      <c r="U263" s="912">
        <v>-30677</v>
      </c>
      <c r="V263" s="912">
        <v>540449</v>
      </c>
    </row>
    <row r="264" spans="1:22" x14ac:dyDescent="0.25">
      <c r="A264" s="906">
        <v>92641</v>
      </c>
      <c r="B264" s="907" t="s">
        <v>2827</v>
      </c>
      <c r="C264" s="908">
        <v>1.03E-5</v>
      </c>
      <c r="D264" s="908">
        <v>1.0699999999999999E-5</v>
      </c>
      <c r="E264" s="909">
        <v>4921.7</v>
      </c>
      <c r="F264" s="909">
        <v>4802</v>
      </c>
      <c r="G264" s="909">
        <v>21860</v>
      </c>
      <c r="H264" s="909"/>
      <c r="I264" s="910">
        <v>410.71249999999998</v>
      </c>
      <c r="J264" s="910">
        <v>19156</v>
      </c>
      <c r="K264" s="910">
        <v>1497</v>
      </c>
      <c r="L264" s="909">
        <v>2730</v>
      </c>
      <c r="M264" s="909"/>
      <c r="N264" s="910">
        <v>766</v>
      </c>
      <c r="O264" s="910">
        <v>7071</v>
      </c>
      <c r="P264" s="910">
        <v>0</v>
      </c>
      <c r="Q264" s="909">
        <v>1900</v>
      </c>
      <c r="R264" s="910">
        <f t="shared" si="4"/>
        <v>12085</v>
      </c>
      <c r="S264" s="909"/>
      <c r="T264" s="910">
        <v>5843</v>
      </c>
      <c r="U264" s="912">
        <v>-18</v>
      </c>
      <c r="V264" s="912">
        <v>5825</v>
      </c>
    </row>
    <row r="265" spans="1:22" x14ac:dyDescent="0.25">
      <c r="A265" s="906">
        <v>92651</v>
      </c>
      <c r="B265" s="907" t="s">
        <v>2828</v>
      </c>
      <c r="C265" s="908">
        <v>2.6000000000000001E-6</v>
      </c>
      <c r="D265" s="908">
        <v>2.3999999999999999E-6</v>
      </c>
      <c r="E265" s="909">
        <v>2706.64</v>
      </c>
      <c r="F265" s="909">
        <v>1077</v>
      </c>
      <c r="G265" s="909">
        <v>5518</v>
      </c>
      <c r="H265" s="909"/>
      <c r="I265" s="910">
        <v>103.675</v>
      </c>
      <c r="J265" s="910">
        <v>4836</v>
      </c>
      <c r="K265" s="910">
        <v>378</v>
      </c>
      <c r="L265" s="909">
        <v>2819</v>
      </c>
      <c r="M265" s="909"/>
      <c r="N265" s="910">
        <v>193</v>
      </c>
      <c r="O265" s="910">
        <v>1785</v>
      </c>
      <c r="P265" s="910">
        <v>0</v>
      </c>
      <c r="Q265" s="909">
        <v>0</v>
      </c>
      <c r="R265" s="910">
        <f t="shared" si="4"/>
        <v>3051</v>
      </c>
      <c r="S265" s="909"/>
      <c r="T265" s="910">
        <v>1475</v>
      </c>
      <c r="U265" s="912">
        <v>953</v>
      </c>
      <c r="V265" s="912">
        <v>2428</v>
      </c>
    </row>
    <row r="266" spans="1:22" x14ac:dyDescent="0.25">
      <c r="A266" s="906">
        <v>92661</v>
      </c>
      <c r="B266" s="907" t="s">
        <v>2829</v>
      </c>
      <c r="C266" s="908">
        <v>6.6299999999999996E-4</v>
      </c>
      <c r="D266" s="908">
        <v>6.7860000000000001E-4</v>
      </c>
      <c r="E266" s="909">
        <v>505438</v>
      </c>
      <c r="F266" s="909">
        <v>304552</v>
      </c>
      <c r="G266" s="909">
        <v>1407108</v>
      </c>
      <c r="H266" s="909"/>
      <c r="I266" s="910">
        <v>26437.125</v>
      </c>
      <c r="J266" s="910">
        <v>1233075</v>
      </c>
      <c r="K266" s="910">
        <v>96374</v>
      </c>
      <c r="L266" s="909">
        <v>293360</v>
      </c>
      <c r="M266" s="909"/>
      <c r="N266" s="910">
        <v>49307</v>
      </c>
      <c r="O266" s="910">
        <v>455122</v>
      </c>
      <c r="P266" s="910">
        <v>0</v>
      </c>
      <c r="Q266" s="909">
        <v>33924</v>
      </c>
      <c r="R266" s="910">
        <f t="shared" si="4"/>
        <v>777953</v>
      </c>
      <c r="S266" s="909"/>
      <c r="T266" s="910">
        <v>376099</v>
      </c>
      <c r="U266" s="912">
        <v>70124</v>
      </c>
      <c r="V266" s="912">
        <v>446224</v>
      </c>
    </row>
    <row r="267" spans="1:22" x14ac:dyDescent="0.25">
      <c r="A267" s="906">
        <v>92671</v>
      </c>
      <c r="B267" s="907" t="s">
        <v>2830</v>
      </c>
      <c r="C267" s="908">
        <v>2.9000000000000002E-6</v>
      </c>
      <c r="D267" s="908">
        <v>3.4999999999999999E-6</v>
      </c>
      <c r="E267" s="909">
        <v>4773.75</v>
      </c>
      <c r="F267" s="909">
        <v>1571</v>
      </c>
      <c r="G267" s="909">
        <v>6155</v>
      </c>
      <c r="H267" s="909"/>
      <c r="I267" s="910">
        <v>115.6375</v>
      </c>
      <c r="J267" s="910">
        <v>5394</v>
      </c>
      <c r="K267" s="910">
        <v>422</v>
      </c>
      <c r="L267" s="909">
        <v>4608</v>
      </c>
      <c r="M267" s="909"/>
      <c r="N267" s="910">
        <v>216</v>
      </c>
      <c r="O267" s="910">
        <v>1991</v>
      </c>
      <c r="P267" s="910">
        <v>0</v>
      </c>
      <c r="Q267" s="909">
        <v>0</v>
      </c>
      <c r="R267" s="910">
        <f t="shared" si="4"/>
        <v>3403</v>
      </c>
      <c r="S267" s="909"/>
      <c r="T267" s="910">
        <v>1645</v>
      </c>
      <c r="U267" s="912">
        <v>1438</v>
      </c>
      <c r="V267" s="912">
        <v>3083</v>
      </c>
    </row>
    <row r="268" spans="1:22" x14ac:dyDescent="0.25">
      <c r="A268" s="906">
        <v>92681</v>
      </c>
      <c r="B268" s="907" t="s">
        <v>2831</v>
      </c>
      <c r="C268" s="908">
        <v>1.01E-5</v>
      </c>
      <c r="D268" s="908">
        <v>5.4E-6</v>
      </c>
      <c r="E268" s="909">
        <v>9614</v>
      </c>
      <c r="F268" s="909">
        <v>2423</v>
      </c>
      <c r="G268" s="909">
        <v>21436</v>
      </c>
      <c r="H268" s="909"/>
      <c r="I268" s="910">
        <v>402.73750000000001</v>
      </c>
      <c r="J268" s="910">
        <v>18784</v>
      </c>
      <c r="K268" s="910">
        <v>1468</v>
      </c>
      <c r="L268" s="909">
        <v>11040</v>
      </c>
      <c r="M268" s="909"/>
      <c r="N268" s="910">
        <v>751</v>
      </c>
      <c r="O268" s="910">
        <v>6933</v>
      </c>
      <c r="P268" s="910">
        <v>0</v>
      </c>
      <c r="Q268" s="909">
        <v>0</v>
      </c>
      <c r="R268" s="910">
        <f t="shared" si="4"/>
        <v>11851</v>
      </c>
      <c r="S268" s="909"/>
      <c r="T268" s="910">
        <v>5729</v>
      </c>
      <c r="U268" s="912">
        <v>3452</v>
      </c>
      <c r="V268" s="912">
        <v>9181</v>
      </c>
    </row>
    <row r="269" spans="1:22" x14ac:dyDescent="0.25">
      <c r="A269" s="906">
        <v>92701</v>
      </c>
      <c r="B269" s="907" t="s">
        <v>2832</v>
      </c>
      <c r="C269" s="908">
        <v>2.9588000000000001E-3</v>
      </c>
      <c r="D269" s="908">
        <v>2.8249999999999998E-3</v>
      </c>
      <c r="E269" s="909">
        <v>1147170.26</v>
      </c>
      <c r="F269" s="909">
        <v>1267843</v>
      </c>
      <c r="G269" s="909">
        <v>6279565</v>
      </c>
      <c r="H269" s="909"/>
      <c r="I269" s="910">
        <v>117982</v>
      </c>
      <c r="J269" s="910">
        <v>5502901</v>
      </c>
      <c r="K269" s="910">
        <v>430094</v>
      </c>
      <c r="L269" s="909">
        <v>17190</v>
      </c>
      <c r="M269" s="909"/>
      <c r="N269" s="910">
        <v>220043</v>
      </c>
      <c r="O269" s="910">
        <v>2031092</v>
      </c>
      <c r="P269" s="910">
        <v>0</v>
      </c>
      <c r="Q269" s="909">
        <v>81579</v>
      </c>
      <c r="R269" s="910">
        <f t="shared" si="4"/>
        <v>3471809</v>
      </c>
      <c r="S269" s="909"/>
      <c r="T269" s="910">
        <v>1678436</v>
      </c>
      <c r="U269" s="912">
        <v>-34202</v>
      </c>
      <c r="V269" s="912">
        <v>1644234</v>
      </c>
    </row>
    <row r="270" spans="1:22" x14ac:dyDescent="0.25">
      <c r="A270" s="906">
        <v>92704</v>
      </c>
      <c r="B270" s="907" t="s">
        <v>2833</v>
      </c>
      <c r="C270" s="908">
        <v>4.7700000000000001E-5</v>
      </c>
      <c r="D270" s="908">
        <v>4.8000000000000001E-5</v>
      </c>
      <c r="E270" s="909">
        <v>17416.48</v>
      </c>
      <c r="F270" s="909">
        <v>21542</v>
      </c>
      <c r="G270" s="909">
        <v>101235</v>
      </c>
      <c r="H270" s="909"/>
      <c r="I270" s="910">
        <v>1902</v>
      </c>
      <c r="J270" s="910">
        <v>88714</v>
      </c>
      <c r="K270" s="910">
        <v>6934</v>
      </c>
      <c r="L270" s="909">
        <v>2418</v>
      </c>
      <c r="M270" s="909"/>
      <c r="N270" s="910">
        <v>3547</v>
      </c>
      <c r="O270" s="910">
        <v>32744</v>
      </c>
      <c r="P270" s="910">
        <v>0</v>
      </c>
      <c r="Q270" s="909">
        <v>1922</v>
      </c>
      <c r="R270" s="910">
        <f t="shared" si="4"/>
        <v>55970</v>
      </c>
      <c r="S270" s="909"/>
      <c r="T270" s="910">
        <v>27059</v>
      </c>
      <c r="U270" s="912">
        <v>357</v>
      </c>
      <c r="V270" s="912">
        <v>27415</v>
      </c>
    </row>
    <row r="271" spans="1:22" x14ac:dyDescent="0.25">
      <c r="A271" s="906">
        <v>92801</v>
      </c>
      <c r="B271" s="907" t="s">
        <v>2834</v>
      </c>
      <c r="C271" s="908">
        <v>5.1701000000000004E-3</v>
      </c>
      <c r="D271" s="908">
        <v>5.1633E-3</v>
      </c>
      <c r="E271" s="909">
        <v>2172949.21</v>
      </c>
      <c r="F271" s="909">
        <v>2317258</v>
      </c>
      <c r="G271" s="909">
        <v>10972684</v>
      </c>
      <c r="H271" s="909"/>
      <c r="I271" s="910">
        <v>206158</v>
      </c>
      <c r="J271" s="910">
        <v>9615569</v>
      </c>
      <c r="K271" s="910">
        <v>751531</v>
      </c>
      <c r="L271" s="909">
        <v>219271</v>
      </c>
      <c r="M271" s="909"/>
      <c r="N271" s="910">
        <v>384495</v>
      </c>
      <c r="O271" s="910">
        <v>3549057</v>
      </c>
      <c r="P271" s="910">
        <v>0</v>
      </c>
      <c r="Q271" s="909">
        <v>0</v>
      </c>
      <c r="R271" s="910">
        <f t="shared" si="4"/>
        <v>6066512</v>
      </c>
      <c r="S271" s="909"/>
      <c r="T271" s="910">
        <v>2932837</v>
      </c>
      <c r="U271" s="912">
        <v>78433</v>
      </c>
      <c r="V271" s="912">
        <v>3011270</v>
      </c>
    </row>
    <row r="272" spans="1:22" x14ac:dyDescent="0.25">
      <c r="A272" s="906">
        <v>92802</v>
      </c>
      <c r="B272" s="907" t="s">
        <v>2835</v>
      </c>
      <c r="C272" s="908">
        <v>1.3410000000000001E-4</v>
      </c>
      <c r="D272" s="908">
        <v>1.4359999999999999E-4</v>
      </c>
      <c r="E272" s="909">
        <v>49243.25</v>
      </c>
      <c r="F272" s="909">
        <v>64447</v>
      </c>
      <c r="G272" s="909">
        <v>284605</v>
      </c>
      <c r="H272" s="909"/>
      <c r="I272" s="910">
        <v>5347</v>
      </c>
      <c r="J272" s="910">
        <v>249405</v>
      </c>
      <c r="K272" s="910">
        <v>19493</v>
      </c>
      <c r="L272" s="909">
        <v>0</v>
      </c>
      <c r="M272" s="909"/>
      <c r="N272" s="910">
        <v>9973</v>
      </c>
      <c r="O272" s="910">
        <v>92054</v>
      </c>
      <c r="P272" s="910">
        <v>0</v>
      </c>
      <c r="Q272" s="909">
        <v>17052</v>
      </c>
      <c r="R272" s="910">
        <f t="shared" si="4"/>
        <v>157351</v>
      </c>
      <c r="S272" s="909"/>
      <c r="T272" s="910">
        <v>76071</v>
      </c>
      <c r="U272" s="912">
        <v>-5458</v>
      </c>
      <c r="V272" s="912">
        <v>70613</v>
      </c>
    </row>
    <row r="273" spans="1:22" x14ac:dyDescent="0.25">
      <c r="A273" s="906">
        <v>92804</v>
      </c>
      <c r="B273" s="907" t="s">
        <v>2836</v>
      </c>
      <c r="C273" s="908">
        <v>1.47E-4</v>
      </c>
      <c r="D273" s="908">
        <v>1.217E-4</v>
      </c>
      <c r="E273" s="909">
        <v>50468.480000000003</v>
      </c>
      <c r="F273" s="909">
        <v>54618</v>
      </c>
      <c r="G273" s="909">
        <v>311983</v>
      </c>
      <c r="H273" s="909"/>
      <c r="I273" s="910">
        <v>5861.625</v>
      </c>
      <c r="J273" s="910">
        <v>273397</v>
      </c>
      <c r="K273" s="910">
        <v>21368</v>
      </c>
      <c r="L273" s="909">
        <v>12672</v>
      </c>
      <c r="M273" s="909"/>
      <c r="N273" s="910">
        <v>10932</v>
      </c>
      <c r="O273" s="910">
        <v>100909</v>
      </c>
      <c r="P273" s="910">
        <v>0</v>
      </c>
      <c r="Q273" s="909">
        <v>2663</v>
      </c>
      <c r="R273" s="910">
        <f t="shared" si="4"/>
        <v>172488</v>
      </c>
      <c r="S273" s="909"/>
      <c r="T273" s="910">
        <v>83389</v>
      </c>
      <c r="U273" s="912">
        <v>2604</v>
      </c>
      <c r="V273" s="912">
        <v>85992</v>
      </c>
    </row>
    <row r="274" spans="1:22" x14ac:dyDescent="0.25">
      <c r="A274" s="906">
        <v>92811</v>
      </c>
      <c r="B274" s="907" t="s">
        <v>2837</v>
      </c>
      <c r="C274" s="908">
        <v>9.8569999999999994E-4</v>
      </c>
      <c r="D274" s="908">
        <v>1.1405E-3</v>
      </c>
      <c r="E274" s="909">
        <v>390969</v>
      </c>
      <c r="F274" s="909">
        <v>511850</v>
      </c>
      <c r="G274" s="909">
        <v>2091986</v>
      </c>
      <c r="H274" s="909"/>
      <c r="I274" s="910">
        <v>39305</v>
      </c>
      <c r="J274" s="910">
        <v>1833246</v>
      </c>
      <c r="K274" s="910">
        <v>143282</v>
      </c>
      <c r="L274" s="909">
        <v>0</v>
      </c>
      <c r="M274" s="909"/>
      <c r="N274" s="910">
        <v>73306</v>
      </c>
      <c r="O274" s="910">
        <v>676642</v>
      </c>
      <c r="P274" s="910">
        <v>0</v>
      </c>
      <c r="Q274" s="909">
        <v>118839</v>
      </c>
      <c r="R274" s="910">
        <f t="shared" si="4"/>
        <v>1156604</v>
      </c>
      <c r="S274" s="909"/>
      <c r="T274" s="910">
        <v>559157</v>
      </c>
      <c r="U274" s="912">
        <v>-36047</v>
      </c>
      <c r="V274" s="912">
        <v>523110</v>
      </c>
    </row>
    <row r="275" spans="1:22" x14ac:dyDescent="0.25">
      <c r="A275" s="906">
        <v>92821</v>
      </c>
      <c r="B275" s="907" t="s">
        <v>2838</v>
      </c>
      <c r="C275" s="908">
        <v>1.0139999999999999E-3</v>
      </c>
      <c r="D275" s="908">
        <v>9.8010000000000002E-4</v>
      </c>
      <c r="E275" s="909">
        <v>411903</v>
      </c>
      <c r="F275" s="909">
        <v>439863</v>
      </c>
      <c r="G275" s="909">
        <v>2152047.69</v>
      </c>
      <c r="H275" s="909"/>
      <c r="I275" s="910">
        <v>40433.25</v>
      </c>
      <c r="J275" s="910">
        <v>1885880</v>
      </c>
      <c r="K275" s="910">
        <v>147396</v>
      </c>
      <c r="L275" s="909">
        <v>27408</v>
      </c>
      <c r="M275" s="909"/>
      <c r="N275" s="910">
        <v>75410</v>
      </c>
      <c r="O275" s="910">
        <v>696068</v>
      </c>
      <c r="P275" s="910">
        <v>0</v>
      </c>
      <c r="Q275" s="909">
        <v>0</v>
      </c>
      <c r="R275" s="910">
        <f t="shared" si="4"/>
        <v>1189812</v>
      </c>
      <c r="S275" s="909"/>
      <c r="T275" s="910">
        <v>575211</v>
      </c>
      <c r="U275" s="912">
        <v>8904</v>
      </c>
      <c r="V275" s="912">
        <v>584115</v>
      </c>
    </row>
    <row r="276" spans="1:22" x14ac:dyDescent="0.25">
      <c r="A276" s="906">
        <v>92831</v>
      </c>
      <c r="B276" s="907" t="s">
        <v>2839</v>
      </c>
      <c r="C276" s="908">
        <v>2.476E-4</v>
      </c>
      <c r="D276" s="908">
        <v>2.4049999999999999E-4</v>
      </c>
      <c r="E276" s="909">
        <v>117070.46</v>
      </c>
      <c r="F276" s="909">
        <v>107935</v>
      </c>
      <c r="G276" s="909">
        <v>525490</v>
      </c>
      <c r="H276" s="909"/>
      <c r="I276" s="910">
        <v>9873</v>
      </c>
      <c r="J276" s="910">
        <v>460497</v>
      </c>
      <c r="K276" s="910">
        <v>35991</v>
      </c>
      <c r="L276" s="909">
        <v>29199</v>
      </c>
      <c r="M276" s="909"/>
      <c r="N276" s="910">
        <v>18414</v>
      </c>
      <c r="O276" s="910">
        <v>169967</v>
      </c>
      <c r="P276" s="910">
        <v>0</v>
      </c>
      <c r="Q276" s="909">
        <v>0</v>
      </c>
      <c r="R276" s="910">
        <f t="shared" si="4"/>
        <v>290530</v>
      </c>
      <c r="S276" s="909"/>
      <c r="T276" s="910">
        <v>140456</v>
      </c>
      <c r="U276" s="912">
        <v>10043</v>
      </c>
      <c r="V276" s="912">
        <v>150499</v>
      </c>
    </row>
    <row r="277" spans="1:22" x14ac:dyDescent="0.25">
      <c r="A277" s="906">
        <v>92841</v>
      </c>
      <c r="B277" s="907" t="s">
        <v>2840</v>
      </c>
      <c r="C277" s="908">
        <v>2.8160000000000001E-4</v>
      </c>
      <c r="D277" s="908">
        <v>2.7070000000000002E-4</v>
      </c>
      <c r="E277" s="909">
        <v>105224</v>
      </c>
      <c r="F277" s="909">
        <v>121489</v>
      </c>
      <c r="G277" s="909">
        <v>597650</v>
      </c>
      <c r="H277" s="909"/>
      <c r="I277" s="910">
        <v>11229</v>
      </c>
      <c r="J277" s="910">
        <v>523732</v>
      </c>
      <c r="K277" s="910">
        <v>40934</v>
      </c>
      <c r="L277" s="909">
        <v>11701.2</v>
      </c>
      <c r="M277" s="909"/>
      <c r="N277" s="910">
        <v>20942</v>
      </c>
      <c r="O277" s="910">
        <v>193307</v>
      </c>
      <c r="P277" s="910">
        <v>0</v>
      </c>
      <c r="Q277" s="909">
        <v>3120</v>
      </c>
      <c r="R277" s="910">
        <f t="shared" si="4"/>
        <v>330425</v>
      </c>
      <c r="S277" s="909"/>
      <c r="T277" s="910">
        <v>159743</v>
      </c>
      <c r="U277" s="912">
        <v>5013</v>
      </c>
      <c r="V277" s="912">
        <v>164756</v>
      </c>
    </row>
    <row r="278" spans="1:22" x14ac:dyDescent="0.25">
      <c r="A278" s="906">
        <v>92851</v>
      </c>
      <c r="B278" s="907" t="s">
        <v>2841</v>
      </c>
      <c r="C278" s="908">
        <v>4.3909999999999999E-4</v>
      </c>
      <c r="D278" s="908">
        <v>4.6690000000000002E-4</v>
      </c>
      <c r="E278" s="909">
        <v>157592</v>
      </c>
      <c r="F278" s="909">
        <v>209542</v>
      </c>
      <c r="G278" s="909">
        <v>931917</v>
      </c>
      <c r="H278" s="909"/>
      <c r="I278" s="910">
        <v>17509</v>
      </c>
      <c r="J278" s="910">
        <v>816657</v>
      </c>
      <c r="K278" s="910">
        <v>63828</v>
      </c>
      <c r="L278" s="909">
        <v>0</v>
      </c>
      <c r="M278" s="909"/>
      <c r="N278" s="910">
        <v>32655</v>
      </c>
      <c r="O278" s="910">
        <v>301424</v>
      </c>
      <c r="P278" s="910">
        <v>0</v>
      </c>
      <c r="Q278" s="909">
        <v>92000</v>
      </c>
      <c r="R278" s="910">
        <f t="shared" si="4"/>
        <v>515233</v>
      </c>
      <c r="S278" s="909"/>
      <c r="T278" s="910">
        <v>249088</v>
      </c>
      <c r="U278" s="912">
        <v>-34292</v>
      </c>
      <c r="V278" s="912">
        <v>214796</v>
      </c>
    </row>
    <row r="279" spans="1:22" x14ac:dyDescent="0.25">
      <c r="A279" s="906">
        <v>92861</v>
      </c>
      <c r="B279" s="907" t="s">
        <v>2842</v>
      </c>
      <c r="C279" s="908">
        <v>3.3629999999999999E-4</v>
      </c>
      <c r="D279" s="908">
        <v>3.7750000000000001E-4</v>
      </c>
      <c r="E279" s="909">
        <v>101705</v>
      </c>
      <c r="F279" s="909">
        <v>169420</v>
      </c>
      <c r="G279" s="909">
        <v>713741</v>
      </c>
      <c r="H279" s="909"/>
      <c r="I279" s="910">
        <v>13410</v>
      </c>
      <c r="J279" s="910">
        <v>625465</v>
      </c>
      <c r="K279" s="910">
        <v>48885</v>
      </c>
      <c r="L279" s="909">
        <v>0</v>
      </c>
      <c r="M279" s="909"/>
      <c r="N279" s="910">
        <v>25010</v>
      </c>
      <c r="O279" s="910">
        <v>230856</v>
      </c>
      <c r="P279" s="910">
        <v>0</v>
      </c>
      <c r="Q279" s="909">
        <v>96581</v>
      </c>
      <c r="R279" s="910">
        <f t="shared" si="4"/>
        <v>394609</v>
      </c>
      <c r="S279" s="909"/>
      <c r="T279" s="910">
        <v>190773</v>
      </c>
      <c r="U279" s="912">
        <v>-32224</v>
      </c>
      <c r="V279" s="912">
        <v>158549</v>
      </c>
    </row>
    <row r="280" spans="1:22" x14ac:dyDescent="0.25">
      <c r="A280" s="906">
        <v>92901</v>
      </c>
      <c r="B280" s="907" t="s">
        <v>2843</v>
      </c>
      <c r="C280" s="908">
        <v>5.7581000000000004E-3</v>
      </c>
      <c r="D280" s="908">
        <v>5.7428999999999996E-3</v>
      </c>
      <c r="E280" s="909">
        <v>2270581</v>
      </c>
      <c r="F280" s="909">
        <v>2577379</v>
      </c>
      <c r="G280" s="909">
        <v>12220617</v>
      </c>
      <c r="H280" s="909"/>
      <c r="I280" s="910">
        <v>229604</v>
      </c>
      <c r="J280" s="910">
        <v>10709156</v>
      </c>
      <c r="K280" s="910">
        <v>837003</v>
      </c>
      <c r="L280" s="909">
        <v>108561</v>
      </c>
      <c r="M280" s="909"/>
      <c r="N280" s="910">
        <v>428224</v>
      </c>
      <c r="O280" s="910">
        <v>3952694</v>
      </c>
      <c r="P280" s="910">
        <v>0</v>
      </c>
      <c r="Q280" s="909">
        <v>69123</v>
      </c>
      <c r="R280" s="910">
        <f t="shared" si="4"/>
        <v>6756462</v>
      </c>
      <c r="S280" s="909"/>
      <c r="T280" s="910">
        <v>3266392</v>
      </c>
      <c r="U280" s="912">
        <v>24956</v>
      </c>
      <c r="V280" s="912">
        <v>3291348</v>
      </c>
    </row>
    <row r="281" spans="1:22" x14ac:dyDescent="0.25">
      <c r="A281" s="906">
        <v>92911</v>
      </c>
      <c r="B281" s="907" t="s">
        <v>2844</v>
      </c>
      <c r="C281" s="908">
        <v>1.9442999999999999E-3</v>
      </c>
      <c r="D281" s="908">
        <v>2.0665000000000002E-3</v>
      </c>
      <c r="E281" s="909">
        <v>811710.22</v>
      </c>
      <c r="F281" s="909">
        <v>927433</v>
      </c>
      <c r="G281" s="909">
        <v>4126456</v>
      </c>
      <c r="H281" s="909"/>
      <c r="I281" s="910">
        <v>77529</v>
      </c>
      <c r="J281" s="910">
        <v>3616091</v>
      </c>
      <c r="K281" s="910">
        <v>282625</v>
      </c>
      <c r="L281" s="909">
        <v>0</v>
      </c>
      <c r="M281" s="909"/>
      <c r="N281" s="910">
        <v>144596</v>
      </c>
      <c r="O281" s="910">
        <v>1334680</v>
      </c>
      <c r="P281" s="910">
        <v>0</v>
      </c>
      <c r="Q281" s="909">
        <v>175676</v>
      </c>
      <c r="R281" s="910">
        <f t="shared" si="4"/>
        <v>2281411</v>
      </c>
      <c r="S281" s="909"/>
      <c r="T281" s="910">
        <v>1102941</v>
      </c>
      <c r="U281" s="912">
        <v>-62151</v>
      </c>
      <c r="V281" s="912">
        <v>1040790</v>
      </c>
    </row>
    <row r="282" spans="1:22" x14ac:dyDescent="0.25">
      <c r="A282" s="906">
        <v>92913</v>
      </c>
      <c r="B282" s="907" t="s">
        <v>2845</v>
      </c>
      <c r="C282" s="908">
        <v>2.37E-5</v>
      </c>
      <c r="D282" s="908">
        <v>2.97E-5</v>
      </c>
      <c r="E282" s="909">
        <v>56296.04</v>
      </c>
      <c r="F282" s="909">
        <v>13329</v>
      </c>
      <c r="G282" s="909">
        <v>50299</v>
      </c>
      <c r="H282" s="909"/>
      <c r="I282" s="910">
        <v>945.03750000000002</v>
      </c>
      <c r="J282" s="910">
        <v>44078</v>
      </c>
      <c r="K282" s="910">
        <v>3445</v>
      </c>
      <c r="L282" s="909">
        <v>60788</v>
      </c>
      <c r="M282" s="909"/>
      <c r="N282" s="910">
        <v>1763</v>
      </c>
      <c r="O282" s="910">
        <v>16269</v>
      </c>
      <c r="P282" s="910">
        <v>0</v>
      </c>
      <c r="Q282" s="909">
        <v>4115</v>
      </c>
      <c r="R282" s="910">
        <f t="shared" si="4"/>
        <v>27809</v>
      </c>
      <c r="S282" s="909"/>
      <c r="T282" s="910">
        <v>13444</v>
      </c>
      <c r="U282" s="912">
        <v>16266</v>
      </c>
      <c r="V282" s="912">
        <v>29711</v>
      </c>
    </row>
    <row r="283" spans="1:22" x14ac:dyDescent="0.25">
      <c r="A283" s="906">
        <v>92917</v>
      </c>
      <c r="B283" s="907" t="s">
        <v>2846</v>
      </c>
      <c r="C283" s="908">
        <v>2.0000000000000002E-5</v>
      </c>
      <c r="D283" s="908">
        <v>1.9599999999999999E-5</v>
      </c>
      <c r="E283" s="909">
        <v>15742</v>
      </c>
      <c r="F283" s="909">
        <v>8796</v>
      </c>
      <c r="G283" s="909">
        <v>42447</v>
      </c>
      <c r="H283" s="909"/>
      <c r="I283" s="910">
        <v>798</v>
      </c>
      <c r="J283" s="910">
        <v>37197</v>
      </c>
      <c r="K283" s="910">
        <v>2907</v>
      </c>
      <c r="L283" s="909">
        <v>14645</v>
      </c>
      <c r="M283" s="909"/>
      <c r="N283" s="910">
        <v>1487.38</v>
      </c>
      <c r="O283" s="910">
        <v>13729</v>
      </c>
      <c r="P283" s="910">
        <v>0</v>
      </c>
      <c r="Q283" s="909">
        <v>0</v>
      </c>
      <c r="R283" s="910">
        <f t="shared" si="4"/>
        <v>23468</v>
      </c>
      <c r="S283" s="909"/>
      <c r="T283" s="910">
        <v>11345</v>
      </c>
      <c r="U283" s="912">
        <v>5366</v>
      </c>
      <c r="V283" s="912">
        <v>16711</v>
      </c>
    </row>
    <row r="284" spans="1:22" x14ac:dyDescent="0.25">
      <c r="A284" s="906">
        <v>92921</v>
      </c>
      <c r="B284" s="907" t="s">
        <v>2847</v>
      </c>
      <c r="C284" s="908">
        <v>6.2899999999999997E-5</v>
      </c>
      <c r="D284" s="908">
        <v>8.1500000000000002E-5</v>
      </c>
      <c r="E284" s="909">
        <v>34231</v>
      </c>
      <c r="F284" s="909">
        <v>36577</v>
      </c>
      <c r="G284" s="909">
        <v>133495</v>
      </c>
      <c r="H284" s="909"/>
      <c r="I284" s="910">
        <v>2508</v>
      </c>
      <c r="J284" s="910">
        <v>116984</v>
      </c>
      <c r="K284" s="910">
        <v>9143</v>
      </c>
      <c r="L284" s="909">
        <v>0</v>
      </c>
      <c r="M284" s="909"/>
      <c r="N284" s="910">
        <v>4678</v>
      </c>
      <c r="O284" s="910">
        <v>43178</v>
      </c>
      <c r="P284" s="910">
        <v>0</v>
      </c>
      <c r="Q284" s="909">
        <v>14056</v>
      </c>
      <c r="R284" s="910">
        <f t="shared" si="4"/>
        <v>73806</v>
      </c>
      <c r="S284" s="909"/>
      <c r="T284" s="910">
        <v>35681</v>
      </c>
      <c r="U284" s="912">
        <v>-6225</v>
      </c>
      <c r="V284" s="912">
        <v>29456</v>
      </c>
    </row>
    <row r="285" spans="1:22" x14ac:dyDescent="0.25">
      <c r="A285" s="906">
        <v>92931</v>
      </c>
      <c r="B285" s="907" t="s">
        <v>2848</v>
      </c>
      <c r="C285" s="908">
        <v>2.5048000000000002E-3</v>
      </c>
      <c r="D285" s="908">
        <v>2.5463E-3</v>
      </c>
      <c r="E285" s="909">
        <v>948741</v>
      </c>
      <c r="F285" s="909">
        <v>1142764</v>
      </c>
      <c r="G285" s="909">
        <v>5316025</v>
      </c>
      <c r="H285" s="909"/>
      <c r="I285" s="910">
        <v>99879</v>
      </c>
      <c r="J285" s="910">
        <v>4658532</v>
      </c>
      <c r="K285" s="910">
        <v>364100</v>
      </c>
      <c r="L285" s="909">
        <v>15520</v>
      </c>
      <c r="M285" s="909"/>
      <c r="N285" s="910">
        <v>186279</v>
      </c>
      <c r="O285" s="910">
        <v>1719440</v>
      </c>
      <c r="P285" s="910">
        <v>0</v>
      </c>
      <c r="Q285" s="909">
        <v>116480</v>
      </c>
      <c r="R285" s="910">
        <f t="shared" si="4"/>
        <v>2939092</v>
      </c>
      <c r="S285" s="909"/>
      <c r="T285" s="910">
        <v>1420895</v>
      </c>
      <c r="U285" s="912">
        <v>-25186</v>
      </c>
      <c r="V285" s="912">
        <v>1395710</v>
      </c>
    </row>
    <row r="286" spans="1:22" x14ac:dyDescent="0.25">
      <c r="A286" s="906">
        <v>92941</v>
      </c>
      <c r="B286" s="907" t="s">
        <v>1445</v>
      </c>
      <c r="C286" s="908">
        <v>1.84E-5</v>
      </c>
      <c r="D286" s="908">
        <v>1.5999999999999999E-5</v>
      </c>
      <c r="E286" s="909">
        <v>7190</v>
      </c>
      <c r="F286" s="909">
        <v>7181</v>
      </c>
      <c r="G286" s="909">
        <v>39051</v>
      </c>
      <c r="H286" s="909"/>
      <c r="I286" s="910">
        <v>733.7</v>
      </c>
      <c r="J286" s="910">
        <v>34221</v>
      </c>
      <c r="K286" s="910">
        <v>2675</v>
      </c>
      <c r="L286" s="909">
        <v>10216</v>
      </c>
      <c r="M286" s="909"/>
      <c r="N286" s="910">
        <v>1368</v>
      </c>
      <c r="O286" s="910">
        <v>12631</v>
      </c>
      <c r="P286" s="910">
        <v>0</v>
      </c>
      <c r="Q286" s="909">
        <v>0</v>
      </c>
      <c r="R286" s="910">
        <f t="shared" si="4"/>
        <v>21590</v>
      </c>
      <c r="S286" s="909"/>
      <c r="T286" s="910">
        <v>10438</v>
      </c>
      <c r="U286" s="912">
        <v>3605</v>
      </c>
      <c r="V286" s="912">
        <v>14042</v>
      </c>
    </row>
    <row r="287" spans="1:22" x14ac:dyDescent="0.25">
      <c r="A287" s="906">
        <v>93001</v>
      </c>
      <c r="B287" s="907" t="s">
        <v>2849</v>
      </c>
      <c r="C287" s="908">
        <v>2.2739000000000001E-3</v>
      </c>
      <c r="D287" s="908">
        <v>2.2177999999999998E-3</v>
      </c>
      <c r="E287" s="909">
        <v>863907.18</v>
      </c>
      <c r="F287" s="909">
        <v>995335</v>
      </c>
      <c r="G287" s="909">
        <v>4825978</v>
      </c>
      <c r="H287" s="909"/>
      <c r="I287" s="910">
        <v>90672</v>
      </c>
      <c r="J287" s="910">
        <v>4229095</v>
      </c>
      <c r="K287" s="910">
        <v>330536</v>
      </c>
      <c r="L287" s="909">
        <v>13531</v>
      </c>
      <c r="M287" s="909"/>
      <c r="N287" s="910">
        <v>169108</v>
      </c>
      <c r="O287" s="910">
        <v>1560937</v>
      </c>
      <c r="P287" s="910">
        <v>0</v>
      </c>
      <c r="Q287" s="909">
        <v>103635</v>
      </c>
      <c r="R287" s="910">
        <f t="shared" si="4"/>
        <v>2668158</v>
      </c>
      <c r="S287" s="909"/>
      <c r="T287" s="910">
        <v>1289913</v>
      </c>
      <c r="U287" s="912">
        <v>-40908</v>
      </c>
      <c r="V287" s="912">
        <v>1249005</v>
      </c>
    </row>
    <row r="288" spans="1:22" x14ac:dyDescent="0.25">
      <c r="A288" s="906">
        <v>93009</v>
      </c>
      <c r="B288" s="907" t="s">
        <v>2850</v>
      </c>
      <c r="C288" s="908">
        <v>1.5400000000000002E-5</v>
      </c>
      <c r="D288" s="908">
        <v>1.6399999999999999E-5</v>
      </c>
      <c r="E288" s="909">
        <v>4865</v>
      </c>
      <c r="F288" s="909">
        <v>7360</v>
      </c>
      <c r="G288" s="909">
        <v>32684</v>
      </c>
      <c r="H288" s="909"/>
      <c r="I288" s="910">
        <v>614</v>
      </c>
      <c r="J288" s="910">
        <v>28642</v>
      </c>
      <c r="K288" s="910">
        <v>2239</v>
      </c>
      <c r="L288" s="909">
        <v>0</v>
      </c>
      <c r="M288" s="909"/>
      <c r="N288" s="910">
        <v>1145</v>
      </c>
      <c r="O288" s="910">
        <v>10571</v>
      </c>
      <c r="P288" s="910">
        <v>0</v>
      </c>
      <c r="Q288" s="909">
        <v>4210</v>
      </c>
      <c r="R288" s="910">
        <f t="shared" si="4"/>
        <v>18071</v>
      </c>
      <c r="S288" s="909"/>
      <c r="T288" s="910">
        <v>8736</v>
      </c>
      <c r="U288" s="912">
        <v>-1521</v>
      </c>
      <c r="V288" s="912">
        <v>7215</v>
      </c>
    </row>
    <row r="289" spans="1:22" x14ac:dyDescent="0.25">
      <c r="A289" s="906">
        <v>93011</v>
      </c>
      <c r="B289" s="907" t="s">
        <v>2851</v>
      </c>
      <c r="C289" s="908">
        <v>2.6160000000000002E-4</v>
      </c>
      <c r="D289" s="908">
        <v>2.9179999999999999E-4</v>
      </c>
      <c r="E289" s="909">
        <v>124242</v>
      </c>
      <c r="F289" s="909">
        <v>130958</v>
      </c>
      <c r="G289" s="909">
        <v>555203</v>
      </c>
      <c r="H289" s="909"/>
      <c r="I289" s="910">
        <v>10431</v>
      </c>
      <c r="J289" s="910">
        <v>486535</v>
      </c>
      <c r="K289" s="910">
        <v>38026</v>
      </c>
      <c r="L289" s="909">
        <v>2390</v>
      </c>
      <c r="M289" s="909"/>
      <c r="N289" s="910">
        <v>19455</v>
      </c>
      <c r="O289" s="910">
        <v>179577</v>
      </c>
      <c r="P289" s="910">
        <v>0</v>
      </c>
      <c r="Q289" s="909">
        <v>5043</v>
      </c>
      <c r="R289" s="910">
        <f t="shared" si="4"/>
        <v>306958</v>
      </c>
      <c r="S289" s="909"/>
      <c r="T289" s="910">
        <v>148398</v>
      </c>
      <c r="U289" s="912">
        <v>-926</v>
      </c>
      <c r="V289" s="912">
        <v>147472</v>
      </c>
    </row>
    <row r="290" spans="1:22" x14ac:dyDescent="0.25">
      <c r="A290" s="906">
        <v>93021</v>
      </c>
      <c r="B290" s="907" t="s">
        <v>2852</v>
      </c>
      <c r="C290" s="908">
        <v>2.8900000000000001E-5</v>
      </c>
      <c r="D290" s="908">
        <v>3.7200000000000003E-5</v>
      </c>
      <c r="E290" s="909">
        <v>9086</v>
      </c>
      <c r="F290" s="909">
        <v>16695</v>
      </c>
      <c r="G290" s="909">
        <v>61335</v>
      </c>
      <c r="H290" s="909"/>
      <c r="I290" s="910">
        <v>1152.3875</v>
      </c>
      <c r="J290" s="910">
        <v>53749</v>
      </c>
      <c r="K290" s="910">
        <v>4201</v>
      </c>
      <c r="L290" s="909">
        <v>4054</v>
      </c>
      <c r="M290" s="909"/>
      <c r="N290" s="910">
        <v>2149</v>
      </c>
      <c r="O290" s="910">
        <v>19839</v>
      </c>
      <c r="P290" s="910">
        <v>0</v>
      </c>
      <c r="Q290" s="909">
        <v>6719</v>
      </c>
      <c r="R290" s="910">
        <f t="shared" si="4"/>
        <v>33910</v>
      </c>
      <c r="S290" s="909"/>
      <c r="T290" s="910">
        <v>16394</v>
      </c>
      <c r="U290" s="912">
        <v>-87</v>
      </c>
      <c r="V290" s="912">
        <v>16307</v>
      </c>
    </row>
    <row r="291" spans="1:22" x14ac:dyDescent="0.25">
      <c r="A291" s="906">
        <v>93027</v>
      </c>
      <c r="B291" s="907" t="s">
        <v>2853</v>
      </c>
      <c r="C291" s="908">
        <v>1.6699999999999999E-5</v>
      </c>
      <c r="D291" s="908">
        <v>1.49E-5</v>
      </c>
      <c r="E291" s="909">
        <v>6777</v>
      </c>
      <c r="F291" s="909">
        <v>6687</v>
      </c>
      <c r="G291" s="909">
        <v>35443</v>
      </c>
      <c r="H291" s="909"/>
      <c r="I291" s="910">
        <v>665.91250000000002</v>
      </c>
      <c r="J291" s="910">
        <v>31059</v>
      </c>
      <c r="K291" s="910">
        <v>2428</v>
      </c>
      <c r="L291" s="909">
        <v>903</v>
      </c>
      <c r="M291" s="909"/>
      <c r="N291" s="910">
        <v>1242</v>
      </c>
      <c r="O291" s="910">
        <v>11464</v>
      </c>
      <c r="P291" s="910">
        <v>0</v>
      </c>
      <c r="Q291" s="909">
        <v>1496</v>
      </c>
      <c r="R291" s="910">
        <f t="shared" si="4"/>
        <v>19595</v>
      </c>
      <c r="S291" s="909"/>
      <c r="T291" s="910">
        <v>9473</v>
      </c>
      <c r="U291" s="912">
        <v>-429</v>
      </c>
      <c r="V291" s="912">
        <v>9045</v>
      </c>
    </row>
    <row r="292" spans="1:22" x14ac:dyDescent="0.25">
      <c r="A292" s="906">
        <v>93031</v>
      </c>
      <c r="B292" s="907" t="s">
        <v>2854</v>
      </c>
      <c r="C292" s="908">
        <v>2.2399999999999999E-5</v>
      </c>
      <c r="D292" s="908">
        <v>1.4399999999999999E-5</v>
      </c>
      <c r="E292" s="909">
        <v>20149</v>
      </c>
      <c r="F292" s="909">
        <v>6463</v>
      </c>
      <c r="G292" s="909">
        <v>47540</v>
      </c>
      <c r="H292" s="909"/>
      <c r="I292" s="910">
        <v>893</v>
      </c>
      <c r="J292" s="910">
        <v>41660</v>
      </c>
      <c r="K292" s="910">
        <v>3256</v>
      </c>
      <c r="L292" s="909">
        <v>15165</v>
      </c>
      <c r="M292" s="909"/>
      <c r="N292" s="910">
        <v>1666</v>
      </c>
      <c r="O292" s="910">
        <v>15377</v>
      </c>
      <c r="P292" s="910">
        <v>0</v>
      </c>
      <c r="Q292" s="909">
        <v>444</v>
      </c>
      <c r="R292" s="910">
        <f t="shared" si="4"/>
        <v>26283</v>
      </c>
      <c r="S292" s="909"/>
      <c r="T292" s="910">
        <v>12707</v>
      </c>
      <c r="U292" s="912">
        <v>3911</v>
      </c>
      <c r="V292" s="912">
        <v>16617</v>
      </c>
    </row>
    <row r="293" spans="1:22" x14ac:dyDescent="0.25">
      <c r="A293" s="906">
        <v>93101</v>
      </c>
      <c r="B293" s="907" t="s">
        <v>2855</v>
      </c>
      <c r="C293" s="908">
        <v>3.5771000000000002E-3</v>
      </c>
      <c r="D293" s="908">
        <v>3.2972000000000001E-3</v>
      </c>
      <c r="E293" s="909">
        <v>1332692</v>
      </c>
      <c r="F293" s="909">
        <v>1479764</v>
      </c>
      <c r="G293" s="909">
        <v>7591805</v>
      </c>
      <c r="H293" s="909"/>
      <c r="I293" s="910">
        <v>142637</v>
      </c>
      <c r="J293" s="910">
        <v>6652841</v>
      </c>
      <c r="K293" s="910">
        <v>519971</v>
      </c>
      <c r="L293" s="909">
        <v>172542</v>
      </c>
      <c r="M293" s="909"/>
      <c r="N293" s="910">
        <v>266025</v>
      </c>
      <c r="O293" s="910">
        <v>2455529</v>
      </c>
      <c r="P293" s="910">
        <v>0</v>
      </c>
      <c r="Q293" s="909">
        <v>0</v>
      </c>
      <c r="R293" s="910">
        <f t="shared" si="4"/>
        <v>4197312</v>
      </c>
      <c r="S293" s="909"/>
      <c r="T293" s="910">
        <v>2029178</v>
      </c>
      <c r="U293" s="912">
        <v>68285</v>
      </c>
      <c r="V293" s="912">
        <v>2097463</v>
      </c>
    </row>
    <row r="294" spans="1:22" x14ac:dyDescent="0.25">
      <c r="A294" s="906">
        <v>93103</v>
      </c>
      <c r="B294" s="907" t="s">
        <v>2123</v>
      </c>
      <c r="C294" s="908">
        <v>1.7200000000000001E-5</v>
      </c>
      <c r="D294" s="908">
        <v>0</v>
      </c>
      <c r="E294" s="909">
        <v>5178.82</v>
      </c>
      <c r="F294" s="909">
        <v>0</v>
      </c>
      <c r="G294" s="909">
        <v>36504</v>
      </c>
      <c r="H294" s="909"/>
      <c r="I294" s="910">
        <v>685.85</v>
      </c>
      <c r="J294" s="910">
        <v>31989</v>
      </c>
      <c r="K294" s="910">
        <v>2500</v>
      </c>
      <c r="L294" s="909">
        <v>9253</v>
      </c>
      <c r="M294" s="909"/>
      <c r="N294" s="910">
        <v>1279</v>
      </c>
      <c r="O294" s="910">
        <v>11807</v>
      </c>
      <c r="P294" s="910">
        <v>0</v>
      </c>
      <c r="Q294" s="909">
        <v>0</v>
      </c>
      <c r="R294" s="910">
        <f t="shared" si="4"/>
        <v>20182</v>
      </c>
      <c r="S294" s="909"/>
      <c r="T294" s="910">
        <v>9757</v>
      </c>
      <c r="U294" s="912">
        <v>2535</v>
      </c>
      <c r="V294" s="912">
        <v>12292</v>
      </c>
    </row>
    <row r="295" spans="1:22" x14ac:dyDescent="0.25">
      <c r="A295" s="906">
        <v>93108</v>
      </c>
      <c r="B295" s="907" t="s">
        <v>2856</v>
      </c>
      <c r="C295" s="908">
        <v>2.5661999999999998E-3</v>
      </c>
      <c r="D295" s="908">
        <v>2.4540999999999999E-3</v>
      </c>
      <c r="E295" s="909">
        <v>1060595</v>
      </c>
      <c r="F295" s="909">
        <v>1101385</v>
      </c>
      <c r="G295" s="909">
        <v>5446336</v>
      </c>
      <c r="H295" s="909"/>
      <c r="I295" s="910">
        <v>102327</v>
      </c>
      <c r="J295" s="910">
        <v>4772727</v>
      </c>
      <c r="K295" s="910">
        <v>373025</v>
      </c>
      <c r="L295" s="909">
        <v>417043</v>
      </c>
      <c r="M295" s="909"/>
      <c r="N295" s="910">
        <v>190846</v>
      </c>
      <c r="O295" s="910">
        <v>1761589</v>
      </c>
      <c r="P295" s="910">
        <v>0</v>
      </c>
      <c r="Q295" s="909">
        <v>0</v>
      </c>
      <c r="R295" s="910">
        <f t="shared" si="4"/>
        <v>3011138</v>
      </c>
      <c r="S295" s="909"/>
      <c r="T295" s="910">
        <v>1455726</v>
      </c>
      <c r="U295" s="912">
        <v>180256</v>
      </c>
      <c r="V295" s="912">
        <v>1635982</v>
      </c>
    </row>
    <row r="296" spans="1:22" x14ac:dyDescent="0.25">
      <c r="A296" s="906">
        <v>93111</v>
      </c>
      <c r="B296" s="907" t="s">
        <v>2857</v>
      </c>
      <c r="C296" s="908">
        <v>7.08E-5</v>
      </c>
      <c r="D296" s="908">
        <v>7.3700000000000002E-5</v>
      </c>
      <c r="E296" s="909">
        <v>24671.1</v>
      </c>
      <c r="F296" s="909">
        <v>33076</v>
      </c>
      <c r="G296" s="909">
        <v>150261</v>
      </c>
      <c r="H296" s="909"/>
      <c r="I296" s="910">
        <v>2823.15</v>
      </c>
      <c r="J296" s="910">
        <v>131677</v>
      </c>
      <c r="K296" s="910">
        <v>10292</v>
      </c>
      <c r="L296" s="909">
        <v>0</v>
      </c>
      <c r="M296" s="909"/>
      <c r="N296" s="910">
        <v>5265</v>
      </c>
      <c r="O296" s="910">
        <v>48601</v>
      </c>
      <c r="P296" s="910">
        <v>0</v>
      </c>
      <c r="Q296" s="909">
        <v>10981</v>
      </c>
      <c r="R296" s="910">
        <f t="shared" si="4"/>
        <v>83076</v>
      </c>
      <c r="S296" s="909"/>
      <c r="T296" s="910">
        <v>40163</v>
      </c>
      <c r="U296" s="912">
        <v>-3536</v>
      </c>
      <c r="V296" s="912">
        <v>36626</v>
      </c>
    </row>
    <row r="297" spans="1:22" x14ac:dyDescent="0.25">
      <c r="A297" s="906">
        <v>93121</v>
      </c>
      <c r="B297" s="907" t="s">
        <v>2858</v>
      </c>
      <c r="C297" s="908">
        <v>5.8900000000000002E-5</v>
      </c>
      <c r="D297" s="908">
        <v>7.4900000000000005E-5</v>
      </c>
      <c r="E297" s="909">
        <v>22115</v>
      </c>
      <c r="F297" s="909">
        <v>33615</v>
      </c>
      <c r="G297" s="909">
        <v>125006</v>
      </c>
      <c r="H297" s="909"/>
      <c r="I297" s="910">
        <v>2349</v>
      </c>
      <c r="J297" s="910">
        <v>109545</v>
      </c>
      <c r="K297" s="910">
        <v>8562</v>
      </c>
      <c r="L297" s="909">
        <v>0</v>
      </c>
      <c r="M297" s="909"/>
      <c r="N297" s="910">
        <v>4380</v>
      </c>
      <c r="O297" s="910">
        <v>40432</v>
      </c>
      <c r="P297" s="910">
        <v>0</v>
      </c>
      <c r="Q297" s="909">
        <v>13122</v>
      </c>
      <c r="R297" s="910">
        <f t="shared" si="4"/>
        <v>69113</v>
      </c>
      <c r="S297" s="909"/>
      <c r="T297" s="910">
        <v>33412</v>
      </c>
      <c r="U297" s="912">
        <v>-4063</v>
      </c>
      <c r="V297" s="912">
        <v>29349</v>
      </c>
    </row>
    <row r="298" spans="1:22" x14ac:dyDescent="0.25">
      <c r="A298" s="906">
        <v>93127</v>
      </c>
      <c r="B298" s="907" t="s">
        <v>2859</v>
      </c>
      <c r="C298" s="908">
        <v>6.8000000000000001E-6</v>
      </c>
      <c r="D298" s="908">
        <v>7.7999999999999999E-6</v>
      </c>
      <c r="E298" s="909">
        <v>2815</v>
      </c>
      <c r="F298" s="909">
        <v>3501</v>
      </c>
      <c r="G298" s="909">
        <v>14432</v>
      </c>
      <c r="H298" s="909"/>
      <c r="I298" s="910">
        <v>271</v>
      </c>
      <c r="J298" s="910">
        <v>12647</v>
      </c>
      <c r="K298" s="910">
        <v>988</v>
      </c>
      <c r="L298" s="909">
        <v>0</v>
      </c>
      <c r="M298" s="909"/>
      <c r="N298" s="910">
        <v>506</v>
      </c>
      <c r="O298" s="910">
        <v>4668</v>
      </c>
      <c r="P298" s="910">
        <v>0</v>
      </c>
      <c r="Q298" s="909">
        <v>1132</v>
      </c>
      <c r="R298" s="910">
        <f t="shared" si="4"/>
        <v>7979</v>
      </c>
      <c r="S298" s="909"/>
      <c r="T298" s="910">
        <v>3857</v>
      </c>
      <c r="U298" s="912">
        <v>-400</v>
      </c>
      <c r="V298" s="912">
        <v>3457</v>
      </c>
    </row>
    <row r="299" spans="1:22" x14ac:dyDescent="0.25">
      <c r="A299" s="906">
        <v>93131</v>
      </c>
      <c r="B299" s="907" t="s">
        <v>2860</v>
      </c>
      <c r="C299" s="908">
        <v>2.3939999999999999E-4</v>
      </c>
      <c r="D299" s="908">
        <v>2.3680000000000001E-4</v>
      </c>
      <c r="E299" s="909">
        <v>88660</v>
      </c>
      <c r="F299" s="909">
        <v>106274</v>
      </c>
      <c r="G299" s="909">
        <v>508087</v>
      </c>
      <c r="H299" s="909"/>
      <c r="I299" s="910">
        <v>9546</v>
      </c>
      <c r="J299" s="910">
        <v>445246</v>
      </c>
      <c r="K299" s="910">
        <v>34799</v>
      </c>
      <c r="L299" s="909">
        <v>13305</v>
      </c>
      <c r="M299" s="909"/>
      <c r="N299" s="910">
        <v>17804</v>
      </c>
      <c r="O299" s="910">
        <v>164338</v>
      </c>
      <c r="P299" s="910">
        <v>0</v>
      </c>
      <c r="Q299" s="909">
        <v>6369</v>
      </c>
      <c r="R299" s="910">
        <f t="shared" si="4"/>
        <v>280908</v>
      </c>
      <c r="S299" s="909"/>
      <c r="T299" s="910">
        <v>135804</v>
      </c>
      <c r="U299" s="912">
        <v>3767</v>
      </c>
      <c r="V299" s="912">
        <v>139571</v>
      </c>
    </row>
    <row r="300" spans="1:22" x14ac:dyDescent="0.25">
      <c r="A300" s="906">
        <v>93137</v>
      </c>
      <c r="B300" s="907" t="s">
        <v>2861</v>
      </c>
      <c r="C300" s="908">
        <v>1.9E-6</v>
      </c>
      <c r="D300" s="908">
        <v>2.0999999999999998E-6</v>
      </c>
      <c r="E300" s="909">
        <v>1987</v>
      </c>
      <c r="F300" s="909">
        <v>942</v>
      </c>
      <c r="G300" s="909">
        <v>4032</v>
      </c>
      <c r="H300" s="909"/>
      <c r="I300" s="910">
        <v>75.762500000000003</v>
      </c>
      <c r="J300" s="910">
        <v>3534</v>
      </c>
      <c r="K300" s="910">
        <v>276</v>
      </c>
      <c r="L300" s="909">
        <v>1359</v>
      </c>
      <c r="M300" s="909"/>
      <c r="N300" s="910">
        <v>141</v>
      </c>
      <c r="O300" s="910">
        <v>1304</v>
      </c>
      <c r="P300" s="910">
        <v>0</v>
      </c>
      <c r="Q300" s="909">
        <v>0</v>
      </c>
      <c r="R300" s="910">
        <f t="shared" si="4"/>
        <v>2230</v>
      </c>
      <c r="S300" s="909"/>
      <c r="T300" s="910">
        <v>1078</v>
      </c>
      <c r="U300" s="912">
        <v>401</v>
      </c>
      <c r="V300" s="912">
        <v>1479</v>
      </c>
    </row>
    <row r="301" spans="1:22" x14ac:dyDescent="0.25">
      <c r="A301" s="906">
        <v>93141</v>
      </c>
      <c r="B301" s="907" t="s">
        <v>2862</v>
      </c>
      <c r="C301" s="908">
        <v>4.5500000000000001E-5</v>
      </c>
      <c r="D301" s="908">
        <v>4.3399999999999998E-5</v>
      </c>
      <c r="E301" s="909">
        <v>16495.23</v>
      </c>
      <c r="F301" s="909">
        <v>19478</v>
      </c>
      <c r="G301" s="909">
        <v>96566</v>
      </c>
      <c r="H301" s="909"/>
      <c r="I301" s="910">
        <v>1814.3125</v>
      </c>
      <c r="J301" s="910">
        <v>84623</v>
      </c>
      <c r="K301" s="910">
        <v>6614</v>
      </c>
      <c r="L301" s="909">
        <v>4186.96</v>
      </c>
      <c r="M301" s="909"/>
      <c r="N301" s="910">
        <v>3384</v>
      </c>
      <c r="O301" s="910">
        <v>31234</v>
      </c>
      <c r="P301" s="910">
        <v>0</v>
      </c>
      <c r="Q301" s="909">
        <v>3505</v>
      </c>
      <c r="R301" s="910">
        <f t="shared" si="4"/>
        <v>53389</v>
      </c>
      <c r="S301" s="909"/>
      <c r="T301" s="910">
        <v>25811</v>
      </c>
      <c r="U301" s="912">
        <v>920</v>
      </c>
      <c r="V301" s="912">
        <v>26731</v>
      </c>
    </row>
    <row r="302" spans="1:22" x14ac:dyDescent="0.25">
      <c r="A302" s="906">
        <v>93151</v>
      </c>
      <c r="B302" s="907" t="s">
        <v>2863</v>
      </c>
      <c r="C302" s="908">
        <v>3.6539999999999999E-4</v>
      </c>
      <c r="D302" s="908">
        <v>3.524E-4</v>
      </c>
      <c r="E302" s="909">
        <v>137522.13</v>
      </c>
      <c r="F302" s="909">
        <v>158155</v>
      </c>
      <c r="G302" s="909">
        <v>775501</v>
      </c>
      <c r="H302" s="909"/>
      <c r="I302" s="910">
        <v>14570</v>
      </c>
      <c r="J302" s="910">
        <v>679586</v>
      </c>
      <c r="K302" s="910">
        <v>53115</v>
      </c>
      <c r="L302" s="909">
        <v>5881</v>
      </c>
      <c r="M302" s="909"/>
      <c r="N302" s="910">
        <v>27174</v>
      </c>
      <c r="O302" s="910">
        <v>250832</v>
      </c>
      <c r="P302" s="910">
        <v>0</v>
      </c>
      <c r="Q302" s="909">
        <v>6297</v>
      </c>
      <c r="R302" s="910">
        <f t="shared" si="4"/>
        <v>428754</v>
      </c>
      <c r="S302" s="909"/>
      <c r="T302" s="910">
        <v>207280</v>
      </c>
      <c r="U302" s="912">
        <v>-329</v>
      </c>
      <c r="V302" s="912">
        <v>206951</v>
      </c>
    </row>
    <row r="303" spans="1:22" x14ac:dyDescent="0.25">
      <c r="A303" s="906">
        <v>93157</v>
      </c>
      <c r="B303" s="907" t="s">
        <v>2864</v>
      </c>
      <c r="C303" s="908">
        <v>3.8E-6</v>
      </c>
      <c r="D303" s="908">
        <v>2.3999999999999999E-6</v>
      </c>
      <c r="E303" s="909">
        <v>4368.87</v>
      </c>
      <c r="F303" s="909">
        <v>1077</v>
      </c>
      <c r="G303" s="909">
        <v>8065</v>
      </c>
      <c r="H303" s="909"/>
      <c r="I303" s="910">
        <v>151.52500000000001</v>
      </c>
      <c r="J303" s="910">
        <v>7067</v>
      </c>
      <c r="K303" s="910">
        <v>552</v>
      </c>
      <c r="L303" s="909">
        <v>5676</v>
      </c>
      <c r="M303" s="909"/>
      <c r="N303" s="910">
        <v>283</v>
      </c>
      <c r="O303" s="910">
        <v>2609</v>
      </c>
      <c r="P303" s="910">
        <v>0</v>
      </c>
      <c r="Q303" s="909">
        <v>526</v>
      </c>
      <c r="R303" s="910">
        <f t="shared" si="4"/>
        <v>4458</v>
      </c>
      <c r="S303" s="909"/>
      <c r="T303" s="910">
        <v>2156</v>
      </c>
      <c r="U303" s="912">
        <v>1938</v>
      </c>
      <c r="V303" s="912">
        <v>4094</v>
      </c>
    </row>
    <row r="304" spans="1:22" x14ac:dyDescent="0.25">
      <c r="A304" s="906">
        <v>93161</v>
      </c>
      <c r="B304" s="907" t="s">
        <v>2865</v>
      </c>
      <c r="C304" s="908">
        <v>6.2500000000000001E-5</v>
      </c>
      <c r="D304" s="908">
        <v>7.4400000000000006E-5</v>
      </c>
      <c r="E304" s="909">
        <v>37835</v>
      </c>
      <c r="F304" s="909">
        <v>33390</v>
      </c>
      <c r="G304" s="909">
        <v>132646</v>
      </c>
      <c r="H304" s="909"/>
      <c r="I304" s="910">
        <v>2492.1875</v>
      </c>
      <c r="J304" s="910">
        <v>116240</v>
      </c>
      <c r="K304" s="910">
        <v>9085.0625</v>
      </c>
      <c r="L304" s="909">
        <v>14075</v>
      </c>
      <c r="M304" s="909"/>
      <c r="N304" s="910">
        <v>4648.0625</v>
      </c>
      <c r="O304" s="910">
        <v>42903.625</v>
      </c>
      <c r="P304" s="910">
        <v>0</v>
      </c>
      <c r="Q304" s="909">
        <v>0</v>
      </c>
      <c r="R304" s="910">
        <f t="shared" si="4"/>
        <v>73336</v>
      </c>
      <c r="S304" s="909"/>
      <c r="T304" s="910">
        <v>35454</v>
      </c>
      <c r="U304" s="912">
        <v>6018</v>
      </c>
      <c r="V304" s="912">
        <v>41472</v>
      </c>
    </row>
    <row r="305" spans="1:22" x14ac:dyDescent="0.25">
      <c r="A305" s="906">
        <v>93171</v>
      </c>
      <c r="B305" s="907" t="s">
        <v>2866</v>
      </c>
      <c r="C305" s="908">
        <v>5.8000000000000004E-6</v>
      </c>
      <c r="D305" s="908">
        <v>6.1999999999999999E-6</v>
      </c>
      <c r="E305" s="909">
        <v>3824</v>
      </c>
      <c r="F305" s="909">
        <v>2783</v>
      </c>
      <c r="G305" s="909">
        <v>12310</v>
      </c>
      <c r="H305" s="909"/>
      <c r="I305" s="910">
        <v>231.27500000000001</v>
      </c>
      <c r="J305" s="910">
        <v>10787</v>
      </c>
      <c r="K305" s="910">
        <v>843</v>
      </c>
      <c r="L305" s="909">
        <v>1752</v>
      </c>
      <c r="M305" s="909"/>
      <c r="N305" s="910">
        <v>431</v>
      </c>
      <c r="O305" s="910">
        <v>3981</v>
      </c>
      <c r="P305" s="910">
        <v>0</v>
      </c>
      <c r="Q305" s="909">
        <v>0</v>
      </c>
      <c r="R305" s="910">
        <f t="shared" si="4"/>
        <v>6806</v>
      </c>
      <c r="S305" s="909"/>
      <c r="T305" s="910">
        <v>3290</v>
      </c>
      <c r="U305" s="912">
        <v>591</v>
      </c>
      <c r="V305" s="912">
        <v>3881</v>
      </c>
    </row>
    <row r="306" spans="1:22" x14ac:dyDescent="0.25">
      <c r="A306" s="906">
        <v>93181</v>
      </c>
      <c r="B306" s="907" t="s">
        <v>2867</v>
      </c>
      <c r="C306" s="908">
        <v>1.1E-5</v>
      </c>
      <c r="D306" s="908">
        <v>1.0499999999999999E-5</v>
      </c>
      <c r="E306" s="909">
        <v>4374</v>
      </c>
      <c r="F306" s="909">
        <v>4712</v>
      </c>
      <c r="G306" s="909">
        <v>23346</v>
      </c>
      <c r="H306" s="909"/>
      <c r="I306" s="910">
        <v>438.625</v>
      </c>
      <c r="J306" s="910">
        <v>20458</v>
      </c>
      <c r="K306" s="910">
        <v>1599</v>
      </c>
      <c r="L306" s="909">
        <v>743</v>
      </c>
      <c r="M306" s="909"/>
      <c r="N306" s="910">
        <v>818</v>
      </c>
      <c r="O306" s="910">
        <v>7551</v>
      </c>
      <c r="P306" s="910">
        <v>0</v>
      </c>
      <c r="Q306" s="909">
        <v>44</v>
      </c>
      <c r="R306" s="910">
        <f t="shared" si="4"/>
        <v>12907</v>
      </c>
      <c r="S306" s="909"/>
      <c r="T306" s="910">
        <v>6240</v>
      </c>
      <c r="U306" s="912">
        <v>321</v>
      </c>
      <c r="V306" s="912">
        <v>6561</v>
      </c>
    </row>
    <row r="307" spans="1:22" x14ac:dyDescent="0.25">
      <c r="A307" s="906">
        <v>93191</v>
      </c>
      <c r="B307" s="907" t="s">
        <v>2868</v>
      </c>
      <c r="C307" s="908">
        <v>3.3000000000000003E-5</v>
      </c>
      <c r="D307" s="908">
        <v>3.65E-5</v>
      </c>
      <c r="E307" s="909">
        <v>16020</v>
      </c>
      <c r="F307" s="909">
        <v>16381</v>
      </c>
      <c r="G307" s="909">
        <v>70037</v>
      </c>
      <c r="H307" s="909"/>
      <c r="I307" s="910">
        <v>1315.875</v>
      </c>
      <c r="J307" s="910">
        <v>61375</v>
      </c>
      <c r="K307" s="910">
        <v>4797</v>
      </c>
      <c r="L307" s="909">
        <v>2648</v>
      </c>
      <c r="M307" s="909"/>
      <c r="N307" s="910">
        <v>2454</v>
      </c>
      <c r="O307" s="910">
        <v>22653</v>
      </c>
      <c r="P307" s="910">
        <v>0</v>
      </c>
      <c r="Q307" s="909">
        <v>1301.46</v>
      </c>
      <c r="R307" s="910">
        <f t="shared" si="4"/>
        <v>38722</v>
      </c>
      <c r="S307" s="909"/>
      <c r="T307" s="910">
        <v>18720</v>
      </c>
      <c r="U307" s="912">
        <v>280</v>
      </c>
      <c r="V307" s="912">
        <v>19000</v>
      </c>
    </row>
    <row r="308" spans="1:22" x14ac:dyDescent="0.25">
      <c r="A308" s="906">
        <v>93201</v>
      </c>
      <c r="B308" s="907" t="s">
        <v>2869</v>
      </c>
      <c r="C308" s="908">
        <v>1.5819699999999999E-2</v>
      </c>
      <c r="D308" s="908">
        <v>1.50364E-2</v>
      </c>
      <c r="E308" s="909">
        <v>6525567</v>
      </c>
      <c r="F308" s="909">
        <v>6748246</v>
      </c>
      <c r="G308" s="909">
        <v>33574703</v>
      </c>
      <c r="H308" s="909"/>
      <c r="I308" s="910">
        <v>630811</v>
      </c>
      <c r="J308" s="910">
        <v>29422142</v>
      </c>
      <c r="K308" s="910">
        <v>2299567</v>
      </c>
      <c r="L308" s="909">
        <v>1259115</v>
      </c>
      <c r="M308" s="909"/>
      <c r="N308" s="910">
        <v>1176495</v>
      </c>
      <c r="O308" s="910">
        <v>10859560</v>
      </c>
      <c r="P308" s="910">
        <v>0</v>
      </c>
      <c r="Q308" s="909">
        <v>0</v>
      </c>
      <c r="R308" s="910">
        <f t="shared" si="4"/>
        <v>18562582</v>
      </c>
      <c r="S308" s="909"/>
      <c r="T308" s="910">
        <v>8974025</v>
      </c>
      <c r="U308" s="912">
        <v>449569</v>
      </c>
      <c r="V308" s="912">
        <v>9423595</v>
      </c>
    </row>
    <row r="309" spans="1:22" x14ac:dyDescent="0.25">
      <c r="A309" s="906">
        <v>93202</v>
      </c>
      <c r="B309" s="907" t="s">
        <v>2870</v>
      </c>
      <c r="C309" s="908">
        <v>0</v>
      </c>
      <c r="D309" s="908">
        <v>2.076E-4</v>
      </c>
      <c r="E309" s="909">
        <v>0</v>
      </c>
      <c r="F309" s="909">
        <v>93170</v>
      </c>
      <c r="G309" s="909">
        <v>0</v>
      </c>
      <c r="H309" s="909"/>
      <c r="I309" s="910">
        <v>0</v>
      </c>
      <c r="J309" s="910">
        <v>0</v>
      </c>
      <c r="K309" s="910">
        <v>0</v>
      </c>
      <c r="L309" s="909">
        <v>0</v>
      </c>
      <c r="M309" s="909"/>
      <c r="N309" s="910">
        <v>0</v>
      </c>
      <c r="O309" s="910">
        <v>0</v>
      </c>
      <c r="P309" s="910">
        <v>0</v>
      </c>
      <c r="Q309" s="909">
        <v>322063</v>
      </c>
      <c r="R309" s="910">
        <f t="shared" si="4"/>
        <v>0</v>
      </c>
      <c r="S309" s="909"/>
      <c r="T309" s="910">
        <v>0</v>
      </c>
      <c r="U309" s="912">
        <v>-109544</v>
      </c>
      <c r="V309" s="912">
        <v>-109544</v>
      </c>
    </row>
    <row r="310" spans="1:22" x14ac:dyDescent="0.25">
      <c r="A310" s="906">
        <v>93204</v>
      </c>
      <c r="B310" s="907" t="s">
        <v>2871</v>
      </c>
      <c r="C310" s="908">
        <v>2.9480000000000001E-4</v>
      </c>
      <c r="D310" s="908">
        <v>3.168E-4</v>
      </c>
      <c r="E310" s="909">
        <v>128269</v>
      </c>
      <c r="F310" s="909">
        <v>142178</v>
      </c>
      <c r="G310" s="909">
        <v>625664</v>
      </c>
      <c r="H310" s="909"/>
      <c r="I310" s="910">
        <v>11755.15</v>
      </c>
      <c r="J310" s="910">
        <v>548281</v>
      </c>
      <c r="K310" s="910">
        <v>42852</v>
      </c>
      <c r="L310" s="909">
        <v>6159</v>
      </c>
      <c r="M310" s="909"/>
      <c r="N310" s="910">
        <v>21924</v>
      </c>
      <c r="O310" s="910">
        <v>202368</v>
      </c>
      <c r="P310" s="910">
        <v>0</v>
      </c>
      <c r="Q310" s="909">
        <v>15903</v>
      </c>
      <c r="R310" s="910">
        <f t="shared" si="4"/>
        <v>345913</v>
      </c>
      <c r="S310" s="909"/>
      <c r="T310" s="910">
        <v>167231</v>
      </c>
      <c r="U310" s="912">
        <v>-4266</v>
      </c>
      <c r="V310" s="912">
        <v>162965</v>
      </c>
    </row>
    <row r="311" spans="1:22" x14ac:dyDescent="0.25">
      <c r="A311" s="906">
        <v>93209</v>
      </c>
      <c r="B311" s="907" t="s">
        <v>2872</v>
      </c>
      <c r="C311" s="908">
        <v>4.5113999999999996E-3</v>
      </c>
      <c r="D311" s="908">
        <v>3.4578999999999999E-3</v>
      </c>
      <c r="E311" s="909">
        <v>1625225.44</v>
      </c>
      <c r="F311" s="909">
        <v>1551885</v>
      </c>
      <c r="G311" s="909">
        <v>9574702</v>
      </c>
      <c r="H311" s="909"/>
      <c r="I311" s="910">
        <v>179892</v>
      </c>
      <c r="J311" s="910">
        <v>8390491</v>
      </c>
      <c r="K311" s="910">
        <v>655782</v>
      </c>
      <c r="L311" s="909">
        <v>1306118</v>
      </c>
      <c r="M311" s="909"/>
      <c r="N311" s="910">
        <v>335508</v>
      </c>
      <c r="O311" s="910">
        <v>3096887</v>
      </c>
      <c r="P311" s="910">
        <v>0</v>
      </c>
      <c r="Q311" s="909">
        <v>0</v>
      </c>
      <c r="R311" s="910">
        <f t="shared" si="4"/>
        <v>5293604</v>
      </c>
      <c r="S311" s="909"/>
      <c r="T311" s="910">
        <v>2559177</v>
      </c>
      <c r="U311" s="912">
        <v>534418</v>
      </c>
      <c r="V311" s="912">
        <v>3093596</v>
      </c>
    </row>
    <row r="312" spans="1:22" x14ac:dyDescent="0.25">
      <c r="A312" s="906">
        <v>93211</v>
      </c>
      <c r="B312" s="907" t="s">
        <v>2873</v>
      </c>
      <c r="C312" s="908">
        <v>2.0456800000000001E-2</v>
      </c>
      <c r="D312" s="908">
        <v>2.1372599999999999E-2</v>
      </c>
      <c r="E312" s="909">
        <v>8152807</v>
      </c>
      <c r="F312" s="909">
        <v>9591895</v>
      </c>
      <c r="G312" s="909">
        <v>43416183</v>
      </c>
      <c r="H312" s="909"/>
      <c r="I312" s="910">
        <v>815714.9</v>
      </c>
      <c r="J312" s="910">
        <v>38046416</v>
      </c>
      <c r="K312" s="910">
        <v>2973621</v>
      </c>
      <c r="L312" s="909">
        <v>0</v>
      </c>
      <c r="M312" s="909"/>
      <c r="N312" s="910">
        <v>1521352</v>
      </c>
      <c r="O312" s="910">
        <v>14042734</v>
      </c>
      <c r="P312" s="910">
        <v>0</v>
      </c>
      <c r="Q312" s="909">
        <v>1405603</v>
      </c>
      <c r="R312" s="910">
        <f t="shared" si="4"/>
        <v>24003682</v>
      </c>
      <c r="S312" s="909"/>
      <c r="T312" s="910">
        <v>11604508</v>
      </c>
      <c r="U312" s="912">
        <v>-488705</v>
      </c>
      <c r="V312" s="912">
        <v>11115804</v>
      </c>
    </row>
    <row r="313" spans="1:22" x14ac:dyDescent="0.25">
      <c r="A313" s="906">
        <v>93212</v>
      </c>
      <c r="B313" s="907" t="s">
        <v>2874</v>
      </c>
      <c r="C313" s="908">
        <v>2.052E-4</v>
      </c>
      <c r="D313" s="908">
        <v>2.129E-4</v>
      </c>
      <c r="E313" s="909">
        <v>169265.99</v>
      </c>
      <c r="F313" s="909">
        <v>95548</v>
      </c>
      <c r="G313" s="909">
        <v>435503</v>
      </c>
      <c r="H313" s="909"/>
      <c r="I313" s="910">
        <v>8182.35</v>
      </c>
      <c r="J313" s="910">
        <v>381640</v>
      </c>
      <c r="K313" s="910">
        <v>29828</v>
      </c>
      <c r="L313" s="909">
        <v>106395</v>
      </c>
      <c r="M313" s="909"/>
      <c r="N313" s="910">
        <v>15261</v>
      </c>
      <c r="O313" s="910">
        <v>140861</v>
      </c>
      <c r="P313" s="910">
        <v>0</v>
      </c>
      <c r="Q313" s="909">
        <v>0</v>
      </c>
      <c r="R313" s="910">
        <f t="shared" si="4"/>
        <v>240779</v>
      </c>
      <c r="S313" s="909"/>
      <c r="T313" s="910">
        <v>116404</v>
      </c>
      <c r="U313" s="912">
        <v>32351</v>
      </c>
      <c r="V313" s="912">
        <v>148755</v>
      </c>
    </row>
    <row r="314" spans="1:22" x14ac:dyDescent="0.25">
      <c r="A314" s="906">
        <v>93219</v>
      </c>
      <c r="B314" s="907" t="s">
        <v>2875</v>
      </c>
      <c r="C314" s="908">
        <v>2.286E-4</v>
      </c>
      <c r="D314" s="908">
        <v>2.41E-4</v>
      </c>
      <c r="E314" s="909">
        <v>96646.59</v>
      </c>
      <c r="F314" s="909">
        <v>108159</v>
      </c>
      <c r="G314" s="909">
        <v>485166</v>
      </c>
      <c r="H314" s="909"/>
      <c r="I314" s="910">
        <v>9115</v>
      </c>
      <c r="J314" s="910">
        <v>425160</v>
      </c>
      <c r="K314" s="910">
        <v>33230</v>
      </c>
      <c r="L314" s="909">
        <v>243</v>
      </c>
      <c r="M314" s="909"/>
      <c r="N314" s="910">
        <v>17001</v>
      </c>
      <c r="O314" s="910">
        <v>156924</v>
      </c>
      <c r="P314" s="910">
        <v>0</v>
      </c>
      <c r="Q314" s="909">
        <v>13406</v>
      </c>
      <c r="R314" s="910">
        <f t="shared" si="4"/>
        <v>268236</v>
      </c>
      <c r="S314" s="909"/>
      <c r="T314" s="910">
        <v>129678</v>
      </c>
      <c r="U314" s="912">
        <v>-4190</v>
      </c>
      <c r="V314" s="912">
        <v>125487</v>
      </c>
    </row>
    <row r="315" spans="1:22" x14ac:dyDescent="0.25">
      <c r="A315" s="906">
        <v>93301</v>
      </c>
      <c r="B315" s="907" t="s">
        <v>2876</v>
      </c>
      <c r="C315" s="908">
        <v>2.5330999999999999E-3</v>
      </c>
      <c r="D315" s="908">
        <v>2.4084000000000002E-3</v>
      </c>
      <c r="E315" s="909">
        <v>1037164.56</v>
      </c>
      <c r="F315" s="909">
        <v>1080875</v>
      </c>
      <c r="G315" s="909">
        <v>5376087</v>
      </c>
      <c r="H315" s="909"/>
      <c r="I315" s="910">
        <v>101007</v>
      </c>
      <c r="J315" s="910">
        <v>4711166</v>
      </c>
      <c r="K315" s="910">
        <v>368214</v>
      </c>
      <c r="L315" s="909">
        <v>63934</v>
      </c>
      <c r="M315" s="909"/>
      <c r="N315" s="910">
        <v>188384</v>
      </c>
      <c r="O315" s="910">
        <v>1738867</v>
      </c>
      <c r="P315" s="910">
        <v>0</v>
      </c>
      <c r="Q315" s="909">
        <v>85549</v>
      </c>
      <c r="R315" s="910">
        <f t="shared" si="4"/>
        <v>2972299</v>
      </c>
      <c r="S315" s="909"/>
      <c r="T315" s="910">
        <v>1436949</v>
      </c>
      <c r="U315" s="912">
        <v>-17290</v>
      </c>
      <c r="V315" s="912">
        <v>1419659</v>
      </c>
    </row>
    <row r="316" spans="1:22" x14ac:dyDescent="0.25">
      <c r="A316" s="906">
        <v>93304</v>
      </c>
      <c r="B316" s="907" t="s">
        <v>2877</v>
      </c>
      <c r="C316" s="908">
        <v>3.4400000000000003E-5</v>
      </c>
      <c r="D316" s="908">
        <v>3.3399999999999999E-5</v>
      </c>
      <c r="E316" s="909">
        <v>16339</v>
      </c>
      <c r="F316" s="909">
        <v>14990</v>
      </c>
      <c r="G316" s="909">
        <v>73008</v>
      </c>
      <c r="H316" s="909"/>
      <c r="I316" s="910">
        <v>1371.7</v>
      </c>
      <c r="J316" s="910">
        <v>63979</v>
      </c>
      <c r="K316" s="910">
        <v>5000</v>
      </c>
      <c r="L316" s="909">
        <v>13604</v>
      </c>
      <c r="M316" s="909"/>
      <c r="N316" s="910">
        <v>2558</v>
      </c>
      <c r="O316" s="910">
        <v>23614</v>
      </c>
      <c r="P316" s="910">
        <v>0</v>
      </c>
      <c r="Q316" s="909">
        <v>0</v>
      </c>
      <c r="R316" s="910">
        <f t="shared" si="4"/>
        <v>40365</v>
      </c>
      <c r="S316" s="909"/>
      <c r="T316" s="910">
        <v>19514</v>
      </c>
      <c r="U316" s="912">
        <v>4940</v>
      </c>
      <c r="V316" s="912">
        <v>24454</v>
      </c>
    </row>
    <row r="317" spans="1:22" x14ac:dyDescent="0.25">
      <c r="A317" s="906">
        <v>93305</v>
      </c>
      <c r="B317" s="907" t="s">
        <v>2878</v>
      </c>
      <c r="C317" s="908">
        <v>4.9400000000000001E-5</v>
      </c>
      <c r="D317" s="908">
        <v>5.13E-5</v>
      </c>
      <c r="E317" s="909">
        <v>18489</v>
      </c>
      <c r="F317" s="909">
        <v>23023</v>
      </c>
      <c r="G317" s="909">
        <v>104843</v>
      </c>
      <c r="H317" s="909"/>
      <c r="I317" s="910">
        <v>1969.825</v>
      </c>
      <c r="J317" s="910">
        <v>91876</v>
      </c>
      <c r="K317" s="910">
        <v>7181</v>
      </c>
      <c r="L317" s="909">
        <v>0</v>
      </c>
      <c r="M317" s="909"/>
      <c r="N317" s="910">
        <v>3674</v>
      </c>
      <c r="O317" s="910">
        <v>33911</v>
      </c>
      <c r="P317" s="910">
        <v>0</v>
      </c>
      <c r="Q317" s="909">
        <v>3536</v>
      </c>
      <c r="R317" s="910">
        <f t="shared" si="4"/>
        <v>57965</v>
      </c>
      <c r="S317" s="909"/>
      <c r="T317" s="910">
        <v>28023</v>
      </c>
      <c r="U317" s="912">
        <v>-1124</v>
      </c>
      <c r="V317" s="912">
        <v>26899</v>
      </c>
    </row>
    <row r="318" spans="1:22" x14ac:dyDescent="0.25">
      <c r="A318" s="906">
        <v>93309</v>
      </c>
      <c r="B318" s="907" t="s">
        <v>2879</v>
      </c>
      <c r="C318" s="908">
        <v>1.716E-4</v>
      </c>
      <c r="D318" s="908">
        <v>1.5359999999999999E-4</v>
      </c>
      <c r="E318" s="909">
        <v>79731.47</v>
      </c>
      <c r="F318" s="909">
        <v>68935</v>
      </c>
      <c r="G318" s="909">
        <v>364193</v>
      </c>
      <c r="H318" s="909"/>
      <c r="I318" s="910">
        <v>6842.55</v>
      </c>
      <c r="J318" s="910">
        <v>319149</v>
      </c>
      <c r="K318" s="910">
        <v>24944</v>
      </c>
      <c r="L318" s="909">
        <v>23583</v>
      </c>
      <c r="M318" s="909"/>
      <c r="N318" s="910">
        <v>12762</v>
      </c>
      <c r="O318" s="910">
        <v>117796</v>
      </c>
      <c r="P318" s="910">
        <v>0</v>
      </c>
      <c r="Q318" s="909">
        <v>1972</v>
      </c>
      <c r="R318" s="910">
        <f t="shared" si="4"/>
        <v>201353</v>
      </c>
      <c r="S318" s="909"/>
      <c r="T318" s="910">
        <v>97343</v>
      </c>
      <c r="U318" s="912">
        <v>5745</v>
      </c>
      <c r="V318" s="912">
        <v>103088</v>
      </c>
    </row>
    <row r="319" spans="1:22" x14ac:dyDescent="0.25">
      <c r="A319" s="906">
        <v>93311</v>
      </c>
      <c r="B319" s="907" t="s">
        <v>2880</v>
      </c>
      <c r="C319" s="908">
        <v>1.1567000000000001E-3</v>
      </c>
      <c r="D319" s="908">
        <v>1.2727000000000001E-3</v>
      </c>
      <c r="E319" s="909">
        <v>452858.55</v>
      </c>
      <c r="F319" s="909">
        <v>571180</v>
      </c>
      <c r="G319" s="909">
        <v>2454905</v>
      </c>
      <c r="H319" s="909"/>
      <c r="I319" s="910">
        <v>46123</v>
      </c>
      <c r="J319" s="910">
        <v>2151279</v>
      </c>
      <c r="K319" s="910">
        <v>168139</v>
      </c>
      <c r="L319" s="909">
        <v>0</v>
      </c>
      <c r="M319" s="909"/>
      <c r="N319" s="910">
        <v>86023</v>
      </c>
      <c r="O319" s="910">
        <v>794026</v>
      </c>
      <c r="P319" s="910">
        <v>0</v>
      </c>
      <c r="Q319" s="909">
        <v>121847</v>
      </c>
      <c r="R319" s="910">
        <f t="shared" si="4"/>
        <v>1357253</v>
      </c>
      <c r="S319" s="909"/>
      <c r="T319" s="910">
        <v>656160</v>
      </c>
      <c r="U319" s="912">
        <v>-38102</v>
      </c>
      <c r="V319" s="912">
        <v>618058</v>
      </c>
    </row>
    <row r="320" spans="1:22" x14ac:dyDescent="0.25">
      <c r="A320" s="906">
        <v>93317</v>
      </c>
      <c r="B320" s="907" t="s">
        <v>2881</v>
      </c>
      <c r="C320" s="908">
        <v>4.8099999999999997E-5</v>
      </c>
      <c r="D320" s="908">
        <v>4.6600000000000001E-5</v>
      </c>
      <c r="E320" s="909">
        <v>19409</v>
      </c>
      <c r="F320" s="909">
        <v>20914</v>
      </c>
      <c r="G320" s="909">
        <v>102084</v>
      </c>
      <c r="H320" s="909"/>
      <c r="I320" s="910">
        <v>1918</v>
      </c>
      <c r="J320" s="910">
        <v>89458</v>
      </c>
      <c r="K320" s="910">
        <v>6992</v>
      </c>
      <c r="L320" s="909">
        <v>606</v>
      </c>
      <c r="M320" s="909"/>
      <c r="N320" s="910">
        <v>3577</v>
      </c>
      <c r="O320" s="910">
        <v>33019</v>
      </c>
      <c r="P320" s="910">
        <v>0</v>
      </c>
      <c r="Q320" s="909">
        <v>557</v>
      </c>
      <c r="R320" s="910">
        <f t="shared" si="4"/>
        <v>56439</v>
      </c>
      <c r="S320" s="909"/>
      <c r="T320" s="910">
        <v>27286</v>
      </c>
      <c r="U320" s="912">
        <v>-115</v>
      </c>
      <c r="V320" s="912">
        <v>27171</v>
      </c>
    </row>
    <row r="321" spans="1:22" x14ac:dyDescent="0.25">
      <c r="A321" s="906">
        <v>93321</v>
      </c>
      <c r="B321" s="907" t="s">
        <v>2882</v>
      </c>
      <c r="C321" s="908">
        <v>7.4706E-3</v>
      </c>
      <c r="D321" s="908">
        <v>7.7070000000000003E-3</v>
      </c>
      <c r="E321" s="909">
        <v>2840093.51</v>
      </c>
      <c r="F321" s="909">
        <v>3458855</v>
      </c>
      <c r="G321" s="909">
        <v>15855116</v>
      </c>
      <c r="H321" s="909"/>
      <c r="I321" s="910">
        <v>297890</v>
      </c>
      <c r="J321" s="910">
        <v>13894136</v>
      </c>
      <c r="K321" s="910">
        <v>1085934</v>
      </c>
      <c r="L321" s="909">
        <v>0</v>
      </c>
      <c r="M321" s="909"/>
      <c r="N321" s="910">
        <v>555581</v>
      </c>
      <c r="O321" s="910">
        <v>5128253</v>
      </c>
      <c r="P321" s="910">
        <v>0</v>
      </c>
      <c r="Q321" s="909">
        <v>746070</v>
      </c>
      <c r="R321" s="910">
        <f t="shared" si="4"/>
        <v>8765883</v>
      </c>
      <c r="S321" s="909"/>
      <c r="T321" s="910">
        <v>4237840</v>
      </c>
      <c r="U321" s="912">
        <v>-276901</v>
      </c>
      <c r="V321" s="912">
        <v>3960939</v>
      </c>
    </row>
    <row r="322" spans="1:22" x14ac:dyDescent="0.25">
      <c r="A322" s="906">
        <v>93323</v>
      </c>
      <c r="B322" s="907" t="s">
        <v>2883</v>
      </c>
      <c r="C322" s="908">
        <v>1.0200000000000001E-5</v>
      </c>
      <c r="D322" s="908">
        <v>1.4600000000000001E-5</v>
      </c>
      <c r="E322" s="909">
        <v>5325.71</v>
      </c>
      <c r="F322" s="909">
        <v>6552</v>
      </c>
      <c r="G322" s="909">
        <v>21648</v>
      </c>
      <c r="H322" s="909"/>
      <c r="I322" s="910">
        <v>406.72500000000002</v>
      </c>
      <c r="J322" s="910">
        <v>18970</v>
      </c>
      <c r="K322" s="910">
        <v>1483</v>
      </c>
      <c r="L322" s="909">
        <v>2836</v>
      </c>
      <c r="M322" s="909"/>
      <c r="N322" s="910">
        <v>759</v>
      </c>
      <c r="O322" s="910">
        <v>7002</v>
      </c>
      <c r="P322" s="910">
        <v>0</v>
      </c>
      <c r="Q322" s="909">
        <v>1485</v>
      </c>
      <c r="R322" s="910">
        <f t="shared" si="4"/>
        <v>11968</v>
      </c>
      <c r="S322" s="909"/>
      <c r="T322" s="910">
        <v>5786</v>
      </c>
      <c r="U322" s="912">
        <v>784</v>
      </c>
      <c r="V322" s="912">
        <v>6570</v>
      </c>
    </row>
    <row r="323" spans="1:22" x14ac:dyDescent="0.25">
      <c r="A323" s="906">
        <v>93331</v>
      </c>
      <c r="B323" s="907" t="s">
        <v>2884</v>
      </c>
      <c r="C323" s="908">
        <v>1.3090000000000001E-4</v>
      </c>
      <c r="D323" s="908">
        <v>1.1909999999999999E-4</v>
      </c>
      <c r="E323" s="909">
        <v>46762.55</v>
      </c>
      <c r="F323" s="909">
        <v>53451</v>
      </c>
      <c r="G323" s="909">
        <v>277814</v>
      </c>
      <c r="H323" s="909"/>
      <c r="I323" s="910">
        <v>5220</v>
      </c>
      <c r="J323" s="910">
        <v>243453</v>
      </c>
      <c r="K323" s="910">
        <v>19028</v>
      </c>
      <c r="L323" s="909">
        <v>4668</v>
      </c>
      <c r="M323" s="909"/>
      <c r="N323" s="910">
        <v>9735</v>
      </c>
      <c r="O323" s="910">
        <v>89857</v>
      </c>
      <c r="P323" s="910">
        <v>0</v>
      </c>
      <c r="Q323" s="909">
        <v>9208</v>
      </c>
      <c r="R323" s="910">
        <f t="shared" si="4"/>
        <v>153596</v>
      </c>
      <c r="S323" s="909"/>
      <c r="T323" s="910">
        <v>74256</v>
      </c>
      <c r="U323" s="912">
        <v>-1109</v>
      </c>
      <c r="V323" s="912">
        <v>73147</v>
      </c>
    </row>
    <row r="324" spans="1:22" x14ac:dyDescent="0.25">
      <c r="A324" s="906">
        <v>93333</v>
      </c>
      <c r="B324" s="907" t="s">
        <v>2885</v>
      </c>
      <c r="C324" s="908">
        <v>1.9990000000000001E-4</v>
      </c>
      <c r="D324" s="908">
        <v>2.1479999999999999E-4</v>
      </c>
      <c r="E324" s="909">
        <v>201284.12</v>
      </c>
      <c r="F324" s="909">
        <v>96401</v>
      </c>
      <c r="G324" s="909">
        <v>424255</v>
      </c>
      <c r="H324" s="909"/>
      <c r="I324" s="910">
        <v>7971</v>
      </c>
      <c r="J324" s="910">
        <v>371782</v>
      </c>
      <c r="K324" s="910">
        <v>29058</v>
      </c>
      <c r="L324" s="909">
        <v>178353</v>
      </c>
      <c r="M324" s="909"/>
      <c r="N324" s="910">
        <v>14866</v>
      </c>
      <c r="O324" s="910">
        <v>137223</v>
      </c>
      <c r="P324" s="910">
        <v>0</v>
      </c>
      <c r="Q324" s="909">
        <v>0</v>
      </c>
      <c r="R324" s="910">
        <f t="shared" si="4"/>
        <v>234559</v>
      </c>
      <c r="S324" s="909"/>
      <c r="T324" s="910">
        <v>113397</v>
      </c>
      <c r="U324" s="912">
        <v>56479</v>
      </c>
      <c r="V324" s="912">
        <v>169876</v>
      </c>
    </row>
    <row r="325" spans="1:22" x14ac:dyDescent="0.25">
      <c r="A325" s="906">
        <v>93341</v>
      </c>
      <c r="B325" s="907" t="s">
        <v>2886</v>
      </c>
      <c r="C325" s="908">
        <v>2.73E-5</v>
      </c>
      <c r="D325" s="908">
        <v>2.6699999999999998E-5</v>
      </c>
      <c r="E325" s="909">
        <v>12881</v>
      </c>
      <c r="F325" s="909">
        <v>11983</v>
      </c>
      <c r="G325" s="909">
        <v>57940</v>
      </c>
      <c r="H325" s="909"/>
      <c r="I325" s="910">
        <v>1089</v>
      </c>
      <c r="J325" s="910">
        <v>50774</v>
      </c>
      <c r="K325" s="910">
        <v>3968</v>
      </c>
      <c r="L325" s="909">
        <v>2789</v>
      </c>
      <c r="M325" s="909"/>
      <c r="N325" s="910">
        <v>2030</v>
      </c>
      <c r="O325" s="910">
        <v>18740</v>
      </c>
      <c r="P325" s="910">
        <v>0</v>
      </c>
      <c r="Q325" s="909">
        <v>0</v>
      </c>
      <c r="R325" s="910">
        <f t="shared" si="4"/>
        <v>32034</v>
      </c>
      <c r="S325" s="909"/>
      <c r="T325" s="910">
        <v>15486</v>
      </c>
      <c r="U325" s="912">
        <v>923</v>
      </c>
      <c r="V325" s="912">
        <v>16410</v>
      </c>
    </row>
    <row r="326" spans="1:22" x14ac:dyDescent="0.25">
      <c r="A326" s="906">
        <v>93351</v>
      </c>
      <c r="B326" s="907" t="s">
        <v>2887</v>
      </c>
      <c r="C326" s="908">
        <v>1.5999999999999999E-5</v>
      </c>
      <c r="D326" s="908">
        <v>5.4999999999999999E-6</v>
      </c>
      <c r="E326" s="909">
        <v>10006.02</v>
      </c>
      <c r="F326" s="909">
        <v>2468</v>
      </c>
      <c r="G326" s="909">
        <v>33957.360000000001</v>
      </c>
      <c r="H326" s="909"/>
      <c r="I326" s="910">
        <v>638</v>
      </c>
      <c r="J326" s="910">
        <v>29757</v>
      </c>
      <c r="K326" s="910">
        <v>2326</v>
      </c>
      <c r="L326" s="909">
        <v>8409</v>
      </c>
      <c r="M326" s="909"/>
      <c r="N326" s="910">
        <v>1190</v>
      </c>
      <c r="O326" s="910">
        <v>10983</v>
      </c>
      <c r="P326" s="910">
        <v>0</v>
      </c>
      <c r="Q326" s="909">
        <v>6601</v>
      </c>
      <c r="R326" s="910">
        <f t="shared" si="4"/>
        <v>18774</v>
      </c>
      <c r="S326" s="909"/>
      <c r="T326" s="910">
        <v>9076</v>
      </c>
      <c r="U326" s="912">
        <v>-253</v>
      </c>
      <c r="V326" s="912">
        <v>8823</v>
      </c>
    </row>
    <row r="327" spans="1:22" x14ac:dyDescent="0.25">
      <c r="A327" s="906">
        <v>93401</v>
      </c>
      <c r="B327" s="907" t="s">
        <v>2888</v>
      </c>
      <c r="C327" s="908">
        <v>1.37997E-2</v>
      </c>
      <c r="D327" s="908">
        <v>1.4001899999999999E-2</v>
      </c>
      <c r="E327" s="909">
        <v>5646375</v>
      </c>
      <c r="F327" s="909">
        <v>6283969</v>
      </c>
      <c r="G327" s="909">
        <v>29287586</v>
      </c>
      <c r="H327" s="909"/>
      <c r="I327" s="910">
        <v>550263</v>
      </c>
      <c r="J327" s="910">
        <v>25665262</v>
      </c>
      <c r="K327" s="910">
        <v>2005938</v>
      </c>
      <c r="L327" s="909">
        <v>111475</v>
      </c>
      <c r="M327" s="909"/>
      <c r="N327" s="910">
        <v>1026270</v>
      </c>
      <c r="O327" s="910">
        <v>9472914</v>
      </c>
      <c r="P327" s="910">
        <v>0</v>
      </c>
      <c r="Q327" s="909">
        <v>309143</v>
      </c>
      <c r="R327" s="910">
        <f t="shared" ref="R327:R390" si="5">IF(J327&gt;O327,J327-O327,O327-J327)</f>
        <v>16192348</v>
      </c>
      <c r="S327" s="909"/>
      <c r="T327" s="910">
        <v>7828142</v>
      </c>
      <c r="U327" s="912">
        <v>-83612</v>
      </c>
      <c r="V327" s="912">
        <v>7744530</v>
      </c>
    </row>
    <row r="328" spans="1:22" x14ac:dyDescent="0.25">
      <c r="A328" s="906">
        <v>93402</v>
      </c>
      <c r="B328" s="907" t="s">
        <v>2889</v>
      </c>
      <c r="C328" s="908">
        <v>9.2999999999999997E-5</v>
      </c>
      <c r="D328" s="908">
        <v>9.4400000000000004E-5</v>
      </c>
      <c r="E328" s="909">
        <v>35918</v>
      </c>
      <c r="F328" s="909">
        <v>42366</v>
      </c>
      <c r="G328" s="909">
        <v>197377</v>
      </c>
      <c r="H328" s="909"/>
      <c r="I328" s="910">
        <v>3708.375</v>
      </c>
      <c r="J328" s="910">
        <v>172965</v>
      </c>
      <c r="K328" s="910">
        <v>13519</v>
      </c>
      <c r="L328" s="909">
        <v>9628</v>
      </c>
      <c r="M328" s="909"/>
      <c r="N328" s="910">
        <v>6916</v>
      </c>
      <c r="O328" s="910">
        <v>63841</v>
      </c>
      <c r="P328" s="910">
        <v>0</v>
      </c>
      <c r="Q328" s="909">
        <v>2607</v>
      </c>
      <c r="R328" s="910">
        <f t="shared" si="5"/>
        <v>109124</v>
      </c>
      <c r="S328" s="909"/>
      <c r="T328" s="910">
        <v>52756</v>
      </c>
      <c r="U328" s="912">
        <v>3407</v>
      </c>
      <c r="V328" s="912">
        <v>56163</v>
      </c>
    </row>
    <row r="329" spans="1:22" x14ac:dyDescent="0.25">
      <c r="A329" s="906">
        <v>93406</v>
      </c>
      <c r="B329" s="907" t="s">
        <v>2890</v>
      </c>
      <c r="C329" s="908">
        <v>7.1170000000000001E-4</v>
      </c>
      <c r="D329" s="908">
        <v>7.0850000000000004E-4</v>
      </c>
      <c r="E329" s="909">
        <v>298926.93</v>
      </c>
      <c r="F329" s="909">
        <v>317971</v>
      </c>
      <c r="G329" s="909">
        <v>1510466</v>
      </c>
      <c r="H329" s="909"/>
      <c r="I329" s="910">
        <v>28379</v>
      </c>
      <c r="J329" s="910">
        <v>1323650</v>
      </c>
      <c r="K329" s="910">
        <v>103453</v>
      </c>
      <c r="L329" s="909">
        <v>45100</v>
      </c>
      <c r="M329" s="909"/>
      <c r="N329" s="910">
        <v>52928</v>
      </c>
      <c r="O329" s="910">
        <v>488552</v>
      </c>
      <c r="P329" s="910">
        <v>0</v>
      </c>
      <c r="Q329" s="909">
        <v>0</v>
      </c>
      <c r="R329" s="910">
        <f t="shared" si="5"/>
        <v>835098</v>
      </c>
      <c r="S329" s="909"/>
      <c r="T329" s="910">
        <v>403725</v>
      </c>
      <c r="U329" s="912">
        <v>19044</v>
      </c>
      <c r="V329" s="912">
        <v>422769</v>
      </c>
    </row>
    <row r="330" spans="1:22" x14ac:dyDescent="0.25">
      <c r="A330" s="906">
        <v>93408</v>
      </c>
      <c r="B330" s="907" t="s">
        <v>2891</v>
      </c>
      <c r="C330" s="908">
        <v>1.8967999999999999E-3</v>
      </c>
      <c r="D330" s="908">
        <v>1.7309000000000001E-3</v>
      </c>
      <c r="E330" s="909">
        <v>0</v>
      </c>
      <c r="F330" s="909">
        <v>776818</v>
      </c>
      <c r="G330" s="909">
        <v>4025645</v>
      </c>
      <c r="H330" s="909"/>
      <c r="I330" s="910">
        <v>75635</v>
      </c>
      <c r="J330" s="910">
        <v>3527748</v>
      </c>
      <c r="K330" s="910">
        <v>275721</v>
      </c>
      <c r="L330" s="909">
        <v>321789</v>
      </c>
      <c r="M330" s="909"/>
      <c r="N330" s="910">
        <v>141063</v>
      </c>
      <c r="O330" s="910">
        <v>1302074</v>
      </c>
      <c r="P330" s="910">
        <v>0</v>
      </c>
      <c r="Q330" s="909">
        <v>529672</v>
      </c>
      <c r="R330" s="910">
        <f t="shared" si="5"/>
        <v>2225674</v>
      </c>
      <c r="S330" s="909"/>
      <c r="T330" s="910">
        <v>1075996</v>
      </c>
      <c r="U330" s="912">
        <v>10994</v>
      </c>
      <c r="V330" s="912">
        <v>1086990</v>
      </c>
    </row>
    <row r="331" spans="1:22" x14ac:dyDescent="0.25">
      <c r="A331" s="906">
        <v>93411</v>
      </c>
      <c r="B331" s="907" t="s">
        <v>2892</v>
      </c>
      <c r="C331" s="908">
        <v>1.73309E-2</v>
      </c>
      <c r="D331" s="908">
        <v>1.8002500000000001E-2</v>
      </c>
      <c r="E331" s="909">
        <v>7066227</v>
      </c>
      <c r="F331" s="909">
        <v>8079414</v>
      </c>
      <c r="G331" s="909">
        <v>36781976</v>
      </c>
      <c r="H331" s="909"/>
      <c r="I331" s="910">
        <v>691070</v>
      </c>
      <c r="J331" s="910">
        <v>32232736</v>
      </c>
      <c r="K331" s="910">
        <v>2519237</v>
      </c>
      <c r="L331" s="909">
        <v>0</v>
      </c>
      <c r="M331" s="909"/>
      <c r="N331" s="910">
        <v>1288882</v>
      </c>
      <c r="O331" s="910">
        <v>11896935</v>
      </c>
      <c r="P331" s="910">
        <v>0</v>
      </c>
      <c r="Q331" s="909">
        <v>963900</v>
      </c>
      <c r="R331" s="910">
        <f t="shared" si="5"/>
        <v>20335801</v>
      </c>
      <c r="S331" s="909"/>
      <c r="T331" s="910">
        <v>9831282</v>
      </c>
      <c r="U331" s="912">
        <v>-369146</v>
      </c>
      <c r="V331" s="912">
        <v>9462137</v>
      </c>
    </row>
    <row r="332" spans="1:22" x14ac:dyDescent="0.25">
      <c r="A332" s="906">
        <v>93413</v>
      </c>
      <c r="B332" s="907" t="s">
        <v>2893</v>
      </c>
      <c r="C332" s="908">
        <v>8.0130000000000002E-4</v>
      </c>
      <c r="D332" s="908">
        <v>8.6039999999999999E-4</v>
      </c>
      <c r="E332" s="909">
        <v>344103.62</v>
      </c>
      <c r="F332" s="909">
        <v>386142</v>
      </c>
      <c r="G332" s="909">
        <v>1700627</v>
      </c>
      <c r="H332" s="909"/>
      <c r="I332" s="910">
        <v>31952</v>
      </c>
      <c r="J332" s="910">
        <v>1490291</v>
      </c>
      <c r="K332" s="910">
        <v>116478</v>
      </c>
      <c r="L332" s="909">
        <v>0</v>
      </c>
      <c r="M332" s="909"/>
      <c r="N332" s="910">
        <v>59592</v>
      </c>
      <c r="O332" s="910">
        <v>550059</v>
      </c>
      <c r="P332" s="910">
        <v>0</v>
      </c>
      <c r="Q332" s="909">
        <v>52213</v>
      </c>
      <c r="R332" s="910">
        <f t="shared" si="5"/>
        <v>940232</v>
      </c>
      <c r="S332" s="909"/>
      <c r="T332" s="910">
        <v>454553</v>
      </c>
      <c r="U332" s="912">
        <v>-17374</v>
      </c>
      <c r="V332" s="912">
        <v>437179</v>
      </c>
    </row>
    <row r="333" spans="1:22" x14ac:dyDescent="0.25">
      <c r="A333" s="906">
        <v>93417</v>
      </c>
      <c r="B333" s="907" t="s">
        <v>2894</v>
      </c>
      <c r="C333" s="908">
        <v>4.1130000000000002E-4</v>
      </c>
      <c r="D333" s="908">
        <v>4.2470000000000002E-4</v>
      </c>
      <c r="E333" s="909">
        <v>180699</v>
      </c>
      <c r="F333" s="909">
        <v>190603</v>
      </c>
      <c r="G333" s="909">
        <v>872916</v>
      </c>
      <c r="H333" s="909"/>
      <c r="I333" s="910">
        <v>16401</v>
      </c>
      <c r="J333" s="910">
        <v>764953</v>
      </c>
      <c r="K333" s="910">
        <v>59787</v>
      </c>
      <c r="L333" s="909">
        <v>29582</v>
      </c>
      <c r="M333" s="909"/>
      <c r="N333" s="910">
        <v>30588</v>
      </c>
      <c r="O333" s="910">
        <v>282340</v>
      </c>
      <c r="P333" s="910">
        <v>0</v>
      </c>
      <c r="Q333" s="909">
        <v>0</v>
      </c>
      <c r="R333" s="910">
        <f t="shared" si="5"/>
        <v>482613</v>
      </c>
      <c r="S333" s="909"/>
      <c r="T333" s="910">
        <v>233318</v>
      </c>
      <c r="U333" s="912">
        <v>14150</v>
      </c>
      <c r="V333" s="912">
        <v>247468</v>
      </c>
    </row>
    <row r="334" spans="1:22" x14ac:dyDescent="0.25">
      <c r="A334" s="906">
        <v>93421</v>
      </c>
      <c r="B334" s="907" t="s">
        <v>2895</v>
      </c>
      <c r="C334" s="908">
        <v>2.1646E-3</v>
      </c>
      <c r="D334" s="908">
        <v>2.2629E-3</v>
      </c>
      <c r="E334" s="909">
        <v>806586</v>
      </c>
      <c r="F334" s="909">
        <v>1015576</v>
      </c>
      <c r="G334" s="909">
        <v>4594006</v>
      </c>
      <c r="H334" s="909"/>
      <c r="I334" s="910">
        <v>86313</v>
      </c>
      <c r="J334" s="910">
        <v>4025814</v>
      </c>
      <c r="K334" s="910">
        <v>314648</v>
      </c>
      <c r="L334" s="909">
        <v>0</v>
      </c>
      <c r="M334" s="909"/>
      <c r="N334" s="910">
        <v>160979</v>
      </c>
      <c r="O334" s="910">
        <v>1485907</v>
      </c>
      <c r="P334" s="910">
        <v>0</v>
      </c>
      <c r="Q334" s="909">
        <v>286111</v>
      </c>
      <c r="R334" s="910">
        <f t="shared" si="5"/>
        <v>2539907</v>
      </c>
      <c r="S334" s="909"/>
      <c r="T334" s="910">
        <v>1227910</v>
      </c>
      <c r="U334" s="912">
        <v>-103829</v>
      </c>
      <c r="V334" s="912">
        <v>1124081</v>
      </c>
    </row>
    <row r="335" spans="1:22" x14ac:dyDescent="0.25">
      <c r="A335" s="906">
        <v>93431</v>
      </c>
      <c r="B335" s="907" t="s">
        <v>2896</v>
      </c>
      <c r="C335" s="908">
        <v>1.127E-4</v>
      </c>
      <c r="D335" s="908">
        <v>1.3469999999999999E-4</v>
      </c>
      <c r="E335" s="909">
        <v>53588</v>
      </c>
      <c r="F335" s="909">
        <v>60453</v>
      </c>
      <c r="G335" s="909">
        <v>239187</v>
      </c>
      <c r="H335" s="909"/>
      <c r="I335" s="910">
        <v>4494</v>
      </c>
      <c r="J335" s="910">
        <v>209604</v>
      </c>
      <c r="K335" s="910">
        <v>16382</v>
      </c>
      <c r="L335" s="909">
        <v>1676</v>
      </c>
      <c r="M335" s="909"/>
      <c r="N335" s="910">
        <v>8381</v>
      </c>
      <c r="O335" s="910">
        <v>77364</v>
      </c>
      <c r="P335" s="910">
        <v>0</v>
      </c>
      <c r="Q335" s="909">
        <v>7450</v>
      </c>
      <c r="R335" s="910">
        <f t="shared" si="5"/>
        <v>132240</v>
      </c>
      <c r="S335" s="909"/>
      <c r="T335" s="910">
        <v>63931</v>
      </c>
      <c r="U335" s="912">
        <v>-1211</v>
      </c>
      <c r="V335" s="912">
        <v>62721</v>
      </c>
    </row>
    <row r="336" spans="1:22" x14ac:dyDescent="0.25">
      <c r="A336" s="906">
        <v>93441</v>
      </c>
      <c r="B336" s="907" t="s">
        <v>2897</v>
      </c>
      <c r="C336" s="908">
        <v>1.4970000000000001E-4</v>
      </c>
      <c r="D336" s="908">
        <v>1.3239999999999999E-4</v>
      </c>
      <c r="E336" s="909">
        <v>71653</v>
      </c>
      <c r="F336" s="909">
        <v>59420</v>
      </c>
      <c r="G336" s="909">
        <v>317714</v>
      </c>
      <c r="H336" s="909"/>
      <c r="I336" s="910">
        <v>5969</v>
      </c>
      <c r="J336" s="910">
        <v>278418</v>
      </c>
      <c r="K336" s="910">
        <v>21761</v>
      </c>
      <c r="L336" s="909">
        <v>34771</v>
      </c>
      <c r="M336" s="909"/>
      <c r="N336" s="910">
        <v>11133</v>
      </c>
      <c r="O336" s="910">
        <v>102763</v>
      </c>
      <c r="P336" s="910">
        <v>0</v>
      </c>
      <c r="Q336" s="909">
        <v>0</v>
      </c>
      <c r="R336" s="910">
        <f t="shared" si="5"/>
        <v>175655</v>
      </c>
      <c r="S336" s="909"/>
      <c r="T336" s="910">
        <v>84920</v>
      </c>
      <c r="U336" s="912">
        <v>12654</v>
      </c>
      <c r="V336" s="912">
        <v>97574</v>
      </c>
    </row>
    <row r="337" spans="1:22" x14ac:dyDescent="0.25">
      <c r="A337" s="906">
        <v>93442</v>
      </c>
      <c r="B337" s="907" t="s">
        <v>2898</v>
      </c>
      <c r="C337" s="908">
        <v>1.3540000000000001E-4</v>
      </c>
      <c r="D337" s="908">
        <v>1.7799999999999999E-4</v>
      </c>
      <c r="E337" s="909">
        <v>53217.95</v>
      </c>
      <c r="F337" s="909">
        <v>79885</v>
      </c>
      <c r="G337" s="909">
        <v>287364</v>
      </c>
      <c r="H337" s="909"/>
      <c r="I337" s="910">
        <v>5399</v>
      </c>
      <c r="J337" s="910">
        <v>251823</v>
      </c>
      <c r="K337" s="910">
        <v>19682</v>
      </c>
      <c r="L337" s="909">
        <v>6718</v>
      </c>
      <c r="M337" s="909"/>
      <c r="N337" s="910">
        <v>10070</v>
      </c>
      <c r="O337" s="910">
        <v>92946</v>
      </c>
      <c r="P337" s="910">
        <v>0</v>
      </c>
      <c r="Q337" s="909">
        <v>29938</v>
      </c>
      <c r="R337" s="910">
        <f t="shared" si="5"/>
        <v>158877</v>
      </c>
      <c r="S337" s="909"/>
      <c r="T337" s="910">
        <v>76808</v>
      </c>
      <c r="U337" s="912">
        <v>-6567</v>
      </c>
      <c r="V337" s="912">
        <v>70241</v>
      </c>
    </row>
    <row r="338" spans="1:22" x14ac:dyDescent="0.25">
      <c r="A338" s="906">
        <v>93451</v>
      </c>
      <c r="B338" s="907" t="s">
        <v>2899</v>
      </c>
      <c r="C338" s="908">
        <v>7.6899999999999999E-5</v>
      </c>
      <c r="D338" s="908">
        <v>7.6699999999999994E-5</v>
      </c>
      <c r="E338" s="909">
        <v>41952.18</v>
      </c>
      <c r="F338" s="909">
        <v>34422</v>
      </c>
      <c r="G338" s="909">
        <v>163208</v>
      </c>
      <c r="H338" s="909"/>
      <c r="I338" s="910">
        <v>3066</v>
      </c>
      <c r="J338" s="910">
        <v>143022</v>
      </c>
      <c r="K338" s="910">
        <v>11178</v>
      </c>
      <c r="L338" s="909">
        <v>18732</v>
      </c>
      <c r="M338" s="909"/>
      <c r="N338" s="910">
        <v>5719</v>
      </c>
      <c r="O338" s="910">
        <v>52789</v>
      </c>
      <c r="P338" s="910">
        <v>0</v>
      </c>
      <c r="Q338" s="909">
        <v>2999</v>
      </c>
      <c r="R338" s="910">
        <f t="shared" si="5"/>
        <v>90233</v>
      </c>
      <c r="S338" s="909"/>
      <c r="T338" s="910">
        <v>43623</v>
      </c>
      <c r="U338" s="912">
        <v>4342</v>
      </c>
      <c r="V338" s="912">
        <v>47965</v>
      </c>
    </row>
    <row r="339" spans="1:22" x14ac:dyDescent="0.25">
      <c r="A339" s="906">
        <v>93461</v>
      </c>
      <c r="B339" s="907" t="s">
        <v>2900</v>
      </c>
      <c r="C339" s="908">
        <v>1.7200000000000001E-5</v>
      </c>
      <c r="D339" s="908">
        <v>1.7200000000000001E-5</v>
      </c>
      <c r="E339" s="909">
        <v>7471</v>
      </c>
      <c r="F339" s="909">
        <v>7719</v>
      </c>
      <c r="G339" s="909">
        <v>36504</v>
      </c>
      <c r="H339" s="909"/>
      <c r="I339" s="910">
        <v>685.85</v>
      </c>
      <c r="J339" s="910">
        <v>31989</v>
      </c>
      <c r="K339" s="910">
        <v>2500</v>
      </c>
      <c r="L339" s="909">
        <v>695</v>
      </c>
      <c r="M339" s="909"/>
      <c r="N339" s="910">
        <v>1279</v>
      </c>
      <c r="O339" s="910">
        <v>11807</v>
      </c>
      <c r="P339" s="910">
        <v>0</v>
      </c>
      <c r="Q339" s="909">
        <v>0</v>
      </c>
      <c r="R339" s="910">
        <f t="shared" si="5"/>
        <v>20182</v>
      </c>
      <c r="S339" s="909"/>
      <c r="T339" s="910">
        <v>9757</v>
      </c>
      <c r="U339" s="912">
        <v>226</v>
      </c>
      <c r="V339" s="912">
        <v>9983</v>
      </c>
    </row>
    <row r="340" spans="1:22" x14ac:dyDescent="0.25">
      <c r="A340" s="906">
        <v>93471</v>
      </c>
      <c r="B340" s="907" t="s">
        <v>2901</v>
      </c>
      <c r="C340" s="908">
        <v>1.1800000000000001E-5</v>
      </c>
      <c r="D340" s="908">
        <v>1.34E-5</v>
      </c>
      <c r="E340" s="909">
        <v>7905</v>
      </c>
      <c r="F340" s="909">
        <v>6014</v>
      </c>
      <c r="G340" s="909">
        <v>25044</v>
      </c>
      <c r="H340" s="909"/>
      <c r="I340" s="910">
        <v>471</v>
      </c>
      <c r="J340" s="910">
        <v>21946</v>
      </c>
      <c r="K340" s="910">
        <v>1715</v>
      </c>
      <c r="L340" s="909">
        <v>2187</v>
      </c>
      <c r="M340" s="909"/>
      <c r="N340" s="910">
        <v>878</v>
      </c>
      <c r="O340" s="910">
        <v>8100</v>
      </c>
      <c r="P340" s="910">
        <v>0</v>
      </c>
      <c r="Q340" s="909">
        <v>127</v>
      </c>
      <c r="R340" s="910">
        <f t="shared" si="5"/>
        <v>13846</v>
      </c>
      <c r="S340" s="909"/>
      <c r="T340" s="910">
        <v>6694</v>
      </c>
      <c r="U340" s="912">
        <v>563</v>
      </c>
      <c r="V340" s="912">
        <v>7256</v>
      </c>
    </row>
    <row r="341" spans="1:22" x14ac:dyDescent="0.25">
      <c r="A341" s="906">
        <v>93501</v>
      </c>
      <c r="B341" s="907" t="s">
        <v>2902</v>
      </c>
      <c r="C341" s="908">
        <v>3.4039000000000001E-3</v>
      </c>
      <c r="D341" s="908">
        <v>3.4708E-3</v>
      </c>
      <c r="E341" s="909">
        <v>1347598.72</v>
      </c>
      <c r="F341" s="909">
        <v>1557674</v>
      </c>
      <c r="G341" s="909">
        <v>7224216</v>
      </c>
      <c r="H341" s="909"/>
      <c r="I341" s="910">
        <v>135731</v>
      </c>
      <c r="J341" s="910">
        <v>6330716</v>
      </c>
      <c r="K341" s="910">
        <v>494794</v>
      </c>
      <c r="L341" s="909">
        <v>165283</v>
      </c>
      <c r="M341" s="909"/>
      <c r="N341" s="910">
        <v>253145</v>
      </c>
      <c r="O341" s="910">
        <v>2336634</v>
      </c>
      <c r="P341" s="910">
        <v>0</v>
      </c>
      <c r="Q341" s="909">
        <v>77725</v>
      </c>
      <c r="R341" s="910">
        <f t="shared" si="5"/>
        <v>3994082</v>
      </c>
      <c r="S341" s="909"/>
      <c r="T341" s="910">
        <v>1930927</v>
      </c>
      <c r="U341" s="912">
        <v>52932</v>
      </c>
      <c r="V341" s="912">
        <v>1983859</v>
      </c>
    </row>
    <row r="342" spans="1:22" x14ac:dyDescent="0.25">
      <c r="A342" s="906">
        <v>93511</v>
      </c>
      <c r="B342" s="907" t="s">
        <v>2903</v>
      </c>
      <c r="C342" s="908">
        <v>9.8999999999999994E-5</v>
      </c>
      <c r="D342" s="908">
        <v>1.142E-4</v>
      </c>
      <c r="E342" s="909">
        <v>40720.79</v>
      </c>
      <c r="F342" s="909">
        <v>51252</v>
      </c>
      <c r="G342" s="909">
        <v>210111</v>
      </c>
      <c r="H342" s="909"/>
      <c r="I342" s="910">
        <v>3948</v>
      </c>
      <c r="J342" s="910">
        <v>184124</v>
      </c>
      <c r="K342" s="910">
        <v>14391</v>
      </c>
      <c r="L342" s="909">
        <v>5204</v>
      </c>
      <c r="M342" s="909"/>
      <c r="N342" s="910">
        <v>7363</v>
      </c>
      <c r="O342" s="910">
        <v>67959</v>
      </c>
      <c r="P342" s="910">
        <v>0</v>
      </c>
      <c r="Q342" s="909">
        <v>14645</v>
      </c>
      <c r="R342" s="910">
        <f t="shared" si="5"/>
        <v>116165</v>
      </c>
      <c r="S342" s="909"/>
      <c r="T342" s="910">
        <v>56160</v>
      </c>
      <c r="U342" s="912">
        <v>-1792</v>
      </c>
      <c r="V342" s="912">
        <v>54368</v>
      </c>
    </row>
    <row r="343" spans="1:22" x14ac:dyDescent="0.25">
      <c r="A343" s="906">
        <v>93517</v>
      </c>
      <c r="B343" s="907" t="s">
        <v>2904</v>
      </c>
      <c r="C343" s="908">
        <v>6.4999999999999996E-6</v>
      </c>
      <c r="D343" s="908">
        <v>6.6000000000000003E-6</v>
      </c>
      <c r="E343" s="909">
        <v>4035.72</v>
      </c>
      <c r="F343" s="909">
        <v>2962</v>
      </c>
      <c r="G343" s="909">
        <v>13795</v>
      </c>
      <c r="H343" s="909"/>
      <c r="I343" s="910">
        <v>259.1875</v>
      </c>
      <c r="J343" s="910">
        <v>12089</v>
      </c>
      <c r="K343" s="910">
        <v>945</v>
      </c>
      <c r="L343" s="909">
        <v>3198</v>
      </c>
      <c r="M343" s="909"/>
      <c r="N343" s="910">
        <v>483</v>
      </c>
      <c r="O343" s="910">
        <v>4462</v>
      </c>
      <c r="P343" s="910">
        <v>0</v>
      </c>
      <c r="Q343" s="909">
        <v>1011</v>
      </c>
      <c r="R343" s="910">
        <f t="shared" si="5"/>
        <v>7627</v>
      </c>
      <c r="S343" s="909"/>
      <c r="T343" s="910">
        <v>3687</v>
      </c>
      <c r="U343" s="912">
        <v>528</v>
      </c>
      <c r="V343" s="912">
        <v>4215</v>
      </c>
    </row>
    <row r="344" spans="1:22" x14ac:dyDescent="0.25">
      <c r="A344" s="906">
        <v>93521</v>
      </c>
      <c r="B344" s="907" t="s">
        <v>2905</v>
      </c>
      <c r="C344" s="908">
        <v>5.6389999999999999E-4</v>
      </c>
      <c r="D344" s="908">
        <v>4.75E-4</v>
      </c>
      <c r="E344" s="909">
        <v>183431</v>
      </c>
      <c r="F344" s="909">
        <v>213177.15</v>
      </c>
      <c r="G344" s="909">
        <v>1196785</v>
      </c>
      <c r="H344" s="909"/>
      <c r="I344" s="910">
        <v>22486</v>
      </c>
      <c r="J344" s="910">
        <v>1048765</v>
      </c>
      <c r="K344" s="910">
        <v>81969</v>
      </c>
      <c r="L344" s="909">
        <v>9662</v>
      </c>
      <c r="M344" s="909"/>
      <c r="N344" s="910">
        <v>41937</v>
      </c>
      <c r="O344" s="910">
        <v>387094</v>
      </c>
      <c r="P344" s="910">
        <v>0</v>
      </c>
      <c r="Q344" s="909">
        <v>10656</v>
      </c>
      <c r="R344" s="910">
        <f t="shared" si="5"/>
        <v>661671</v>
      </c>
      <c r="S344" s="909"/>
      <c r="T344" s="910">
        <v>319883</v>
      </c>
      <c r="U344" s="912">
        <v>-2591</v>
      </c>
      <c r="V344" s="912">
        <v>317292</v>
      </c>
    </row>
    <row r="345" spans="1:22" x14ac:dyDescent="0.25">
      <c r="A345" s="906">
        <v>93527</v>
      </c>
      <c r="B345" s="907" t="s">
        <v>2906</v>
      </c>
      <c r="C345" s="908">
        <v>5.4E-6</v>
      </c>
      <c r="D345" s="908">
        <v>5.4E-6</v>
      </c>
      <c r="E345" s="909">
        <v>8301</v>
      </c>
      <c r="F345" s="909">
        <v>2423</v>
      </c>
      <c r="G345" s="909">
        <v>11461</v>
      </c>
      <c r="H345" s="909"/>
      <c r="I345" s="910">
        <v>215.32499999999999</v>
      </c>
      <c r="J345" s="910">
        <v>10043</v>
      </c>
      <c r="K345" s="910">
        <v>785</v>
      </c>
      <c r="L345" s="909">
        <v>11237</v>
      </c>
      <c r="M345" s="909"/>
      <c r="N345" s="910">
        <v>402</v>
      </c>
      <c r="O345" s="910">
        <v>3707</v>
      </c>
      <c r="P345" s="910">
        <v>0</v>
      </c>
      <c r="Q345" s="909">
        <v>0</v>
      </c>
      <c r="R345" s="910">
        <f t="shared" si="5"/>
        <v>6336</v>
      </c>
      <c r="S345" s="909"/>
      <c r="T345" s="910">
        <v>3063</v>
      </c>
      <c r="U345" s="912">
        <v>3941</v>
      </c>
      <c r="V345" s="912">
        <v>7005</v>
      </c>
    </row>
    <row r="346" spans="1:22" x14ac:dyDescent="0.25">
      <c r="A346" s="906">
        <v>93531</v>
      </c>
      <c r="B346" s="907" t="s">
        <v>2907</v>
      </c>
      <c r="C346" s="908">
        <v>2.4000000000000001E-5</v>
      </c>
      <c r="D346" s="908">
        <v>2.4700000000000001E-5</v>
      </c>
      <c r="E346" s="909">
        <v>11692.23</v>
      </c>
      <c r="F346" s="909">
        <v>11085</v>
      </c>
      <c r="G346" s="909">
        <v>50936.04</v>
      </c>
      <c r="H346" s="909"/>
      <c r="I346" s="910">
        <v>957</v>
      </c>
      <c r="J346" s="910">
        <v>44636</v>
      </c>
      <c r="K346" s="910">
        <v>3489</v>
      </c>
      <c r="L346" s="909">
        <v>1068</v>
      </c>
      <c r="M346" s="909"/>
      <c r="N346" s="910">
        <v>1785</v>
      </c>
      <c r="O346" s="910">
        <v>16475</v>
      </c>
      <c r="P346" s="910">
        <v>0</v>
      </c>
      <c r="Q346" s="909">
        <v>2182</v>
      </c>
      <c r="R346" s="910">
        <f t="shared" si="5"/>
        <v>28161</v>
      </c>
      <c r="S346" s="909"/>
      <c r="T346" s="910">
        <v>13614</v>
      </c>
      <c r="U346" s="912">
        <v>-801</v>
      </c>
      <c r="V346" s="912">
        <v>12814</v>
      </c>
    </row>
    <row r="347" spans="1:22" x14ac:dyDescent="0.25">
      <c r="A347" s="906">
        <v>93537</v>
      </c>
      <c r="B347" s="907" t="s">
        <v>2908</v>
      </c>
      <c r="C347" s="908">
        <v>1.17E-5</v>
      </c>
      <c r="D347" s="908">
        <v>1.13E-5</v>
      </c>
      <c r="E347" s="909">
        <v>3539</v>
      </c>
      <c r="F347" s="909">
        <v>5071</v>
      </c>
      <c r="G347" s="909">
        <v>24831</v>
      </c>
      <c r="H347" s="909"/>
      <c r="I347" s="910">
        <v>467</v>
      </c>
      <c r="J347" s="910">
        <v>21760</v>
      </c>
      <c r="K347" s="910">
        <v>1701</v>
      </c>
      <c r="L347" s="909">
        <v>0</v>
      </c>
      <c r="M347" s="909"/>
      <c r="N347" s="910">
        <v>870</v>
      </c>
      <c r="O347" s="910">
        <v>8032</v>
      </c>
      <c r="P347" s="910">
        <v>0</v>
      </c>
      <c r="Q347" s="909">
        <v>976</v>
      </c>
      <c r="R347" s="910">
        <f t="shared" si="5"/>
        <v>13728</v>
      </c>
      <c r="S347" s="909"/>
      <c r="T347" s="910">
        <v>6637</v>
      </c>
      <c r="U347" s="912">
        <v>-276</v>
      </c>
      <c r="V347" s="912">
        <v>6361</v>
      </c>
    </row>
    <row r="348" spans="1:22" x14ac:dyDescent="0.25">
      <c r="A348" s="906">
        <v>93541</v>
      </c>
      <c r="B348" s="907" t="s">
        <v>2909</v>
      </c>
      <c r="C348" s="908">
        <v>1.061E-4</v>
      </c>
      <c r="D348" s="908">
        <v>1.069E-4</v>
      </c>
      <c r="E348" s="909">
        <v>43706</v>
      </c>
      <c r="F348" s="909">
        <v>47976</v>
      </c>
      <c r="G348" s="909">
        <v>225180</v>
      </c>
      <c r="H348" s="909"/>
      <c r="I348" s="910">
        <v>4231</v>
      </c>
      <c r="J348" s="910">
        <v>197329</v>
      </c>
      <c r="K348" s="910">
        <v>15423</v>
      </c>
      <c r="L348" s="909">
        <v>8559</v>
      </c>
      <c r="M348" s="909"/>
      <c r="N348" s="910">
        <v>7891</v>
      </c>
      <c r="O348" s="910">
        <v>72833</v>
      </c>
      <c r="P348" s="910">
        <v>0</v>
      </c>
      <c r="Q348" s="909">
        <v>1155</v>
      </c>
      <c r="R348" s="910">
        <f t="shared" si="5"/>
        <v>124496</v>
      </c>
      <c r="S348" s="909"/>
      <c r="T348" s="910">
        <v>60187</v>
      </c>
      <c r="U348" s="912">
        <v>3927</v>
      </c>
      <c r="V348" s="912">
        <v>64114</v>
      </c>
    </row>
    <row r="349" spans="1:22" x14ac:dyDescent="0.25">
      <c r="A349" s="906">
        <v>93601</v>
      </c>
      <c r="B349" s="907" t="s">
        <v>2910</v>
      </c>
      <c r="C349" s="908">
        <v>1.1139899999999999E-2</v>
      </c>
      <c r="D349" s="908">
        <v>1.09906E-2</v>
      </c>
      <c r="E349" s="909">
        <v>4591072.71</v>
      </c>
      <c r="F349" s="909">
        <v>4932515</v>
      </c>
      <c r="G349" s="909">
        <v>23642600</v>
      </c>
      <c r="H349" s="909"/>
      <c r="I349" s="910">
        <v>444204</v>
      </c>
      <c r="J349" s="910">
        <v>20718454</v>
      </c>
      <c r="K349" s="910">
        <v>1619307</v>
      </c>
      <c r="L349" s="909">
        <v>88715</v>
      </c>
      <c r="M349" s="909"/>
      <c r="N349" s="910">
        <v>828463</v>
      </c>
      <c r="O349" s="910">
        <v>7647073</v>
      </c>
      <c r="P349" s="910">
        <v>0</v>
      </c>
      <c r="Q349" s="909">
        <v>158818</v>
      </c>
      <c r="R349" s="910">
        <f t="shared" si="5"/>
        <v>13071381</v>
      </c>
      <c r="S349" s="909"/>
      <c r="T349" s="910">
        <v>6319320</v>
      </c>
      <c r="U349" s="912">
        <v>-40519</v>
      </c>
      <c r="V349" s="912">
        <v>6278801</v>
      </c>
    </row>
    <row r="350" spans="1:22" x14ac:dyDescent="0.25">
      <c r="A350" s="906">
        <v>93602</v>
      </c>
      <c r="B350" s="907" t="s">
        <v>2911</v>
      </c>
      <c r="C350" s="908">
        <v>1.7200000000000001E-4</v>
      </c>
      <c r="D350" s="908">
        <v>1.873E-4</v>
      </c>
      <c r="E350" s="909">
        <v>65294.78</v>
      </c>
      <c r="F350" s="909">
        <v>84059</v>
      </c>
      <c r="G350" s="909">
        <v>365041.62</v>
      </c>
      <c r="H350" s="909"/>
      <c r="I350" s="910">
        <v>6858.5</v>
      </c>
      <c r="J350" s="910">
        <v>319893</v>
      </c>
      <c r="K350" s="910">
        <v>25002</v>
      </c>
      <c r="L350" s="909">
        <v>1192</v>
      </c>
      <c r="M350" s="909"/>
      <c r="N350" s="910">
        <v>12791</v>
      </c>
      <c r="O350" s="910">
        <v>118071</v>
      </c>
      <c r="P350" s="910">
        <v>0</v>
      </c>
      <c r="Q350" s="909">
        <v>14459</v>
      </c>
      <c r="R350" s="910">
        <f t="shared" si="5"/>
        <v>201822</v>
      </c>
      <c r="S350" s="909"/>
      <c r="T350" s="910">
        <v>97570</v>
      </c>
      <c r="U350" s="912">
        <v>-3774</v>
      </c>
      <c r="V350" s="912">
        <v>93797</v>
      </c>
    </row>
    <row r="351" spans="1:22" x14ac:dyDescent="0.25">
      <c r="A351" s="906">
        <v>93609</v>
      </c>
      <c r="B351" s="907" t="s">
        <v>2912</v>
      </c>
      <c r="C351" s="908">
        <v>3.0569E-3</v>
      </c>
      <c r="D351" s="908">
        <v>2.777E-3</v>
      </c>
      <c r="E351" s="909">
        <v>1250738</v>
      </c>
      <c r="F351" s="909">
        <v>1246301</v>
      </c>
      <c r="G351" s="909">
        <v>6487766</v>
      </c>
      <c r="H351" s="909"/>
      <c r="I351" s="910">
        <v>121894</v>
      </c>
      <c r="J351" s="910">
        <v>5685351</v>
      </c>
      <c r="K351" s="910">
        <v>444354</v>
      </c>
      <c r="L351" s="909">
        <v>575194</v>
      </c>
      <c r="M351" s="909"/>
      <c r="N351" s="910">
        <v>227339</v>
      </c>
      <c r="O351" s="910">
        <v>2098433</v>
      </c>
      <c r="P351" s="910">
        <v>0</v>
      </c>
      <c r="Q351" s="909">
        <v>0</v>
      </c>
      <c r="R351" s="910">
        <f t="shared" si="5"/>
        <v>3586918</v>
      </c>
      <c r="S351" s="909"/>
      <c r="T351" s="910">
        <v>1734085</v>
      </c>
      <c r="U351" s="912">
        <v>238417</v>
      </c>
      <c r="V351" s="912">
        <v>1972502</v>
      </c>
    </row>
    <row r="352" spans="1:22" x14ac:dyDescent="0.25">
      <c r="A352" s="906">
        <v>93610</v>
      </c>
      <c r="B352" s="907" t="s">
        <v>2913</v>
      </c>
      <c r="C352" s="908">
        <v>6.4999999999999996E-6</v>
      </c>
      <c r="D352" s="908">
        <v>1.84E-5</v>
      </c>
      <c r="E352" s="909">
        <v>5057</v>
      </c>
      <c r="F352" s="909">
        <v>8258</v>
      </c>
      <c r="G352" s="909">
        <v>13795</v>
      </c>
      <c r="H352" s="909"/>
      <c r="I352" s="910">
        <v>259.1875</v>
      </c>
      <c r="J352" s="910">
        <v>12089</v>
      </c>
      <c r="K352" s="910">
        <v>945</v>
      </c>
      <c r="L352" s="909">
        <v>3285</v>
      </c>
      <c r="M352" s="909"/>
      <c r="N352" s="910">
        <v>483</v>
      </c>
      <c r="O352" s="910">
        <v>4462</v>
      </c>
      <c r="P352" s="910">
        <v>0</v>
      </c>
      <c r="Q352" s="909">
        <v>4553</v>
      </c>
      <c r="R352" s="910">
        <f t="shared" si="5"/>
        <v>7627</v>
      </c>
      <c r="S352" s="909"/>
      <c r="T352" s="910">
        <v>3687</v>
      </c>
      <c r="U352" s="912">
        <v>154</v>
      </c>
      <c r="V352" s="912">
        <v>3842</v>
      </c>
    </row>
    <row r="353" spans="1:22" x14ac:dyDescent="0.25">
      <c r="A353" s="906">
        <v>93611</v>
      </c>
      <c r="B353" s="907" t="s">
        <v>2914</v>
      </c>
      <c r="C353" s="908">
        <v>6.9325000000000003E-3</v>
      </c>
      <c r="D353" s="908">
        <v>6.9034999999999999E-3</v>
      </c>
      <c r="E353" s="909">
        <v>2795516.27</v>
      </c>
      <c r="F353" s="909">
        <v>3098249</v>
      </c>
      <c r="G353" s="909">
        <v>14713087</v>
      </c>
      <c r="H353" s="909"/>
      <c r="I353" s="910">
        <v>276433</v>
      </c>
      <c r="J353" s="910">
        <v>12893355</v>
      </c>
      <c r="K353" s="910">
        <v>1007715</v>
      </c>
      <c r="L353" s="909">
        <v>0</v>
      </c>
      <c r="M353" s="909"/>
      <c r="N353" s="910">
        <v>515563</v>
      </c>
      <c r="O353" s="910">
        <v>4758870</v>
      </c>
      <c r="P353" s="910">
        <v>0</v>
      </c>
      <c r="Q353" s="909">
        <v>266414</v>
      </c>
      <c r="R353" s="910">
        <f t="shared" si="5"/>
        <v>8134485</v>
      </c>
      <c r="S353" s="909"/>
      <c r="T353" s="910">
        <v>3932592</v>
      </c>
      <c r="U353" s="912">
        <v>-113352</v>
      </c>
      <c r="V353" s="912">
        <v>3819240</v>
      </c>
    </row>
    <row r="354" spans="1:22" x14ac:dyDescent="0.25">
      <c r="A354" s="906">
        <v>93617</v>
      </c>
      <c r="B354" s="907" t="s">
        <v>2915</v>
      </c>
      <c r="C354" s="908">
        <v>9.5000000000000005E-5</v>
      </c>
      <c r="D354" s="908">
        <v>7.9200000000000001E-5</v>
      </c>
      <c r="E354" s="909">
        <v>46064</v>
      </c>
      <c r="F354" s="909">
        <v>35544</v>
      </c>
      <c r="G354" s="909">
        <v>201622</v>
      </c>
      <c r="H354" s="909"/>
      <c r="I354" s="910">
        <v>3788.125</v>
      </c>
      <c r="J354" s="910">
        <v>176685</v>
      </c>
      <c r="K354" s="910">
        <v>13809</v>
      </c>
      <c r="L354" s="909">
        <v>28939</v>
      </c>
      <c r="M354" s="909"/>
      <c r="N354" s="910">
        <v>7065</v>
      </c>
      <c r="O354" s="910">
        <v>65213.51</v>
      </c>
      <c r="P354" s="910">
        <v>0</v>
      </c>
      <c r="Q354" s="909">
        <v>0</v>
      </c>
      <c r="R354" s="910">
        <f t="shared" si="5"/>
        <v>111471</v>
      </c>
      <c r="S354" s="909"/>
      <c r="T354" s="910">
        <v>53891</v>
      </c>
      <c r="U354" s="912">
        <v>10007</v>
      </c>
      <c r="V354" s="912">
        <v>63898</v>
      </c>
    </row>
    <row r="355" spans="1:22" x14ac:dyDescent="0.25">
      <c r="A355" s="906">
        <v>93618</v>
      </c>
      <c r="B355" s="907" t="s">
        <v>2916</v>
      </c>
      <c r="C355" s="908">
        <v>1.17E-5</v>
      </c>
      <c r="D355" s="908">
        <v>1.0200000000000001E-5</v>
      </c>
      <c r="E355" s="909">
        <v>22629</v>
      </c>
      <c r="F355" s="909">
        <v>4578</v>
      </c>
      <c r="G355" s="909">
        <v>24831</v>
      </c>
      <c r="H355" s="909"/>
      <c r="I355" s="910">
        <v>467</v>
      </c>
      <c r="J355" s="910">
        <v>21760</v>
      </c>
      <c r="K355" s="910">
        <v>1701</v>
      </c>
      <c r="L355" s="909">
        <v>27424</v>
      </c>
      <c r="M355" s="909"/>
      <c r="N355" s="910">
        <v>870</v>
      </c>
      <c r="O355" s="910">
        <v>8032</v>
      </c>
      <c r="P355" s="910">
        <v>0</v>
      </c>
      <c r="Q355" s="909">
        <v>0</v>
      </c>
      <c r="R355" s="910">
        <f t="shared" si="5"/>
        <v>13728</v>
      </c>
      <c r="S355" s="909"/>
      <c r="T355" s="910">
        <v>6637</v>
      </c>
      <c r="U355" s="912">
        <v>8505</v>
      </c>
      <c r="V355" s="912">
        <v>15142</v>
      </c>
    </row>
    <row r="356" spans="1:22" x14ac:dyDescent="0.25">
      <c r="A356" s="906">
        <v>93621</v>
      </c>
      <c r="B356" s="907" t="s">
        <v>2917</v>
      </c>
      <c r="C356" s="908">
        <v>8.5320000000000003E-4</v>
      </c>
      <c r="D356" s="908">
        <v>9.5949999999999996E-4</v>
      </c>
      <c r="E356" s="909">
        <v>330203.31</v>
      </c>
      <c r="F356" s="909">
        <v>430618</v>
      </c>
      <c r="G356" s="909">
        <v>1810776</v>
      </c>
      <c r="H356" s="909"/>
      <c r="I356" s="910">
        <v>34021.35</v>
      </c>
      <c r="J356" s="910">
        <v>1586817</v>
      </c>
      <c r="K356" s="910">
        <v>124022</v>
      </c>
      <c r="L356" s="909">
        <v>0</v>
      </c>
      <c r="M356" s="909"/>
      <c r="N356" s="910">
        <v>63452</v>
      </c>
      <c r="O356" s="910">
        <v>585686</v>
      </c>
      <c r="P356" s="910">
        <v>0</v>
      </c>
      <c r="Q356" s="909">
        <v>118410</v>
      </c>
      <c r="R356" s="910">
        <f t="shared" si="5"/>
        <v>1001131</v>
      </c>
      <c r="S356" s="909"/>
      <c r="T356" s="910">
        <v>483994</v>
      </c>
      <c r="U356" s="912">
        <v>-38643</v>
      </c>
      <c r="V356" s="912">
        <v>445351</v>
      </c>
    </row>
    <row r="357" spans="1:22" x14ac:dyDescent="0.25">
      <c r="A357" s="906">
        <v>93623</v>
      </c>
      <c r="B357" s="907" t="s">
        <v>2918</v>
      </c>
      <c r="C357" s="908">
        <v>1.2500000000000001E-5</v>
      </c>
      <c r="D357" s="908">
        <v>1.24E-5</v>
      </c>
      <c r="E357" s="909">
        <v>8241</v>
      </c>
      <c r="F357" s="909">
        <v>5565</v>
      </c>
      <c r="G357" s="909">
        <v>26529.1875</v>
      </c>
      <c r="H357" s="909"/>
      <c r="I357" s="910">
        <v>498.4375</v>
      </c>
      <c r="J357" s="910">
        <v>23248</v>
      </c>
      <c r="K357" s="910">
        <v>1817</v>
      </c>
      <c r="L357" s="909">
        <v>4315</v>
      </c>
      <c r="M357" s="909"/>
      <c r="N357" s="910">
        <v>930</v>
      </c>
      <c r="O357" s="910">
        <v>8581</v>
      </c>
      <c r="P357" s="910">
        <v>0</v>
      </c>
      <c r="Q357" s="909">
        <v>2</v>
      </c>
      <c r="R357" s="910">
        <f t="shared" si="5"/>
        <v>14667</v>
      </c>
      <c r="S357" s="909"/>
      <c r="T357" s="910">
        <v>7091</v>
      </c>
      <c r="U357" s="912">
        <v>1289</v>
      </c>
      <c r="V357" s="912">
        <v>8380</v>
      </c>
    </row>
    <row r="358" spans="1:22" x14ac:dyDescent="0.25">
      <c r="A358" s="906">
        <v>93631</v>
      </c>
      <c r="B358" s="907" t="s">
        <v>2919</v>
      </c>
      <c r="C358" s="908">
        <v>2.3440000000000001E-4</v>
      </c>
      <c r="D358" s="908">
        <v>2.3680000000000001E-4</v>
      </c>
      <c r="E358" s="909">
        <v>87285</v>
      </c>
      <c r="F358" s="909">
        <v>106274</v>
      </c>
      <c r="G358" s="909">
        <v>497475</v>
      </c>
      <c r="H358" s="909"/>
      <c r="I358" s="910">
        <v>9347</v>
      </c>
      <c r="J358" s="910">
        <v>435947</v>
      </c>
      <c r="K358" s="910">
        <v>34073</v>
      </c>
      <c r="L358" s="909">
        <v>874</v>
      </c>
      <c r="M358" s="909"/>
      <c r="N358" s="910">
        <v>17432</v>
      </c>
      <c r="O358" s="910">
        <v>160906</v>
      </c>
      <c r="P358" s="910">
        <v>0</v>
      </c>
      <c r="Q358" s="909">
        <v>17303</v>
      </c>
      <c r="R358" s="910">
        <f t="shared" si="5"/>
        <v>275041</v>
      </c>
      <c r="S358" s="909"/>
      <c r="T358" s="910">
        <v>132968</v>
      </c>
      <c r="U358" s="912">
        <v>-4881</v>
      </c>
      <c r="V358" s="912">
        <v>128086</v>
      </c>
    </row>
    <row r="359" spans="1:22" x14ac:dyDescent="0.25">
      <c r="A359" s="906">
        <v>93641</v>
      </c>
      <c r="B359" s="907" t="s">
        <v>2920</v>
      </c>
      <c r="C359" s="908">
        <v>4.3550000000000001E-4</v>
      </c>
      <c r="D359" s="908">
        <v>4.3100000000000001E-4</v>
      </c>
      <c r="E359" s="909">
        <v>182885.7</v>
      </c>
      <c r="F359" s="909">
        <v>193430</v>
      </c>
      <c r="G359" s="909">
        <v>924277</v>
      </c>
      <c r="H359" s="909"/>
      <c r="I359" s="910">
        <v>17365.5625</v>
      </c>
      <c r="J359" s="910">
        <v>809961</v>
      </c>
      <c r="K359" s="910">
        <v>63305</v>
      </c>
      <c r="L359" s="909">
        <v>21571</v>
      </c>
      <c r="M359" s="909"/>
      <c r="N359" s="910">
        <v>32388</v>
      </c>
      <c r="O359" s="910">
        <v>298952</v>
      </c>
      <c r="P359" s="910">
        <v>0</v>
      </c>
      <c r="Q359" s="909">
        <v>0</v>
      </c>
      <c r="R359" s="910">
        <f t="shared" si="5"/>
        <v>511009</v>
      </c>
      <c r="S359" s="909"/>
      <c r="T359" s="910">
        <v>247046</v>
      </c>
      <c r="U359" s="912">
        <v>7537</v>
      </c>
      <c r="V359" s="912">
        <v>254583</v>
      </c>
    </row>
    <row r="360" spans="1:22" x14ac:dyDescent="0.25">
      <c r="A360" s="906">
        <v>93647</v>
      </c>
      <c r="B360" s="907" t="s">
        <v>2921</v>
      </c>
      <c r="C360" s="908">
        <v>6.1E-6</v>
      </c>
      <c r="D360" s="908">
        <v>6.0000000000000002E-6</v>
      </c>
      <c r="E360" s="909">
        <v>7779</v>
      </c>
      <c r="F360" s="909">
        <v>2693</v>
      </c>
      <c r="G360" s="909">
        <v>12946</v>
      </c>
      <c r="H360" s="909"/>
      <c r="I360" s="910">
        <v>243.23750000000001</v>
      </c>
      <c r="J360" s="910">
        <v>11345</v>
      </c>
      <c r="K360" s="910">
        <v>887</v>
      </c>
      <c r="L360" s="909">
        <v>10457</v>
      </c>
      <c r="M360" s="909"/>
      <c r="N360" s="910">
        <v>454</v>
      </c>
      <c r="O360" s="910">
        <v>4187</v>
      </c>
      <c r="P360" s="910">
        <v>0</v>
      </c>
      <c r="Q360" s="909">
        <v>0</v>
      </c>
      <c r="R360" s="910">
        <f t="shared" si="5"/>
        <v>7158</v>
      </c>
      <c r="S360" s="909"/>
      <c r="T360" s="910">
        <v>3460</v>
      </c>
      <c r="U360" s="912">
        <v>3397</v>
      </c>
      <c r="V360" s="912">
        <v>6857</v>
      </c>
    </row>
    <row r="361" spans="1:22" x14ac:dyDescent="0.25">
      <c r="A361" s="906">
        <v>93651</v>
      </c>
      <c r="B361" s="907" t="s">
        <v>2922</v>
      </c>
      <c r="C361" s="908">
        <v>4.282E-4</v>
      </c>
      <c r="D361" s="908">
        <v>4.216E-4</v>
      </c>
      <c r="E361" s="909">
        <v>158412.88</v>
      </c>
      <c r="F361" s="909">
        <v>189212</v>
      </c>
      <c r="G361" s="909">
        <v>908784</v>
      </c>
      <c r="H361" s="909"/>
      <c r="I361" s="910">
        <v>17074</v>
      </c>
      <c r="J361" s="910">
        <v>796384</v>
      </c>
      <c r="K361" s="910">
        <v>62244</v>
      </c>
      <c r="L361" s="909">
        <v>9033</v>
      </c>
      <c r="M361" s="909"/>
      <c r="N361" s="910">
        <v>31845</v>
      </c>
      <c r="O361" s="910">
        <v>293941</v>
      </c>
      <c r="P361" s="910">
        <v>0</v>
      </c>
      <c r="Q361" s="909">
        <v>11722</v>
      </c>
      <c r="R361" s="910">
        <f t="shared" si="5"/>
        <v>502443</v>
      </c>
      <c r="S361" s="909"/>
      <c r="T361" s="910">
        <v>242905</v>
      </c>
      <c r="U361" s="912">
        <v>-139</v>
      </c>
      <c r="V361" s="912">
        <v>242766</v>
      </c>
    </row>
    <row r="362" spans="1:22" x14ac:dyDescent="0.25">
      <c r="A362" s="906">
        <v>93661</v>
      </c>
      <c r="B362" s="907" t="s">
        <v>2923</v>
      </c>
      <c r="C362" s="908">
        <v>1.3420000000000001E-4</v>
      </c>
      <c r="D362" s="908">
        <v>1.2750000000000001E-4</v>
      </c>
      <c r="E362" s="909">
        <v>60285</v>
      </c>
      <c r="F362" s="909">
        <v>57221</v>
      </c>
      <c r="G362" s="909">
        <v>284817</v>
      </c>
      <c r="H362" s="909"/>
      <c r="I362" s="910">
        <v>5351</v>
      </c>
      <c r="J362" s="910">
        <v>249591</v>
      </c>
      <c r="K362" s="910">
        <v>19507</v>
      </c>
      <c r="L362" s="909">
        <v>12174</v>
      </c>
      <c r="M362" s="909"/>
      <c r="N362" s="910">
        <v>9980</v>
      </c>
      <c r="O362" s="910">
        <v>92123</v>
      </c>
      <c r="P362" s="910">
        <v>0</v>
      </c>
      <c r="Q362" s="909">
        <v>0</v>
      </c>
      <c r="R362" s="910">
        <f t="shared" si="5"/>
        <v>157468</v>
      </c>
      <c r="S362" s="909"/>
      <c r="T362" s="910">
        <v>76127</v>
      </c>
      <c r="U362" s="912">
        <v>3955</v>
      </c>
      <c r="V362" s="912">
        <v>80082</v>
      </c>
    </row>
    <row r="363" spans="1:22" x14ac:dyDescent="0.25">
      <c r="A363" s="906">
        <v>93671</v>
      </c>
      <c r="B363" s="907" t="s">
        <v>2924</v>
      </c>
      <c r="C363" s="908">
        <v>3.6900000000000002E-4</v>
      </c>
      <c r="D363" s="908">
        <v>3.5710000000000001E-4</v>
      </c>
      <c r="E363" s="909">
        <v>141320.09</v>
      </c>
      <c r="F363" s="909">
        <v>160264</v>
      </c>
      <c r="G363" s="909">
        <v>783142</v>
      </c>
      <c r="H363" s="909"/>
      <c r="I363" s="910">
        <v>14714</v>
      </c>
      <c r="J363" s="910">
        <v>686282</v>
      </c>
      <c r="K363" s="910">
        <v>53638</v>
      </c>
      <c r="L363" s="909">
        <v>67993</v>
      </c>
      <c r="M363" s="909"/>
      <c r="N363" s="910">
        <v>27442</v>
      </c>
      <c r="O363" s="910">
        <v>253303</v>
      </c>
      <c r="P363" s="910">
        <v>0</v>
      </c>
      <c r="Q363" s="909">
        <v>1836</v>
      </c>
      <c r="R363" s="910">
        <f t="shared" si="5"/>
        <v>432979</v>
      </c>
      <c r="S363" s="909"/>
      <c r="T363" s="910">
        <v>209322</v>
      </c>
      <c r="U363" s="912">
        <v>28852</v>
      </c>
      <c r="V363" s="912">
        <v>238174</v>
      </c>
    </row>
    <row r="364" spans="1:22" x14ac:dyDescent="0.25">
      <c r="A364" s="906">
        <v>93677</v>
      </c>
      <c r="B364" s="907" t="s">
        <v>1522</v>
      </c>
      <c r="C364" s="908">
        <v>0</v>
      </c>
      <c r="D364" s="908">
        <v>0</v>
      </c>
      <c r="E364" s="909">
        <v>0</v>
      </c>
      <c r="F364" s="909">
        <v>0</v>
      </c>
      <c r="G364" s="909">
        <v>0</v>
      </c>
      <c r="H364" s="909"/>
      <c r="I364" s="910">
        <v>0</v>
      </c>
      <c r="J364" s="910">
        <v>0</v>
      </c>
      <c r="K364" s="910">
        <v>0</v>
      </c>
      <c r="L364" s="909">
        <v>0</v>
      </c>
      <c r="M364" s="909"/>
      <c r="N364" s="910">
        <v>0</v>
      </c>
      <c r="O364" s="910">
        <v>0</v>
      </c>
      <c r="P364" s="910">
        <v>0</v>
      </c>
      <c r="Q364" s="909">
        <v>1443</v>
      </c>
      <c r="R364" s="910">
        <f t="shared" si="5"/>
        <v>0</v>
      </c>
      <c r="S364" s="909"/>
      <c r="T364" s="910">
        <v>0</v>
      </c>
      <c r="U364" s="912">
        <v>-725</v>
      </c>
      <c r="V364" s="912">
        <v>-725</v>
      </c>
    </row>
    <row r="365" spans="1:22" x14ac:dyDescent="0.25">
      <c r="A365" s="906">
        <v>93681</v>
      </c>
      <c r="B365" s="907" t="s">
        <v>2925</v>
      </c>
      <c r="C365" s="908">
        <v>1.1010000000000001E-4</v>
      </c>
      <c r="D365" s="908">
        <v>1.2769999999999999E-4</v>
      </c>
      <c r="E365" s="909">
        <v>44347.75</v>
      </c>
      <c r="F365" s="909">
        <v>57311</v>
      </c>
      <c r="G365" s="909">
        <v>233669</v>
      </c>
      <c r="H365" s="909"/>
      <c r="I365" s="910">
        <v>4390</v>
      </c>
      <c r="J365" s="910">
        <v>204769</v>
      </c>
      <c r="K365" s="910">
        <v>16004</v>
      </c>
      <c r="L365" s="909">
        <v>409</v>
      </c>
      <c r="M365" s="909"/>
      <c r="N365" s="910">
        <v>8188</v>
      </c>
      <c r="O365" s="910">
        <v>75579</v>
      </c>
      <c r="P365" s="910">
        <v>0</v>
      </c>
      <c r="Q365" s="909">
        <v>17487</v>
      </c>
      <c r="R365" s="910">
        <f t="shared" si="5"/>
        <v>129190</v>
      </c>
      <c r="S365" s="909"/>
      <c r="T365" s="910">
        <v>62456</v>
      </c>
      <c r="U365" s="912">
        <v>-6141</v>
      </c>
      <c r="V365" s="912">
        <v>56315</v>
      </c>
    </row>
    <row r="366" spans="1:22" x14ac:dyDescent="0.25">
      <c r="A366" s="906">
        <v>93691</v>
      </c>
      <c r="B366" s="907" t="s">
        <v>2926</v>
      </c>
      <c r="C366" s="908">
        <v>1.1251E-3</v>
      </c>
      <c r="D366" s="908">
        <v>1.1314999999999999E-3</v>
      </c>
      <c r="E366" s="909">
        <v>407119.95</v>
      </c>
      <c r="F366" s="909">
        <v>507810</v>
      </c>
      <c r="G366" s="909">
        <v>2387839</v>
      </c>
      <c r="H366" s="909"/>
      <c r="I366" s="910">
        <v>44863</v>
      </c>
      <c r="J366" s="910">
        <v>2092508</v>
      </c>
      <c r="K366" s="910">
        <v>163546</v>
      </c>
      <c r="L366" s="909">
        <v>0</v>
      </c>
      <c r="M366" s="909"/>
      <c r="N366" s="910">
        <v>83673</v>
      </c>
      <c r="O366" s="910">
        <v>772334</v>
      </c>
      <c r="P366" s="910">
        <v>0</v>
      </c>
      <c r="Q366" s="909">
        <v>90621</v>
      </c>
      <c r="R366" s="910">
        <f t="shared" si="5"/>
        <v>1320174</v>
      </c>
      <c r="S366" s="909"/>
      <c r="T366" s="910">
        <v>638234</v>
      </c>
      <c r="U366" s="912">
        <v>-28965</v>
      </c>
      <c r="V366" s="912">
        <v>609269</v>
      </c>
    </row>
    <row r="367" spans="1:22" x14ac:dyDescent="0.25">
      <c r="A367" s="906">
        <v>93701</v>
      </c>
      <c r="B367" s="907" t="s">
        <v>2927</v>
      </c>
      <c r="C367" s="908">
        <v>4.6200000000000001E-4</v>
      </c>
      <c r="D367" s="908">
        <v>4.7169999999999997E-4</v>
      </c>
      <c r="E367" s="909">
        <v>182681.63</v>
      </c>
      <c r="F367" s="909">
        <v>211696</v>
      </c>
      <c r="G367" s="909">
        <v>980518.77</v>
      </c>
      <c r="H367" s="909"/>
      <c r="I367" s="910">
        <v>18422.25</v>
      </c>
      <c r="J367" s="910">
        <v>859247</v>
      </c>
      <c r="K367" s="910">
        <v>67157</v>
      </c>
      <c r="L367" s="909">
        <v>13714</v>
      </c>
      <c r="M367" s="909"/>
      <c r="N367" s="910">
        <v>34358</v>
      </c>
      <c r="O367" s="910">
        <v>317144</v>
      </c>
      <c r="P367" s="910">
        <v>0</v>
      </c>
      <c r="Q367" s="909">
        <v>11063</v>
      </c>
      <c r="R367" s="910">
        <f t="shared" si="5"/>
        <v>542103</v>
      </c>
      <c r="S367" s="909"/>
      <c r="T367" s="910">
        <v>262078</v>
      </c>
      <c r="U367" s="912">
        <v>2925</v>
      </c>
      <c r="V367" s="912">
        <v>265003</v>
      </c>
    </row>
    <row r="368" spans="1:22" x14ac:dyDescent="0.25">
      <c r="A368" s="906">
        <v>93704</v>
      </c>
      <c r="B368" s="907" t="s">
        <v>2928</v>
      </c>
      <c r="C368" s="908">
        <v>3.3000000000000002E-6</v>
      </c>
      <c r="D368" s="908">
        <v>3.3000000000000002E-6</v>
      </c>
      <c r="E368" s="909">
        <v>1805</v>
      </c>
      <c r="F368" s="909">
        <v>1481</v>
      </c>
      <c r="G368" s="909">
        <v>7004</v>
      </c>
      <c r="H368" s="909"/>
      <c r="I368" s="910">
        <v>131.58750000000001</v>
      </c>
      <c r="J368" s="910">
        <v>6137</v>
      </c>
      <c r="K368" s="910">
        <v>480</v>
      </c>
      <c r="L368" s="909">
        <v>430</v>
      </c>
      <c r="M368" s="909"/>
      <c r="N368" s="910">
        <v>245</v>
      </c>
      <c r="O368" s="910">
        <v>2265</v>
      </c>
      <c r="P368" s="910">
        <v>0</v>
      </c>
      <c r="Q368" s="909">
        <v>97.51</v>
      </c>
      <c r="R368" s="910">
        <f t="shared" si="5"/>
        <v>3872</v>
      </c>
      <c r="S368" s="909"/>
      <c r="T368" s="910">
        <v>1872</v>
      </c>
      <c r="U368" s="912">
        <v>69</v>
      </c>
      <c r="V368" s="912">
        <v>1941</v>
      </c>
    </row>
    <row r="369" spans="1:22" x14ac:dyDescent="0.25">
      <c r="A369" s="906">
        <v>93801</v>
      </c>
      <c r="B369" s="907" t="s">
        <v>2929</v>
      </c>
      <c r="C369" s="908">
        <v>5.4180000000000005E-4</v>
      </c>
      <c r="D369" s="908">
        <v>4.4959999999999998E-4</v>
      </c>
      <c r="E369" s="909">
        <v>326497.91999999998</v>
      </c>
      <c r="F369" s="909">
        <v>201778</v>
      </c>
      <c r="G369" s="909">
        <v>1149881</v>
      </c>
      <c r="H369" s="909"/>
      <c r="I369" s="910">
        <v>21604</v>
      </c>
      <c r="J369" s="910">
        <v>1007662</v>
      </c>
      <c r="K369" s="910">
        <v>78757</v>
      </c>
      <c r="L369" s="909">
        <v>156479</v>
      </c>
      <c r="M369" s="909"/>
      <c r="N369" s="910">
        <v>40293</v>
      </c>
      <c r="O369" s="910">
        <v>371923</v>
      </c>
      <c r="P369" s="910">
        <v>0</v>
      </c>
      <c r="Q369" s="909">
        <v>2943</v>
      </c>
      <c r="R369" s="910">
        <f t="shared" si="5"/>
        <v>635739</v>
      </c>
      <c r="S369" s="909"/>
      <c r="T369" s="910">
        <v>307346</v>
      </c>
      <c r="U369" s="912">
        <v>41370</v>
      </c>
      <c r="V369" s="912">
        <v>348716</v>
      </c>
    </row>
    <row r="370" spans="1:22" x14ac:dyDescent="0.25">
      <c r="A370" s="906">
        <v>93803</v>
      </c>
      <c r="B370" s="907" t="s">
        <v>2930</v>
      </c>
      <c r="C370" s="908">
        <v>1.4469999999999999E-4</v>
      </c>
      <c r="D370" s="908">
        <v>1.582E-4</v>
      </c>
      <c r="E370" s="909">
        <v>49766</v>
      </c>
      <c r="F370" s="909">
        <v>70999</v>
      </c>
      <c r="G370" s="909">
        <v>307102</v>
      </c>
      <c r="H370" s="909"/>
      <c r="I370" s="910">
        <v>5770</v>
      </c>
      <c r="J370" s="910">
        <v>269119</v>
      </c>
      <c r="K370" s="910">
        <v>21034</v>
      </c>
      <c r="L370" s="909">
        <v>0</v>
      </c>
      <c r="M370" s="909"/>
      <c r="N370" s="910">
        <v>10761</v>
      </c>
      <c r="O370" s="910">
        <v>99330</v>
      </c>
      <c r="P370" s="910">
        <v>0</v>
      </c>
      <c r="Q370" s="909">
        <v>34507</v>
      </c>
      <c r="R370" s="910">
        <f t="shared" si="5"/>
        <v>169789</v>
      </c>
      <c r="S370" s="909"/>
      <c r="T370" s="910">
        <v>82084</v>
      </c>
      <c r="U370" s="912">
        <v>-12391</v>
      </c>
      <c r="V370" s="912">
        <v>69693</v>
      </c>
    </row>
    <row r="371" spans="1:22" x14ac:dyDescent="0.25">
      <c r="A371" s="906">
        <v>93806</v>
      </c>
      <c r="B371" s="907" t="s">
        <v>2931</v>
      </c>
      <c r="C371" s="908">
        <v>7.3700000000000002E-5</v>
      </c>
      <c r="D371" s="908">
        <v>7.7899999999999996E-5</v>
      </c>
      <c r="E371" s="909">
        <v>32242.28</v>
      </c>
      <c r="F371" s="909">
        <v>34961</v>
      </c>
      <c r="G371" s="909">
        <v>156416</v>
      </c>
      <c r="H371" s="909"/>
      <c r="I371" s="910">
        <v>2939</v>
      </c>
      <c r="J371" s="910">
        <v>137070</v>
      </c>
      <c r="K371" s="910">
        <v>10713</v>
      </c>
      <c r="L371" s="909">
        <v>1793</v>
      </c>
      <c r="M371" s="909"/>
      <c r="N371" s="910">
        <v>5481</v>
      </c>
      <c r="O371" s="910">
        <v>50592</v>
      </c>
      <c r="P371" s="910">
        <v>0</v>
      </c>
      <c r="Q371" s="909">
        <v>19837</v>
      </c>
      <c r="R371" s="910">
        <f t="shared" si="5"/>
        <v>86478</v>
      </c>
      <c r="S371" s="909"/>
      <c r="T371" s="910">
        <v>41808</v>
      </c>
      <c r="U371" s="912">
        <v>-9153</v>
      </c>
      <c r="V371" s="912">
        <v>32655</v>
      </c>
    </row>
    <row r="372" spans="1:22" x14ac:dyDescent="0.25">
      <c r="A372" s="906">
        <v>93821</v>
      </c>
      <c r="B372" s="907" t="s">
        <v>2932</v>
      </c>
      <c r="C372" s="908">
        <v>5.7200000000000001E-5</v>
      </c>
      <c r="D372" s="908">
        <v>5.2899999999999998E-5</v>
      </c>
      <c r="E372" s="909">
        <v>45354.71</v>
      </c>
      <c r="F372" s="909">
        <v>23741</v>
      </c>
      <c r="G372" s="909">
        <v>121398</v>
      </c>
      <c r="H372" s="909"/>
      <c r="I372" s="910">
        <v>2280.85</v>
      </c>
      <c r="J372" s="910">
        <v>106383</v>
      </c>
      <c r="K372" s="910">
        <v>8315</v>
      </c>
      <c r="L372" s="909">
        <v>26142</v>
      </c>
      <c r="M372" s="909"/>
      <c r="N372" s="910">
        <v>4254</v>
      </c>
      <c r="O372" s="910">
        <v>39265</v>
      </c>
      <c r="P372" s="910">
        <v>0</v>
      </c>
      <c r="Q372" s="909">
        <v>0</v>
      </c>
      <c r="R372" s="910">
        <f t="shared" si="5"/>
        <v>67118</v>
      </c>
      <c r="S372" s="909"/>
      <c r="T372" s="910">
        <v>32448</v>
      </c>
      <c r="U372" s="912">
        <v>7718</v>
      </c>
      <c r="V372" s="912">
        <v>40166</v>
      </c>
    </row>
    <row r="373" spans="1:22" x14ac:dyDescent="0.25">
      <c r="A373" s="906">
        <v>93901</v>
      </c>
      <c r="B373" s="907" t="s">
        <v>2933</v>
      </c>
      <c r="C373" s="908">
        <v>1.8059E-3</v>
      </c>
      <c r="D373" s="908">
        <v>1.7983999999999999E-3</v>
      </c>
      <c r="E373" s="909">
        <v>780735.88</v>
      </c>
      <c r="F373" s="909">
        <v>807111</v>
      </c>
      <c r="G373" s="909">
        <v>3832725</v>
      </c>
      <c r="H373" s="909"/>
      <c r="I373" s="910">
        <v>72010</v>
      </c>
      <c r="J373" s="910">
        <v>3358689</v>
      </c>
      <c r="K373" s="910">
        <v>262507</v>
      </c>
      <c r="L373" s="909">
        <v>66837</v>
      </c>
      <c r="M373" s="909"/>
      <c r="N373" s="910">
        <v>134303</v>
      </c>
      <c r="O373" s="910">
        <v>1239675</v>
      </c>
      <c r="P373" s="910">
        <v>0</v>
      </c>
      <c r="Q373" s="909">
        <v>0</v>
      </c>
      <c r="R373" s="910">
        <f t="shared" si="5"/>
        <v>2119014</v>
      </c>
      <c r="S373" s="909"/>
      <c r="T373" s="910">
        <v>1024431</v>
      </c>
      <c r="U373" s="912">
        <v>21679</v>
      </c>
      <c r="V373" s="912">
        <v>1046110</v>
      </c>
    </row>
    <row r="374" spans="1:22" x14ac:dyDescent="0.25">
      <c r="A374" s="906">
        <v>93904</v>
      </c>
      <c r="B374" s="907" t="s">
        <v>2934</v>
      </c>
      <c r="C374" s="908">
        <v>2.4700000000000001E-5</v>
      </c>
      <c r="D374" s="908">
        <v>2.5700000000000001E-5</v>
      </c>
      <c r="E374" s="909">
        <v>12993.06</v>
      </c>
      <c r="F374" s="909">
        <v>11534</v>
      </c>
      <c r="G374" s="909">
        <v>52422</v>
      </c>
      <c r="H374" s="909"/>
      <c r="I374" s="910">
        <v>984.91250000000002</v>
      </c>
      <c r="J374" s="910">
        <v>45938</v>
      </c>
      <c r="K374" s="910">
        <v>3590</v>
      </c>
      <c r="L374" s="909">
        <v>4911</v>
      </c>
      <c r="M374" s="909"/>
      <c r="N374" s="910">
        <v>1837</v>
      </c>
      <c r="O374" s="910">
        <v>16956</v>
      </c>
      <c r="P374" s="910">
        <v>0</v>
      </c>
      <c r="Q374" s="909">
        <v>56</v>
      </c>
      <c r="R374" s="910">
        <f t="shared" si="5"/>
        <v>28982</v>
      </c>
      <c r="S374" s="909"/>
      <c r="T374" s="910">
        <v>14012</v>
      </c>
      <c r="U374" s="912">
        <v>1550</v>
      </c>
      <c r="V374" s="912">
        <v>15562</v>
      </c>
    </row>
    <row r="375" spans="1:22" x14ac:dyDescent="0.25">
      <c r="A375" s="906">
        <v>93906</v>
      </c>
      <c r="B375" s="907" t="s">
        <v>2935</v>
      </c>
      <c r="C375" s="908">
        <v>3.4513E-3</v>
      </c>
      <c r="D375" s="908">
        <v>3.4020000000000001E-3</v>
      </c>
      <c r="E375" s="909">
        <v>1324474.51</v>
      </c>
      <c r="F375" s="909">
        <v>1526797</v>
      </c>
      <c r="G375" s="909">
        <v>7324815</v>
      </c>
      <c r="H375" s="909"/>
      <c r="I375" s="910">
        <v>137621</v>
      </c>
      <c r="J375" s="910">
        <v>6418873</v>
      </c>
      <c r="K375" s="910">
        <v>501684</v>
      </c>
      <c r="L375" s="909">
        <v>30117</v>
      </c>
      <c r="M375" s="909"/>
      <c r="N375" s="910">
        <v>256670</v>
      </c>
      <c r="O375" s="910">
        <v>2369172</v>
      </c>
      <c r="P375" s="910">
        <v>0</v>
      </c>
      <c r="Q375" s="909">
        <v>185682</v>
      </c>
      <c r="R375" s="910">
        <f t="shared" si="5"/>
        <v>4049701</v>
      </c>
      <c r="S375" s="909"/>
      <c r="T375" s="910">
        <v>1957815</v>
      </c>
      <c r="U375" s="912">
        <v>-46065</v>
      </c>
      <c r="V375" s="912">
        <v>1911751</v>
      </c>
    </row>
    <row r="376" spans="1:22" x14ac:dyDescent="0.25">
      <c r="A376" s="906">
        <v>93908</v>
      </c>
      <c r="B376" s="907" t="s">
        <v>2936</v>
      </c>
      <c r="C376" s="908">
        <v>5.0239999999999996E-4</v>
      </c>
      <c r="D376" s="908">
        <v>5.1309999999999995E-4</v>
      </c>
      <c r="E376" s="909">
        <v>209823</v>
      </c>
      <c r="F376" s="909">
        <v>230276</v>
      </c>
      <c r="G376" s="909">
        <v>1066261</v>
      </c>
      <c r="H376" s="909"/>
      <c r="I376" s="910">
        <v>20033</v>
      </c>
      <c r="J376" s="910">
        <v>934385</v>
      </c>
      <c r="K376" s="910">
        <v>73029</v>
      </c>
      <c r="L376" s="909">
        <v>8428</v>
      </c>
      <c r="M376" s="909"/>
      <c r="N376" s="910">
        <v>37363</v>
      </c>
      <c r="O376" s="910">
        <v>344876</v>
      </c>
      <c r="P376" s="910">
        <v>0</v>
      </c>
      <c r="Q376" s="909">
        <v>25053</v>
      </c>
      <c r="R376" s="910">
        <f t="shared" si="5"/>
        <v>589509</v>
      </c>
      <c r="S376" s="909"/>
      <c r="T376" s="910">
        <v>284996</v>
      </c>
      <c r="U376" s="912">
        <v>-4339</v>
      </c>
      <c r="V376" s="912">
        <v>280657</v>
      </c>
    </row>
    <row r="377" spans="1:22" x14ac:dyDescent="0.25">
      <c r="A377" s="906">
        <v>93910</v>
      </c>
      <c r="B377" s="907" t="s">
        <v>2937</v>
      </c>
      <c r="C377" s="908">
        <v>2.9129999999999998E-4</v>
      </c>
      <c r="D377" s="908">
        <v>2.8830000000000001E-4</v>
      </c>
      <c r="E377" s="909">
        <v>105004</v>
      </c>
      <c r="F377" s="909">
        <v>129387</v>
      </c>
      <c r="G377" s="909">
        <v>618236</v>
      </c>
      <c r="H377" s="909"/>
      <c r="I377" s="910">
        <v>11616</v>
      </c>
      <c r="J377" s="910">
        <v>541772</v>
      </c>
      <c r="K377" s="910">
        <v>42344</v>
      </c>
      <c r="L377" s="909">
        <v>0</v>
      </c>
      <c r="M377" s="909"/>
      <c r="N377" s="910">
        <v>21664</v>
      </c>
      <c r="O377" s="910">
        <v>199965</v>
      </c>
      <c r="P377" s="910">
        <v>0</v>
      </c>
      <c r="Q377" s="909">
        <v>27549</v>
      </c>
      <c r="R377" s="910">
        <f t="shared" si="5"/>
        <v>341807</v>
      </c>
      <c r="S377" s="909"/>
      <c r="T377" s="910">
        <v>165245</v>
      </c>
      <c r="U377" s="912">
        <v>-10320</v>
      </c>
      <c r="V377" s="912">
        <v>154925</v>
      </c>
    </row>
    <row r="378" spans="1:22" x14ac:dyDescent="0.25">
      <c r="A378" s="906">
        <v>93911</v>
      </c>
      <c r="B378" s="907" t="s">
        <v>2938</v>
      </c>
      <c r="C378" s="908">
        <v>6.9890000000000002E-4</v>
      </c>
      <c r="D378" s="908">
        <v>7.1869999999999996E-4</v>
      </c>
      <c r="E378" s="909">
        <v>267489</v>
      </c>
      <c r="F378" s="909">
        <v>322548</v>
      </c>
      <c r="G378" s="909">
        <v>1483300</v>
      </c>
      <c r="H378" s="909"/>
      <c r="I378" s="910">
        <v>27869</v>
      </c>
      <c r="J378" s="910">
        <v>1299844</v>
      </c>
      <c r="K378" s="910">
        <v>101593</v>
      </c>
      <c r="L378" s="909">
        <v>21802</v>
      </c>
      <c r="M378" s="909"/>
      <c r="N378" s="910">
        <v>51976</v>
      </c>
      <c r="O378" s="910">
        <v>479765</v>
      </c>
      <c r="P378" s="910">
        <v>0</v>
      </c>
      <c r="Q378" s="909">
        <v>26554</v>
      </c>
      <c r="R378" s="910">
        <f t="shared" si="5"/>
        <v>820079</v>
      </c>
      <c r="S378" s="909"/>
      <c r="T378" s="910">
        <v>396464</v>
      </c>
      <c r="U378" s="912">
        <v>1748</v>
      </c>
      <c r="V378" s="912">
        <v>398212</v>
      </c>
    </row>
    <row r="379" spans="1:22" x14ac:dyDescent="0.25">
      <c r="A379" s="906">
        <v>93913</v>
      </c>
      <c r="B379" s="907" t="s">
        <v>2939</v>
      </c>
      <c r="C379" s="908">
        <v>6.2600000000000004E-5</v>
      </c>
      <c r="D379" s="908">
        <v>5.5699999999999999E-5</v>
      </c>
      <c r="E379" s="909">
        <v>25969.759999999998</v>
      </c>
      <c r="F379" s="909">
        <v>24998</v>
      </c>
      <c r="G379" s="909">
        <v>132858</v>
      </c>
      <c r="H379" s="909"/>
      <c r="I379" s="910">
        <v>2496</v>
      </c>
      <c r="J379" s="910">
        <v>116426</v>
      </c>
      <c r="K379" s="910">
        <v>9100</v>
      </c>
      <c r="L379" s="909">
        <v>3917</v>
      </c>
      <c r="M379" s="909"/>
      <c r="N379" s="910">
        <v>4655</v>
      </c>
      <c r="O379" s="910">
        <v>42972</v>
      </c>
      <c r="P379" s="910">
        <v>0</v>
      </c>
      <c r="Q379" s="909">
        <v>1335</v>
      </c>
      <c r="R379" s="910">
        <f t="shared" si="5"/>
        <v>73454</v>
      </c>
      <c r="S379" s="909"/>
      <c r="T379" s="910">
        <v>35511</v>
      </c>
      <c r="U379" s="912">
        <v>530</v>
      </c>
      <c r="V379" s="912">
        <v>36041</v>
      </c>
    </row>
    <row r="380" spans="1:22" x14ac:dyDescent="0.25">
      <c r="A380" s="906">
        <v>93914</v>
      </c>
      <c r="B380" s="907" t="s">
        <v>2940</v>
      </c>
      <c r="C380" s="908">
        <v>9.0999999999999993E-6</v>
      </c>
      <c r="D380" s="908">
        <v>1.0000000000000001E-5</v>
      </c>
      <c r="E380" s="909">
        <v>5837.72</v>
      </c>
      <c r="F380" s="909">
        <v>4488</v>
      </c>
      <c r="G380" s="909">
        <v>19313</v>
      </c>
      <c r="H380" s="909"/>
      <c r="I380" s="910">
        <v>363</v>
      </c>
      <c r="J380" s="910">
        <v>16925</v>
      </c>
      <c r="K380" s="910">
        <v>1323</v>
      </c>
      <c r="L380" s="909">
        <v>3108</v>
      </c>
      <c r="M380" s="909"/>
      <c r="N380" s="910">
        <v>677</v>
      </c>
      <c r="O380" s="910">
        <v>6247</v>
      </c>
      <c r="P380" s="910">
        <v>0</v>
      </c>
      <c r="Q380" s="909">
        <v>0</v>
      </c>
      <c r="R380" s="910">
        <f t="shared" si="5"/>
        <v>10678</v>
      </c>
      <c r="S380" s="909"/>
      <c r="T380" s="910">
        <v>5162</v>
      </c>
      <c r="U380" s="912">
        <v>1124</v>
      </c>
      <c r="V380" s="912">
        <v>6287</v>
      </c>
    </row>
    <row r="381" spans="1:22" x14ac:dyDescent="0.25">
      <c r="A381" s="906">
        <v>93921</v>
      </c>
      <c r="B381" s="907" t="s">
        <v>2941</v>
      </c>
      <c r="C381" s="908">
        <v>2.7139999999999998E-4</v>
      </c>
      <c r="D381" s="908">
        <v>2.8130000000000001E-4</v>
      </c>
      <c r="E381" s="909">
        <v>109806.1</v>
      </c>
      <c r="F381" s="909">
        <v>126246</v>
      </c>
      <c r="G381" s="909">
        <v>576002</v>
      </c>
      <c r="H381" s="909"/>
      <c r="I381" s="910">
        <v>10822</v>
      </c>
      <c r="J381" s="910">
        <v>504761</v>
      </c>
      <c r="K381" s="910">
        <v>39451</v>
      </c>
      <c r="L381" s="909">
        <v>14895</v>
      </c>
      <c r="M381" s="909"/>
      <c r="N381" s="910">
        <v>20184</v>
      </c>
      <c r="O381" s="910">
        <v>186305</v>
      </c>
      <c r="P381" s="910">
        <v>0</v>
      </c>
      <c r="Q381" s="909">
        <v>6797</v>
      </c>
      <c r="R381" s="910">
        <f t="shared" si="5"/>
        <v>318456</v>
      </c>
      <c r="S381" s="909"/>
      <c r="T381" s="910">
        <v>153957</v>
      </c>
      <c r="U381" s="912">
        <v>4443</v>
      </c>
      <c r="V381" s="912">
        <v>158400</v>
      </c>
    </row>
    <row r="382" spans="1:22" x14ac:dyDescent="0.25">
      <c r="A382" s="906">
        <v>93931</v>
      </c>
      <c r="B382" s="907" t="s">
        <v>2942</v>
      </c>
      <c r="C382" s="908">
        <v>5.2260000000000002E-4</v>
      </c>
      <c r="D382" s="908">
        <v>5.1309999999999995E-4</v>
      </c>
      <c r="E382" s="909">
        <v>190729</v>
      </c>
      <c r="F382" s="909">
        <v>230276</v>
      </c>
      <c r="G382" s="909">
        <v>1109132</v>
      </c>
      <c r="H382" s="909"/>
      <c r="I382" s="910">
        <v>20839</v>
      </c>
      <c r="J382" s="910">
        <v>971953</v>
      </c>
      <c r="K382" s="910">
        <v>75966</v>
      </c>
      <c r="L382" s="909">
        <v>197494</v>
      </c>
      <c r="M382" s="909"/>
      <c r="N382" s="910">
        <v>38865</v>
      </c>
      <c r="O382" s="910">
        <v>358743</v>
      </c>
      <c r="P382" s="910">
        <v>0</v>
      </c>
      <c r="Q382" s="909">
        <v>14064</v>
      </c>
      <c r="R382" s="910">
        <f t="shared" si="5"/>
        <v>613210</v>
      </c>
      <c r="S382" s="909"/>
      <c r="T382" s="910">
        <v>296455</v>
      </c>
      <c r="U382" s="912">
        <v>86279</v>
      </c>
      <c r="V382" s="912">
        <v>382733</v>
      </c>
    </row>
    <row r="383" spans="1:22" x14ac:dyDescent="0.25">
      <c r="A383" s="906">
        <v>94001</v>
      </c>
      <c r="B383" s="907" t="s">
        <v>2943</v>
      </c>
      <c r="C383" s="908">
        <v>9.0240000000000003E-4</v>
      </c>
      <c r="D383" s="908">
        <v>8.1820000000000005E-4</v>
      </c>
      <c r="E383" s="909">
        <v>359460</v>
      </c>
      <c r="F383" s="909">
        <v>367203</v>
      </c>
      <c r="G383" s="909">
        <v>1915195</v>
      </c>
      <c r="H383" s="909"/>
      <c r="I383" s="910">
        <v>35983</v>
      </c>
      <c r="J383" s="910">
        <v>1678321</v>
      </c>
      <c r="K383" s="910">
        <v>131174</v>
      </c>
      <c r="L383" s="909">
        <v>36363</v>
      </c>
      <c r="M383" s="909"/>
      <c r="N383" s="910">
        <v>67111</v>
      </c>
      <c r="O383" s="910">
        <v>619460</v>
      </c>
      <c r="P383" s="910">
        <v>0</v>
      </c>
      <c r="Q383" s="909">
        <v>53646</v>
      </c>
      <c r="R383" s="910">
        <f t="shared" si="5"/>
        <v>1058861</v>
      </c>
      <c r="S383" s="909"/>
      <c r="T383" s="910">
        <v>511904</v>
      </c>
      <c r="U383" s="912">
        <v>-17058</v>
      </c>
      <c r="V383" s="912">
        <v>494846</v>
      </c>
    </row>
    <row r="384" spans="1:22" x14ac:dyDescent="0.25">
      <c r="A384" s="906">
        <v>94002</v>
      </c>
      <c r="B384" s="907" t="s">
        <v>2944</v>
      </c>
      <c r="C384" s="908">
        <v>7.6000000000000001E-6</v>
      </c>
      <c r="D384" s="908">
        <v>8.3000000000000002E-6</v>
      </c>
      <c r="E384" s="909">
        <v>4360</v>
      </c>
      <c r="F384" s="909">
        <v>3725</v>
      </c>
      <c r="G384" s="909">
        <v>16130</v>
      </c>
      <c r="H384" s="909"/>
      <c r="I384" s="910">
        <v>303.05</v>
      </c>
      <c r="J384" s="910">
        <v>14135</v>
      </c>
      <c r="K384" s="910">
        <v>1105</v>
      </c>
      <c r="L384" s="909">
        <v>867</v>
      </c>
      <c r="M384" s="909"/>
      <c r="N384" s="910">
        <v>565</v>
      </c>
      <c r="O384" s="910">
        <v>5217</v>
      </c>
      <c r="P384" s="910">
        <v>0</v>
      </c>
      <c r="Q384" s="909">
        <v>430</v>
      </c>
      <c r="R384" s="910">
        <f t="shared" si="5"/>
        <v>8918</v>
      </c>
      <c r="S384" s="909"/>
      <c r="T384" s="910">
        <v>4311</v>
      </c>
      <c r="U384" s="912">
        <v>34</v>
      </c>
      <c r="V384" s="912">
        <v>4345</v>
      </c>
    </row>
    <row r="385" spans="1:22" x14ac:dyDescent="0.25">
      <c r="A385" s="906">
        <v>94004</v>
      </c>
      <c r="B385" s="907" t="s">
        <v>2945</v>
      </c>
      <c r="C385" s="908">
        <v>2.7999999999999999E-6</v>
      </c>
      <c r="D385" s="908">
        <v>2.2000000000000001E-6</v>
      </c>
      <c r="E385" s="909">
        <v>2638.89</v>
      </c>
      <c r="F385" s="909">
        <v>987</v>
      </c>
      <c r="G385" s="909">
        <v>5943</v>
      </c>
      <c r="H385" s="909"/>
      <c r="I385" s="910">
        <v>112</v>
      </c>
      <c r="J385" s="910">
        <v>5208</v>
      </c>
      <c r="K385" s="910">
        <v>407</v>
      </c>
      <c r="L385" s="909">
        <v>1506</v>
      </c>
      <c r="M385" s="909"/>
      <c r="N385" s="910">
        <v>208</v>
      </c>
      <c r="O385" s="910">
        <v>1922</v>
      </c>
      <c r="P385" s="910">
        <v>0</v>
      </c>
      <c r="Q385" s="909">
        <v>1224</v>
      </c>
      <c r="R385" s="910">
        <f t="shared" si="5"/>
        <v>3286</v>
      </c>
      <c r="S385" s="909"/>
      <c r="T385" s="910">
        <v>1588</v>
      </c>
      <c r="U385" s="912">
        <v>-207</v>
      </c>
      <c r="V385" s="912">
        <v>1381</v>
      </c>
    </row>
    <row r="386" spans="1:22" x14ac:dyDescent="0.25">
      <c r="A386" s="906">
        <v>94005</v>
      </c>
      <c r="B386" s="907" t="s">
        <v>2946</v>
      </c>
      <c r="C386" s="908">
        <v>5.4999999999999999E-6</v>
      </c>
      <c r="D386" s="908">
        <v>6.2999999999999998E-6</v>
      </c>
      <c r="E386" s="909">
        <v>0</v>
      </c>
      <c r="F386" s="909">
        <v>2827</v>
      </c>
      <c r="G386" s="909">
        <v>11673</v>
      </c>
      <c r="H386" s="909"/>
      <c r="I386" s="910">
        <v>219.3125</v>
      </c>
      <c r="J386" s="910">
        <v>10229</v>
      </c>
      <c r="K386" s="910">
        <v>799</v>
      </c>
      <c r="L386" s="909">
        <v>0</v>
      </c>
      <c r="M386" s="909"/>
      <c r="N386" s="910">
        <v>409</v>
      </c>
      <c r="O386" s="910">
        <v>3776</v>
      </c>
      <c r="P386" s="910">
        <v>0</v>
      </c>
      <c r="Q386" s="909">
        <v>3798</v>
      </c>
      <c r="R386" s="910">
        <f t="shared" si="5"/>
        <v>6453</v>
      </c>
      <c r="S386" s="909"/>
      <c r="T386" s="910">
        <v>3120</v>
      </c>
      <c r="U386" s="912">
        <v>-1174</v>
      </c>
      <c r="V386" s="912">
        <v>1946</v>
      </c>
    </row>
    <row r="387" spans="1:22" x14ac:dyDescent="0.25">
      <c r="A387" s="906">
        <v>94011</v>
      </c>
      <c r="B387" s="907" t="s">
        <v>2947</v>
      </c>
      <c r="C387" s="908">
        <v>2.5599999999999999E-5</v>
      </c>
      <c r="D387" s="908">
        <v>1.3900000000000001E-5</v>
      </c>
      <c r="E387" s="909">
        <v>8013.12</v>
      </c>
      <c r="F387" s="909">
        <v>6238</v>
      </c>
      <c r="G387" s="909">
        <v>54332</v>
      </c>
      <c r="H387" s="909"/>
      <c r="I387" s="910">
        <v>1020.8</v>
      </c>
      <c r="J387" s="910">
        <v>47612</v>
      </c>
      <c r="K387" s="910">
        <v>3721</v>
      </c>
      <c r="L387" s="909">
        <v>4341</v>
      </c>
      <c r="M387" s="909"/>
      <c r="N387" s="910">
        <v>1904</v>
      </c>
      <c r="O387" s="910">
        <v>17573</v>
      </c>
      <c r="P387" s="910">
        <v>0</v>
      </c>
      <c r="Q387" s="909">
        <v>1019</v>
      </c>
      <c r="R387" s="910">
        <f t="shared" si="5"/>
        <v>30039</v>
      </c>
      <c r="S387" s="909"/>
      <c r="T387" s="910">
        <v>14522</v>
      </c>
      <c r="U387" s="912">
        <v>639</v>
      </c>
      <c r="V387" s="912">
        <v>15161</v>
      </c>
    </row>
    <row r="388" spans="1:22" x14ac:dyDescent="0.25">
      <c r="A388" s="906">
        <v>94021</v>
      </c>
      <c r="B388" s="907" t="s">
        <v>2948</v>
      </c>
      <c r="C388" s="908">
        <v>8.1699999999999994E-5</v>
      </c>
      <c r="D388" s="908">
        <v>7.6899999999999999E-5</v>
      </c>
      <c r="E388" s="909">
        <v>34891</v>
      </c>
      <c r="F388" s="909">
        <v>34512</v>
      </c>
      <c r="G388" s="909">
        <v>173395</v>
      </c>
      <c r="H388" s="909"/>
      <c r="I388" s="910">
        <v>3258</v>
      </c>
      <c r="J388" s="910">
        <v>151949</v>
      </c>
      <c r="K388" s="910">
        <v>11876</v>
      </c>
      <c r="L388" s="909">
        <v>14318</v>
      </c>
      <c r="M388" s="909"/>
      <c r="N388" s="910">
        <v>6076</v>
      </c>
      <c r="O388" s="910">
        <v>56084</v>
      </c>
      <c r="P388" s="910">
        <v>0</v>
      </c>
      <c r="Q388" s="909">
        <v>0</v>
      </c>
      <c r="R388" s="910">
        <f t="shared" si="5"/>
        <v>95865</v>
      </c>
      <c r="S388" s="909"/>
      <c r="T388" s="910">
        <v>46346</v>
      </c>
      <c r="U388" s="912">
        <v>5712</v>
      </c>
      <c r="V388" s="912">
        <v>52058</v>
      </c>
    </row>
    <row r="389" spans="1:22" x14ac:dyDescent="0.25">
      <c r="A389" s="906">
        <v>94031</v>
      </c>
      <c r="B389" s="907" t="s">
        <v>2949</v>
      </c>
      <c r="C389" s="908">
        <v>8.1000000000000004E-6</v>
      </c>
      <c r="D389" s="908">
        <v>6.9E-6</v>
      </c>
      <c r="E389" s="909">
        <v>7705.65</v>
      </c>
      <c r="F389" s="909">
        <v>3097</v>
      </c>
      <c r="G389" s="909">
        <v>17191</v>
      </c>
      <c r="H389" s="909"/>
      <c r="I389" s="910">
        <v>322.98750000000001</v>
      </c>
      <c r="J389" s="910">
        <v>15065</v>
      </c>
      <c r="K389" s="910">
        <v>1177</v>
      </c>
      <c r="L389" s="909">
        <v>8044</v>
      </c>
      <c r="M389" s="909"/>
      <c r="N389" s="910">
        <v>602</v>
      </c>
      <c r="O389" s="910">
        <v>5560</v>
      </c>
      <c r="P389" s="910">
        <v>0</v>
      </c>
      <c r="Q389" s="909">
        <v>81.59</v>
      </c>
      <c r="R389" s="910">
        <f t="shared" si="5"/>
        <v>9505</v>
      </c>
      <c r="S389" s="909"/>
      <c r="T389" s="910">
        <v>4595</v>
      </c>
      <c r="U389" s="912">
        <v>2417</v>
      </c>
      <c r="V389" s="912">
        <v>7012</v>
      </c>
    </row>
    <row r="390" spans="1:22" x14ac:dyDescent="0.25">
      <c r="A390" s="906">
        <v>94101</v>
      </c>
      <c r="B390" s="907" t="s">
        <v>2950</v>
      </c>
      <c r="C390" s="908">
        <v>1.85028E-2</v>
      </c>
      <c r="D390" s="908">
        <v>1.9464599999999999E-2</v>
      </c>
      <c r="E390" s="909">
        <v>7542806</v>
      </c>
      <c r="F390" s="909">
        <v>8735596</v>
      </c>
      <c r="G390" s="909">
        <v>39269140</v>
      </c>
      <c r="H390" s="909"/>
      <c r="I390" s="910">
        <v>737799.15</v>
      </c>
      <c r="J390" s="910">
        <v>34412285</v>
      </c>
      <c r="K390" s="910">
        <v>2689586</v>
      </c>
      <c r="L390" s="909">
        <v>420795</v>
      </c>
      <c r="M390" s="909"/>
      <c r="N390" s="910">
        <v>1376035</v>
      </c>
      <c r="O390" s="910">
        <v>12701395</v>
      </c>
      <c r="P390" s="910">
        <v>0</v>
      </c>
      <c r="Q390" s="909">
        <v>1094802</v>
      </c>
      <c r="R390" s="910">
        <f t="shared" si="5"/>
        <v>21710890</v>
      </c>
      <c r="S390" s="909"/>
      <c r="T390" s="910">
        <v>10496065</v>
      </c>
      <c r="U390" s="912">
        <v>-261265</v>
      </c>
      <c r="V390" s="912">
        <v>10234799</v>
      </c>
    </row>
    <row r="391" spans="1:22" x14ac:dyDescent="0.25">
      <c r="A391" s="906">
        <v>94102</v>
      </c>
      <c r="B391" s="907" t="s">
        <v>2951</v>
      </c>
      <c r="C391" s="908">
        <v>2.7569999999999998E-4</v>
      </c>
      <c r="D391" s="908">
        <v>2.7809999999999998E-4</v>
      </c>
      <c r="E391" s="909">
        <v>89848.97</v>
      </c>
      <c r="F391" s="909">
        <v>124810</v>
      </c>
      <c r="G391" s="909">
        <v>585128</v>
      </c>
      <c r="H391" s="909"/>
      <c r="I391" s="910">
        <v>10994</v>
      </c>
      <c r="J391" s="910">
        <v>512758</v>
      </c>
      <c r="K391" s="910">
        <v>40076</v>
      </c>
      <c r="L391" s="909">
        <v>5166</v>
      </c>
      <c r="M391" s="909"/>
      <c r="N391" s="910">
        <v>20504</v>
      </c>
      <c r="O391" s="910">
        <v>189256</v>
      </c>
      <c r="P391" s="910">
        <v>0</v>
      </c>
      <c r="Q391" s="909">
        <v>36634</v>
      </c>
      <c r="R391" s="910">
        <f t="shared" ref="R391:R454" si="6">IF(J391&gt;O391,J391-O391,O391-J391)</f>
        <v>323502</v>
      </c>
      <c r="S391" s="909"/>
      <c r="T391" s="910">
        <v>156396</v>
      </c>
      <c r="U391" s="912">
        <v>-8485</v>
      </c>
      <c r="V391" s="912">
        <v>147911</v>
      </c>
    </row>
    <row r="392" spans="1:22" x14ac:dyDescent="0.25">
      <c r="A392" s="906">
        <v>94108</v>
      </c>
      <c r="B392" s="907" t="s">
        <v>2952</v>
      </c>
      <c r="C392" s="908">
        <v>3.1809999999999998E-4</v>
      </c>
      <c r="D392" s="908">
        <v>3.991E-4</v>
      </c>
      <c r="E392" s="909">
        <v>100948</v>
      </c>
      <c r="F392" s="909">
        <v>179114</v>
      </c>
      <c r="G392" s="909">
        <v>675115</v>
      </c>
      <c r="H392" s="909"/>
      <c r="I392" s="910">
        <v>12684</v>
      </c>
      <c r="J392" s="910">
        <v>591616</v>
      </c>
      <c r="K392" s="910">
        <v>46239</v>
      </c>
      <c r="L392" s="909">
        <v>0</v>
      </c>
      <c r="M392" s="909"/>
      <c r="N392" s="910">
        <v>23657</v>
      </c>
      <c r="O392" s="910">
        <v>218362</v>
      </c>
      <c r="P392" s="910">
        <v>0</v>
      </c>
      <c r="Q392" s="909">
        <v>121376</v>
      </c>
      <c r="R392" s="910">
        <f t="shared" si="6"/>
        <v>373254</v>
      </c>
      <c r="S392" s="909"/>
      <c r="T392" s="910">
        <v>180448</v>
      </c>
      <c r="U392" s="912">
        <v>-40521</v>
      </c>
      <c r="V392" s="912">
        <v>139927</v>
      </c>
    </row>
    <row r="393" spans="1:22" x14ac:dyDescent="0.25">
      <c r="A393" s="906">
        <v>94109</v>
      </c>
      <c r="B393" s="907" t="s">
        <v>2953</v>
      </c>
      <c r="C393" s="908">
        <v>1.0399999999999999E-4</v>
      </c>
      <c r="D393" s="908">
        <v>1.359E-4</v>
      </c>
      <c r="E393" s="909">
        <v>30807.5</v>
      </c>
      <c r="F393" s="909">
        <v>60991</v>
      </c>
      <c r="G393" s="909">
        <v>220722.84</v>
      </c>
      <c r="H393" s="909"/>
      <c r="I393" s="910">
        <v>4147</v>
      </c>
      <c r="J393" s="910">
        <v>193424</v>
      </c>
      <c r="K393" s="910">
        <v>15118</v>
      </c>
      <c r="L393" s="909">
        <v>1600</v>
      </c>
      <c r="M393" s="909"/>
      <c r="N393" s="910">
        <v>7734</v>
      </c>
      <c r="O393" s="910">
        <v>71392</v>
      </c>
      <c r="P393" s="910">
        <v>0</v>
      </c>
      <c r="Q393" s="909">
        <v>33989</v>
      </c>
      <c r="R393" s="910">
        <f t="shared" si="6"/>
        <v>122032</v>
      </c>
      <c r="S393" s="909"/>
      <c r="T393" s="910">
        <v>58996</v>
      </c>
      <c r="U393" s="912">
        <v>-8690</v>
      </c>
      <c r="V393" s="912">
        <v>50306</v>
      </c>
    </row>
    <row r="394" spans="1:22" x14ac:dyDescent="0.25">
      <c r="A394" s="906">
        <v>94111</v>
      </c>
      <c r="B394" s="907" t="s">
        <v>2954</v>
      </c>
      <c r="C394" s="908">
        <v>2.5623300000000002E-2</v>
      </c>
      <c r="D394" s="908">
        <v>2.7054000000000002E-2</v>
      </c>
      <c r="E394" s="909">
        <v>10028319</v>
      </c>
      <c r="F394" s="909">
        <v>12141673</v>
      </c>
      <c r="G394" s="909">
        <v>54381226</v>
      </c>
      <c r="H394" s="909"/>
      <c r="I394" s="910">
        <v>1021729</v>
      </c>
      <c r="J394" s="910">
        <v>47655290</v>
      </c>
      <c r="K394" s="910">
        <v>3724629</v>
      </c>
      <c r="L394" s="909">
        <v>15132</v>
      </c>
      <c r="M394" s="909"/>
      <c r="N394" s="910">
        <v>1905579</v>
      </c>
      <c r="O394" s="910">
        <v>17589319</v>
      </c>
      <c r="P394" s="910">
        <v>0</v>
      </c>
      <c r="Q394" s="909">
        <v>1552982</v>
      </c>
      <c r="R394" s="910">
        <f t="shared" si="6"/>
        <v>30065971</v>
      </c>
      <c r="S394" s="909"/>
      <c r="T394" s="910">
        <v>14535304</v>
      </c>
      <c r="U394" s="912">
        <v>-430419</v>
      </c>
      <c r="V394" s="912">
        <v>14104885</v>
      </c>
    </row>
    <row r="395" spans="1:22" x14ac:dyDescent="0.25">
      <c r="A395" s="906">
        <v>94112</v>
      </c>
      <c r="B395" s="907" t="s">
        <v>2955</v>
      </c>
      <c r="C395" s="908">
        <v>1.6530000000000001E-4</v>
      </c>
      <c r="D395" s="908">
        <v>1.6909999999999999E-4</v>
      </c>
      <c r="E395" s="909">
        <v>58678.14</v>
      </c>
      <c r="F395" s="909">
        <v>75891</v>
      </c>
      <c r="G395" s="909">
        <v>350822</v>
      </c>
      <c r="H395" s="909"/>
      <c r="I395" s="910">
        <v>6591</v>
      </c>
      <c r="J395" s="910">
        <v>307432</v>
      </c>
      <c r="K395" s="910">
        <v>24028</v>
      </c>
      <c r="L395" s="909">
        <v>0</v>
      </c>
      <c r="M395" s="909"/>
      <c r="N395" s="910">
        <v>12293</v>
      </c>
      <c r="O395" s="910">
        <v>113472</v>
      </c>
      <c r="P395" s="910">
        <v>0</v>
      </c>
      <c r="Q395" s="909">
        <v>20904</v>
      </c>
      <c r="R395" s="910">
        <f t="shared" si="6"/>
        <v>193960</v>
      </c>
      <c r="S395" s="909"/>
      <c r="T395" s="910">
        <v>93770</v>
      </c>
      <c r="U395" s="912">
        <v>-7213</v>
      </c>
      <c r="V395" s="912">
        <v>86557</v>
      </c>
    </row>
    <row r="396" spans="1:22" x14ac:dyDescent="0.25">
      <c r="A396" s="906">
        <v>94117</v>
      </c>
      <c r="B396" s="907" t="s">
        <v>2956</v>
      </c>
      <c r="C396" s="908">
        <v>4.0709999999999997E-4</v>
      </c>
      <c r="D396" s="908">
        <v>4.17E-4</v>
      </c>
      <c r="E396" s="909">
        <v>162038</v>
      </c>
      <c r="F396" s="909">
        <v>187147</v>
      </c>
      <c r="G396" s="909">
        <v>864003</v>
      </c>
      <c r="H396" s="909"/>
      <c r="I396" s="910">
        <v>16233</v>
      </c>
      <c r="J396" s="910">
        <v>757142</v>
      </c>
      <c r="K396" s="910">
        <v>59176</v>
      </c>
      <c r="L396" s="909">
        <v>12662</v>
      </c>
      <c r="M396" s="909"/>
      <c r="N396" s="910">
        <v>30276</v>
      </c>
      <c r="O396" s="910">
        <v>279457</v>
      </c>
      <c r="P396" s="910">
        <v>0</v>
      </c>
      <c r="Q396" s="909">
        <v>9635</v>
      </c>
      <c r="R396" s="910">
        <f t="shared" si="6"/>
        <v>477685</v>
      </c>
      <c r="S396" s="909"/>
      <c r="T396" s="910">
        <v>230935</v>
      </c>
      <c r="U396" s="912">
        <v>2033</v>
      </c>
      <c r="V396" s="912">
        <v>232968</v>
      </c>
    </row>
    <row r="397" spans="1:22" x14ac:dyDescent="0.25">
      <c r="A397" s="906">
        <v>94118</v>
      </c>
      <c r="B397" s="907" t="s">
        <v>2957</v>
      </c>
      <c r="C397" s="908">
        <v>1.63E-4</v>
      </c>
      <c r="D397" s="908">
        <v>1.918E-4</v>
      </c>
      <c r="E397" s="909">
        <v>53076</v>
      </c>
      <c r="F397" s="909">
        <v>86079</v>
      </c>
      <c r="G397" s="909">
        <v>345941</v>
      </c>
      <c r="H397" s="909"/>
      <c r="I397" s="910">
        <v>6499.625</v>
      </c>
      <c r="J397" s="910">
        <v>303154</v>
      </c>
      <c r="K397" s="910">
        <v>23694</v>
      </c>
      <c r="L397" s="909">
        <v>0</v>
      </c>
      <c r="M397" s="909"/>
      <c r="N397" s="910">
        <v>12122</v>
      </c>
      <c r="O397" s="910">
        <v>111893</v>
      </c>
      <c r="P397" s="910">
        <v>0</v>
      </c>
      <c r="Q397" s="909">
        <v>58615</v>
      </c>
      <c r="R397" s="910">
        <f t="shared" si="6"/>
        <v>191261</v>
      </c>
      <c r="S397" s="909"/>
      <c r="T397" s="910">
        <v>92465</v>
      </c>
      <c r="U397" s="912">
        <v>-20217</v>
      </c>
      <c r="V397" s="912">
        <v>72248</v>
      </c>
    </row>
    <row r="398" spans="1:22" x14ac:dyDescent="0.25">
      <c r="A398" s="906">
        <v>94121</v>
      </c>
      <c r="B398" s="907" t="s">
        <v>2958</v>
      </c>
      <c r="C398" s="908">
        <v>1.12823E-2</v>
      </c>
      <c r="D398" s="908">
        <v>1.20112E-2</v>
      </c>
      <c r="E398" s="909">
        <v>4810509.83</v>
      </c>
      <c r="F398" s="909">
        <v>5390554</v>
      </c>
      <c r="G398" s="909">
        <v>23944820</v>
      </c>
      <c r="H398" s="909"/>
      <c r="I398" s="910">
        <v>449882</v>
      </c>
      <c r="J398" s="910">
        <v>20983295</v>
      </c>
      <c r="K398" s="910">
        <v>1640006</v>
      </c>
      <c r="L398" s="909">
        <v>42878</v>
      </c>
      <c r="M398" s="909"/>
      <c r="N398" s="910">
        <v>839053</v>
      </c>
      <c r="O398" s="910">
        <v>7744825</v>
      </c>
      <c r="P398" s="910">
        <v>0</v>
      </c>
      <c r="Q398" s="909">
        <v>429585</v>
      </c>
      <c r="R398" s="910">
        <f t="shared" si="6"/>
        <v>13238470</v>
      </c>
      <c r="S398" s="909"/>
      <c r="T398" s="910">
        <v>6400099</v>
      </c>
      <c r="U398" s="912">
        <v>-137554</v>
      </c>
      <c r="V398" s="912">
        <v>6262545</v>
      </c>
    </row>
    <row r="399" spans="1:22" x14ac:dyDescent="0.25">
      <c r="A399" s="906">
        <v>94127</v>
      </c>
      <c r="B399" s="907" t="s">
        <v>2959</v>
      </c>
      <c r="C399" s="908">
        <v>1.528E-4</v>
      </c>
      <c r="D399" s="908">
        <v>1.4530000000000001E-4</v>
      </c>
      <c r="E399" s="909">
        <v>61108</v>
      </c>
      <c r="F399" s="909">
        <v>65210</v>
      </c>
      <c r="G399" s="909">
        <v>324293</v>
      </c>
      <c r="H399" s="909"/>
      <c r="I399" s="910">
        <v>6092.9</v>
      </c>
      <c r="J399" s="910">
        <v>284184</v>
      </c>
      <c r="K399" s="910">
        <v>22211</v>
      </c>
      <c r="L399" s="909">
        <v>3883</v>
      </c>
      <c r="M399" s="909"/>
      <c r="N399" s="910">
        <v>11364</v>
      </c>
      <c r="O399" s="910">
        <v>104891</v>
      </c>
      <c r="P399" s="910">
        <v>0</v>
      </c>
      <c r="Q399" s="909">
        <v>617</v>
      </c>
      <c r="R399" s="910">
        <f t="shared" si="6"/>
        <v>179293</v>
      </c>
      <c r="S399" s="909"/>
      <c r="T399" s="910">
        <v>86679</v>
      </c>
      <c r="U399" s="912">
        <v>1078</v>
      </c>
      <c r="V399" s="912">
        <v>87756</v>
      </c>
    </row>
    <row r="400" spans="1:22" x14ac:dyDescent="0.25">
      <c r="A400" s="906">
        <v>94131</v>
      </c>
      <c r="B400" s="907" t="s">
        <v>2960</v>
      </c>
      <c r="C400" s="908">
        <v>2.0049999999999999E-4</v>
      </c>
      <c r="D400" s="908">
        <v>2.0120000000000001E-4</v>
      </c>
      <c r="E400" s="909">
        <v>83859.38</v>
      </c>
      <c r="F400" s="909">
        <v>90297</v>
      </c>
      <c r="G400" s="909">
        <v>425528</v>
      </c>
      <c r="H400" s="909"/>
      <c r="I400" s="910">
        <v>7994.9375</v>
      </c>
      <c r="J400" s="910">
        <v>372898</v>
      </c>
      <c r="K400" s="910">
        <v>29145</v>
      </c>
      <c r="L400" s="909">
        <v>4546</v>
      </c>
      <c r="M400" s="909"/>
      <c r="N400" s="910">
        <v>14911</v>
      </c>
      <c r="O400" s="910">
        <v>137635</v>
      </c>
      <c r="P400" s="910">
        <v>0</v>
      </c>
      <c r="Q400" s="909">
        <v>1120</v>
      </c>
      <c r="R400" s="910">
        <f t="shared" si="6"/>
        <v>235263</v>
      </c>
      <c r="S400" s="909"/>
      <c r="T400" s="910">
        <v>113737</v>
      </c>
      <c r="U400" s="912">
        <v>979</v>
      </c>
      <c r="V400" s="912">
        <v>114716</v>
      </c>
    </row>
    <row r="401" spans="1:22" x14ac:dyDescent="0.25">
      <c r="A401" s="906">
        <v>94151</v>
      </c>
      <c r="B401" s="907" t="s">
        <v>2961</v>
      </c>
      <c r="C401" s="908">
        <v>4.2870000000000001E-4</v>
      </c>
      <c r="D401" s="908">
        <v>4.0200000000000001E-4</v>
      </c>
      <c r="E401" s="909">
        <v>148093.01</v>
      </c>
      <c r="F401" s="909">
        <v>180415</v>
      </c>
      <c r="G401" s="909">
        <v>909845</v>
      </c>
      <c r="H401" s="909"/>
      <c r="I401" s="910">
        <v>17094</v>
      </c>
      <c r="J401" s="910">
        <v>797314</v>
      </c>
      <c r="K401" s="910">
        <v>62316</v>
      </c>
      <c r="L401" s="909">
        <v>0</v>
      </c>
      <c r="M401" s="909"/>
      <c r="N401" s="910">
        <v>31882</v>
      </c>
      <c r="O401" s="910">
        <v>294285</v>
      </c>
      <c r="P401" s="910">
        <v>0</v>
      </c>
      <c r="Q401" s="909">
        <v>19133</v>
      </c>
      <c r="R401" s="910">
        <f t="shared" si="6"/>
        <v>503029</v>
      </c>
      <c r="S401" s="909"/>
      <c r="T401" s="910">
        <v>243188</v>
      </c>
      <c r="U401" s="912">
        <v>-6795</v>
      </c>
      <c r="V401" s="912">
        <v>236393</v>
      </c>
    </row>
    <row r="402" spans="1:22" x14ac:dyDescent="0.25">
      <c r="A402" s="906">
        <v>94157</v>
      </c>
      <c r="B402" s="907" t="s">
        <v>2962</v>
      </c>
      <c r="C402" s="908">
        <v>9.3999999999999998E-6</v>
      </c>
      <c r="D402" s="908">
        <v>8.1999999999999994E-6</v>
      </c>
      <c r="E402" s="909">
        <v>4973</v>
      </c>
      <c r="F402" s="909">
        <v>3680</v>
      </c>
      <c r="G402" s="909">
        <v>19950</v>
      </c>
      <c r="H402" s="909"/>
      <c r="I402" s="910">
        <v>374.82499999999999</v>
      </c>
      <c r="J402" s="910">
        <v>17483</v>
      </c>
      <c r="K402" s="910">
        <v>1366</v>
      </c>
      <c r="L402" s="909">
        <v>5150</v>
      </c>
      <c r="M402" s="909"/>
      <c r="N402" s="910">
        <v>699</v>
      </c>
      <c r="O402" s="910">
        <v>6453</v>
      </c>
      <c r="P402" s="910">
        <v>0</v>
      </c>
      <c r="Q402" s="909">
        <v>0</v>
      </c>
      <c r="R402" s="910">
        <f t="shared" si="6"/>
        <v>11030</v>
      </c>
      <c r="S402" s="909"/>
      <c r="T402" s="910">
        <v>5332</v>
      </c>
      <c r="U402" s="912">
        <v>1947</v>
      </c>
      <c r="V402" s="912">
        <v>7280</v>
      </c>
    </row>
    <row r="403" spans="1:22" x14ac:dyDescent="0.25">
      <c r="A403" s="906">
        <v>94161</v>
      </c>
      <c r="B403" s="907" t="s">
        <v>2963</v>
      </c>
      <c r="C403" s="908">
        <v>5.7899999999999998E-5</v>
      </c>
      <c r="D403" s="908">
        <v>5.3000000000000001E-5</v>
      </c>
      <c r="E403" s="909">
        <v>21890.33</v>
      </c>
      <c r="F403" s="909">
        <v>23786</v>
      </c>
      <c r="G403" s="909">
        <v>122883</v>
      </c>
      <c r="H403" s="909"/>
      <c r="I403" s="910">
        <v>2309</v>
      </c>
      <c r="J403" s="910">
        <v>107685</v>
      </c>
      <c r="K403" s="910">
        <v>8416</v>
      </c>
      <c r="L403" s="909">
        <v>8543</v>
      </c>
      <c r="M403" s="909"/>
      <c r="N403" s="910">
        <v>4306</v>
      </c>
      <c r="O403" s="910">
        <v>39746</v>
      </c>
      <c r="P403" s="910">
        <v>0</v>
      </c>
      <c r="Q403" s="909">
        <v>0</v>
      </c>
      <c r="R403" s="910">
        <f t="shared" si="6"/>
        <v>67939</v>
      </c>
      <c r="S403" s="909"/>
      <c r="T403" s="910">
        <v>32845</v>
      </c>
      <c r="U403" s="912">
        <v>3088</v>
      </c>
      <c r="V403" s="912">
        <v>35933</v>
      </c>
    </row>
    <row r="404" spans="1:22" x14ac:dyDescent="0.25">
      <c r="A404" s="906">
        <v>94168</v>
      </c>
      <c r="B404" s="907" t="s">
        <v>2964</v>
      </c>
      <c r="C404" s="908">
        <v>3.4E-5</v>
      </c>
      <c r="D404" s="908">
        <v>4.18E-5</v>
      </c>
      <c r="E404" s="909">
        <v>12127.4</v>
      </c>
      <c r="F404" s="909">
        <v>18760</v>
      </c>
      <c r="G404" s="909">
        <v>72159.39</v>
      </c>
      <c r="H404" s="909"/>
      <c r="I404" s="910">
        <v>1355.75</v>
      </c>
      <c r="J404" s="910">
        <v>63235</v>
      </c>
      <c r="K404" s="910">
        <v>4942</v>
      </c>
      <c r="L404" s="909">
        <v>0</v>
      </c>
      <c r="M404" s="909"/>
      <c r="N404" s="910">
        <v>2529</v>
      </c>
      <c r="O404" s="910">
        <v>23340</v>
      </c>
      <c r="P404" s="910">
        <v>0</v>
      </c>
      <c r="Q404" s="909">
        <v>13113</v>
      </c>
      <c r="R404" s="910">
        <f t="shared" si="6"/>
        <v>39895</v>
      </c>
      <c r="S404" s="909"/>
      <c r="T404" s="910">
        <v>19287</v>
      </c>
      <c r="U404" s="912">
        <v>-4643</v>
      </c>
      <c r="V404" s="912">
        <v>14644</v>
      </c>
    </row>
    <row r="405" spans="1:22" x14ac:dyDescent="0.25">
      <c r="A405" s="906">
        <v>94171</v>
      </c>
      <c r="B405" s="907" t="s">
        <v>2965</v>
      </c>
      <c r="C405" s="908">
        <v>5.5000000000000002E-5</v>
      </c>
      <c r="D405" s="908">
        <v>5.1100000000000002E-5</v>
      </c>
      <c r="E405" s="909">
        <v>21113.95</v>
      </c>
      <c r="F405" s="909">
        <v>22933</v>
      </c>
      <c r="G405" s="909">
        <v>116728</v>
      </c>
      <c r="H405" s="909"/>
      <c r="I405" s="910">
        <v>2193.125</v>
      </c>
      <c r="J405" s="910">
        <v>102291.31</v>
      </c>
      <c r="K405" s="910">
        <v>7995</v>
      </c>
      <c r="L405" s="909">
        <v>6490</v>
      </c>
      <c r="M405" s="909"/>
      <c r="N405" s="910">
        <v>4090</v>
      </c>
      <c r="O405" s="910">
        <v>37755.19</v>
      </c>
      <c r="P405" s="910">
        <v>0</v>
      </c>
      <c r="Q405" s="909">
        <v>1733</v>
      </c>
      <c r="R405" s="910">
        <f t="shared" si="6"/>
        <v>64536</v>
      </c>
      <c r="S405" s="909"/>
      <c r="T405" s="910">
        <v>31200</v>
      </c>
      <c r="U405" s="912">
        <v>1343</v>
      </c>
      <c r="V405" s="912">
        <v>32542</v>
      </c>
    </row>
    <row r="406" spans="1:22" x14ac:dyDescent="0.25">
      <c r="A406" s="906">
        <v>94172</v>
      </c>
      <c r="B406" s="907" t="s">
        <v>2966</v>
      </c>
      <c r="C406" s="908">
        <v>2.6699999999999998E-4</v>
      </c>
      <c r="D406" s="908">
        <v>3.1379999999999998E-4</v>
      </c>
      <c r="E406" s="909">
        <v>80979</v>
      </c>
      <c r="F406" s="909">
        <v>140832</v>
      </c>
      <c r="G406" s="909">
        <v>566663</v>
      </c>
      <c r="H406" s="909"/>
      <c r="I406" s="910">
        <v>10646.625</v>
      </c>
      <c r="J406" s="910">
        <v>496578</v>
      </c>
      <c r="K406" s="910">
        <v>38811</v>
      </c>
      <c r="L406" s="909">
        <v>0</v>
      </c>
      <c r="M406" s="909"/>
      <c r="N406" s="910">
        <v>19857</v>
      </c>
      <c r="O406" s="910">
        <v>183284</v>
      </c>
      <c r="P406" s="910">
        <v>0</v>
      </c>
      <c r="Q406" s="909">
        <v>98660</v>
      </c>
      <c r="R406" s="910">
        <f t="shared" si="6"/>
        <v>313294</v>
      </c>
      <c r="S406" s="909"/>
      <c r="T406" s="910">
        <v>151461</v>
      </c>
      <c r="U406" s="912">
        <v>-34663</v>
      </c>
      <c r="V406" s="912">
        <v>116798</v>
      </c>
    </row>
    <row r="407" spans="1:22" x14ac:dyDescent="0.25">
      <c r="A407" s="906">
        <v>94201</v>
      </c>
      <c r="B407" s="907" t="s">
        <v>2967</v>
      </c>
      <c r="C407" s="908">
        <v>3.4813000000000001E-3</v>
      </c>
      <c r="D407" s="908">
        <v>3.4115E-3</v>
      </c>
      <c r="E407" s="909">
        <v>1407554</v>
      </c>
      <c r="F407" s="909">
        <v>1531061</v>
      </c>
      <c r="G407" s="909">
        <v>7388485</v>
      </c>
      <c r="H407" s="909"/>
      <c r="I407" s="910">
        <v>138817</v>
      </c>
      <c r="J407" s="910">
        <v>6474668</v>
      </c>
      <c r="K407" s="910">
        <v>506045</v>
      </c>
      <c r="L407" s="909">
        <v>56033</v>
      </c>
      <c r="M407" s="909"/>
      <c r="N407" s="910">
        <v>258901</v>
      </c>
      <c r="O407" s="910">
        <v>2389766</v>
      </c>
      <c r="P407" s="910">
        <v>0</v>
      </c>
      <c r="Q407" s="909">
        <v>3701</v>
      </c>
      <c r="R407" s="910">
        <f t="shared" si="6"/>
        <v>4084902</v>
      </c>
      <c r="S407" s="909"/>
      <c r="T407" s="910">
        <v>1974834</v>
      </c>
      <c r="U407" s="912">
        <v>16227</v>
      </c>
      <c r="V407" s="912">
        <v>1991060</v>
      </c>
    </row>
    <row r="408" spans="1:22" x14ac:dyDescent="0.25">
      <c r="A408" s="906">
        <v>94204</v>
      </c>
      <c r="B408" s="907" t="s">
        <v>2968</v>
      </c>
      <c r="C408" s="908">
        <v>2.4899999999999999E-5</v>
      </c>
      <c r="D408" s="908">
        <v>2.41E-5</v>
      </c>
      <c r="E408" s="909">
        <v>15446</v>
      </c>
      <c r="F408" s="909">
        <v>10816</v>
      </c>
      <c r="G408" s="909">
        <v>52846</v>
      </c>
      <c r="H408" s="909"/>
      <c r="I408" s="910">
        <v>993</v>
      </c>
      <c r="J408" s="910">
        <v>46310</v>
      </c>
      <c r="K408" s="910">
        <v>3619</v>
      </c>
      <c r="L408" s="909">
        <v>10811</v>
      </c>
      <c r="M408" s="909"/>
      <c r="N408" s="910">
        <v>1852</v>
      </c>
      <c r="O408" s="910">
        <v>17093</v>
      </c>
      <c r="P408" s="910">
        <v>0</v>
      </c>
      <c r="Q408" s="909">
        <v>0</v>
      </c>
      <c r="R408" s="910">
        <f t="shared" si="6"/>
        <v>29217</v>
      </c>
      <c r="S408" s="909"/>
      <c r="T408" s="910">
        <v>14125</v>
      </c>
      <c r="U408" s="912">
        <v>3721</v>
      </c>
      <c r="V408" s="912">
        <v>17846</v>
      </c>
    </row>
    <row r="409" spans="1:22" x14ac:dyDescent="0.25">
      <c r="A409" s="906">
        <v>94205</v>
      </c>
      <c r="B409" s="907" t="s">
        <v>2969</v>
      </c>
      <c r="C409" s="908">
        <v>2.6100000000000001E-5</v>
      </c>
      <c r="D409" s="908">
        <v>2.6999999999999999E-5</v>
      </c>
      <c r="E409" s="909">
        <v>12435.88</v>
      </c>
      <c r="F409" s="909">
        <v>12117</v>
      </c>
      <c r="G409" s="909">
        <v>55393</v>
      </c>
      <c r="H409" s="909"/>
      <c r="I409" s="910">
        <v>1040.7375</v>
      </c>
      <c r="J409" s="910">
        <v>48542</v>
      </c>
      <c r="K409" s="910">
        <v>3794</v>
      </c>
      <c r="L409" s="909">
        <v>2432</v>
      </c>
      <c r="M409" s="909"/>
      <c r="N409" s="910">
        <v>1941</v>
      </c>
      <c r="O409" s="910">
        <v>17917</v>
      </c>
      <c r="P409" s="910">
        <v>0</v>
      </c>
      <c r="Q409" s="909">
        <v>6726</v>
      </c>
      <c r="R409" s="910">
        <f t="shared" si="6"/>
        <v>30625</v>
      </c>
      <c r="S409" s="909"/>
      <c r="T409" s="910">
        <v>14806</v>
      </c>
      <c r="U409" s="912">
        <v>-2600</v>
      </c>
      <c r="V409" s="912">
        <v>12205</v>
      </c>
    </row>
    <row r="410" spans="1:22" x14ac:dyDescent="0.25">
      <c r="A410" s="906">
        <v>94209</v>
      </c>
      <c r="B410" s="907" t="s">
        <v>2970</v>
      </c>
      <c r="C410" s="908">
        <v>3.2909999999999998E-4</v>
      </c>
      <c r="D410" s="908">
        <v>3.5540000000000002E-4</v>
      </c>
      <c r="E410" s="909">
        <v>141050</v>
      </c>
      <c r="F410" s="909">
        <v>159501</v>
      </c>
      <c r="G410" s="909">
        <v>698460</v>
      </c>
      <c r="H410" s="909"/>
      <c r="I410" s="910">
        <v>13123</v>
      </c>
      <c r="J410" s="910">
        <v>612074</v>
      </c>
      <c r="K410" s="910">
        <v>47838</v>
      </c>
      <c r="L410" s="909">
        <v>24306</v>
      </c>
      <c r="M410" s="909"/>
      <c r="N410" s="910">
        <v>24475</v>
      </c>
      <c r="O410" s="910">
        <v>225913</v>
      </c>
      <c r="P410" s="910">
        <v>0</v>
      </c>
      <c r="Q410" s="909">
        <v>9712</v>
      </c>
      <c r="R410" s="910">
        <f t="shared" si="6"/>
        <v>386161</v>
      </c>
      <c r="S410" s="909"/>
      <c r="T410" s="910">
        <v>186688</v>
      </c>
      <c r="U410" s="912">
        <v>6974</v>
      </c>
      <c r="V410" s="912">
        <v>193663</v>
      </c>
    </row>
    <row r="411" spans="1:22" x14ac:dyDescent="0.25">
      <c r="A411" s="906">
        <v>94211</v>
      </c>
      <c r="B411" s="907" t="s">
        <v>2971</v>
      </c>
      <c r="C411" s="908">
        <v>1.2400000000000001E-4</v>
      </c>
      <c r="D411" s="908">
        <v>1.217E-4</v>
      </c>
      <c r="E411" s="909">
        <v>49845.440000000002</v>
      </c>
      <c r="F411" s="909">
        <v>54618</v>
      </c>
      <c r="G411" s="909">
        <v>263170</v>
      </c>
      <c r="H411" s="909"/>
      <c r="I411" s="910">
        <v>4944.5</v>
      </c>
      <c r="J411" s="910">
        <v>230620</v>
      </c>
      <c r="K411" s="910">
        <v>18025</v>
      </c>
      <c r="L411" s="909">
        <v>334</v>
      </c>
      <c r="M411" s="909"/>
      <c r="N411" s="910">
        <v>9222</v>
      </c>
      <c r="O411" s="910">
        <v>85121</v>
      </c>
      <c r="P411" s="910">
        <v>0</v>
      </c>
      <c r="Q411" s="909">
        <v>30868</v>
      </c>
      <c r="R411" s="910">
        <f t="shared" si="6"/>
        <v>145499</v>
      </c>
      <c r="S411" s="909"/>
      <c r="T411" s="910">
        <v>70341</v>
      </c>
      <c r="U411" s="912">
        <v>-13456</v>
      </c>
      <c r="V411" s="912">
        <v>56885</v>
      </c>
    </row>
    <row r="412" spans="1:22" x14ac:dyDescent="0.25">
      <c r="A412" s="906">
        <v>94221</v>
      </c>
      <c r="B412" s="907" t="s">
        <v>2972</v>
      </c>
      <c r="C412" s="908">
        <v>1.0705999999999999E-3</v>
      </c>
      <c r="D412" s="908">
        <v>1.1294E-3</v>
      </c>
      <c r="E412" s="909">
        <v>386218.22</v>
      </c>
      <c r="F412" s="909">
        <v>506868</v>
      </c>
      <c r="G412" s="909">
        <v>2272172</v>
      </c>
      <c r="H412" s="909"/>
      <c r="I412" s="910">
        <v>42690</v>
      </c>
      <c r="J412" s="910">
        <v>1991147</v>
      </c>
      <c r="K412" s="910">
        <v>155623</v>
      </c>
      <c r="L412" s="909">
        <v>98739</v>
      </c>
      <c r="M412" s="909"/>
      <c r="N412" s="910">
        <v>79619</v>
      </c>
      <c r="O412" s="910">
        <v>734922</v>
      </c>
      <c r="P412" s="910">
        <v>0</v>
      </c>
      <c r="Q412" s="909">
        <v>138383</v>
      </c>
      <c r="R412" s="910">
        <f t="shared" si="6"/>
        <v>1256225</v>
      </c>
      <c r="S412" s="909"/>
      <c r="T412" s="910">
        <v>607318</v>
      </c>
      <c r="U412" s="912">
        <v>-16318</v>
      </c>
      <c r="V412" s="912">
        <v>591000</v>
      </c>
    </row>
    <row r="413" spans="1:22" x14ac:dyDescent="0.25">
      <c r="A413" s="906">
        <v>94231</v>
      </c>
      <c r="B413" s="907" t="s">
        <v>2973</v>
      </c>
      <c r="C413" s="908">
        <v>2.1269999999999999E-4</v>
      </c>
      <c r="D413" s="908">
        <v>1.9469999999999999E-4</v>
      </c>
      <c r="E413" s="909">
        <v>77695.47</v>
      </c>
      <c r="F413" s="909">
        <v>87380</v>
      </c>
      <c r="G413" s="909">
        <v>451421</v>
      </c>
      <c r="H413" s="909"/>
      <c r="I413" s="910">
        <v>8481</v>
      </c>
      <c r="J413" s="910">
        <v>395588</v>
      </c>
      <c r="K413" s="910">
        <v>30918</v>
      </c>
      <c r="L413" s="909">
        <v>1986</v>
      </c>
      <c r="M413" s="909"/>
      <c r="N413" s="910">
        <v>15818</v>
      </c>
      <c r="O413" s="910">
        <v>146010</v>
      </c>
      <c r="P413" s="910">
        <v>0</v>
      </c>
      <c r="Q413" s="909">
        <v>11747</v>
      </c>
      <c r="R413" s="910">
        <f t="shared" si="6"/>
        <v>249578</v>
      </c>
      <c r="S413" s="909"/>
      <c r="T413" s="910">
        <v>120658</v>
      </c>
      <c r="U413" s="912">
        <v>-4519</v>
      </c>
      <c r="V413" s="912">
        <v>116139</v>
      </c>
    </row>
    <row r="414" spans="1:22" x14ac:dyDescent="0.25">
      <c r="A414" s="906">
        <v>94241</v>
      </c>
      <c r="B414" s="907" t="s">
        <v>2974</v>
      </c>
      <c r="C414" s="908">
        <v>8.4099999999999998E-5</v>
      </c>
      <c r="D414" s="908">
        <v>8.4800000000000001E-5</v>
      </c>
      <c r="E414" s="909">
        <v>37415.33</v>
      </c>
      <c r="F414" s="909">
        <v>38058</v>
      </c>
      <c r="G414" s="909">
        <v>178488</v>
      </c>
      <c r="H414" s="909"/>
      <c r="I414" s="910">
        <v>3353</v>
      </c>
      <c r="J414" s="910">
        <v>156413</v>
      </c>
      <c r="K414" s="910">
        <v>12225</v>
      </c>
      <c r="L414" s="909">
        <v>3164</v>
      </c>
      <c r="M414" s="909"/>
      <c r="N414" s="910">
        <v>6254</v>
      </c>
      <c r="O414" s="910">
        <v>57731</v>
      </c>
      <c r="P414" s="910">
        <v>0</v>
      </c>
      <c r="Q414" s="909">
        <v>1327</v>
      </c>
      <c r="R414" s="910">
        <f t="shared" si="6"/>
        <v>98682</v>
      </c>
      <c r="S414" s="909"/>
      <c r="T414" s="910">
        <v>47707</v>
      </c>
      <c r="U414" s="912">
        <v>664</v>
      </c>
      <c r="V414" s="912">
        <v>48372</v>
      </c>
    </row>
    <row r="415" spans="1:22" x14ac:dyDescent="0.25">
      <c r="A415" s="906">
        <v>94251</v>
      </c>
      <c r="B415" s="907" t="s">
        <v>2975</v>
      </c>
      <c r="C415" s="908">
        <v>1.4E-5</v>
      </c>
      <c r="D415" s="908">
        <v>2.37E-5</v>
      </c>
      <c r="E415" s="909">
        <v>7105.57</v>
      </c>
      <c r="F415" s="909">
        <v>10636</v>
      </c>
      <c r="G415" s="909">
        <v>29712.69</v>
      </c>
      <c r="H415" s="909"/>
      <c r="I415" s="910">
        <v>558.25</v>
      </c>
      <c r="J415" s="910">
        <v>26038</v>
      </c>
      <c r="K415" s="910">
        <v>2035</v>
      </c>
      <c r="L415" s="909">
        <v>0</v>
      </c>
      <c r="M415" s="909"/>
      <c r="N415" s="910">
        <v>1041</v>
      </c>
      <c r="O415" s="910">
        <v>9610</v>
      </c>
      <c r="P415" s="910">
        <v>0</v>
      </c>
      <c r="Q415" s="909">
        <v>9627</v>
      </c>
      <c r="R415" s="910">
        <f t="shared" si="6"/>
        <v>16428</v>
      </c>
      <c r="S415" s="909"/>
      <c r="T415" s="910">
        <v>7942</v>
      </c>
      <c r="U415" s="912">
        <v>-3119</v>
      </c>
      <c r="V415" s="912">
        <v>4823</v>
      </c>
    </row>
    <row r="416" spans="1:22" x14ac:dyDescent="0.25">
      <c r="A416" s="906">
        <v>94261</v>
      </c>
      <c r="B416" s="907" t="s">
        <v>2976</v>
      </c>
      <c r="C416" s="908">
        <v>2.9499999999999999E-5</v>
      </c>
      <c r="D416" s="908">
        <v>1.66E-5</v>
      </c>
      <c r="E416" s="909">
        <v>13527</v>
      </c>
      <c r="F416" s="909">
        <v>7450</v>
      </c>
      <c r="G416" s="909">
        <v>62609</v>
      </c>
      <c r="H416" s="909"/>
      <c r="I416" s="910">
        <v>1176.3125</v>
      </c>
      <c r="J416" s="910">
        <v>54865</v>
      </c>
      <c r="K416" s="910">
        <v>4288</v>
      </c>
      <c r="L416" s="909">
        <v>12167</v>
      </c>
      <c r="M416" s="909"/>
      <c r="N416" s="910">
        <v>2194</v>
      </c>
      <c r="O416" s="910">
        <v>20251</v>
      </c>
      <c r="P416" s="910">
        <v>0</v>
      </c>
      <c r="Q416" s="909">
        <v>0</v>
      </c>
      <c r="R416" s="910">
        <f t="shared" si="6"/>
        <v>34614</v>
      </c>
      <c r="S416" s="909"/>
      <c r="T416" s="910">
        <v>16734</v>
      </c>
      <c r="U416" s="912">
        <v>3736</v>
      </c>
      <c r="V416" s="912">
        <v>20471</v>
      </c>
    </row>
    <row r="417" spans="1:22" x14ac:dyDescent="0.25">
      <c r="A417" s="906">
        <v>94301</v>
      </c>
      <c r="B417" s="907" t="s">
        <v>2977</v>
      </c>
      <c r="C417" s="908">
        <v>6.0746999999999997E-3</v>
      </c>
      <c r="D417" s="908">
        <v>6.0625999999999996E-3</v>
      </c>
      <c r="E417" s="909">
        <v>2375298</v>
      </c>
      <c r="F417" s="909">
        <v>2720859</v>
      </c>
      <c r="G417" s="909">
        <v>12892548</v>
      </c>
      <c r="H417" s="909"/>
      <c r="I417" s="910">
        <v>242229</v>
      </c>
      <c r="J417" s="910">
        <v>11297982</v>
      </c>
      <c r="K417" s="910">
        <v>883024</v>
      </c>
      <c r="L417" s="909">
        <v>18885</v>
      </c>
      <c r="M417" s="909"/>
      <c r="N417" s="910">
        <v>451769</v>
      </c>
      <c r="O417" s="910">
        <v>4170026</v>
      </c>
      <c r="P417" s="910">
        <v>0</v>
      </c>
      <c r="Q417" s="909">
        <v>169326</v>
      </c>
      <c r="R417" s="910">
        <f t="shared" si="6"/>
        <v>7127956</v>
      </c>
      <c r="S417" s="909"/>
      <c r="T417" s="910">
        <v>3445989</v>
      </c>
      <c r="U417" s="912">
        <v>-41856</v>
      </c>
      <c r="V417" s="912">
        <v>3404133</v>
      </c>
    </row>
    <row r="418" spans="1:22" x14ac:dyDescent="0.25">
      <c r="A418" s="906">
        <v>94311</v>
      </c>
      <c r="B418" s="907" t="s">
        <v>2978</v>
      </c>
      <c r="C418" s="908">
        <v>7.4399999999999998E-4</v>
      </c>
      <c r="D418" s="908">
        <v>8.4360000000000001E-4</v>
      </c>
      <c r="E418" s="909">
        <v>317608</v>
      </c>
      <c r="F418" s="909">
        <v>378603</v>
      </c>
      <c r="G418" s="909">
        <v>1579017.24</v>
      </c>
      <c r="H418" s="909"/>
      <c r="I418" s="910">
        <v>29667</v>
      </c>
      <c r="J418" s="910">
        <v>1383722</v>
      </c>
      <c r="K418" s="910">
        <v>108149</v>
      </c>
      <c r="L418" s="909">
        <v>5590</v>
      </c>
      <c r="M418" s="909"/>
      <c r="N418" s="910">
        <v>55331</v>
      </c>
      <c r="O418" s="910">
        <v>510725</v>
      </c>
      <c r="P418" s="910">
        <v>0</v>
      </c>
      <c r="Q418" s="909">
        <v>74131</v>
      </c>
      <c r="R418" s="910">
        <f t="shared" si="6"/>
        <v>872997</v>
      </c>
      <c r="S418" s="909"/>
      <c r="T418" s="910">
        <v>422048</v>
      </c>
      <c r="U418" s="912">
        <v>-19207</v>
      </c>
      <c r="V418" s="912">
        <v>402841</v>
      </c>
    </row>
    <row r="419" spans="1:22" x14ac:dyDescent="0.25">
      <c r="A419" s="906">
        <v>94313</v>
      </c>
      <c r="B419" s="907" t="s">
        <v>2979</v>
      </c>
      <c r="C419" s="908">
        <v>2.0299999999999999E-5</v>
      </c>
      <c r="D419" s="908">
        <v>1.8099999999999999E-5</v>
      </c>
      <c r="E419" s="909">
        <v>12274.81</v>
      </c>
      <c r="F419" s="909">
        <v>8123</v>
      </c>
      <c r="G419" s="909">
        <v>43083</v>
      </c>
      <c r="H419" s="909"/>
      <c r="I419" s="910">
        <v>809.46249999999998</v>
      </c>
      <c r="J419" s="910">
        <v>37755</v>
      </c>
      <c r="K419" s="910">
        <v>2951</v>
      </c>
      <c r="L419" s="909">
        <v>7808</v>
      </c>
      <c r="M419" s="909"/>
      <c r="N419" s="910">
        <v>1510</v>
      </c>
      <c r="O419" s="910">
        <v>13935</v>
      </c>
      <c r="P419" s="910">
        <v>0</v>
      </c>
      <c r="Q419" s="909">
        <v>0</v>
      </c>
      <c r="R419" s="910">
        <f t="shared" si="6"/>
        <v>23820</v>
      </c>
      <c r="S419" s="909"/>
      <c r="T419" s="910">
        <v>11516</v>
      </c>
      <c r="U419" s="912">
        <v>2576</v>
      </c>
      <c r="V419" s="912">
        <v>14092</v>
      </c>
    </row>
    <row r="420" spans="1:22" x14ac:dyDescent="0.25">
      <c r="A420" s="906">
        <v>94317</v>
      </c>
      <c r="B420" s="907" t="s">
        <v>2980</v>
      </c>
      <c r="C420" s="908">
        <v>1.2099999999999999E-5</v>
      </c>
      <c r="D420" s="908">
        <v>1.15E-5</v>
      </c>
      <c r="E420" s="909">
        <v>8376.6</v>
      </c>
      <c r="F420" s="909">
        <v>5161</v>
      </c>
      <c r="G420" s="909">
        <v>25680</v>
      </c>
      <c r="H420" s="909"/>
      <c r="I420" s="910">
        <v>482</v>
      </c>
      <c r="J420" s="910">
        <v>22504</v>
      </c>
      <c r="K420" s="910">
        <v>1759</v>
      </c>
      <c r="L420" s="909">
        <v>6768</v>
      </c>
      <c r="M420" s="909"/>
      <c r="N420" s="910">
        <v>900</v>
      </c>
      <c r="O420" s="910">
        <v>8306</v>
      </c>
      <c r="P420" s="910">
        <v>0</v>
      </c>
      <c r="Q420" s="909">
        <v>0</v>
      </c>
      <c r="R420" s="910">
        <f t="shared" si="6"/>
        <v>14198</v>
      </c>
      <c r="S420" s="909"/>
      <c r="T420" s="910">
        <v>6864</v>
      </c>
      <c r="U420" s="912">
        <v>2325</v>
      </c>
      <c r="V420" s="912">
        <v>9189</v>
      </c>
    </row>
    <row r="421" spans="1:22" x14ac:dyDescent="0.25">
      <c r="A421" s="906">
        <v>94321</v>
      </c>
      <c r="B421" s="907" t="s">
        <v>2981</v>
      </c>
      <c r="C421" s="908">
        <v>2.7070000000000002E-4</v>
      </c>
      <c r="D421" s="908">
        <v>2.7270000000000001E-4</v>
      </c>
      <c r="E421" s="909">
        <v>94893.09</v>
      </c>
      <c r="F421" s="909">
        <v>122386</v>
      </c>
      <c r="G421" s="909">
        <v>574516</v>
      </c>
      <c r="H421" s="909"/>
      <c r="I421" s="910">
        <v>10794</v>
      </c>
      <c r="J421" s="910">
        <v>503459</v>
      </c>
      <c r="K421" s="910">
        <v>39349</v>
      </c>
      <c r="L421" s="909">
        <v>3401</v>
      </c>
      <c r="M421" s="909"/>
      <c r="N421" s="910">
        <v>20132</v>
      </c>
      <c r="O421" s="910">
        <v>185824</v>
      </c>
      <c r="P421" s="910">
        <v>0</v>
      </c>
      <c r="Q421" s="909">
        <v>21015</v>
      </c>
      <c r="R421" s="910">
        <f t="shared" si="6"/>
        <v>317635</v>
      </c>
      <c r="S421" s="909"/>
      <c r="T421" s="910">
        <v>153560</v>
      </c>
      <c r="U421" s="912">
        <v>-4393</v>
      </c>
      <c r="V421" s="912">
        <v>149167</v>
      </c>
    </row>
    <row r="422" spans="1:22" x14ac:dyDescent="0.25">
      <c r="A422" s="906">
        <v>94331</v>
      </c>
      <c r="B422" s="907" t="s">
        <v>2982</v>
      </c>
      <c r="C422" s="908">
        <v>1.517E-4</v>
      </c>
      <c r="D422" s="908">
        <v>1.7420000000000001E-4</v>
      </c>
      <c r="E422" s="909">
        <v>69883.19</v>
      </c>
      <c r="F422" s="909">
        <v>78180</v>
      </c>
      <c r="G422" s="909">
        <v>321958</v>
      </c>
      <c r="H422" s="909"/>
      <c r="I422" s="910">
        <v>6049</v>
      </c>
      <c r="J422" s="910">
        <v>282138</v>
      </c>
      <c r="K422" s="910">
        <v>22051</v>
      </c>
      <c r="L422" s="909">
        <v>13796</v>
      </c>
      <c r="M422" s="909"/>
      <c r="N422" s="910">
        <v>11282</v>
      </c>
      <c r="O422" s="910">
        <v>104136</v>
      </c>
      <c r="P422" s="910">
        <v>0</v>
      </c>
      <c r="Q422" s="909">
        <v>6234</v>
      </c>
      <c r="R422" s="910">
        <f t="shared" si="6"/>
        <v>178002</v>
      </c>
      <c r="S422" s="909"/>
      <c r="T422" s="910">
        <v>86055</v>
      </c>
      <c r="U422" s="912">
        <v>4466</v>
      </c>
      <c r="V422" s="912">
        <v>90520</v>
      </c>
    </row>
    <row r="423" spans="1:22" x14ac:dyDescent="0.25">
      <c r="A423" s="906">
        <v>94341</v>
      </c>
      <c r="B423" s="907" t="s">
        <v>2983</v>
      </c>
      <c r="C423" s="908">
        <v>8.1000000000000004E-5</v>
      </c>
      <c r="D423" s="908">
        <v>8.8399999999999994E-5</v>
      </c>
      <c r="E423" s="909">
        <v>31929.82</v>
      </c>
      <c r="F423" s="909">
        <v>39673</v>
      </c>
      <c r="G423" s="909">
        <v>171909</v>
      </c>
      <c r="H423" s="909"/>
      <c r="I423" s="910">
        <v>3229.875</v>
      </c>
      <c r="J423" s="910">
        <v>150647</v>
      </c>
      <c r="K423" s="910">
        <v>11774</v>
      </c>
      <c r="L423" s="909">
        <v>513</v>
      </c>
      <c r="M423" s="909"/>
      <c r="N423" s="910">
        <v>6024</v>
      </c>
      <c r="O423" s="910">
        <v>55603</v>
      </c>
      <c r="P423" s="910">
        <v>0</v>
      </c>
      <c r="Q423" s="909">
        <v>8986</v>
      </c>
      <c r="R423" s="910">
        <f t="shared" si="6"/>
        <v>95044</v>
      </c>
      <c r="S423" s="909"/>
      <c r="T423" s="910">
        <v>45949</v>
      </c>
      <c r="U423" s="912">
        <v>-3091</v>
      </c>
      <c r="V423" s="912">
        <v>42858</v>
      </c>
    </row>
    <row r="424" spans="1:22" x14ac:dyDescent="0.25">
      <c r="A424" s="906">
        <v>94347</v>
      </c>
      <c r="B424" s="907" t="s">
        <v>2984</v>
      </c>
      <c r="C424" s="908">
        <v>1.2300000000000001E-5</v>
      </c>
      <c r="D424" s="908">
        <v>1.31E-5</v>
      </c>
      <c r="E424" s="909">
        <v>6975</v>
      </c>
      <c r="F424" s="909">
        <v>5879</v>
      </c>
      <c r="G424" s="909">
        <v>26105</v>
      </c>
      <c r="H424" s="909"/>
      <c r="I424" s="910">
        <v>490</v>
      </c>
      <c r="J424" s="910">
        <v>22876</v>
      </c>
      <c r="K424" s="910">
        <v>1788</v>
      </c>
      <c r="L424" s="909">
        <v>3157</v>
      </c>
      <c r="M424" s="909"/>
      <c r="N424" s="910">
        <v>915</v>
      </c>
      <c r="O424" s="910">
        <v>8443</v>
      </c>
      <c r="P424" s="910">
        <v>0</v>
      </c>
      <c r="Q424" s="909">
        <v>0</v>
      </c>
      <c r="R424" s="910">
        <f t="shared" si="6"/>
        <v>14433</v>
      </c>
      <c r="S424" s="909"/>
      <c r="T424" s="910">
        <v>6977</v>
      </c>
      <c r="U424" s="912">
        <v>1291</v>
      </c>
      <c r="V424" s="912">
        <v>8268</v>
      </c>
    </row>
    <row r="425" spans="1:22" x14ac:dyDescent="0.25">
      <c r="A425" s="906">
        <v>94351</v>
      </c>
      <c r="B425" s="907" t="s">
        <v>2985</v>
      </c>
      <c r="C425" s="908">
        <v>2.377E-4</v>
      </c>
      <c r="D425" s="908">
        <v>2.3049999999999999E-4</v>
      </c>
      <c r="E425" s="909">
        <v>90845.03</v>
      </c>
      <c r="F425" s="909">
        <v>103447</v>
      </c>
      <c r="G425" s="909">
        <v>504479</v>
      </c>
      <c r="H425" s="909"/>
      <c r="I425" s="910">
        <v>9478</v>
      </c>
      <c r="J425" s="910">
        <v>442084</v>
      </c>
      <c r="K425" s="910">
        <v>34552</v>
      </c>
      <c r="L425" s="909">
        <v>2466</v>
      </c>
      <c r="M425" s="909"/>
      <c r="N425" s="910">
        <v>17678</v>
      </c>
      <c r="O425" s="910">
        <v>163171</v>
      </c>
      <c r="P425" s="910">
        <v>0</v>
      </c>
      <c r="Q425" s="909">
        <v>4917</v>
      </c>
      <c r="R425" s="910">
        <f t="shared" si="6"/>
        <v>278913</v>
      </c>
      <c r="S425" s="909"/>
      <c r="T425" s="910">
        <v>134840</v>
      </c>
      <c r="U425" s="912">
        <v>-1210</v>
      </c>
      <c r="V425" s="912">
        <v>133630</v>
      </c>
    </row>
    <row r="426" spans="1:22" x14ac:dyDescent="0.25">
      <c r="A426" s="906">
        <v>94401</v>
      </c>
      <c r="B426" s="907" t="s">
        <v>2986</v>
      </c>
      <c r="C426" s="908">
        <v>3.4548999999999999E-3</v>
      </c>
      <c r="D426" s="908">
        <v>3.3264000000000002E-3</v>
      </c>
      <c r="E426" s="909">
        <v>1346130.7</v>
      </c>
      <c r="F426" s="909">
        <v>1492868</v>
      </c>
      <c r="G426" s="909">
        <v>7332455</v>
      </c>
      <c r="H426" s="909"/>
      <c r="I426" s="910">
        <v>137764</v>
      </c>
      <c r="J426" s="910">
        <v>6425568</v>
      </c>
      <c r="K426" s="910">
        <v>502208</v>
      </c>
      <c r="L426" s="909">
        <v>30696</v>
      </c>
      <c r="M426" s="909"/>
      <c r="N426" s="910">
        <v>256937</v>
      </c>
      <c r="O426" s="910">
        <v>2371644</v>
      </c>
      <c r="P426" s="910">
        <v>0</v>
      </c>
      <c r="Q426" s="909">
        <v>635</v>
      </c>
      <c r="R426" s="910">
        <f t="shared" si="6"/>
        <v>4053924</v>
      </c>
      <c r="S426" s="909"/>
      <c r="T426" s="910">
        <v>1959858</v>
      </c>
      <c r="U426" s="912">
        <v>9582</v>
      </c>
      <c r="V426" s="912">
        <v>1969439</v>
      </c>
    </row>
    <row r="427" spans="1:22" x14ac:dyDescent="0.25">
      <c r="A427" s="906">
        <v>94402</v>
      </c>
      <c r="B427" s="907" t="s">
        <v>2987</v>
      </c>
      <c r="C427" s="908">
        <v>0</v>
      </c>
      <c r="D427" s="908">
        <v>0</v>
      </c>
      <c r="E427" s="909">
        <v>0</v>
      </c>
      <c r="F427" s="909">
        <v>0</v>
      </c>
      <c r="G427" s="909">
        <v>0</v>
      </c>
      <c r="H427" s="909"/>
      <c r="I427" s="910">
        <v>0</v>
      </c>
      <c r="J427" s="910">
        <v>0</v>
      </c>
      <c r="K427" s="910">
        <v>0</v>
      </c>
      <c r="L427" s="909">
        <v>0</v>
      </c>
      <c r="M427" s="909"/>
      <c r="N427" s="910">
        <v>0</v>
      </c>
      <c r="O427" s="910">
        <v>0</v>
      </c>
      <c r="P427" s="910">
        <v>0</v>
      </c>
      <c r="Q427" s="909">
        <v>2781798</v>
      </c>
      <c r="R427" s="910">
        <f t="shared" si="6"/>
        <v>0</v>
      </c>
      <c r="S427" s="909"/>
      <c r="T427" s="910">
        <v>0</v>
      </c>
      <c r="U427" s="912">
        <v>-1007431</v>
      </c>
      <c r="V427" s="912">
        <v>-1007431</v>
      </c>
    </row>
    <row r="428" spans="1:22" x14ac:dyDescent="0.25">
      <c r="A428" s="906">
        <v>94408</v>
      </c>
      <c r="B428" s="907" t="s">
        <v>2988</v>
      </c>
      <c r="C428" s="908">
        <v>4.0099999999999999E-5</v>
      </c>
      <c r="D428" s="908">
        <v>1.9000000000000001E-5</v>
      </c>
      <c r="E428" s="909">
        <v>13760</v>
      </c>
      <c r="F428" s="909">
        <v>8527</v>
      </c>
      <c r="G428" s="909">
        <v>85106</v>
      </c>
      <c r="H428" s="909"/>
      <c r="I428" s="910">
        <v>1599</v>
      </c>
      <c r="J428" s="910">
        <v>74580</v>
      </c>
      <c r="K428" s="910">
        <v>5829</v>
      </c>
      <c r="L428" s="909">
        <v>10369</v>
      </c>
      <c r="M428" s="909"/>
      <c r="N428" s="910">
        <v>2982</v>
      </c>
      <c r="O428" s="910">
        <v>27527</v>
      </c>
      <c r="P428" s="910">
        <v>0</v>
      </c>
      <c r="Q428" s="909">
        <v>3687</v>
      </c>
      <c r="R428" s="910">
        <f t="shared" si="6"/>
        <v>47053</v>
      </c>
      <c r="S428" s="909"/>
      <c r="T428" s="910">
        <v>22747</v>
      </c>
      <c r="U428" s="912">
        <v>939</v>
      </c>
      <c r="V428" s="912">
        <v>23687</v>
      </c>
    </row>
    <row r="429" spans="1:22" x14ac:dyDescent="0.25">
      <c r="A429" s="906">
        <v>94411</v>
      </c>
      <c r="B429" s="907" t="s">
        <v>2989</v>
      </c>
      <c r="C429" s="908">
        <v>1.1592E-3</v>
      </c>
      <c r="D429" s="908">
        <v>1.1820999999999999E-3</v>
      </c>
      <c r="E429" s="909">
        <v>485425</v>
      </c>
      <c r="F429" s="909">
        <v>530519</v>
      </c>
      <c r="G429" s="909">
        <v>2460211</v>
      </c>
      <c r="H429" s="909"/>
      <c r="I429" s="910">
        <v>46223.1</v>
      </c>
      <c r="J429" s="910">
        <v>2155929</v>
      </c>
      <c r="K429" s="910">
        <v>168502</v>
      </c>
      <c r="L429" s="909">
        <v>19239</v>
      </c>
      <c r="M429" s="909"/>
      <c r="N429" s="910">
        <v>86209</v>
      </c>
      <c r="O429" s="910">
        <v>795742</v>
      </c>
      <c r="P429" s="910">
        <v>0</v>
      </c>
      <c r="Q429" s="909">
        <v>5607</v>
      </c>
      <c r="R429" s="910">
        <f t="shared" si="6"/>
        <v>1360187</v>
      </c>
      <c r="S429" s="909"/>
      <c r="T429" s="910">
        <v>657578</v>
      </c>
      <c r="U429" s="912">
        <v>5340</v>
      </c>
      <c r="V429" s="912">
        <v>662918</v>
      </c>
    </row>
    <row r="430" spans="1:22" x14ac:dyDescent="0.25">
      <c r="A430" s="906">
        <v>94412</v>
      </c>
      <c r="B430" s="907" t="s">
        <v>2990</v>
      </c>
      <c r="C430" s="908">
        <v>1.63E-5</v>
      </c>
      <c r="D430" s="908">
        <v>1.7200000000000001E-5</v>
      </c>
      <c r="E430" s="909">
        <v>13713</v>
      </c>
      <c r="F430" s="909">
        <v>7719</v>
      </c>
      <c r="G430" s="909">
        <v>34594</v>
      </c>
      <c r="H430" s="909"/>
      <c r="I430" s="910">
        <v>649.96249999999998</v>
      </c>
      <c r="J430" s="910">
        <v>30315</v>
      </c>
      <c r="K430" s="910">
        <v>2369</v>
      </c>
      <c r="L430" s="909">
        <v>13305</v>
      </c>
      <c r="M430" s="909"/>
      <c r="N430" s="910">
        <v>1212</v>
      </c>
      <c r="O430" s="910">
        <v>11189</v>
      </c>
      <c r="P430" s="910">
        <v>0</v>
      </c>
      <c r="Q430" s="909">
        <v>0</v>
      </c>
      <c r="R430" s="910">
        <f t="shared" si="6"/>
        <v>19126</v>
      </c>
      <c r="S430" s="909"/>
      <c r="T430" s="910">
        <v>9246</v>
      </c>
      <c r="U430" s="912">
        <v>4869</v>
      </c>
      <c r="V430" s="912">
        <v>14116</v>
      </c>
    </row>
    <row r="431" spans="1:22" x14ac:dyDescent="0.25">
      <c r="A431" s="906">
        <v>94421</v>
      </c>
      <c r="B431" s="907" t="s">
        <v>2991</v>
      </c>
      <c r="C431" s="908">
        <v>1.6899999999999999E-4</v>
      </c>
      <c r="D431" s="908">
        <v>1.7149999999999999E-4</v>
      </c>
      <c r="E431" s="909">
        <v>68013</v>
      </c>
      <c r="F431" s="909">
        <v>76968</v>
      </c>
      <c r="G431" s="909">
        <v>358675</v>
      </c>
      <c r="H431" s="909"/>
      <c r="I431" s="910">
        <v>6739</v>
      </c>
      <c r="J431" s="910">
        <v>314313</v>
      </c>
      <c r="K431" s="910">
        <v>24566</v>
      </c>
      <c r="L431" s="909">
        <v>3528</v>
      </c>
      <c r="M431" s="909"/>
      <c r="N431" s="910">
        <v>12568</v>
      </c>
      <c r="O431" s="910">
        <v>116011</v>
      </c>
      <c r="P431" s="910">
        <v>0</v>
      </c>
      <c r="Q431" s="909">
        <v>12354</v>
      </c>
      <c r="R431" s="910">
        <f t="shared" si="6"/>
        <v>198302</v>
      </c>
      <c r="S431" s="909"/>
      <c r="T431" s="910">
        <v>95868</v>
      </c>
      <c r="U431" s="912">
        <v>-4340</v>
      </c>
      <c r="V431" s="912">
        <v>91529</v>
      </c>
    </row>
    <row r="432" spans="1:22" x14ac:dyDescent="0.25">
      <c r="A432" s="906">
        <v>94427</v>
      </c>
      <c r="B432" s="907" t="s">
        <v>2992</v>
      </c>
      <c r="C432" s="908">
        <v>1.29E-5</v>
      </c>
      <c r="D432" s="908">
        <v>1.56E-5</v>
      </c>
      <c r="E432" s="909">
        <v>6501.51</v>
      </c>
      <c r="F432" s="909">
        <v>7001</v>
      </c>
      <c r="G432" s="909">
        <v>27378</v>
      </c>
      <c r="H432" s="909"/>
      <c r="I432" s="910">
        <v>514</v>
      </c>
      <c r="J432" s="910">
        <v>23992</v>
      </c>
      <c r="K432" s="910">
        <v>1875</v>
      </c>
      <c r="L432" s="909">
        <v>785</v>
      </c>
      <c r="M432" s="909"/>
      <c r="N432" s="910">
        <v>959</v>
      </c>
      <c r="O432" s="910">
        <v>8855</v>
      </c>
      <c r="P432" s="910">
        <v>0</v>
      </c>
      <c r="Q432" s="909">
        <v>709</v>
      </c>
      <c r="R432" s="910">
        <f t="shared" si="6"/>
        <v>15137</v>
      </c>
      <c r="S432" s="909"/>
      <c r="T432" s="910">
        <v>7318</v>
      </c>
      <c r="U432" s="912">
        <v>47</v>
      </c>
      <c r="V432" s="912">
        <v>7365</v>
      </c>
    </row>
    <row r="433" spans="1:22" x14ac:dyDescent="0.25">
      <c r="A433" s="906">
        <v>94428</v>
      </c>
      <c r="B433" s="907" t="s">
        <v>2993</v>
      </c>
      <c r="C433" s="908">
        <v>7.4400000000000006E-5</v>
      </c>
      <c r="D433" s="908">
        <v>7.7799999999999994E-5</v>
      </c>
      <c r="E433" s="909">
        <v>33919</v>
      </c>
      <c r="F433" s="909">
        <v>34916</v>
      </c>
      <c r="G433" s="909">
        <v>157902</v>
      </c>
      <c r="H433" s="909"/>
      <c r="I433" s="910">
        <v>2967</v>
      </c>
      <c r="J433" s="910">
        <v>138372</v>
      </c>
      <c r="K433" s="910">
        <v>10815</v>
      </c>
      <c r="L433" s="909">
        <v>3518</v>
      </c>
      <c r="M433" s="909"/>
      <c r="N433" s="910">
        <v>5533</v>
      </c>
      <c r="O433" s="910">
        <v>51072</v>
      </c>
      <c r="P433" s="910">
        <v>0</v>
      </c>
      <c r="Q433" s="909">
        <v>0</v>
      </c>
      <c r="R433" s="910">
        <f t="shared" si="6"/>
        <v>87300</v>
      </c>
      <c r="S433" s="909"/>
      <c r="T433" s="910">
        <v>42205</v>
      </c>
      <c r="U433" s="912">
        <v>1203</v>
      </c>
      <c r="V433" s="912">
        <v>43408</v>
      </c>
    </row>
    <row r="434" spans="1:22" x14ac:dyDescent="0.25">
      <c r="A434" s="906">
        <v>94431</v>
      </c>
      <c r="B434" s="907" t="s">
        <v>2994</v>
      </c>
      <c r="C434" s="908">
        <v>3.7589999999999998E-4</v>
      </c>
      <c r="D434" s="908">
        <v>3.6390000000000001E-4</v>
      </c>
      <c r="E434" s="909">
        <v>261746</v>
      </c>
      <c r="F434" s="909">
        <v>163316</v>
      </c>
      <c r="G434" s="909">
        <v>797786</v>
      </c>
      <c r="H434" s="909"/>
      <c r="I434" s="910">
        <v>14989</v>
      </c>
      <c r="J434" s="910">
        <v>699115</v>
      </c>
      <c r="K434" s="910">
        <v>54641</v>
      </c>
      <c r="L434" s="909">
        <v>140656</v>
      </c>
      <c r="M434" s="909"/>
      <c r="N434" s="910">
        <v>27955</v>
      </c>
      <c r="O434" s="910">
        <v>258040</v>
      </c>
      <c r="P434" s="910">
        <v>0</v>
      </c>
      <c r="Q434" s="909">
        <v>1228</v>
      </c>
      <c r="R434" s="910">
        <f t="shared" si="6"/>
        <v>441075</v>
      </c>
      <c r="S434" s="909"/>
      <c r="T434" s="910">
        <v>213236</v>
      </c>
      <c r="U434" s="912">
        <v>40508</v>
      </c>
      <c r="V434" s="912">
        <v>253745</v>
      </c>
    </row>
    <row r="435" spans="1:22" x14ac:dyDescent="0.25">
      <c r="A435" s="906">
        <v>94437</v>
      </c>
      <c r="B435" s="907" t="s">
        <v>2995</v>
      </c>
      <c r="C435" s="908">
        <v>1.34E-5</v>
      </c>
      <c r="D435" s="908">
        <v>1.1600000000000001E-5</v>
      </c>
      <c r="E435" s="909">
        <v>11266</v>
      </c>
      <c r="F435" s="909">
        <v>5206</v>
      </c>
      <c r="G435" s="909">
        <v>28439</v>
      </c>
      <c r="H435" s="909"/>
      <c r="I435" s="910">
        <v>534</v>
      </c>
      <c r="J435" s="910">
        <v>24922</v>
      </c>
      <c r="K435" s="910">
        <v>1948</v>
      </c>
      <c r="L435" s="909">
        <v>12092</v>
      </c>
      <c r="M435" s="909"/>
      <c r="N435" s="910">
        <v>997</v>
      </c>
      <c r="O435" s="910">
        <v>9199</v>
      </c>
      <c r="P435" s="910">
        <v>0</v>
      </c>
      <c r="Q435" s="909">
        <v>0</v>
      </c>
      <c r="R435" s="910">
        <f t="shared" si="6"/>
        <v>15723</v>
      </c>
      <c r="S435" s="909"/>
      <c r="T435" s="910">
        <v>7601</v>
      </c>
      <c r="U435" s="912">
        <v>4157</v>
      </c>
      <c r="V435" s="912">
        <v>11759</v>
      </c>
    </row>
    <row r="436" spans="1:22" x14ac:dyDescent="0.25">
      <c r="A436" s="906">
        <v>94501</v>
      </c>
      <c r="B436" s="907" t="s">
        <v>2996</v>
      </c>
      <c r="C436" s="908">
        <v>5.8474E-3</v>
      </c>
      <c r="D436" s="908">
        <v>5.5922999999999997E-3</v>
      </c>
      <c r="E436" s="909">
        <v>2261129.31</v>
      </c>
      <c r="F436" s="909">
        <v>2509791</v>
      </c>
      <c r="G436" s="909">
        <v>12410142</v>
      </c>
      <c r="H436" s="909"/>
      <c r="I436" s="910">
        <v>233165</v>
      </c>
      <c r="J436" s="910">
        <v>10875240</v>
      </c>
      <c r="K436" s="910">
        <v>849984</v>
      </c>
      <c r="L436" s="909">
        <v>248127</v>
      </c>
      <c r="M436" s="909"/>
      <c r="N436" s="910">
        <v>434865</v>
      </c>
      <c r="O436" s="910">
        <v>4013995</v>
      </c>
      <c r="P436" s="910">
        <v>0</v>
      </c>
      <c r="Q436" s="909">
        <v>0</v>
      </c>
      <c r="R436" s="910">
        <f t="shared" si="6"/>
        <v>6861245</v>
      </c>
      <c r="S436" s="909"/>
      <c r="T436" s="910">
        <v>3317049</v>
      </c>
      <c r="U436" s="912">
        <v>102688</v>
      </c>
      <c r="V436" s="912">
        <v>3419736</v>
      </c>
    </row>
    <row r="437" spans="1:22" x14ac:dyDescent="0.25">
      <c r="A437" s="906">
        <v>94511</v>
      </c>
      <c r="B437" s="907" t="s">
        <v>2997</v>
      </c>
      <c r="C437" s="908">
        <v>1.7432000000000001E-3</v>
      </c>
      <c r="D437" s="908">
        <v>1.7692999999999999E-3</v>
      </c>
      <c r="E437" s="909">
        <v>680925.99</v>
      </c>
      <c r="F437" s="909">
        <v>794051</v>
      </c>
      <c r="G437" s="909">
        <v>3699654</v>
      </c>
      <c r="H437" s="909"/>
      <c r="I437" s="910">
        <v>69510</v>
      </c>
      <c r="J437" s="910">
        <v>3242077</v>
      </c>
      <c r="K437" s="910">
        <v>253393</v>
      </c>
      <c r="L437" s="909">
        <v>224818</v>
      </c>
      <c r="M437" s="909"/>
      <c r="N437" s="910">
        <v>129640</v>
      </c>
      <c r="O437" s="910">
        <v>1196634</v>
      </c>
      <c r="P437" s="910">
        <v>0</v>
      </c>
      <c r="Q437" s="909">
        <v>42694</v>
      </c>
      <c r="R437" s="910">
        <f t="shared" si="6"/>
        <v>2045443</v>
      </c>
      <c r="S437" s="909"/>
      <c r="T437" s="910">
        <v>988863</v>
      </c>
      <c r="U437" s="912">
        <v>69976</v>
      </c>
      <c r="V437" s="912">
        <v>1058839</v>
      </c>
    </row>
    <row r="438" spans="1:22" x14ac:dyDescent="0.25">
      <c r="A438" s="906">
        <v>94512</v>
      </c>
      <c r="B438" s="907" t="s">
        <v>2998</v>
      </c>
      <c r="C438" s="908">
        <v>0</v>
      </c>
      <c r="D438" s="908">
        <v>0</v>
      </c>
      <c r="E438" s="909">
        <v>0</v>
      </c>
      <c r="F438" s="909">
        <v>0</v>
      </c>
      <c r="G438" s="909">
        <v>0</v>
      </c>
      <c r="H438" s="909"/>
      <c r="I438" s="910">
        <v>0</v>
      </c>
      <c r="J438" s="910">
        <v>0</v>
      </c>
      <c r="K438" s="910">
        <v>0</v>
      </c>
      <c r="L438" s="909">
        <v>0</v>
      </c>
      <c r="M438" s="909"/>
      <c r="N438" s="910">
        <v>0</v>
      </c>
      <c r="O438" s="910">
        <v>0</v>
      </c>
      <c r="P438" s="910">
        <v>0</v>
      </c>
      <c r="Q438" s="909">
        <v>217292</v>
      </c>
      <c r="R438" s="910">
        <f t="shared" si="6"/>
        <v>0</v>
      </c>
      <c r="S438" s="909"/>
      <c r="T438" s="910">
        <v>0</v>
      </c>
      <c r="U438" s="912">
        <v>-78713</v>
      </c>
      <c r="V438" s="912">
        <v>-78713</v>
      </c>
    </row>
    <row r="439" spans="1:22" x14ac:dyDescent="0.25">
      <c r="A439" s="906">
        <v>94517</v>
      </c>
      <c r="B439" s="907" t="s">
        <v>2999</v>
      </c>
      <c r="C439" s="908">
        <v>4.9599999999999999E-5</v>
      </c>
      <c r="D439" s="908">
        <v>4.9100000000000001E-5</v>
      </c>
      <c r="E439" s="909">
        <v>28272.959999999999</v>
      </c>
      <c r="F439" s="909">
        <v>22036</v>
      </c>
      <c r="G439" s="909">
        <v>105268</v>
      </c>
      <c r="H439" s="909"/>
      <c r="I439" s="910">
        <v>1977.8</v>
      </c>
      <c r="J439" s="910">
        <v>92248</v>
      </c>
      <c r="K439" s="910">
        <v>7210</v>
      </c>
      <c r="L439" s="909">
        <v>19501</v>
      </c>
      <c r="M439" s="909"/>
      <c r="N439" s="910">
        <v>3689</v>
      </c>
      <c r="O439" s="910">
        <v>34048</v>
      </c>
      <c r="P439" s="910">
        <v>0</v>
      </c>
      <c r="Q439" s="909">
        <v>0</v>
      </c>
      <c r="R439" s="910">
        <f t="shared" si="6"/>
        <v>58200</v>
      </c>
      <c r="S439" s="909"/>
      <c r="T439" s="910">
        <v>28137</v>
      </c>
      <c r="U439" s="912">
        <v>7376</v>
      </c>
      <c r="V439" s="912">
        <v>35513</v>
      </c>
    </row>
    <row r="440" spans="1:22" x14ac:dyDescent="0.25">
      <c r="A440" s="906">
        <v>94521</v>
      </c>
      <c r="B440" s="907" t="s">
        <v>3000</v>
      </c>
      <c r="C440" s="908">
        <v>1.2410000000000001E-4</v>
      </c>
      <c r="D440" s="908">
        <v>1.6320000000000001E-4</v>
      </c>
      <c r="E440" s="909">
        <v>54157.59</v>
      </c>
      <c r="F440" s="909">
        <v>73243</v>
      </c>
      <c r="G440" s="909">
        <v>263382</v>
      </c>
      <c r="H440" s="909"/>
      <c r="I440" s="910">
        <v>4948</v>
      </c>
      <c r="J440" s="910">
        <v>230806</v>
      </c>
      <c r="K440" s="910">
        <v>18039</v>
      </c>
      <c r="L440" s="909">
        <v>5851</v>
      </c>
      <c r="M440" s="909"/>
      <c r="N440" s="910">
        <v>9229</v>
      </c>
      <c r="O440" s="910">
        <v>85189</v>
      </c>
      <c r="P440" s="910">
        <v>0</v>
      </c>
      <c r="Q440" s="909">
        <v>18701</v>
      </c>
      <c r="R440" s="910">
        <f t="shared" si="6"/>
        <v>145617</v>
      </c>
      <c r="S440" s="909"/>
      <c r="T440" s="910">
        <v>70398</v>
      </c>
      <c r="U440" s="912">
        <v>-2526</v>
      </c>
      <c r="V440" s="912">
        <v>67872</v>
      </c>
    </row>
    <row r="441" spans="1:22" x14ac:dyDescent="0.25">
      <c r="A441" s="906">
        <v>94527</v>
      </c>
      <c r="B441" s="907" t="s">
        <v>3001</v>
      </c>
      <c r="C441" s="908">
        <v>6.3999999999999997E-6</v>
      </c>
      <c r="D441" s="908">
        <v>9.0000000000000002E-6</v>
      </c>
      <c r="E441" s="909">
        <v>0</v>
      </c>
      <c r="F441" s="909">
        <v>4039</v>
      </c>
      <c r="G441" s="909">
        <v>13583</v>
      </c>
      <c r="H441" s="909"/>
      <c r="I441" s="910">
        <v>255.2</v>
      </c>
      <c r="J441" s="910">
        <v>11903</v>
      </c>
      <c r="K441" s="910">
        <v>930</v>
      </c>
      <c r="L441" s="909">
        <v>477</v>
      </c>
      <c r="M441" s="909"/>
      <c r="N441" s="910">
        <v>476</v>
      </c>
      <c r="O441" s="910">
        <v>4393</v>
      </c>
      <c r="P441" s="910">
        <v>0</v>
      </c>
      <c r="Q441" s="909">
        <v>3557</v>
      </c>
      <c r="R441" s="910">
        <f t="shared" si="6"/>
        <v>7510</v>
      </c>
      <c r="S441" s="909"/>
      <c r="T441" s="910">
        <v>3631</v>
      </c>
      <c r="U441" s="912">
        <v>-766</v>
      </c>
      <c r="V441" s="912">
        <v>2864</v>
      </c>
    </row>
    <row r="442" spans="1:22" x14ac:dyDescent="0.25">
      <c r="A442" s="906">
        <v>94531</v>
      </c>
      <c r="B442" s="907" t="s">
        <v>3002</v>
      </c>
      <c r="C442" s="908">
        <v>1.5500000000000001E-5</v>
      </c>
      <c r="D442" s="908">
        <v>1.66E-5</v>
      </c>
      <c r="E442" s="909">
        <v>9989</v>
      </c>
      <c r="F442" s="909">
        <v>7450</v>
      </c>
      <c r="G442" s="909">
        <v>32896</v>
      </c>
      <c r="H442" s="909"/>
      <c r="I442" s="910">
        <v>618.0625</v>
      </c>
      <c r="J442" s="910">
        <v>28828</v>
      </c>
      <c r="K442" s="910">
        <v>2253</v>
      </c>
      <c r="L442" s="909">
        <v>5256</v>
      </c>
      <c r="M442" s="909"/>
      <c r="N442" s="910">
        <v>1153</v>
      </c>
      <c r="O442" s="910">
        <v>10640</v>
      </c>
      <c r="P442" s="910">
        <v>0</v>
      </c>
      <c r="Q442" s="909">
        <v>0</v>
      </c>
      <c r="R442" s="910">
        <f t="shared" si="6"/>
        <v>18188</v>
      </c>
      <c r="S442" s="909"/>
      <c r="T442" s="910">
        <v>8793</v>
      </c>
      <c r="U442" s="912">
        <v>1863</v>
      </c>
      <c r="V442" s="912">
        <v>10656</v>
      </c>
    </row>
    <row r="443" spans="1:22" x14ac:dyDescent="0.25">
      <c r="A443" s="906">
        <v>94532</v>
      </c>
      <c r="B443" s="907" t="s">
        <v>3003</v>
      </c>
      <c r="C443" s="908">
        <v>9.4099999999999997E-5</v>
      </c>
      <c r="D443" s="908">
        <v>1.155E-4</v>
      </c>
      <c r="E443" s="909">
        <v>41786.75</v>
      </c>
      <c r="F443" s="909">
        <v>51836</v>
      </c>
      <c r="G443" s="909">
        <v>199712</v>
      </c>
      <c r="H443" s="909"/>
      <c r="I443" s="910">
        <v>3752</v>
      </c>
      <c r="J443" s="910">
        <v>175011</v>
      </c>
      <c r="K443" s="910">
        <v>13678</v>
      </c>
      <c r="L443" s="909">
        <v>0</v>
      </c>
      <c r="M443" s="909"/>
      <c r="N443" s="910">
        <v>6998</v>
      </c>
      <c r="O443" s="910">
        <v>64596</v>
      </c>
      <c r="P443" s="910">
        <v>0</v>
      </c>
      <c r="Q443" s="909">
        <v>15319</v>
      </c>
      <c r="R443" s="910">
        <f t="shared" si="6"/>
        <v>110415</v>
      </c>
      <c r="S443" s="909"/>
      <c r="T443" s="910">
        <v>53380</v>
      </c>
      <c r="U443" s="912">
        <v>-5410</v>
      </c>
      <c r="V443" s="912">
        <v>47970</v>
      </c>
    </row>
    <row r="444" spans="1:22" x14ac:dyDescent="0.25">
      <c r="A444" s="906">
        <v>94541</v>
      </c>
      <c r="B444" s="907" t="s">
        <v>3004</v>
      </c>
      <c r="C444" s="908">
        <v>2.9839999999999999E-4</v>
      </c>
      <c r="D444" s="908">
        <v>2.8739999999999999E-4</v>
      </c>
      <c r="E444" s="909">
        <v>104979.31</v>
      </c>
      <c r="F444" s="909">
        <v>128983</v>
      </c>
      <c r="G444" s="909">
        <v>633305</v>
      </c>
      <c r="H444" s="909"/>
      <c r="I444" s="910">
        <v>11899</v>
      </c>
      <c r="J444" s="910">
        <v>554977</v>
      </c>
      <c r="K444" s="910">
        <v>43376</v>
      </c>
      <c r="L444" s="909">
        <v>0</v>
      </c>
      <c r="M444" s="909"/>
      <c r="N444" s="910">
        <v>22192</v>
      </c>
      <c r="O444" s="910">
        <v>204839</v>
      </c>
      <c r="P444" s="910">
        <v>0</v>
      </c>
      <c r="Q444" s="909">
        <v>23573</v>
      </c>
      <c r="R444" s="910">
        <f t="shared" si="6"/>
        <v>350138</v>
      </c>
      <c r="S444" s="909"/>
      <c r="T444" s="910">
        <v>169273</v>
      </c>
      <c r="U444" s="912">
        <v>-7692</v>
      </c>
      <c r="V444" s="912">
        <v>161581</v>
      </c>
    </row>
    <row r="445" spans="1:22" x14ac:dyDescent="0.25">
      <c r="A445" s="906">
        <v>94547</v>
      </c>
      <c r="B445" s="907" t="s">
        <v>3005</v>
      </c>
      <c r="C445" s="908">
        <v>1.24E-5</v>
      </c>
      <c r="D445" s="908">
        <v>1.3499999999999999E-5</v>
      </c>
      <c r="E445" s="909">
        <v>7369</v>
      </c>
      <c r="F445" s="909">
        <v>6059</v>
      </c>
      <c r="G445" s="909">
        <v>26317</v>
      </c>
      <c r="H445" s="909"/>
      <c r="I445" s="910">
        <v>494.45</v>
      </c>
      <c r="J445" s="910">
        <v>23062</v>
      </c>
      <c r="K445" s="910">
        <v>1802</v>
      </c>
      <c r="L445" s="909">
        <v>2133</v>
      </c>
      <c r="M445" s="909"/>
      <c r="N445" s="910">
        <v>922</v>
      </c>
      <c r="O445" s="910">
        <v>8512</v>
      </c>
      <c r="P445" s="910">
        <v>0</v>
      </c>
      <c r="Q445" s="909">
        <v>0</v>
      </c>
      <c r="R445" s="910">
        <f t="shared" si="6"/>
        <v>14550</v>
      </c>
      <c r="S445" s="909"/>
      <c r="T445" s="910">
        <v>7034</v>
      </c>
      <c r="U445" s="912">
        <v>656</v>
      </c>
      <c r="V445" s="912">
        <v>7690</v>
      </c>
    </row>
    <row r="446" spans="1:22" x14ac:dyDescent="0.25">
      <c r="A446" s="906">
        <v>94551</v>
      </c>
      <c r="B446" s="907" t="s">
        <v>3006</v>
      </c>
      <c r="C446" s="908">
        <v>4.5899999999999998E-5</v>
      </c>
      <c r="D446" s="908">
        <v>3.0599999999999998E-5</v>
      </c>
      <c r="E446" s="909">
        <v>22107</v>
      </c>
      <c r="F446" s="909">
        <v>13733</v>
      </c>
      <c r="G446" s="909">
        <v>97415</v>
      </c>
      <c r="H446" s="909"/>
      <c r="I446" s="910">
        <v>1830</v>
      </c>
      <c r="J446" s="910">
        <v>85367</v>
      </c>
      <c r="K446" s="910">
        <v>6672</v>
      </c>
      <c r="L446" s="909">
        <v>14242</v>
      </c>
      <c r="M446" s="909"/>
      <c r="N446" s="910">
        <v>3414</v>
      </c>
      <c r="O446" s="910">
        <v>31508</v>
      </c>
      <c r="P446" s="910">
        <v>0</v>
      </c>
      <c r="Q446" s="909">
        <v>2442</v>
      </c>
      <c r="R446" s="910">
        <f t="shared" si="6"/>
        <v>53859</v>
      </c>
      <c r="S446" s="909"/>
      <c r="T446" s="910">
        <v>26038</v>
      </c>
      <c r="U446" s="912">
        <v>3648</v>
      </c>
      <c r="V446" s="912">
        <v>29686</v>
      </c>
    </row>
    <row r="447" spans="1:22" x14ac:dyDescent="0.25">
      <c r="A447" s="906">
        <v>94601</v>
      </c>
      <c r="B447" s="907" t="s">
        <v>3007</v>
      </c>
      <c r="C447" s="908">
        <v>1.0011E-3</v>
      </c>
      <c r="D447" s="908">
        <v>9.7179999999999999E-4</v>
      </c>
      <c r="E447" s="909">
        <v>433754</v>
      </c>
      <c r="F447" s="909">
        <v>436138</v>
      </c>
      <c r="G447" s="909">
        <v>2124670</v>
      </c>
      <c r="H447" s="909"/>
      <c r="I447" s="910">
        <v>39919</v>
      </c>
      <c r="J447" s="910">
        <v>1861888</v>
      </c>
      <c r="K447" s="910">
        <v>145521</v>
      </c>
      <c r="L447" s="909">
        <v>36047</v>
      </c>
      <c r="M447" s="909"/>
      <c r="N447" s="910">
        <v>74451</v>
      </c>
      <c r="O447" s="910">
        <v>687213</v>
      </c>
      <c r="P447" s="910">
        <v>0</v>
      </c>
      <c r="Q447" s="909">
        <v>3381</v>
      </c>
      <c r="R447" s="910">
        <f t="shared" si="6"/>
        <v>1174675</v>
      </c>
      <c r="S447" s="909"/>
      <c r="T447" s="910">
        <v>567893</v>
      </c>
      <c r="U447" s="912">
        <v>8786</v>
      </c>
      <c r="V447" s="912">
        <v>576679</v>
      </c>
    </row>
    <row r="448" spans="1:22" x14ac:dyDescent="0.25">
      <c r="A448" s="906">
        <v>94604</v>
      </c>
      <c r="B448" s="907" t="s">
        <v>3008</v>
      </c>
      <c r="C448" s="908">
        <v>2.65E-5</v>
      </c>
      <c r="D448" s="908">
        <v>2.76E-5</v>
      </c>
      <c r="E448" s="909">
        <v>12705</v>
      </c>
      <c r="F448" s="909">
        <v>12387</v>
      </c>
      <c r="G448" s="909">
        <v>56242</v>
      </c>
      <c r="H448" s="909"/>
      <c r="I448" s="910">
        <v>1056.6875</v>
      </c>
      <c r="J448" s="910">
        <v>49286</v>
      </c>
      <c r="K448" s="910">
        <v>3852</v>
      </c>
      <c r="L448" s="909">
        <v>1065</v>
      </c>
      <c r="M448" s="909"/>
      <c r="N448" s="910">
        <v>1971</v>
      </c>
      <c r="O448" s="910">
        <v>18191</v>
      </c>
      <c r="P448" s="910">
        <v>0</v>
      </c>
      <c r="Q448" s="909">
        <v>52</v>
      </c>
      <c r="R448" s="910">
        <f t="shared" si="6"/>
        <v>31095</v>
      </c>
      <c r="S448" s="909"/>
      <c r="T448" s="910">
        <v>15033</v>
      </c>
      <c r="U448" s="912">
        <v>272</v>
      </c>
      <c r="V448" s="912">
        <v>15304</v>
      </c>
    </row>
    <row r="449" spans="1:22" x14ac:dyDescent="0.25">
      <c r="A449" s="906">
        <v>94606</v>
      </c>
      <c r="B449" s="907" t="s">
        <v>3009</v>
      </c>
      <c r="C449" s="908">
        <v>2.6229999999999998E-4</v>
      </c>
      <c r="D449" s="908">
        <v>2.8610000000000002E-4</v>
      </c>
      <c r="E449" s="909">
        <v>101571</v>
      </c>
      <c r="F449" s="909">
        <v>128400</v>
      </c>
      <c r="G449" s="909">
        <v>556688</v>
      </c>
      <c r="H449" s="909"/>
      <c r="I449" s="910">
        <v>10459</v>
      </c>
      <c r="J449" s="910">
        <v>487837</v>
      </c>
      <c r="K449" s="910">
        <v>38128</v>
      </c>
      <c r="L449" s="909">
        <v>0</v>
      </c>
      <c r="M449" s="909"/>
      <c r="N449" s="910">
        <v>19507</v>
      </c>
      <c r="O449" s="910">
        <v>180058</v>
      </c>
      <c r="P449" s="910">
        <v>0</v>
      </c>
      <c r="Q449" s="909">
        <v>52213</v>
      </c>
      <c r="R449" s="910">
        <f t="shared" si="6"/>
        <v>307779</v>
      </c>
      <c r="S449" s="909"/>
      <c r="T449" s="910">
        <v>148795</v>
      </c>
      <c r="U449" s="912">
        <v>-19437</v>
      </c>
      <c r="V449" s="912">
        <v>129358</v>
      </c>
    </row>
    <row r="450" spans="1:22" x14ac:dyDescent="0.25">
      <c r="A450" s="906">
        <v>94611</v>
      </c>
      <c r="B450" s="907" t="s">
        <v>3010</v>
      </c>
      <c r="C450" s="908">
        <v>4.4450000000000002E-4</v>
      </c>
      <c r="D450" s="908">
        <v>4.5360000000000002E-4</v>
      </c>
      <c r="E450" s="909">
        <v>189159.12</v>
      </c>
      <c r="F450" s="909">
        <v>203573</v>
      </c>
      <c r="G450" s="909">
        <v>943378</v>
      </c>
      <c r="H450" s="909"/>
      <c r="I450" s="910">
        <v>17724.4375</v>
      </c>
      <c r="J450" s="910">
        <v>826700</v>
      </c>
      <c r="K450" s="910">
        <v>64613</v>
      </c>
      <c r="L450" s="909">
        <v>3960</v>
      </c>
      <c r="M450" s="909"/>
      <c r="N450" s="910">
        <v>33057</v>
      </c>
      <c r="O450" s="910">
        <v>305131</v>
      </c>
      <c r="P450" s="910">
        <v>0</v>
      </c>
      <c r="Q450" s="909">
        <v>4915.3</v>
      </c>
      <c r="R450" s="910">
        <f t="shared" si="6"/>
        <v>521569</v>
      </c>
      <c r="S450" s="909"/>
      <c r="T450" s="910">
        <v>252151</v>
      </c>
      <c r="U450" s="912">
        <v>-1078</v>
      </c>
      <c r="V450" s="912">
        <v>251074</v>
      </c>
    </row>
    <row r="451" spans="1:22" x14ac:dyDescent="0.25">
      <c r="A451" s="906">
        <v>94621</v>
      </c>
      <c r="B451" s="907" t="s">
        <v>3011</v>
      </c>
      <c r="C451" s="908">
        <v>1.3119999999999999E-4</v>
      </c>
      <c r="D451" s="908">
        <v>1.5200000000000001E-4</v>
      </c>
      <c r="E451" s="909">
        <v>64393.31</v>
      </c>
      <c r="F451" s="909">
        <v>68217</v>
      </c>
      <c r="G451" s="909">
        <v>278450</v>
      </c>
      <c r="H451" s="909"/>
      <c r="I451" s="910">
        <v>5232</v>
      </c>
      <c r="J451" s="910">
        <v>244011</v>
      </c>
      <c r="K451" s="910">
        <v>19071</v>
      </c>
      <c r="L451" s="909">
        <v>13237</v>
      </c>
      <c r="M451" s="909"/>
      <c r="N451" s="910">
        <v>9757</v>
      </c>
      <c r="O451" s="910">
        <v>90063</v>
      </c>
      <c r="P451" s="910">
        <v>0</v>
      </c>
      <c r="Q451" s="909">
        <v>19570</v>
      </c>
      <c r="R451" s="910">
        <f t="shared" si="6"/>
        <v>153948</v>
      </c>
      <c r="S451" s="909"/>
      <c r="T451" s="910">
        <v>74426</v>
      </c>
      <c r="U451" s="912">
        <v>-3</v>
      </c>
      <c r="V451" s="912">
        <v>74422</v>
      </c>
    </row>
    <row r="452" spans="1:22" x14ac:dyDescent="0.25">
      <c r="A452" s="906">
        <v>94631</v>
      </c>
      <c r="B452" s="907" t="s">
        <v>3012</v>
      </c>
      <c r="C452" s="908">
        <v>3.9799999999999998E-5</v>
      </c>
      <c r="D452" s="908">
        <v>4.0299999999999997E-5</v>
      </c>
      <c r="E452" s="909">
        <v>19878.57</v>
      </c>
      <c r="F452" s="909">
        <v>18086</v>
      </c>
      <c r="G452" s="909">
        <v>84469</v>
      </c>
      <c r="H452" s="909"/>
      <c r="I452" s="910">
        <v>1587</v>
      </c>
      <c r="J452" s="910">
        <v>74022</v>
      </c>
      <c r="K452" s="910">
        <v>5785</v>
      </c>
      <c r="L452" s="909">
        <v>5170</v>
      </c>
      <c r="M452" s="909"/>
      <c r="N452" s="910">
        <v>2960</v>
      </c>
      <c r="O452" s="910">
        <v>27321</v>
      </c>
      <c r="P452" s="910">
        <v>0</v>
      </c>
      <c r="Q452" s="909">
        <v>0</v>
      </c>
      <c r="R452" s="910">
        <f t="shared" si="6"/>
        <v>46701</v>
      </c>
      <c r="S452" s="909"/>
      <c r="T452" s="910">
        <v>22577</v>
      </c>
      <c r="U452" s="912">
        <v>1734</v>
      </c>
      <c r="V452" s="912">
        <v>24311</v>
      </c>
    </row>
    <row r="453" spans="1:22" x14ac:dyDescent="0.25">
      <c r="A453" s="906">
        <v>94641</v>
      </c>
      <c r="B453" s="907" t="s">
        <v>3013</v>
      </c>
      <c r="C453" s="908">
        <v>4.6999999999999999E-6</v>
      </c>
      <c r="D453" s="908">
        <v>4.6999999999999999E-6</v>
      </c>
      <c r="E453" s="909">
        <v>4524.25</v>
      </c>
      <c r="F453" s="909">
        <v>2109</v>
      </c>
      <c r="G453" s="909">
        <v>9975</v>
      </c>
      <c r="H453" s="909"/>
      <c r="I453" s="910">
        <v>187.41249999999999</v>
      </c>
      <c r="J453" s="910">
        <v>8741</v>
      </c>
      <c r="K453" s="910">
        <v>683</v>
      </c>
      <c r="L453" s="909">
        <v>4799</v>
      </c>
      <c r="M453" s="909"/>
      <c r="N453" s="910">
        <v>350</v>
      </c>
      <c r="O453" s="910">
        <v>3226</v>
      </c>
      <c r="P453" s="910">
        <v>0</v>
      </c>
      <c r="Q453" s="909">
        <v>0</v>
      </c>
      <c r="R453" s="910">
        <f t="shared" si="6"/>
        <v>5515</v>
      </c>
      <c r="S453" s="909"/>
      <c r="T453" s="910">
        <v>2666</v>
      </c>
      <c r="U453" s="912">
        <v>1678</v>
      </c>
      <c r="V453" s="912">
        <v>4344</v>
      </c>
    </row>
    <row r="454" spans="1:22" x14ac:dyDescent="0.25">
      <c r="A454" s="906">
        <v>94701</v>
      </c>
      <c r="B454" s="907" t="s">
        <v>3014</v>
      </c>
      <c r="C454" s="908">
        <v>2.5636000000000001E-3</v>
      </c>
      <c r="D454" s="908">
        <v>2.6064999999999999E-3</v>
      </c>
      <c r="E454" s="909">
        <v>956457</v>
      </c>
      <c r="F454" s="909">
        <v>1169782</v>
      </c>
      <c r="G454" s="909">
        <v>5440818</v>
      </c>
      <c r="H454" s="909"/>
      <c r="I454" s="910">
        <v>102223.55</v>
      </c>
      <c r="J454" s="910">
        <v>4767891</v>
      </c>
      <c r="K454" s="910">
        <v>372647</v>
      </c>
      <c r="L454" s="909">
        <v>75767</v>
      </c>
      <c r="M454" s="909"/>
      <c r="N454" s="910">
        <v>190652</v>
      </c>
      <c r="O454" s="910">
        <v>1759804</v>
      </c>
      <c r="P454" s="910">
        <v>0</v>
      </c>
      <c r="Q454" s="909">
        <v>100921</v>
      </c>
      <c r="R454" s="910">
        <f t="shared" si="6"/>
        <v>3008087</v>
      </c>
      <c r="S454" s="909"/>
      <c r="T454" s="910">
        <v>1454251</v>
      </c>
      <c r="U454" s="912">
        <v>4371</v>
      </c>
      <c r="V454" s="912">
        <v>1458622</v>
      </c>
    </row>
    <row r="455" spans="1:22" x14ac:dyDescent="0.25">
      <c r="A455" s="906">
        <v>94704</v>
      </c>
      <c r="B455" s="907" t="s">
        <v>3015</v>
      </c>
      <c r="C455" s="908">
        <v>1.04E-5</v>
      </c>
      <c r="D455" s="908">
        <v>1.0900000000000001E-5</v>
      </c>
      <c r="E455" s="909">
        <v>4510</v>
      </c>
      <c r="F455" s="909">
        <v>4892</v>
      </c>
      <c r="G455" s="909">
        <v>22072</v>
      </c>
      <c r="H455" s="909"/>
      <c r="I455" s="910">
        <v>414.7</v>
      </c>
      <c r="J455" s="910">
        <v>19342</v>
      </c>
      <c r="K455" s="910">
        <v>1512</v>
      </c>
      <c r="L455" s="909">
        <v>147</v>
      </c>
      <c r="M455" s="909"/>
      <c r="N455" s="910">
        <v>773</v>
      </c>
      <c r="O455" s="910">
        <v>7139</v>
      </c>
      <c r="P455" s="910">
        <v>0</v>
      </c>
      <c r="Q455" s="909">
        <v>86</v>
      </c>
      <c r="R455" s="910">
        <f t="shared" ref="R455:R518" si="7">IF(J455&gt;O455,J455-O455,O455-J455)</f>
        <v>12203</v>
      </c>
      <c r="S455" s="909"/>
      <c r="T455" s="910">
        <v>5900</v>
      </c>
      <c r="U455" s="912">
        <v>47</v>
      </c>
      <c r="V455" s="912">
        <v>5946</v>
      </c>
    </row>
    <row r="456" spans="1:22" x14ac:dyDescent="0.25">
      <c r="A456" s="906">
        <v>94711</v>
      </c>
      <c r="B456" s="907" t="s">
        <v>3016</v>
      </c>
      <c r="C456" s="908">
        <v>3.5110000000000002E-4</v>
      </c>
      <c r="D456" s="908">
        <v>3.5270000000000001E-4</v>
      </c>
      <c r="E456" s="909">
        <v>140447</v>
      </c>
      <c r="F456" s="909">
        <v>158290</v>
      </c>
      <c r="G456" s="909">
        <v>745152</v>
      </c>
      <c r="H456" s="909"/>
      <c r="I456" s="910">
        <v>14000</v>
      </c>
      <c r="J456" s="910">
        <v>652991</v>
      </c>
      <c r="K456" s="910">
        <v>51036</v>
      </c>
      <c r="L456" s="909">
        <v>14121</v>
      </c>
      <c r="M456" s="909"/>
      <c r="N456" s="910">
        <v>26111</v>
      </c>
      <c r="O456" s="910">
        <v>241015</v>
      </c>
      <c r="P456" s="910">
        <v>0</v>
      </c>
      <c r="Q456" s="909">
        <v>8957</v>
      </c>
      <c r="R456" s="910">
        <f t="shared" si="7"/>
        <v>411976</v>
      </c>
      <c r="S456" s="909"/>
      <c r="T456" s="910">
        <v>199168</v>
      </c>
      <c r="U456" s="912">
        <v>1479</v>
      </c>
      <c r="V456" s="912">
        <v>200647</v>
      </c>
    </row>
    <row r="457" spans="1:22" x14ac:dyDescent="0.25">
      <c r="A457" s="906">
        <v>94801</v>
      </c>
      <c r="B457" s="907" t="s">
        <v>3017</v>
      </c>
      <c r="C457" s="908">
        <v>7.6539999999999996E-4</v>
      </c>
      <c r="D457" s="908">
        <v>7.425E-4</v>
      </c>
      <c r="E457" s="909">
        <v>315764</v>
      </c>
      <c r="F457" s="909">
        <v>333230</v>
      </c>
      <c r="G457" s="909">
        <v>1624435</v>
      </c>
      <c r="H457" s="909"/>
      <c r="I457" s="910">
        <v>30520</v>
      </c>
      <c r="J457" s="910">
        <v>1423523</v>
      </c>
      <c r="K457" s="910">
        <v>111259</v>
      </c>
      <c r="L457" s="909">
        <v>62992</v>
      </c>
      <c r="M457" s="909"/>
      <c r="N457" s="910">
        <v>56922</v>
      </c>
      <c r="O457" s="910">
        <v>525415</v>
      </c>
      <c r="P457" s="910">
        <v>0</v>
      </c>
      <c r="Q457" s="909">
        <v>0</v>
      </c>
      <c r="R457" s="910">
        <f t="shared" si="7"/>
        <v>898108</v>
      </c>
      <c r="S457" s="909"/>
      <c r="T457" s="910">
        <v>434188</v>
      </c>
      <c r="U457" s="912">
        <v>22612</v>
      </c>
      <c r="V457" s="912">
        <v>456800</v>
      </c>
    </row>
    <row r="458" spans="1:22" x14ac:dyDescent="0.25">
      <c r="A458" s="906">
        <v>94804</v>
      </c>
      <c r="B458" s="907" t="s">
        <v>3018</v>
      </c>
      <c r="C458" s="908">
        <v>3.8E-6</v>
      </c>
      <c r="D458" s="908">
        <v>5.5999999999999997E-6</v>
      </c>
      <c r="E458" s="909">
        <v>2421</v>
      </c>
      <c r="F458" s="909">
        <v>2513</v>
      </c>
      <c r="G458" s="909">
        <v>8065</v>
      </c>
      <c r="H458" s="909"/>
      <c r="I458" s="910">
        <v>151.52500000000001</v>
      </c>
      <c r="J458" s="910">
        <v>7067</v>
      </c>
      <c r="K458" s="910">
        <v>552</v>
      </c>
      <c r="L458" s="909">
        <v>3516</v>
      </c>
      <c r="M458" s="909"/>
      <c r="N458" s="910">
        <v>283</v>
      </c>
      <c r="O458" s="910">
        <v>2609</v>
      </c>
      <c r="P458" s="910">
        <v>0</v>
      </c>
      <c r="Q458" s="909">
        <v>294</v>
      </c>
      <c r="R458" s="910">
        <f t="shared" si="7"/>
        <v>4458</v>
      </c>
      <c r="S458" s="909"/>
      <c r="T458" s="910">
        <v>2156</v>
      </c>
      <c r="U458" s="912">
        <v>1680</v>
      </c>
      <c r="V458" s="912">
        <v>3836</v>
      </c>
    </row>
    <row r="459" spans="1:22" x14ac:dyDescent="0.25">
      <c r="A459" s="906">
        <v>94812</v>
      </c>
      <c r="B459" s="907" t="s">
        <v>3019</v>
      </c>
      <c r="C459" s="908">
        <v>3.3500000000000001E-5</v>
      </c>
      <c r="D459" s="908">
        <v>2.8200000000000001E-5</v>
      </c>
      <c r="E459" s="909">
        <v>17637</v>
      </c>
      <c r="F459" s="909">
        <v>12656</v>
      </c>
      <c r="G459" s="909">
        <v>71098</v>
      </c>
      <c r="H459" s="909"/>
      <c r="I459" s="910">
        <v>1335.8125</v>
      </c>
      <c r="J459" s="910">
        <v>62305</v>
      </c>
      <c r="K459" s="910">
        <v>4870</v>
      </c>
      <c r="L459" s="909">
        <v>10393</v>
      </c>
      <c r="M459" s="909"/>
      <c r="N459" s="910">
        <v>2491</v>
      </c>
      <c r="O459" s="910">
        <v>22996</v>
      </c>
      <c r="P459" s="910">
        <v>0</v>
      </c>
      <c r="Q459" s="909">
        <v>0</v>
      </c>
      <c r="R459" s="910">
        <f t="shared" si="7"/>
        <v>39309</v>
      </c>
      <c r="S459" s="909"/>
      <c r="T459" s="910">
        <v>19004</v>
      </c>
      <c r="U459" s="912">
        <v>3222</v>
      </c>
      <c r="V459" s="912">
        <v>22225</v>
      </c>
    </row>
    <row r="460" spans="1:22" x14ac:dyDescent="0.25">
      <c r="A460" s="906">
        <v>94901</v>
      </c>
      <c r="B460" s="907" t="s">
        <v>3020</v>
      </c>
      <c r="C460" s="908">
        <v>7.0014999999999999E-3</v>
      </c>
      <c r="D460" s="908">
        <v>6.6921999999999997E-3</v>
      </c>
      <c r="E460" s="909">
        <v>2681224</v>
      </c>
      <c r="F460" s="909">
        <v>3003419</v>
      </c>
      <c r="G460" s="909">
        <v>14859529</v>
      </c>
      <c r="H460" s="909"/>
      <c r="I460" s="910">
        <v>279185</v>
      </c>
      <c r="J460" s="910">
        <v>13021684</v>
      </c>
      <c r="K460" s="910">
        <v>1017745</v>
      </c>
      <c r="L460" s="909">
        <v>28689</v>
      </c>
      <c r="M460" s="909"/>
      <c r="N460" s="910">
        <v>520695</v>
      </c>
      <c r="O460" s="910">
        <v>4806236</v>
      </c>
      <c r="P460" s="910">
        <v>0</v>
      </c>
      <c r="Q460" s="909">
        <v>82188</v>
      </c>
      <c r="R460" s="910">
        <f t="shared" si="7"/>
        <v>8215448</v>
      </c>
      <c r="S460" s="909"/>
      <c r="T460" s="910">
        <v>3971734</v>
      </c>
      <c r="U460" s="912">
        <v>-17216</v>
      </c>
      <c r="V460" s="912">
        <v>3954518</v>
      </c>
    </row>
    <row r="461" spans="1:22" x14ac:dyDescent="0.25">
      <c r="A461" s="906">
        <v>94908</v>
      </c>
      <c r="B461" s="907" t="s">
        <v>3021</v>
      </c>
      <c r="C461" s="908">
        <v>3.9799999999999998E-5</v>
      </c>
      <c r="D461" s="908">
        <v>4.2799999999999997E-5</v>
      </c>
      <c r="E461" s="909">
        <v>16384</v>
      </c>
      <c r="F461" s="909">
        <v>19208</v>
      </c>
      <c r="G461" s="909">
        <v>84469</v>
      </c>
      <c r="H461" s="909"/>
      <c r="I461" s="910">
        <v>1587</v>
      </c>
      <c r="J461" s="910">
        <v>74022</v>
      </c>
      <c r="K461" s="910">
        <v>5785</v>
      </c>
      <c r="L461" s="909">
        <v>0</v>
      </c>
      <c r="M461" s="909"/>
      <c r="N461" s="910">
        <v>2960</v>
      </c>
      <c r="O461" s="910">
        <v>27321</v>
      </c>
      <c r="P461" s="910">
        <v>0</v>
      </c>
      <c r="Q461" s="909">
        <v>5878</v>
      </c>
      <c r="R461" s="910">
        <f t="shared" si="7"/>
        <v>46701</v>
      </c>
      <c r="S461" s="909"/>
      <c r="T461" s="910">
        <v>22577</v>
      </c>
      <c r="U461" s="912">
        <v>-2269</v>
      </c>
      <c r="V461" s="912">
        <v>20308</v>
      </c>
    </row>
    <row r="462" spans="1:22" x14ac:dyDescent="0.25">
      <c r="A462" s="906">
        <v>94911</v>
      </c>
      <c r="B462" s="907" t="s">
        <v>3022</v>
      </c>
      <c r="C462" s="908">
        <v>2.7745999999999999E-3</v>
      </c>
      <c r="D462" s="908">
        <v>2.8086000000000001E-3</v>
      </c>
      <c r="E462" s="909">
        <v>1108370.94</v>
      </c>
      <c r="F462" s="909">
        <v>1260483</v>
      </c>
      <c r="G462" s="909">
        <v>5888631</v>
      </c>
      <c r="H462" s="909"/>
      <c r="I462" s="910">
        <v>110637</v>
      </c>
      <c r="J462" s="910">
        <v>5160318</v>
      </c>
      <c r="K462" s="910">
        <v>403319</v>
      </c>
      <c r="L462" s="909">
        <v>7508</v>
      </c>
      <c r="M462" s="909"/>
      <c r="N462" s="910">
        <v>206344</v>
      </c>
      <c r="O462" s="910">
        <v>1904646</v>
      </c>
      <c r="P462" s="910">
        <v>0</v>
      </c>
      <c r="Q462" s="909">
        <v>58992</v>
      </c>
      <c r="R462" s="910">
        <f t="shared" si="7"/>
        <v>3255672</v>
      </c>
      <c r="S462" s="909"/>
      <c r="T462" s="910">
        <v>1573945</v>
      </c>
      <c r="U462" s="912">
        <v>-16182</v>
      </c>
      <c r="V462" s="912">
        <v>1557762</v>
      </c>
    </row>
    <row r="463" spans="1:22" x14ac:dyDescent="0.25">
      <c r="A463" s="906">
        <v>94917</v>
      </c>
      <c r="B463" s="907" t="s">
        <v>3023</v>
      </c>
      <c r="C463" s="908">
        <v>3.7400000000000001E-5</v>
      </c>
      <c r="D463" s="908">
        <v>4.0399999999999999E-5</v>
      </c>
      <c r="E463" s="909">
        <v>24113.03</v>
      </c>
      <c r="F463" s="909">
        <v>18131</v>
      </c>
      <c r="G463" s="909">
        <v>79375</v>
      </c>
      <c r="H463" s="909"/>
      <c r="I463" s="910">
        <v>1491.325</v>
      </c>
      <c r="J463" s="910">
        <v>69558</v>
      </c>
      <c r="K463" s="910">
        <v>5437</v>
      </c>
      <c r="L463" s="909">
        <v>14598</v>
      </c>
      <c r="M463" s="909"/>
      <c r="N463" s="910">
        <v>2781</v>
      </c>
      <c r="O463" s="910">
        <v>25674</v>
      </c>
      <c r="P463" s="910">
        <v>0</v>
      </c>
      <c r="Q463" s="909">
        <v>0</v>
      </c>
      <c r="R463" s="910">
        <f t="shared" si="7"/>
        <v>43884</v>
      </c>
      <c r="S463" s="909"/>
      <c r="T463" s="910">
        <v>21216</v>
      </c>
      <c r="U463" s="912">
        <v>5296</v>
      </c>
      <c r="V463" s="912">
        <v>26512</v>
      </c>
    </row>
    <row r="464" spans="1:22" x14ac:dyDescent="0.25">
      <c r="A464" s="906">
        <v>94921</v>
      </c>
      <c r="B464" s="907" t="s">
        <v>3024</v>
      </c>
      <c r="C464" s="908">
        <v>3.7063E-3</v>
      </c>
      <c r="D464" s="908">
        <v>4.0699999999999998E-3</v>
      </c>
      <c r="E464" s="909">
        <v>1372917.85</v>
      </c>
      <c r="F464" s="909">
        <v>1826592</v>
      </c>
      <c r="G464" s="909">
        <v>7866010</v>
      </c>
      <c r="H464" s="909"/>
      <c r="I464" s="910">
        <v>147789</v>
      </c>
      <c r="J464" s="910">
        <v>6893132</v>
      </c>
      <c r="K464" s="910">
        <v>538751</v>
      </c>
      <c r="L464" s="909">
        <v>0</v>
      </c>
      <c r="M464" s="909"/>
      <c r="N464" s="910">
        <v>275634</v>
      </c>
      <c r="O464" s="910">
        <v>2544219</v>
      </c>
      <c r="P464" s="910">
        <v>0</v>
      </c>
      <c r="Q464" s="909">
        <v>505665</v>
      </c>
      <c r="R464" s="910">
        <f t="shared" si="7"/>
        <v>4348913</v>
      </c>
      <c r="S464" s="909"/>
      <c r="T464" s="910">
        <v>2102469</v>
      </c>
      <c r="U464" s="912">
        <v>-155426</v>
      </c>
      <c r="V464" s="912">
        <v>1947043</v>
      </c>
    </row>
    <row r="465" spans="1:22" x14ac:dyDescent="0.25">
      <c r="A465" s="906">
        <v>94923</v>
      </c>
      <c r="B465" s="907" t="s">
        <v>3025</v>
      </c>
      <c r="C465" s="908">
        <v>2.4499999999999999E-5</v>
      </c>
      <c r="D465" s="908">
        <v>2.9300000000000001E-5</v>
      </c>
      <c r="E465" s="909">
        <v>14094</v>
      </c>
      <c r="F465" s="909">
        <v>13150</v>
      </c>
      <c r="G465" s="909">
        <v>51997</v>
      </c>
      <c r="H465" s="909"/>
      <c r="I465" s="910">
        <v>976.9375</v>
      </c>
      <c r="J465" s="910">
        <v>45566</v>
      </c>
      <c r="K465" s="910">
        <v>3561</v>
      </c>
      <c r="L465" s="909">
        <v>1458</v>
      </c>
      <c r="M465" s="909"/>
      <c r="N465" s="910">
        <v>1822</v>
      </c>
      <c r="O465" s="910">
        <v>16818</v>
      </c>
      <c r="P465" s="910">
        <v>0</v>
      </c>
      <c r="Q465" s="909">
        <v>173</v>
      </c>
      <c r="R465" s="910">
        <f t="shared" si="7"/>
        <v>28748</v>
      </c>
      <c r="S465" s="909"/>
      <c r="T465" s="910">
        <v>13898</v>
      </c>
      <c r="U465" s="912">
        <v>373</v>
      </c>
      <c r="V465" s="912">
        <v>14272</v>
      </c>
    </row>
    <row r="466" spans="1:22" x14ac:dyDescent="0.25">
      <c r="A466" s="906">
        <v>94927</v>
      </c>
      <c r="B466" s="907" t="s">
        <v>3026</v>
      </c>
      <c r="C466" s="908">
        <v>3.3899999999999997E-5</v>
      </c>
      <c r="D466" s="908">
        <v>3.2700000000000002E-5</v>
      </c>
      <c r="E466" s="909">
        <v>16597.12</v>
      </c>
      <c r="F466" s="909">
        <v>14676</v>
      </c>
      <c r="G466" s="909">
        <v>71947</v>
      </c>
      <c r="H466" s="909"/>
      <c r="I466" s="910">
        <v>1352</v>
      </c>
      <c r="J466" s="910">
        <v>63049</v>
      </c>
      <c r="K466" s="910">
        <v>4928</v>
      </c>
      <c r="L466" s="909">
        <v>3081</v>
      </c>
      <c r="M466" s="909"/>
      <c r="N466" s="910">
        <v>2521</v>
      </c>
      <c r="O466" s="910">
        <v>23271</v>
      </c>
      <c r="P466" s="910">
        <v>0</v>
      </c>
      <c r="Q466" s="909">
        <v>52</v>
      </c>
      <c r="R466" s="910">
        <f t="shared" si="7"/>
        <v>39778</v>
      </c>
      <c r="S466" s="909"/>
      <c r="T466" s="910">
        <v>19230</v>
      </c>
      <c r="U466" s="912">
        <v>803</v>
      </c>
      <c r="V466" s="912">
        <v>20033</v>
      </c>
    </row>
    <row r="467" spans="1:22" x14ac:dyDescent="0.25">
      <c r="A467" s="906">
        <v>94931</v>
      </c>
      <c r="B467" s="907" t="s">
        <v>3027</v>
      </c>
      <c r="C467" s="908">
        <v>2.1130000000000001E-4</v>
      </c>
      <c r="D467" s="908">
        <v>2.4020000000000001E-4</v>
      </c>
      <c r="E467" s="909">
        <v>88195.43</v>
      </c>
      <c r="F467" s="909">
        <v>107800</v>
      </c>
      <c r="G467" s="909">
        <v>448449</v>
      </c>
      <c r="H467" s="909"/>
      <c r="I467" s="910">
        <v>8426</v>
      </c>
      <c r="J467" s="910">
        <v>392985</v>
      </c>
      <c r="K467" s="910">
        <v>30715</v>
      </c>
      <c r="L467" s="909">
        <v>0</v>
      </c>
      <c r="M467" s="909"/>
      <c r="N467" s="910">
        <v>15714</v>
      </c>
      <c r="O467" s="910">
        <v>145049</v>
      </c>
      <c r="P467" s="910">
        <v>0</v>
      </c>
      <c r="Q467" s="909">
        <v>23880</v>
      </c>
      <c r="R467" s="910">
        <f t="shared" si="7"/>
        <v>247936</v>
      </c>
      <c r="S467" s="909"/>
      <c r="T467" s="910">
        <v>119864</v>
      </c>
      <c r="U467" s="912">
        <v>-8140</v>
      </c>
      <c r="V467" s="912">
        <v>111724</v>
      </c>
    </row>
    <row r="468" spans="1:22" x14ac:dyDescent="0.25">
      <c r="A468" s="906">
        <v>94941</v>
      </c>
      <c r="B468" s="907" t="s">
        <v>3028</v>
      </c>
      <c r="C468" s="908">
        <v>5.2959999999999997E-4</v>
      </c>
      <c r="D468" s="908">
        <v>5.0549999999999998E-4</v>
      </c>
      <c r="E468" s="909">
        <v>202001.05</v>
      </c>
      <c r="F468" s="909">
        <v>226865</v>
      </c>
      <c r="G468" s="909">
        <v>1123989</v>
      </c>
      <c r="H468" s="909"/>
      <c r="I468" s="910">
        <v>21117.8</v>
      </c>
      <c r="J468" s="910">
        <v>984972</v>
      </c>
      <c r="K468" s="910">
        <v>76983</v>
      </c>
      <c r="L468" s="909">
        <v>96457</v>
      </c>
      <c r="M468" s="909"/>
      <c r="N468" s="910">
        <v>39386</v>
      </c>
      <c r="O468" s="910">
        <v>363548</v>
      </c>
      <c r="P468" s="910">
        <v>0</v>
      </c>
      <c r="Q468" s="909">
        <v>0</v>
      </c>
      <c r="R468" s="910">
        <f t="shared" si="7"/>
        <v>621424</v>
      </c>
      <c r="S468" s="909"/>
      <c r="T468" s="910">
        <v>300426</v>
      </c>
      <c r="U468" s="912">
        <v>42457</v>
      </c>
      <c r="V468" s="912">
        <v>342883</v>
      </c>
    </row>
    <row r="469" spans="1:22" x14ac:dyDescent="0.25">
      <c r="A469" s="906">
        <v>95001</v>
      </c>
      <c r="B469" s="907" t="s">
        <v>3029</v>
      </c>
      <c r="C469" s="908">
        <v>2.3779000000000001E-3</v>
      </c>
      <c r="D469" s="908">
        <v>2.3674E-3</v>
      </c>
      <c r="E469" s="909">
        <v>1026879.06</v>
      </c>
      <c r="F469" s="909">
        <v>1062475</v>
      </c>
      <c r="G469" s="909">
        <v>5046700</v>
      </c>
      <c r="H469" s="909"/>
      <c r="I469" s="910">
        <v>94819</v>
      </c>
      <c r="J469" s="910">
        <v>4422518</v>
      </c>
      <c r="K469" s="910">
        <v>345654</v>
      </c>
      <c r="L469" s="909">
        <v>86860</v>
      </c>
      <c r="M469" s="909"/>
      <c r="N469" s="910">
        <v>176842</v>
      </c>
      <c r="O469" s="910">
        <v>1632328</v>
      </c>
      <c r="P469" s="910">
        <v>0</v>
      </c>
      <c r="Q469" s="909">
        <v>8022</v>
      </c>
      <c r="R469" s="910">
        <f t="shared" si="7"/>
        <v>2790190</v>
      </c>
      <c r="S469" s="909"/>
      <c r="T469" s="910">
        <v>1348909</v>
      </c>
      <c r="U469" s="912">
        <v>22510</v>
      </c>
      <c r="V469" s="912">
        <v>1371419</v>
      </c>
    </row>
    <row r="470" spans="1:22" x14ac:dyDescent="0.25">
      <c r="A470" s="906">
        <v>95002</v>
      </c>
      <c r="B470" s="907" t="s">
        <v>3030</v>
      </c>
      <c r="C470" s="908">
        <v>2.0120000000000001E-4</v>
      </c>
      <c r="D470" s="908">
        <v>1.919E-4</v>
      </c>
      <c r="E470" s="909">
        <v>91760.39</v>
      </c>
      <c r="F470" s="909">
        <v>86124</v>
      </c>
      <c r="G470" s="909">
        <v>427014</v>
      </c>
      <c r="H470" s="909"/>
      <c r="I470" s="910">
        <v>8022.85</v>
      </c>
      <c r="J470" s="910">
        <v>374200</v>
      </c>
      <c r="K470" s="910">
        <v>29247</v>
      </c>
      <c r="L470" s="909">
        <v>17432</v>
      </c>
      <c r="M470" s="909"/>
      <c r="N470" s="910">
        <v>14963</v>
      </c>
      <c r="O470" s="910">
        <v>138115</v>
      </c>
      <c r="P470" s="910">
        <v>0</v>
      </c>
      <c r="Q470" s="909">
        <v>0</v>
      </c>
      <c r="R470" s="910">
        <f t="shared" si="7"/>
        <v>236085</v>
      </c>
      <c r="S470" s="909"/>
      <c r="T470" s="910">
        <v>114135</v>
      </c>
      <c r="U470" s="912">
        <v>5391</v>
      </c>
      <c r="V470" s="912">
        <v>119526</v>
      </c>
    </row>
    <row r="471" spans="1:22" x14ac:dyDescent="0.25">
      <c r="A471" s="906">
        <v>95005</v>
      </c>
      <c r="B471" s="907" t="s">
        <v>3031</v>
      </c>
      <c r="C471" s="908">
        <v>2.3829999999999999E-4</v>
      </c>
      <c r="D471" s="908">
        <v>2.4499999999999999E-4</v>
      </c>
      <c r="E471" s="909">
        <v>102067</v>
      </c>
      <c r="F471" s="909">
        <v>109954.53</v>
      </c>
      <c r="G471" s="909">
        <v>505752</v>
      </c>
      <c r="H471" s="909"/>
      <c r="I471" s="910">
        <v>9502</v>
      </c>
      <c r="J471" s="910">
        <v>443200</v>
      </c>
      <c r="K471" s="910">
        <v>34640</v>
      </c>
      <c r="L471" s="909">
        <v>23207</v>
      </c>
      <c r="M471" s="909"/>
      <c r="N471" s="910">
        <v>17722</v>
      </c>
      <c r="O471" s="910">
        <v>163583</v>
      </c>
      <c r="P471" s="910">
        <v>0</v>
      </c>
      <c r="Q471" s="909">
        <v>399</v>
      </c>
      <c r="R471" s="910">
        <f t="shared" si="7"/>
        <v>279617</v>
      </c>
      <c r="S471" s="909"/>
      <c r="T471" s="910">
        <v>135180</v>
      </c>
      <c r="U471" s="912">
        <v>9376</v>
      </c>
      <c r="V471" s="912">
        <v>144556</v>
      </c>
    </row>
    <row r="472" spans="1:22" x14ac:dyDescent="0.25">
      <c r="A472" s="906">
        <v>95008</v>
      </c>
      <c r="B472" s="907" t="s">
        <v>3032</v>
      </c>
      <c r="C472" s="908">
        <v>1.169E-4</v>
      </c>
      <c r="D472" s="908">
        <v>1.3669999999999999E-4</v>
      </c>
      <c r="E472" s="909">
        <v>50977.440000000002</v>
      </c>
      <c r="F472" s="909">
        <v>61350</v>
      </c>
      <c r="G472" s="909">
        <v>248101</v>
      </c>
      <c r="H472" s="909"/>
      <c r="I472" s="910">
        <v>4661</v>
      </c>
      <c r="J472" s="910">
        <v>217416</v>
      </c>
      <c r="K472" s="910">
        <v>16993</v>
      </c>
      <c r="L472" s="909">
        <v>21945</v>
      </c>
      <c r="M472" s="909"/>
      <c r="N472" s="910">
        <v>8694</v>
      </c>
      <c r="O472" s="910">
        <v>80247</v>
      </c>
      <c r="P472" s="910">
        <v>0</v>
      </c>
      <c r="Q472" s="909">
        <v>8420</v>
      </c>
      <c r="R472" s="910">
        <f t="shared" si="7"/>
        <v>137169</v>
      </c>
      <c r="S472" s="909"/>
      <c r="T472" s="910">
        <v>66314</v>
      </c>
      <c r="U472" s="912">
        <v>7393</v>
      </c>
      <c r="V472" s="912">
        <v>73707</v>
      </c>
    </row>
    <row r="473" spans="1:22" x14ac:dyDescent="0.25">
      <c r="A473" s="906">
        <v>95009</v>
      </c>
      <c r="B473" s="907" t="s">
        <v>3033</v>
      </c>
      <c r="C473" s="908">
        <v>3.9902000000000002E-3</v>
      </c>
      <c r="D473" s="908">
        <v>3.614E-3</v>
      </c>
      <c r="E473" s="909">
        <v>1651705</v>
      </c>
      <c r="F473" s="909">
        <v>1621942</v>
      </c>
      <c r="G473" s="909">
        <v>8468541</v>
      </c>
      <c r="H473" s="909"/>
      <c r="I473" s="910">
        <v>159109</v>
      </c>
      <c r="J473" s="910">
        <v>7421142</v>
      </c>
      <c r="K473" s="910">
        <v>580019</v>
      </c>
      <c r="L473" s="909">
        <v>1306132</v>
      </c>
      <c r="M473" s="909"/>
      <c r="N473" s="910">
        <v>296747</v>
      </c>
      <c r="O473" s="910">
        <v>2739105</v>
      </c>
      <c r="P473" s="910">
        <v>0</v>
      </c>
      <c r="Q473" s="909">
        <v>0</v>
      </c>
      <c r="R473" s="910">
        <f t="shared" si="7"/>
        <v>4682037</v>
      </c>
      <c r="S473" s="909"/>
      <c r="T473" s="910">
        <v>2263517</v>
      </c>
      <c r="U473" s="912">
        <v>547444</v>
      </c>
      <c r="V473" s="912">
        <v>2810961</v>
      </c>
    </row>
    <row r="474" spans="1:22" x14ac:dyDescent="0.25">
      <c r="A474" s="906">
        <v>95011</v>
      </c>
      <c r="B474" s="907" t="s">
        <v>3034</v>
      </c>
      <c r="C474" s="908">
        <v>1.707E-4</v>
      </c>
      <c r="D474" s="908">
        <v>1.8760000000000001E-4</v>
      </c>
      <c r="E474" s="909">
        <v>71948</v>
      </c>
      <c r="F474" s="909">
        <v>84194</v>
      </c>
      <c r="G474" s="909">
        <v>362283</v>
      </c>
      <c r="H474" s="909"/>
      <c r="I474" s="910">
        <v>6807</v>
      </c>
      <c r="J474" s="910">
        <v>317475</v>
      </c>
      <c r="K474" s="910">
        <v>24813</v>
      </c>
      <c r="L474" s="909">
        <v>0</v>
      </c>
      <c r="M474" s="909"/>
      <c r="N474" s="910">
        <v>12695</v>
      </c>
      <c r="O474" s="910">
        <v>117178</v>
      </c>
      <c r="P474" s="910">
        <v>0</v>
      </c>
      <c r="Q474" s="909">
        <v>13568</v>
      </c>
      <c r="R474" s="910">
        <f t="shared" si="7"/>
        <v>200297</v>
      </c>
      <c r="S474" s="909"/>
      <c r="T474" s="910">
        <v>96833</v>
      </c>
      <c r="U474" s="912">
        <v>-4659</v>
      </c>
      <c r="V474" s="912">
        <v>92174</v>
      </c>
    </row>
    <row r="475" spans="1:22" x14ac:dyDescent="0.25">
      <c r="A475" s="906">
        <v>95017</v>
      </c>
      <c r="B475" s="907" t="s">
        <v>3035</v>
      </c>
      <c r="C475" s="908">
        <v>3.5800000000000003E-5</v>
      </c>
      <c r="D475" s="908">
        <v>3.9900000000000001E-5</v>
      </c>
      <c r="E475" s="909">
        <v>21743.88</v>
      </c>
      <c r="F475" s="909">
        <v>17907</v>
      </c>
      <c r="G475" s="909">
        <v>75980</v>
      </c>
      <c r="H475" s="909"/>
      <c r="I475" s="910">
        <v>1427.5250000000001</v>
      </c>
      <c r="J475" s="910">
        <v>66582</v>
      </c>
      <c r="K475" s="910">
        <v>5204</v>
      </c>
      <c r="L475" s="909">
        <v>20942</v>
      </c>
      <c r="M475" s="909"/>
      <c r="N475" s="910">
        <v>2662</v>
      </c>
      <c r="O475" s="910">
        <v>24575</v>
      </c>
      <c r="P475" s="910">
        <v>0</v>
      </c>
      <c r="Q475" s="909">
        <v>0</v>
      </c>
      <c r="R475" s="910">
        <f t="shared" si="7"/>
        <v>42007</v>
      </c>
      <c r="S475" s="909"/>
      <c r="T475" s="910">
        <v>20308</v>
      </c>
      <c r="U475" s="912">
        <v>7629</v>
      </c>
      <c r="V475" s="912">
        <v>27937</v>
      </c>
    </row>
    <row r="476" spans="1:22" x14ac:dyDescent="0.25">
      <c r="A476" s="906">
        <v>95101</v>
      </c>
      <c r="B476" s="907" t="s">
        <v>3036</v>
      </c>
      <c r="C476" s="908">
        <v>8.0955999999999997E-3</v>
      </c>
      <c r="D476" s="908">
        <v>7.8796000000000005E-3</v>
      </c>
      <c r="E476" s="909">
        <v>3063500.72</v>
      </c>
      <c r="F476" s="909">
        <v>3536317</v>
      </c>
      <c r="G476" s="909">
        <v>17181575</v>
      </c>
      <c r="H476" s="909"/>
      <c r="I476" s="910">
        <v>322812.05</v>
      </c>
      <c r="J476" s="910">
        <v>15056537</v>
      </c>
      <c r="K476" s="910">
        <v>1176785</v>
      </c>
      <c r="L476" s="909">
        <v>77016</v>
      </c>
      <c r="M476" s="909"/>
      <c r="N476" s="910">
        <v>602062</v>
      </c>
      <c r="O476" s="910">
        <v>5557289</v>
      </c>
      <c r="P476" s="910">
        <v>0</v>
      </c>
      <c r="Q476" s="909">
        <v>94065</v>
      </c>
      <c r="R476" s="910">
        <f t="shared" si="7"/>
        <v>9499248</v>
      </c>
      <c r="S476" s="909"/>
      <c r="T476" s="910">
        <v>4592383</v>
      </c>
      <c r="U476" s="912">
        <v>13084</v>
      </c>
      <c r="V476" s="912">
        <v>4605467</v>
      </c>
    </row>
    <row r="477" spans="1:22" x14ac:dyDescent="0.25">
      <c r="A477" s="906">
        <v>95103</v>
      </c>
      <c r="B477" s="907" t="s">
        <v>3037</v>
      </c>
      <c r="C477" s="908">
        <v>6.02E-5</v>
      </c>
      <c r="D477" s="908">
        <v>5.91E-5</v>
      </c>
      <c r="E477" s="909">
        <v>34084</v>
      </c>
      <c r="F477" s="909">
        <v>26524</v>
      </c>
      <c r="G477" s="909">
        <v>127765</v>
      </c>
      <c r="H477" s="909"/>
      <c r="I477" s="910">
        <v>2400.4749999999999</v>
      </c>
      <c r="J477" s="910">
        <v>111962</v>
      </c>
      <c r="K477" s="910">
        <v>8751</v>
      </c>
      <c r="L477" s="909">
        <v>41064</v>
      </c>
      <c r="M477" s="909"/>
      <c r="N477" s="910">
        <v>4477</v>
      </c>
      <c r="O477" s="910">
        <v>41325</v>
      </c>
      <c r="P477" s="910">
        <v>0</v>
      </c>
      <c r="Q477" s="909">
        <v>0</v>
      </c>
      <c r="R477" s="910">
        <f t="shared" si="7"/>
        <v>70637</v>
      </c>
      <c r="S477" s="909"/>
      <c r="T477" s="910">
        <v>34150</v>
      </c>
      <c r="U477" s="912">
        <v>17815</v>
      </c>
      <c r="V477" s="912">
        <v>51965</v>
      </c>
    </row>
    <row r="478" spans="1:22" x14ac:dyDescent="0.25">
      <c r="A478" s="906">
        <v>95104</v>
      </c>
      <c r="B478" s="907" t="s">
        <v>3038</v>
      </c>
      <c r="C478" s="908">
        <v>1.011E-4</v>
      </c>
      <c r="D478" s="908">
        <v>1.022E-4</v>
      </c>
      <c r="E478" s="909">
        <v>48495.61</v>
      </c>
      <c r="F478" s="909">
        <v>45867</v>
      </c>
      <c r="G478" s="909">
        <v>214568</v>
      </c>
      <c r="H478" s="909"/>
      <c r="I478" s="910">
        <v>4031</v>
      </c>
      <c r="J478" s="910">
        <v>188030</v>
      </c>
      <c r="K478" s="910">
        <v>14696</v>
      </c>
      <c r="L478" s="909">
        <v>18344</v>
      </c>
      <c r="M478" s="909"/>
      <c r="N478" s="910">
        <v>7519</v>
      </c>
      <c r="O478" s="910">
        <v>69401</v>
      </c>
      <c r="P478" s="910">
        <v>0</v>
      </c>
      <c r="Q478" s="909">
        <v>0</v>
      </c>
      <c r="R478" s="910">
        <f t="shared" si="7"/>
        <v>118629</v>
      </c>
      <c r="S478" s="909"/>
      <c r="T478" s="910">
        <v>57351</v>
      </c>
      <c r="U478" s="912">
        <v>6442</v>
      </c>
      <c r="V478" s="912">
        <v>63793</v>
      </c>
    </row>
    <row r="479" spans="1:22" x14ac:dyDescent="0.25">
      <c r="A479" s="906">
        <v>95105</v>
      </c>
      <c r="B479" s="907" t="s">
        <v>3039</v>
      </c>
      <c r="C479" s="908">
        <v>6.3700000000000003E-5</v>
      </c>
      <c r="D479" s="908">
        <v>6.2199999999999994E-5</v>
      </c>
      <c r="E479" s="909">
        <v>28734</v>
      </c>
      <c r="F479" s="909">
        <v>27915</v>
      </c>
      <c r="G479" s="909">
        <v>135193</v>
      </c>
      <c r="H479" s="909"/>
      <c r="I479" s="910">
        <v>2540</v>
      </c>
      <c r="J479" s="910">
        <v>118472</v>
      </c>
      <c r="K479" s="910">
        <v>9259</v>
      </c>
      <c r="L479" s="909">
        <v>9013</v>
      </c>
      <c r="M479" s="909"/>
      <c r="N479" s="910">
        <v>4737</v>
      </c>
      <c r="O479" s="910">
        <v>43727</v>
      </c>
      <c r="P479" s="910">
        <v>0</v>
      </c>
      <c r="Q479" s="909">
        <v>0</v>
      </c>
      <c r="R479" s="910">
        <f t="shared" si="7"/>
        <v>74745</v>
      </c>
      <c r="S479" s="909"/>
      <c r="T479" s="910">
        <v>36135</v>
      </c>
      <c r="U479" s="912">
        <v>3391</v>
      </c>
      <c r="V479" s="912">
        <v>39526</v>
      </c>
    </row>
    <row r="480" spans="1:22" x14ac:dyDescent="0.25">
      <c r="A480" s="906">
        <v>95106</v>
      </c>
      <c r="B480" s="907" t="s">
        <v>3040</v>
      </c>
      <c r="C480" s="908">
        <v>1.3900000000000001E-5</v>
      </c>
      <c r="D480" s="908">
        <v>5.9000000000000003E-6</v>
      </c>
      <c r="E480" s="909">
        <v>4209.76</v>
      </c>
      <c r="F480" s="909">
        <v>2648</v>
      </c>
      <c r="G480" s="909">
        <v>29500</v>
      </c>
      <c r="H480" s="909"/>
      <c r="I480" s="910">
        <v>554</v>
      </c>
      <c r="J480" s="910">
        <v>25852</v>
      </c>
      <c r="K480" s="910">
        <v>2021</v>
      </c>
      <c r="L480" s="909">
        <v>7510</v>
      </c>
      <c r="M480" s="909"/>
      <c r="N480" s="910">
        <v>1034</v>
      </c>
      <c r="O480" s="910">
        <v>9542</v>
      </c>
      <c r="P480" s="910">
        <v>0</v>
      </c>
      <c r="Q480" s="909">
        <v>0</v>
      </c>
      <c r="R480" s="910">
        <f t="shared" si="7"/>
        <v>16310</v>
      </c>
      <c r="S480" s="909"/>
      <c r="T480" s="910">
        <v>7885</v>
      </c>
      <c r="U480" s="912">
        <v>2593</v>
      </c>
      <c r="V480" s="912">
        <v>10478</v>
      </c>
    </row>
    <row r="481" spans="1:22" x14ac:dyDescent="0.25">
      <c r="A481" s="906">
        <v>95110</v>
      </c>
      <c r="B481" s="907" t="s">
        <v>3041</v>
      </c>
      <c r="C481" s="908">
        <v>4.4609000000000003E-3</v>
      </c>
      <c r="D481" s="908">
        <v>5.5170000000000002E-3</v>
      </c>
      <c r="E481" s="909">
        <v>1868606.24</v>
      </c>
      <c r="F481" s="909">
        <v>2475996</v>
      </c>
      <c r="G481" s="909">
        <v>9467524</v>
      </c>
      <c r="H481" s="909"/>
      <c r="I481" s="910">
        <v>177878</v>
      </c>
      <c r="J481" s="910">
        <v>8296569</v>
      </c>
      <c r="K481" s="910">
        <v>648441</v>
      </c>
      <c r="L481" s="909">
        <v>0</v>
      </c>
      <c r="M481" s="909"/>
      <c r="N481" s="910">
        <v>331753</v>
      </c>
      <c r="O481" s="910">
        <v>3062220</v>
      </c>
      <c r="P481" s="910">
        <v>0</v>
      </c>
      <c r="Q481" s="909">
        <v>1586204</v>
      </c>
      <c r="R481" s="910">
        <f t="shared" si="7"/>
        <v>5234349</v>
      </c>
      <c r="S481" s="909"/>
      <c r="T481" s="910">
        <v>2530530</v>
      </c>
      <c r="U481" s="912">
        <v>-606775</v>
      </c>
      <c r="V481" s="912">
        <v>1923756</v>
      </c>
    </row>
    <row r="482" spans="1:22" x14ac:dyDescent="0.25">
      <c r="A482" s="906">
        <v>95111</v>
      </c>
      <c r="B482" s="907" t="s">
        <v>3042</v>
      </c>
      <c r="C482" s="908">
        <v>1.0709000000000001E-3</v>
      </c>
      <c r="D482" s="908">
        <v>1.1418999999999999E-3</v>
      </c>
      <c r="E482" s="909">
        <v>392359.07</v>
      </c>
      <c r="F482" s="909">
        <v>512478</v>
      </c>
      <c r="G482" s="909">
        <v>2272809</v>
      </c>
      <c r="H482" s="909"/>
      <c r="I482" s="910">
        <v>42702</v>
      </c>
      <c r="J482" s="910">
        <v>1991705</v>
      </c>
      <c r="K482" s="910">
        <v>155667</v>
      </c>
      <c r="L482" s="909">
        <v>0</v>
      </c>
      <c r="M482" s="909"/>
      <c r="N482" s="910">
        <v>79642</v>
      </c>
      <c r="O482" s="910">
        <v>735128</v>
      </c>
      <c r="P482" s="910">
        <v>0</v>
      </c>
      <c r="Q482" s="909">
        <v>161003</v>
      </c>
      <c r="R482" s="910">
        <f t="shared" si="7"/>
        <v>1256577</v>
      </c>
      <c r="S482" s="909"/>
      <c r="T482" s="910">
        <v>607488</v>
      </c>
      <c r="U482" s="912">
        <v>-55722</v>
      </c>
      <c r="V482" s="912">
        <v>551766</v>
      </c>
    </row>
    <row r="483" spans="1:22" x14ac:dyDescent="0.25">
      <c r="A483" s="906">
        <v>95113</v>
      </c>
      <c r="B483" s="907" t="s">
        <v>3043</v>
      </c>
      <c r="C483" s="908">
        <v>4.7500000000000003E-5</v>
      </c>
      <c r="D483" s="908">
        <v>4.4299999999999999E-5</v>
      </c>
      <c r="E483" s="909">
        <v>62344</v>
      </c>
      <c r="F483" s="909">
        <v>19882</v>
      </c>
      <c r="G483" s="909">
        <v>100811</v>
      </c>
      <c r="H483" s="909"/>
      <c r="I483" s="910">
        <v>1894.0625</v>
      </c>
      <c r="J483" s="910">
        <v>88342</v>
      </c>
      <c r="K483" s="910">
        <v>6905</v>
      </c>
      <c r="L483" s="909">
        <v>69845</v>
      </c>
      <c r="M483" s="909"/>
      <c r="N483" s="910">
        <v>3533</v>
      </c>
      <c r="O483" s="910">
        <v>32607</v>
      </c>
      <c r="P483" s="910">
        <v>0</v>
      </c>
      <c r="Q483" s="909">
        <v>0</v>
      </c>
      <c r="R483" s="910">
        <f t="shared" si="7"/>
        <v>55735</v>
      </c>
      <c r="S483" s="909"/>
      <c r="T483" s="910">
        <v>26945</v>
      </c>
      <c r="U483" s="912">
        <v>22543</v>
      </c>
      <c r="V483" s="912">
        <v>49489</v>
      </c>
    </row>
    <row r="484" spans="1:22" x14ac:dyDescent="0.25">
      <c r="A484" s="906">
        <v>95121</v>
      </c>
      <c r="B484" s="907" t="s">
        <v>3044</v>
      </c>
      <c r="C484" s="908">
        <v>4.9580000000000002E-4</v>
      </c>
      <c r="D484" s="908">
        <v>4.7540000000000001E-4</v>
      </c>
      <c r="E484" s="909">
        <v>201528.43</v>
      </c>
      <c r="F484" s="909">
        <v>213357</v>
      </c>
      <c r="G484" s="909">
        <v>1052254</v>
      </c>
      <c r="H484" s="909"/>
      <c r="I484" s="910">
        <v>19770</v>
      </c>
      <c r="J484" s="910">
        <v>922110</v>
      </c>
      <c r="K484" s="910">
        <v>72070</v>
      </c>
      <c r="L484" s="909">
        <v>18227</v>
      </c>
      <c r="M484" s="909"/>
      <c r="N484" s="910">
        <v>36872</v>
      </c>
      <c r="O484" s="910">
        <v>340346</v>
      </c>
      <c r="P484" s="910">
        <v>0</v>
      </c>
      <c r="Q484" s="909">
        <v>25446.13</v>
      </c>
      <c r="R484" s="910">
        <f t="shared" si="7"/>
        <v>581764</v>
      </c>
      <c r="S484" s="909"/>
      <c r="T484" s="910">
        <v>281252</v>
      </c>
      <c r="U484" s="912">
        <v>-7200</v>
      </c>
      <c r="V484" s="912">
        <v>274052</v>
      </c>
    </row>
    <row r="485" spans="1:22" x14ac:dyDescent="0.25">
      <c r="A485" s="906">
        <v>95122</v>
      </c>
      <c r="B485" s="907" t="s">
        <v>3045</v>
      </c>
      <c r="C485" s="908">
        <v>2.7999999999999999E-6</v>
      </c>
      <c r="D485" s="908">
        <v>3.3000000000000002E-6</v>
      </c>
      <c r="E485" s="909">
        <v>2740.07</v>
      </c>
      <c r="F485" s="909">
        <v>1481</v>
      </c>
      <c r="G485" s="909">
        <v>5943</v>
      </c>
      <c r="H485" s="909"/>
      <c r="I485" s="910">
        <v>112</v>
      </c>
      <c r="J485" s="910">
        <v>5208</v>
      </c>
      <c r="K485" s="910">
        <v>407</v>
      </c>
      <c r="L485" s="909">
        <v>1558</v>
      </c>
      <c r="M485" s="909"/>
      <c r="N485" s="910">
        <v>208</v>
      </c>
      <c r="O485" s="910">
        <v>1922</v>
      </c>
      <c r="P485" s="910">
        <v>0</v>
      </c>
      <c r="Q485" s="909">
        <v>0</v>
      </c>
      <c r="R485" s="910">
        <f t="shared" si="7"/>
        <v>3286</v>
      </c>
      <c r="S485" s="909"/>
      <c r="T485" s="910">
        <v>1588</v>
      </c>
      <c r="U485" s="912">
        <v>459</v>
      </c>
      <c r="V485" s="912">
        <v>2048</v>
      </c>
    </row>
    <row r="486" spans="1:22" x14ac:dyDescent="0.25">
      <c r="A486" s="906">
        <v>95123</v>
      </c>
      <c r="B486" s="907" t="s">
        <v>3046</v>
      </c>
      <c r="C486" s="908">
        <v>5.6700000000000003E-5</v>
      </c>
      <c r="D486" s="908">
        <v>5.1199999999999998E-5</v>
      </c>
      <c r="E486" s="909">
        <v>25666.18</v>
      </c>
      <c r="F486" s="909">
        <v>22978</v>
      </c>
      <c r="G486" s="909">
        <v>120336</v>
      </c>
      <c r="H486" s="909"/>
      <c r="I486" s="910">
        <v>2261</v>
      </c>
      <c r="J486" s="910">
        <v>105453</v>
      </c>
      <c r="K486" s="910">
        <v>8242</v>
      </c>
      <c r="L486" s="909">
        <v>8689</v>
      </c>
      <c r="M486" s="909"/>
      <c r="N486" s="910">
        <v>4217</v>
      </c>
      <c r="O486" s="910">
        <v>38922</v>
      </c>
      <c r="P486" s="910">
        <v>0</v>
      </c>
      <c r="Q486" s="909">
        <v>2933.26</v>
      </c>
      <c r="R486" s="910">
        <f t="shared" si="7"/>
        <v>66531</v>
      </c>
      <c r="S486" s="909"/>
      <c r="T486" s="910">
        <v>32164</v>
      </c>
      <c r="U486" s="912">
        <v>1144</v>
      </c>
      <c r="V486" s="912">
        <v>33309</v>
      </c>
    </row>
    <row r="487" spans="1:22" x14ac:dyDescent="0.25">
      <c r="A487" s="906">
        <v>95131</v>
      </c>
      <c r="B487" s="907" t="s">
        <v>3047</v>
      </c>
      <c r="C487" s="908">
        <v>1.5451E-3</v>
      </c>
      <c r="D487" s="908">
        <v>1.4713E-3</v>
      </c>
      <c r="E487" s="909">
        <v>607661.46</v>
      </c>
      <c r="F487" s="909">
        <v>660311</v>
      </c>
      <c r="G487" s="909">
        <v>3279220</v>
      </c>
      <c r="H487" s="909"/>
      <c r="I487" s="910">
        <v>61611</v>
      </c>
      <c r="J487" s="910">
        <v>2873642</v>
      </c>
      <c r="K487" s="910">
        <v>224597</v>
      </c>
      <c r="L487" s="909">
        <v>53573</v>
      </c>
      <c r="M487" s="909"/>
      <c r="N487" s="910">
        <v>114908</v>
      </c>
      <c r="O487" s="910">
        <v>1060646</v>
      </c>
      <c r="P487" s="910">
        <v>0</v>
      </c>
      <c r="Q487" s="909">
        <v>1701</v>
      </c>
      <c r="R487" s="910">
        <f t="shared" si="7"/>
        <v>1812996</v>
      </c>
      <c r="S487" s="909"/>
      <c r="T487" s="910">
        <v>876487</v>
      </c>
      <c r="U487" s="912">
        <v>16429</v>
      </c>
      <c r="V487" s="912">
        <v>892916</v>
      </c>
    </row>
    <row r="488" spans="1:22" x14ac:dyDescent="0.25">
      <c r="A488" s="906">
        <v>95141</v>
      </c>
      <c r="B488" s="907" t="s">
        <v>3048</v>
      </c>
      <c r="C488" s="908">
        <v>3.1819999999999998E-4</v>
      </c>
      <c r="D488" s="908">
        <v>2.99E-4</v>
      </c>
      <c r="E488" s="909">
        <v>115455.16</v>
      </c>
      <c r="F488" s="909">
        <v>134189</v>
      </c>
      <c r="G488" s="909">
        <v>675327</v>
      </c>
      <c r="H488" s="909"/>
      <c r="I488" s="910">
        <v>12688</v>
      </c>
      <c r="J488" s="910">
        <v>591802</v>
      </c>
      <c r="K488" s="910">
        <v>46254</v>
      </c>
      <c r="L488" s="909">
        <v>2515.36</v>
      </c>
      <c r="M488" s="909"/>
      <c r="N488" s="910">
        <v>23664</v>
      </c>
      <c r="O488" s="910">
        <v>218431</v>
      </c>
      <c r="P488" s="910">
        <v>0</v>
      </c>
      <c r="Q488" s="909">
        <v>28114</v>
      </c>
      <c r="R488" s="910">
        <f t="shared" si="7"/>
        <v>373371</v>
      </c>
      <c r="S488" s="909"/>
      <c r="T488" s="910">
        <v>180505</v>
      </c>
      <c r="U488" s="912">
        <v>-8530</v>
      </c>
      <c r="V488" s="912">
        <v>171975</v>
      </c>
    </row>
    <row r="489" spans="1:22" x14ac:dyDescent="0.25">
      <c r="A489" s="906">
        <v>95151</v>
      </c>
      <c r="B489" s="907" t="s">
        <v>3049</v>
      </c>
      <c r="C489" s="908">
        <v>1.158E-4</v>
      </c>
      <c r="D489" s="908">
        <v>1.05E-4</v>
      </c>
      <c r="E489" s="909">
        <v>39583.1</v>
      </c>
      <c r="F489" s="909">
        <v>47123.37</v>
      </c>
      <c r="G489" s="909">
        <v>245766</v>
      </c>
      <c r="H489" s="909"/>
      <c r="I489" s="910">
        <v>4618</v>
      </c>
      <c r="J489" s="910">
        <v>215370</v>
      </c>
      <c r="K489" s="910">
        <v>16833</v>
      </c>
      <c r="L489" s="909">
        <v>732.32</v>
      </c>
      <c r="M489" s="909"/>
      <c r="N489" s="910">
        <v>8612</v>
      </c>
      <c r="O489" s="910">
        <v>79492</v>
      </c>
      <c r="P489" s="910">
        <v>0</v>
      </c>
      <c r="Q489" s="909">
        <v>5502</v>
      </c>
      <c r="R489" s="910">
        <f t="shared" si="7"/>
        <v>135878</v>
      </c>
      <c r="S489" s="909"/>
      <c r="T489" s="910">
        <v>65690</v>
      </c>
      <c r="U489" s="912">
        <v>-1532</v>
      </c>
      <c r="V489" s="912">
        <v>64158</v>
      </c>
    </row>
    <row r="490" spans="1:22" x14ac:dyDescent="0.25">
      <c r="A490" s="906">
        <v>95161</v>
      </c>
      <c r="B490" s="907" t="s">
        <v>3050</v>
      </c>
      <c r="C490" s="908">
        <v>7.4800000000000002E-5</v>
      </c>
      <c r="D490" s="908">
        <v>7.0599999999999995E-5</v>
      </c>
      <c r="E490" s="909">
        <v>34992</v>
      </c>
      <c r="F490" s="909">
        <v>31685</v>
      </c>
      <c r="G490" s="909">
        <v>158751</v>
      </c>
      <c r="H490" s="909"/>
      <c r="I490" s="910">
        <v>2982.65</v>
      </c>
      <c r="J490" s="910">
        <v>139116</v>
      </c>
      <c r="K490" s="910">
        <v>10873</v>
      </c>
      <c r="L490" s="909">
        <v>6290</v>
      </c>
      <c r="M490" s="909"/>
      <c r="N490" s="910">
        <v>5563</v>
      </c>
      <c r="O490" s="910">
        <v>51347</v>
      </c>
      <c r="P490" s="910">
        <v>0</v>
      </c>
      <c r="Q490" s="909">
        <v>2096</v>
      </c>
      <c r="R490" s="910">
        <f t="shared" si="7"/>
        <v>87769</v>
      </c>
      <c r="S490" s="909"/>
      <c r="T490" s="910">
        <v>42432</v>
      </c>
      <c r="U490" s="912">
        <v>1046</v>
      </c>
      <c r="V490" s="912">
        <v>43477</v>
      </c>
    </row>
    <row r="491" spans="1:22" x14ac:dyDescent="0.25">
      <c r="A491" s="906">
        <v>95171</v>
      </c>
      <c r="B491" s="907" t="s">
        <v>3051</v>
      </c>
      <c r="C491" s="908">
        <v>1.2300000000000001E-4</v>
      </c>
      <c r="D491" s="908">
        <v>1.2740000000000001E-4</v>
      </c>
      <c r="E491" s="909">
        <v>48393.279999999999</v>
      </c>
      <c r="F491" s="909">
        <v>57176</v>
      </c>
      <c r="G491" s="909">
        <v>261047</v>
      </c>
      <c r="H491" s="909"/>
      <c r="I491" s="910">
        <v>4904.625</v>
      </c>
      <c r="J491" s="910">
        <v>228761</v>
      </c>
      <c r="K491" s="910">
        <v>17879</v>
      </c>
      <c r="L491" s="909">
        <v>10389</v>
      </c>
      <c r="M491" s="909"/>
      <c r="N491" s="910">
        <v>9147</v>
      </c>
      <c r="O491" s="910">
        <v>84434</v>
      </c>
      <c r="P491" s="910">
        <v>0</v>
      </c>
      <c r="Q491" s="909">
        <v>12793</v>
      </c>
      <c r="R491" s="910">
        <f t="shared" si="7"/>
        <v>144327</v>
      </c>
      <c r="S491" s="909"/>
      <c r="T491" s="910">
        <v>69774</v>
      </c>
      <c r="U491" s="912">
        <v>-1741</v>
      </c>
      <c r="V491" s="912">
        <v>68033</v>
      </c>
    </row>
    <row r="492" spans="1:22" x14ac:dyDescent="0.25">
      <c r="A492" s="906">
        <v>95181</v>
      </c>
      <c r="B492" s="907" t="s">
        <v>3052</v>
      </c>
      <c r="C492" s="908">
        <v>7.7899999999999996E-5</v>
      </c>
      <c r="D492" s="908">
        <v>8.0400000000000003E-5</v>
      </c>
      <c r="E492" s="909">
        <v>26255</v>
      </c>
      <c r="F492" s="909">
        <v>36083</v>
      </c>
      <c r="G492" s="909">
        <v>165330</v>
      </c>
      <c r="H492" s="909"/>
      <c r="I492" s="910">
        <v>3106</v>
      </c>
      <c r="J492" s="910">
        <v>144882</v>
      </c>
      <c r="K492" s="910">
        <v>11324</v>
      </c>
      <c r="L492" s="909">
        <v>1657</v>
      </c>
      <c r="M492" s="909"/>
      <c r="N492" s="910">
        <v>5793</v>
      </c>
      <c r="O492" s="910">
        <v>53475</v>
      </c>
      <c r="P492" s="910">
        <v>0</v>
      </c>
      <c r="Q492" s="909">
        <v>6539</v>
      </c>
      <c r="R492" s="910">
        <f t="shared" si="7"/>
        <v>91407</v>
      </c>
      <c r="S492" s="909"/>
      <c r="T492" s="910">
        <v>44190</v>
      </c>
      <c r="U492" s="912">
        <v>-1251</v>
      </c>
      <c r="V492" s="912">
        <v>42939</v>
      </c>
    </row>
    <row r="493" spans="1:22" x14ac:dyDescent="0.25">
      <c r="A493" s="906">
        <v>95191</v>
      </c>
      <c r="B493" s="907" t="s">
        <v>3053</v>
      </c>
      <c r="C493" s="908">
        <v>5.3999999999999998E-5</v>
      </c>
      <c r="D493" s="908">
        <v>7.9099999999999998E-5</v>
      </c>
      <c r="E493" s="909">
        <v>30331.53</v>
      </c>
      <c r="F493" s="909">
        <v>35500</v>
      </c>
      <c r="G493" s="909">
        <v>114606.09</v>
      </c>
      <c r="H493" s="909"/>
      <c r="I493" s="910">
        <v>2153.25</v>
      </c>
      <c r="J493" s="910">
        <v>100431</v>
      </c>
      <c r="K493" s="910">
        <v>7849</v>
      </c>
      <c r="L493" s="909">
        <v>12291</v>
      </c>
      <c r="M493" s="909"/>
      <c r="N493" s="910">
        <v>4016</v>
      </c>
      <c r="O493" s="910">
        <v>37069</v>
      </c>
      <c r="P493" s="910">
        <v>0</v>
      </c>
      <c r="Q493" s="909">
        <v>7144</v>
      </c>
      <c r="R493" s="910">
        <f t="shared" si="7"/>
        <v>63362</v>
      </c>
      <c r="S493" s="909"/>
      <c r="T493" s="910">
        <v>30633</v>
      </c>
      <c r="U493" s="912">
        <v>3134</v>
      </c>
      <c r="V493" s="912">
        <v>33767</v>
      </c>
    </row>
    <row r="494" spans="1:22" x14ac:dyDescent="0.25">
      <c r="A494" s="906">
        <v>95201</v>
      </c>
      <c r="B494" s="907" t="s">
        <v>3054</v>
      </c>
      <c r="C494" s="908">
        <v>6.8329999999999997E-4</v>
      </c>
      <c r="D494" s="908">
        <v>6.3000000000000003E-4</v>
      </c>
      <c r="E494" s="909">
        <v>255294</v>
      </c>
      <c r="F494" s="909">
        <v>282740</v>
      </c>
      <c r="G494" s="909">
        <v>1450192</v>
      </c>
      <c r="H494" s="909"/>
      <c r="I494" s="910">
        <v>27247</v>
      </c>
      <c r="J494" s="910">
        <v>1270830</v>
      </c>
      <c r="K494" s="910">
        <v>99325</v>
      </c>
      <c r="L494" s="909">
        <v>8455</v>
      </c>
      <c r="M494" s="909"/>
      <c r="N494" s="910">
        <v>50816</v>
      </c>
      <c r="O494" s="910">
        <v>469057</v>
      </c>
      <c r="P494" s="910">
        <v>0</v>
      </c>
      <c r="Q494" s="909">
        <v>33064</v>
      </c>
      <c r="R494" s="910">
        <f t="shared" si="7"/>
        <v>801773</v>
      </c>
      <c r="S494" s="909"/>
      <c r="T494" s="910">
        <v>387615</v>
      </c>
      <c r="U494" s="912">
        <v>-9716</v>
      </c>
      <c r="V494" s="912">
        <v>377899</v>
      </c>
    </row>
    <row r="495" spans="1:22" x14ac:dyDescent="0.25">
      <c r="A495" s="906">
        <v>95204</v>
      </c>
      <c r="B495" s="907" t="s">
        <v>3055</v>
      </c>
      <c r="C495" s="908">
        <v>1.1600000000000001E-5</v>
      </c>
      <c r="D495" s="908">
        <v>1.49E-5</v>
      </c>
      <c r="E495" s="909">
        <v>6020</v>
      </c>
      <c r="F495" s="909">
        <v>6687</v>
      </c>
      <c r="G495" s="909">
        <v>24619</v>
      </c>
      <c r="H495" s="909"/>
      <c r="I495" s="910">
        <v>462.55</v>
      </c>
      <c r="J495" s="910">
        <v>21574</v>
      </c>
      <c r="K495" s="910">
        <v>1686</v>
      </c>
      <c r="L495" s="909">
        <v>0</v>
      </c>
      <c r="M495" s="909"/>
      <c r="N495" s="910">
        <v>863</v>
      </c>
      <c r="O495" s="910">
        <v>7963</v>
      </c>
      <c r="P495" s="910">
        <v>0</v>
      </c>
      <c r="Q495" s="909">
        <v>1794</v>
      </c>
      <c r="R495" s="910">
        <f t="shared" si="7"/>
        <v>13611</v>
      </c>
      <c r="S495" s="909"/>
      <c r="T495" s="910">
        <v>6580</v>
      </c>
      <c r="U495" s="912">
        <v>-651</v>
      </c>
      <c r="V495" s="912">
        <v>5930</v>
      </c>
    </row>
    <row r="496" spans="1:22" x14ac:dyDescent="0.25">
      <c r="A496" s="906">
        <v>95205</v>
      </c>
      <c r="B496" s="907" t="s">
        <v>3056</v>
      </c>
      <c r="C496" s="908">
        <v>4.7999999999999998E-6</v>
      </c>
      <c r="D496" s="908">
        <v>5.0000000000000004E-6</v>
      </c>
      <c r="E496" s="909">
        <v>2441</v>
      </c>
      <c r="F496" s="909">
        <v>2244</v>
      </c>
      <c r="G496" s="909">
        <v>10187</v>
      </c>
      <c r="H496" s="909"/>
      <c r="I496" s="910">
        <v>191</v>
      </c>
      <c r="J496" s="910">
        <v>8927</v>
      </c>
      <c r="K496" s="910">
        <v>698</v>
      </c>
      <c r="L496" s="909">
        <v>779</v>
      </c>
      <c r="M496" s="909"/>
      <c r="N496" s="910">
        <v>357</v>
      </c>
      <c r="O496" s="910">
        <v>3295</v>
      </c>
      <c r="P496" s="910">
        <v>0</v>
      </c>
      <c r="Q496" s="909">
        <v>0</v>
      </c>
      <c r="R496" s="910">
        <f t="shared" si="7"/>
        <v>5632</v>
      </c>
      <c r="S496" s="909"/>
      <c r="T496" s="910">
        <v>2723</v>
      </c>
      <c r="U496" s="912">
        <v>284</v>
      </c>
      <c r="V496" s="912">
        <v>3007</v>
      </c>
    </row>
    <row r="497" spans="1:22" x14ac:dyDescent="0.25">
      <c r="A497" s="906">
        <v>95211</v>
      </c>
      <c r="B497" s="907" t="s">
        <v>3057</v>
      </c>
      <c r="C497" s="908">
        <v>9.2E-6</v>
      </c>
      <c r="D497" s="908">
        <v>5.9000000000000003E-6</v>
      </c>
      <c r="E497" s="909">
        <v>4005</v>
      </c>
      <c r="F497" s="909">
        <v>2648</v>
      </c>
      <c r="G497" s="909">
        <v>19525</v>
      </c>
      <c r="H497" s="909"/>
      <c r="I497" s="910">
        <v>366.85</v>
      </c>
      <c r="J497" s="910">
        <v>17111</v>
      </c>
      <c r="K497" s="910">
        <v>1337</v>
      </c>
      <c r="L497" s="909">
        <v>1964</v>
      </c>
      <c r="M497" s="909"/>
      <c r="N497" s="910">
        <v>684</v>
      </c>
      <c r="O497" s="910">
        <v>6315</v>
      </c>
      <c r="P497" s="910">
        <v>0</v>
      </c>
      <c r="Q497" s="909">
        <v>1957</v>
      </c>
      <c r="R497" s="910">
        <f t="shared" si="7"/>
        <v>10796</v>
      </c>
      <c r="S497" s="909"/>
      <c r="T497" s="910">
        <v>5219</v>
      </c>
      <c r="U497" s="912">
        <v>-462</v>
      </c>
      <c r="V497" s="912">
        <v>4757</v>
      </c>
    </row>
    <row r="498" spans="1:22" x14ac:dyDescent="0.25">
      <c r="A498" s="906">
        <v>95221</v>
      </c>
      <c r="B498" s="907" t="s">
        <v>3058</v>
      </c>
      <c r="C498" s="908">
        <v>1.6900000000000001E-5</v>
      </c>
      <c r="D498" s="908">
        <v>4.5099999999999998E-5</v>
      </c>
      <c r="E498" s="909">
        <v>14058.05</v>
      </c>
      <c r="F498" s="909">
        <v>20241</v>
      </c>
      <c r="G498" s="909">
        <v>35867</v>
      </c>
      <c r="H498" s="909"/>
      <c r="I498" s="910">
        <v>673.88750000000005</v>
      </c>
      <c r="J498" s="910">
        <v>31431</v>
      </c>
      <c r="K498" s="910">
        <v>2457</v>
      </c>
      <c r="L498" s="909">
        <v>5443</v>
      </c>
      <c r="M498" s="909"/>
      <c r="N498" s="910">
        <v>1257</v>
      </c>
      <c r="O498" s="910">
        <v>11601</v>
      </c>
      <c r="P498" s="910">
        <v>0</v>
      </c>
      <c r="Q498" s="909">
        <v>16082</v>
      </c>
      <c r="R498" s="910">
        <f t="shared" si="7"/>
        <v>19830</v>
      </c>
      <c r="S498" s="909"/>
      <c r="T498" s="910">
        <v>9587</v>
      </c>
      <c r="U498" s="912">
        <v>-2048</v>
      </c>
      <c r="V498" s="912">
        <v>7539</v>
      </c>
    </row>
    <row r="499" spans="1:22" x14ac:dyDescent="0.25">
      <c r="A499" s="906">
        <v>95301</v>
      </c>
      <c r="B499" s="907" t="s">
        <v>3059</v>
      </c>
      <c r="C499" s="908">
        <v>2.4063999999999999E-3</v>
      </c>
      <c r="D499" s="908">
        <v>2.3544E-3</v>
      </c>
      <c r="E499" s="909">
        <v>972446</v>
      </c>
      <c r="F499" s="909">
        <v>1056641</v>
      </c>
      <c r="G499" s="909">
        <v>5107187</v>
      </c>
      <c r="H499" s="909"/>
      <c r="I499" s="910">
        <v>95955.199999999997</v>
      </c>
      <c r="J499" s="910">
        <v>4475524</v>
      </c>
      <c r="K499" s="910">
        <v>349797</v>
      </c>
      <c r="L499" s="909">
        <v>72796</v>
      </c>
      <c r="M499" s="909"/>
      <c r="N499" s="910">
        <v>178962</v>
      </c>
      <c r="O499" s="910">
        <v>1651893</v>
      </c>
      <c r="P499" s="910">
        <v>0</v>
      </c>
      <c r="Q499" s="909">
        <v>22569</v>
      </c>
      <c r="R499" s="910">
        <f t="shared" si="7"/>
        <v>2823631</v>
      </c>
      <c r="S499" s="909"/>
      <c r="T499" s="910">
        <v>1365076</v>
      </c>
      <c r="U499" s="912">
        <v>13085</v>
      </c>
      <c r="V499" s="912">
        <v>1378161</v>
      </c>
    </row>
    <row r="500" spans="1:22" x14ac:dyDescent="0.25">
      <c r="A500" s="906">
        <v>95311</v>
      </c>
      <c r="B500" s="907" t="s">
        <v>3060</v>
      </c>
      <c r="C500" s="908">
        <v>2.6841999999999999E-3</v>
      </c>
      <c r="D500" s="908">
        <v>2.9946E-3</v>
      </c>
      <c r="E500" s="909">
        <v>1161820.17</v>
      </c>
      <c r="F500" s="909">
        <v>1343959</v>
      </c>
      <c r="G500" s="909">
        <v>5696772</v>
      </c>
      <c r="H500" s="909"/>
      <c r="I500" s="910">
        <v>107032</v>
      </c>
      <c r="J500" s="910">
        <v>4992188</v>
      </c>
      <c r="K500" s="910">
        <v>390178</v>
      </c>
      <c r="L500" s="909">
        <v>8404</v>
      </c>
      <c r="M500" s="909"/>
      <c r="N500" s="910">
        <v>199621</v>
      </c>
      <c r="O500" s="910">
        <v>1842591</v>
      </c>
      <c r="P500" s="910">
        <v>0</v>
      </c>
      <c r="Q500" s="909">
        <v>175770</v>
      </c>
      <c r="R500" s="910">
        <f t="shared" si="7"/>
        <v>3149597</v>
      </c>
      <c r="S500" s="909"/>
      <c r="T500" s="910">
        <v>1522663</v>
      </c>
      <c r="U500" s="912">
        <v>-55618</v>
      </c>
      <c r="V500" s="912">
        <v>1467045</v>
      </c>
    </row>
    <row r="501" spans="1:22" x14ac:dyDescent="0.25">
      <c r="A501" s="906">
        <v>95317</v>
      </c>
      <c r="B501" s="907" t="s">
        <v>3061</v>
      </c>
      <c r="C501" s="908">
        <v>5.1400000000000003E-5</v>
      </c>
      <c r="D501" s="908">
        <v>5.3900000000000002E-5</v>
      </c>
      <c r="E501" s="909">
        <v>25005</v>
      </c>
      <c r="F501" s="909">
        <v>24190</v>
      </c>
      <c r="G501" s="909">
        <v>109088</v>
      </c>
      <c r="H501" s="909"/>
      <c r="I501" s="910">
        <v>2050</v>
      </c>
      <c r="J501" s="910">
        <v>95596</v>
      </c>
      <c r="K501" s="910">
        <v>7472</v>
      </c>
      <c r="L501" s="909">
        <v>5874</v>
      </c>
      <c r="M501" s="909"/>
      <c r="N501" s="910">
        <v>3823</v>
      </c>
      <c r="O501" s="910">
        <v>35284</v>
      </c>
      <c r="P501" s="910">
        <v>0</v>
      </c>
      <c r="Q501" s="909">
        <v>75.62</v>
      </c>
      <c r="R501" s="910">
        <f t="shared" si="7"/>
        <v>60312</v>
      </c>
      <c r="S501" s="909"/>
      <c r="T501" s="910">
        <v>29158</v>
      </c>
      <c r="U501" s="912">
        <v>1881</v>
      </c>
      <c r="V501" s="912">
        <v>31039</v>
      </c>
    </row>
    <row r="502" spans="1:22" x14ac:dyDescent="0.25">
      <c r="A502" s="906">
        <v>95321</v>
      </c>
      <c r="B502" s="907" t="s">
        <v>3062</v>
      </c>
      <c r="C502" s="908">
        <v>5.7000000000000003E-5</v>
      </c>
      <c r="D502" s="908">
        <v>5.6499999999999998E-5</v>
      </c>
      <c r="E502" s="909">
        <v>24286.95</v>
      </c>
      <c r="F502" s="909">
        <v>25357</v>
      </c>
      <c r="G502" s="909">
        <v>120973</v>
      </c>
      <c r="H502" s="909"/>
      <c r="I502" s="910">
        <v>2272.875</v>
      </c>
      <c r="J502" s="910">
        <v>106011</v>
      </c>
      <c r="K502" s="910">
        <v>8286</v>
      </c>
      <c r="L502" s="909">
        <v>4716</v>
      </c>
      <c r="M502" s="909"/>
      <c r="N502" s="910">
        <v>4239</v>
      </c>
      <c r="O502" s="910">
        <v>39128</v>
      </c>
      <c r="P502" s="910">
        <v>0</v>
      </c>
      <c r="Q502" s="909">
        <v>0</v>
      </c>
      <c r="R502" s="910">
        <f t="shared" si="7"/>
        <v>66883</v>
      </c>
      <c r="S502" s="909"/>
      <c r="T502" s="910">
        <v>32334</v>
      </c>
      <c r="U502" s="912">
        <v>1628</v>
      </c>
      <c r="V502" s="912">
        <v>33963</v>
      </c>
    </row>
    <row r="503" spans="1:22" x14ac:dyDescent="0.25">
      <c r="A503" s="906">
        <v>95401</v>
      </c>
      <c r="B503" s="907" t="s">
        <v>3063</v>
      </c>
      <c r="C503" s="908">
        <v>2.9979999999999998E-3</v>
      </c>
      <c r="D503" s="908">
        <v>2.8663999999999999E-3</v>
      </c>
      <c r="E503" s="909">
        <v>1170186.01</v>
      </c>
      <c r="F503" s="909">
        <v>1286423</v>
      </c>
      <c r="G503" s="909">
        <v>6362760</v>
      </c>
      <c r="H503" s="909"/>
      <c r="I503" s="910">
        <v>119545</v>
      </c>
      <c r="J503" s="910">
        <v>5575806</v>
      </c>
      <c r="K503" s="910">
        <v>435792</v>
      </c>
      <c r="L503" s="909">
        <v>42759</v>
      </c>
      <c r="M503" s="909"/>
      <c r="N503" s="910">
        <v>222958</v>
      </c>
      <c r="O503" s="910">
        <v>2058001</v>
      </c>
      <c r="P503" s="910">
        <v>0</v>
      </c>
      <c r="Q503" s="909">
        <v>0</v>
      </c>
      <c r="R503" s="910">
        <f t="shared" si="7"/>
        <v>3517805</v>
      </c>
      <c r="S503" s="909"/>
      <c r="T503" s="910">
        <v>1700672</v>
      </c>
      <c r="U503" s="912">
        <v>15064</v>
      </c>
      <c r="V503" s="912">
        <v>1715737</v>
      </c>
    </row>
    <row r="504" spans="1:22" x14ac:dyDescent="0.25">
      <c r="A504" s="906">
        <v>95404</v>
      </c>
      <c r="B504" s="907" t="s">
        <v>3064</v>
      </c>
      <c r="C504" s="908">
        <v>4.9799999999999998E-5</v>
      </c>
      <c r="D504" s="908">
        <v>3.4999999999999997E-5</v>
      </c>
      <c r="E504" s="909">
        <v>17582</v>
      </c>
      <c r="F504" s="909">
        <v>15708</v>
      </c>
      <c r="G504" s="909">
        <v>105692</v>
      </c>
      <c r="H504" s="909"/>
      <c r="I504" s="910">
        <v>1986</v>
      </c>
      <c r="J504" s="910">
        <v>92620</v>
      </c>
      <c r="K504" s="910">
        <v>7239</v>
      </c>
      <c r="L504" s="909">
        <v>6596</v>
      </c>
      <c r="M504" s="909"/>
      <c r="N504" s="910">
        <v>3704</v>
      </c>
      <c r="O504" s="910">
        <v>34186</v>
      </c>
      <c r="P504" s="910">
        <v>0</v>
      </c>
      <c r="Q504" s="909">
        <v>0</v>
      </c>
      <c r="R504" s="910">
        <f t="shared" si="7"/>
        <v>58434</v>
      </c>
      <c r="S504" s="909"/>
      <c r="T504" s="910">
        <v>28250</v>
      </c>
      <c r="U504" s="912">
        <v>1847</v>
      </c>
      <c r="V504" s="912">
        <v>30097</v>
      </c>
    </row>
    <row r="505" spans="1:22" x14ac:dyDescent="0.25">
      <c r="A505" s="906">
        <v>95405</v>
      </c>
      <c r="B505" s="907" t="s">
        <v>3065</v>
      </c>
      <c r="C505" s="908">
        <v>1.84E-5</v>
      </c>
      <c r="D505" s="908">
        <v>1.7E-5</v>
      </c>
      <c r="E505" s="909">
        <v>15271</v>
      </c>
      <c r="F505" s="909">
        <v>7629</v>
      </c>
      <c r="G505" s="909">
        <v>39051</v>
      </c>
      <c r="H505" s="909"/>
      <c r="I505" s="910">
        <v>733.7</v>
      </c>
      <c r="J505" s="910">
        <v>34221</v>
      </c>
      <c r="K505" s="910">
        <v>2675</v>
      </c>
      <c r="L505" s="909">
        <v>12414</v>
      </c>
      <c r="M505" s="909"/>
      <c r="N505" s="910">
        <v>1368</v>
      </c>
      <c r="O505" s="910">
        <v>12631</v>
      </c>
      <c r="P505" s="910">
        <v>0</v>
      </c>
      <c r="Q505" s="909">
        <v>0</v>
      </c>
      <c r="R505" s="910">
        <f t="shared" si="7"/>
        <v>21590</v>
      </c>
      <c r="S505" s="909"/>
      <c r="T505" s="910">
        <v>10438</v>
      </c>
      <c r="U505" s="912">
        <v>3754</v>
      </c>
      <c r="V505" s="912">
        <v>14192</v>
      </c>
    </row>
    <row r="506" spans="1:22" x14ac:dyDescent="0.25">
      <c r="A506" s="906">
        <v>95411</v>
      </c>
      <c r="B506" s="907" t="s">
        <v>3066</v>
      </c>
      <c r="C506" s="908">
        <v>2.3272000000000002E-3</v>
      </c>
      <c r="D506" s="908">
        <v>2.3019E-3</v>
      </c>
      <c r="E506" s="909">
        <v>960134</v>
      </c>
      <c r="F506" s="909">
        <v>1033079</v>
      </c>
      <c r="G506" s="909">
        <v>4939098</v>
      </c>
      <c r="H506" s="909"/>
      <c r="I506" s="910">
        <v>92797.1</v>
      </c>
      <c r="J506" s="910">
        <v>4328224</v>
      </c>
      <c r="K506" s="910">
        <v>338284</v>
      </c>
      <c r="L506" s="909">
        <v>19324</v>
      </c>
      <c r="M506" s="909"/>
      <c r="N506" s="910">
        <v>173072</v>
      </c>
      <c r="O506" s="910">
        <v>1597525</v>
      </c>
      <c r="P506" s="910">
        <v>0</v>
      </c>
      <c r="Q506" s="909">
        <v>37438</v>
      </c>
      <c r="R506" s="910">
        <f t="shared" si="7"/>
        <v>2730699</v>
      </c>
      <c r="S506" s="909"/>
      <c r="T506" s="910">
        <v>1320148</v>
      </c>
      <c r="U506" s="912">
        <v>-13504</v>
      </c>
      <c r="V506" s="912">
        <v>1306644</v>
      </c>
    </row>
    <row r="507" spans="1:22" x14ac:dyDescent="0.25">
      <c r="A507" s="906">
        <v>95412</v>
      </c>
      <c r="B507" s="907" t="s">
        <v>3067</v>
      </c>
      <c r="C507" s="908">
        <v>0</v>
      </c>
      <c r="D507" s="908">
        <v>0</v>
      </c>
      <c r="E507" s="909">
        <v>0</v>
      </c>
      <c r="F507" s="909">
        <v>0</v>
      </c>
      <c r="G507" s="909">
        <v>0</v>
      </c>
      <c r="H507" s="909"/>
      <c r="I507" s="910">
        <v>0</v>
      </c>
      <c r="J507" s="910">
        <v>0</v>
      </c>
      <c r="K507" s="910">
        <v>0</v>
      </c>
      <c r="L507" s="909">
        <v>0</v>
      </c>
      <c r="M507" s="909"/>
      <c r="N507" s="910">
        <v>0</v>
      </c>
      <c r="O507" s="910">
        <v>0</v>
      </c>
      <c r="P507" s="910">
        <v>0</v>
      </c>
      <c r="Q507" s="909">
        <v>46349</v>
      </c>
      <c r="R507" s="910">
        <f t="shared" si="7"/>
        <v>0</v>
      </c>
      <c r="S507" s="909"/>
      <c r="T507" s="910">
        <v>0</v>
      </c>
      <c r="U507" s="912">
        <v>-18518</v>
      </c>
      <c r="V507" s="912">
        <v>-18518</v>
      </c>
    </row>
    <row r="508" spans="1:22" x14ac:dyDescent="0.25">
      <c r="A508" s="906">
        <v>95413</v>
      </c>
      <c r="B508" s="907" t="s">
        <v>3068</v>
      </c>
      <c r="C508" s="908">
        <v>2.945E-4</v>
      </c>
      <c r="D508" s="908">
        <v>2.9579999999999998E-4</v>
      </c>
      <c r="E508" s="909">
        <v>262975</v>
      </c>
      <c r="F508" s="909">
        <v>132753</v>
      </c>
      <c r="G508" s="909">
        <v>625028</v>
      </c>
      <c r="H508" s="909"/>
      <c r="I508" s="910">
        <v>11743.1875</v>
      </c>
      <c r="J508" s="910">
        <v>547723</v>
      </c>
      <c r="K508" s="910">
        <v>42809</v>
      </c>
      <c r="L508" s="909">
        <v>198118</v>
      </c>
      <c r="M508" s="909"/>
      <c r="N508" s="910">
        <v>21902</v>
      </c>
      <c r="O508" s="910">
        <v>202162</v>
      </c>
      <c r="P508" s="910">
        <v>0</v>
      </c>
      <c r="Q508" s="909">
        <v>18897.04</v>
      </c>
      <c r="R508" s="910">
        <f t="shared" si="7"/>
        <v>345561</v>
      </c>
      <c r="S508" s="909"/>
      <c r="T508" s="910">
        <v>167061</v>
      </c>
      <c r="U508" s="912">
        <v>50061</v>
      </c>
      <c r="V508" s="912">
        <v>217122</v>
      </c>
    </row>
    <row r="509" spans="1:22" x14ac:dyDescent="0.25">
      <c r="A509" s="906">
        <v>95415</v>
      </c>
      <c r="B509" s="907" t="s">
        <v>3069</v>
      </c>
      <c r="C509" s="908">
        <v>7.9499999999999994E-5</v>
      </c>
      <c r="D509" s="908">
        <v>7.6600000000000005E-5</v>
      </c>
      <c r="E509" s="909">
        <v>28617</v>
      </c>
      <c r="F509" s="909">
        <v>34378</v>
      </c>
      <c r="G509" s="909">
        <v>168726</v>
      </c>
      <c r="H509" s="909"/>
      <c r="I509" s="910">
        <v>3170.0625</v>
      </c>
      <c r="J509" s="910">
        <v>147857</v>
      </c>
      <c r="K509" s="910">
        <v>11556</v>
      </c>
      <c r="L509" s="909">
        <v>10656.45</v>
      </c>
      <c r="M509" s="909"/>
      <c r="N509" s="910">
        <v>5912</v>
      </c>
      <c r="O509" s="910">
        <v>54573</v>
      </c>
      <c r="P509" s="910">
        <v>0</v>
      </c>
      <c r="Q509" s="909">
        <v>7763</v>
      </c>
      <c r="R509" s="910">
        <f t="shared" si="7"/>
        <v>93284</v>
      </c>
      <c r="S509" s="909"/>
      <c r="T509" s="910">
        <v>45098</v>
      </c>
      <c r="U509" s="912">
        <v>2762</v>
      </c>
      <c r="V509" s="912">
        <v>47859</v>
      </c>
    </row>
    <row r="510" spans="1:22" x14ac:dyDescent="0.25">
      <c r="A510" s="906">
        <v>95421</v>
      </c>
      <c r="B510" s="907" t="s">
        <v>3070</v>
      </c>
      <c r="C510" s="908">
        <v>3.9100000000000002E-5</v>
      </c>
      <c r="D510" s="908">
        <v>5.1E-5</v>
      </c>
      <c r="E510" s="909">
        <v>15644</v>
      </c>
      <c r="F510" s="909">
        <v>22888</v>
      </c>
      <c r="G510" s="909">
        <v>82983</v>
      </c>
      <c r="H510" s="909"/>
      <c r="I510" s="910">
        <v>1559</v>
      </c>
      <c r="J510" s="910">
        <v>72720</v>
      </c>
      <c r="K510" s="910">
        <v>5684</v>
      </c>
      <c r="L510" s="909">
        <v>0</v>
      </c>
      <c r="M510" s="909"/>
      <c r="N510" s="910">
        <v>2908</v>
      </c>
      <c r="O510" s="910">
        <v>26841</v>
      </c>
      <c r="P510" s="910">
        <v>0</v>
      </c>
      <c r="Q510" s="909">
        <v>14322</v>
      </c>
      <c r="R510" s="910">
        <f t="shared" si="7"/>
        <v>45879</v>
      </c>
      <c r="S510" s="909"/>
      <c r="T510" s="910">
        <v>22180</v>
      </c>
      <c r="U510" s="912">
        <v>-4969</v>
      </c>
      <c r="V510" s="912">
        <v>17211</v>
      </c>
    </row>
    <row r="511" spans="1:22" x14ac:dyDescent="0.25">
      <c r="A511" s="906">
        <v>95431</v>
      </c>
      <c r="B511" s="907" t="s">
        <v>3071</v>
      </c>
      <c r="C511" s="908">
        <v>1.8009999999999999E-4</v>
      </c>
      <c r="D511" s="908">
        <v>1.7249999999999999E-4</v>
      </c>
      <c r="E511" s="909">
        <v>59568.97</v>
      </c>
      <c r="F511" s="909">
        <v>77417</v>
      </c>
      <c r="G511" s="909">
        <v>382233</v>
      </c>
      <c r="H511" s="909"/>
      <c r="I511" s="910">
        <v>7181</v>
      </c>
      <c r="J511" s="910">
        <v>334958</v>
      </c>
      <c r="K511" s="910">
        <v>26180</v>
      </c>
      <c r="L511" s="909">
        <v>450</v>
      </c>
      <c r="M511" s="909"/>
      <c r="N511" s="910">
        <v>13394</v>
      </c>
      <c r="O511" s="910">
        <v>123631</v>
      </c>
      <c r="P511" s="910">
        <v>0</v>
      </c>
      <c r="Q511" s="909">
        <v>13081</v>
      </c>
      <c r="R511" s="910">
        <f t="shared" si="7"/>
        <v>211327</v>
      </c>
      <c r="S511" s="909"/>
      <c r="T511" s="910">
        <v>102165</v>
      </c>
      <c r="U511" s="912">
        <v>-3706</v>
      </c>
      <c r="V511" s="912">
        <v>98459</v>
      </c>
    </row>
    <row r="512" spans="1:22" x14ac:dyDescent="0.25">
      <c r="A512" s="906">
        <v>95501</v>
      </c>
      <c r="B512" s="907" t="s">
        <v>3072</v>
      </c>
      <c r="C512" s="908">
        <v>4.7917999999999997E-3</v>
      </c>
      <c r="D512" s="908">
        <v>4.8338000000000001E-3</v>
      </c>
      <c r="E512" s="909">
        <v>1890954</v>
      </c>
      <c r="F512" s="909">
        <v>2169380</v>
      </c>
      <c r="G512" s="909">
        <v>10169805</v>
      </c>
      <c r="H512" s="909"/>
      <c r="I512" s="910">
        <v>191073</v>
      </c>
      <c r="J512" s="910">
        <v>8911991</v>
      </c>
      <c r="K512" s="910">
        <v>696541</v>
      </c>
      <c r="L512" s="909">
        <v>63710</v>
      </c>
      <c r="M512" s="909"/>
      <c r="N512" s="910">
        <v>356361</v>
      </c>
      <c r="O512" s="910">
        <v>3289369</v>
      </c>
      <c r="P512" s="910">
        <v>0</v>
      </c>
      <c r="Q512" s="909">
        <v>102347</v>
      </c>
      <c r="R512" s="910">
        <f t="shared" si="7"/>
        <v>5622622</v>
      </c>
      <c r="S512" s="909"/>
      <c r="T512" s="910">
        <v>2718240</v>
      </c>
      <c r="U512" s="912">
        <v>3939</v>
      </c>
      <c r="V512" s="912">
        <v>2722178</v>
      </c>
    </row>
    <row r="513" spans="1:22" x14ac:dyDescent="0.25">
      <c r="A513" s="906">
        <v>95504</v>
      </c>
      <c r="B513" s="907" t="s">
        <v>3073</v>
      </c>
      <c r="C513" s="908">
        <v>8.8999999999999995E-6</v>
      </c>
      <c r="D513" s="908">
        <v>1.2099999999999999E-5</v>
      </c>
      <c r="E513" s="909">
        <v>7171.2</v>
      </c>
      <c r="F513" s="909">
        <v>5430</v>
      </c>
      <c r="G513" s="909">
        <v>18889</v>
      </c>
      <c r="H513" s="909"/>
      <c r="I513" s="910">
        <v>354.88749999999999</v>
      </c>
      <c r="J513" s="910">
        <v>16553</v>
      </c>
      <c r="K513" s="910">
        <v>1294</v>
      </c>
      <c r="L513" s="909">
        <v>5463</v>
      </c>
      <c r="M513" s="909"/>
      <c r="N513" s="910">
        <v>662</v>
      </c>
      <c r="O513" s="910">
        <v>6109</v>
      </c>
      <c r="P513" s="910">
        <v>0</v>
      </c>
      <c r="Q513" s="909">
        <v>0</v>
      </c>
      <c r="R513" s="910">
        <f t="shared" si="7"/>
        <v>10444</v>
      </c>
      <c r="S513" s="909"/>
      <c r="T513" s="910">
        <v>5049</v>
      </c>
      <c r="U513" s="912">
        <v>1872</v>
      </c>
      <c r="V513" s="912">
        <v>6921</v>
      </c>
    </row>
    <row r="514" spans="1:22" x14ac:dyDescent="0.25">
      <c r="A514" s="906">
        <v>95511</v>
      </c>
      <c r="B514" s="907" t="s">
        <v>3074</v>
      </c>
      <c r="C514" s="908">
        <v>9.6049999999999998E-4</v>
      </c>
      <c r="D514" s="908">
        <v>1.0989000000000001E-3</v>
      </c>
      <c r="E514" s="909">
        <v>413682.63</v>
      </c>
      <c r="F514" s="909">
        <v>493180</v>
      </c>
      <c r="G514" s="909">
        <v>2038503</v>
      </c>
      <c r="H514" s="909"/>
      <c r="I514" s="910">
        <v>38300</v>
      </c>
      <c r="J514" s="910">
        <v>1786378</v>
      </c>
      <c r="K514" s="910">
        <v>139619</v>
      </c>
      <c r="L514" s="909">
        <v>10807.69</v>
      </c>
      <c r="M514" s="909"/>
      <c r="N514" s="910">
        <v>71431</v>
      </c>
      <c r="O514" s="910">
        <v>659343</v>
      </c>
      <c r="P514" s="910">
        <v>0</v>
      </c>
      <c r="Q514" s="909">
        <v>71910</v>
      </c>
      <c r="R514" s="910">
        <f t="shared" si="7"/>
        <v>1127035</v>
      </c>
      <c r="S514" s="909"/>
      <c r="T514" s="910">
        <v>544862</v>
      </c>
      <c r="U514" s="912">
        <v>-14323</v>
      </c>
      <c r="V514" s="912">
        <v>530538</v>
      </c>
    </row>
    <row r="515" spans="1:22" x14ac:dyDescent="0.25">
      <c r="A515" s="906">
        <v>95513</v>
      </c>
      <c r="B515" s="907" t="s">
        <v>3075</v>
      </c>
      <c r="C515" s="908">
        <v>4.5500000000000001E-5</v>
      </c>
      <c r="D515" s="908">
        <v>4.4499999999999997E-5</v>
      </c>
      <c r="E515" s="909">
        <v>28270</v>
      </c>
      <c r="F515" s="909">
        <v>19971</v>
      </c>
      <c r="G515" s="909">
        <v>96566</v>
      </c>
      <c r="H515" s="909"/>
      <c r="I515" s="910">
        <v>1814.3125</v>
      </c>
      <c r="J515" s="910">
        <v>84623</v>
      </c>
      <c r="K515" s="910">
        <v>6614</v>
      </c>
      <c r="L515" s="909">
        <v>19516</v>
      </c>
      <c r="M515" s="909"/>
      <c r="N515" s="910">
        <v>3384</v>
      </c>
      <c r="O515" s="910">
        <v>31234</v>
      </c>
      <c r="P515" s="910">
        <v>0</v>
      </c>
      <c r="Q515" s="909">
        <v>0</v>
      </c>
      <c r="R515" s="910">
        <f t="shared" si="7"/>
        <v>53389</v>
      </c>
      <c r="S515" s="909"/>
      <c r="T515" s="910">
        <v>25811</v>
      </c>
      <c r="U515" s="912">
        <v>6831</v>
      </c>
      <c r="V515" s="912">
        <v>32642</v>
      </c>
    </row>
    <row r="516" spans="1:22" x14ac:dyDescent="0.25">
      <c r="A516" s="906">
        <v>95517</v>
      </c>
      <c r="B516" s="907" t="s">
        <v>3076</v>
      </c>
      <c r="C516" s="908">
        <v>1.66E-5</v>
      </c>
      <c r="D516" s="908">
        <v>1.1399999999999999E-5</v>
      </c>
      <c r="E516" s="909">
        <v>13168.44</v>
      </c>
      <c r="F516" s="909">
        <v>5116</v>
      </c>
      <c r="G516" s="909">
        <v>35231</v>
      </c>
      <c r="H516" s="909"/>
      <c r="I516" s="910">
        <v>662</v>
      </c>
      <c r="J516" s="910">
        <v>30873</v>
      </c>
      <c r="K516" s="910">
        <v>2413</v>
      </c>
      <c r="L516" s="909">
        <v>13465</v>
      </c>
      <c r="M516" s="909"/>
      <c r="N516" s="910">
        <v>1235</v>
      </c>
      <c r="O516" s="910">
        <v>11395</v>
      </c>
      <c r="P516" s="910">
        <v>0</v>
      </c>
      <c r="Q516" s="909">
        <v>0</v>
      </c>
      <c r="R516" s="910">
        <f t="shared" si="7"/>
        <v>19478</v>
      </c>
      <c r="S516" s="909"/>
      <c r="T516" s="910">
        <v>9417</v>
      </c>
      <c r="U516" s="912">
        <v>4330</v>
      </c>
      <c r="V516" s="912">
        <v>13747</v>
      </c>
    </row>
    <row r="517" spans="1:22" x14ac:dyDescent="0.25">
      <c r="A517" s="906">
        <v>95601</v>
      </c>
      <c r="B517" s="907" t="s">
        <v>3077</v>
      </c>
      <c r="C517" s="908">
        <v>2.6592999999999999E-3</v>
      </c>
      <c r="D517" s="908">
        <v>2.4567999999999999E-3</v>
      </c>
      <c r="E517" s="909">
        <v>1012937</v>
      </c>
      <c r="F517" s="909">
        <v>1102597</v>
      </c>
      <c r="G517" s="909">
        <v>5643925</v>
      </c>
      <c r="H517" s="909"/>
      <c r="I517" s="910">
        <v>106040</v>
      </c>
      <c r="J517" s="910">
        <v>4945878</v>
      </c>
      <c r="K517" s="910">
        <v>386559</v>
      </c>
      <c r="L517" s="909">
        <v>138057</v>
      </c>
      <c r="M517" s="909"/>
      <c r="N517" s="910">
        <v>197769</v>
      </c>
      <c r="O517" s="910">
        <v>1825498</v>
      </c>
      <c r="P517" s="910">
        <v>0</v>
      </c>
      <c r="Q517" s="909">
        <v>0</v>
      </c>
      <c r="R517" s="910">
        <f t="shared" si="7"/>
        <v>3120380</v>
      </c>
      <c r="S517" s="909"/>
      <c r="T517" s="910">
        <v>1508538</v>
      </c>
      <c r="U517" s="912">
        <v>52467</v>
      </c>
      <c r="V517" s="912">
        <v>1561006</v>
      </c>
    </row>
    <row r="518" spans="1:22" x14ac:dyDescent="0.25">
      <c r="A518" s="906">
        <v>95611</v>
      </c>
      <c r="B518" s="907" t="s">
        <v>3078</v>
      </c>
      <c r="C518" s="908">
        <v>3.9540000000000002E-4</v>
      </c>
      <c r="D518" s="908">
        <v>3.9500000000000001E-4</v>
      </c>
      <c r="E518" s="909">
        <v>162221</v>
      </c>
      <c r="F518" s="909">
        <v>177273.63</v>
      </c>
      <c r="G518" s="909">
        <v>839171</v>
      </c>
      <c r="H518" s="909"/>
      <c r="I518" s="910">
        <v>15767</v>
      </c>
      <c r="J518" s="910">
        <v>735382</v>
      </c>
      <c r="K518" s="910">
        <v>57476</v>
      </c>
      <c r="L518" s="909">
        <v>2750</v>
      </c>
      <c r="M518" s="909"/>
      <c r="N518" s="910">
        <v>29406</v>
      </c>
      <c r="O518" s="910">
        <v>271425</v>
      </c>
      <c r="P518" s="910">
        <v>0</v>
      </c>
      <c r="Q518" s="909">
        <v>5641</v>
      </c>
      <c r="R518" s="910">
        <f t="shared" si="7"/>
        <v>463957</v>
      </c>
      <c r="S518" s="909"/>
      <c r="T518" s="910">
        <v>224298</v>
      </c>
      <c r="U518" s="912">
        <v>-610</v>
      </c>
      <c r="V518" s="912">
        <v>223688</v>
      </c>
    </row>
    <row r="519" spans="1:22" x14ac:dyDescent="0.25">
      <c r="A519" s="906">
        <v>95617</v>
      </c>
      <c r="B519" s="907" t="s">
        <v>3079</v>
      </c>
      <c r="C519" s="908">
        <v>1.6500000000000001E-5</v>
      </c>
      <c r="D519" s="908">
        <v>1.63E-5</v>
      </c>
      <c r="E519" s="909">
        <v>7075</v>
      </c>
      <c r="F519" s="909">
        <v>7315</v>
      </c>
      <c r="G519" s="909">
        <v>35019</v>
      </c>
      <c r="H519" s="909"/>
      <c r="I519" s="910">
        <v>657.9375</v>
      </c>
      <c r="J519" s="910">
        <v>30687</v>
      </c>
      <c r="K519" s="910">
        <v>2398</v>
      </c>
      <c r="L519" s="909">
        <v>338</v>
      </c>
      <c r="M519" s="909"/>
      <c r="N519" s="910">
        <v>1227</v>
      </c>
      <c r="O519" s="910">
        <v>11327</v>
      </c>
      <c r="P519" s="910">
        <v>0</v>
      </c>
      <c r="Q519" s="909">
        <v>2141</v>
      </c>
      <c r="R519" s="910">
        <f t="shared" ref="R519:R582" si="8">IF(J519&gt;O519,J519-O519,O519-J519)</f>
        <v>19360</v>
      </c>
      <c r="S519" s="909"/>
      <c r="T519" s="910">
        <v>9360</v>
      </c>
      <c r="U519" s="912">
        <v>-777</v>
      </c>
      <c r="V519" s="912">
        <v>8583</v>
      </c>
    </row>
    <row r="520" spans="1:22" x14ac:dyDescent="0.25">
      <c r="A520" s="906">
        <v>95621</v>
      </c>
      <c r="B520" s="907" t="s">
        <v>3080</v>
      </c>
      <c r="C520" s="908">
        <v>4.8020000000000002E-4</v>
      </c>
      <c r="D520" s="908">
        <v>5.0210000000000001E-4</v>
      </c>
      <c r="E520" s="909">
        <v>211840</v>
      </c>
      <c r="F520" s="909">
        <v>225339</v>
      </c>
      <c r="G520" s="909">
        <v>1019145</v>
      </c>
      <c r="H520" s="909"/>
      <c r="I520" s="910">
        <v>19148</v>
      </c>
      <c r="J520" s="910">
        <v>893096</v>
      </c>
      <c r="K520" s="910">
        <v>69802</v>
      </c>
      <c r="L520" s="909">
        <v>6364.02</v>
      </c>
      <c r="M520" s="909"/>
      <c r="N520" s="910">
        <v>35712</v>
      </c>
      <c r="O520" s="910">
        <v>329637</v>
      </c>
      <c r="P520" s="910">
        <v>0</v>
      </c>
      <c r="Q520" s="909">
        <v>3443</v>
      </c>
      <c r="R520" s="910">
        <f t="shared" si="8"/>
        <v>563459</v>
      </c>
      <c r="S520" s="909"/>
      <c r="T520" s="910">
        <v>272403</v>
      </c>
      <c r="U520" s="912">
        <v>2021</v>
      </c>
      <c r="V520" s="912">
        <v>274423</v>
      </c>
    </row>
    <row r="521" spans="1:22" x14ac:dyDescent="0.25">
      <c r="A521" s="906">
        <v>95701</v>
      </c>
      <c r="B521" s="907" t="s">
        <v>3081</v>
      </c>
      <c r="C521" s="908">
        <v>1.291E-3</v>
      </c>
      <c r="D521" s="908">
        <v>1.2436999999999999E-3</v>
      </c>
      <c r="E521" s="909">
        <v>517495</v>
      </c>
      <c r="F521" s="909">
        <v>558165</v>
      </c>
      <c r="G521" s="909">
        <v>2739934</v>
      </c>
      <c r="H521" s="909"/>
      <c r="I521" s="910">
        <v>51478.625</v>
      </c>
      <c r="J521" s="910">
        <v>2401056</v>
      </c>
      <c r="K521" s="910">
        <v>187661</v>
      </c>
      <c r="L521" s="909">
        <v>51877</v>
      </c>
      <c r="M521" s="909"/>
      <c r="N521" s="910">
        <v>96010</v>
      </c>
      <c r="O521" s="910">
        <v>886217</v>
      </c>
      <c r="P521" s="910">
        <v>0</v>
      </c>
      <c r="Q521" s="909">
        <v>0</v>
      </c>
      <c r="R521" s="910">
        <f t="shared" si="8"/>
        <v>1514839</v>
      </c>
      <c r="S521" s="909"/>
      <c r="T521" s="910">
        <v>732344</v>
      </c>
      <c r="U521" s="912">
        <v>20713</v>
      </c>
      <c r="V521" s="912">
        <v>753057</v>
      </c>
    </row>
    <row r="522" spans="1:22" x14ac:dyDescent="0.25">
      <c r="A522" s="906">
        <v>95711</v>
      </c>
      <c r="B522" s="907" t="s">
        <v>3082</v>
      </c>
      <c r="C522" s="908">
        <v>1.382E-4</v>
      </c>
      <c r="D522" s="908">
        <v>1.284E-4</v>
      </c>
      <c r="E522" s="909">
        <v>51439.57</v>
      </c>
      <c r="F522" s="909">
        <v>57625</v>
      </c>
      <c r="G522" s="909">
        <v>293307</v>
      </c>
      <c r="H522" s="909"/>
      <c r="I522" s="910">
        <v>5511</v>
      </c>
      <c r="J522" s="910">
        <v>257030</v>
      </c>
      <c r="K522" s="910">
        <v>20089</v>
      </c>
      <c r="L522" s="909">
        <v>9232</v>
      </c>
      <c r="M522" s="909"/>
      <c r="N522" s="910">
        <v>10278</v>
      </c>
      <c r="O522" s="910">
        <v>94868</v>
      </c>
      <c r="P522" s="910">
        <v>0</v>
      </c>
      <c r="Q522" s="909">
        <v>143</v>
      </c>
      <c r="R522" s="910">
        <f t="shared" si="8"/>
        <v>162162</v>
      </c>
      <c r="S522" s="909"/>
      <c r="T522" s="910">
        <v>78397</v>
      </c>
      <c r="U522" s="912">
        <v>3104</v>
      </c>
      <c r="V522" s="912">
        <v>81500</v>
      </c>
    </row>
    <row r="523" spans="1:22" x14ac:dyDescent="0.25">
      <c r="A523" s="906">
        <v>95721</v>
      </c>
      <c r="B523" s="907" t="s">
        <v>3083</v>
      </c>
      <c r="C523" s="908">
        <v>6.6199999999999996E-5</v>
      </c>
      <c r="D523" s="908">
        <v>6.7199999999999994E-5</v>
      </c>
      <c r="E523" s="909">
        <v>22493.79</v>
      </c>
      <c r="F523" s="909">
        <v>30159</v>
      </c>
      <c r="G523" s="909">
        <v>140499</v>
      </c>
      <c r="H523" s="909"/>
      <c r="I523" s="910">
        <v>2640</v>
      </c>
      <c r="J523" s="910">
        <v>123122</v>
      </c>
      <c r="K523" s="910">
        <v>9623</v>
      </c>
      <c r="L523" s="909">
        <v>0</v>
      </c>
      <c r="M523" s="909"/>
      <c r="N523" s="910">
        <v>4923</v>
      </c>
      <c r="O523" s="910">
        <v>45444</v>
      </c>
      <c r="P523" s="910">
        <v>0</v>
      </c>
      <c r="Q523" s="909">
        <v>9473</v>
      </c>
      <c r="R523" s="910">
        <f t="shared" si="8"/>
        <v>77678</v>
      </c>
      <c r="S523" s="909"/>
      <c r="T523" s="910">
        <v>37553</v>
      </c>
      <c r="U523" s="912">
        <v>-3665</v>
      </c>
      <c r="V523" s="912">
        <v>33888</v>
      </c>
    </row>
    <row r="524" spans="1:22" x14ac:dyDescent="0.25">
      <c r="A524" s="906">
        <v>95733</v>
      </c>
      <c r="B524" s="907" t="s">
        <v>3084</v>
      </c>
      <c r="C524" s="908">
        <v>1.56E-5</v>
      </c>
      <c r="D524" s="908">
        <v>1.63E-5</v>
      </c>
      <c r="E524" s="909">
        <v>6566</v>
      </c>
      <c r="F524" s="909">
        <v>7315</v>
      </c>
      <c r="G524" s="909">
        <v>33108</v>
      </c>
      <c r="H524" s="909"/>
      <c r="I524" s="910">
        <v>622</v>
      </c>
      <c r="J524" s="910">
        <v>29014</v>
      </c>
      <c r="K524" s="910">
        <v>2268</v>
      </c>
      <c r="L524" s="909">
        <v>926</v>
      </c>
      <c r="M524" s="909"/>
      <c r="N524" s="910">
        <v>1160</v>
      </c>
      <c r="O524" s="910">
        <v>10709</v>
      </c>
      <c r="P524" s="910">
        <v>0</v>
      </c>
      <c r="Q524" s="909">
        <v>259</v>
      </c>
      <c r="R524" s="910">
        <f t="shared" si="8"/>
        <v>18305</v>
      </c>
      <c r="S524" s="909"/>
      <c r="T524" s="910">
        <v>8849</v>
      </c>
      <c r="U524" s="912">
        <v>277</v>
      </c>
      <c r="V524" s="912">
        <v>9127</v>
      </c>
    </row>
    <row r="525" spans="1:22" x14ac:dyDescent="0.25">
      <c r="A525" s="906">
        <v>95801</v>
      </c>
      <c r="B525" s="907" t="s">
        <v>3085</v>
      </c>
      <c r="C525" s="908">
        <v>8.9349999999999998E-4</v>
      </c>
      <c r="D525" s="908">
        <v>9.1810000000000004E-4</v>
      </c>
      <c r="E525" s="909">
        <v>383793.67</v>
      </c>
      <c r="F525" s="909">
        <v>412038</v>
      </c>
      <c r="G525" s="909">
        <v>1896306</v>
      </c>
      <c r="H525" s="909"/>
      <c r="I525" s="910">
        <v>35628</v>
      </c>
      <c r="J525" s="910">
        <v>1661769</v>
      </c>
      <c r="K525" s="910">
        <v>129880</v>
      </c>
      <c r="L525" s="909">
        <v>14615</v>
      </c>
      <c r="M525" s="909"/>
      <c r="N525" s="910">
        <v>66449</v>
      </c>
      <c r="O525" s="910">
        <v>613350</v>
      </c>
      <c r="P525" s="910">
        <v>0</v>
      </c>
      <c r="Q525" s="909">
        <v>8079</v>
      </c>
      <c r="R525" s="910">
        <f t="shared" si="8"/>
        <v>1048419</v>
      </c>
      <c r="S525" s="909"/>
      <c r="T525" s="910">
        <v>506855</v>
      </c>
      <c r="U525" s="912">
        <v>1206</v>
      </c>
      <c r="V525" s="912">
        <v>508061</v>
      </c>
    </row>
    <row r="526" spans="1:22" x14ac:dyDescent="0.25">
      <c r="A526" s="906">
        <v>95802</v>
      </c>
      <c r="B526" s="907" t="s">
        <v>3086</v>
      </c>
      <c r="C526" s="908">
        <v>6.8000000000000001E-6</v>
      </c>
      <c r="D526" s="908">
        <v>6.8000000000000001E-6</v>
      </c>
      <c r="E526" s="909">
        <v>4626.88</v>
      </c>
      <c r="F526" s="909">
        <v>3052</v>
      </c>
      <c r="G526" s="909">
        <v>14432</v>
      </c>
      <c r="H526" s="909"/>
      <c r="I526" s="910">
        <v>271</v>
      </c>
      <c r="J526" s="910">
        <v>12647</v>
      </c>
      <c r="K526" s="910">
        <v>988</v>
      </c>
      <c r="L526" s="909">
        <v>2741</v>
      </c>
      <c r="M526" s="909"/>
      <c r="N526" s="910">
        <v>506</v>
      </c>
      <c r="O526" s="910">
        <v>4668</v>
      </c>
      <c r="P526" s="910">
        <v>0</v>
      </c>
      <c r="Q526" s="909">
        <v>2509</v>
      </c>
      <c r="R526" s="910">
        <f t="shared" si="8"/>
        <v>7979</v>
      </c>
      <c r="S526" s="909"/>
      <c r="T526" s="910">
        <v>3857</v>
      </c>
      <c r="U526" s="912">
        <v>-428</v>
      </c>
      <c r="V526" s="912">
        <v>3429</v>
      </c>
    </row>
    <row r="527" spans="1:22" x14ac:dyDescent="0.25">
      <c r="A527" s="906">
        <v>95804</v>
      </c>
      <c r="B527" s="907" t="s">
        <v>3087</v>
      </c>
      <c r="C527" s="908">
        <v>1.63E-5</v>
      </c>
      <c r="D527" s="908">
        <v>1.4399999999999999E-5</v>
      </c>
      <c r="E527" s="909">
        <v>6017.02</v>
      </c>
      <c r="F527" s="909">
        <v>6463</v>
      </c>
      <c r="G527" s="909">
        <v>34594</v>
      </c>
      <c r="H527" s="909"/>
      <c r="I527" s="910">
        <v>649.96249999999998</v>
      </c>
      <c r="J527" s="910">
        <v>30315</v>
      </c>
      <c r="K527" s="910">
        <v>2369</v>
      </c>
      <c r="L527" s="909">
        <v>3054</v>
      </c>
      <c r="M527" s="909"/>
      <c r="N527" s="910">
        <v>1212</v>
      </c>
      <c r="O527" s="910">
        <v>11189</v>
      </c>
      <c r="P527" s="910">
        <v>0</v>
      </c>
      <c r="Q527" s="909">
        <v>0</v>
      </c>
      <c r="R527" s="910">
        <f t="shared" si="8"/>
        <v>19126</v>
      </c>
      <c r="S527" s="909"/>
      <c r="T527" s="910">
        <v>9246</v>
      </c>
      <c r="U527" s="912">
        <v>1187</v>
      </c>
      <c r="V527" s="912">
        <v>10434</v>
      </c>
    </row>
    <row r="528" spans="1:22" x14ac:dyDescent="0.25">
      <c r="A528" s="906">
        <v>95811</v>
      </c>
      <c r="B528" s="907" t="s">
        <v>3088</v>
      </c>
      <c r="C528" s="908">
        <v>5.3410000000000003E-4</v>
      </c>
      <c r="D528" s="908">
        <v>5.2459999999999996E-4</v>
      </c>
      <c r="E528" s="909">
        <v>215302.64</v>
      </c>
      <c r="F528" s="909">
        <v>235437</v>
      </c>
      <c r="G528" s="909">
        <v>1133539</v>
      </c>
      <c r="H528" s="909"/>
      <c r="I528" s="910">
        <v>21297</v>
      </c>
      <c r="J528" s="910">
        <v>993342</v>
      </c>
      <c r="K528" s="910">
        <v>77637</v>
      </c>
      <c r="L528" s="909">
        <v>2541</v>
      </c>
      <c r="M528" s="909"/>
      <c r="N528" s="910">
        <v>39720</v>
      </c>
      <c r="O528" s="910">
        <v>366637</v>
      </c>
      <c r="P528" s="910">
        <v>0</v>
      </c>
      <c r="Q528" s="909">
        <v>5345</v>
      </c>
      <c r="R528" s="910">
        <f t="shared" si="8"/>
        <v>626705</v>
      </c>
      <c r="S528" s="909"/>
      <c r="T528" s="910">
        <v>302978</v>
      </c>
      <c r="U528" s="912">
        <v>-1032</v>
      </c>
      <c r="V528" s="912">
        <v>301947</v>
      </c>
    </row>
    <row r="529" spans="1:22" x14ac:dyDescent="0.25">
      <c r="A529" s="906">
        <v>95813</v>
      </c>
      <c r="B529" s="907" t="s">
        <v>3089</v>
      </c>
      <c r="C529" s="908">
        <v>4.4400000000000002E-5</v>
      </c>
      <c r="D529" s="908">
        <v>5.02E-5</v>
      </c>
      <c r="E529" s="909">
        <v>61209.42</v>
      </c>
      <c r="F529" s="909">
        <v>22529</v>
      </c>
      <c r="G529" s="909">
        <v>94232</v>
      </c>
      <c r="H529" s="909"/>
      <c r="I529" s="910">
        <v>1770.45</v>
      </c>
      <c r="J529" s="910">
        <v>82577</v>
      </c>
      <c r="K529" s="910">
        <v>6454</v>
      </c>
      <c r="L529" s="909">
        <v>51874</v>
      </c>
      <c r="M529" s="909"/>
      <c r="N529" s="910">
        <v>3302</v>
      </c>
      <c r="O529" s="910">
        <v>30479</v>
      </c>
      <c r="P529" s="910">
        <v>0</v>
      </c>
      <c r="Q529" s="909">
        <v>0</v>
      </c>
      <c r="R529" s="910">
        <f t="shared" si="8"/>
        <v>52098</v>
      </c>
      <c r="S529" s="909"/>
      <c r="T529" s="910">
        <v>25187</v>
      </c>
      <c r="U529" s="912">
        <v>15540</v>
      </c>
      <c r="V529" s="912">
        <v>40727</v>
      </c>
    </row>
    <row r="530" spans="1:22" x14ac:dyDescent="0.25">
      <c r="A530" s="906">
        <v>95821</v>
      </c>
      <c r="B530" s="907" t="s">
        <v>3090</v>
      </c>
      <c r="C530" s="908">
        <v>1.7E-6</v>
      </c>
      <c r="D530" s="908">
        <v>1.5999999999999999E-6</v>
      </c>
      <c r="E530" s="909">
        <v>1922</v>
      </c>
      <c r="F530" s="909">
        <v>718</v>
      </c>
      <c r="G530" s="909">
        <v>3608</v>
      </c>
      <c r="H530" s="909"/>
      <c r="I530" s="910">
        <v>68</v>
      </c>
      <c r="J530" s="910">
        <v>3162</v>
      </c>
      <c r="K530" s="910">
        <v>247</v>
      </c>
      <c r="L530" s="909">
        <v>1916</v>
      </c>
      <c r="M530" s="909"/>
      <c r="N530" s="910">
        <v>126</v>
      </c>
      <c r="O530" s="910">
        <v>1167</v>
      </c>
      <c r="P530" s="910">
        <v>0</v>
      </c>
      <c r="Q530" s="909">
        <v>0</v>
      </c>
      <c r="R530" s="910">
        <f t="shared" si="8"/>
        <v>1995</v>
      </c>
      <c r="S530" s="909"/>
      <c r="T530" s="910">
        <v>964</v>
      </c>
      <c r="U530" s="912">
        <v>623</v>
      </c>
      <c r="V530" s="912">
        <v>1587</v>
      </c>
    </row>
    <row r="531" spans="1:22" x14ac:dyDescent="0.25">
      <c r="A531" s="906">
        <v>95831</v>
      </c>
      <c r="B531" s="907" t="s">
        <v>3091</v>
      </c>
      <c r="C531" s="908">
        <v>1.36E-5</v>
      </c>
      <c r="D531" s="908">
        <v>1.9199999999999999E-5</v>
      </c>
      <c r="E531" s="909">
        <v>18920.61</v>
      </c>
      <c r="F531" s="909">
        <v>8617</v>
      </c>
      <c r="G531" s="909">
        <v>28864</v>
      </c>
      <c r="H531" s="909"/>
      <c r="I531" s="910">
        <v>542</v>
      </c>
      <c r="J531" s="910">
        <v>25294</v>
      </c>
      <c r="K531" s="910">
        <v>1977</v>
      </c>
      <c r="L531" s="909">
        <v>15027</v>
      </c>
      <c r="M531" s="909"/>
      <c r="N531" s="910">
        <v>1011</v>
      </c>
      <c r="O531" s="910">
        <v>9336</v>
      </c>
      <c r="P531" s="910">
        <v>0</v>
      </c>
      <c r="Q531" s="909">
        <v>0</v>
      </c>
      <c r="R531" s="910">
        <f t="shared" si="8"/>
        <v>15958</v>
      </c>
      <c r="S531" s="909"/>
      <c r="T531" s="910">
        <v>7715</v>
      </c>
      <c r="U531" s="912">
        <v>4667</v>
      </c>
      <c r="V531" s="912">
        <v>12382</v>
      </c>
    </row>
    <row r="532" spans="1:22" x14ac:dyDescent="0.25">
      <c r="A532" s="906">
        <v>95841</v>
      </c>
      <c r="B532" s="907" t="s">
        <v>3092</v>
      </c>
      <c r="C532" s="908">
        <v>2.1100000000000001E-5</v>
      </c>
      <c r="D532" s="908">
        <v>2.0699999999999998E-5</v>
      </c>
      <c r="E532" s="909">
        <v>9619.65</v>
      </c>
      <c r="F532" s="909">
        <v>9290</v>
      </c>
      <c r="G532" s="909">
        <v>44781</v>
      </c>
      <c r="H532" s="909"/>
      <c r="I532" s="910">
        <v>841</v>
      </c>
      <c r="J532" s="910">
        <v>39243</v>
      </c>
      <c r="K532" s="910">
        <v>3067</v>
      </c>
      <c r="L532" s="909">
        <v>1840</v>
      </c>
      <c r="M532" s="909"/>
      <c r="N532" s="910">
        <v>1569</v>
      </c>
      <c r="O532" s="910">
        <v>14484</v>
      </c>
      <c r="P532" s="910">
        <v>0</v>
      </c>
      <c r="Q532" s="909">
        <v>0</v>
      </c>
      <c r="R532" s="910">
        <f t="shared" si="8"/>
        <v>24759</v>
      </c>
      <c r="S532" s="909"/>
      <c r="T532" s="910">
        <v>11969</v>
      </c>
      <c r="U532" s="912">
        <v>601</v>
      </c>
      <c r="V532" s="912">
        <v>12570</v>
      </c>
    </row>
    <row r="533" spans="1:22" x14ac:dyDescent="0.25">
      <c r="A533" s="906">
        <v>95851</v>
      </c>
      <c r="B533" s="907" t="s">
        <v>3093</v>
      </c>
      <c r="C533" s="908">
        <v>1.3009999999999999E-4</v>
      </c>
      <c r="D533" s="908">
        <v>1.44E-4</v>
      </c>
      <c r="E533" s="909">
        <v>128218</v>
      </c>
      <c r="F533" s="909">
        <v>64626</v>
      </c>
      <c r="G533" s="909">
        <v>276116</v>
      </c>
      <c r="H533" s="909"/>
      <c r="I533" s="910">
        <v>5188</v>
      </c>
      <c r="J533" s="910">
        <v>241965</v>
      </c>
      <c r="K533" s="910">
        <v>18911</v>
      </c>
      <c r="L533" s="909">
        <v>90972</v>
      </c>
      <c r="M533" s="909"/>
      <c r="N533" s="910">
        <v>9675</v>
      </c>
      <c r="O533" s="910">
        <v>89308</v>
      </c>
      <c r="P533" s="910">
        <v>0</v>
      </c>
      <c r="Q533" s="909">
        <v>8402</v>
      </c>
      <c r="R533" s="910">
        <f t="shared" si="8"/>
        <v>152657</v>
      </c>
      <c r="S533" s="909"/>
      <c r="T533" s="910">
        <v>73802</v>
      </c>
      <c r="U533" s="912">
        <v>23087</v>
      </c>
      <c r="V533" s="912">
        <v>96889</v>
      </c>
    </row>
    <row r="534" spans="1:22" x14ac:dyDescent="0.25">
      <c r="A534" s="906">
        <v>95853</v>
      </c>
      <c r="B534" s="907" t="s">
        <v>3094</v>
      </c>
      <c r="C534" s="908">
        <v>2.4000000000000001E-5</v>
      </c>
      <c r="D534" s="908">
        <v>2.44E-5</v>
      </c>
      <c r="E534" s="909">
        <v>14930</v>
      </c>
      <c r="F534" s="909">
        <v>10951</v>
      </c>
      <c r="G534" s="909">
        <v>50936.04</v>
      </c>
      <c r="H534" s="909"/>
      <c r="I534" s="910">
        <v>957</v>
      </c>
      <c r="J534" s="910">
        <v>44636</v>
      </c>
      <c r="K534" s="910">
        <v>3489</v>
      </c>
      <c r="L534" s="909">
        <v>8043</v>
      </c>
      <c r="M534" s="909"/>
      <c r="N534" s="910">
        <v>1785</v>
      </c>
      <c r="O534" s="910">
        <v>16475</v>
      </c>
      <c r="P534" s="910">
        <v>0</v>
      </c>
      <c r="Q534" s="909">
        <v>0</v>
      </c>
      <c r="R534" s="910">
        <f t="shared" si="8"/>
        <v>28161</v>
      </c>
      <c r="S534" s="909"/>
      <c r="T534" s="910">
        <v>13614</v>
      </c>
      <c r="U534" s="912">
        <v>2790</v>
      </c>
      <c r="V534" s="912">
        <v>16405</v>
      </c>
    </row>
    <row r="535" spans="1:22" x14ac:dyDescent="0.25">
      <c r="A535" s="906">
        <v>95901</v>
      </c>
      <c r="B535" s="907" t="s">
        <v>3095</v>
      </c>
      <c r="C535" s="908">
        <v>1.8266999999999999E-3</v>
      </c>
      <c r="D535" s="908">
        <v>1.8056000000000001E-3</v>
      </c>
      <c r="E535" s="909">
        <v>722469.93</v>
      </c>
      <c r="F535" s="909">
        <v>810342</v>
      </c>
      <c r="G535" s="909">
        <v>3876869</v>
      </c>
      <c r="H535" s="909"/>
      <c r="I535" s="910">
        <v>72840</v>
      </c>
      <c r="J535" s="910">
        <v>3397373</v>
      </c>
      <c r="K535" s="910">
        <v>265531</v>
      </c>
      <c r="L535" s="909">
        <v>69258</v>
      </c>
      <c r="M535" s="909"/>
      <c r="N535" s="910">
        <v>135850</v>
      </c>
      <c r="O535" s="910">
        <v>1253953</v>
      </c>
      <c r="P535" s="910">
        <v>0</v>
      </c>
      <c r="Q535" s="909">
        <v>11402</v>
      </c>
      <c r="R535" s="910">
        <f t="shared" si="8"/>
        <v>2143420</v>
      </c>
      <c r="S535" s="909"/>
      <c r="T535" s="910">
        <v>1036230</v>
      </c>
      <c r="U535" s="912">
        <v>29652</v>
      </c>
      <c r="V535" s="912">
        <v>1065882</v>
      </c>
    </row>
    <row r="536" spans="1:22" x14ac:dyDescent="0.25">
      <c r="A536" s="906">
        <v>95908</v>
      </c>
      <c r="B536" s="907" t="s">
        <v>3096</v>
      </c>
      <c r="C536" s="908">
        <v>7.2000000000000002E-5</v>
      </c>
      <c r="D536" s="908">
        <v>6.6699999999999995E-5</v>
      </c>
      <c r="E536" s="909">
        <v>21165</v>
      </c>
      <c r="F536" s="909">
        <v>29935</v>
      </c>
      <c r="G536" s="909">
        <v>152808.12</v>
      </c>
      <c r="H536" s="909"/>
      <c r="I536" s="910">
        <v>2871</v>
      </c>
      <c r="J536" s="910">
        <v>133909</v>
      </c>
      <c r="K536" s="910">
        <v>10466</v>
      </c>
      <c r="L536" s="909">
        <v>0</v>
      </c>
      <c r="M536" s="909"/>
      <c r="N536" s="910">
        <v>5355</v>
      </c>
      <c r="O536" s="910">
        <v>49425</v>
      </c>
      <c r="P536" s="910">
        <v>0</v>
      </c>
      <c r="Q536" s="909">
        <v>24519</v>
      </c>
      <c r="R536" s="910">
        <f t="shared" si="8"/>
        <v>84484</v>
      </c>
      <c r="S536" s="909"/>
      <c r="T536" s="910">
        <v>40843</v>
      </c>
      <c r="U536" s="912">
        <v>-9060</v>
      </c>
      <c r="V536" s="912">
        <v>31784</v>
      </c>
    </row>
    <row r="537" spans="1:22" x14ac:dyDescent="0.25">
      <c r="A537" s="906">
        <v>95911</v>
      </c>
      <c r="B537" s="907" t="s">
        <v>3097</v>
      </c>
      <c r="C537" s="908">
        <v>5.6979999999999997E-4</v>
      </c>
      <c r="D537" s="908">
        <v>6.2100000000000002E-4</v>
      </c>
      <c r="E537" s="909">
        <v>226533</v>
      </c>
      <c r="F537" s="909">
        <v>278701</v>
      </c>
      <c r="G537" s="909">
        <v>1209306</v>
      </c>
      <c r="H537" s="909"/>
      <c r="I537" s="910">
        <v>22721</v>
      </c>
      <c r="J537" s="910">
        <v>1059738</v>
      </c>
      <c r="K537" s="910">
        <v>82827</v>
      </c>
      <c r="L537" s="909">
        <v>4490</v>
      </c>
      <c r="M537" s="909"/>
      <c r="N537" s="910">
        <v>42375</v>
      </c>
      <c r="O537" s="910">
        <v>391144</v>
      </c>
      <c r="P537" s="910">
        <v>0</v>
      </c>
      <c r="Q537" s="909">
        <v>41660</v>
      </c>
      <c r="R537" s="910">
        <f t="shared" si="8"/>
        <v>668594</v>
      </c>
      <c r="S537" s="909"/>
      <c r="T537" s="910">
        <v>323230</v>
      </c>
      <c r="U537" s="912">
        <v>-11084</v>
      </c>
      <c r="V537" s="912">
        <v>312146</v>
      </c>
    </row>
    <row r="538" spans="1:22" x14ac:dyDescent="0.25">
      <c r="A538" s="906">
        <v>95917</v>
      </c>
      <c r="B538" s="907" t="s">
        <v>3098</v>
      </c>
      <c r="C538" s="908">
        <v>2.2399999999999999E-5</v>
      </c>
      <c r="D538" s="908">
        <v>2.4499999999999999E-5</v>
      </c>
      <c r="E538" s="909">
        <v>9793</v>
      </c>
      <c r="F538" s="909">
        <v>10995</v>
      </c>
      <c r="G538" s="909">
        <v>47540</v>
      </c>
      <c r="H538" s="909"/>
      <c r="I538" s="910">
        <v>893</v>
      </c>
      <c r="J538" s="910">
        <v>41660</v>
      </c>
      <c r="K538" s="910">
        <v>3256</v>
      </c>
      <c r="L538" s="909">
        <v>4422</v>
      </c>
      <c r="M538" s="909"/>
      <c r="N538" s="910">
        <v>1666</v>
      </c>
      <c r="O538" s="910">
        <v>15377</v>
      </c>
      <c r="P538" s="910">
        <v>0</v>
      </c>
      <c r="Q538" s="909">
        <v>676</v>
      </c>
      <c r="R538" s="910">
        <f t="shared" si="8"/>
        <v>26283</v>
      </c>
      <c r="S538" s="909"/>
      <c r="T538" s="910">
        <v>12707</v>
      </c>
      <c r="U538" s="912">
        <v>1747</v>
      </c>
      <c r="V538" s="912">
        <v>14453</v>
      </c>
    </row>
    <row r="539" spans="1:22" x14ac:dyDescent="0.25">
      <c r="A539" s="906">
        <v>95921</v>
      </c>
      <c r="B539" s="907" t="s">
        <v>3099</v>
      </c>
      <c r="C539" s="908">
        <v>4.4700000000000002E-5</v>
      </c>
      <c r="D539" s="908">
        <v>3.4600000000000001E-5</v>
      </c>
      <c r="E539" s="909">
        <v>16579.87</v>
      </c>
      <c r="F539" s="909">
        <v>15528</v>
      </c>
      <c r="G539" s="909">
        <v>94868</v>
      </c>
      <c r="H539" s="909"/>
      <c r="I539" s="910">
        <v>1782</v>
      </c>
      <c r="J539" s="910">
        <v>83135</v>
      </c>
      <c r="K539" s="910">
        <v>6498</v>
      </c>
      <c r="L539" s="909">
        <v>5096</v>
      </c>
      <c r="M539" s="909"/>
      <c r="N539" s="910">
        <v>3324</v>
      </c>
      <c r="O539" s="910">
        <v>30685</v>
      </c>
      <c r="P539" s="910">
        <v>0</v>
      </c>
      <c r="Q539" s="909">
        <v>1906</v>
      </c>
      <c r="R539" s="910">
        <f t="shared" si="8"/>
        <v>52450</v>
      </c>
      <c r="S539" s="909"/>
      <c r="T539" s="910">
        <v>25357</v>
      </c>
      <c r="U539" s="912">
        <v>463</v>
      </c>
      <c r="V539" s="912">
        <v>25820</v>
      </c>
    </row>
    <row r="540" spans="1:22" x14ac:dyDescent="0.25">
      <c r="A540" s="906">
        <v>96001</v>
      </c>
      <c r="B540" s="907" t="s">
        <v>3100</v>
      </c>
      <c r="C540" s="908">
        <v>4.43519E-2</v>
      </c>
      <c r="D540" s="908">
        <v>4.41456E-2</v>
      </c>
      <c r="E540" s="909">
        <v>17742783</v>
      </c>
      <c r="F540" s="909">
        <v>19812280</v>
      </c>
      <c r="G540" s="909">
        <v>94129590</v>
      </c>
      <c r="H540" s="909"/>
      <c r="I540" s="910">
        <v>1768532</v>
      </c>
      <c r="J540" s="910">
        <v>82487526</v>
      </c>
      <c r="K540" s="910">
        <v>6447037</v>
      </c>
      <c r="L540" s="909">
        <v>2806449</v>
      </c>
      <c r="M540" s="909"/>
      <c r="N540" s="910">
        <v>3298406</v>
      </c>
      <c r="O540" s="910">
        <v>30445717</v>
      </c>
      <c r="P540" s="910">
        <v>0</v>
      </c>
      <c r="Q540" s="909">
        <v>282683</v>
      </c>
      <c r="R540" s="910">
        <f t="shared" si="8"/>
        <v>52041809</v>
      </c>
      <c r="S540" s="909"/>
      <c r="T540" s="910">
        <v>25159458</v>
      </c>
      <c r="U540" s="912">
        <v>1275874</v>
      </c>
      <c r="V540" s="912">
        <v>26435332</v>
      </c>
    </row>
    <row r="541" spans="1:22" x14ac:dyDescent="0.25">
      <c r="A541" s="906">
        <v>96003</v>
      </c>
      <c r="B541" s="907" t="s">
        <v>3101</v>
      </c>
      <c r="C541" s="908">
        <v>1.7309000000000001E-3</v>
      </c>
      <c r="D541" s="908">
        <v>1.7633E-3</v>
      </c>
      <c r="E541" s="909">
        <v>655848.02</v>
      </c>
      <c r="F541" s="909">
        <v>791358</v>
      </c>
      <c r="G541" s="909">
        <v>3673550</v>
      </c>
      <c r="H541" s="909"/>
      <c r="I541" s="910">
        <v>69020</v>
      </c>
      <c r="J541" s="910">
        <v>3219201</v>
      </c>
      <c r="K541" s="910">
        <v>251605</v>
      </c>
      <c r="L541" s="909">
        <v>4786</v>
      </c>
      <c r="M541" s="909"/>
      <c r="N541" s="910">
        <v>128725</v>
      </c>
      <c r="O541" s="910">
        <v>1188190</v>
      </c>
      <c r="P541" s="910">
        <v>0</v>
      </c>
      <c r="Q541" s="909">
        <v>112661</v>
      </c>
      <c r="R541" s="910">
        <f t="shared" si="8"/>
        <v>2031011</v>
      </c>
      <c r="S541" s="909"/>
      <c r="T541" s="910">
        <v>981886</v>
      </c>
      <c r="U541" s="912">
        <v>-39821</v>
      </c>
      <c r="V541" s="912">
        <v>942065</v>
      </c>
    </row>
    <row r="542" spans="1:22" x14ac:dyDescent="0.25">
      <c r="A542" s="906">
        <v>96004</v>
      </c>
      <c r="B542" s="907" t="s">
        <v>3102</v>
      </c>
      <c r="C542" s="908">
        <v>8.7699999999999996E-4</v>
      </c>
      <c r="D542" s="908">
        <v>8.208E-4</v>
      </c>
      <c r="E542" s="909">
        <v>400422.78</v>
      </c>
      <c r="F542" s="909">
        <v>368370</v>
      </c>
      <c r="G542" s="909">
        <v>1861288</v>
      </c>
      <c r="H542" s="909"/>
      <c r="I542" s="910">
        <v>34970.375</v>
      </c>
      <c r="J542" s="910">
        <v>1631081</v>
      </c>
      <c r="K542" s="910">
        <v>127482</v>
      </c>
      <c r="L542" s="909">
        <v>148722</v>
      </c>
      <c r="M542" s="909"/>
      <c r="N542" s="910">
        <v>65222</v>
      </c>
      <c r="O542" s="910">
        <v>602024</v>
      </c>
      <c r="P542" s="910">
        <v>0</v>
      </c>
      <c r="Q542" s="909">
        <v>0</v>
      </c>
      <c r="R542" s="910">
        <f t="shared" si="8"/>
        <v>1029057</v>
      </c>
      <c r="S542" s="909"/>
      <c r="T542" s="910">
        <v>497495</v>
      </c>
      <c r="U542" s="912">
        <v>52239</v>
      </c>
      <c r="V542" s="912">
        <v>549734</v>
      </c>
    </row>
    <row r="543" spans="1:22" x14ac:dyDescent="0.25">
      <c r="A543" s="906">
        <v>96005</v>
      </c>
      <c r="B543" s="907" t="s">
        <v>3103</v>
      </c>
      <c r="C543" s="908">
        <v>2.6457E-3</v>
      </c>
      <c r="D543" s="908">
        <v>2.6692E-3</v>
      </c>
      <c r="E543" s="909">
        <v>1120532</v>
      </c>
      <c r="F543" s="909">
        <v>1197921</v>
      </c>
      <c r="G543" s="909">
        <v>5615062</v>
      </c>
      <c r="H543" s="909"/>
      <c r="I543" s="910">
        <v>105497</v>
      </c>
      <c r="J543" s="910">
        <v>4920584</v>
      </c>
      <c r="K543" s="910">
        <v>384582</v>
      </c>
      <c r="L543" s="909">
        <v>345182</v>
      </c>
      <c r="M543" s="909"/>
      <c r="N543" s="910">
        <v>196758</v>
      </c>
      <c r="O543" s="910">
        <v>1816162</v>
      </c>
      <c r="P543" s="910">
        <v>0</v>
      </c>
      <c r="Q543" s="909">
        <v>0</v>
      </c>
      <c r="R543" s="910">
        <f t="shared" si="8"/>
        <v>3104422</v>
      </c>
      <c r="S543" s="909"/>
      <c r="T543" s="910">
        <v>1500824</v>
      </c>
      <c r="U543" s="912">
        <v>151849</v>
      </c>
      <c r="V543" s="912">
        <v>1652672</v>
      </c>
    </row>
    <row r="544" spans="1:22" x14ac:dyDescent="0.25">
      <c r="A544" s="906">
        <v>96008</v>
      </c>
      <c r="B544" s="907" t="s">
        <v>3104</v>
      </c>
      <c r="C544" s="908">
        <v>5.9388000000000002E-3</v>
      </c>
      <c r="D544" s="908">
        <v>5.4187000000000003E-3</v>
      </c>
      <c r="E544" s="909">
        <v>1816865.04</v>
      </c>
      <c r="F544" s="909">
        <v>2431880</v>
      </c>
      <c r="G544" s="909">
        <v>12604123</v>
      </c>
      <c r="H544" s="909"/>
      <c r="I544" s="910">
        <v>236809.65</v>
      </c>
      <c r="J544" s="910">
        <v>11045230</v>
      </c>
      <c r="K544" s="910">
        <v>863270</v>
      </c>
      <c r="L544" s="909">
        <v>0</v>
      </c>
      <c r="M544" s="909"/>
      <c r="N544" s="910">
        <v>441663</v>
      </c>
      <c r="O544" s="910">
        <v>4076737</v>
      </c>
      <c r="P544" s="910">
        <v>0</v>
      </c>
      <c r="Q544" s="909">
        <v>411808</v>
      </c>
      <c r="R544" s="910">
        <f t="shared" si="8"/>
        <v>6968493</v>
      </c>
      <c r="S544" s="909"/>
      <c r="T544" s="910">
        <v>3368897</v>
      </c>
      <c r="U544" s="912">
        <v>-148661</v>
      </c>
      <c r="V544" s="912">
        <v>3220236</v>
      </c>
    </row>
    <row r="545" spans="1:22" x14ac:dyDescent="0.25">
      <c r="A545" s="906">
        <v>96009</v>
      </c>
      <c r="B545" s="907" t="s">
        <v>3105</v>
      </c>
      <c r="C545" s="908">
        <v>3.5980000000000002E-4</v>
      </c>
      <c r="D545" s="908">
        <v>3.9110000000000002E-4</v>
      </c>
      <c r="E545" s="909">
        <v>164905</v>
      </c>
      <c r="F545" s="909">
        <v>175523</v>
      </c>
      <c r="G545" s="909">
        <v>763616</v>
      </c>
      <c r="H545" s="909"/>
      <c r="I545" s="910">
        <v>14347</v>
      </c>
      <c r="J545" s="910">
        <v>669171</v>
      </c>
      <c r="K545" s="910">
        <v>52301</v>
      </c>
      <c r="L545" s="909">
        <v>12534</v>
      </c>
      <c r="M545" s="909"/>
      <c r="N545" s="910">
        <v>26758</v>
      </c>
      <c r="O545" s="910">
        <v>246988</v>
      </c>
      <c r="P545" s="910">
        <v>0</v>
      </c>
      <c r="Q545" s="909">
        <v>3502</v>
      </c>
      <c r="R545" s="910">
        <f t="shared" si="8"/>
        <v>422183</v>
      </c>
      <c r="S545" s="909"/>
      <c r="T545" s="910">
        <v>204103</v>
      </c>
      <c r="U545" s="912">
        <v>4895</v>
      </c>
      <c r="V545" s="912">
        <v>208999</v>
      </c>
    </row>
    <row r="546" spans="1:22" x14ac:dyDescent="0.25">
      <c r="A546" s="906">
        <v>96011</v>
      </c>
      <c r="B546" s="907" t="s">
        <v>3106</v>
      </c>
      <c r="C546" s="908">
        <v>6.0489000000000001E-2</v>
      </c>
      <c r="D546" s="908">
        <v>5.8946100000000001E-2</v>
      </c>
      <c r="E546" s="909">
        <v>23738140</v>
      </c>
      <c r="F546" s="909">
        <v>26454656</v>
      </c>
      <c r="G546" s="909">
        <v>128377922</v>
      </c>
      <c r="H546" s="909"/>
      <c r="I546" s="910">
        <v>2411999</v>
      </c>
      <c r="J546" s="910">
        <v>112499983</v>
      </c>
      <c r="K546" s="910">
        <v>8792742</v>
      </c>
      <c r="L546" s="909">
        <v>167249</v>
      </c>
      <c r="M546" s="909"/>
      <c r="N546" s="910">
        <v>4498506</v>
      </c>
      <c r="O546" s="910">
        <v>41523158</v>
      </c>
      <c r="P546" s="910">
        <v>0</v>
      </c>
      <c r="Q546" s="909">
        <v>70330</v>
      </c>
      <c r="R546" s="910">
        <f t="shared" si="8"/>
        <v>70976825</v>
      </c>
      <c r="S546" s="909"/>
      <c r="T546" s="910">
        <v>34313535</v>
      </c>
      <c r="U546" s="912">
        <v>40438</v>
      </c>
      <c r="V546" s="912">
        <v>34353973</v>
      </c>
    </row>
    <row r="547" spans="1:22" x14ac:dyDescent="0.25">
      <c r="A547" s="906">
        <v>96012</v>
      </c>
      <c r="B547" s="907" t="s">
        <v>3107</v>
      </c>
      <c r="C547" s="908">
        <v>2.4095000000000002E-3</v>
      </c>
      <c r="D547" s="908">
        <v>2.1905000000000002E-3</v>
      </c>
      <c r="E547" s="909">
        <v>930120</v>
      </c>
      <c r="F547" s="909">
        <v>983083</v>
      </c>
      <c r="G547" s="909">
        <v>5113766</v>
      </c>
      <c r="H547" s="909"/>
      <c r="I547" s="910">
        <v>96079</v>
      </c>
      <c r="J547" s="910">
        <v>4481289</v>
      </c>
      <c r="K547" s="910">
        <v>350247</v>
      </c>
      <c r="L547" s="909">
        <v>112910</v>
      </c>
      <c r="M547" s="909"/>
      <c r="N547" s="910">
        <v>179192</v>
      </c>
      <c r="O547" s="910">
        <v>1654021</v>
      </c>
      <c r="P547" s="910">
        <v>0</v>
      </c>
      <c r="Q547" s="909">
        <v>0</v>
      </c>
      <c r="R547" s="910">
        <f t="shared" si="8"/>
        <v>2827268</v>
      </c>
      <c r="S547" s="909"/>
      <c r="T547" s="910">
        <v>1366835</v>
      </c>
      <c r="U547" s="912">
        <v>35829</v>
      </c>
      <c r="V547" s="912">
        <v>1402664</v>
      </c>
    </row>
    <row r="548" spans="1:22" x14ac:dyDescent="0.25">
      <c r="A548" s="906">
        <v>96018</v>
      </c>
      <c r="B548" s="907" t="s">
        <v>3108</v>
      </c>
      <c r="C548" s="908">
        <v>3.6199999999999999E-5</v>
      </c>
      <c r="D548" s="908">
        <v>3.3599999999999997E-5</v>
      </c>
      <c r="E548" s="909">
        <v>13499</v>
      </c>
      <c r="F548" s="909">
        <v>15079</v>
      </c>
      <c r="G548" s="909">
        <v>76829</v>
      </c>
      <c r="H548" s="909"/>
      <c r="I548" s="910">
        <v>1443.4749999999999</v>
      </c>
      <c r="J548" s="910">
        <v>67326</v>
      </c>
      <c r="K548" s="910">
        <v>5262</v>
      </c>
      <c r="L548" s="909">
        <v>11396</v>
      </c>
      <c r="M548" s="909"/>
      <c r="N548" s="910">
        <v>2692</v>
      </c>
      <c r="O548" s="910">
        <v>24850</v>
      </c>
      <c r="P548" s="910">
        <v>0</v>
      </c>
      <c r="Q548" s="909">
        <v>0</v>
      </c>
      <c r="R548" s="910">
        <f t="shared" si="8"/>
        <v>42476</v>
      </c>
      <c r="S548" s="909"/>
      <c r="T548" s="910">
        <v>20535</v>
      </c>
      <c r="U548" s="912">
        <v>5069</v>
      </c>
      <c r="V548" s="912">
        <v>25604</v>
      </c>
    </row>
    <row r="549" spans="1:22" x14ac:dyDescent="0.25">
      <c r="A549" s="906">
        <v>96021</v>
      </c>
      <c r="B549" s="907" t="s">
        <v>3109</v>
      </c>
      <c r="C549" s="908">
        <v>8.5829999999999999E-4</v>
      </c>
      <c r="D549" s="908">
        <v>8.8719999999999999E-4</v>
      </c>
      <c r="E549" s="909">
        <v>330918.43</v>
      </c>
      <c r="F549" s="909">
        <v>398170</v>
      </c>
      <c r="G549" s="909">
        <v>1821600</v>
      </c>
      <c r="H549" s="909"/>
      <c r="I549" s="910">
        <v>34225</v>
      </c>
      <c r="J549" s="910">
        <v>1596302</v>
      </c>
      <c r="K549" s="910">
        <v>124763</v>
      </c>
      <c r="L549" s="909">
        <v>50366</v>
      </c>
      <c r="M549" s="909"/>
      <c r="N549" s="910">
        <v>63831</v>
      </c>
      <c r="O549" s="910">
        <v>589187</v>
      </c>
      <c r="P549" s="910">
        <v>0</v>
      </c>
      <c r="Q549" s="909">
        <v>33170</v>
      </c>
      <c r="R549" s="910">
        <f t="shared" si="8"/>
        <v>1007115</v>
      </c>
      <c r="S549" s="909"/>
      <c r="T549" s="910">
        <v>486887</v>
      </c>
      <c r="U549" s="912">
        <v>9814</v>
      </c>
      <c r="V549" s="912">
        <v>496701</v>
      </c>
    </row>
    <row r="550" spans="1:22" x14ac:dyDescent="0.25">
      <c r="A550" s="906">
        <v>96031</v>
      </c>
      <c r="B550" s="907" t="s">
        <v>3110</v>
      </c>
      <c r="C550" s="908">
        <v>9.0189999999999997E-4</v>
      </c>
      <c r="D550" s="908">
        <v>8.116E-4</v>
      </c>
      <c r="E550" s="909">
        <v>268947</v>
      </c>
      <c r="F550" s="909">
        <v>364241</v>
      </c>
      <c r="G550" s="909">
        <v>1914134</v>
      </c>
      <c r="H550" s="909"/>
      <c r="I550" s="910">
        <v>35963</v>
      </c>
      <c r="J550" s="910">
        <v>1677391</v>
      </c>
      <c r="K550" s="910">
        <v>131101</v>
      </c>
      <c r="L550" s="909">
        <v>0</v>
      </c>
      <c r="M550" s="909"/>
      <c r="N550" s="910">
        <v>67073</v>
      </c>
      <c r="O550" s="910">
        <v>619116</v>
      </c>
      <c r="P550" s="910">
        <v>0</v>
      </c>
      <c r="Q550" s="909">
        <v>136310</v>
      </c>
      <c r="R550" s="910">
        <f t="shared" si="8"/>
        <v>1058275</v>
      </c>
      <c r="S550" s="909"/>
      <c r="T550" s="910">
        <v>511620</v>
      </c>
      <c r="U550" s="912">
        <v>-50978</v>
      </c>
      <c r="V550" s="912">
        <v>460642</v>
      </c>
    </row>
    <row r="551" spans="1:22" x14ac:dyDescent="0.25">
      <c r="A551" s="906">
        <v>96041</v>
      </c>
      <c r="B551" s="907" t="s">
        <v>3111</v>
      </c>
      <c r="C551" s="908">
        <v>1.7323E-3</v>
      </c>
      <c r="D551" s="908">
        <v>1.6793999999999999E-3</v>
      </c>
      <c r="E551" s="909">
        <v>616935</v>
      </c>
      <c r="F551" s="909">
        <v>753705</v>
      </c>
      <c r="G551" s="909">
        <v>3676521</v>
      </c>
      <c r="H551" s="909"/>
      <c r="I551" s="910">
        <v>69075</v>
      </c>
      <c r="J551" s="910">
        <v>3221804</v>
      </c>
      <c r="K551" s="910">
        <v>251809</v>
      </c>
      <c r="L551" s="909">
        <v>0</v>
      </c>
      <c r="M551" s="909"/>
      <c r="N551" s="910">
        <v>128829</v>
      </c>
      <c r="O551" s="910">
        <v>1189151</v>
      </c>
      <c r="P551" s="910">
        <v>0</v>
      </c>
      <c r="Q551" s="909">
        <v>127191</v>
      </c>
      <c r="R551" s="910">
        <f t="shared" si="8"/>
        <v>2032653</v>
      </c>
      <c r="S551" s="909"/>
      <c r="T551" s="910">
        <v>982680</v>
      </c>
      <c r="U551" s="912">
        <v>-45617</v>
      </c>
      <c r="V551" s="912">
        <v>937063</v>
      </c>
    </row>
    <row r="552" spans="1:22" x14ac:dyDescent="0.25">
      <c r="A552" s="906">
        <v>96051</v>
      </c>
      <c r="B552" s="907" t="s">
        <v>3112</v>
      </c>
      <c r="C552" s="908">
        <v>1.0258000000000001E-3</v>
      </c>
      <c r="D552" s="908">
        <v>1.0265999999999999E-3</v>
      </c>
      <c r="E552" s="909">
        <v>369762</v>
      </c>
      <c r="F552" s="909">
        <v>460732</v>
      </c>
      <c r="G552" s="909">
        <v>2177091</v>
      </c>
      <c r="H552" s="909"/>
      <c r="I552" s="910">
        <v>40904</v>
      </c>
      <c r="J552" s="910">
        <v>1907826</v>
      </c>
      <c r="K552" s="910">
        <v>149111</v>
      </c>
      <c r="L552" s="909">
        <v>0</v>
      </c>
      <c r="M552" s="909"/>
      <c r="N552" s="910">
        <v>76288</v>
      </c>
      <c r="O552" s="910">
        <v>704169</v>
      </c>
      <c r="P552" s="910">
        <v>0</v>
      </c>
      <c r="Q552" s="909">
        <v>94345</v>
      </c>
      <c r="R552" s="910">
        <f t="shared" si="8"/>
        <v>1203657</v>
      </c>
      <c r="S552" s="909"/>
      <c r="T552" s="910">
        <v>581905</v>
      </c>
      <c r="U552" s="912">
        <v>-32749</v>
      </c>
      <c r="V552" s="912">
        <v>549156</v>
      </c>
    </row>
    <row r="553" spans="1:22" x14ac:dyDescent="0.25">
      <c r="A553" s="906">
        <v>96061</v>
      </c>
      <c r="B553" s="907" t="s">
        <v>3113</v>
      </c>
      <c r="C553" s="908">
        <v>3.0800000000000001E-4</v>
      </c>
      <c r="D553" s="908">
        <v>3.1809999999999998E-4</v>
      </c>
      <c r="E553" s="909">
        <v>123610</v>
      </c>
      <c r="F553" s="909">
        <v>142761</v>
      </c>
      <c r="G553" s="909">
        <v>653679</v>
      </c>
      <c r="H553" s="909"/>
      <c r="I553" s="910">
        <v>12281.5</v>
      </c>
      <c r="J553" s="910">
        <v>572831</v>
      </c>
      <c r="K553" s="910">
        <v>44771</v>
      </c>
      <c r="L553" s="909">
        <v>2239</v>
      </c>
      <c r="M553" s="909"/>
      <c r="N553" s="910">
        <v>22906</v>
      </c>
      <c r="O553" s="910">
        <v>211429</v>
      </c>
      <c r="P553" s="910">
        <v>0</v>
      </c>
      <c r="Q553" s="909">
        <v>11106</v>
      </c>
      <c r="R553" s="910">
        <f t="shared" si="8"/>
        <v>361402</v>
      </c>
      <c r="S553" s="909"/>
      <c r="T553" s="910">
        <v>174719</v>
      </c>
      <c r="U553" s="912">
        <v>-2865</v>
      </c>
      <c r="V553" s="912">
        <v>171854</v>
      </c>
    </row>
    <row r="554" spans="1:22" x14ac:dyDescent="0.25">
      <c r="A554" s="906">
        <v>96071</v>
      </c>
      <c r="B554" s="907" t="s">
        <v>3114</v>
      </c>
      <c r="C554" s="908">
        <v>1.1280999999999999E-3</v>
      </c>
      <c r="D554" s="908">
        <v>1.2979000000000001E-3</v>
      </c>
      <c r="E554" s="909">
        <v>475581.26</v>
      </c>
      <c r="F554" s="909">
        <v>582490</v>
      </c>
      <c r="G554" s="909">
        <v>2394206</v>
      </c>
      <c r="H554" s="909"/>
      <c r="I554" s="910">
        <v>44983</v>
      </c>
      <c r="J554" s="910">
        <v>2098088</v>
      </c>
      <c r="K554" s="910">
        <v>163982</v>
      </c>
      <c r="L554" s="909">
        <v>64300</v>
      </c>
      <c r="M554" s="909"/>
      <c r="N554" s="910">
        <v>83896</v>
      </c>
      <c r="O554" s="910">
        <v>774393</v>
      </c>
      <c r="P554" s="910">
        <v>0</v>
      </c>
      <c r="Q554" s="909">
        <v>103673</v>
      </c>
      <c r="R554" s="910">
        <f t="shared" si="8"/>
        <v>1323695</v>
      </c>
      <c r="S554" s="909"/>
      <c r="T554" s="910">
        <v>639936</v>
      </c>
      <c r="U554" s="912">
        <v>-9157</v>
      </c>
      <c r="V554" s="912">
        <v>630779</v>
      </c>
    </row>
    <row r="555" spans="1:22" x14ac:dyDescent="0.25">
      <c r="A555" s="906">
        <v>96081</v>
      </c>
      <c r="B555" s="907" t="s">
        <v>3115</v>
      </c>
      <c r="C555" s="908">
        <v>4.7820000000000002E-4</v>
      </c>
      <c r="D555" s="908">
        <v>4.3820000000000003E-4</v>
      </c>
      <c r="E555" s="909">
        <v>172267</v>
      </c>
      <c r="F555" s="909">
        <v>196662</v>
      </c>
      <c r="G555" s="909">
        <v>1014901</v>
      </c>
      <c r="H555" s="909"/>
      <c r="I555" s="910">
        <v>19068</v>
      </c>
      <c r="J555" s="910">
        <v>889376</v>
      </c>
      <c r="K555" s="910">
        <v>69512</v>
      </c>
      <c r="L555" s="909">
        <v>14379</v>
      </c>
      <c r="M555" s="909"/>
      <c r="N555" s="910">
        <v>35563</v>
      </c>
      <c r="O555" s="910">
        <v>328264</v>
      </c>
      <c r="P555" s="910">
        <v>0</v>
      </c>
      <c r="Q555" s="909">
        <v>6375</v>
      </c>
      <c r="R555" s="910">
        <f t="shared" si="8"/>
        <v>561112</v>
      </c>
      <c r="S555" s="909"/>
      <c r="T555" s="910">
        <v>271268</v>
      </c>
      <c r="U555" s="912">
        <v>4406</v>
      </c>
      <c r="V555" s="912">
        <v>275674</v>
      </c>
    </row>
    <row r="556" spans="1:22" x14ac:dyDescent="0.25">
      <c r="A556" s="906">
        <v>96101</v>
      </c>
      <c r="B556" s="907" t="s">
        <v>3116</v>
      </c>
      <c r="C556" s="908">
        <v>7.5860000000000001E-4</v>
      </c>
      <c r="D556" s="908">
        <v>7.6990000000000001E-4</v>
      </c>
      <c r="E556" s="909">
        <v>313732</v>
      </c>
      <c r="F556" s="909">
        <v>345527</v>
      </c>
      <c r="G556" s="909">
        <v>1610003</v>
      </c>
      <c r="H556" s="909"/>
      <c r="I556" s="910">
        <v>30249</v>
      </c>
      <c r="J556" s="910">
        <v>1410876</v>
      </c>
      <c r="K556" s="910">
        <v>110271</v>
      </c>
      <c r="L556" s="909">
        <v>31021</v>
      </c>
      <c r="M556" s="909"/>
      <c r="N556" s="910">
        <v>56416</v>
      </c>
      <c r="O556" s="910">
        <v>520747</v>
      </c>
      <c r="P556" s="910">
        <v>0</v>
      </c>
      <c r="Q556" s="909">
        <v>4721</v>
      </c>
      <c r="R556" s="910">
        <f t="shared" si="8"/>
        <v>890129</v>
      </c>
      <c r="S556" s="909"/>
      <c r="T556" s="910">
        <v>430330</v>
      </c>
      <c r="U556" s="912">
        <v>11900</v>
      </c>
      <c r="V556" s="912">
        <v>442230</v>
      </c>
    </row>
    <row r="557" spans="1:22" x14ac:dyDescent="0.25">
      <c r="A557" s="906">
        <v>96102</v>
      </c>
      <c r="B557" s="907" t="s">
        <v>3117</v>
      </c>
      <c r="C557" s="908">
        <v>1.42E-5</v>
      </c>
      <c r="D557" s="908">
        <v>1.3699999999999999E-5</v>
      </c>
      <c r="E557" s="909">
        <v>4769.91</v>
      </c>
      <c r="F557" s="909">
        <v>6148</v>
      </c>
      <c r="G557" s="909">
        <v>30137</v>
      </c>
      <c r="H557" s="909"/>
      <c r="I557" s="910">
        <v>566.22500000000002</v>
      </c>
      <c r="J557" s="910">
        <v>26410</v>
      </c>
      <c r="K557" s="910">
        <v>2064</v>
      </c>
      <c r="L557" s="909">
        <v>0</v>
      </c>
      <c r="M557" s="909"/>
      <c r="N557" s="910">
        <v>1056</v>
      </c>
      <c r="O557" s="910">
        <v>9748</v>
      </c>
      <c r="P557" s="910">
        <v>0</v>
      </c>
      <c r="Q557" s="909">
        <v>2903</v>
      </c>
      <c r="R557" s="910">
        <f t="shared" si="8"/>
        <v>16662</v>
      </c>
      <c r="S557" s="909"/>
      <c r="T557" s="910">
        <v>8055</v>
      </c>
      <c r="U557" s="912">
        <v>-1101</v>
      </c>
      <c r="V557" s="912">
        <v>6954</v>
      </c>
    </row>
    <row r="558" spans="1:22" x14ac:dyDescent="0.25">
      <c r="A558" s="906">
        <v>96111</v>
      </c>
      <c r="B558" s="907" t="s">
        <v>3118</v>
      </c>
      <c r="C558" s="908">
        <v>1.6119999999999999E-4</v>
      </c>
      <c r="D558" s="908">
        <v>1.616E-4</v>
      </c>
      <c r="E558" s="909">
        <v>70991.37</v>
      </c>
      <c r="F558" s="909">
        <v>72525</v>
      </c>
      <c r="G558" s="909">
        <v>342120</v>
      </c>
      <c r="H558" s="909"/>
      <c r="I558" s="910">
        <v>6428</v>
      </c>
      <c r="J558" s="910">
        <v>299807</v>
      </c>
      <c r="K558" s="910">
        <v>23432</v>
      </c>
      <c r="L558" s="909">
        <v>16577</v>
      </c>
      <c r="M558" s="909"/>
      <c r="N558" s="910">
        <v>11988</v>
      </c>
      <c r="O558" s="910">
        <v>110657</v>
      </c>
      <c r="P558" s="910">
        <v>0</v>
      </c>
      <c r="Q558" s="909">
        <v>0</v>
      </c>
      <c r="R558" s="910">
        <f t="shared" si="8"/>
        <v>189150</v>
      </c>
      <c r="S558" s="909"/>
      <c r="T558" s="910">
        <v>91444</v>
      </c>
      <c r="U558" s="912">
        <v>7175</v>
      </c>
      <c r="V558" s="912">
        <v>98618</v>
      </c>
    </row>
    <row r="559" spans="1:22" x14ac:dyDescent="0.25">
      <c r="A559" s="906">
        <v>96121</v>
      </c>
      <c r="B559" s="907" t="s">
        <v>3119</v>
      </c>
      <c r="C559" s="908">
        <v>2.2099999999999998E-5</v>
      </c>
      <c r="D559" s="908">
        <v>1.9199999999999999E-5</v>
      </c>
      <c r="E559" s="909">
        <v>7784.73</v>
      </c>
      <c r="F559" s="909">
        <v>8617</v>
      </c>
      <c r="G559" s="909">
        <v>46904</v>
      </c>
      <c r="H559" s="909"/>
      <c r="I559" s="910">
        <v>881.23749999999995</v>
      </c>
      <c r="J559" s="910">
        <v>41103</v>
      </c>
      <c r="K559" s="910">
        <v>3212</v>
      </c>
      <c r="L559" s="909">
        <v>535</v>
      </c>
      <c r="M559" s="909"/>
      <c r="N559" s="910">
        <v>1644</v>
      </c>
      <c r="O559" s="910">
        <v>15171</v>
      </c>
      <c r="P559" s="910">
        <v>0</v>
      </c>
      <c r="Q559" s="909">
        <v>1907</v>
      </c>
      <c r="R559" s="910">
        <f t="shared" si="8"/>
        <v>25932</v>
      </c>
      <c r="S559" s="909"/>
      <c r="T559" s="910">
        <v>12537</v>
      </c>
      <c r="U559" s="912">
        <v>-758</v>
      </c>
      <c r="V559" s="912">
        <v>11779</v>
      </c>
    </row>
    <row r="560" spans="1:22" x14ac:dyDescent="0.25">
      <c r="A560" s="906">
        <v>96201</v>
      </c>
      <c r="B560" s="907" t="s">
        <v>3120</v>
      </c>
      <c r="C560" s="908">
        <v>1.2302999999999999E-3</v>
      </c>
      <c r="D560" s="908">
        <v>1.2474000000000001E-3</v>
      </c>
      <c r="E560" s="909">
        <v>481242.57</v>
      </c>
      <c r="F560" s="909">
        <v>559826</v>
      </c>
      <c r="G560" s="909">
        <v>2611109</v>
      </c>
      <c r="H560" s="909"/>
      <c r="I560" s="910">
        <v>49058</v>
      </c>
      <c r="J560" s="910">
        <v>2288164</v>
      </c>
      <c r="K560" s="910">
        <v>178838</v>
      </c>
      <c r="L560" s="909">
        <v>0</v>
      </c>
      <c r="M560" s="909"/>
      <c r="N560" s="910">
        <v>91496</v>
      </c>
      <c r="O560" s="910">
        <v>844549</v>
      </c>
      <c r="P560" s="910">
        <v>0</v>
      </c>
      <c r="Q560" s="909">
        <v>39692</v>
      </c>
      <c r="R560" s="910">
        <f t="shared" si="8"/>
        <v>1443615</v>
      </c>
      <c r="S560" s="909"/>
      <c r="T560" s="910">
        <v>697911</v>
      </c>
      <c r="U560" s="912">
        <v>-11921</v>
      </c>
      <c r="V560" s="912">
        <v>685990</v>
      </c>
    </row>
    <row r="561" spans="1:22" x14ac:dyDescent="0.25">
      <c r="A561" s="906">
        <v>96204</v>
      </c>
      <c r="B561" s="907" t="s">
        <v>3121</v>
      </c>
      <c r="C561" s="908">
        <v>1.5400000000000002E-5</v>
      </c>
      <c r="D561" s="908">
        <v>1.49E-5</v>
      </c>
      <c r="E561" s="909">
        <v>7656</v>
      </c>
      <c r="F561" s="909">
        <v>6687</v>
      </c>
      <c r="G561" s="909">
        <v>32684</v>
      </c>
      <c r="H561" s="909"/>
      <c r="I561" s="910">
        <v>614</v>
      </c>
      <c r="J561" s="910">
        <v>28642</v>
      </c>
      <c r="K561" s="910">
        <v>2239</v>
      </c>
      <c r="L561" s="909">
        <v>3853</v>
      </c>
      <c r="M561" s="909"/>
      <c r="N561" s="910">
        <v>1145</v>
      </c>
      <c r="O561" s="910">
        <v>10571</v>
      </c>
      <c r="P561" s="910">
        <v>0</v>
      </c>
      <c r="Q561" s="909">
        <v>0</v>
      </c>
      <c r="R561" s="910">
        <f t="shared" si="8"/>
        <v>18071</v>
      </c>
      <c r="S561" s="909"/>
      <c r="T561" s="910">
        <v>8736</v>
      </c>
      <c r="U561" s="912">
        <v>1392</v>
      </c>
      <c r="V561" s="912">
        <v>10127</v>
      </c>
    </row>
    <row r="562" spans="1:22" x14ac:dyDescent="0.25">
      <c r="A562" s="906">
        <v>96211</v>
      </c>
      <c r="B562" s="907" t="s">
        <v>3122</v>
      </c>
      <c r="C562" s="908">
        <v>3.0700000000000001E-5</v>
      </c>
      <c r="D562" s="908">
        <v>2.7399999999999999E-5</v>
      </c>
      <c r="E562" s="909">
        <v>14055.49</v>
      </c>
      <c r="F562" s="909">
        <v>12297</v>
      </c>
      <c r="G562" s="909">
        <v>65156</v>
      </c>
      <c r="H562" s="909"/>
      <c r="I562" s="910">
        <v>1224</v>
      </c>
      <c r="J562" s="910">
        <v>57097</v>
      </c>
      <c r="K562" s="910">
        <v>4463</v>
      </c>
      <c r="L562" s="909">
        <v>5441</v>
      </c>
      <c r="M562" s="909"/>
      <c r="N562" s="910">
        <v>2283</v>
      </c>
      <c r="O562" s="910">
        <v>21074</v>
      </c>
      <c r="P562" s="910">
        <v>0</v>
      </c>
      <c r="Q562" s="909">
        <v>8968.93</v>
      </c>
      <c r="R562" s="910">
        <f t="shared" si="8"/>
        <v>36023</v>
      </c>
      <c r="S562" s="909"/>
      <c r="T562" s="910">
        <v>17415</v>
      </c>
      <c r="U562" s="912">
        <v>-2857</v>
      </c>
      <c r="V562" s="912">
        <v>14558</v>
      </c>
    </row>
    <row r="563" spans="1:22" x14ac:dyDescent="0.25">
      <c r="A563" s="906">
        <v>96221</v>
      </c>
      <c r="B563" s="907" t="s">
        <v>3123</v>
      </c>
      <c r="C563" s="908">
        <v>2.287E-4</v>
      </c>
      <c r="D563" s="908">
        <v>2.3719999999999999E-4</v>
      </c>
      <c r="E563" s="909">
        <v>88753.9</v>
      </c>
      <c r="F563" s="909">
        <v>106454</v>
      </c>
      <c r="G563" s="909">
        <v>485378</v>
      </c>
      <c r="H563" s="909"/>
      <c r="I563" s="910">
        <v>9119</v>
      </c>
      <c r="J563" s="910">
        <v>425346</v>
      </c>
      <c r="K563" s="910">
        <v>33244</v>
      </c>
      <c r="L563" s="909">
        <v>4903</v>
      </c>
      <c r="M563" s="909"/>
      <c r="N563" s="910">
        <v>17008</v>
      </c>
      <c r="O563" s="910">
        <v>156993</v>
      </c>
      <c r="P563" s="910">
        <v>0</v>
      </c>
      <c r="Q563" s="909">
        <v>16105</v>
      </c>
      <c r="R563" s="910">
        <f t="shared" si="8"/>
        <v>268353</v>
      </c>
      <c r="S563" s="909"/>
      <c r="T563" s="910">
        <v>129734</v>
      </c>
      <c r="U563" s="912">
        <v>-2405</v>
      </c>
      <c r="V563" s="912">
        <v>127329</v>
      </c>
    </row>
    <row r="564" spans="1:22" x14ac:dyDescent="0.25">
      <c r="A564" s="906">
        <v>96231</v>
      </c>
      <c r="B564" s="907" t="s">
        <v>3124</v>
      </c>
      <c r="C564" s="908">
        <v>1.145E-4</v>
      </c>
      <c r="D564" s="908">
        <v>1.2420000000000001E-4</v>
      </c>
      <c r="E564" s="909">
        <v>40508</v>
      </c>
      <c r="F564" s="909">
        <v>55740</v>
      </c>
      <c r="G564" s="909">
        <v>243007</v>
      </c>
      <c r="H564" s="909"/>
      <c r="I564" s="910">
        <v>4565.6875</v>
      </c>
      <c r="J564" s="910">
        <v>212952</v>
      </c>
      <c r="K564" s="910">
        <v>16644</v>
      </c>
      <c r="L564" s="909">
        <v>0</v>
      </c>
      <c r="M564" s="909"/>
      <c r="N564" s="910">
        <v>8515</v>
      </c>
      <c r="O564" s="910">
        <v>78599</v>
      </c>
      <c r="P564" s="910">
        <v>0</v>
      </c>
      <c r="Q564" s="909">
        <v>22692</v>
      </c>
      <c r="R564" s="910">
        <f t="shared" si="8"/>
        <v>134353</v>
      </c>
      <c r="S564" s="909"/>
      <c r="T564" s="910">
        <v>64952</v>
      </c>
      <c r="U564" s="912">
        <v>-7733</v>
      </c>
      <c r="V564" s="912">
        <v>57219</v>
      </c>
    </row>
    <row r="565" spans="1:22" x14ac:dyDescent="0.25">
      <c r="A565" s="906">
        <v>96241</v>
      </c>
      <c r="B565" s="907" t="s">
        <v>3125</v>
      </c>
      <c r="C565" s="908">
        <v>4.6100000000000002E-5</v>
      </c>
      <c r="D565" s="908">
        <v>5.7000000000000003E-5</v>
      </c>
      <c r="E565" s="909">
        <v>18964.25</v>
      </c>
      <c r="F565" s="909">
        <v>25581</v>
      </c>
      <c r="G565" s="909">
        <v>97840</v>
      </c>
      <c r="H565" s="909"/>
      <c r="I565" s="910">
        <v>1838</v>
      </c>
      <c r="J565" s="910">
        <v>85739</v>
      </c>
      <c r="K565" s="910">
        <v>6701</v>
      </c>
      <c r="L565" s="909">
        <v>7866</v>
      </c>
      <c r="M565" s="909"/>
      <c r="N565" s="910">
        <v>3428</v>
      </c>
      <c r="O565" s="910">
        <v>31646</v>
      </c>
      <c r="P565" s="910">
        <v>0</v>
      </c>
      <c r="Q565" s="909">
        <v>5900</v>
      </c>
      <c r="R565" s="910">
        <f t="shared" si="8"/>
        <v>54093</v>
      </c>
      <c r="S565" s="909"/>
      <c r="T565" s="910">
        <v>26151</v>
      </c>
      <c r="U565" s="912">
        <v>2187</v>
      </c>
      <c r="V565" s="912">
        <v>28338</v>
      </c>
    </row>
    <row r="566" spans="1:22" x14ac:dyDescent="0.25">
      <c r="A566" s="906">
        <v>96251</v>
      </c>
      <c r="B566" s="907" t="s">
        <v>3126</v>
      </c>
      <c r="C566" s="908">
        <v>7.7100000000000004E-5</v>
      </c>
      <c r="D566" s="908">
        <v>9.0699999999999996E-5</v>
      </c>
      <c r="E566" s="909">
        <v>29404.75</v>
      </c>
      <c r="F566" s="909">
        <v>40706</v>
      </c>
      <c r="G566" s="909">
        <v>163632</v>
      </c>
      <c r="H566" s="909"/>
      <c r="I566" s="910">
        <v>3074</v>
      </c>
      <c r="J566" s="910">
        <v>143394</v>
      </c>
      <c r="K566" s="910">
        <v>11207</v>
      </c>
      <c r="L566" s="909">
        <v>0</v>
      </c>
      <c r="M566" s="909"/>
      <c r="N566" s="910">
        <v>5734</v>
      </c>
      <c r="O566" s="910">
        <v>52926</v>
      </c>
      <c r="P566" s="910">
        <v>0</v>
      </c>
      <c r="Q566" s="909">
        <v>25538</v>
      </c>
      <c r="R566" s="910">
        <f t="shared" si="8"/>
        <v>90468</v>
      </c>
      <c r="S566" s="909"/>
      <c r="T566" s="910">
        <v>43736</v>
      </c>
      <c r="U566" s="912">
        <v>-8652</v>
      </c>
      <c r="V566" s="912">
        <v>35085</v>
      </c>
    </row>
    <row r="567" spans="1:22" x14ac:dyDescent="0.25">
      <c r="A567" s="906">
        <v>96301</v>
      </c>
      <c r="B567" s="907" t="s">
        <v>3127</v>
      </c>
      <c r="C567" s="908">
        <v>4.3785999999999999E-3</v>
      </c>
      <c r="D567" s="908">
        <v>4.5367999999999997E-3</v>
      </c>
      <c r="E567" s="909">
        <v>1765529</v>
      </c>
      <c r="F567" s="909">
        <v>2036089</v>
      </c>
      <c r="G567" s="909">
        <v>9292856</v>
      </c>
      <c r="H567" s="909"/>
      <c r="I567" s="910">
        <v>174597</v>
      </c>
      <c r="J567" s="910">
        <v>8143504</v>
      </c>
      <c r="K567" s="910">
        <v>636478</v>
      </c>
      <c r="L567" s="909">
        <v>94185</v>
      </c>
      <c r="M567" s="909"/>
      <c r="N567" s="910">
        <v>325632</v>
      </c>
      <c r="O567" s="910">
        <v>3005725</v>
      </c>
      <c r="P567" s="910">
        <v>0</v>
      </c>
      <c r="Q567" s="909">
        <v>147101</v>
      </c>
      <c r="R567" s="910">
        <f t="shared" si="8"/>
        <v>5137779</v>
      </c>
      <c r="S567" s="909"/>
      <c r="T567" s="910">
        <v>2483844</v>
      </c>
      <c r="U567" s="912">
        <v>-12863</v>
      </c>
      <c r="V567" s="912">
        <v>2470981</v>
      </c>
    </row>
    <row r="568" spans="1:22" x14ac:dyDescent="0.25">
      <c r="A568" s="906">
        <v>96302</v>
      </c>
      <c r="B568" s="907" t="s">
        <v>3128</v>
      </c>
      <c r="C568" s="908">
        <v>1.9199999999999999E-5</v>
      </c>
      <c r="D568" s="908">
        <v>1.42E-5</v>
      </c>
      <c r="E568" s="909">
        <v>6636.09</v>
      </c>
      <c r="F568" s="909">
        <v>6373</v>
      </c>
      <c r="G568" s="909">
        <v>40749</v>
      </c>
      <c r="H568" s="909"/>
      <c r="I568" s="910">
        <v>766</v>
      </c>
      <c r="J568" s="910">
        <v>35709</v>
      </c>
      <c r="K568" s="910">
        <v>2791</v>
      </c>
      <c r="L568" s="909">
        <v>4449</v>
      </c>
      <c r="M568" s="909"/>
      <c r="N568" s="910">
        <v>1428</v>
      </c>
      <c r="O568" s="910">
        <v>13180</v>
      </c>
      <c r="P568" s="910">
        <v>0</v>
      </c>
      <c r="Q568" s="909">
        <v>0</v>
      </c>
      <c r="R568" s="910">
        <f t="shared" si="8"/>
        <v>22529</v>
      </c>
      <c r="S568" s="909"/>
      <c r="T568" s="910">
        <v>10892</v>
      </c>
      <c r="U568" s="912">
        <v>1514</v>
      </c>
      <c r="V568" s="912">
        <v>12406</v>
      </c>
    </row>
    <row r="569" spans="1:22" x14ac:dyDescent="0.25">
      <c r="A569" s="906">
        <v>96304</v>
      </c>
      <c r="B569" s="907" t="s">
        <v>3129</v>
      </c>
      <c r="C569" s="908">
        <v>5.4599999999999999E-5</v>
      </c>
      <c r="D569" s="908">
        <v>5.24E-5</v>
      </c>
      <c r="E569" s="909">
        <v>25715.360000000001</v>
      </c>
      <c r="F569" s="909">
        <v>23517</v>
      </c>
      <c r="G569" s="909">
        <v>115879</v>
      </c>
      <c r="H569" s="909"/>
      <c r="I569" s="910">
        <v>2177</v>
      </c>
      <c r="J569" s="910">
        <v>101547</v>
      </c>
      <c r="K569" s="910">
        <v>7937</v>
      </c>
      <c r="L569" s="909">
        <v>7913</v>
      </c>
      <c r="M569" s="909"/>
      <c r="N569" s="910">
        <v>4061</v>
      </c>
      <c r="O569" s="910">
        <v>37481</v>
      </c>
      <c r="P569" s="910">
        <v>0</v>
      </c>
      <c r="Q569" s="909">
        <v>231</v>
      </c>
      <c r="R569" s="910">
        <f t="shared" si="8"/>
        <v>64066</v>
      </c>
      <c r="S569" s="909"/>
      <c r="T569" s="910">
        <v>30973</v>
      </c>
      <c r="U569" s="912">
        <v>2329</v>
      </c>
      <c r="V569" s="912">
        <v>33302</v>
      </c>
    </row>
    <row r="570" spans="1:22" x14ac:dyDescent="0.25">
      <c r="A570" s="906">
        <v>96305</v>
      </c>
      <c r="B570" s="907" t="s">
        <v>3130</v>
      </c>
      <c r="C570" s="908">
        <v>4.8199999999999999E-5</v>
      </c>
      <c r="D570" s="908">
        <v>5.0399999999999999E-5</v>
      </c>
      <c r="E570" s="909">
        <v>28361</v>
      </c>
      <c r="F570" s="909">
        <v>22619</v>
      </c>
      <c r="G570" s="909">
        <v>102297</v>
      </c>
      <c r="H570" s="909"/>
      <c r="I570" s="910">
        <v>1921.9749999999999</v>
      </c>
      <c r="J570" s="910">
        <v>89644</v>
      </c>
      <c r="K570" s="910">
        <v>7006</v>
      </c>
      <c r="L570" s="909">
        <v>10711</v>
      </c>
      <c r="M570" s="909"/>
      <c r="N570" s="910">
        <v>3585</v>
      </c>
      <c r="O570" s="910">
        <v>33087</v>
      </c>
      <c r="P570" s="910">
        <v>0</v>
      </c>
      <c r="Q570" s="909">
        <v>0</v>
      </c>
      <c r="R570" s="910">
        <f t="shared" si="8"/>
        <v>56557</v>
      </c>
      <c r="S570" s="909"/>
      <c r="T570" s="910">
        <v>27342</v>
      </c>
      <c r="U570" s="912">
        <v>3278</v>
      </c>
      <c r="V570" s="912">
        <v>30620</v>
      </c>
    </row>
    <row r="571" spans="1:22" x14ac:dyDescent="0.25">
      <c r="A571" s="906">
        <v>96310</v>
      </c>
      <c r="B571" s="907" t="s">
        <v>3131</v>
      </c>
      <c r="C571" s="908">
        <v>4.88E-5</v>
      </c>
      <c r="D571" s="908">
        <v>6.1299999999999999E-5</v>
      </c>
      <c r="E571" s="909">
        <v>23403</v>
      </c>
      <c r="F571" s="909">
        <v>27511</v>
      </c>
      <c r="G571" s="909">
        <v>103570</v>
      </c>
      <c r="H571" s="909"/>
      <c r="I571" s="910">
        <v>1945.9</v>
      </c>
      <c r="J571" s="910">
        <v>90760</v>
      </c>
      <c r="K571" s="910">
        <v>7094</v>
      </c>
      <c r="L571" s="909">
        <v>6056</v>
      </c>
      <c r="M571" s="909"/>
      <c r="N571" s="910">
        <v>3629</v>
      </c>
      <c r="O571" s="910">
        <v>33499</v>
      </c>
      <c r="P571" s="910">
        <v>0</v>
      </c>
      <c r="Q571" s="909">
        <v>4123</v>
      </c>
      <c r="R571" s="910">
        <f t="shared" si="8"/>
        <v>57261</v>
      </c>
      <c r="S571" s="909"/>
      <c r="T571" s="910">
        <v>27683</v>
      </c>
      <c r="U571" s="912">
        <v>1701</v>
      </c>
      <c r="V571" s="912">
        <v>29384</v>
      </c>
    </row>
    <row r="572" spans="1:22" x14ac:dyDescent="0.25">
      <c r="A572" s="906">
        <v>96311</v>
      </c>
      <c r="B572" s="907" t="s">
        <v>3132</v>
      </c>
      <c r="C572" s="908">
        <v>1.4082999999999999E-3</v>
      </c>
      <c r="D572" s="908">
        <v>1.4383E-3</v>
      </c>
      <c r="E572" s="909">
        <v>512325.3</v>
      </c>
      <c r="F572" s="909">
        <v>645500</v>
      </c>
      <c r="G572" s="909">
        <v>2988884</v>
      </c>
      <c r="H572" s="909"/>
      <c r="I572" s="910">
        <v>56156</v>
      </c>
      <c r="J572" s="910">
        <v>2619215</v>
      </c>
      <c r="K572" s="910">
        <v>204712</v>
      </c>
      <c r="L572" s="909">
        <v>22194.47</v>
      </c>
      <c r="M572" s="909"/>
      <c r="N572" s="910">
        <v>104734</v>
      </c>
      <c r="O572" s="910">
        <v>966739</v>
      </c>
      <c r="P572" s="910">
        <v>0</v>
      </c>
      <c r="Q572" s="909">
        <v>96281</v>
      </c>
      <c r="R572" s="910">
        <f t="shared" si="8"/>
        <v>1652476</v>
      </c>
      <c r="S572" s="909"/>
      <c r="T572" s="910">
        <v>798885</v>
      </c>
      <c r="U572" s="912">
        <v>-16365</v>
      </c>
      <c r="V572" s="912">
        <v>782520</v>
      </c>
    </row>
    <row r="573" spans="1:22" x14ac:dyDescent="0.25">
      <c r="A573" s="906">
        <v>96312</v>
      </c>
      <c r="B573" s="907" t="s">
        <v>3133</v>
      </c>
      <c r="C573" s="908">
        <v>1.5999999999999999E-6</v>
      </c>
      <c r="D573" s="908">
        <v>4.7999999999999998E-6</v>
      </c>
      <c r="E573" s="909">
        <v>1992</v>
      </c>
      <c r="F573" s="909">
        <v>2154</v>
      </c>
      <c r="G573" s="909">
        <v>3396</v>
      </c>
      <c r="H573" s="909"/>
      <c r="I573" s="910">
        <v>63.8</v>
      </c>
      <c r="J573" s="910">
        <v>2976</v>
      </c>
      <c r="K573" s="910">
        <v>233</v>
      </c>
      <c r="L573" s="909">
        <v>51</v>
      </c>
      <c r="M573" s="909"/>
      <c r="N573" s="910">
        <v>119</v>
      </c>
      <c r="O573" s="910">
        <v>1098</v>
      </c>
      <c r="P573" s="910">
        <v>0</v>
      </c>
      <c r="Q573" s="909">
        <v>3416</v>
      </c>
      <c r="R573" s="910">
        <f t="shared" si="8"/>
        <v>1878</v>
      </c>
      <c r="S573" s="909"/>
      <c r="T573" s="910">
        <v>908</v>
      </c>
      <c r="U573" s="912">
        <v>-1534</v>
      </c>
      <c r="V573" s="912">
        <v>-627</v>
      </c>
    </row>
    <row r="574" spans="1:22" x14ac:dyDescent="0.25">
      <c r="A574" s="906">
        <v>96318</v>
      </c>
      <c r="B574" s="907" t="s">
        <v>3134</v>
      </c>
      <c r="C574" s="908">
        <v>1.7782E-3</v>
      </c>
      <c r="D574" s="908">
        <v>0</v>
      </c>
      <c r="E574" s="909">
        <v>12089019</v>
      </c>
      <c r="F574" s="909">
        <v>0</v>
      </c>
      <c r="G574" s="909">
        <v>3773936</v>
      </c>
      <c r="H574" s="909"/>
      <c r="I574" s="910">
        <v>70906</v>
      </c>
      <c r="J574" s="910">
        <v>3307171</v>
      </c>
      <c r="K574" s="910">
        <v>258481</v>
      </c>
      <c r="L574" s="909">
        <v>9984043</v>
      </c>
      <c r="M574" s="909"/>
      <c r="N574" s="910">
        <v>132243</v>
      </c>
      <c r="O574" s="910">
        <v>1220660</v>
      </c>
      <c r="P574" s="910">
        <v>0</v>
      </c>
      <c r="Q574" s="909">
        <v>0</v>
      </c>
      <c r="R574" s="910">
        <f t="shared" si="8"/>
        <v>2086511</v>
      </c>
      <c r="S574" s="909"/>
      <c r="T574" s="910">
        <v>1008718</v>
      </c>
      <c r="U574" s="912">
        <v>2586540</v>
      </c>
      <c r="V574" s="912">
        <v>3595257</v>
      </c>
    </row>
    <row r="575" spans="1:22" x14ac:dyDescent="0.25">
      <c r="A575" s="906">
        <v>96321</v>
      </c>
      <c r="B575" s="907" t="s">
        <v>3135</v>
      </c>
      <c r="C575" s="908">
        <v>3.7400000000000001E-5</v>
      </c>
      <c r="D575" s="908">
        <v>3.9700000000000003E-5</v>
      </c>
      <c r="E575" s="909">
        <v>13314.68</v>
      </c>
      <c r="F575" s="909">
        <v>17817</v>
      </c>
      <c r="G575" s="909">
        <v>79375</v>
      </c>
      <c r="H575" s="909"/>
      <c r="I575" s="910">
        <v>1491.325</v>
      </c>
      <c r="J575" s="910">
        <v>69558</v>
      </c>
      <c r="K575" s="910">
        <v>5437</v>
      </c>
      <c r="L575" s="909">
        <v>837</v>
      </c>
      <c r="M575" s="909"/>
      <c r="N575" s="910">
        <v>2781</v>
      </c>
      <c r="O575" s="910">
        <v>25674</v>
      </c>
      <c r="P575" s="910">
        <v>0</v>
      </c>
      <c r="Q575" s="909">
        <v>3510</v>
      </c>
      <c r="R575" s="910">
        <f t="shared" si="8"/>
        <v>43884</v>
      </c>
      <c r="S575" s="909"/>
      <c r="T575" s="910">
        <v>21216</v>
      </c>
      <c r="U575" s="912">
        <v>-764</v>
      </c>
      <c r="V575" s="912">
        <v>20452</v>
      </c>
    </row>
    <row r="576" spans="1:22" x14ac:dyDescent="0.25">
      <c r="A576" s="906">
        <v>96331</v>
      </c>
      <c r="B576" s="907" t="s">
        <v>3136</v>
      </c>
      <c r="C576" s="908">
        <v>7.1699999999999997E-4</v>
      </c>
      <c r="D576" s="908">
        <v>7.6110000000000001E-4</v>
      </c>
      <c r="E576" s="909">
        <v>265185</v>
      </c>
      <c r="F576" s="909">
        <v>341577</v>
      </c>
      <c r="G576" s="909">
        <v>1521714</v>
      </c>
      <c r="H576" s="909"/>
      <c r="I576" s="910">
        <v>28590.375</v>
      </c>
      <c r="J576" s="910">
        <v>1333507</v>
      </c>
      <c r="K576" s="910">
        <v>104224</v>
      </c>
      <c r="L576" s="909">
        <v>4814</v>
      </c>
      <c r="M576" s="909"/>
      <c r="N576" s="910">
        <v>53323</v>
      </c>
      <c r="O576" s="910">
        <v>492190</v>
      </c>
      <c r="P576" s="910">
        <v>0</v>
      </c>
      <c r="Q576" s="909">
        <v>66351</v>
      </c>
      <c r="R576" s="910">
        <f t="shared" si="8"/>
        <v>841317</v>
      </c>
      <c r="S576" s="909"/>
      <c r="T576" s="910">
        <v>406732</v>
      </c>
      <c r="U576" s="912">
        <v>-20081</v>
      </c>
      <c r="V576" s="912">
        <v>386651</v>
      </c>
    </row>
    <row r="577" spans="1:22" x14ac:dyDescent="0.25">
      <c r="A577" s="906">
        <v>96341</v>
      </c>
      <c r="B577" s="907" t="s">
        <v>3137</v>
      </c>
      <c r="C577" s="908">
        <v>9.1600000000000004E-5</v>
      </c>
      <c r="D577" s="908">
        <v>8.0799999999999999E-5</v>
      </c>
      <c r="E577" s="909">
        <v>32432</v>
      </c>
      <c r="F577" s="909">
        <v>36263</v>
      </c>
      <c r="G577" s="909">
        <v>194406</v>
      </c>
      <c r="H577" s="909"/>
      <c r="I577" s="910">
        <v>3652.55</v>
      </c>
      <c r="J577" s="910">
        <v>170362</v>
      </c>
      <c r="K577" s="910">
        <v>13315</v>
      </c>
      <c r="L577" s="909">
        <v>13221</v>
      </c>
      <c r="M577" s="909"/>
      <c r="N577" s="910">
        <v>6812</v>
      </c>
      <c r="O577" s="910">
        <v>62880</v>
      </c>
      <c r="P577" s="910">
        <v>0</v>
      </c>
      <c r="Q577" s="909">
        <v>11187.78</v>
      </c>
      <c r="R577" s="910">
        <f t="shared" si="8"/>
        <v>107482</v>
      </c>
      <c r="S577" s="909"/>
      <c r="T577" s="910">
        <v>51962</v>
      </c>
      <c r="U577" s="912">
        <v>-1095</v>
      </c>
      <c r="V577" s="912">
        <v>50867</v>
      </c>
    </row>
    <row r="578" spans="1:22" x14ac:dyDescent="0.25">
      <c r="A578" s="906">
        <v>96351</v>
      </c>
      <c r="B578" s="907" t="s">
        <v>3138</v>
      </c>
      <c r="C578" s="908">
        <v>1.0736000000000001E-3</v>
      </c>
      <c r="D578" s="908">
        <v>1.0939999999999999E-3</v>
      </c>
      <c r="E578" s="909">
        <v>419131</v>
      </c>
      <c r="F578" s="909">
        <v>490981</v>
      </c>
      <c r="G578" s="909">
        <v>2278539</v>
      </c>
      <c r="H578" s="909"/>
      <c r="I578" s="910">
        <v>42809.8</v>
      </c>
      <c r="J578" s="910">
        <v>1996726</v>
      </c>
      <c r="K578" s="910">
        <v>156060</v>
      </c>
      <c r="L578" s="909">
        <v>9467</v>
      </c>
      <c r="M578" s="909"/>
      <c r="N578" s="910">
        <v>79843</v>
      </c>
      <c r="O578" s="910">
        <v>736981</v>
      </c>
      <c r="P578" s="910">
        <v>0</v>
      </c>
      <c r="Q578" s="909">
        <v>28826</v>
      </c>
      <c r="R578" s="910">
        <f t="shared" si="8"/>
        <v>1259745</v>
      </c>
      <c r="S578" s="909"/>
      <c r="T578" s="910">
        <v>609020</v>
      </c>
      <c r="U578" s="912">
        <v>-3422</v>
      </c>
      <c r="V578" s="912">
        <v>605598</v>
      </c>
    </row>
    <row r="579" spans="1:22" x14ac:dyDescent="0.25">
      <c r="A579" s="906">
        <v>96361</v>
      </c>
      <c r="B579" s="907" t="s">
        <v>3139</v>
      </c>
      <c r="C579" s="908">
        <v>5.8900000000000002E-5</v>
      </c>
      <c r="D579" s="908">
        <v>4.8999999999999998E-5</v>
      </c>
      <c r="E579" s="909">
        <v>21511</v>
      </c>
      <c r="F579" s="909">
        <v>21991</v>
      </c>
      <c r="G579" s="909">
        <v>125006</v>
      </c>
      <c r="H579" s="909"/>
      <c r="I579" s="910">
        <v>2349</v>
      </c>
      <c r="J579" s="910">
        <v>109545</v>
      </c>
      <c r="K579" s="910">
        <v>8562</v>
      </c>
      <c r="L579" s="909">
        <v>5269</v>
      </c>
      <c r="M579" s="909"/>
      <c r="N579" s="910">
        <v>4380</v>
      </c>
      <c r="O579" s="910">
        <v>40432</v>
      </c>
      <c r="P579" s="910">
        <v>0</v>
      </c>
      <c r="Q579" s="909">
        <v>390</v>
      </c>
      <c r="R579" s="910">
        <f t="shared" si="8"/>
        <v>69113</v>
      </c>
      <c r="S579" s="909"/>
      <c r="T579" s="910">
        <v>33412</v>
      </c>
      <c r="U579" s="912">
        <v>1728</v>
      </c>
      <c r="V579" s="912">
        <v>35140</v>
      </c>
    </row>
    <row r="580" spans="1:22" x14ac:dyDescent="0.25">
      <c r="A580" s="906">
        <v>96371</v>
      </c>
      <c r="B580" s="907" t="s">
        <v>3140</v>
      </c>
      <c r="C580" s="908">
        <v>1.6359999999999999E-4</v>
      </c>
      <c r="D580" s="908">
        <v>1.6760000000000001E-4</v>
      </c>
      <c r="E580" s="909">
        <v>62917</v>
      </c>
      <c r="F580" s="909">
        <v>75218</v>
      </c>
      <c r="G580" s="909">
        <v>347214</v>
      </c>
      <c r="H580" s="909"/>
      <c r="I580" s="910">
        <v>6524</v>
      </c>
      <c r="J580" s="910">
        <v>304270</v>
      </c>
      <c r="K580" s="910">
        <v>23781</v>
      </c>
      <c r="L580" s="909">
        <v>2683</v>
      </c>
      <c r="M580" s="909"/>
      <c r="N580" s="910">
        <v>12167</v>
      </c>
      <c r="O580" s="910">
        <v>112305</v>
      </c>
      <c r="P580" s="910">
        <v>0</v>
      </c>
      <c r="Q580" s="909">
        <v>7435</v>
      </c>
      <c r="R580" s="910">
        <f t="shared" si="8"/>
        <v>191965</v>
      </c>
      <c r="S580" s="909"/>
      <c r="T580" s="910">
        <v>92805</v>
      </c>
      <c r="U580" s="912">
        <v>-750</v>
      </c>
      <c r="V580" s="912">
        <v>92055</v>
      </c>
    </row>
    <row r="581" spans="1:22" x14ac:dyDescent="0.25">
      <c r="A581" s="906">
        <v>96381</v>
      </c>
      <c r="B581" s="907" t="s">
        <v>3141</v>
      </c>
      <c r="C581" s="908">
        <v>3.26E-5</v>
      </c>
      <c r="D581" s="908">
        <v>2.9600000000000001E-5</v>
      </c>
      <c r="E581" s="909">
        <v>11485.45</v>
      </c>
      <c r="F581" s="909">
        <v>13284</v>
      </c>
      <c r="G581" s="909">
        <v>69188</v>
      </c>
      <c r="H581" s="909"/>
      <c r="I581" s="910">
        <v>1299.925</v>
      </c>
      <c r="J581" s="910">
        <v>60631</v>
      </c>
      <c r="K581" s="910">
        <v>4739</v>
      </c>
      <c r="L581" s="909">
        <v>99</v>
      </c>
      <c r="M581" s="909"/>
      <c r="N581" s="910">
        <v>2424</v>
      </c>
      <c r="O581" s="910">
        <v>22379</v>
      </c>
      <c r="P581" s="910">
        <v>0</v>
      </c>
      <c r="Q581" s="909">
        <v>3089</v>
      </c>
      <c r="R581" s="910">
        <f t="shared" si="8"/>
        <v>38252</v>
      </c>
      <c r="S581" s="909"/>
      <c r="T581" s="910">
        <v>18493</v>
      </c>
      <c r="U581" s="912">
        <v>-1205</v>
      </c>
      <c r="V581" s="912">
        <v>17288</v>
      </c>
    </row>
    <row r="582" spans="1:22" x14ac:dyDescent="0.25">
      <c r="A582" s="906">
        <v>96391</v>
      </c>
      <c r="B582" s="907" t="s">
        <v>3142</v>
      </c>
      <c r="C582" s="908">
        <v>1.807E-4</v>
      </c>
      <c r="D582" s="908">
        <v>1.9450000000000001E-4</v>
      </c>
      <c r="E582" s="909">
        <v>66063</v>
      </c>
      <c r="F582" s="909">
        <v>87290</v>
      </c>
      <c r="G582" s="909">
        <v>383506</v>
      </c>
      <c r="H582" s="909"/>
      <c r="I582" s="910">
        <v>7205</v>
      </c>
      <c r="J582" s="910">
        <v>336073</v>
      </c>
      <c r="K582" s="910">
        <v>26267</v>
      </c>
      <c r="L582" s="909">
        <v>19760.7</v>
      </c>
      <c r="M582" s="909"/>
      <c r="N582" s="910">
        <v>13438</v>
      </c>
      <c r="O582" s="910">
        <v>124043</v>
      </c>
      <c r="P582" s="910">
        <v>0</v>
      </c>
      <c r="Q582" s="909">
        <v>26107</v>
      </c>
      <c r="R582" s="910">
        <f t="shared" si="8"/>
        <v>212030</v>
      </c>
      <c r="S582" s="909"/>
      <c r="T582" s="910">
        <v>102506</v>
      </c>
      <c r="U582" s="912">
        <v>2012</v>
      </c>
      <c r="V582" s="912">
        <v>104518</v>
      </c>
    </row>
    <row r="583" spans="1:22" x14ac:dyDescent="0.25">
      <c r="A583" s="906">
        <v>96401</v>
      </c>
      <c r="B583" s="907" t="s">
        <v>3143</v>
      </c>
      <c r="C583" s="908">
        <v>4.5900000000000003E-3</v>
      </c>
      <c r="D583" s="908">
        <v>4.5434999999999998E-3</v>
      </c>
      <c r="E583" s="909">
        <v>1835552.26</v>
      </c>
      <c r="F583" s="909">
        <v>2039096</v>
      </c>
      <c r="G583" s="909">
        <v>9741518</v>
      </c>
      <c r="H583" s="909"/>
      <c r="I583" s="910">
        <v>183026.25</v>
      </c>
      <c r="J583" s="910">
        <v>8536675</v>
      </c>
      <c r="K583" s="910">
        <v>667206.99</v>
      </c>
      <c r="L583" s="909">
        <v>31898</v>
      </c>
      <c r="M583" s="909"/>
      <c r="N583" s="910">
        <v>341353.71</v>
      </c>
      <c r="O583" s="910">
        <v>3150842.22</v>
      </c>
      <c r="P583" s="910">
        <v>0</v>
      </c>
      <c r="Q583" s="909">
        <v>37434</v>
      </c>
      <c r="R583" s="910">
        <f t="shared" ref="R583:R646" si="9">IF(J583&gt;O583,J583-O583,O583-J583)</f>
        <v>5385833</v>
      </c>
      <c r="S583" s="909"/>
      <c r="T583" s="910">
        <v>2603764.71</v>
      </c>
      <c r="U583" s="912">
        <v>4298</v>
      </c>
      <c r="V583" s="912">
        <v>2608063</v>
      </c>
    </row>
    <row r="584" spans="1:22" x14ac:dyDescent="0.25">
      <c r="A584" s="906">
        <v>96404</v>
      </c>
      <c r="B584" s="907" t="s">
        <v>3144</v>
      </c>
      <c r="C584" s="908">
        <v>9.8800000000000003E-5</v>
      </c>
      <c r="D584" s="908">
        <v>8.92E-5</v>
      </c>
      <c r="E584" s="909">
        <v>49336.67</v>
      </c>
      <c r="F584" s="909">
        <v>40032</v>
      </c>
      <c r="G584" s="909">
        <v>209687</v>
      </c>
      <c r="H584" s="909"/>
      <c r="I584" s="910">
        <v>3939.65</v>
      </c>
      <c r="J584" s="910">
        <v>183752</v>
      </c>
      <c r="K584" s="910">
        <v>14362</v>
      </c>
      <c r="L584" s="909">
        <v>23586</v>
      </c>
      <c r="M584" s="909"/>
      <c r="N584" s="910">
        <v>7348</v>
      </c>
      <c r="O584" s="910">
        <v>67822</v>
      </c>
      <c r="P584" s="910">
        <v>0</v>
      </c>
      <c r="Q584" s="909">
        <v>0</v>
      </c>
      <c r="R584" s="910">
        <f t="shared" si="9"/>
        <v>115930</v>
      </c>
      <c r="S584" s="909"/>
      <c r="T584" s="910">
        <v>56046</v>
      </c>
      <c r="U584" s="912">
        <v>7753</v>
      </c>
      <c r="V584" s="912">
        <v>63799</v>
      </c>
    </row>
    <row r="585" spans="1:22" x14ac:dyDescent="0.25">
      <c r="A585" s="906">
        <v>96405</v>
      </c>
      <c r="B585" s="907" t="s">
        <v>3145</v>
      </c>
      <c r="C585" s="908">
        <v>1.7760000000000001E-4</v>
      </c>
      <c r="D585" s="908">
        <v>1.942E-4</v>
      </c>
      <c r="E585" s="909">
        <v>83528</v>
      </c>
      <c r="F585" s="909">
        <v>87156</v>
      </c>
      <c r="G585" s="909">
        <v>376927</v>
      </c>
      <c r="H585" s="909"/>
      <c r="I585" s="910">
        <v>7081.8</v>
      </c>
      <c r="J585" s="910">
        <v>330308</v>
      </c>
      <c r="K585" s="910">
        <v>25816</v>
      </c>
      <c r="L585" s="909">
        <v>15838</v>
      </c>
      <c r="M585" s="909"/>
      <c r="N585" s="910">
        <v>13208</v>
      </c>
      <c r="O585" s="910">
        <v>121915</v>
      </c>
      <c r="P585" s="910">
        <v>0</v>
      </c>
      <c r="Q585" s="909">
        <v>2411</v>
      </c>
      <c r="R585" s="910">
        <f t="shared" si="9"/>
        <v>208393</v>
      </c>
      <c r="S585" s="909"/>
      <c r="T585" s="910">
        <v>100747</v>
      </c>
      <c r="U585" s="912">
        <v>4565</v>
      </c>
      <c r="V585" s="912">
        <v>105312</v>
      </c>
    </row>
    <row r="586" spans="1:22" x14ac:dyDescent="0.25">
      <c r="A586" s="906">
        <v>96411</v>
      </c>
      <c r="B586" s="907" t="s">
        <v>3146</v>
      </c>
      <c r="C586" s="908">
        <v>5.66E-5</v>
      </c>
      <c r="D586" s="908">
        <v>6.6699999999999995E-5</v>
      </c>
      <c r="E586" s="909">
        <v>25222</v>
      </c>
      <c r="F586" s="909">
        <v>29935</v>
      </c>
      <c r="G586" s="909">
        <v>120124</v>
      </c>
      <c r="H586" s="909"/>
      <c r="I586" s="910">
        <v>2257</v>
      </c>
      <c r="J586" s="910">
        <v>105267</v>
      </c>
      <c r="K586" s="910">
        <v>8227</v>
      </c>
      <c r="L586" s="909">
        <v>8181</v>
      </c>
      <c r="M586" s="909"/>
      <c r="N586" s="910">
        <v>4209</v>
      </c>
      <c r="O586" s="910">
        <v>38854</v>
      </c>
      <c r="P586" s="910">
        <v>0</v>
      </c>
      <c r="Q586" s="909">
        <v>6127</v>
      </c>
      <c r="R586" s="910">
        <f t="shared" si="9"/>
        <v>66413</v>
      </c>
      <c r="S586" s="909"/>
      <c r="T586" s="910">
        <v>32107</v>
      </c>
      <c r="U586" s="912">
        <v>778</v>
      </c>
      <c r="V586" s="912">
        <v>32885</v>
      </c>
    </row>
    <row r="587" spans="1:22" x14ac:dyDescent="0.25">
      <c r="A587" s="906">
        <v>96421</v>
      </c>
      <c r="B587" s="907" t="s">
        <v>3147</v>
      </c>
      <c r="C587" s="908">
        <v>4.2860000000000001E-4</v>
      </c>
      <c r="D587" s="908">
        <v>4.6069999999999998E-4</v>
      </c>
      <c r="E587" s="909">
        <v>149902.97</v>
      </c>
      <c r="F587" s="909">
        <v>206759</v>
      </c>
      <c r="G587" s="909">
        <v>909633</v>
      </c>
      <c r="H587" s="909"/>
      <c r="I587" s="910">
        <v>17090</v>
      </c>
      <c r="J587" s="910">
        <v>797128</v>
      </c>
      <c r="K587" s="910">
        <v>62302</v>
      </c>
      <c r="L587" s="909">
        <v>0</v>
      </c>
      <c r="M587" s="909"/>
      <c r="N587" s="910">
        <v>31875</v>
      </c>
      <c r="O587" s="910">
        <v>294216</v>
      </c>
      <c r="P587" s="910">
        <v>0</v>
      </c>
      <c r="Q587" s="909">
        <v>86301</v>
      </c>
      <c r="R587" s="910">
        <f t="shared" si="9"/>
        <v>502912</v>
      </c>
      <c r="S587" s="909"/>
      <c r="T587" s="910">
        <v>243131</v>
      </c>
      <c r="U587" s="912">
        <v>-29627</v>
      </c>
      <c r="V587" s="912">
        <v>213504</v>
      </c>
    </row>
    <row r="588" spans="1:22" x14ac:dyDescent="0.25">
      <c r="A588" s="906">
        <v>96431</v>
      </c>
      <c r="B588" s="907" t="s">
        <v>3148</v>
      </c>
      <c r="C588" s="908">
        <v>5.6100000000000002E-5</v>
      </c>
      <c r="D588" s="908">
        <v>3.9400000000000002E-5</v>
      </c>
      <c r="E588" s="909">
        <v>22346.13</v>
      </c>
      <c r="F588" s="909">
        <v>17682</v>
      </c>
      <c r="G588" s="909">
        <v>119063</v>
      </c>
      <c r="H588" s="909"/>
      <c r="I588" s="910">
        <v>2237</v>
      </c>
      <c r="J588" s="910">
        <v>104337</v>
      </c>
      <c r="K588" s="910">
        <v>8155</v>
      </c>
      <c r="L588" s="909">
        <v>8471</v>
      </c>
      <c r="M588" s="909"/>
      <c r="N588" s="910">
        <v>4172</v>
      </c>
      <c r="O588" s="910">
        <v>38510</v>
      </c>
      <c r="P588" s="910">
        <v>0</v>
      </c>
      <c r="Q588" s="909">
        <v>4421</v>
      </c>
      <c r="R588" s="910">
        <f t="shared" si="9"/>
        <v>65827</v>
      </c>
      <c r="S588" s="909"/>
      <c r="T588" s="910">
        <v>31824</v>
      </c>
      <c r="U588" s="912">
        <v>305</v>
      </c>
      <c r="V588" s="912">
        <v>32128</v>
      </c>
    </row>
    <row r="589" spans="1:22" x14ac:dyDescent="0.25">
      <c r="A589" s="906">
        <v>96441</v>
      </c>
      <c r="B589" s="907" t="s">
        <v>3149</v>
      </c>
      <c r="C589" s="908">
        <v>3.1199999999999999E-5</v>
      </c>
      <c r="D589" s="908">
        <v>3.9100000000000002E-5</v>
      </c>
      <c r="E589" s="909">
        <v>18068.97</v>
      </c>
      <c r="F589" s="909">
        <v>17548</v>
      </c>
      <c r="G589" s="909">
        <v>66217</v>
      </c>
      <c r="H589" s="909"/>
      <c r="I589" s="910">
        <v>1244</v>
      </c>
      <c r="J589" s="910">
        <v>58027</v>
      </c>
      <c r="K589" s="910">
        <v>4535</v>
      </c>
      <c r="L589" s="909">
        <v>6875</v>
      </c>
      <c r="M589" s="909"/>
      <c r="N589" s="910">
        <v>2320</v>
      </c>
      <c r="O589" s="910">
        <v>21417</v>
      </c>
      <c r="P589" s="910">
        <v>0</v>
      </c>
      <c r="Q589" s="909">
        <v>826</v>
      </c>
      <c r="R589" s="910">
        <f t="shared" si="9"/>
        <v>36610</v>
      </c>
      <c r="S589" s="909"/>
      <c r="T589" s="910">
        <v>17699</v>
      </c>
      <c r="U589" s="912">
        <v>2052</v>
      </c>
      <c r="V589" s="912">
        <v>19751</v>
      </c>
    </row>
    <row r="590" spans="1:22" x14ac:dyDescent="0.25">
      <c r="A590" s="906">
        <v>96451</v>
      </c>
      <c r="B590" s="907" t="s">
        <v>3150</v>
      </c>
      <c r="C590" s="908">
        <v>1.38E-5</v>
      </c>
      <c r="D590" s="908">
        <v>8.8999999999999995E-6</v>
      </c>
      <c r="E590" s="909">
        <v>6880</v>
      </c>
      <c r="F590" s="909">
        <v>3994</v>
      </c>
      <c r="G590" s="909">
        <v>29288</v>
      </c>
      <c r="H590" s="909"/>
      <c r="I590" s="910">
        <v>550.27499999999998</v>
      </c>
      <c r="J590" s="910">
        <v>25666</v>
      </c>
      <c r="K590" s="910">
        <v>2006</v>
      </c>
      <c r="L590" s="909">
        <v>3611</v>
      </c>
      <c r="M590" s="909"/>
      <c r="N590" s="910">
        <v>1026</v>
      </c>
      <c r="O590" s="910">
        <v>9473</v>
      </c>
      <c r="P590" s="910">
        <v>0</v>
      </c>
      <c r="Q590" s="909">
        <v>2200</v>
      </c>
      <c r="R590" s="910">
        <f t="shared" si="9"/>
        <v>16193</v>
      </c>
      <c r="S590" s="909"/>
      <c r="T590" s="910">
        <v>7828</v>
      </c>
      <c r="U590" s="912">
        <v>55</v>
      </c>
      <c r="V590" s="912">
        <v>7883</v>
      </c>
    </row>
    <row r="591" spans="1:22" x14ac:dyDescent="0.25">
      <c r="A591" s="906">
        <v>96461</v>
      </c>
      <c r="B591" s="907" t="s">
        <v>3151</v>
      </c>
      <c r="C591" s="908">
        <v>1.3410000000000001E-4</v>
      </c>
      <c r="D591" s="908">
        <v>1.6129999999999999E-4</v>
      </c>
      <c r="E591" s="909">
        <v>60539</v>
      </c>
      <c r="F591" s="909">
        <v>72390</v>
      </c>
      <c r="G591" s="909">
        <v>284605</v>
      </c>
      <c r="H591" s="909"/>
      <c r="I591" s="910">
        <v>5347</v>
      </c>
      <c r="J591" s="910">
        <v>249405</v>
      </c>
      <c r="K591" s="910">
        <v>19493</v>
      </c>
      <c r="L591" s="909">
        <v>8046</v>
      </c>
      <c r="M591" s="909"/>
      <c r="N591" s="910">
        <v>9973</v>
      </c>
      <c r="O591" s="910">
        <v>92054</v>
      </c>
      <c r="P591" s="910">
        <v>0</v>
      </c>
      <c r="Q591" s="909">
        <v>27042</v>
      </c>
      <c r="R591" s="910">
        <f t="shared" si="9"/>
        <v>157351</v>
      </c>
      <c r="S591" s="909"/>
      <c r="T591" s="910">
        <v>76071</v>
      </c>
      <c r="U591" s="912">
        <v>-4548</v>
      </c>
      <c r="V591" s="912">
        <v>71523</v>
      </c>
    </row>
    <row r="592" spans="1:22" x14ac:dyDescent="0.25">
      <c r="A592" s="906">
        <v>96501</v>
      </c>
      <c r="B592" s="907" t="s">
        <v>3152</v>
      </c>
      <c r="C592" s="908">
        <v>1.4156999999999999E-2</v>
      </c>
      <c r="D592" s="908">
        <v>1.4844599999999999E-2</v>
      </c>
      <c r="E592" s="909">
        <v>5793175</v>
      </c>
      <c r="F592" s="909">
        <v>6662167</v>
      </c>
      <c r="G592" s="909">
        <v>30045897</v>
      </c>
      <c r="H592" s="909"/>
      <c r="I592" s="910">
        <v>564510</v>
      </c>
      <c r="J592" s="910">
        <v>26329783</v>
      </c>
      <c r="K592" s="910">
        <v>2057876</v>
      </c>
      <c r="L592" s="909">
        <v>597577</v>
      </c>
      <c r="M592" s="909"/>
      <c r="N592" s="910">
        <v>1052842</v>
      </c>
      <c r="O592" s="910">
        <v>9718186</v>
      </c>
      <c r="P592" s="910">
        <v>0</v>
      </c>
      <c r="Q592" s="909">
        <v>395352</v>
      </c>
      <c r="R592" s="910">
        <f t="shared" si="9"/>
        <v>16611597</v>
      </c>
      <c r="S592" s="909"/>
      <c r="T592" s="910">
        <v>8030827</v>
      </c>
      <c r="U592" s="912">
        <v>146416</v>
      </c>
      <c r="V592" s="912">
        <v>8177243</v>
      </c>
    </row>
    <row r="593" spans="1:22" x14ac:dyDescent="0.25">
      <c r="A593" s="906">
        <v>96502</v>
      </c>
      <c r="B593" s="907" t="s">
        <v>3153</v>
      </c>
      <c r="C593" s="908">
        <v>4.2309999999999998E-4</v>
      </c>
      <c r="D593" s="908">
        <v>3.9639999999999999E-4</v>
      </c>
      <c r="E593" s="909">
        <v>180923</v>
      </c>
      <c r="F593" s="909">
        <v>177902</v>
      </c>
      <c r="G593" s="909">
        <v>897960</v>
      </c>
      <c r="H593" s="909"/>
      <c r="I593" s="910">
        <v>16871</v>
      </c>
      <c r="J593" s="910">
        <v>786899</v>
      </c>
      <c r="K593" s="910">
        <v>61502</v>
      </c>
      <c r="L593" s="909">
        <v>58143</v>
      </c>
      <c r="M593" s="909"/>
      <c r="N593" s="910">
        <v>31466</v>
      </c>
      <c r="O593" s="910">
        <v>290440</v>
      </c>
      <c r="P593" s="910">
        <v>0</v>
      </c>
      <c r="Q593" s="909">
        <v>0</v>
      </c>
      <c r="R593" s="910">
        <f t="shared" si="9"/>
        <v>496459</v>
      </c>
      <c r="S593" s="909"/>
      <c r="T593" s="910">
        <v>240012</v>
      </c>
      <c r="U593" s="912">
        <v>22314</v>
      </c>
      <c r="V593" s="912">
        <v>262325</v>
      </c>
    </row>
    <row r="594" spans="1:22" x14ac:dyDescent="0.25">
      <c r="A594" s="906">
        <v>96503</v>
      </c>
      <c r="B594" s="907" t="s">
        <v>3154</v>
      </c>
      <c r="C594" s="908">
        <v>3.3700000000000001E-4</v>
      </c>
      <c r="D594" s="908">
        <v>3.746E-4</v>
      </c>
      <c r="E594" s="909">
        <v>297528.38</v>
      </c>
      <c r="F594" s="909">
        <v>168118</v>
      </c>
      <c r="G594" s="909">
        <v>715227</v>
      </c>
      <c r="H594" s="909"/>
      <c r="I594" s="910">
        <v>13437.875</v>
      </c>
      <c r="J594" s="910">
        <v>626767</v>
      </c>
      <c r="K594" s="910">
        <v>48987</v>
      </c>
      <c r="L594" s="909">
        <v>200924</v>
      </c>
      <c r="M594" s="909"/>
      <c r="N594" s="910">
        <v>25062</v>
      </c>
      <c r="O594" s="910">
        <v>231336</v>
      </c>
      <c r="P594" s="910">
        <v>0</v>
      </c>
      <c r="Q594" s="909">
        <v>29898</v>
      </c>
      <c r="R594" s="910">
        <f t="shared" si="9"/>
        <v>395431</v>
      </c>
      <c r="S594" s="909"/>
      <c r="T594" s="910">
        <v>191170</v>
      </c>
      <c r="U594" s="912">
        <v>46111</v>
      </c>
      <c r="V594" s="912">
        <v>237280</v>
      </c>
    </row>
    <row r="595" spans="1:22" x14ac:dyDescent="0.25">
      <c r="A595" s="906">
        <v>96504</v>
      </c>
      <c r="B595" s="907" t="s">
        <v>3155</v>
      </c>
      <c r="C595" s="908">
        <v>3.6039999999999998E-4</v>
      </c>
      <c r="D595" s="908">
        <v>3.7149999999999998E-4</v>
      </c>
      <c r="E595" s="909">
        <v>148639.46</v>
      </c>
      <c r="F595" s="909">
        <v>166727</v>
      </c>
      <c r="G595" s="909">
        <v>764890</v>
      </c>
      <c r="H595" s="909"/>
      <c r="I595" s="910">
        <v>14371</v>
      </c>
      <c r="J595" s="910">
        <v>670287</v>
      </c>
      <c r="K595" s="910">
        <v>52388</v>
      </c>
      <c r="L595" s="909">
        <v>11269</v>
      </c>
      <c r="M595" s="909"/>
      <c r="N595" s="910">
        <v>26803</v>
      </c>
      <c r="O595" s="910">
        <v>247399</v>
      </c>
      <c r="P595" s="910">
        <v>0</v>
      </c>
      <c r="Q595" s="909">
        <v>6125</v>
      </c>
      <c r="R595" s="910">
        <f t="shared" si="9"/>
        <v>422888</v>
      </c>
      <c r="S595" s="909"/>
      <c r="T595" s="910">
        <v>204444</v>
      </c>
      <c r="U595" s="912">
        <v>2299</v>
      </c>
      <c r="V595" s="912">
        <v>206743</v>
      </c>
    </row>
    <row r="596" spans="1:22" x14ac:dyDescent="0.25">
      <c r="A596" s="906">
        <v>96507</v>
      </c>
      <c r="B596" s="907" t="s">
        <v>3156</v>
      </c>
      <c r="C596" s="908">
        <v>2.2604999999999999E-3</v>
      </c>
      <c r="D596" s="908">
        <v>2.1895999999999999E-3</v>
      </c>
      <c r="E596" s="909">
        <v>971182</v>
      </c>
      <c r="F596" s="909">
        <v>982679</v>
      </c>
      <c r="G596" s="909">
        <v>4797538</v>
      </c>
      <c r="H596" s="909"/>
      <c r="I596" s="910">
        <v>90137</v>
      </c>
      <c r="J596" s="910">
        <v>4204173</v>
      </c>
      <c r="K596" s="910">
        <v>328589</v>
      </c>
      <c r="L596" s="909">
        <v>180324</v>
      </c>
      <c r="M596" s="909"/>
      <c r="N596" s="910">
        <v>168111</v>
      </c>
      <c r="O596" s="910">
        <v>1551738</v>
      </c>
      <c r="P596" s="910">
        <v>0</v>
      </c>
      <c r="Q596" s="909">
        <v>0</v>
      </c>
      <c r="R596" s="910">
        <f t="shared" si="9"/>
        <v>2652435</v>
      </c>
      <c r="S596" s="909"/>
      <c r="T596" s="910">
        <v>1282312</v>
      </c>
      <c r="U596" s="912">
        <v>64566</v>
      </c>
      <c r="V596" s="912">
        <v>1346877</v>
      </c>
    </row>
    <row r="597" spans="1:22" x14ac:dyDescent="0.25">
      <c r="A597" s="906">
        <v>96508</v>
      </c>
      <c r="B597" s="907" t="s">
        <v>3157</v>
      </c>
      <c r="C597" s="908">
        <v>9.7999999999999993E-6</v>
      </c>
      <c r="D597" s="908">
        <v>1.03E-5</v>
      </c>
      <c r="E597" s="909">
        <v>9949</v>
      </c>
      <c r="F597" s="909">
        <v>4623</v>
      </c>
      <c r="G597" s="909">
        <v>20799</v>
      </c>
      <c r="H597" s="909"/>
      <c r="I597" s="910">
        <v>390.77499999999998</v>
      </c>
      <c r="J597" s="910">
        <v>18226</v>
      </c>
      <c r="K597" s="910">
        <v>1425</v>
      </c>
      <c r="L597" s="909">
        <v>9383</v>
      </c>
      <c r="M597" s="909"/>
      <c r="N597" s="910">
        <v>729</v>
      </c>
      <c r="O597" s="910">
        <v>6727</v>
      </c>
      <c r="P597" s="910">
        <v>0</v>
      </c>
      <c r="Q597" s="909">
        <v>0</v>
      </c>
      <c r="R597" s="910">
        <f t="shared" si="9"/>
        <v>11499</v>
      </c>
      <c r="S597" s="909"/>
      <c r="T597" s="910">
        <v>5559</v>
      </c>
      <c r="U597" s="912">
        <v>3176</v>
      </c>
      <c r="V597" s="912">
        <v>8735</v>
      </c>
    </row>
    <row r="598" spans="1:22" x14ac:dyDescent="0.25">
      <c r="A598" s="906">
        <v>96511</v>
      </c>
      <c r="B598" s="907" t="s">
        <v>3158</v>
      </c>
      <c r="C598" s="908">
        <v>6.221E-4</v>
      </c>
      <c r="D598" s="908">
        <v>7.5080000000000004E-4</v>
      </c>
      <c r="E598" s="909">
        <v>244657.82</v>
      </c>
      <c r="F598" s="909">
        <v>336955</v>
      </c>
      <c r="G598" s="909">
        <v>1320305</v>
      </c>
      <c r="H598" s="909"/>
      <c r="I598" s="910">
        <v>24806</v>
      </c>
      <c r="J598" s="910">
        <v>1157008</v>
      </c>
      <c r="K598" s="910">
        <v>90429</v>
      </c>
      <c r="L598" s="909">
        <v>0</v>
      </c>
      <c r="M598" s="909"/>
      <c r="N598" s="910">
        <v>46265</v>
      </c>
      <c r="O598" s="910">
        <v>427046</v>
      </c>
      <c r="P598" s="910">
        <v>0</v>
      </c>
      <c r="Q598" s="909">
        <v>135169</v>
      </c>
      <c r="R598" s="910">
        <f t="shared" si="9"/>
        <v>729962</v>
      </c>
      <c r="S598" s="909"/>
      <c r="T598" s="910">
        <v>352898</v>
      </c>
      <c r="U598" s="912">
        <v>-47382</v>
      </c>
      <c r="V598" s="912">
        <v>305516</v>
      </c>
    </row>
    <row r="599" spans="1:22" x14ac:dyDescent="0.25">
      <c r="A599" s="906">
        <v>96512</v>
      </c>
      <c r="B599" s="907" t="s">
        <v>3159</v>
      </c>
      <c r="C599" s="908">
        <v>1.7000000000000001E-4</v>
      </c>
      <c r="D599" s="908">
        <v>1.5550000000000001E-4</v>
      </c>
      <c r="E599" s="909">
        <v>63901</v>
      </c>
      <c r="F599" s="909">
        <v>69787</v>
      </c>
      <c r="G599" s="909">
        <v>360796.95</v>
      </c>
      <c r="H599" s="909"/>
      <c r="I599" s="910">
        <v>6779</v>
      </c>
      <c r="J599" s="910">
        <v>316173.14</v>
      </c>
      <c r="K599" s="910">
        <v>24711</v>
      </c>
      <c r="L599" s="909">
        <v>8267</v>
      </c>
      <c r="M599" s="909"/>
      <c r="N599" s="910">
        <v>12643</v>
      </c>
      <c r="O599" s="910">
        <v>116698</v>
      </c>
      <c r="P599" s="910">
        <v>0</v>
      </c>
      <c r="Q599" s="909">
        <v>0</v>
      </c>
      <c r="R599" s="910">
        <f t="shared" si="9"/>
        <v>199475</v>
      </c>
      <c r="S599" s="909"/>
      <c r="T599" s="910">
        <v>96436</v>
      </c>
      <c r="U599" s="912">
        <v>2689</v>
      </c>
      <c r="V599" s="912">
        <v>99124</v>
      </c>
    </row>
    <row r="600" spans="1:22" x14ac:dyDescent="0.25">
      <c r="A600" s="906">
        <v>96519</v>
      </c>
      <c r="B600" s="907" t="s">
        <v>3160</v>
      </c>
      <c r="C600" s="908">
        <v>0</v>
      </c>
      <c r="D600" s="908">
        <v>1.7197E-3</v>
      </c>
      <c r="E600" s="909">
        <v>0</v>
      </c>
      <c r="F600" s="909">
        <v>771791</v>
      </c>
      <c r="G600" s="909">
        <v>0</v>
      </c>
      <c r="H600" s="909"/>
      <c r="I600" s="910">
        <v>0</v>
      </c>
      <c r="J600" s="910">
        <v>0</v>
      </c>
      <c r="K600" s="910">
        <v>0</v>
      </c>
      <c r="L600" s="909">
        <v>300924</v>
      </c>
      <c r="M600" s="909"/>
      <c r="N600" s="910">
        <v>0</v>
      </c>
      <c r="O600" s="910">
        <v>0</v>
      </c>
      <c r="P600" s="910">
        <v>0</v>
      </c>
      <c r="Q600" s="909">
        <v>931590</v>
      </c>
      <c r="R600" s="910">
        <f t="shared" si="9"/>
        <v>0</v>
      </c>
      <c r="S600" s="909"/>
      <c r="T600" s="910">
        <v>0</v>
      </c>
      <c r="U600" s="912">
        <v>-102954</v>
      </c>
      <c r="V600" s="912">
        <v>-102954</v>
      </c>
    </row>
    <row r="601" spans="1:22" x14ac:dyDescent="0.25">
      <c r="A601" s="906">
        <v>96521</v>
      </c>
      <c r="B601" s="907" t="s">
        <v>3161</v>
      </c>
      <c r="C601" s="908">
        <v>9.4240000000000003E-4</v>
      </c>
      <c r="D601" s="908">
        <v>9.0479999999999998E-4</v>
      </c>
      <c r="E601" s="909">
        <v>332666.64</v>
      </c>
      <c r="F601" s="909">
        <v>406069</v>
      </c>
      <c r="G601" s="909">
        <v>2000089</v>
      </c>
      <c r="H601" s="909"/>
      <c r="I601" s="910">
        <v>37578</v>
      </c>
      <c r="J601" s="910">
        <v>1752715</v>
      </c>
      <c r="K601" s="910">
        <v>136988</v>
      </c>
      <c r="L601" s="909">
        <v>46521</v>
      </c>
      <c r="M601" s="909"/>
      <c r="N601" s="910">
        <v>70085</v>
      </c>
      <c r="O601" s="910">
        <v>646918</v>
      </c>
      <c r="P601" s="910">
        <v>0</v>
      </c>
      <c r="Q601" s="909">
        <v>27885</v>
      </c>
      <c r="R601" s="910">
        <f t="shared" si="9"/>
        <v>1105797</v>
      </c>
      <c r="S601" s="909"/>
      <c r="T601" s="910">
        <v>534594</v>
      </c>
      <c r="U601" s="912">
        <v>8139</v>
      </c>
      <c r="V601" s="912">
        <v>542733</v>
      </c>
    </row>
    <row r="602" spans="1:22" x14ac:dyDescent="0.25">
      <c r="A602" s="906">
        <v>96531</v>
      </c>
      <c r="B602" s="907" t="s">
        <v>3162</v>
      </c>
      <c r="C602" s="908">
        <v>8.6088999999999992E-3</v>
      </c>
      <c r="D602" s="908">
        <v>9.1912000000000001E-3</v>
      </c>
      <c r="E602" s="909">
        <v>3504528.87</v>
      </c>
      <c r="F602" s="909">
        <v>4124955</v>
      </c>
      <c r="G602" s="909">
        <v>18270970</v>
      </c>
      <c r="H602" s="909"/>
      <c r="I602" s="910">
        <v>343280</v>
      </c>
      <c r="J602" s="910">
        <v>16011194</v>
      </c>
      <c r="K602" s="910">
        <v>1251398</v>
      </c>
      <c r="L602" s="909">
        <v>75559</v>
      </c>
      <c r="M602" s="909"/>
      <c r="N602" s="910">
        <v>640235</v>
      </c>
      <c r="O602" s="910">
        <v>5909648</v>
      </c>
      <c r="P602" s="910">
        <v>0</v>
      </c>
      <c r="Q602" s="909">
        <v>381680</v>
      </c>
      <c r="R602" s="910">
        <f t="shared" si="9"/>
        <v>10101546</v>
      </c>
      <c r="S602" s="909"/>
      <c r="T602" s="910">
        <v>4883562</v>
      </c>
      <c r="U602" s="912">
        <v>-81286</v>
      </c>
      <c r="V602" s="912">
        <v>4802276</v>
      </c>
    </row>
    <row r="603" spans="1:22" x14ac:dyDescent="0.25">
      <c r="A603" s="906">
        <v>96541</v>
      </c>
      <c r="B603" s="907" t="s">
        <v>3163</v>
      </c>
      <c r="C603" s="908">
        <v>3.3169999999999999E-4</v>
      </c>
      <c r="D603" s="908">
        <v>3.2759999999999999E-4</v>
      </c>
      <c r="E603" s="909">
        <v>136435.87</v>
      </c>
      <c r="F603" s="909">
        <v>147025</v>
      </c>
      <c r="G603" s="909">
        <v>703979</v>
      </c>
      <c r="H603" s="909"/>
      <c r="I603" s="910">
        <v>13227</v>
      </c>
      <c r="J603" s="910">
        <v>616910</v>
      </c>
      <c r="K603" s="910">
        <v>48216</v>
      </c>
      <c r="L603" s="909">
        <v>22779</v>
      </c>
      <c r="M603" s="909"/>
      <c r="N603" s="910">
        <v>24668</v>
      </c>
      <c r="O603" s="910">
        <v>227698</v>
      </c>
      <c r="P603" s="910">
        <v>0</v>
      </c>
      <c r="Q603" s="909">
        <v>0</v>
      </c>
      <c r="R603" s="910">
        <f t="shared" si="9"/>
        <v>389212</v>
      </c>
      <c r="S603" s="909"/>
      <c r="T603" s="910">
        <v>188163</v>
      </c>
      <c r="U603" s="912">
        <v>10018</v>
      </c>
      <c r="V603" s="912">
        <v>198181</v>
      </c>
    </row>
    <row r="604" spans="1:22" x14ac:dyDescent="0.25">
      <c r="A604" s="906">
        <v>96601</v>
      </c>
      <c r="B604" s="907" t="s">
        <v>3164</v>
      </c>
      <c r="C604" s="908">
        <v>1.8416000000000001E-3</v>
      </c>
      <c r="D604" s="908">
        <v>1.8462999999999999E-3</v>
      </c>
      <c r="E604" s="909">
        <v>769874.79</v>
      </c>
      <c r="F604" s="909">
        <v>828608</v>
      </c>
      <c r="G604" s="909">
        <v>3908492</v>
      </c>
      <c r="H604" s="909"/>
      <c r="I604" s="910">
        <v>73433.8</v>
      </c>
      <c r="J604" s="910">
        <v>3425085</v>
      </c>
      <c r="K604" s="910">
        <v>267697</v>
      </c>
      <c r="L604" s="909">
        <v>58499</v>
      </c>
      <c r="M604" s="909"/>
      <c r="N604" s="910">
        <v>136958</v>
      </c>
      <c r="O604" s="910">
        <v>1264181</v>
      </c>
      <c r="P604" s="910">
        <v>0</v>
      </c>
      <c r="Q604" s="909">
        <v>6413</v>
      </c>
      <c r="R604" s="910">
        <f t="shared" si="9"/>
        <v>2160904</v>
      </c>
      <c r="S604" s="909"/>
      <c r="T604" s="910">
        <v>1044683</v>
      </c>
      <c r="U604" s="912">
        <v>25319</v>
      </c>
      <c r="V604" s="912">
        <v>1070002</v>
      </c>
    </row>
    <row r="605" spans="1:22" x14ac:dyDescent="0.25">
      <c r="A605" s="906">
        <v>96604</v>
      </c>
      <c r="B605" s="907" t="s">
        <v>3165</v>
      </c>
      <c r="C605" s="908">
        <v>7.9000000000000006E-6</v>
      </c>
      <c r="D605" s="908">
        <v>7.9000000000000006E-6</v>
      </c>
      <c r="E605" s="909">
        <v>4375</v>
      </c>
      <c r="F605" s="909">
        <v>3545</v>
      </c>
      <c r="G605" s="909">
        <v>16766</v>
      </c>
      <c r="H605" s="909"/>
      <c r="I605" s="910">
        <v>315</v>
      </c>
      <c r="J605" s="910">
        <v>14693</v>
      </c>
      <c r="K605" s="910">
        <v>1148</v>
      </c>
      <c r="L605" s="909">
        <v>1595</v>
      </c>
      <c r="M605" s="909"/>
      <c r="N605" s="910">
        <v>588</v>
      </c>
      <c r="O605" s="910">
        <v>5423</v>
      </c>
      <c r="P605" s="910">
        <v>0</v>
      </c>
      <c r="Q605" s="909">
        <v>108</v>
      </c>
      <c r="R605" s="910">
        <f t="shared" si="9"/>
        <v>9270</v>
      </c>
      <c r="S605" s="909"/>
      <c r="T605" s="910">
        <v>4481</v>
      </c>
      <c r="U605" s="912">
        <v>545</v>
      </c>
      <c r="V605" s="912">
        <v>5027</v>
      </c>
    </row>
    <row r="606" spans="1:22" x14ac:dyDescent="0.25">
      <c r="A606" s="906">
        <v>96611</v>
      </c>
      <c r="B606" s="907" t="s">
        <v>3166</v>
      </c>
      <c r="C606" s="908">
        <v>3.29E-5</v>
      </c>
      <c r="D606" s="908">
        <v>2.9499999999999999E-5</v>
      </c>
      <c r="E606" s="909">
        <v>11899.8</v>
      </c>
      <c r="F606" s="909">
        <v>13239</v>
      </c>
      <c r="G606" s="909">
        <v>69825</v>
      </c>
      <c r="H606" s="909"/>
      <c r="I606" s="910">
        <v>1312</v>
      </c>
      <c r="J606" s="910">
        <v>61189</v>
      </c>
      <c r="K606" s="910">
        <v>4782</v>
      </c>
      <c r="L606" s="909">
        <v>2869</v>
      </c>
      <c r="M606" s="909"/>
      <c r="N606" s="910">
        <v>2447</v>
      </c>
      <c r="O606" s="910">
        <v>22584</v>
      </c>
      <c r="P606" s="910">
        <v>0</v>
      </c>
      <c r="Q606" s="909">
        <v>649</v>
      </c>
      <c r="R606" s="910">
        <f t="shared" si="9"/>
        <v>38605</v>
      </c>
      <c r="S606" s="909"/>
      <c r="T606" s="910">
        <v>18663</v>
      </c>
      <c r="U606" s="912">
        <v>1079</v>
      </c>
      <c r="V606" s="912">
        <v>19742</v>
      </c>
    </row>
    <row r="607" spans="1:22" x14ac:dyDescent="0.25">
      <c r="A607" s="906">
        <v>96612</v>
      </c>
      <c r="B607" s="907" t="s">
        <v>3167</v>
      </c>
      <c r="C607" s="908">
        <v>6.3899999999999995E-5</v>
      </c>
      <c r="D607" s="908">
        <v>6.4399999999999993E-5</v>
      </c>
      <c r="E607" s="909">
        <v>30974</v>
      </c>
      <c r="F607" s="909">
        <v>28902</v>
      </c>
      <c r="G607" s="909">
        <v>135617</v>
      </c>
      <c r="H607" s="909"/>
      <c r="I607" s="910">
        <v>2548</v>
      </c>
      <c r="J607" s="910">
        <v>118844</v>
      </c>
      <c r="K607" s="910">
        <v>9289</v>
      </c>
      <c r="L607" s="909">
        <v>7363</v>
      </c>
      <c r="M607" s="909"/>
      <c r="N607" s="910">
        <v>4752</v>
      </c>
      <c r="O607" s="910">
        <v>43865</v>
      </c>
      <c r="P607" s="910">
        <v>0</v>
      </c>
      <c r="Q607" s="909">
        <v>1323</v>
      </c>
      <c r="R607" s="910">
        <f t="shared" si="9"/>
        <v>74979</v>
      </c>
      <c r="S607" s="909"/>
      <c r="T607" s="910">
        <v>36248</v>
      </c>
      <c r="U607" s="912">
        <v>1615</v>
      </c>
      <c r="V607" s="912">
        <v>37864</v>
      </c>
    </row>
    <row r="608" spans="1:22" x14ac:dyDescent="0.25">
      <c r="A608" s="906">
        <v>96621</v>
      </c>
      <c r="B608" s="907" t="s">
        <v>3168</v>
      </c>
      <c r="C608" s="908">
        <v>2.65E-5</v>
      </c>
      <c r="D608" s="908">
        <v>3.6600000000000002E-5</v>
      </c>
      <c r="E608" s="909">
        <v>12593.01</v>
      </c>
      <c r="F608" s="909">
        <v>16426</v>
      </c>
      <c r="G608" s="909">
        <v>56242</v>
      </c>
      <c r="H608" s="909"/>
      <c r="I608" s="910">
        <v>1056.6875</v>
      </c>
      <c r="J608" s="910">
        <v>49286</v>
      </c>
      <c r="K608" s="910">
        <v>3852</v>
      </c>
      <c r="L608" s="909">
        <v>1133</v>
      </c>
      <c r="M608" s="909"/>
      <c r="N608" s="910">
        <v>1971</v>
      </c>
      <c r="O608" s="910">
        <v>18191</v>
      </c>
      <c r="P608" s="910">
        <v>0</v>
      </c>
      <c r="Q608" s="909">
        <v>7687</v>
      </c>
      <c r="R608" s="910">
        <f t="shared" si="9"/>
        <v>31095</v>
      </c>
      <c r="S608" s="909"/>
      <c r="T608" s="910">
        <v>15033</v>
      </c>
      <c r="U608" s="912">
        <v>-2457</v>
      </c>
      <c r="V608" s="912">
        <v>12576</v>
      </c>
    </row>
    <row r="609" spans="1:22" x14ac:dyDescent="0.25">
      <c r="A609" s="906">
        <v>96631</v>
      </c>
      <c r="B609" s="907" t="s">
        <v>3169</v>
      </c>
      <c r="C609" s="908">
        <v>2.5899999999999999E-5</v>
      </c>
      <c r="D609" s="908">
        <v>2.5599999999999999E-5</v>
      </c>
      <c r="E609" s="909">
        <v>10253</v>
      </c>
      <c r="F609" s="909">
        <v>11489</v>
      </c>
      <c r="G609" s="909">
        <v>54968</v>
      </c>
      <c r="H609" s="909"/>
      <c r="I609" s="910">
        <v>1032.7625</v>
      </c>
      <c r="J609" s="910">
        <v>48170</v>
      </c>
      <c r="K609" s="910">
        <v>3765</v>
      </c>
      <c r="L609" s="909">
        <v>5664</v>
      </c>
      <c r="M609" s="909"/>
      <c r="N609" s="910">
        <v>1926</v>
      </c>
      <c r="O609" s="910">
        <v>17779</v>
      </c>
      <c r="P609" s="910">
        <v>0</v>
      </c>
      <c r="Q609" s="909">
        <v>154</v>
      </c>
      <c r="R609" s="910">
        <f t="shared" si="9"/>
        <v>30391</v>
      </c>
      <c r="S609" s="909"/>
      <c r="T609" s="910">
        <v>14692</v>
      </c>
      <c r="U609" s="912">
        <v>2250</v>
      </c>
      <c r="V609" s="912">
        <v>16942</v>
      </c>
    </row>
    <row r="610" spans="1:22" x14ac:dyDescent="0.25">
      <c r="A610" s="906">
        <v>96641</v>
      </c>
      <c r="B610" s="907" t="s">
        <v>3170</v>
      </c>
      <c r="C610" s="908">
        <v>2.6999999999999999E-5</v>
      </c>
      <c r="D610" s="908">
        <v>2.7100000000000001E-5</v>
      </c>
      <c r="E610" s="909">
        <v>17201.89</v>
      </c>
      <c r="F610" s="909">
        <v>12162</v>
      </c>
      <c r="G610" s="909">
        <v>57303</v>
      </c>
      <c r="H610" s="909"/>
      <c r="I610" s="910">
        <v>1076.625</v>
      </c>
      <c r="J610" s="910">
        <v>50216</v>
      </c>
      <c r="K610" s="910">
        <v>3925</v>
      </c>
      <c r="L610" s="909">
        <v>10873</v>
      </c>
      <c r="M610" s="909"/>
      <c r="N610" s="910">
        <v>2008</v>
      </c>
      <c r="O610" s="910">
        <v>18534</v>
      </c>
      <c r="P610" s="910">
        <v>0</v>
      </c>
      <c r="Q610" s="909">
        <v>0</v>
      </c>
      <c r="R610" s="910">
        <f t="shared" si="9"/>
        <v>31682</v>
      </c>
      <c r="S610" s="909"/>
      <c r="T610" s="910">
        <v>15316</v>
      </c>
      <c r="U610" s="912">
        <v>3846</v>
      </c>
      <c r="V610" s="912">
        <v>19162</v>
      </c>
    </row>
    <row r="611" spans="1:22" x14ac:dyDescent="0.25">
      <c r="A611" s="906">
        <v>96651</v>
      </c>
      <c r="B611" s="907" t="s">
        <v>3171</v>
      </c>
      <c r="C611" s="908">
        <v>1.9400000000000001E-5</v>
      </c>
      <c r="D611" s="908">
        <v>1.9300000000000002E-5</v>
      </c>
      <c r="E611" s="909">
        <v>8893</v>
      </c>
      <c r="F611" s="909">
        <v>8662</v>
      </c>
      <c r="G611" s="909">
        <v>41173</v>
      </c>
      <c r="H611" s="909"/>
      <c r="I611" s="910">
        <v>773.57500000000005</v>
      </c>
      <c r="J611" s="910">
        <v>36081</v>
      </c>
      <c r="K611" s="910">
        <v>2820</v>
      </c>
      <c r="L611" s="909">
        <v>781</v>
      </c>
      <c r="M611" s="909"/>
      <c r="N611" s="910">
        <v>1443</v>
      </c>
      <c r="O611" s="910">
        <v>13317</v>
      </c>
      <c r="P611" s="910">
        <v>0</v>
      </c>
      <c r="Q611" s="909">
        <v>2222</v>
      </c>
      <c r="R611" s="910">
        <f t="shared" si="9"/>
        <v>22764</v>
      </c>
      <c r="S611" s="909"/>
      <c r="T611" s="910">
        <v>11005</v>
      </c>
      <c r="U611" s="912">
        <v>-715</v>
      </c>
      <c r="V611" s="912">
        <v>10290</v>
      </c>
    </row>
    <row r="612" spans="1:22" x14ac:dyDescent="0.25">
      <c r="A612" s="906">
        <v>96661</v>
      </c>
      <c r="B612" s="907" t="s">
        <v>3172</v>
      </c>
      <c r="C612" s="908">
        <v>1.9000000000000001E-5</v>
      </c>
      <c r="D612" s="908">
        <v>1.7200000000000001E-5</v>
      </c>
      <c r="E612" s="909">
        <v>9291.01</v>
      </c>
      <c r="F612" s="909">
        <v>7719</v>
      </c>
      <c r="G612" s="909">
        <v>40324</v>
      </c>
      <c r="H612" s="909"/>
      <c r="I612" s="910">
        <v>757.625</v>
      </c>
      <c r="J612" s="910">
        <v>35337</v>
      </c>
      <c r="K612" s="910">
        <v>2762</v>
      </c>
      <c r="L612" s="909">
        <v>6032</v>
      </c>
      <c r="M612" s="909"/>
      <c r="N612" s="910">
        <v>1413</v>
      </c>
      <c r="O612" s="910">
        <v>13043</v>
      </c>
      <c r="P612" s="910">
        <v>0</v>
      </c>
      <c r="Q612" s="909">
        <v>0</v>
      </c>
      <c r="R612" s="910">
        <f t="shared" si="9"/>
        <v>22294</v>
      </c>
      <c r="S612" s="909"/>
      <c r="T612" s="910">
        <v>10778</v>
      </c>
      <c r="U612" s="912">
        <v>2137</v>
      </c>
      <c r="V612" s="912">
        <v>12915</v>
      </c>
    </row>
    <row r="613" spans="1:22" x14ac:dyDescent="0.25">
      <c r="A613" s="906">
        <v>96671</v>
      </c>
      <c r="B613" s="907" t="s">
        <v>3173</v>
      </c>
      <c r="C613" s="908">
        <v>1.5500000000000001E-5</v>
      </c>
      <c r="D613" s="908">
        <v>1.56E-5</v>
      </c>
      <c r="E613" s="909">
        <v>11958</v>
      </c>
      <c r="F613" s="909">
        <v>7001</v>
      </c>
      <c r="G613" s="909">
        <v>32896</v>
      </c>
      <c r="H613" s="909"/>
      <c r="I613" s="910">
        <v>618.0625</v>
      </c>
      <c r="J613" s="910">
        <v>28828</v>
      </c>
      <c r="K613" s="910">
        <v>2253</v>
      </c>
      <c r="L613" s="909">
        <v>11385</v>
      </c>
      <c r="M613" s="909"/>
      <c r="N613" s="910">
        <v>1153</v>
      </c>
      <c r="O613" s="910">
        <v>10640</v>
      </c>
      <c r="P613" s="910">
        <v>0</v>
      </c>
      <c r="Q613" s="909">
        <v>418</v>
      </c>
      <c r="R613" s="910">
        <f t="shared" si="9"/>
        <v>18188</v>
      </c>
      <c r="S613" s="909"/>
      <c r="T613" s="910">
        <v>8793</v>
      </c>
      <c r="U613" s="912">
        <v>3409</v>
      </c>
      <c r="V613" s="912">
        <v>12201</v>
      </c>
    </row>
    <row r="614" spans="1:22" x14ac:dyDescent="0.25">
      <c r="A614" s="906">
        <v>96681</v>
      </c>
      <c r="B614" s="907" t="s">
        <v>3174</v>
      </c>
      <c r="C614" s="908">
        <v>3.4799999999999999E-5</v>
      </c>
      <c r="D614" s="908">
        <v>3.4700000000000003E-5</v>
      </c>
      <c r="E614" s="909">
        <v>22896</v>
      </c>
      <c r="F614" s="909">
        <v>15573</v>
      </c>
      <c r="G614" s="909">
        <v>73857</v>
      </c>
      <c r="H614" s="909"/>
      <c r="I614" s="910">
        <v>1388</v>
      </c>
      <c r="J614" s="910">
        <v>64723</v>
      </c>
      <c r="K614" s="910">
        <v>5059</v>
      </c>
      <c r="L614" s="909">
        <v>18633</v>
      </c>
      <c r="M614" s="909"/>
      <c r="N614" s="910">
        <v>2588</v>
      </c>
      <c r="O614" s="910">
        <v>23889</v>
      </c>
      <c r="P614" s="910">
        <v>0</v>
      </c>
      <c r="Q614" s="909">
        <v>1494</v>
      </c>
      <c r="R614" s="910">
        <f t="shared" si="9"/>
        <v>40834</v>
      </c>
      <c r="S614" s="909"/>
      <c r="T614" s="910">
        <v>19741</v>
      </c>
      <c r="U614" s="912">
        <v>5200</v>
      </c>
      <c r="V614" s="912">
        <v>24941</v>
      </c>
    </row>
    <row r="615" spans="1:22" x14ac:dyDescent="0.25">
      <c r="A615" s="906">
        <v>96701</v>
      </c>
      <c r="B615" s="907" t="s">
        <v>3175</v>
      </c>
      <c r="C615" s="908">
        <v>7.7850000000000003E-3</v>
      </c>
      <c r="D615" s="908">
        <v>7.7803999999999998E-3</v>
      </c>
      <c r="E615" s="909">
        <v>3136203</v>
      </c>
      <c r="F615" s="909">
        <v>3491797</v>
      </c>
      <c r="G615" s="909">
        <v>16522378</v>
      </c>
      <c r="H615" s="909"/>
      <c r="I615" s="910">
        <v>310427</v>
      </c>
      <c r="J615" s="910">
        <v>14478870</v>
      </c>
      <c r="K615" s="910">
        <v>1131635</v>
      </c>
      <c r="L615" s="909">
        <v>289202</v>
      </c>
      <c r="M615" s="909"/>
      <c r="N615" s="910">
        <v>578963</v>
      </c>
      <c r="O615" s="910">
        <v>5344075.53</v>
      </c>
      <c r="P615" s="910">
        <v>0</v>
      </c>
      <c r="Q615" s="909">
        <v>79279</v>
      </c>
      <c r="R615" s="910">
        <f t="shared" si="9"/>
        <v>9134794</v>
      </c>
      <c r="S615" s="909"/>
      <c r="T615" s="910">
        <v>4416189</v>
      </c>
      <c r="U615" s="912">
        <v>74739</v>
      </c>
      <c r="V615" s="912">
        <v>4490928</v>
      </c>
    </row>
    <row r="616" spans="1:22" x14ac:dyDescent="0.25">
      <c r="A616" s="906">
        <v>96704</v>
      </c>
      <c r="B616" s="907" t="s">
        <v>3176</v>
      </c>
      <c r="C616" s="908">
        <v>1.5330000000000001E-4</v>
      </c>
      <c r="D616" s="908">
        <v>1.5919999999999999E-4</v>
      </c>
      <c r="E616" s="909">
        <v>71376</v>
      </c>
      <c r="F616" s="909">
        <v>71448</v>
      </c>
      <c r="G616" s="909">
        <v>325354</v>
      </c>
      <c r="H616" s="909"/>
      <c r="I616" s="910">
        <v>6113</v>
      </c>
      <c r="J616" s="910">
        <v>285114</v>
      </c>
      <c r="K616" s="910">
        <v>22284</v>
      </c>
      <c r="L616" s="909">
        <v>9181</v>
      </c>
      <c r="M616" s="909"/>
      <c r="N616" s="910">
        <v>11401</v>
      </c>
      <c r="O616" s="910">
        <v>105234</v>
      </c>
      <c r="P616" s="910">
        <v>0</v>
      </c>
      <c r="Q616" s="909">
        <v>0</v>
      </c>
      <c r="R616" s="910">
        <f t="shared" si="9"/>
        <v>179880</v>
      </c>
      <c r="S616" s="909"/>
      <c r="T616" s="910">
        <v>86962</v>
      </c>
      <c r="U616" s="912">
        <v>3774</v>
      </c>
      <c r="V616" s="912">
        <v>90736</v>
      </c>
    </row>
    <row r="617" spans="1:22" x14ac:dyDescent="0.25">
      <c r="A617" s="906">
        <v>96708</v>
      </c>
      <c r="B617" s="907" t="s">
        <v>3177</v>
      </c>
      <c r="C617" s="908">
        <v>8.4590000000000002E-4</v>
      </c>
      <c r="D617" s="908">
        <v>9.8109999999999994E-4</v>
      </c>
      <c r="E617" s="909">
        <v>406277.09</v>
      </c>
      <c r="F617" s="909">
        <v>440312</v>
      </c>
      <c r="G617" s="909">
        <v>1795283</v>
      </c>
      <c r="H617" s="909"/>
      <c r="I617" s="910">
        <v>33730</v>
      </c>
      <c r="J617" s="910">
        <v>1573240</v>
      </c>
      <c r="K617" s="910">
        <v>122961</v>
      </c>
      <c r="L617" s="909">
        <v>54938</v>
      </c>
      <c r="M617" s="909"/>
      <c r="N617" s="910">
        <v>62909</v>
      </c>
      <c r="O617" s="910">
        <v>580675</v>
      </c>
      <c r="P617" s="910">
        <v>0</v>
      </c>
      <c r="Q617" s="909">
        <v>26851</v>
      </c>
      <c r="R617" s="910">
        <f t="shared" si="9"/>
        <v>992565</v>
      </c>
      <c r="S617" s="909"/>
      <c r="T617" s="910">
        <v>479853</v>
      </c>
      <c r="U617" s="912">
        <v>14104</v>
      </c>
      <c r="V617" s="912">
        <v>493957</v>
      </c>
    </row>
    <row r="618" spans="1:22" x14ac:dyDescent="0.25">
      <c r="A618" s="906">
        <v>96711</v>
      </c>
      <c r="B618" s="907" t="s">
        <v>3178</v>
      </c>
      <c r="C618" s="908">
        <v>4.4140000000000004E-3</v>
      </c>
      <c r="D618" s="908">
        <v>4.2459999999999998E-3</v>
      </c>
      <c r="E618" s="909">
        <v>1606505</v>
      </c>
      <c r="F618" s="909">
        <v>1905579</v>
      </c>
      <c r="G618" s="909">
        <v>9367987</v>
      </c>
      <c r="H618" s="909"/>
      <c r="I618" s="910">
        <v>176008</v>
      </c>
      <c r="J618" s="910">
        <v>8209343</v>
      </c>
      <c r="K618" s="910">
        <v>641623</v>
      </c>
      <c r="L618" s="909">
        <v>20750</v>
      </c>
      <c r="M618" s="909"/>
      <c r="N618" s="910">
        <v>328265</v>
      </c>
      <c r="O618" s="910">
        <v>3030026</v>
      </c>
      <c r="P618" s="910">
        <v>0</v>
      </c>
      <c r="Q618" s="909">
        <v>348266</v>
      </c>
      <c r="R618" s="910">
        <f t="shared" si="9"/>
        <v>5179317</v>
      </c>
      <c r="S618" s="909"/>
      <c r="T618" s="910">
        <v>2503925</v>
      </c>
      <c r="U618" s="912">
        <v>-105928</v>
      </c>
      <c r="V618" s="912">
        <v>2397997</v>
      </c>
    </row>
    <row r="619" spans="1:22" x14ac:dyDescent="0.25">
      <c r="A619" s="906">
        <v>96721</v>
      </c>
      <c r="B619" s="907" t="s">
        <v>3179</v>
      </c>
      <c r="C619" s="908">
        <v>1.9780000000000001E-4</v>
      </c>
      <c r="D619" s="908">
        <v>2.5119999999999998E-4</v>
      </c>
      <c r="E619" s="909">
        <v>74367</v>
      </c>
      <c r="F619" s="909">
        <v>112737</v>
      </c>
      <c r="G619" s="909">
        <v>419798</v>
      </c>
      <c r="H619" s="909"/>
      <c r="I619" s="910">
        <v>7887</v>
      </c>
      <c r="J619" s="910">
        <v>367877</v>
      </c>
      <c r="K619" s="910">
        <v>28752</v>
      </c>
      <c r="L619" s="909">
        <v>10855</v>
      </c>
      <c r="M619" s="909"/>
      <c r="N619" s="910">
        <v>14710</v>
      </c>
      <c r="O619" s="910">
        <v>135781</v>
      </c>
      <c r="P619" s="910">
        <v>0</v>
      </c>
      <c r="Q619" s="909">
        <v>34469</v>
      </c>
      <c r="R619" s="910">
        <f t="shared" si="9"/>
        <v>232096</v>
      </c>
      <c r="S619" s="909"/>
      <c r="T619" s="910">
        <v>112206</v>
      </c>
      <c r="U619" s="912">
        <v>-3553</v>
      </c>
      <c r="V619" s="912">
        <v>108653</v>
      </c>
    </row>
    <row r="620" spans="1:22" x14ac:dyDescent="0.25">
      <c r="A620" s="906">
        <v>96731</v>
      </c>
      <c r="B620" s="907" t="s">
        <v>3180</v>
      </c>
      <c r="C620" s="908">
        <v>1.5090000000000001E-4</v>
      </c>
      <c r="D620" s="908">
        <v>1.3420000000000001E-4</v>
      </c>
      <c r="E620" s="909">
        <v>65647</v>
      </c>
      <c r="F620" s="909">
        <v>60228</v>
      </c>
      <c r="G620" s="909">
        <v>320260</v>
      </c>
      <c r="H620" s="909"/>
      <c r="I620" s="910">
        <v>6017</v>
      </c>
      <c r="J620" s="910">
        <v>280650</v>
      </c>
      <c r="K620" s="910">
        <v>21935</v>
      </c>
      <c r="L620" s="909">
        <v>18052</v>
      </c>
      <c r="M620" s="909"/>
      <c r="N620" s="910">
        <v>11222</v>
      </c>
      <c r="O620" s="910">
        <v>103587</v>
      </c>
      <c r="P620" s="910">
        <v>0</v>
      </c>
      <c r="Q620" s="909">
        <v>12</v>
      </c>
      <c r="R620" s="910">
        <f t="shared" si="9"/>
        <v>177063</v>
      </c>
      <c r="S620" s="909"/>
      <c r="T620" s="910">
        <v>85601</v>
      </c>
      <c r="U620" s="912">
        <v>5259</v>
      </c>
      <c r="V620" s="912">
        <v>90859</v>
      </c>
    </row>
    <row r="621" spans="1:22" x14ac:dyDescent="0.25">
      <c r="A621" s="906">
        <v>96733</v>
      </c>
      <c r="B621" s="907" t="s">
        <v>3181</v>
      </c>
      <c r="C621" s="908">
        <v>9.2E-6</v>
      </c>
      <c r="D621" s="908">
        <v>4.1999999999999996E-6</v>
      </c>
      <c r="E621" s="909">
        <v>5389.79</v>
      </c>
      <c r="F621" s="909">
        <v>1885</v>
      </c>
      <c r="G621" s="909">
        <v>19525</v>
      </c>
      <c r="H621" s="909"/>
      <c r="I621" s="910">
        <v>366.85</v>
      </c>
      <c r="J621" s="910">
        <v>17111</v>
      </c>
      <c r="K621" s="910">
        <v>1337</v>
      </c>
      <c r="L621" s="909">
        <v>6066</v>
      </c>
      <c r="M621" s="909"/>
      <c r="N621" s="910">
        <v>684</v>
      </c>
      <c r="O621" s="910">
        <v>6315</v>
      </c>
      <c r="P621" s="910">
        <v>0</v>
      </c>
      <c r="Q621" s="909">
        <v>1048</v>
      </c>
      <c r="R621" s="910">
        <f t="shared" si="9"/>
        <v>10796</v>
      </c>
      <c r="S621" s="909"/>
      <c r="T621" s="910">
        <v>5219</v>
      </c>
      <c r="U621" s="912">
        <v>1707</v>
      </c>
      <c r="V621" s="912">
        <v>6925</v>
      </c>
    </row>
    <row r="622" spans="1:22" x14ac:dyDescent="0.25">
      <c r="A622" s="906">
        <v>96741</v>
      </c>
      <c r="B622" s="907" t="s">
        <v>3182</v>
      </c>
      <c r="C622" s="908">
        <v>9.2399999999999996E-5</v>
      </c>
      <c r="D622" s="908">
        <v>9.2899999999999995E-5</v>
      </c>
      <c r="E622" s="909">
        <v>36390</v>
      </c>
      <c r="F622" s="909">
        <v>41693</v>
      </c>
      <c r="G622" s="909">
        <v>196104</v>
      </c>
      <c r="H622" s="909"/>
      <c r="I622" s="910">
        <v>3684.45</v>
      </c>
      <c r="J622" s="910">
        <v>171849</v>
      </c>
      <c r="K622" s="910">
        <v>13431</v>
      </c>
      <c r="L622" s="909">
        <v>7135</v>
      </c>
      <c r="M622" s="909"/>
      <c r="N622" s="910">
        <v>6872</v>
      </c>
      <c r="O622" s="910">
        <v>63429</v>
      </c>
      <c r="P622" s="910">
        <v>0</v>
      </c>
      <c r="Q622" s="909">
        <v>1549</v>
      </c>
      <c r="R622" s="910">
        <f t="shared" si="9"/>
        <v>108420</v>
      </c>
      <c r="S622" s="909"/>
      <c r="T622" s="910">
        <v>52416</v>
      </c>
      <c r="U622" s="912">
        <v>2530</v>
      </c>
      <c r="V622" s="912">
        <v>54946</v>
      </c>
    </row>
    <row r="623" spans="1:22" x14ac:dyDescent="0.25">
      <c r="A623" s="906">
        <v>96751</v>
      </c>
      <c r="B623" s="907" t="s">
        <v>3183</v>
      </c>
      <c r="C623" s="908">
        <v>2.6120000000000001E-4</v>
      </c>
      <c r="D623" s="908">
        <v>3.0909999999999998E-4</v>
      </c>
      <c r="E623" s="909">
        <v>103641</v>
      </c>
      <c r="F623" s="909">
        <v>138722</v>
      </c>
      <c r="G623" s="909">
        <v>554354</v>
      </c>
      <c r="H623" s="909"/>
      <c r="I623" s="910">
        <v>10415.35</v>
      </c>
      <c r="J623" s="910">
        <v>485791</v>
      </c>
      <c r="K623" s="910">
        <v>37968</v>
      </c>
      <c r="L623" s="909">
        <v>21728.81</v>
      </c>
      <c r="M623" s="909"/>
      <c r="N623" s="910">
        <v>19425</v>
      </c>
      <c r="O623" s="910">
        <v>179303</v>
      </c>
      <c r="P623" s="910">
        <v>0</v>
      </c>
      <c r="Q623" s="909">
        <v>37607</v>
      </c>
      <c r="R623" s="910">
        <f t="shared" si="9"/>
        <v>306488</v>
      </c>
      <c r="S623" s="909"/>
      <c r="T623" s="910">
        <v>148171</v>
      </c>
      <c r="U623" s="912">
        <v>349</v>
      </c>
      <c r="V623" s="912">
        <v>148519</v>
      </c>
    </row>
    <row r="624" spans="1:22" x14ac:dyDescent="0.25">
      <c r="A624" s="906">
        <v>96801</v>
      </c>
      <c r="B624" s="907" t="s">
        <v>3184</v>
      </c>
      <c r="C624" s="908">
        <v>7.8463999999999999E-3</v>
      </c>
      <c r="D624" s="908">
        <v>7.0825000000000003E-3</v>
      </c>
      <c r="E624" s="909">
        <v>3035869.73</v>
      </c>
      <c r="F624" s="909">
        <v>3178584</v>
      </c>
      <c r="G624" s="909">
        <v>16652689</v>
      </c>
      <c r="H624" s="909"/>
      <c r="I624" s="910">
        <v>312875.2</v>
      </c>
      <c r="J624" s="910">
        <v>14593064</v>
      </c>
      <c r="K624" s="910">
        <v>1140561</v>
      </c>
      <c r="L624" s="909">
        <v>642631</v>
      </c>
      <c r="M624" s="909"/>
      <c r="N624" s="910">
        <v>583529</v>
      </c>
      <c r="O624" s="910">
        <v>5386224</v>
      </c>
      <c r="P624" s="910">
        <v>0</v>
      </c>
      <c r="Q624" s="909">
        <v>0</v>
      </c>
      <c r="R624" s="910">
        <f t="shared" si="9"/>
        <v>9206840</v>
      </c>
      <c r="S624" s="909"/>
      <c r="T624" s="910">
        <v>4451019</v>
      </c>
      <c r="U624" s="912">
        <v>235775</v>
      </c>
      <c r="V624" s="912">
        <v>4686794</v>
      </c>
    </row>
    <row r="625" spans="1:22" x14ac:dyDescent="0.25">
      <c r="A625" s="906">
        <v>96804</v>
      </c>
      <c r="B625" s="907" t="s">
        <v>3185</v>
      </c>
      <c r="C625" s="908">
        <v>2.4230000000000001E-4</v>
      </c>
      <c r="D625" s="908">
        <v>2.275E-4</v>
      </c>
      <c r="E625" s="909">
        <v>89702</v>
      </c>
      <c r="F625" s="909">
        <v>102101</v>
      </c>
      <c r="G625" s="909">
        <v>514242</v>
      </c>
      <c r="H625" s="909"/>
      <c r="I625" s="910">
        <v>9662</v>
      </c>
      <c r="J625" s="910">
        <v>450640</v>
      </c>
      <c r="K625" s="910">
        <v>35221</v>
      </c>
      <c r="L625" s="909">
        <v>4453</v>
      </c>
      <c r="M625" s="909"/>
      <c r="N625" s="910">
        <v>18020</v>
      </c>
      <c r="O625" s="910">
        <v>166329</v>
      </c>
      <c r="P625" s="910">
        <v>0</v>
      </c>
      <c r="Q625" s="909">
        <v>3167</v>
      </c>
      <c r="R625" s="910">
        <f t="shared" si="9"/>
        <v>284311</v>
      </c>
      <c r="S625" s="909"/>
      <c r="T625" s="910">
        <v>137449</v>
      </c>
      <c r="U625" s="912">
        <v>1085</v>
      </c>
      <c r="V625" s="912">
        <v>138535</v>
      </c>
    </row>
    <row r="626" spans="1:22" x14ac:dyDescent="0.25">
      <c r="A626" s="906">
        <v>96808</v>
      </c>
      <c r="B626" s="907" t="s">
        <v>3186</v>
      </c>
      <c r="C626" s="908">
        <v>1.2882E-3</v>
      </c>
      <c r="D626" s="908">
        <v>1.1995E-3</v>
      </c>
      <c r="E626" s="909">
        <v>505072.35</v>
      </c>
      <c r="F626" s="909">
        <v>538328</v>
      </c>
      <c r="G626" s="909">
        <v>2733992</v>
      </c>
      <c r="H626" s="909"/>
      <c r="I626" s="910">
        <v>51367</v>
      </c>
      <c r="J626" s="910">
        <v>2395848</v>
      </c>
      <c r="K626" s="910">
        <v>187254</v>
      </c>
      <c r="L626" s="909">
        <v>67087</v>
      </c>
      <c r="M626" s="909"/>
      <c r="N626" s="910">
        <v>95802</v>
      </c>
      <c r="O626" s="910">
        <v>884295</v>
      </c>
      <c r="P626" s="910">
        <v>0</v>
      </c>
      <c r="Q626" s="909">
        <v>0</v>
      </c>
      <c r="R626" s="910">
        <f t="shared" si="9"/>
        <v>1511553</v>
      </c>
      <c r="S626" s="909"/>
      <c r="T626" s="910">
        <v>730756</v>
      </c>
      <c r="U626" s="912">
        <v>24558</v>
      </c>
      <c r="V626" s="912">
        <v>755313</v>
      </c>
    </row>
    <row r="627" spans="1:22" x14ac:dyDescent="0.25">
      <c r="A627" s="906">
        <v>96811</v>
      </c>
      <c r="B627" s="907" t="s">
        <v>3187</v>
      </c>
      <c r="C627" s="908">
        <v>5.9861999999999997E-3</v>
      </c>
      <c r="D627" s="908">
        <v>6.0393000000000001E-3</v>
      </c>
      <c r="E627" s="909">
        <v>2443568.73</v>
      </c>
      <c r="F627" s="909">
        <v>2710402</v>
      </c>
      <c r="G627" s="909">
        <v>12704722</v>
      </c>
      <c r="H627" s="909"/>
      <c r="I627" s="910">
        <v>238700</v>
      </c>
      <c r="J627" s="910">
        <v>11133386</v>
      </c>
      <c r="K627" s="910">
        <v>870160</v>
      </c>
      <c r="L627" s="909">
        <v>0</v>
      </c>
      <c r="M627" s="909"/>
      <c r="N627" s="910">
        <v>445188</v>
      </c>
      <c r="O627" s="910">
        <v>4109275</v>
      </c>
      <c r="P627" s="910">
        <v>0</v>
      </c>
      <c r="Q627" s="909">
        <v>86222</v>
      </c>
      <c r="R627" s="910">
        <f t="shared" si="9"/>
        <v>7024111</v>
      </c>
      <c r="S627" s="909"/>
      <c r="T627" s="910">
        <v>3395786</v>
      </c>
      <c r="U627" s="912">
        <v>-32722</v>
      </c>
      <c r="V627" s="912">
        <v>3363064</v>
      </c>
    </row>
    <row r="628" spans="1:22" x14ac:dyDescent="0.25">
      <c r="A628" s="906">
        <v>96821</v>
      </c>
      <c r="B628" s="907" t="s">
        <v>3188</v>
      </c>
      <c r="C628" s="908">
        <v>1.3630999999999999E-3</v>
      </c>
      <c r="D628" s="908">
        <v>1.4808E-3</v>
      </c>
      <c r="E628" s="909">
        <v>518291.4</v>
      </c>
      <c r="F628" s="909">
        <v>664574</v>
      </c>
      <c r="G628" s="909">
        <v>2892955</v>
      </c>
      <c r="H628" s="909"/>
      <c r="I628" s="910">
        <v>54354</v>
      </c>
      <c r="J628" s="910">
        <v>2535151</v>
      </c>
      <c r="K628" s="910">
        <v>198142</v>
      </c>
      <c r="L628" s="909">
        <v>0</v>
      </c>
      <c r="M628" s="909"/>
      <c r="N628" s="910">
        <v>101372</v>
      </c>
      <c r="O628" s="910">
        <v>935711</v>
      </c>
      <c r="P628" s="910">
        <v>0</v>
      </c>
      <c r="Q628" s="909">
        <v>153131</v>
      </c>
      <c r="R628" s="910">
        <f t="shared" si="9"/>
        <v>1599440</v>
      </c>
      <c r="S628" s="909"/>
      <c r="T628" s="910">
        <v>773244</v>
      </c>
      <c r="U628" s="912">
        <v>-47603</v>
      </c>
      <c r="V628" s="912">
        <v>725641</v>
      </c>
    </row>
    <row r="629" spans="1:22" x14ac:dyDescent="0.25">
      <c r="A629" s="906">
        <v>96831</v>
      </c>
      <c r="B629" s="907" t="s">
        <v>3189</v>
      </c>
      <c r="C629" s="908">
        <v>9.2400000000000002E-4</v>
      </c>
      <c r="D629" s="908">
        <v>8.3830000000000005E-4</v>
      </c>
      <c r="E629" s="909">
        <v>353922</v>
      </c>
      <c r="F629" s="909">
        <v>376224</v>
      </c>
      <c r="G629" s="909">
        <v>1961037.54</v>
      </c>
      <c r="H629" s="909"/>
      <c r="I629" s="910">
        <v>36844.5</v>
      </c>
      <c r="J629" s="910">
        <v>1718494</v>
      </c>
      <c r="K629" s="910">
        <v>134314</v>
      </c>
      <c r="L629" s="909">
        <v>56487</v>
      </c>
      <c r="M629" s="909"/>
      <c r="N629" s="910">
        <v>68717</v>
      </c>
      <c r="O629" s="910">
        <v>634287</v>
      </c>
      <c r="P629" s="910">
        <v>0</v>
      </c>
      <c r="Q629" s="909">
        <v>0</v>
      </c>
      <c r="R629" s="910">
        <f t="shared" si="9"/>
        <v>1084207</v>
      </c>
      <c r="S629" s="909"/>
      <c r="T629" s="910">
        <v>524157</v>
      </c>
      <c r="U629" s="912">
        <v>19257</v>
      </c>
      <c r="V629" s="912">
        <v>543413</v>
      </c>
    </row>
    <row r="630" spans="1:22" x14ac:dyDescent="0.25">
      <c r="A630" s="906">
        <v>96901</v>
      </c>
      <c r="B630" s="907" t="s">
        <v>3190</v>
      </c>
      <c r="C630" s="908">
        <v>8.1610000000000005E-4</v>
      </c>
      <c r="D630" s="908">
        <v>7.6599999999999997E-4</v>
      </c>
      <c r="E630" s="909">
        <v>326581.33</v>
      </c>
      <c r="F630" s="909">
        <v>343776</v>
      </c>
      <c r="G630" s="909">
        <v>1732038</v>
      </c>
      <c r="H630" s="909"/>
      <c r="I630" s="910">
        <v>32542</v>
      </c>
      <c r="J630" s="910">
        <v>1517817</v>
      </c>
      <c r="K630" s="910">
        <v>118629</v>
      </c>
      <c r="L630" s="909">
        <v>46444</v>
      </c>
      <c r="M630" s="909"/>
      <c r="N630" s="910">
        <v>60693</v>
      </c>
      <c r="O630" s="910">
        <v>560218</v>
      </c>
      <c r="P630" s="910">
        <v>0</v>
      </c>
      <c r="Q630" s="909">
        <v>0</v>
      </c>
      <c r="R630" s="910">
        <f t="shared" si="9"/>
        <v>957599</v>
      </c>
      <c r="S630" s="909"/>
      <c r="T630" s="910">
        <v>462948</v>
      </c>
      <c r="U630" s="912">
        <v>15281</v>
      </c>
      <c r="V630" s="912">
        <v>478229</v>
      </c>
    </row>
    <row r="631" spans="1:22" x14ac:dyDescent="0.25">
      <c r="A631" s="906">
        <v>96911</v>
      </c>
      <c r="B631" s="907" t="s">
        <v>3191</v>
      </c>
      <c r="C631" s="908">
        <v>3.7000000000000002E-6</v>
      </c>
      <c r="D631" s="908">
        <v>1.15E-5</v>
      </c>
      <c r="E631" s="909">
        <v>2162.39</v>
      </c>
      <c r="F631" s="909">
        <v>5161</v>
      </c>
      <c r="G631" s="909">
        <v>7853</v>
      </c>
      <c r="H631" s="909"/>
      <c r="I631" s="910">
        <v>147.53749999999999</v>
      </c>
      <c r="J631" s="910">
        <v>6881</v>
      </c>
      <c r="K631" s="910">
        <v>538</v>
      </c>
      <c r="L631" s="909">
        <v>3997</v>
      </c>
      <c r="M631" s="909"/>
      <c r="N631" s="910">
        <v>275</v>
      </c>
      <c r="O631" s="910">
        <v>2540</v>
      </c>
      <c r="P631" s="910">
        <v>0</v>
      </c>
      <c r="Q631" s="909">
        <v>3716</v>
      </c>
      <c r="R631" s="910">
        <f t="shared" si="9"/>
        <v>4341</v>
      </c>
      <c r="S631" s="909"/>
      <c r="T631" s="910">
        <v>2099</v>
      </c>
      <c r="U631" s="912">
        <v>571</v>
      </c>
      <c r="V631" s="912">
        <v>2669</v>
      </c>
    </row>
    <row r="632" spans="1:22" x14ac:dyDescent="0.25">
      <c r="A632" s="906">
        <v>96912</v>
      </c>
      <c r="B632" s="907" t="s">
        <v>3192</v>
      </c>
      <c r="C632" s="908">
        <v>6.0999999999999999E-5</v>
      </c>
      <c r="D632" s="908">
        <v>5.5899999999999997E-5</v>
      </c>
      <c r="E632" s="909">
        <v>20331.63</v>
      </c>
      <c r="F632" s="909">
        <v>25088</v>
      </c>
      <c r="G632" s="909">
        <v>129462</v>
      </c>
      <c r="H632" s="909"/>
      <c r="I632" s="910">
        <v>2432.375</v>
      </c>
      <c r="J632" s="910">
        <v>113450</v>
      </c>
      <c r="K632" s="910">
        <v>8867</v>
      </c>
      <c r="L632" s="909">
        <v>7641</v>
      </c>
      <c r="M632" s="909"/>
      <c r="N632" s="910">
        <v>4537</v>
      </c>
      <c r="O632" s="910">
        <v>41874</v>
      </c>
      <c r="P632" s="910">
        <v>0</v>
      </c>
      <c r="Q632" s="909">
        <v>1013</v>
      </c>
      <c r="R632" s="910">
        <f t="shared" si="9"/>
        <v>71576</v>
      </c>
      <c r="S632" s="909"/>
      <c r="T632" s="910">
        <v>34603</v>
      </c>
      <c r="U632" s="912">
        <v>3054</v>
      </c>
      <c r="V632" s="912">
        <v>37657</v>
      </c>
    </row>
    <row r="633" spans="1:22" x14ac:dyDescent="0.25">
      <c r="A633" s="906">
        <v>96918</v>
      </c>
      <c r="B633" s="907" t="s">
        <v>3193</v>
      </c>
      <c r="C633" s="908">
        <v>4.0500000000000002E-5</v>
      </c>
      <c r="D633" s="908">
        <v>4.5099999999999998E-5</v>
      </c>
      <c r="E633" s="909">
        <v>18289.97</v>
      </c>
      <c r="F633" s="909">
        <v>20241</v>
      </c>
      <c r="G633" s="909">
        <v>85955</v>
      </c>
      <c r="H633" s="909"/>
      <c r="I633" s="910">
        <v>1614.9375</v>
      </c>
      <c r="J633" s="910">
        <v>75324</v>
      </c>
      <c r="K633" s="910">
        <v>5887</v>
      </c>
      <c r="L633" s="909">
        <v>12921</v>
      </c>
      <c r="M633" s="909"/>
      <c r="N633" s="910">
        <v>3012</v>
      </c>
      <c r="O633" s="910">
        <v>27802</v>
      </c>
      <c r="P633" s="910">
        <v>0</v>
      </c>
      <c r="Q633" s="909">
        <v>1194</v>
      </c>
      <c r="R633" s="910">
        <f t="shared" si="9"/>
        <v>47522</v>
      </c>
      <c r="S633" s="909"/>
      <c r="T633" s="910">
        <v>22974</v>
      </c>
      <c r="U633" s="912">
        <v>5498</v>
      </c>
      <c r="V633" s="912">
        <v>28472</v>
      </c>
    </row>
    <row r="634" spans="1:22" x14ac:dyDescent="0.25">
      <c r="A634" s="906">
        <v>97001</v>
      </c>
      <c r="B634" s="907" t="s">
        <v>3194</v>
      </c>
      <c r="C634" s="908">
        <v>1.3641E-3</v>
      </c>
      <c r="D634" s="908">
        <v>1.3221999999999999E-3</v>
      </c>
      <c r="E634" s="909">
        <v>636605</v>
      </c>
      <c r="F634" s="909">
        <v>593395</v>
      </c>
      <c r="G634" s="909">
        <v>2895077</v>
      </c>
      <c r="H634" s="909"/>
      <c r="I634" s="910">
        <v>54393</v>
      </c>
      <c r="J634" s="910">
        <v>2537010</v>
      </c>
      <c r="K634" s="910">
        <v>198287</v>
      </c>
      <c r="L634" s="909">
        <v>107093</v>
      </c>
      <c r="M634" s="909"/>
      <c r="N634" s="910">
        <v>101447</v>
      </c>
      <c r="O634" s="910">
        <v>936397</v>
      </c>
      <c r="P634" s="910">
        <v>0</v>
      </c>
      <c r="Q634" s="909">
        <v>23162</v>
      </c>
      <c r="R634" s="910">
        <f t="shared" si="9"/>
        <v>1600613</v>
      </c>
      <c r="S634" s="909"/>
      <c r="T634" s="910">
        <v>773812</v>
      </c>
      <c r="U634" s="912">
        <v>18430</v>
      </c>
      <c r="V634" s="912">
        <v>792241</v>
      </c>
    </row>
    <row r="635" spans="1:22" x14ac:dyDescent="0.25">
      <c r="A635" s="906">
        <v>97002</v>
      </c>
      <c r="B635" s="907" t="s">
        <v>3195</v>
      </c>
      <c r="C635" s="908">
        <v>4.6589999999999999E-4</v>
      </c>
      <c r="D635" s="908">
        <v>3.9229999999999999E-4</v>
      </c>
      <c r="E635" s="909">
        <v>151526.06</v>
      </c>
      <c r="F635" s="909">
        <v>176062</v>
      </c>
      <c r="G635" s="909">
        <v>988796</v>
      </c>
      <c r="H635" s="909"/>
      <c r="I635" s="910">
        <v>18578</v>
      </c>
      <c r="J635" s="910">
        <v>866500</v>
      </c>
      <c r="K635" s="910">
        <v>67724</v>
      </c>
      <c r="L635" s="909">
        <v>28607</v>
      </c>
      <c r="M635" s="909"/>
      <c r="N635" s="910">
        <v>34649</v>
      </c>
      <c r="O635" s="910">
        <v>319821</v>
      </c>
      <c r="P635" s="910">
        <v>0</v>
      </c>
      <c r="Q635" s="909">
        <v>0</v>
      </c>
      <c r="R635" s="910">
        <f t="shared" si="9"/>
        <v>546679</v>
      </c>
      <c r="S635" s="909"/>
      <c r="T635" s="910">
        <v>264291</v>
      </c>
      <c r="U635" s="912">
        <v>11776</v>
      </c>
      <c r="V635" s="912">
        <v>276066</v>
      </c>
    </row>
    <row r="636" spans="1:22" x14ac:dyDescent="0.25">
      <c r="A636" s="906">
        <v>97004</v>
      </c>
      <c r="B636" s="907" t="s">
        <v>3196</v>
      </c>
      <c r="C636" s="908">
        <v>1.0900000000000001E-5</v>
      </c>
      <c r="D636" s="908">
        <v>1.47E-5</v>
      </c>
      <c r="E636" s="909">
        <v>7359.36</v>
      </c>
      <c r="F636" s="909">
        <v>6597</v>
      </c>
      <c r="G636" s="909">
        <v>23133</v>
      </c>
      <c r="H636" s="909"/>
      <c r="I636" s="910">
        <v>435</v>
      </c>
      <c r="J636" s="910">
        <v>20272</v>
      </c>
      <c r="K636" s="910">
        <v>1584</v>
      </c>
      <c r="L636" s="909">
        <v>3251</v>
      </c>
      <c r="M636" s="909"/>
      <c r="N636" s="910">
        <v>811</v>
      </c>
      <c r="O636" s="910">
        <v>7482</v>
      </c>
      <c r="P636" s="910">
        <v>0</v>
      </c>
      <c r="Q636" s="909">
        <v>0</v>
      </c>
      <c r="R636" s="910">
        <f t="shared" si="9"/>
        <v>12790</v>
      </c>
      <c r="S636" s="909"/>
      <c r="T636" s="910">
        <v>6183</v>
      </c>
      <c r="U636" s="912">
        <v>1295</v>
      </c>
      <c r="V636" s="912">
        <v>7478</v>
      </c>
    </row>
    <row r="637" spans="1:22" x14ac:dyDescent="0.25">
      <c r="A637" s="906">
        <v>97005</v>
      </c>
      <c r="B637" s="907" t="s">
        <v>3197</v>
      </c>
      <c r="C637" s="908">
        <v>1.42E-5</v>
      </c>
      <c r="D637" s="908">
        <v>2.3799999999999999E-5</v>
      </c>
      <c r="E637" s="909">
        <v>10552.87</v>
      </c>
      <c r="F637" s="909">
        <v>10681</v>
      </c>
      <c r="G637" s="909">
        <v>30137</v>
      </c>
      <c r="H637" s="909"/>
      <c r="I637" s="910">
        <v>566.22500000000002</v>
      </c>
      <c r="J637" s="910">
        <v>26410</v>
      </c>
      <c r="K637" s="910">
        <v>2064</v>
      </c>
      <c r="L637" s="909">
        <v>3091</v>
      </c>
      <c r="M637" s="909"/>
      <c r="N637" s="910">
        <v>1056</v>
      </c>
      <c r="O637" s="910">
        <v>9748</v>
      </c>
      <c r="P637" s="910">
        <v>0</v>
      </c>
      <c r="Q637" s="909">
        <v>2036</v>
      </c>
      <c r="R637" s="910">
        <f t="shared" si="9"/>
        <v>16662</v>
      </c>
      <c r="S637" s="909"/>
      <c r="T637" s="910">
        <v>8055</v>
      </c>
      <c r="U637" s="912">
        <v>428</v>
      </c>
      <c r="V637" s="912">
        <v>8483</v>
      </c>
    </row>
    <row r="638" spans="1:22" x14ac:dyDescent="0.25">
      <c r="A638" s="906">
        <v>97008</v>
      </c>
      <c r="B638" s="907" t="s">
        <v>3198</v>
      </c>
      <c r="C638" s="908">
        <v>2.7530000000000002E-4</v>
      </c>
      <c r="D638" s="908">
        <v>2.6959999999999999E-4</v>
      </c>
      <c r="E638" s="909">
        <v>107270.37</v>
      </c>
      <c r="F638" s="909">
        <v>120995</v>
      </c>
      <c r="G638" s="909">
        <v>584279</v>
      </c>
      <c r="H638" s="909"/>
      <c r="I638" s="910">
        <v>10978</v>
      </c>
      <c r="J638" s="910">
        <v>512015</v>
      </c>
      <c r="K638" s="910">
        <v>40018</v>
      </c>
      <c r="L638" s="909">
        <v>14688</v>
      </c>
      <c r="M638" s="909"/>
      <c r="N638" s="910">
        <v>20474</v>
      </c>
      <c r="O638" s="910">
        <v>188982</v>
      </c>
      <c r="P638" s="910">
        <v>0</v>
      </c>
      <c r="Q638" s="909">
        <v>4604</v>
      </c>
      <c r="R638" s="910">
        <f t="shared" si="9"/>
        <v>323033</v>
      </c>
      <c r="S638" s="909"/>
      <c r="T638" s="910">
        <v>156169</v>
      </c>
      <c r="U638" s="912">
        <v>5904</v>
      </c>
      <c r="V638" s="912">
        <v>162074</v>
      </c>
    </row>
    <row r="639" spans="1:22" x14ac:dyDescent="0.25">
      <c r="A639" s="906">
        <v>97010</v>
      </c>
      <c r="B639" s="907" t="s">
        <v>3199</v>
      </c>
      <c r="C639" s="908">
        <v>0</v>
      </c>
      <c r="D639" s="908">
        <v>0</v>
      </c>
      <c r="E639" s="909">
        <v>0</v>
      </c>
      <c r="F639" s="909">
        <v>0</v>
      </c>
      <c r="G639" s="909">
        <v>0</v>
      </c>
      <c r="H639" s="909"/>
      <c r="I639" s="910">
        <v>0</v>
      </c>
      <c r="J639" s="910">
        <v>0</v>
      </c>
      <c r="K639" s="910">
        <v>0</v>
      </c>
      <c r="L639" s="909">
        <v>0</v>
      </c>
      <c r="M639" s="909"/>
      <c r="N639" s="910">
        <v>0</v>
      </c>
      <c r="O639" s="910">
        <v>0</v>
      </c>
      <c r="P639" s="910">
        <v>0</v>
      </c>
      <c r="Q639" s="909">
        <v>3339356</v>
      </c>
      <c r="R639" s="910">
        <f t="shared" si="9"/>
        <v>0</v>
      </c>
      <c r="S639" s="909"/>
      <c r="T639" s="910">
        <v>0</v>
      </c>
      <c r="U639" s="912">
        <v>-1282454</v>
      </c>
      <c r="V639" s="912">
        <v>-1282454</v>
      </c>
    </row>
    <row r="640" spans="1:22" x14ac:dyDescent="0.25">
      <c r="A640" s="906">
        <v>97011</v>
      </c>
      <c r="B640" s="907" t="s">
        <v>3200</v>
      </c>
      <c r="C640" s="908">
        <v>1.9522999999999999E-3</v>
      </c>
      <c r="D640" s="908">
        <v>2.0471E-3</v>
      </c>
      <c r="E640" s="909">
        <v>745774</v>
      </c>
      <c r="F640" s="909">
        <v>918726</v>
      </c>
      <c r="G640" s="909">
        <v>4143435</v>
      </c>
      <c r="H640" s="909"/>
      <c r="I640" s="910">
        <v>77848</v>
      </c>
      <c r="J640" s="910">
        <v>3630970</v>
      </c>
      <c r="K640" s="910">
        <v>283788</v>
      </c>
      <c r="L640" s="909">
        <v>0</v>
      </c>
      <c r="M640" s="909"/>
      <c r="N640" s="910">
        <v>145191</v>
      </c>
      <c r="O640" s="910">
        <v>1340172</v>
      </c>
      <c r="P640" s="910">
        <v>0</v>
      </c>
      <c r="Q640" s="909">
        <v>128959</v>
      </c>
      <c r="R640" s="910">
        <f t="shared" si="9"/>
        <v>2290798</v>
      </c>
      <c r="S640" s="909"/>
      <c r="T640" s="910">
        <v>1107479</v>
      </c>
      <c r="U640" s="912">
        <v>-38250</v>
      </c>
      <c r="V640" s="912">
        <v>1069229</v>
      </c>
    </row>
    <row r="641" spans="1:22" x14ac:dyDescent="0.25">
      <c r="A641" s="906">
        <v>97012</v>
      </c>
      <c r="B641" s="907" t="s">
        <v>3201</v>
      </c>
      <c r="C641" s="908">
        <v>2.4499999999999999E-5</v>
      </c>
      <c r="D641" s="908">
        <v>2.4199999999999999E-5</v>
      </c>
      <c r="E641" s="909">
        <v>14173.02</v>
      </c>
      <c r="F641" s="909">
        <v>10861</v>
      </c>
      <c r="G641" s="909">
        <v>51997</v>
      </c>
      <c r="H641" s="909"/>
      <c r="I641" s="910">
        <v>976.9375</v>
      </c>
      <c r="J641" s="910">
        <v>45566</v>
      </c>
      <c r="K641" s="910">
        <v>3561</v>
      </c>
      <c r="L641" s="909">
        <v>3417</v>
      </c>
      <c r="M641" s="909"/>
      <c r="N641" s="910">
        <v>1822</v>
      </c>
      <c r="O641" s="910">
        <v>16818</v>
      </c>
      <c r="P641" s="910">
        <v>0</v>
      </c>
      <c r="Q641" s="909">
        <v>1887</v>
      </c>
      <c r="R641" s="910">
        <f t="shared" si="9"/>
        <v>28748</v>
      </c>
      <c r="S641" s="909"/>
      <c r="T641" s="910">
        <v>13898</v>
      </c>
      <c r="U641" s="912">
        <v>148</v>
      </c>
      <c r="V641" s="912">
        <v>14046</v>
      </c>
    </row>
    <row r="642" spans="1:22" x14ac:dyDescent="0.25">
      <c r="A642" s="906">
        <v>97013</v>
      </c>
      <c r="B642" s="907" t="s">
        <v>3202</v>
      </c>
      <c r="C642" s="908">
        <v>2.0699999999999998E-5</v>
      </c>
      <c r="D642" s="908">
        <v>1.1399999999999999E-5</v>
      </c>
      <c r="E642" s="909">
        <v>8196.81</v>
      </c>
      <c r="F642" s="909">
        <v>5116</v>
      </c>
      <c r="G642" s="909">
        <v>43932</v>
      </c>
      <c r="H642" s="909"/>
      <c r="I642" s="910">
        <v>825</v>
      </c>
      <c r="J642" s="910">
        <v>38499</v>
      </c>
      <c r="K642" s="910">
        <v>3009</v>
      </c>
      <c r="L642" s="909">
        <v>7733</v>
      </c>
      <c r="M642" s="909"/>
      <c r="N642" s="910">
        <v>1539</v>
      </c>
      <c r="O642" s="910">
        <v>14210</v>
      </c>
      <c r="P642" s="910">
        <v>0</v>
      </c>
      <c r="Q642" s="909">
        <v>866</v>
      </c>
      <c r="R642" s="910">
        <f t="shared" si="9"/>
        <v>24289</v>
      </c>
      <c r="S642" s="909"/>
      <c r="T642" s="910">
        <v>11742</v>
      </c>
      <c r="U642" s="912">
        <v>1850</v>
      </c>
      <c r="V642" s="912">
        <v>13592</v>
      </c>
    </row>
    <row r="643" spans="1:22" x14ac:dyDescent="0.25">
      <c r="A643" s="906">
        <v>97015</v>
      </c>
      <c r="B643" s="907" t="s">
        <v>3203</v>
      </c>
      <c r="C643" s="908">
        <v>5.3699999999999997E-5</v>
      </c>
      <c r="D643" s="908">
        <v>4.7700000000000001E-5</v>
      </c>
      <c r="E643" s="909">
        <v>21900.080000000002</v>
      </c>
      <c r="F643" s="909">
        <v>21407</v>
      </c>
      <c r="G643" s="909">
        <v>113969</v>
      </c>
      <c r="H643" s="909"/>
      <c r="I643" s="910">
        <v>2141</v>
      </c>
      <c r="J643" s="910">
        <v>99874</v>
      </c>
      <c r="K643" s="910">
        <v>7806</v>
      </c>
      <c r="L643" s="909">
        <v>6681</v>
      </c>
      <c r="M643" s="909"/>
      <c r="N643" s="910">
        <v>3994</v>
      </c>
      <c r="O643" s="910">
        <v>36863</v>
      </c>
      <c r="P643" s="910">
        <v>0</v>
      </c>
      <c r="Q643" s="909">
        <v>1588</v>
      </c>
      <c r="R643" s="910">
        <f t="shared" si="9"/>
        <v>63011</v>
      </c>
      <c r="S643" s="909"/>
      <c r="T643" s="910">
        <v>30462</v>
      </c>
      <c r="U643" s="912">
        <v>1274</v>
      </c>
      <c r="V643" s="912">
        <v>31737</v>
      </c>
    </row>
    <row r="644" spans="1:22" x14ac:dyDescent="0.25">
      <c r="A644" s="906">
        <v>97018</v>
      </c>
      <c r="B644" s="907" t="s">
        <v>3204</v>
      </c>
      <c r="C644" s="908">
        <v>9.3999999999999998E-6</v>
      </c>
      <c r="D644" s="908">
        <v>9.5000000000000005E-6</v>
      </c>
      <c r="E644" s="909">
        <v>7336</v>
      </c>
      <c r="F644" s="909">
        <v>4264</v>
      </c>
      <c r="G644" s="909">
        <v>19950</v>
      </c>
      <c r="H644" s="909"/>
      <c r="I644" s="910">
        <v>374.82499999999999</v>
      </c>
      <c r="J644" s="910">
        <v>17483</v>
      </c>
      <c r="K644" s="910">
        <v>1366</v>
      </c>
      <c r="L644" s="909">
        <v>6124</v>
      </c>
      <c r="M644" s="909"/>
      <c r="N644" s="910">
        <v>699</v>
      </c>
      <c r="O644" s="910">
        <v>6453</v>
      </c>
      <c r="P644" s="910">
        <v>0</v>
      </c>
      <c r="Q644" s="909">
        <v>0</v>
      </c>
      <c r="R644" s="910">
        <f t="shared" si="9"/>
        <v>11030</v>
      </c>
      <c r="S644" s="909"/>
      <c r="T644" s="910">
        <v>5332</v>
      </c>
      <c r="U644" s="912">
        <v>2103</v>
      </c>
      <c r="V644" s="912">
        <v>7435</v>
      </c>
    </row>
    <row r="645" spans="1:22" x14ac:dyDescent="0.25">
      <c r="A645" s="906">
        <v>97101</v>
      </c>
      <c r="B645" s="907" t="s">
        <v>3205</v>
      </c>
      <c r="C645" s="908">
        <v>2.6029E-3</v>
      </c>
      <c r="D645" s="908">
        <v>2.5864999999999998E-3</v>
      </c>
      <c r="E645" s="909">
        <v>1065744</v>
      </c>
      <c r="F645" s="909">
        <v>1160806</v>
      </c>
      <c r="G645" s="909">
        <v>5524226</v>
      </c>
      <c r="H645" s="909"/>
      <c r="I645" s="910">
        <v>103791</v>
      </c>
      <c r="J645" s="910">
        <v>4840983</v>
      </c>
      <c r="K645" s="910">
        <v>378360</v>
      </c>
      <c r="L645" s="909">
        <v>28605</v>
      </c>
      <c r="M645" s="909"/>
      <c r="N645" s="910">
        <v>193575</v>
      </c>
      <c r="O645" s="910">
        <v>1786782</v>
      </c>
      <c r="P645" s="910">
        <v>0</v>
      </c>
      <c r="Q645" s="909">
        <v>13944</v>
      </c>
      <c r="R645" s="910">
        <f t="shared" si="9"/>
        <v>3054201</v>
      </c>
      <c r="S645" s="909"/>
      <c r="T645" s="910">
        <v>1476544</v>
      </c>
      <c r="U645" s="912">
        <v>2643</v>
      </c>
      <c r="V645" s="912">
        <v>1479187</v>
      </c>
    </row>
    <row r="646" spans="1:22" x14ac:dyDescent="0.25">
      <c r="A646" s="906">
        <v>97104</v>
      </c>
      <c r="B646" s="907" t="s">
        <v>3206</v>
      </c>
      <c r="C646" s="908">
        <v>5.6799999999999998E-5</v>
      </c>
      <c r="D646" s="908">
        <v>5.2099999999999999E-5</v>
      </c>
      <c r="E646" s="909">
        <v>26203</v>
      </c>
      <c r="F646" s="909">
        <v>23382</v>
      </c>
      <c r="G646" s="909">
        <v>120549</v>
      </c>
      <c r="H646" s="909"/>
      <c r="I646" s="910">
        <v>2264.9</v>
      </c>
      <c r="J646" s="910">
        <v>105639</v>
      </c>
      <c r="K646" s="910">
        <v>8257</v>
      </c>
      <c r="L646" s="909">
        <v>15710</v>
      </c>
      <c r="M646" s="909"/>
      <c r="N646" s="910">
        <v>4224</v>
      </c>
      <c r="O646" s="910">
        <v>38991</v>
      </c>
      <c r="P646" s="910">
        <v>0</v>
      </c>
      <c r="Q646" s="909">
        <v>0</v>
      </c>
      <c r="R646" s="910">
        <f t="shared" si="9"/>
        <v>66648</v>
      </c>
      <c r="S646" s="909"/>
      <c r="T646" s="910">
        <v>32221</v>
      </c>
      <c r="U646" s="912">
        <v>5708</v>
      </c>
      <c r="V646" s="912">
        <v>37929</v>
      </c>
    </row>
    <row r="647" spans="1:22" x14ac:dyDescent="0.25">
      <c r="A647" s="906">
        <v>97111</v>
      </c>
      <c r="B647" s="907" t="s">
        <v>3207</v>
      </c>
      <c r="C647" s="908">
        <v>2.7099999999999997E-4</v>
      </c>
      <c r="D647" s="908">
        <v>2.5099999999999998E-4</v>
      </c>
      <c r="E647" s="909">
        <v>99518.98</v>
      </c>
      <c r="F647" s="909">
        <v>112647</v>
      </c>
      <c r="G647" s="909">
        <v>575153</v>
      </c>
      <c r="H647" s="909"/>
      <c r="I647" s="910">
        <v>10806</v>
      </c>
      <c r="J647" s="910">
        <v>504017</v>
      </c>
      <c r="K647" s="910">
        <v>39393</v>
      </c>
      <c r="L647" s="909">
        <v>14654</v>
      </c>
      <c r="M647" s="909"/>
      <c r="N647" s="910">
        <v>20154</v>
      </c>
      <c r="O647" s="910">
        <v>186030</v>
      </c>
      <c r="P647" s="910">
        <v>0</v>
      </c>
      <c r="Q647" s="909">
        <v>17411</v>
      </c>
      <c r="R647" s="910">
        <f t="shared" ref="R647:R710" si="10">IF(J647&gt;O647,J647-O647,O647-J647)</f>
        <v>317987</v>
      </c>
      <c r="S647" s="909"/>
      <c r="T647" s="910">
        <v>153730</v>
      </c>
      <c r="U647" s="912">
        <v>858</v>
      </c>
      <c r="V647" s="912">
        <v>154588</v>
      </c>
    </row>
    <row r="648" spans="1:22" x14ac:dyDescent="0.25">
      <c r="A648" s="906">
        <v>97121</v>
      </c>
      <c r="B648" s="907" t="s">
        <v>3208</v>
      </c>
      <c r="C648" s="908">
        <v>1.2070000000000001E-4</v>
      </c>
      <c r="D648" s="908">
        <v>1.495E-4</v>
      </c>
      <c r="E648" s="909">
        <v>55081</v>
      </c>
      <c r="F648" s="909">
        <v>67095</v>
      </c>
      <c r="G648" s="909">
        <v>256166</v>
      </c>
      <c r="H648" s="909"/>
      <c r="I648" s="910">
        <v>4813</v>
      </c>
      <c r="J648" s="910">
        <v>224483</v>
      </c>
      <c r="K648" s="910">
        <v>17545</v>
      </c>
      <c r="L648" s="909">
        <v>0</v>
      </c>
      <c r="M648" s="909"/>
      <c r="N648" s="910">
        <v>8976</v>
      </c>
      <c r="O648" s="910">
        <v>82855</v>
      </c>
      <c r="P648" s="910">
        <v>0</v>
      </c>
      <c r="Q648" s="909">
        <v>14541</v>
      </c>
      <c r="R648" s="910">
        <f t="shared" si="10"/>
        <v>141628</v>
      </c>
      <c r="S648" s="909"/>
      <c r="T648" s="910">
        <v>68469</v>
      </c>
      <c r="U648" s="912">
        <v>-4515</v>
      </c>
      <c r="V648" s="912">
        <v>63954</v>
      </c>
    </row>
    <row r="649" spans="1:22" x14ac:dyDescent="0.25">
      <c r="A649" s="906">
        <v>97131</v>
      </c>
      <c r="B649" s="907" t="s">
        <v>3209</v>
      </c>
      <c r="C649" s="908">
        <v>6.2969999999999996E-4</v>
      </c>
      <c r="D649" s="908">
        <v>5.9650000000000002E-4</v>
      </c>
      <c r="E649" s="909">
        <v>232414</v>
      </c>
      <c r="F649" s="909">
        <v>267706</v>
      </c>
      <c r="G649" s="909">
        <v>1336434</v>
      </c>
      <c r="H649" s="909"/>
      <c r="I649" s="910">
        <v>25109</v>
      </c>
      <c r="J649" s="910">
        <v>1171143</v>
      </c>
      <c r="K649" s="910">
        <v>91534</v>
      </c>
      <c r="L649" s="909">
        <v>6841</v>
      </c>
      <c r="M649" s="909"/>
      <c r="N649" s="910">
        <v>46830</v>
      </c>
      <c r="O649" s="910">
        <v>432263</v>
      </c>
      <c r="P649" s="910">
        <v>0</v>
      </c>
      <c r="Q649" s="909">
        <v>3274</v>
      </c>
      <c r="R649" s="910">
        <f t="shared" si="10"/>
        <v>738880</v>
      </c>
      <c r="S649" s="909"/>
      <c r="T649" s="910">
        <v>357209</v>
      </c>
      <c r="U649" s="912">
        <v>1535</v>
      </c>
      <c r="V649" s="912">
        <v>358745</v>
      </c>
    </row>
    <row r="650" spans="1:22" x14ac:dyDescent="0.25">
      <c r="A650" s="906">
        <v>97201</v>
      </c>
      <c r="B650" s="907" t="s">
        <v>3210</v>
      </c>
      <c r="C650" s="908">
        <v>4.9439999999999998E-4</v>
      </c>
      <c r="D650" s="908">
        <v>4.7249999999999999E-4</v>
      </c>
      <c r="E650" s="909">
        <v>214121.60000000001</v>
      </c>
      <c r="F650" s="909">
        <v>212055</v>
      </c>
      <c r="G650" s="909">
        <v>1049282</v>
      </c>
      <c r="H650" s="909"/>
      <c r="I650" s="910">
        <v>19714.2</v>
      </c>
      <c r="J650" s="910">
        <v>919506</v>
      </c>
      <c r="K650" s="910">
        <v>71866</v>
      </c>
      <c r="L650" s="909">
        <v>22797</v>
      </c>
      <c r="M650" s="909"/>
      <c r="N650" s="910">
        <v>36768</v>
      </c>
      <c r="O650" s="910">
        <v>339385</v>
      </c>
      <c r="P650" s="910">
        <v>0</v>
      </c>
      <c r="Q650" s="909">
        <v>3773</v>
      </c>
      <c r="R650" s="910">
        <f t="shared" si="10"/>
        <v>580121</v>
      </c>
      <c r="S650" s="909"/>
      <c r="T650" s="910">
        <v>280458</v>
      </c>
      <c r="U650" s="912">
        <v>4235</v>
      </c>
      <c r="V650" s="912">
        <v>284693</v>
      </c>
    </row>
    <row r="651" spans="1:22" x14ac:dyDescent="0.25">
      <c r="A651" s="906">
        <v>97211</v>
      </c>
      <c r="B651" s="907" t="s">
        <v>3211</v>
      </c>
      <c r="C651" s="908">
        <v>1.4119999999999999E-4</v>
      </c>
      <c r="D651" s="908">
        <v>1.7689999999999999E-4</v>
      </c>
      <c r="E651" s="909">
        <v>62098</v>
      </c>
      <c r="F651" s="909">
        <v>79392</v>
      </c>
      <c r="G651" s="909">
        <v>299674</v>
      </c>
      <c r="H651" s="909"/>
      <c r="I651" s="910">
        <v>5630</v>
      </c>
      <c r="J651" s="910">
        <v>262610</v>
      </c>
      <c r="K651" s="910">
        <v>20525</v>
      </c>
      <c r="L651" s="909">
        <v>3573</v>
      </c>
      <c r="M651" s="909"/>
      <c r="N651" s="910">
        <v>10501</v>
      </c>
      <c r="O651" s="910">
        <v>96928</v>
      </c>
      <c r="P651" s="910">
        <v>0</v>
      </c>
      <c r="Q651" s="909">
        <v>16466</v>
      </c>
      <c r="R651" s="910">
        <f t="shared" si="10"/>
        <v>165682</v>
      </c>
      <c r="S651" s="909"/>
      <c r="T651" s="910">
        <v>80098</v>
      </c>
      <c r="U651" s="912">
        <v>-3079</v>
      </c>
      <c r="V651" s="912">
        <v>77020</v>
      </c>
    </row>
    <row r="652" spans="1:22" x14ac:dyDescent="0.25">
      <c r="A652" s="906">
        <v>97213</v>
      </c>
      <c r="B652" s="907" t="s">
        <v>3212</v>
      </c>
      <c r="C652" s="908">
        <v>3.8300000000000003E-5</v>
      </c>
      <c r="D652" s="908">
        <v>4.0800000000000002E-5</v>
      </c>
      <c r="E652" s="909">
        <v>16615</v>
      </c>
      <c r="F652" s="909">
        <v>18311</v>
      </c>
      <c r="G652" s="909">
        <v>81285</v>
      </c>
      <c r="H652" s="909"/>
      <c r="I652" s="910">
        <v>1527</v>
      </c>
      <c r="J652" s="910">
        <v>71232</v>
      </c>
      <c r="K652" s="910">
        <v>5567</v>
      </c>
      <c r="L652" s="909">
        <v>1545</v>
      </c>
      <c r="M652" s="909"/>
      <c r="N652" s="910">
        <v>2848</v>
      </c>
      <c r="O652" s="910">
        <v>26291</v>
      </c>
      <c r="P652" s="910">
        <v>0</v>
      </c>
      <c r="Q652" s="909">
        <v>668</v>
      </c>
      <c r="R652" s="910">
        <f t="shared" si="10"/>
        <v>44941</v>
      </c>
      <c r="S652" s="909"/>
      <c r="T652" s="910">
        <v>21726</v>
      </c>
      <c r="U652" s="912">
        <v>577</v>
      </c>
      <c r="V652" s="912">
        <v>22303</v>
      </c>
    </row>
    <row r="653" spans="1:22" x14ac:dyDescent="0.25">
      <c r="A653" s="906">
        <v>97217</v>
      </c>
      <c r="B653" s="907" t="s">
        <v>3213</v>
      </c>
      <c r="C653" s="908">
        <v>4.8999999999999997E-6</v>
      </c>
      <c r="D653" s="908">
        <v>5.0000000000000004E-6</v>
      </c>
      <c r="E653" s="909">
        <v>6185</v>
      </c>
      <c r="F653" s="909">
        <v>2244</v>
      </c>
      <c r="G653" s="909">
        <v>10399</v>
      </c>
      <c r="H653" s="909"/>
      <c r="I653" s="910">
        <v>195.38749999999999</v>
      </c>
      <c r="J653" s="910">
        <v>9113</v>
      </c>
      <c r="K653" s="910">
        <v>712</v>
      </c>
      <c r="L653" s="909">
        <v>6975</v>
      </c>
      <c r="M653" s="909"/>
      <c r="N653" s="910">
        <v>364</v>
      </c>
      <c r="O653" s="910">
        <v>3364</v>
      </c>
      <c r="P653" s="910">
        <v>0</v>
      </c>
      <c r="Q653" s="909">
        <v>0</v>
      </c>
      <c r="R653" s="910">
        <f t="shared" si="10"/>
        <v>5749</v>
      </c>
      <c r="S653" s="909"/>
      <c r="T653" s="910">
        <v>2780</v>
      </c>
      <c r="U653" s="912">
        <v>2381</v>
      </c>
      <c r="V653" s="912">
        <v>5160</v>
      </c>
    </row>
    <row r="654" spans="1:22" x14ac:dyDescent="0.25">
      <c r="A654" s="906">
        <v>97221</v>
      </c>
      <c r="B654" s="907" t="s">
        <v>3214</v>
      </c>
      <c r="C654" s="908">
        <v>6.1999999999999999E-6</v>
      </c>
      <c r="D654" s="908">
        <v>6.2999999999999998E-6</v>
      </c>
      <c r="E654" s="909">
        <v>6603.27</v>
      </c>
      <c r="F654" s="909">
        <v>2827</v>
      </c>
      <c r="G654" s="909">
        <v>13158</v>
      </c>
      <c r="H654" s="909"/>
      <c r="I654" s="910">
        <v>247.22499999999999</v>
      </c>
      <c r="J654" s="910">
        <v>11531</v>
      </c>
      <c r="K654" s="910">
        <v>901</v>
      </c>
      <c r="L654" s="909">
        <v>5895</v>
      </c>
      <c r="M654" s="909"/>
      <c r="N654" s="910">
        <v>461</v>
      </c>
      <c r="O654" s="910">
        <v>4256</v>
      </c>
      <c r="P654" s="910">
        <v>0</v>
      </c>
      <c r="Q654" s="909">
        <v>0</v>
      </c>
      <c r="R654" s="910">
        <f t="shared" si="10"/>
        <v>7275</v>
      </c>
      <c r="S654" s="909"/>
      <c r="T654" s="910">
        <v>3517</v>
      </c>
      <c r="U654" s="912">
        <v>2057</v>
      </c>
      <c r="V654" s="912">
        <v>5574</v>
      </c>
    </row>
    <row r="655" spans="1:22" x14ac:dyDescent="0.25">
      <c r="A655" s="906">
        <v>97301</v>
      </c>
      <c r="B655" s="907" t="s">
        <v>3215</v>
      </c>
      <c r="C655" s="908">
        <v>2.5742E-3</v>
      </c>
      <c r="D655" s="908">
        <v>2.6905000000000002E-3</v>
      </c>
      <c r="E655" s="909">
        <v>1080031</v>
      </c>
      <c r="F655" s="909">
        <v>1207480</v>
      </c>
      <c r="G655" s="909">
        <v>5463315</v>
      </c>
      <c r="H655" s="909"/>
      <c r="I655" s="910">
        <v>102646</v>
      </c>
      <c r="J655" s="910">
        <v>4787605</v>
      </c>
      <c r="K655" s="910">
        <v>374188</v>
      </c>
      <c r="L655" s="909">
        <v>36738</v>
      </c>
      <c r="M655" s="909"/>
      <c r="N655" s="910">
        <v>191441</v>
      </c>
      <c r="O655" s="910">
        <v>1767080</v>
      </c>
      <c r="P655" s="910">
        <v>0</v>
      </c>
      <c r="Q655" s="909">
        <v>62348</v>
      </c>
      <c r="R655" s="910">
        <f t="shared" si="10"/>
        <v>3020525</v>
      </c>
      <c r="S655" s="909"/>
      <c r="T655" s="910">
        <v>1460264</v>
      </c>
      <c r="U655" s="912">
        <v>-7105</v>
      </c>
      <c r="V655" s="912">
        <v>1453159</v>
      </c>
    </row>
    <row r="656" spans="1:22" x14ac:dyDescent="0.25">
      <c r="A656" s="906">
        <v>97304</v>
      </c>
      <c r="B656" s="907" t="s">
        <v>3216</v>
      </c>
      <c r="C656" s="908">
        <v>1.7600000000000001E-5</v>
      </c>
      <c r="D656" s="908">
        <v>1.8499999999999999E-5</v>
      </c>
      <c r="E656" s="909">
        <v>11928</v>
      </c>
      <c r="F656" s="909">
        <v>8303</v>
      </c>
      <c r="G656" s="909">
        <v>37353</v>
      </c>
      <c r="H656" s="909"/>
      <c r="I656" s="910">
        <v>702</v>
      </c>
      <c r="J656" s="910">
        <v>32733</v>
      </c>
      <c r="K656" s="910">
        <v>2558</v>
      </c>
      <c r="L656" s="909">
        <v>7244</v>
      </c>
      <c r="M656" s="909"/>
      <c r="N656" s="910">
        <v>1309</v>
      </c>
      <c r="O656" s="910">
        <v>12082</v>
      </c>
      <c r="P656" s="910">
        <v>0</v>
      </c>
      <c r="Q656" s="909">
        <v>0</v>
      </c>
      <c r="R656" s="910">
        <f t="shared" si="10"/>
        <v>20651</v>
      </c>
      <c r="S656" s="909"/>
      <c r="T656" s="910">
        <v>9984</v>
      </c>
      <c r="U656" s="912">
        <v>2504</v>
      </c>
      <c r="V656" s="912">
        <v>12488</v>
      </c>
    </row>
    <row r="657" spans="1:22" x14ac:dyDescent="0.25">
      <c r="A657" s="906">
        <v>97311</v>
      </c>
      <c r="B657" s="907" t="s">
        <v>3217</v>
      </c>
      <c r="C657" s="908">
        <v>9.5E-4</v>
      </c>
      <c r="D657" s="908">
        <v>1.0311000000000001E-3</v>
      </c>
      <c r="E657" s="909">
        <v>367318</v>
      </c>
      <c r="F657" s="909">
        <v>462751</v>
      </c>
      <c r="G657" s="909">
        <v>2016218.25</v>
      </c>
      <c r="H657" s="909"/>
      <c r="I657" s="910">
        <v>37881.25</v>
      </c>
      <c r="J657" s="910">
        <v>1766849.9</v>
      </c>
      <c r="K657" s="910">
        <v>138093</v>
      </c>
      <c r="L657" s="909">
        <v>0</v>
      </c>
      <c r="M657" s="909"/>
      <c r="N657" s="910">
        <v>70650.55</v>
      </c>
      <c r="O657" s="910">
        <v>652135.1</v>
      </c>
      <c r="P657" s="910">
        <v>0</v>
      </c>
      <c r="Q657" s="909">
        <v>97758</v>
      </c>
      <c r="R657" s="910">
        <f t="shared" si="10"/>
        <v>1114715</v>
      </c>
      <c r="S657" s="909"/>
      <c r="T657" s="910">
        <v>538906</v>
      </c>
      <c r="U657" s="912">
        <v>-33821</v>
      </c>
      <c r="V657" s="912">
        <v>505085</v>
      </c>
    </row>
    <row r="658" spans="1:22" x14ac:dyDescent="0.25">
      <c r="A658" s="906">
        <v>97401</v>
      </c>
      <c r="B658" s="907" t="s">
        <v>3218</v>
      </c>
      <c r="C658" s="908">
        <v>6.9633000000000004E-3</v>
      </c>
      <c r="D658" s="908">
        <v>6.9844E-3</v>
      </c>
      <c r="E658" s="909">
        <v>2848907</v>
      </c>
      <c r="F658" s="909">
        <v>3134557</v>
      </c>
      <c r="G658" s="909">
        <v>14778455</v>
      </c>
      <c r="H658" s="909"/>
      <c r="I658" s="910">
        <v>277662</v>
      </c>
      <c r="J658" s="910">
        <v>12950638</v>
      </c>
      <c r="K658" s="910">
        <v>1012192</v>
      </c>
      <c r="L658" s="909">
        <v>0</v>
      </c>
      <c r="M658" s="909"/>
      <c r="N658" s="910">
        <v>517854</v>
      </c>
      <c r="O658" s="910">
        <v>4780013</v>
      </c>
      <c r="P658" s="910">
        <v>0</v>
      </c>
      <c r="Q658" s="909">
        <v>142656</v>
      </c>
      <c r="R658" s="910">
        <f t="shared" si="10"/>
        <v>8170625</v>
      </c>
      <c r="S658" s="909"/>
      <c r="T658" s="910">
        <v>3950064</v>
      </c>
      <c r="U658" s="912">
        <v>-59462</v>
      </c>
      <c r="V658" s="912">
        <v>3890602</v>
      </c>
    </row>
    <row r="659" spans="1:22" x14ac:dyDescent="0.25">
      <c r="A659" s="906">
        <v>97402</v>
      </c>
      <c r="B659" s="907" t="s">
        <v>3219</v>
      </c>
      <c r="C659" s="908">
        <v>4.4700000000000002E-5</v>
      </c>
      <c r="D659" s="908">
        <v>2.3799999999999999E-5</v>
      </c>
      <c r="E659" s="909">
        <v>21076.7</v>
      </c>
      <c r="F659" s="909">
        <v>10681</v>
      </c>
      <c r="G659" s="909">
        <v>94868</v>
      </c>
      <c r="H659" s="909"/>
      <c r="I659" s="910">
        <v>1782</v>
      </c>
      <c r="J659" s="910">
        <v>83135</v>
      </c>
      <c r="K659" s="910">
        <v>6498</v>
      </c>
      <c r="L659" s="909">
        <v>15050</v>
      </c>
      <c r="M659" s="909"/>
      <c r="N659" s="910">
        <v>3324</v>
      </c>
      <c r="O659" s="910">
        <v>30685</v>
      </c>
      <c r="P659" s="910">
        <v>0</v>
      </c>
      <c r="Q659" s="909">
        <v>0</v>
      </c>
      <c r="R659" s="910">
        <f t="shared" si="10"/>
        <v>52450</v>
      </c>
      <c r="S659" s="909"/>
      <c r="T659" s="910">
        <v>25357</v>
      </c>
      <c r="U659" s="912">
        <v>4096</v>
      </c>
      <c r="V659" s="912">
        <v>29453</v>
      </c>
    </row>
    <row r="660" spans="1:22" x14ac:dyDescent="0.25">
      <c r="A660" s="906">
        <v>97404</v>
      </c>
      <c r="B660" s="907" t="s">
        <v>3220</v>
      </c>
      <c r="C660" s="908">
        <v>2.1049999999999999E-4</v>
      </c>
      <c r="D660" s="908">
        <v>2.1249999999999999E-4</v>
      </c>
      <c r="E660" s="909">
        <v>73915</v>
      </c>
      <c r="F660" s="909">
        <v>95369</v>
      </c>
      <c r="G660" s="909">
        <v>446752</v>
      </c>
      <c r="H660" s="909"/>
      <c r="I660" s="910">
        <v>8393.6875</v>
      </c>
      <c r="J660" s="910">
        <v>391497</v>
      </c>
      <c r="K660" s="910">
        <v>30598</v>
      </c>
      <c r="L660" s="909">
        <v>1976</v>
      </c>
      <c r="M660" s="909"/>
      <c r="N660" s="910">
        <v>15655</v>
      </c>
      <c r="O660" s="910">
        <v>144499</v>
      </c>
      <c r="P660" s="910">
        <v>0</v>
      </c>
      <c r="Q660" s="909">
        <v>16111</v>
      </c>
      <c r="R660" s="910">
        <f t="shared" si="10"/>
        <v>246998</v>
      </c>
      <c r="S660" s="909"/>
      <c r="T660" s="910">
        <v>119410</v>
      </c>
      <c r="U660" s="912">
        <v>-3656</v>
      </c>
      <c r="V660" s="912">
        <v>115754</v>
      </c>
    </row>
    <row r="661" spans="1:22" x14ac:dyDescent="0.25">
      <c r="A661" s="906">
        <v>97405</v>
      </c>
      <c r="B661" s="907" t="s">
        <v>3221</v>
      </c>
      <c r="C661" s="908">
        <v>1.087E-4</v>
      </c>
      <c r="D661" s="908">
        <v>1.081E-4</v>
      </c>
      <c r="E661" s="909">
        <v>55456</v>
      </c>
      <c r="F661" s="909">
        <v>48515</v>
      </c>
      <c r="G661" s="909">
        <v>230698</v>
      </c>
      <c r="H661" s="909"/>
      <c r="I661" s="910">
        <v>4334</v>
      </c>
      <c r="J661" s="910">
        <v>202165</v>
      </c>
      <c r="K661" s="910">
        <v>15801</v>
      </c>
      <c r="L661" s="909">
        <v>20704</v>
      </c>
      <c r="M661" s="909"/>
      <c r="N661" s="910">
        <v>8084</v>
      </c>
      <c r="O661" s="910">
        <v>74618</v>
      </c>
      <c r="P661" s="910">
        <v>0</v>
      </c>
      <c r="Q661" s="909">
        <v>9828.61</v>
      </c>
      <c r="R661" s="910">
        <f t="shared" si="10"/>
        <v>127547</v>
      </c>
      <c r="S661" s="909"/>
      <c r="T661" s="910">
        <v>61662</v>
      </c>
      <c r="U661" s="912">
        <v>1556</v>
      </c>
      <c r="V661" s="912">
        <v>63218</v>
      </c>
    </row>
    <row r="662" spans="1:22" x14ac:dyDescent="0.25">
      <c r="A662" s="906">
        <v>97408</v>
      </c>
      <c r="B662" s="907" t="s">
        <v>3222</v>
      </c>
      <c r="C662" s="908">
        <v>4.9299999999999999E-5</v>
      </c>
      <c r="D662" s="908">
        <v>5.1199999999999998E-5</v>
      </c>
      <c r="E662" s="909">
        <v>28028</v>
      </c>
      <c r="F662" s="909">
        <v>22978</v>
      </c>
      <c r="G662" s="909">
        <v>104631</v>
      </c>
      <c r="H662" s="909"/>
      <c r="I662" s="910">
        <v>1966</v>
      </c>
      <c r="J662" s="910">
        <v>91690</v>
      </c>
      <c r="K662" s="910">
        <v>7166</v>
      </c>
      <c r="L662" s="909">
        <v>7585</v>
      </c>
      <c r="M662" s="909"/>
      <c r="N662" s="910">
        <v>3666</v>
      </c>
      <c r="O662" s="910">
        <v>33842</v>
      </c>
      <c r="P662" s="910">
        <v>0</v>
      </c>
      <c r="Q662" s="909">
        <v>0</v>
      </c>
      <c r="R662" s="910">
        <f t="shared" si="10"/>
        <v>57848</v>
      </c>
      <c r="S662" s="909"/>
      <c r="T662" s="910">
        <v>27966</v>
      </c>
      <c r="U662" s="912">
        <v>2375</v>
      </c>
      <c r="V662" s="912">
        <v>30341</v>
      </c>
    </row>
    <row r="663" spans="1:22" x14ac:dyDescent="0.25">
      <c r="A663" s="906">
        <v>97411</v>
      </c>
      <c r="B663" s="907" t="s">
        <v>3223</v>
      </c>
      <c r="C663" s="908">
        <v>6.7269000000000001E-3</v>
      </c>
      <c r="D663" s="908">
        <v>7.0987000000000003E-3</v>
      </c>
      <c r="E663" s="909">
        <v>2531536.58</v>
      </c>
      <c r="F663" s="909">
        <v>3185854</v>
      </c>
      <c r="G663" s="909">
        <v>14276735</v>
      </c>
      <c r="H663" s="909"/>
      <c r="I663" s="910">
        <v>268235</v>
      </c>
      <c r="J663" s="910">
        <v>12510971</v>
      </c>
      <c r="K663" s="910">
        <v>977829</v>
      </c>
      <c r="L663" s="909">
        <v>0</v>
      </c>
      <c r="M663" s="909"/>
      <c r="N663" s="910">
        <v>500273</v>
      </c>
      <c r="O663" s="910">
        <v>4617734</v>
      </c>
      <c r="P663" s="910">
        <v>0</v>
      </c>
      <c r="Q663" s="909">
        <v>854591</v>
      </c>
      <c r="R663" s="910">
        <f t="shared" si="10"/>
        <v>7893237</v>
      </c>
      <c r="S663" s="909"/>
      <c r="T663" s="910">
        <v>3815962</v>
      </c>
      <c r="U663" s="912">
        <v>-289319</v>
      </c>
      <c r="V663" s="912">
        <v>3526643</v>
      </c>
    </row>
    <row r="664" spans="1:22" x14ac:dyDescent="0.25">
      <c r="A664" s="906">
        <v>97412</v>
      </c>
      <c r="B664" s="907" t="s">
        <v>3224</v>
      </c>
      <c r="C664" s="908">
        <v>4.424E-3</v>
      </c>
      <c r="D664" s="908">
        <v>4.1891999999999997E-3</v>
      </c>
      <c r="E664" s="909">
        <v>1763682</v>
      </c>
      <c r="F664" s="909">
        <v>1880088</v>
      </c>
      <c r="G664" s="909">
        <v>9389210</v>
      </c>
      <c r="H664" s="909"/>
      <c r="I664" s="910">
        <v>176407</v>
      </c>
      <c r="J664" s="910">
        <v>8227941</v>
      </c>
      <c r="K664" s="910">
        <v>643077</v>
      </c>
      <c r="L664" s="909">
        <v>158642</v>
      </c>
      <c r="M664" s="909"/>
      <c r="N664" s="910">
        <v>329008</v>
      </c>
      <c r="O664" s="910">
        <v>3036890</v>
      </c>
      <c r="P664" s="910">
        <v>0</v>
      </c>
      <c r="Q664" s="909">
        <v>0</v>
      </c>
      <c r="R664" s="910">
        <f t="shared" si="10"/>
        <v>5191051</v>
      </c>
      <c r="S664" s="909"/>
      <c r="T664" s="910">
        <v>2509598</v>
      </c>
      <c r="U664" s="912">
        <v>54211</v>
      </c>
      <c r="V664" s="912">
        <v>2563810</v>
      </c>
    </row>
    <row r="665" spans="1:22" x14ac:dyDescent="0.25">
      <c r="A665" s="906">
        <v>97413</v>
      </c>
      <c r="B665" s="907" t="s">
        <v>3225</v>
      </c>
      <c r="C665" s="908">
        <v>2.7910000000000001E-4</v>
      </c>
      <c r="D665" s="908">
        <v>2.9320000000000003E-4</v>
      </c>
      <c r="E665" s="909">
        <v>126701.6</v>
      </c>
      <c r="F665" s="909">
        <v>131586</v>
      </c>
      <c r="G665" s="909">
        <v>592344</v>
      </c>
      <c r="H665" s="909"/>
      <c r="I665" s="910">
        <v>11129</v>
      </c>
      <c r="J665" s="910">
        <v>519082</v>
      </c>
      <c r="K665" s="910">
        <v>40570</v>
      </c>
      <c r="L665" s="909">
        <v>1832</v>
      </c>
      <c r="M665" s="909"/>
      <c r="N665" s="910">
        <v>20756</v>
      </c>
      <c r="O665" s="910">
        <v>191590</v>
      </c>
      <c r="P665" s="910">
        <v>0</v>
      </c>
      <c r="Q665" s="909">
        <v>10212</v>
      </c>
      <c r="R665" s="910">
        <f t="shared" si="10"/>
        <v>327492</v>
      </c>
      <c r="S665" s="909"/>
      <c r="T665" s="910">
        <v>158325</v>
      </c>
      <c r="U665" s="912">
        <v>-4433</v>
      </c>
      <c r="V665" s="912">
        <v>153891</v>
      </c>
    </row>
    <row r="666" spans="1:22" x14ac:dyDescent="0.25">
      <c r="A666" s="906">
        <v>97421</v>
      </c>
      <c r="B666" s="907" t="s">
        <v>3226</v>
      </c>
      <c r="C666" s="908">
        <v>4.1120000000000002E-4</v>
      </c>
      <c r="D666" s="908">
        <v>4.1140000000000003E-4</v>
      </c>
      <c r="E666" s="909">
        <v>162265</v>
      </c>
      <c r="F666" s="909">
        <v>184634</v>
      </c>
      <c r="G666" s="909">
        <v>872704</v>
      </c>
      <c r="H666" s="909"/>
      <c r="I666" s="910">
        <v>16397</v>
      </c>
      <c r="J666" s="910">
        <v>764767</v>
      </c>
      <c r="K666" s="910">
        <v>59772</v>
      </c>
      <c r="L666" s="909">
        <v>0</v>
      </c>
      <c r="M666" s="909"/>
      <c r="N666" s="910">
        <v>30581</v>
      </c>
      <c r="O666" s="910">
        <v>282272</v>
      </c>
      <c r="P666" s="910">
        <v>0</v>
      </c>
      <c r="Q666" s="909">
        <v>40232</v>
      </c>
      <c r="R666" s="910">
        <f t="shared" si="10"/>
        <v>482495</v>
      </c>
      <c r="S666" s="909"/>
      <c r="T666" s="910">
        <v>233261</v>
      </c>
      <c r="U666" s="912">
        <v>-16104</v>
      </c>
      <c r="V666" s="912">
        <v>217157</v>
      </c>
    </row>
    <row r="667" spans="1:22" x14ac:dyDescent="0.25">
      <c r="A667" s="906">
        <v>97423</v>
      </c>
      <c r="B667" s="907" t="s">
        <v>3227</v>
      </c>
      <c r="C667" s="908">
        <v>4.5800000000000002E-5</v>
      </c>
      <c r="D667" s="908">
        <v>4.5300000000000003E-5</v>
      </c>
      <c r="E667" s="909">
        <v>37545</v>
      </c>
      <c r="F667" s="909">
        <v>20330</v>
      </c>
      <c r="G667" s="909">
        <v>97203</v>
      </c>
      <c r="H667" s="909"/>
      <c r="I667" s="910">
        <v>1826.2750000000001</v>
      </c>
      <c r="J667" s="910">
        <v>85181</v>
      </c>
      <c r="K667" s="910">
        <v>6658</v>
      </c>
      <c r="L667" s="909">
        <v>26530</v>
      </c>
      <c r="M667" s="909"/>
      <c r="N667" s="910">
        <v>3406</v>
      </c>
      <c r="O667" s="910">
        <v>31440</v>
      </c>
      <c r="P667" s="910">
        <v>0</v>
      </c>
      <c r="Q667" s="909">
        <v>0</v>
      </c>
      <c r="R667" s="910">
        <f t="shared" si="10"/>
        <v>53741</v>
      </c>
      <c r="S667" s="909"/>
      <c r="T667" s="910">
        <v>25981</v>
      </c>
      <c r="U667" s="912">
        <v>8002</v>
      </c>
      <c r="V667" s="912">
        <v>33982</v>
      </c>
    </row>
    <row r="668" spans="1:22" x14ac:dyDescent="0.25">
      <c r="A668" s="906">
        <v>97431</v>
      </c>
      <c r="B668" s="907" t="s">
        <v>3228</v>
      </c>
      <c r="C668" s="908">
        <v>8.5199999999999997E-5</v>
      </c>
      <c r="D668" s="908">
        <v>8.7700000000000004E-5</v>
      </c>
      <c r="E668" s="909">
        <v>38446.49</v>
      </c>
      <c r="F668" s="909">
        <v>39359</v>
      </c>
      <c r="G668" s="909">
        <v>180823</v>
      </c>
      <c r="H668" s="909"/>
      <c r="I668" s="910">
        <v>3397.35</v>
      </c>
      <c r="J668" s="910">
        <v>158459</v>
      </c>
      <c r="K668" s="910">
        <v>12385</v>
      </c>
      <c r="L668" s="909">
        <v>2882</v>
      </c>
      <c r="M668" s="909"/>
      <c r="N668" s="910">
        <v>6336</v>
      </c>
      <c r="O668" s="910">
        <v>58486</v>
      </c>
      <c r="P668" s="910">
        <v>0</v>
      </c>
      <c r="Q668" s="909">
        <v>0</v>
      </c>
      <c r="R668" s="910">
        <f t="shared" si="10"/>
        <v>99973</v>
      </c>
      <c r="S668" s="909"/>
      <c r="T668" s="910">
        <v>48331</v>
      </c>
      <c r="U668" s="912">
        <v>909</v>
      </c>
      <c r="V668" s="912">
        <v>49241</v>
      </c>
    </row>
    <row r="669" spans="1:22" x14ac:dyDescent="0.25">
      <c r="A669" s="906">
        <v>97441</v>
      </c>
      <c r="B669" s="907" t="s">
        <v>3229</v>
      </c>
      <c r="C669" s="908">
        <v>7.0500000000000006E-5</v>
      </c>
      <c r="D669" s="908">
        <v>6.8700000000000003E-5</v>
      </c>
      <c r="E669" s="909">
        <v>23079</v>
      </c>
      <c r="F669" s="909">
        <v>30832</v>
      </c>
      <c r="G669" s="909">
        <v>149625</v>
      </c>
      <c r="H669" s="909"/>
      <c r="I669" s="910">
        <v>2811</v>
      </c>
      <c r="J669" s="910">
        <v>131119</v>
      </c>
      <c r="K669" s="910">
        <v>10248</v>
      </c>
      <c r="L669" s="909">
        <v>406</v>
      </c>
      <c r="M669" s="909"/>
      <c r="N669" s="910">
        <v>5243</v>
      </c>
      <c r="O669" s="910">
        <v>48395</v>
      </c>
      <c r="P669" s="910">
        <v>0</v>
      </c>
      <c r="Q669" s="909">
        <v>4997</v>
      </c>
      <c r="R669" s="910">
        <f t="shared" si="10"/>
        <v>82724</v>
      </c>
      <c r="S669" s="909"/>
      <c r="T669" s="910">
        <v>39992</v>
      </c>
      <c r="U669" s="912">
        <v>-1212</v>
      </c>
      <c r="V669" s="912">
        <v>38780</v>
      </c>
    </row>
    <row r="670" spans="1:22" x14ac:dyDescent="0.25">
      <c r="A670" s="906">
        <v>97451</v>
      </c>
      <c r="B670" s="907" t="s">
        <v>3230</v>
      </c>
      <c r="C670" s="908">
        <v>6.1039999999999998E-4</v>
      </c>
      <c r="D670" s="908">
        <v>5.1670000000000004E-4</v>
      </c>
      <c r="E670" s="909">
        <v>212065</v>
      </c>
      <c r="F670" s="909">
        <v>231892</v>
      </c>
      <c r="G670" s="909">
        <v>1295473</v>
      </c>
      <c r="H670" s="909"/>
      <c r="I670" s="910">
        <v>24339.7</v>
      </c>
      <c r="J670" s="910">
        <v>1135248</v>
      </c>
      <c r="K670" s="910">
        <v>88728</v>
      </c>
      <c r="L670" s="909">
        <v>30041</v>
      </c>
      <c r="M670" s="909"/>
      <c r="N670" s="910">
        <v>45395</v>
      </c>
      <c r="O670" s="910">
        <v>419014</v>
      </c>
      <c r="P670" s="910">
        <v>0</v>
      </c>
      <c r="Q670" s="909">
        <v>5880</v>
      </c>
      <c r="R670" s="910">
        <f t="shared" si="10"/>
        <v>716234</v>
      </c>
      <c r="S670" s="909"/>
      <c r="T670" s="910">
        <v>346261</v>
      </c>
      <c r="U670" s="912">
        <v>8187</v>
      </c>
      <c r="V670" s="912">
        <v>354448</v>
      </c>
    </row>
    <row r="671" spans="1:22" x14ac:dyDescent="0.25">
      <c r="A671" s="906">
        <v>97461</v>
      </c>
      <c r="B671" s="907" t="s">
        <v>3231</v>
      </c>
      <c r="C671" s="908">
        <v>5.1869999999999998E-4</v>
      </c>
      <c r="D671" s="908">
        <v>5.3859999999999997E-4</v>
      </c>
      <c r="E671" s="909">
        <v>202230</v>
      </c>
      <c r="F671" s="909">
        <v>241720</v>
      </c>
      <c r="G671" s="909">
        <v>1100855</v>
      </c>
      <c r="H671" s="909"/>
      <c r="I671" s="910">
        <v>20683</v>
      </c>
      <c r="J671" s="910">
        <v>964700</v>
      </c>
      <c r="K671" s="910">
        <v>75399</v>
      </c>
      <c r="L671" s="909">
        <v>4454</v>
      </c>
      <c r="M671" s="909"/>
      <c r="N671" s="910">
        <v>38575</v>
      </c>
      <c r="O671" s="910">
        <v>356066</v>
      </c>
      <c r="P671" s="910">
        <v>0</v>
      </c>
      <c r="Q671" s="909">
        <v>46078</v>
      </c>
      <c r="R671" s="910">
        <f t="shared" si="10"/>
        <v>608634</v>
      </c>
      <c r="S671" s="909"/>
      <c r="T671" s="910">
        <v>294242</v>
      </c>
      <c r="U671" s="912">
        <v>-12231</v>
      </c>
      <c r="V671" s="912">
        <v>282012</v>
      </c>
    </row>
    <row r="672" spans="1:22" x14ac:dyDescent="0.25">
      <c r="A672" s="906">
        <v>97463</v>
      </c>
      <c r="B672" s="907" t="s">
        <v>3232</v>
      </c>
      <c r="C672" s="908">
        <v>5.0099999999999998E-5</v>
      </c>
      <c r="D672" s="908">
        <v>5.6400000000000002E-5</v>
      </c>
      <c r="E672" s="909">
        <v>17390</v>
      </c>
      <c r="F672" s="909">
        <v>25312</v>
      </c>
      <c r="G672" s="909">
        <v>106329</v>
      </c>
      <c r="H672" s="909"/>
      <c r="I672" s="910">
        <v>1998</v>
      </c>
      <c r="J672" s="910">
        <v>93178</v>
      </c>
      <c r="K672" s="910">
        <v>7283</v>
      </c>
      <c r="L672" s="909">
        <v>2539</v>
      </c>
      <c r="M672" s="909"/>
      <c r="N672" s="910">
        <v>3726</v>
      </c>
      <c r="O672" s="910">
        <v>34392</v>
      </c>
      <c r="P672" s="910">
        <v>0</v>
      </c>
      <c r="Q672" s="909">
        <v>5965</v>
      </c>
      <c r="R672" s="910">
        <f t="shared" si="10"/>
        <v>58786</v>
      </c>
      <c r="S672" s="909"/>
      <c r="T672" s="910">
        <v>28420</v>
      </c>
      <c r="U672" s="912">
        <v>-427</v>
      </c>
      <c r="V672" s="912">
        <v>27993</v>
      </c>
    </row>
    <row r="673" spans="1:22" x14ac:dyDescent="0.25">
      <c r="A673" s="906">
        <v>97471</v>
      </c>
      <c r="B673" s="907" t="s">
        <v>3233</v>
      </c>
      <c r="C673" s="908">
        <v>1.27E-5</v>
      </c>
      <c r="D673" s="908">
        <v>1.31E-5</v>
      </c>
      <c r="E673" s="909">
        <v>8483.43</v>
      </c>
      <c r="F673" s="909">
        <v>5879</v>
      </c>
      <c r="G673" s="909">
        <v>26954</v>
      </c>
      <c r="H673" s="909"/>
      <c r="I673" s="910">
        <v>506.41250000000002</v>
      </c>
      <c r="J673" s="910">
        <v>23620</v>
      </c>
      <c r="K673" s="910">
        <v>1846</v>
      </c>
      <c r="L673" s="909">
        <v>5163</v>
      </c>
      <c r="M673" s="909"/>
      <c r="N673" s="910">
        <v>944</v>
      </c>
      <c r="O673" s="910">
        <v>8718</v>
      </c>
      <c r="P673" s="910">
        <v>0</v>
      </c>
      <c r="Q673" s="909">
        <v>0</v>
      </c>
      <c r="R673" s="910">
        <f t="shared" si="10"/>
        <v>14902</v>
      </c>
      <c r="S673" s="909"/>
      <c r="T673" s="910">
        <v>7204</v>
      </c>
      <c r="U673" s="912">
        <v>1775</v>
      </c>
      <c r="V673" s="912">
        <v>8980</v>
      </c>
    </row>
    <row r="674" spans="1:22" x14ac:dyDescent="0.25">
      <c r="A674" s="906">
        <v>97481</v>
      </c>
      <c r="B674" s="907" t="s">
        <v>3234</v>
      </c>
      <c r="C674" s="908">
        <v>1.63E-5</v>
      </c>
      <c r="D674" s="908">
        <v>1.13E-5</v>
      </c>
      <c r="E674" s="909">
        <v>5817.26</v>
      </c>
      <c r="F674" s="909">
        <v>5071</v>
      </c>
      <c r="G674" s="909">
        <v>34594</v>
      </c>
      <c r="H674" s="909"/>
      <c r="I674" s="910">
        <v>649.96249999999998</v>
      </c>
      <c r="J674" s="910">
        <v>30315</v>
      </c>
      <c r="K674" s="910">
        <v>2369</v>
      </c>
      <c r="L674" s="909">
        <v>5965</v>
      </c>
      <c r="M674" s="909"/>
      <c r="N674" s="910">
        <v>1212</v>
      </c>
      <c r="O674" s="910">
        <v>11189</v>
      </c>
      <c r="P674" s="910">
        <v>0</v>
      </c>
      <c r="Q674" s="909">
        <v>0</v>
      </c>
      <c r="R674" s="910">
        <f t="shared" si="10"/>
        <v>19126</v>
      </c>
      <c r="S674" s="909"/>
      <c r="T674" s="910">
        <v>9246</v>
      </c>
      <c r="U674" s="912">
        <v>2373</v>
      </c>
      <c r="V674" s="912">
        <v>11619</v>
      </c>
    </row>
    <row r="675" spans="1:22" x14ac:dyDescent="0.25">
      <c r="A675" s="906">
        <v>97491</v>
      </c>
      <c r="B675" s="907" t="s">
        <v>3235</v>
      </c>
      <c r="C675" s="908">
        <v>0</v>
      </c>
      <c r="D675" s="908">
        <v>0</v>
      </c>
      <c r="E675" s="909">
        <v>0</v>
      </c>
      <c r="F675" s="909">
        <v>0</v>
      </c>
      <c r="G675" s="909">
        <v>0</v>
      </c>
      <c r="H675" s="909"/>
      <c r="I675" s="910">
        <v>0</v>
      </c>
      <c r="J675" s="910">
        <v>0</v>
      </c>
      <c r="K675" s="910">
        <v>0</v>
      </c>
      <c r="L675" s="909">
        <v>0</v>
      </c>
      <c r="M675" s="909"/>
      <c r="N675" s="910">
        <v>0</v>
      </c>
      <c r="O675" s="910">
        <v>0</v>
      </c>
      <c r="P675" s="910">
        <v>0</v>
      </c>
      <c r="Q675" s="909">
        <v>12790</v>
      </c>
      <c r="R675" s="910">
        <f t="shared" si="10"/>
        <v>0</v>
      </c>
      <c r="S675" s="909"/>
      <c r="T675" s="910">
        <v>0</v>
      </c>
      <c r="U675" s="912">
        <v>-4941</v>
      </c>
      <c r="V675" s="912">
        <v>-4941</v>
      </c>
    </row>
    <row r="676" spans="1:22" x14ac:dyDescent="0.25">
      <c r="A676" s="906">
        <v>97501</v>
      </c>
      <c r="B676" s="907" t="s">
        <v>3236</v>
      </c>
      <c r="C676" s="908">
        <v>9.6730000000000004E-4</v>
      </c>
      <c r="D676" s="908">
        <v>9.7659999999999999E-4</v>
      </c>
      <c r="E676" s="909">
        <v>413876.56</v>
      </c>
      <c r="F676" s="909">
        <v>438292</v>
      </c>
      <c r="G676" s="909">
        <v>2052935</v>
      </c>
      <c r="H676" s="909"/>
      <c r="I676" s="910">
        <v>38571</v>
      </c>
      <c r="J676" s="910">
        <v>1799025</v>
      </c>
      <c r="K676" s="910">
        <v>140608</v>
      </c>
      <c r="L676" s="909">
        <v>45898</v>
      </c>
      <c r="M676" s="909"/>
      <c r="N676" s="910">
        <v>71937</v>
      </c>
      <c r="O676" s="910">
        <v>664011</v>
      </c>
      <c r="P676" s="910">
        <v>0</v>
      </c>
      <c r="Q676" s="909">
        <v>0</v>
      </c>
      <c r="R676" s="910">
        <f t="shared" si="10"/>
        <v>1135014</v>
      </c>
      <c r="S676" s="909"/>
      <c r="T676" s="910">
        <v>548719</v>
      </c>
      <c r="U676" s="912">
        <v>19873</v>
      </c>
      <c r="V676" s="912">
        <v>568592</v>
      </c>
    </row>
    <row r="677" spans="1:22" x14ac:dyDescent="0.25">
      <c r="A677" s="906">
        <v>97511</v>
      </c>
      <c r="B677" s="907" t="s">
        <v>3237</v>
      </c>
      <c r="C677" s="908">
        <v>2.3220000000000001E-4</v>
      </c>
      <c r="D677" s="908">
        <v>2.1719999999999999E-4</v>
      </c>
      <c r="E677" s="909">
        <v>97777.06</v>
      </c>
      <c r="F677" s="909">
        <v>97478</v>
      </c>
      <c r="G677" s="909">
        <v>492806</v>
      </c>
      <c r="H677" s="909"/>
      <c r="I677" s="910">
        <v>9259</v>
      </c>
      <c r="J677" s="910">
        <v>431855</v>
      </c>
      <c r="K677" s="910">
        <v>33753</v>
      </c>
      <c r="L677" s="909">
        <v>10778</v>
      </c>
      <c r="M677" s="909"/>
      <c r="N677" s="910">
        <v>17268</v>
      </c>
      <c r="O677" s="910">
        <v>159396</v>
      </c>
      <c r="P677" s="910">
        <v>0</v>
      </c>
      <c r="Q677" s="909">
        <v>1307</v>
      </c>
      <c r="R677" s="910">
        <f t="shared" si="10"/>
        <v>272459</v>
      </c>
      <c r="S677" s="909"/>
      <c r="T677" s="910">
        <v>131720</v>
      </c>
      <c r="U677" s="912">
        <v>2532</v>
      </c>
      <c r="V677" s="912">
        <v>134252</v>
      </c>
    </row>
    <row r="678" spans="1:22" x14ac:dyDescent="0.25">
      <c r="A678" s="906">
        <v>97521</v>
      </c>
      <c r="B678" s="907" t="s">
        <v>3238</v>
      </c>
      <c r="C678" s="908">
        <v>1.293E-4</v>
      </c>
      <c r="D678" s="908">
        <v>1.404E-4</v>
      </c>
      <c r="E678" s="909">
        <v>48146.35</v>
      </c>
      <c r="F678" s="909">
        <v>63011</v>
      </c>
      <c r="G678" s="909">
        <v>274418</v>
      </c>
      <c r="H678" s="909"/>
      <c r="I678" s="910">
        <v>5156</v>
      </c>
      <c r="J678" s="910">
        <v>240478</v>
      </c>
      <c r="K678" s="910">
        <v>18795</v>
      </c>
      <c r="L678" s="909">
        <v>4401.88</v>
      </c>
      <c r="M678" s="909"/>
      <c r="N678" s="910">
        <v>9616</v>
      </c>
      <c r="O678" s="910">
        <v>88759</v>
      </c>
      <c r="P678" s="910">
        <v>0</v>
      </c>
      <c r="Q678" s="909">
        <v>17530</v>
      </c>
      <c r="R678" s="910">
        <f t="shared" si="10"/>
        <v>151719</v>
      </c>
      <c r="S678" s="909"/>
      <c r="T678" s="910">
        <v>73348</v>
      </c>
      <c r="U678" s="912">
        <v>-3048</v>
      </c>
      <c r="V678" s="912">
        <v>70299</v>
      </c>
    </row>
    <row r="679" spans="1:22" x14ac:dyDescent="0.25">
      <c r="A679" s="906">
        <v>97531</v>
      </c>
      <c r="B679" s="907" t="s">
        <v>3239</v>
      </c>
      <c r="C679" s="908">
        <v>3.6300000000000001E-5</v>
      </c>
      <c r="D679" s="908">
        <v>3.5099999999999999E-5</v>
      </c>
      <c r="E679" s="909">
        <v>18182</v>
      </c>
      <c r="F679" s="909">
        <v>15753</v>
      </c>
      <c r="G679" s="909">
        <v>77041</v>
      </c>
      <c r="H679" s="909"/>
      <c r="I679" s="910">
        <v>1447</v>
      </c>
      <c r="J679" s="910">
        <v>67512</v>
      </c>
      <c r="K679" s="910">
        <v>5277</v>
      </c>
      <c r="L679" s="909">
        <v>3234</v>
      </c>
      <c r="M679" s="909"/>
      <c r="N679" s="910">
        <v>2700</v>
      </c>
      <c r="O679" s="910">
        <v>24918</v>
      </c>
      <c r="P679" s="910">
        <v>0</v>
      </c>
      <c r="Q679" s="909">
        <v>14595</v>
      </c>
      <c r="R679" s="910">
        <f t="shared" si="10"/>
        <v>42594</v>
      </c>
      <c r="S679" s="909"/>
      <c r="T679" s="910">
        <v>20592</v>
      </c>
      <c r="U679" s="912">
        <v>-4705</v>
      </c>
      <c r="V679" s="912">
        <v>15887</v>
      </c>
    </row>
    <row r="680" spans="1:22" x14ac:dyDescent="0.25">
      <c r="A680" s="906">
        <v>97601</v>
      </c>
      <c r="B680" s="907" t="s">
        <v>3240</v>
      </c>
      <c r="C680" s="908">
        <v>4.7808E-3</v>
      </c>
      <c r="D680" s="908">
        <v>4.8238999999999999E-3</v>
      </c>
      <c r="E680" s="909">
        <v>1911818</v>
      </c>
      <c r="F680" s="909">
        <v>2164937</v>
      </c>
      <c r="G680" s="909">
        <v>10146459</v>
      </c>
      <c r="H680" s="909"/>
      <c r="I680" s="910">
        <v>190634.4</v>
      </c>
      <c r="J680" s="910">
        <v>8891533</v>
      </c>
      <c r="K680" s="910">
        <v>694942</v>
      </c>
      <c r="L680" s="909">
        <v>0</v>
      </c>
      <c r="M680" s="909"/>
      <c r="N680" s="910">
        <v>355543</v>
      </c>
      <c r="O680" s="910">
        <v>3281818</v>
      </c>
      <c r="P680" s="910">
        <v>0</v>
      </c>
      <c r="Q680" s="909">
        <v>137509</v>
      </c>
      <c r="R680" s="910">
        <f t="shared" si="10"/>
        <v>5609715</v>
      </c>
      <c r="S680" s="909"/>
      <c r="T680" s="910">
        <v>2712000</v>
      </c>
      <c r="U680" s="912">
        <v>-46067</v>
      </c>
      <c r="V680" s="912">
        <v>2665933</v>
      </c>
    </row>
    <row r="681" spans="1:22" x14ac:dyDescent="0.25">
      <c r="A681" s="906">
        <v>97607</v>
      </c>
      <c r="B681" s="907" t="s">
        <v>3241</v>
      </c>
      <c r="C681" s="908">
        <v>1.9199999999999999E-5</v>
      </c>
      <c r="D681" s="908">
        <v>2.27E-5</v>
      </c>
      <c r="E681" s="909">
        <v>13222.63</v>
      </c>
      <c r="F681" s="909">
        <v>10188</v>
      </c>
      <c r="G681" s="909">
        <v>40749</v>
      </c>
      <c r="H681" s="909"/>
      <c r="I681" s="910">
        <v>766</v>
      </c>
      <c r="J681" s="910">
        <v>35709</v>
      </c>
      <c r="K681" s="910">
        <v>2791</v>
      </c>
      <c r="L681" s="909">
        <v>8819</v>
      </c>
      <c r="M681" s="909"/>
      <c r="N681" s="910">
        <v>1428</v>
      </c>
      <c r="O681" s="910">
        <v>13180</v>
      </c>
      <c r="P681" s="910">
        <v>0</v>
      </c>
      <c r="Q681" s="909">
        <v>0</v>
      </c>
      <c r="R681" s="910">
        <f t="shared" si="10"/>
        <v>22529</v>
      </c>
      <c r="S681" s="909"/>
      <c r="T681" s="910">
        <v>10892</v>
      </c>
      <c r="U681" s="912">
        <v>3435</v>
      </c>
      <c r="V681" s="912">
        <v>14327</v>
      </c>
    </row>
    <row r="682" spans="1:22" x14ac:dyDescent="0.25">
      <c r="A682" s="906">
        <v>97611</v>
      </c>
      <c r="B682" s="907" t="s">
        <v>3242</v>
      </c>
      <c r="C682" s="908">
        <v>2.5750999999999999E-3</v>
      </c>
      <c r="D682" s="908">
        <v>2.7582000000000001E-3</v>
      </c>
      <c r="E682" s="909">
        <v>984035.03</v>
      </c>
      <c r="F682" s="909">
        <v>1237864</v>
      </c>
      <c r="G682" s="909">
        <v>5465225</v>
      </c>
      <c r="H682" s="909"/>
      <c r="I682" s="910">
        <v>102682</v>
      </c>
      <c r="J682" s="910">
        <v>4789279</v>
      </c>
      <c r="K682" s="910">
        <v>374319</v>
      </c>
      <c r="L682" s="909">
        <v>0</v>
      </c>
      <c r="M682" s="909"/>
      <c r="N682" s="910">
        <v>191508</v>
      </c>
      <c r="O682" s="910">
        <v>1767698</v>
      </c>
      <c r="P682" s="910">
        <v>0</v>
      </c>
      <c r="Q682" s="909">
        <v>281180</v>
      </c>
      <c r="R682" s="910">
        <f t="shared" si="10"/>
        <v>3021581</v>
      </c>
      <c r="S682" s="909"/>
      <c r="T682" s="910">
        <v>1460774</v>
      </c>
      <c r="U682" s="912">
        <v>-93860</v>
      </c>
      <c r="V682" s="912">
        <v>1366915</v>
      </c>
    </row>
    <row r="683" spans="1:22" x14ac:dyDescent="0.25">
      <c r="A683" s="906">
        <v>97613</v>
      </c>
      <c r="B683" s="907" t="s">
        <v>3243</v>
      </c>
      <c r="C683" s="908">
        <v>1.2459999999999999E-4</v>
      </c>
      <c r="D683" s="908">
        <v>1.21E-4</v>
      </c>
      <c r="E683" s="909">
        <v>55529.85</v>
      </c>
      <c r="F683" s="909">
        <v>54304</v>
      </c>
      <c r="G683" s="909">
        <v>264443</v>
      </c>
      <c r="H683" s="909"/>
      <c r="I683" s="910">
        <v>4968</v>
      </c>
      <c r="J683" s="910">
        <v>231736</v>
      </c>
      <c r="K683" s="910">
        <v>18112</v>
      </c>
      <c r="L683" s="909">
        <v>5357</v>
      </c>
      <c r="M683" s="909"/>
      <c r="N683" s="910">
        <v>9266</v>
      </c>
      <c r="O683" s="910">
        <v>85533</v>
      </c>
      <c r="P683" s="910">
        <v>0</v>
      </c>
      <c r="Q683" s="909">
        <v>5319</v>
      </c>
      <c r="R683" s="910">
        <f t="shared" si="10"/>
        <v>146203</v>
      </c>
      <c r="S683" s="909"/>
      <c r="T683" s="910">
        <v>70682</v>
      </c>
      <c r="U683" s="912">
        <v>-505</v>
      </c>
      <c r="V683" s="912">
        <v>70177</v>
      </c>
    </row>
    <row r="684" spans="1:22" x14ac:dyDescent="0.25">
      <c r="A684" s="906">
        <v>97621</v>
      </c>
      <c r="B684" s="907" t="s">
        <v>3244</v>
      </c>
      <c r="C684" s="908">
        <v>4.7429999999999998E-4</v>
      </c>
      <c r="D684" s="908">
        <v>5.1290000000000005E-4</v>
      </c>
      <c r="E684" s="909">
        <v>166598.32</v>
      </c>
      <c r="F684" s="909">
        <v>230186</v>
      </c>
      <c r="G684" s="909">
        <v>1006623</v>
      </c>
      <c r="H684" s="909"/>
      <c r="I684" s="910">
        <v>18913</v>
      </c>
      <c r="J684" s="910">
        <v>882123</v>
      </c>
      <c r="K684" s="910">
        <v>68945</v>
      </c>
      <c r="L684" s="909">
        <v>24561</v>
      </c>
      <c r="M684" s="909"/>
      <c r="N684" s="910">
        <v>35273</v>
      </c>
      <c r="O684" s="910">
        <v>325587</v>
      </c>
      <c r="P684" s="910">
        <v>0</v>
      </c>
      <c r="Q684" s="909">
        <v>43510</v>
      </c>
      <c r="R684" s="910">
        <f t="shared" si="10"/>
        <v>556536</v>
      </c>
      <c r="S684" s="909"/>
      <c r="T684" s="910">
        <v>269056</v>
      </c>
      <c r="U684" s="912">
        <v>-2547</v>
      </c>
      <c r="V684" s="912">
        <v>266509</v>
      </c>
    </row>
    <row r="685" spans="1:22" x14ac:dyDescent="0.25">
      <c r="A685" s="906">
        <v>97623</v>
      </c>
      <c r="B685" s="907" t="s">
        <v>3245</v>
      </c>
      <c r="C685" s="908">
        <v>2.9200000000000002E-5</v>
      </c>
      <c r="D685" s="908">
        <v>3.0000000000000001E-5</v>
      </c>
      <c r="E685" s="909">
        <v>14038</v>
      </c>
      <c r="F685" s="909">
        <v>13463.82</v>
      </c>
      <c r="G685" s="909">
        <v>61972</v>
      </c>
      <c r="H685" s="909"/>
      <c r="I685" s="910">
        <v>1164</v>
      </c>
      <c r="J685" s="910">
        <v>54307</v>
      </c>
      <c r="K685" s="910">
        <v>4245</v>
      </c>
      <c r="L685" s="909">
        <v>10193</v>
      </c>
      <c r="M685" s="909"/>
      <c r="N685" s="910">
        <v>2172</v>
      </c>
      <c r="O685" s="910">
        <v>20045</v>
      </c>
      <c r="P685" s="910">
        <v>0</v>
      </c>
      <c r="Q685" s="909">
        <v>0</v>
      </c>
      <c r="R685" s="910">
        <f t="shared" si="10"/>
        <v>34262</v>
      </c>
      <c r="S685" s="909"/>
      <c r="T685" s="910">
        <v>16564</v>
      </c>
      <c r="U685" s="912">
        <v>3688</v>
      </c>
      <c r="V685" s="912">
        <v>20252</v>
      </c>
    </row>
    <row r="686" spans="1:22" x14ac:dyDescent="0.25">
      <c r="A686" s="906">
        <v>97627</v>
      </c>
      <c r="B686" s="907" t="s">
        <v>3246</v>
      </c>
      <c r="C686" s="908">
        <v>1.0200000000000001E-5</v>
      </c>
      <c r="D686" s="908">
        <v>9.0999999999999993E-6</v>
      </c>
      <c r="E686" s="909">
        <v>4150</v>
      </c>
      <c r="F686" s="909">
        <v>4084</v>
      </c>
      <c r="G686" s="909">
        <v>21648</v>
      </c>
      <c r="H686" s="909"/>
      <c r="I686" s="910">
        <v>406.72500000000002</v>
      </c>
      <c r="J686" s="910">
        <v>18970</v>
      </c>
      <c r="K686" s="910">
        <v>1483</v>
      </c>
      <c r="L686" s="909">
        <v>942</v>
      </c>
      <c r="M686" s="909"/>
      <c r="N686" s="910">
        <v>759</v>
      </c>
      <c r="O686" s="910">
        <v>7002</v>
      </c>
      <c r="P686" s="910">
        <v>0</v>
      </c>
      <c r="Q686" s="909">
        <v>1562</v>
      </c>
      <c r="R686" s="910">
        <f t="shared" si="10"/>
        <v>11968</v>
      </c>
      <c r="S686" s="909"/>
      <c r="T686" s="910">
        <v>5786</v>
      </c>
      <c r="U686" s="912">
        <v>-217</v>
      </c>
      <c r="V686" s="912">
        <v>5570</v>
      </c>
    </row>
    <row r="687" spans="1:22" x14ac:dyDescent="0.25">
      <c r="A687" s="906">
        <v>97631</v>
      </c>
      <c r="B687" s="907" t="s">
        <v>3247</v>
      </c>
      <c r="C687" s="908">
        <v>2.009E-4</v>
      </c>
      <c r="D687" s="908">
        <v>1.7239999999999999E-4</v>
      </c>
      <c r="E687" s="909">
        <v>69843.56</v>
      </c>
      <c r="F687" s="909">
        <v>77372</v>
      </c>
      <c r="G687" s="909">
        <v>426377</v>
      </c>
      <c r="H687" s="909"/>
      <c r="I687" s="910">
        <v>8011</v>
      </c>
      <c r="J687" s="910">
        <v>373642</v>
      </c>
      <c r="K687" s="910">
        <v>29203</v>
      </c>
      <c r="L687" s="909">
        <v>14802</v>
      </c>
      <c r="M687" s="909"/>
      <c r="N687" s="910">
        <v>14941</v>
      </c>
      <c r="O687" s="910">
        <v>137909</v>
      </c>
      <c r="P687" s="910">
        <v>0</v>
      </c>
      <c r="Q687" s="909">
        <v>0</v>
      </c>
      <c r="R687" s="910">
        <f t="shared" si="10"/>
        <v>235733</v>
      </c>
      <c r="S687" s="909"/>
      <c r="T687" s="910">
        <v>113964</v>
      </c>
      <c r="U687" s="912">
        <v>5491</v>
      </c>
      <c r="V687" s="912">
        <v>119456</v>
      </c>
    </row>
    <row r="688" spans="1:22" x14ac:dyDescent="0.25">
      <c r="A688" s="906">
        <v>97637</v>
      </c>
      <c r="B688" s="907" t="s">
        <v>3248</v>
      </c>
      <c r="C688" s="908">
        <v>4.7999999999999998E-6</v>
      </c>
      <c r="D688" s="908">
        <v>6.1999999999999999E-6</v>
      </c>
      <c r="E688" s="909">
        <v>2878</v>
      </c>
      <c r="F688" s="909">
        <v>2783</v>
      </c>
      <c r="G688" s="909">
        <v>10187</v>
      </c>
      <c r="H688" s="909"/>
      <c r="I688" s="910">
        <v>191</v>
      </c>
      <c r="J688" s="910">
        <v>8927</v>
      </c>
      <c r="K688" s="910">
        <v>698</v>
      </c>
      <c r="L688" s="909">
        <v>655</v>
      </c>
      <c r="M688" s="909"/>
      <c r="N688" s="910">
        <v>357</v>
      </c>
      <c r="O688" s="910">
        <v>3295</v>
      </c>
      <c r="P688" s="910">
        <v>0</v>
      </c>
      <c r="Q688" s="909">
        <v>40</v>
      </c>
      <c r="R688" s="910">
        <f t="shared" si="10"/>
        <v>5632</v>
      </c>
      <c r="S688" s="909"/>
      <c r="T688" s="910">
        <v>2723</v>
      </c>
      <c r="U688" s="912">
        <v>244</v>
      </c>
      <c r="V688" s="912">
        <v>2967</v>
      </c>
    </row>
    <row r="689" spans="1:22" x14ac:dyDescent="0.25">
      <c r="A689" s="906">
        <v>97641</v>
      </c>
      <c r="B689" s="907" t="s">
        <v>3249</v>
      </c>
      <c r="C689" s="908">
        <v>6.9999999999999994E-5</v>
      </c>
      <c r="D689" s="908">
        <v>5.3900000000000002E-5</v>
      </c>
      <c r="E689" s="909">
        <v>31635</v>
      </c>
      <c r="F689" s="909">
        <v>24190</v>
      </c>
      <c r="G689" s="909">
        <v>148563</v>
      </c>
      <c r="H689" s="909"/>
      <c r="I689" s="910">
        <v>2791</v>
      </c>
      <c r="J689" s="910">
        <v>130189</v>
      </c>
      <c r="K689" s="910">
        <v>10175</v>
      </c>
      <c r="L689" s="909">
        <v>15548</v>
      </c>
      <c r="M689" s="909"/>
      <c r="N689" s="910">
        <v>5205.83</v>
      </c>
      <c r="O689" s="910">
        <v>48052.06</v>
      </c>
      <c r="P689" s="910">
        <v>0</v>
      </c>
      <c r="Q689" s="909">
        <v>5807</v>
      </c>
      <c r="R689" s="910">
        <f t="shared" si="10"/>
        <v>82137</v>
      </c>
      <c r="S689" s="909"/>
      <c r="T689" s="910">
        <v>39709</v>
      </c>
      <c r="U689" s="912">
        <v>1546</v>
      </c>
      <c r="V689" s="912">
        <v>41255</v>
      </c>
    </row>
    <row r="690" spans="1:22" x14ac:dyDescent="0.25">
      <c r="A690" s="906">
        <v>97651</v>
      </c>
      <c r="B690" s="907" t="s">
        <v>3250</v>
      </c>
      <c r="C690" s="908">
        <v>5.1579999999999996E-4</v>
      </c>
      <c r="D690" s="908">
        <v>5.4140000000000004E-4</v>
      </c>
      <c r="E690" s="909">
        <v>190593.37</v>
      </c>
      <c r="F690" s="909">
        <v>242977</v>
      </c>
      <c r="G690" s="909">
        <v>1094700</v>
      </c>
      <c r="H690" s="909"/>
      <c r="I690" s="910">
        <v>20568</v>
      </c>
      <c r="J690" s="910">
        <v>959307</v>
      </c>
      <c r="K690" s="910">
        <v>74977</v>
      </c>
      <c r="L690" s="909">
        <v>4062</v>
      </c>
      <c r="M690" s="909"/>
      <c r="N690" s="910">
        <v>38360</v>
      </c>
      <c r="O690" s="910">
        <v>354075</v>
      </c>
      <c r="P690" s="910">
        <v>0</v>
      </c>
      <c r="Q690" s="909">
        <v>51828</v>
      </c>
      <c r="R690" s="910">
        <f t="shared" si="10"/>
        <v>605232</v>
      </c>
      <c r="S690" s="909"/>
      <c r="T690" s="910">
        <v>292597</v>
      </c>
      <c r="U690" s="912">
        <v>-17066</v>
      </c>
      <c r="V690" s="912">
        <v>275532</v>
      </c>
    </row>
    <row r="691" spans="1:22" x14ac:dyDescent="0.25">
      <c r="A691" s="906">
        <v>97661</v>
      </c>
      <c r="B691" s="907" t="s">
        <v>3251</v>
      </c>
      <c r="C691" s="908">
        <v>4.3900000000000003E-5</v>
      </c>
      <c r="D691" s="908">
        <v>3.1999999999999999E-5</v>
      </c>
      <c r="E691" s="909">
        <v>18869</v>
      </c>
      <c r="F691" s="909">
        <v>14361</v>
      </c>
      <c r="G691" s="909">
        <v>93171</v>
      </c>
      <c r="H691" s="909"/>
      <c r="I691" s="910">
        <v>1751</v>
      </c>
      <c r="J691" s="910">
        <v>81647</v>
      </c>
      <c r="K691" s="910">
        <v>6381</v>
      </c>
      <c r="L691" s="909">
        <v>12364</v>
      </c>
      <c r="M691" s="909"/>
      <c r="N691" s="910">
        <v>3265</v>
      </c>
      <c r="O691" s="910">
        <v>30136</v>
      </c>
      <c r="P691" s="910">
        <v>0</v>
      </c>
      <c r="Q691" s="909">
        <v>2964</v>
      </c>
      <c r="R691" s="910">
        <f t="shared" si="10"/>
        <v>51511</v>
      </c>
      <c r="S691" s="909"/>
      <c r="T691" s="910">
        <v>24903</v>
      </c>
      <c r="U691" s="912">
        <v>3435</v>
      </c>
      <c r="V691" s="912">
        <v>28338</v>
      </c>
    </row>
    <row r="692" spans="1:22" x14ac:dyDescent="0.25">
      <c r="A692" s="906">
        <v>97701</v>
      </c>
      <c r="B692" s="907" t="s">
        <v>3252</v>
      </c>
      <c r="C692" s="908">
        <v>2.5081000000000001E-3</v>
      </c>
      <c r="D692" s="908">
        <v>2.4424999999999998E-3</v>
      </c>
      <c r="E692" s="909">
        <v>1011242</v>
      </c>
      <c r="F692" s="909">
        <v>1096179</v>
      </c>
      <c r="G692" s="909">
        <v>5323028</v>
      </c>
      <c r="H692" s="909"/>
      <c r="I692" s="910">
        <v>100010</v>
      </c>
      <c r="J692" s="910">
        <v>4664670</v>
      </c>
      <c r="K692" s="910">
        <v>364580</v>
      </c>
      <c r="L692" s="909">
        <v>31450</v>
      </c>
      <c r="M692" s="909"/>
      <c r="N692" s="910">
        <v>186525</v>
      </c>
      <c r="O692" s="910">
        <v>1721705</v>
      </c>
      <c r="P692" s="910">
        <v>0</v>
      </c>
      <c r="Q692" s="909">
        <v>17434</v>
      </c>
      <c r="R692" s="910">
        <f t="shared" si="10"/>
        <v>2942965</v>
      </c>
      <c r="S692" s="909"/>
      <c r="T692" s="910">
        <v>1422767</v>
      </c>
      <c r="U692" s="912">
        <v>529</v>
      </c>
      <c r="V692" s="912">
        <v>1423296</v>
      </c>
    </row>
    <row r="693" spans="1:22" x14ac:dyDescent="0.25">
      <c r="A693" s="906">
        <v>97705</v>
      </c>
      <c r="B693" s="907" t="s">
        <v>3253</v>
      </c>
      <c r="C693" s="908">
        <v>6.41E-5</v>
      </c>
      <c r="D693" s="908">
        <v>5.1700000000000003E-5</v>
      </c>
      <c r="E693" s="909">
        <v>21949.45</v>
      </c>
      <c r="F693" s="909">
        <v>23203</v>
      </c>
      <c r="G693" s="909">
        <v>136042</v>
      </c>
      <c r="H693" s="909"/>
      <c r="I693" s="910">
        <v>2556</v>
      </c>
      <c r="J693" s="910">
        <v>119216</v>
      </c>
      <c r="K693" s="910">
        <v>9318</v>
      </c>
      <c r="L693" s="909">
        <v>9600</v>
      </c>
      <c r="M693" s="909"/>
      <c r="N693" s="910">
        <v>4767</v>
      </c>
      <c r="O693" s="910">
        <v>44002</v>
      </c>
      <c r="P693" s="910">
        <v>0</v>
      </c>
      <c r="Q693" s="909">
        <v>3526</v>
      </c>
      <c r="R693" s="910">
        <f t="shared" si="10"/>
        <v>75214</v>
      </c>
      <c r="S693" s="909"/>
      <c r="T693" s="910">
        <v>36362</v>
      </c>
      <c r="U693" s="912">
        <v>2791</v>
      </c>
      <c r="V693" s="912">
        <v>39153</v>
      </c>
    </row>
    <row r="694" spans="1:22" x14ac:dyDescent="0.25">
      <c r="A694" s="906">
        <v>97711</v>
      </c>
      <c r="B694" s="907" t="s">
        <v>3254</v>
      </c>
      <c r="C694" s="908">
        <v>9.3789999999999998E-4</v>
      </c>
      <c r="D694" s="908">
        <v>9.6489999999999998E-4</v>
      </c>
      <c r="E694" s="909">
        <v>373399.85</v>
      </c>
      <c r="F694" s="909">
        <v>433041</v>
      </c>
      <c r="G694" s="909">
        <v>1990538</v>
      </c>
      <c r="H694" s="909"/>
      <c r="I694" s="910">
        <v>37399</v>
      </c>
      <c r="J694" s="910">
        <v>1744346</v>
      </c>
      <c r="K694" s="910">
        <v>136334</v>
      </c>
      <c r="L694" s="909">
        <v>18485</v>
      </c>
      <c r="M694" s="909"/>
      <c r="N694" s="910">
        <v>69751</v>
      </c>
      <c r="O694" s="910">
        <v>643829</v>
      </c>
      <c r="P694" s="910">
        <v>0</v>
      </c>
      <c r="Q694" s="909">
        <v>24399</v>
      </c>
      <c r="R694" s="910">
        <f t="shared" si="10"/>
        <v>1100517</v>
      </c>
      <c r="S694" s="909"/>
      <c r="T694" s="910">
        <v>532042</v>
      </c>
      <c r="U694" s="912">
        <v>2197</v>
      </c>
      <c r="V694" s="912">
        <v>534239</v>
      </c>
    </row>
    <row r="695" spans="1:22" x14ac:dyDescent="0.25">
      <c r="A695" s="906">
        <v>97713</v>
      </c>
      <c r="B695" s="907" t="s">
        <v>3255</v>
      </c>
      <c r="C695" s="908">
        <v>5.3699999999999997E-5</v>
      </c>
      <c r="D695" s="908">
        <v>5.5600000000000003E-5</v>
      </c>
      <c r="E695" s="909">
        <v>17632.46</v>
      </c>
      <c r="F695" s="909">
        <v>24953</v>
      </c>
      <c r="G695" s="909">
        <v>113969</v>
      </c>
      <c r="H695" s="909"/>
      <c r="I695" s="910">
        <v>2141</v>
      </c>
      <c r="J695" s="910">
        <v>99874</v>
      </c>
      <c r="K695" s="910">
        <v>7806</v>
      </c>
      <c r="L695" s="909">
        <v>1862.64</v>
      </c>
      <c r="M695" s="909"/>
      <c r="N695" s="910">
        <v>3994</v>
      </c>
      <c r="O695" s="910">
        <v>36863</v>
      </c>
      <c r="P695" s="910">
        <v>0</v>
      </c>
      <c r="Q695" s="909">
        <v>10607</v>
      </c>
      <c r="R695" s="910">
        <f t="shared" si="10"/>
        <v>63011</v>
      </c>
      <c r="S695" s="909"/>
      <c r="T695" s="910">
        <v>30462</v>
      </c>
      <c r="U695" s="912">
        <v>-2389</v>
      </c>
      <c r="V695" s="912">
        <v>28073</v>
      </c>
    </row>
    <row r="696" spans="1:22" x14ac:dyDescent="0.25">
      <c r="A696" s="906">
        <v>97717</v>
      </c>
      <c r="B696" s="907" t="s">
        <v>3256</v>
      </c>
      <c r="C696" s="908">
        <v>7.5000000000000002E-6</v>
      </c>
      <c r="D696" s="908">
        <v>6.6000000000000003E-6</v>
      </c>
      <c r="E696" s="909">
        <v>4301.63</v>
      </c>
      <c r="F696" s="909">
        <v>2962</v>
      </c>
      <c r="G696" s="909">
        <v>15918</v>
      </c>
      <c r="H696" s="909"/>
      <c r="I696" s="910">
        <v>299.0625</v>
      </c>
      <c r="J696" s="910">
        <v>13949</v>
      </c>
      <c r="K696" s="910">
        <v>1090.2075</v>
      </c>
      <c r="L696" s="909">
        <v>1454</v>
      </c>
      <c r="M696" s="909"/>
      <c r="N696" s="910">
        <v>558</v>
      </c>
      <c r="O696" s="910">
        <v>5148</v>
      </c>
      <c r="P696" s="910">
        <v>0</v>
      </c>
      <c r="Q696" s="909">
        <v>3295</v>
      </c>
      <c r="R696" s="910">
        <f t="shared" si="10"/>
        <v>8801</v>
      </c>
      <c r="S696" s="909"/>
      <c r="T696" s="910">
        <v>4255</v>
      </c>
      <c r="U696" s="912">
        <v>-1145</v>
      </c>
      <c r="V696" s="912">
        <v>3109</v>
      </c>
    </row>
    <row r="697" spans="1:22" x14ac:dyDescent="0.25">
      <c r="A697" s="906">
        <v>97721</v>
      </c>
      <c r="B697" s="907" t="s">
        <v>3257</v>
      </c>
      <c r="C697" s="908">
        <v>5.7249999999999998E-4</v>
      </c>
      <c r="D697" s="908">
        <v>5.2689999999999996E-4</v>
      </c>
      <c r="E697" s="909">
        <v>224528</v>
      </c>
      <c r="F697" s="909">
        <v>236470</v>
      </c>
      <c r="G697" s="909">
        <v>1215037</v>
      </c>
      <c r="H697" s="909"/>
      <c r="I697" s="910">
        <v>22828.4375</v>
      </c>
      <c r="J697" s="910">
        <v>1064760</v>
      </c>
      <c r="K697" s="910">
        <v>83219</v>
      </c>
      <c r="L697" s="909">
        <v>19505</v>
      </c>
      <c r="M697" s="909"/>
      <c r="N697" s="910">
        <v>42576</v>
      </c>
      <c r="O697" s="910">
        <v>392997</v>
      </c>
      <c r="P697" s="910">
        <v>0</v>
      </c>
      <c r="Q697" s="909">
        <v>36721</v>
      </c>
      <c r="R697" s="910">
        <f t="shared" si="10"/>
        <v>671763</v>
      </c>
      <c r="S697" s="909"/>
      <c r="T697" s="910">
        <v>324762</v>
      </c>
      <c r="U697" s="912">
        <v>-7125</v>
      </c>
      <c r="V697" s="912">
        <v>317637</v>
      </c>
    </row>
    <row r="698" spans="1:22" x14ac:dyDescent="0.25">
      <c r="A698" s="906">
        <v>97727</v>
      </c>
      <c r="B698" s="907" t="s">
        <v>3258</v>
      </c>
      <c r="C698" s="908">
        <v>2.37E-5</v>
      </c>
      <c r="D698" s="908">
        <v>2.5299999999999998E-5</v>
      </c>
      <c r="E698" s="909">
        <v>9369</v>
      </c>
      <c r="F698" s="909">
        <v>11354</v>
      </c>
      <c r="G698" s="909">
        <v>50299</v>
      </c>
      <c r="H698" s="909"/>
      <c r="I698" s="910">
        <v>945.03750000000002</v>
      </c>
      <c r="J698" s="910">
        <v>44078</v>
      </c>
      <c r="K698" s="910">
        <v>3445</v>
      </c>
      <c r="L698" s="909">
        <v>0</v>
      </c>
      <c r="M698" s="909"/>
      <c r="N698" s="910">
        <v>1763</v>
      </c>
      <c r="O698" s="910">
        <v>16269</v>
      </c>
      <c r="P698" s="910">
        <v>0</v>
      </c>
      <c r="Q698" s="909">
        <v>3253</v>
      </c>
      <c r="R698" s="910">
        <f t="shared" si="10"/>
        <v>27809</v>
      </c>
      <c r="S698" s="909"/>
      <c r="T698" s="910">
        <v>13444</v>
      </c>
      <c r="U698" s="912">
        <v>-1207</v>
      </c>
      <c r="V698" s="912">
        <v>12237</v>
      </c>
    </row>
    <row r="699" spans="1:22" x14ac:dyDescent="0.25">
      <c r="A699" s="906">
        <v>97731</v>
      </c>
      <c r="B699" s="907" t="s">
        <v>3259</v>
      </c>
      <c r="C699" s="908">
        <v>3.7100000000000001E-5</v>
      </c>
      <c r="D699" s="908">
        <v>3.3599999999999997E-5</v>
      </c>
      <c r="E699" s="909">
        <v>17225.91</v>
      </c>
      <c r="F699" s="909">
        <v>15079</v>
      </c>
      <c r="G699" s="909">
        <v>78739</v>
      </c>
      <c r="H699" s="909"/>
      <c r="I699" s="910">
        <v>1479</v>
      </c>
      <c r="J699" s="910">
        <v>69000</v>
      </c>
      <c r="K699" s="910">
        <v>5393</v>
      </c>
      <c r="L699" s="909">
        <v>8501</v>
      </c>
      <c r="M699" s="909"/>
      <c r="N699" s="910">
        <v>2759</v>
      </c>
      <c r="O699" s="910">
        <v>25468</v>
      </c>
      <c r="P699" s="910">
        <v>0</v>
      </c>
      <c r="Q699" s="909">
        <v>0</v>
      </c>
      <c r="R699" s="910">
        <f t="shared" si="10"/>
        <v>43532</v>
      </c>
      <c r="S699" s="909"/>
      <c r="T699" s="910">
        <v>21046</v>
      </c>
      <c r="U699" s="912">
        <v>2797</v>
      </c>
      <c r="V699" s="912">
        <v>23843</v>
      </c>
    </row>
    <row r="700" spans="1:22" x14ac:dyDescent="0.25">
      <c r="A700" s="906">
        <v>97801</v>
      </c>
      <c r="B700" s="907" t="s">
        <v>3260</v>
      </c>
      <c r="C700" s="908">
        <v>7.3343000000000002E-3</v>
      </c>
      <c r="D700" s="908">
        <v>7.4117999999999996E-3</v>
      </c>
      <c r="E700" s="909">
        <v>2930302</v>
      </c>
      <c r="F700" s="909">
        <v>3326371</v>
      </c>
      <c r="G700" s="909">
        <v>15565842</v>
      </c>
      <c r="H700" s="909"/>
      <c r="I700" s="910">
        <v>292455</v>
      </c>
      <c r="J700" s="910">
        <v>13640639</v>
      </c>
      <c r="K700" s="910">
        <v>1066121</v>
      </c>
      <c r="L700" s="909">
        <v>55808</v>
      </c>
      <c r="M700" s="909"/>
      <c r="N700" s="910">
        <v>545445</v>
      </c>
      <c r="O700" s="910">
        <v>5034689</v>
      </c>
      <c r="P700" s="910">
        <v>0</v>
      </c>
      <c r="Q700" s="909">
        <v>191858</v>
      </c>
      <c r="R700" s="910">
        <f t="shared" si="10"/>
        <v>8605950</v>
      </c>
      <c r="S700" s="909"/>
      <c r="T700" s="910">
        <v>4160521</v>
      </c>
      <c r="U700" s="912">
        <v>-29463</v>
      </c>
      <c r="V700" s="912">
        <v>4131058</v>
      </c>
    </row>
    <row r="701" spans="1:22" x14ac:dyDescent="0.25">
      <c r="A701" s="906">
        <v>97802</v>
      </c>
      <c r="B701" s="907" t="s">
        <v>3261</v>
      </c>
      <c r="C701" s="908">
        <v>1.8120000000000001E-4</v>
      </c>
      <c r="D701" s="908">
        <v>1.8599999999999999E-4</v>
      </c>
      <c r="E701" s="909">
        <v>74111</v>
      </c>
      <c r="F701" s="909">
        <v>83476</v>
      </c>
      <c r="G701" s="909">
        <v>384567</v>
      </c>
      <c r="H701" s="909"/>
      <c r="I701" s="910">
        <v>7225.35</v>
      </c>
      <c r="J701" s="910">
        <v>337003</v>
      </c>
      <c r="K701" s="910">
        <v>26339</v>
      </c>
      <c r="L701" s="909">
        <v>19490</v>
      </c>
      <c r="M701" s="909"/>
      <c r="N701" s="910">
        <v>13476</v>
      </c>
      <c r="O701" s="910">
        <v>124386</v>
      </c>
      <c r="P701" s="910">
        <v>0</v>
      </c>
      <c r="Q701" s="909">
        <v>22046</v>
      </c>
      <c r="R701" s="910">
        <f t="shared" si="10"/>
        <v>212617</v>
      </c>
      <c r="S701" s="909"/>
      <c r="T701" s="910">
        <v>102789</v>
      </c>
      <c r="U701" s="912">
        <v>2255</v>
      </c>
      <c r="V701" s="912">
        <v>105045</v>
      </c>
    </row>
    <row r="702" spans="1:22" x14ac:dyDescent="0.25">
      <c r="A702" s="906">
        <v>97803</v>
      </c>
      <c r="B702" s="907" t="s">
        <v>3262</v>
      </c>
      <c r="C702" s="908">
        <v>7.9099999999999998E-5</v>
      </c>
      <c r="D702" s="908">
        <v>7.6600000000000005E-5</v>
      </c>
      <c r="E702" s="909">
        <v>33622</v>
      </c>
      <c r="F702" s="909">
        <v>34378</v>
      </c>
      <c r="G702" s="909">
        <v>167877</v>
      </c>
      <c r="H702" s="909"/>
      <c r="I702" s="910">
        <v>3154</v>
      </c>
      <c r="J702" s="910">
        <v>147114</v>
      </c>
      <c r="K702" s="910">
        <v>11498</v>
      </c>
      <c r="L702" s="909">
        <v>9364</v>
      </c>
      <c r="M702" s="909"/>
      <c r="N702" s="910">
        <v>5883</v>
      </c>
      <c r="O702" s="910">
        <v>54299</v>
      </c>
      <c r="P702" s="910">
        <v>0</v>
      </c>
      <c r="Q702" s="909">
        <v>2358</v>
      </c>
      <c r="R702" s="910">
        <f t="shared" si="10"/>
        <v>92815</v>
      </c>
      <c r="S702" s="909"/>
      <c r="T702" s="910">
        <v>44871</v>
      </c>
      <c r="U702" s="912">
        <v>3329</v>
      </c>
      <c r="V702" s="912">
        <v>48200</v>
      </c>
    </row>
    <row r="703" spans="1:22" x14ac:dyDescent="0.25">
      <c r="A703" s="906">
        <v>97805</v>
      </c>
      <c r="B703" s="907" t="s">
        <v>3263</v>
      </c>
      <c r="C703" s="908">
        <v>8.2600000000000002E-5</v>
      </c>
      <c r="D703" s="908">
        <v>6.7700000000000006E-5</v>
      </c>
      <c r="E703" s="909">
        <v>34033</v>
      </c>
      <c r="F703" s="909">
        <v>30383</v>
      </c>
      <c r="G703" s="909">
        <v>175305</v>
      </c>
      <c r="H703" s="909"/>
      <c r="I703" s="910">
        <v>3294</v>
      </c>
      <c r="J703" s="910">
        <v>153623</v>
      </c>
      <c r="K703" s="910">
        <v>12007</v>
      </c>
      <c r="L703" s="909">
        <v>13426</v>
      </c>
      <c r="M703" s="909"/>
      <c r="N703" s="910">
        <v>6143</v>
      </c>
      <c r="O703" s="910">
        <v>56701</v>
      </c>
      <c r="P703" s="910">
        <v>0</v>
      </c>
      <c r="Q703" s="909">
        <v>453.72</v>
      </c>
      <c r="R703" s="910">
        <f t="shared" si="10"/>
        <v>96922</v>
      </c>
      <c r="S703" s="909"/>
      <c r="T703" s="910">
        <v>46856</v>
      </c>
      <c r="U703" s="912">
        <v>3757</v>
      </c>
      <c r="V703" s="912">
        <v>50613</v>
      </c>
    </row>
    <row r="704" spans="1:22" x14ac:dyDescent="0.25">
      <c r="A704" s="906">
        <v>97811</v>
      </c>
      <c r="B704" s="907" t="s">
        <v>3264</v>
      </c>
      <c r="C704" s="908">
        <v>2.4088E-3</v>
      </c>
      <c r="D704" s="908">
        <v>2.5788E-3</v>
      </c>
      <c r="E704" s="909">
        <v>950193</v>
      </c>
      <c r="F704" s="909">
        <v>1157350</v>
      </c>
      <c r="G704" s="909">
        <v>5112281</v>
      </c>
      <c r="H704" s="909"/>
      <c r="I704" s="910">
        <v>96050.9</v>
      </c>
      <c r="J704" s="910">
        <v>4479987</v>
      </c>
      <c r="K704" s="910">
        <v>350146</v>
      </c>
      <c r="L704" s="909">
        <v>0</v>
      </c>
      <c r="M704" s="909"/>
      <c r="N704" s="910">
        <v>179140</v>
      </c>
      <c r="O704" s="910">
        <v>1653540</v>
      </c>
      <c r="P704" s="910">
        <v>0</v>
      </c>
      <c r="Q704" s="909">
        <v>235946</v>
      </c>
      <c r="R704" s="910">
        <f t="shared" si="10"/>
        <v>2826447</v>
      </c>
      <c r="S704" s="909"/>
      <c r="T704" s="910">
        <v>1366438</v>
      </c>
      <c r="U704" s="912">
        <v>-72994</v>
      </c>
      <c r="V704" s="912">
        <v>1293444</v>
      </c>
    </row>
    <row r="705" spans="1:22" x14ac:dyDescent="0.25">
      <c r="A705" s="906">
        <v>97817</v>
      </c>
      <c r="B705" s="907" t="s">
        <v>3265</v>
      </c>
      <c r="C705" s="908">
        <v>3.9999999999999998E-6</v>
      </c>
      <c r="D705" s="908">
        <v>7.0999999999999998E-6</v>
      </c>
      <c r="E705" s="909">
        <v>7287</v>
      </c>
      <c r="F705" s="909">
        <v>3186</v>
      </c>
      <c r="G705" s="909">
        <v>8489.34</v>
      </c>
      <c r="H705" s="909"/>
      <c r="I705" s="910">
        <v>159.5</v>
      </c>
      <c r="J705" s="910">
        <v>7439</v>
      </c>
      <c r="K705" s="910">
        <v>581</v>
      </c>
      <c r="L705" s="909">
        <v>4157</v>
      </c>
      <c r="M705" s="909"/>
      <c r="N705" s="910">
        <v>297</v>
      </c>
      <c r="O705" s="910">
        <v>2746</v>
      </c>
      <c r="P705" s="910">
        <v>0</v>
      </c>
      <c r="Q705" s="909">
        <v>3747</v>
      </c>
      <c r="R705" s="910">
        <f t="shared" si="10"/>
        <v>4693</v>
      </c>
      <c r="S705" s="909"/>
      <c r="T705" s="910">
        <v>2269</v>
      </c>
      <c r="U705" s="912">
        <v>78</v>
      </c>
      <c r="V705" s="912">
        <v>2347</v>
      </c>
    </row>
    <row r="706" spans="1:22" x14ac:dyDescent="0.25">
      <c r="A706" s="906">
        <v>97818</v>
      </c>
      <c r="B706" s="907" t="s">
        <v>3266</v>
      </c>
      <c r="C706" s="908">
        <v>2.12E-5</v>
      </c>
      <c r="D706" s="908">
        <v>8.3999999999999992E-6</v>
      </c>
      <c r="E706" s="909">
        <v>8690</v>
      </c>
      <c r="F706" s="909">
        <v>3770</v>
      </c>
      <c r="G706" s="909">
        <v>44994</v>
      </c>
      <c r="H706" s="909"/>
      <c r="I706" s="910">
        <v>845.35</v>
      </c>
      <c r="J706" s="910">
        <v>39429</v>
      </c>
      <c r="K706" s="910">
        <v>3082</v>
      </c>
      <c r="L706" s="909">
        <v>8112</v>
      </c>
      <c r="M706" s="909"/>
      <c r="N706" s="910">
        <v>1577</v>
      </c>
      <c r="O706" s="910">
        <v>14553</v>
      </c>
      <c r="P706" s="910">
        <v>0</v>
      </c>
      <c r="Q706" s="909">
        <v>4294.42</v>
      </c>
      <c r="R706" s="910">
        <f t="shared" si="10"/>
        <v>24876</v>
      </c>
      <c r="S706" s="909"/>
      <c r="T706" s="910">
        <v>12026</v>
      </c>
      <c r="U706" s="912">
        <v>58</v>
      </c>
      <c r="V706" s="912">
        <v>12084</v>
      </c>
    </row>
    <row r="707" spans="1:22" x14ac:dyDescent="0.25">
      <c r="A707" s="906">
        <v>97821</v>
      </c>
      <c r="B707" s="907" t="s">
        <v>3267</v>
      </c>
      <c r="C707" s="908">
        <v>1.1620000000000001E-4</v>
      </c>
      <c r="D707" s="908">
        <v>1.3329999999999999E-4</v>
      </c>
      <c r="E707" s="909">
        <v>52013.57</v>
      </c>
      <c r="F707" s="909">
        <v>59824</v>
      </c>
      <c r="G707" s="909">
        <v>246615</v>
      </c>
      <c r="H707" s="909"/>
      <c r="I707" s="910">
        <v>4633</v>
      </c>
      <c r="J707" s="910">
        <v>216114</v>
      </c>
      <c r="K707" s="910">
        <v>16891</v>
      </c>
      <c r="L707" s="909">
        <v>0</v>
      </c>
      <c r="M707" s="909"/>
      <c r="N707" s="910">
        <v>8642</v>
      </c>
      <c r="O707" s="910">
        <v>79766</v>
      </c>
      <c r="P707" s="910">
        <v>0</v>
      </c>
      <c r="Q707" s="909">
        <v>26909</v>
      </c>
      <c r="R707" s="910">
        <f t="shared" si="10"/>
        <v>136348</v>
      </c>
      <c r="S707" s="909"/>
      <c r="T707" s="910">
        <v>65917</v>
      </c>
      <c r="U707" s="912">
        <v>-10681</v>
      </c>
      <c r="V707" s="912">
        <v>55236</v>
      </c>
    </row>
    <row r="708" spans="1:22" x14ac:dyDescent="0.25">
      <c r="A708" s="906">
        <v>97823</v>
      </c>
      <c r="B708" s="907" t="s">
        <v>3268</v>
      </c>
      <c r="C708" s="908">
        <v>2.4600000000000002E-5</v>
      </c>
      <c r="D708" s="908">
        <v>2.58E-5</v>
      </c>
      <c r="E708" s="909">
        <v>11852</v>
      </c>
      <c r="F708" s="909">
        <v>11579</v>
      </c>
      <c r="G708" s="909">
        <v>52209</v>
      </c>
      <c r="H708" s="909"/>
      <c r="I708" s="910">
        <v>981</v>
      </c>
      <c r="J708" s="910">
        <v>45752</v>
      </c>
      <c r="K708" s="910">
        <v>3576</v>
      </c>
      <c r="L708" s="909">
        <v>926</v>
      </c>
      <c r="M708" s="909"/>
      <c r="N708" s="910">
        <v>1829</v>
      </c>
      <c r="O708" s="910">
        <v>16887</v>
      </c>
      <c r="P708" s="910">
        <v>0</v>
      </c>
      <c r="Q708" s="909">
        <v>1188</v>
      </c>
      <c r="R708" s="910">
        <f t="shared" si="10"/>
        <v>28865</v>
      </c>
      <c r="S708" s="909"/>
      <c r="T708" s="910">
        <v>13955</v>
      </c>
      <c r="U708" s="912">
        <v>-338</v>
      </c>
      <c r="V708" s="912">
        <v>13616</v>
      </c>
    </row>
    <row r="709" spans="1:22" x14ac:dyDescent="0.25">
      <c r="A709" s="906">
        <v>97831</v>
      </c>
      <c r="B709" s="907" t="s">
        <v>3269</v>
      </c>
      <c r="C709" s="908">
        <v>1.482E-4</v>
      </c>
      <c r="D709" s="908">
        <v>1.5860000000000001E-4</v>
      </c>
      <c r="E709" s="909">
        <v>66463</v>
      </c>
      <c r="F709" s="909">
        <v>71179</v>
      </c>
      <c r="G709" s="909">
        <v>314530</v>
      </c>
      <c r="H709" s="909"/>
      <c r="I709" s="910">
        <v>5909</v>
      </c>
      <c r="J709" s="910">
        <v>275629</v>
      </c>
      <c r="K709" s="910">
        <v>21543</v>
      </c>
      <c r="L709" s="909">
        <v>0</v>
      </c>
      <c r="M709" s="909"/>
      <c r="N709" s="910">
        <v>11021</v>
      </c>
      <c r="O709" s="910">
        <v>101733</v>
      </c>
      <c r="P709" s="910">
        <v>0</v>
      </c>
      <c r="Q709" s="909">
        <v>14308</v>
      </c>
      <c r="R709" s="910">
        <f t="shared" si="10"/>
        <v>173896</v>
      </c>
      <c r="S709" s="909"/>
      <c r="T709" s="910">
        <v>84069</v>
      </c>
      <c r="U709" s="912">
        <v>-5891</v>
      </c>
      <c r="V709" s="912">
        <v>78179</v>
      </c>
    </row>
    <row r="710" spans="1:22" x14ac:dyDescent="0.25">
      <c r="A710" s="906">
        <v>97837</v>
      </c>
      <c r="B710" s="907" t="s">
        <v>3270</v>
      </c>
      <c r="C710" s="908">
        <v>8.8000000000000004E-6</v>
      </c>
      <c r="D710" s="908">
        <v>1.3699999999999999E-5</v>
      </c>
      <c r="E710" s="909">
        <v>6597.01</v>
      </c>
      <c r="F710" s="909">
        <v>6148</v>
      </c>
      <c r="G710" s="909">
        <v>18677</v>
      </c>
      <c r="H710" s="909"/>
      <c r="I710" s="910">
        <v>351</v>
      </c>
      <c r="J710" s="910">
        <v>16367</v>
      </c>
      <c r="K710" s="910">
        <v>1279</v>
      </c>
      <c r="L710" s="909">
        <v>2093</v>
      </c>
      <c r="M710" s="909"/>
      <c r="N710" s="910">
        <v>654</v>
      </c>
      <c r="O710" s="910">
        <v>6041</v>
      </c>
      <c r="P710" s="910">
        <v>0</v>
      </c>
      <c r="Q710" s="909">
        <v>289</v>
      </c>
      <c r="R710" s="910">
        <f t="shared" si="10"/>
        <v>10326</v>
      </c>
      <c r="S710" s="909"/>
      <c r="T710" s="910">
        <v>4992</v>
      </c>
      <c r="U710" s="912">
        <v>751</v>
      </c>
      <c r="V710" s="912">
        <v>5743</v>
      </c>
    </row>
    <row r="711" spans="1:22" x14ac:dyDescent="0.25">
      <c r="A711" s="906">
        <v>97840</v>
      </c>
      <c r="B711" s="907" t="s">
        <v>3271</v>
      </c>
      <c r="C711" s="908">
        <v>1.403E-4</v>
      </c>
      <c r="D711" s="908">
        <v>1.4799999999999999E-4</v>
      </c>
      <c r="E711" s="909">
        <v>98734.69</v>
      </c>
      <c r="F711" s="909">
        <v>66422</v>
      </c>
      <c r="G711" s="909">
        <v>297764</v>
      </c>
      <c r="H711" s="909"/>
      <c r="I711" s="910">
        <v>5594</v>
      </c>
      <c r="J711" s="910">
        <v>260936</v>
      </c>
      <c r="K711" s="910">
        <v>20394</v>
      </c>
      <c r="L711" s="909">
        <v>64083</v>
      </c>
      <c r="M711" s="909"/>
      <c r="N711" s="910">
        <v>10434</v>
      </c>
      <c r="O711" s="910">
        <v>96310</v>
      </c>
      <c r="P711" s="910">
        <v>0</v>
      </c>
      <c r="Q711" s="909">
        <v>1938</v>
      </c>
      <c r="R711" s="910">
        <f t="shared" ref="R711:R774" si="11">IF(J711&gt;O711,J711-O711,O711-J711)</f>
        <v>164626</v>
      </c>
      <c r="S711" s="909"/>
      <c r="T711" s="910">
        <v>79588</v>
      </c>
      <c r="U711" s="912">
        <v>19035</v>
      </c>
      <c r="V711" s="912">
        <v>98623</v>
      </c>
    </row>
    <row r="712" spans="1:22" x14ac:dyDescent="0.25">
      <c r="A712" s="906">
        <v>97841</v>
      </c>
      <c r="B712" s="907" t="s">
        <v>3272</v>
      </c>
      <c r="C712" s="908">
        <v>1.45E-5</v>
      </c>
      <c r="D712" s="908">
        <v>1.5699999999999999E-5</v>
      </c>
      <c r="E712" s="909">
        <v>6090.83</v>
      </c>
      <c r="F712" s="909">
        <v>7046</v>
      </c>
      <c r="G712" s="909">
        <v>30774</v>
      </c>
      <c r="H712" s="909"/>
      <c r="I712" s="910">
        <v>578.1875</v>
      </c>
      <c r="J712" s="910">
        <v>26968</v>
      </c>
      <c r="K712" s="910">
        <v>2108</v>
      </c>
      <c r="L712" s="909">
        <v>636</v>
      </c>
      <c r="M712" s="909"/>
      <c r="N712" s="910">
        <v>1078</v>
      </c>
      <c r="O712" s="910">
        <v>9954</v>
      </c>
      <c r="P712" s="910">
        <v>0</v>
      </c>
      <c r="Q712" s="909">
        <v>8091</v>
      </c>
      <c r="R712" s="910">
        <f t="shared" si="11"/>
        <v>17014</v>
      </c>
      <c r="S712" s="909"/>
      <c r="T712" s="910">
        <v>8225</v>
      </c>
      <c r="U712" s="912">
        <v>-3707</v>
      </c>
      <c r="V712" s="912">
        <v>4519</v>
      </c>
    </row>
    <row r="713" spans="1:22" x14ac:dyDescent="0.25">
      <c r="A713" s="906">
        <v>97847</v>
      </c>
      <c r="B713" s="907" t="s">
        <v>3273</v>
      </c>
      <c r="C713" s="908">
        <v>2.2000000000000001E-6</v>
      </c>
      <c r="D713" s="908">
        <v>2.7E-6</v>
      </c>
      <c r="E713" s="909">
        <v>1834</v>
      </c>
      <c r="F713" s="909">
        <v>1212</v>
      </c>
      <c r="G713" s="909">
        <v>4669</v>
      </c>
      <c r="H713" s="909"/>
      <c r="I713" s="910">
        <v>88</v>
      </c>
      <c r="J713" s="910">
        <v>4092</v>
      </c>
      <c r="K713" s="910">
        <v>320</v>
      </c>
      <c r="L713" s="909">
        <v>650</v>
      </c>
      <c r="M713" s="909"/>
      <c r="N713" s="910">
        <v>164</v>
      </c>
      <c r="O713" s="910">
        <v>1510</v>
      </c>
      <c r="P713" s="910">
        <v>0</v>
      </c>
      <c r="Q713" s="909">
        <v>145</v>
      </c>
      <c r="R713" s="910">
        <f t="shared" si="11"/>
        <v>2582</v>
      </c>
      <c r="S713" s="909"/>
      <c r="T713" s="910">
        <v>1248</v>
      </c>
      <c r="U713" s="912">
        <v>113</v>
      </c>
      <c r="V713" s="912">
        <v>1361</v>
      </c>
    </row>
    <row r="714" spans="1:22" x14ac:dyDescent="0.25">
      <c r="A714" s="906">
        <v>97851</v>
      </c>
      <c r="B714" s="907" t="s">
        <v>3274</v>
      </c>
      <c r="C714" s="908">
        <v>2.7460000000000001E-4</v>
      </c>
      <c r="D714" s="908">
        <v>2.7E-4</v>
      </c>
      <c r="E714" s="909">
        <v>101247</v>
      </c>
      <c r="F714" s="909">
        <v>121174.38</v>
      </c>
      <c r="G714" s="909">
        <v>582793</v>
      </c>
      <c r="H714" s="909"/>
      <c r="I714" s="910">
        <v>10950</v>
      </c>
      <c r="J714" s="910">
        <v>510713</v>
      </c>
      <c r="K714" s="910">
        <v>39916</v>
      </c>
      <c r="L714" s="909">
        <v>2911</v>
      </c>
      <c r="M714" s="909"/>
      <c r="N714" s="910">
        <v>20422</v>
      </c>
      <c r="O714" s="910">
        <v>188501</v>
      </c>
      <c r="P714" s="910">
        <v>0</v>
      </c>
      <c r="Q714" s="909">
        <v>8317</v>
      </c>
      <c r="R714" s="910">
        <f t="shared" si="11"/>
        <v>322212</v>
      </c>
      <c r="S714" s="909"/>
      <c r="T714" s="910">
        <v>155772</v>
      </c>
      <c r="U714" s="912">
        <v>-838</v>
      </c>
      <c r="V714" s="912">
        <v>154934</v>
      </c>
    </row>
    <row r="715" spans="1:22" x14ac:dyDescent="0.25">
      <c r="A715" s="906">
        <v>97853</v>
      </c>
      <c r="B715" s="907" t="s">
        <v>3275</v>
      </c>
      <c r="C715" s="908">
        <v>9.1600000000000004E-5</v>
      </c>
      <c r="D715" s="908">
        <v>1.114E-4</v>
      </c>
      <c r="E715" s="909">
        <v>34607</v>
      </c>
      <c r="F715" s="909">
        <v>49996</v>
      </c>
      <c r="G715" s="909">
        <v>194406</v>
      </c>
      <c r="H715" s="909"/>
      <c r="I715" s="910">
        <v>3652.55</v>
      </c>
      <c r="J715" s="910">
        <v>170362</v>
      </c>
      <c r="K715" s="910">
        <v>13315</v>
      </c>
      <c r="L715" s="909">
        <v>6323</v>
      </c>
      <c r="M715" s="909"/>
      <c r="N715" s="910">
        <v>6812</v>
      </c>
      <c r="O715" s="910">
        <v>62880</v>
      </c>
      <c r="P715" s="910">
        <v>0</v>
      </c>
      <c r="Q715" s="909">
        <v>13159</v>
      </c>
      <c r="R715" s="910">
        <f t="shared" si="11"/>
        <v>107482</v>
      </c>
      <c r="S715" s="909"/>
      <c r="T715" s="910">
        <v>51962</v>
      </c>
      <c r="U715" s="912">
        <v>-826</v>
      </c>
      <c r="V715" s="912">
        <v>51136</v>
      </c>
    </row>
    <row r="716" spans="1:22" x14ac:dyDescent="0.25">
      <c r="A716" s="906">
        <v>97861</v>
      </c>
      <c r="B716" s="907" t="s">
        <v>3276</v>
      </c>
      <c r="C716" s="908">
        <v>6.8499999999999998E-5</v>
      </c>
      <c r="D716" s="908">
        <v>6.6799999999999997E-5</v>
      </c>
      <c r="E716" s="909">
        <v>25466</v>
      </c>
      <c r="F716" s="909">
        <v>29979</v>
      </c>
      <c r="G716" s="909">
        <v>145380</v>
      </c>
      <c r="H716" s="909"/>
      <c r="I716" s="910">
        <v>2731.4375</v>
      </c>
      <c r="J716" s="910">
        <v>127399</v>
      </c>
      <c r="K716" s="910">
        <v>9957</v>
      </c>
      <c r="L716" s="909">
        <v>2745</v>
      </c>
      <c r="M716" s="909"/>
      <c r="N716" s="910">
        <v>5094</v>
      </c>
      <c r="O716" s="910">
        <v>47022</v>
      </c>
      <c r="P716" s="910">
        <v>0</v>
      </c>
      <c r="Q716" s="909">
        <v>8154</v>
      </c>
      <c r="R716" s="910">
        <f t="shared" si="11"/>
        <v>80377</v>
      </c>
      <c r="S716" s="909"/>
      <c r="T716" s="910">
        <v>38858</v>
      </c>
      <c r="U716" s="912">
        <v>-2826</v>
      </c>
      <c r="V716" s="912">
        <v>36032</v>
      </c>
    </row>
    <row r="717" spans="1:22" x14ac:dyDescent="0.25">
      <c r="A717" s="906">
        <v>97871</v>
      </c>
      <c r="B717" s="907" t="s">
        <v>3277</v>
      </c>
      <c r="C717" s="908">
        <v>3.1500000000000001E-4</v>
      </c>
      <c r="D717" s="908">
        <v>3.1530000000000002E-4</v>
      </c>
      <c r="E717" s="909">
        <v>247766</v>
      </c>
      <c r="F717" s="909">
        <v>141505</v>
      </c>
      <c r="G717" s="909">
        <v>668536</v>
      </c>
      <c r="H717" s="909"/>
      <c r="I717" s="910">
        <v>12560.625</v>
      </c>
      <c r="J717" s="910">
        <v>585850.23</v>
      </c>
      <c r="K717" s="910">
        <v>45789</v>
      </c>
      <c r="L717" s="909">
        <v>173467</v>
      </c>
      <c r="M717" s="909"/>
      <c r="N717" s="910">
        <v>23426</v>
      </c>
      <c r="O717" s="910">
        <v>216234</v>
      </c>
      <c r="P717" s="910">
        <v>0</v>
      </c>
      <c r="Q717" s="909">
        <v>0</v>
      </c>
      <c r="R717" s="910">
        <f t="shared" si="11"/>
        <v>369616</v>
      </c>
      <c r="S717" s="909"/>
      <c r="T717" s="910">
        <v>178690</v>
      </c>
      <c r="U717" s="912">
        <v>54798</v>
      </c>
      <c r="V717" s="912">
        <v>233488</v>
      </c>
    </row>
    <row r="718" spans="1:22" x14ac:dyDescent="0.25">
      <c r="A718" s="906">
        <v>97877</v>
      </c>
      <c r="B718" s="907" t="s">
        <v>3278</v>
      </c>
      <c r="C718" s="908">
        <v>2.2000000000000001E-6</v>
      </c>
      <c r="D718" s="908">
        <v>2.6000000000000001E-6</v>
      </c>
      <c r="E718" s="909">
        <v>1917</v>
      </c>
      <c r="F718" s="909">
        <v>1167</v>
      </c>
      <c r="G718" s="909">
        <v>4669</v>
      </c>
      <c r="H718" s="909"/>
      <c r="I718" s="910">
        <v>88</v>
      </c>
      <c r="J718" s="910">
        <v>4092</v>
      </c>
      <c r="K718" s="910">
        <v>320</v>
      </c>
      <c r="L718" s="909">
        <v>1306</v>
      </c>
      <c r="M718" s="909"/>
      <c r="N718" s="910">
        <v>164</v>
      </c>
      <c r="O718" s="910">
        <v>1510</v>
      </c>
      <c r="P718" s="910">
        <v>0</v>
      </c>
      <c r="Q718" s="909">
        <v>0</v>
      </c>
      <c r="R718" s="910">
        <f t="shared" si="11"/>
        <v>2582</v>
      </c>
      <c r="S718" s="909"/>
      <c r="T718" s="910">
        <v>1248</v>
      </c>
      <c r="U718" s="912">
        <v>452</v>
      </c>
      <c r="V718" s="912">
        <v>1700</v>
      </c>
    </row>
    <row r="719" spans="1:22" x14ac:dyDescent="0.25">
      <c r="A719" s="906">
        <v>97901</v>
      </c>
      <c r="B719" s="907" t="s">
        <v>3279</v>
      </c>
      <c r="C719" s="908">
        <v>4.3616999999999996E-3</v>
      </c>
      <c r="D719" s="908">
        <v>4.2928000000000003E-3</v>
      </c>
      <c r="E719" s="909">
        <v>1721465.11</v>
      </c>
      <c r="F719" s="909">
        <v>1926583</v>
      </c>
      <c r="G719" s="909">
        <v>9256989</v>
      </c>
      <c r="H719" s="909"/>
      <c r="I719" s="910">
        <v>173923</v>
      </c>
      <c r="J719" s="910">
        <v>8112073</v>
      </c>
      <c r="K719" s="910">
        <v>634021</v>
      </c>
      <c r="L719" s="909">
        <v>76379</v>
      </c>
      <c r="M719" s="909"/>
      <c r="N719" s="910">
        <v>324375</v>
      </c>
      <c r="O719" s="910">
        <v>2994124</v>
      </c>
      <c r="P719" s="910">
        <v>0</v>
      </c>
      <c r="Q719" s="909">
        <v>20062</v>
      </c>
      <c r="R719" s="910">
        <f t="shared" si="11"/>
        <v>5117949</v>
      </c>
      <c r="S719" s="909"/>
      <c r="T719" s="910">
        <v>2474257</v>
      </c>
      <c r="U719" s="912">
        <v>24654</v>
      </c>
      <c r="V719" s="912">
        <v>2498911</v>
      </c>
    </row>
    <row r="720" spans="1:22" x14ac:dyDescent="0.25">
      <c r="A720" s="906">
        <v>97911</v>
      </c>
      <c r="B720" s="907" t="s">
        <v>3280</v>
      </c>
      <c r="C720" s="908">
        <v>1.3190000000000001E-3</v>
      </c>
      <c r="D720" s="908">
        <v>1.4008E-3</v>
      </c>
      <c r="E720" s="909">
        <v>549902</v>
      </c>
      <c r="F720" s="909">
        <v>628671</v>
      </c>
      <c r="G720" s="909">
        <v>2799360</v>
      </c>
      <c r="H720" s="909"/>
      <c r="I720" s="910">
        <v>52595.125</v>
      </c>
      <c r="J720" s="910">
        <v>2453132</v>
      </c>
      <c r="K720" s="910">
        <v>191731</v>
      </c>
      <c r="L720" s="909">
        <v>50935</v>
      </c>
      <c r="M720" s="909"/>
      <c r="N720" s="910">
        <v>98093</v>
      </c>
      <c r="O720" s="910">
        <v>905438</v>
      </c>
      <c r="P720" s="910">
        <v>0</v>
      </c>
      <c r="Q720" s="909">
        <v>38377</v>
      </c>
      <c r="R720" s="910">
        <f t="shared" si="11"/>
        <v>1547694</v>
      </c>
      <c r="S720" s="909"/>
      <c r="T720" s="910">
        <v>748228</v>
      </c>
      <c r="U720" s="912">
        <v>10404</v>
      </c>
      <c r="V720" s="912">
        <v>758632</v>
      </c>
    </row>
    <row r="721" spans="1:22" x14ac:dyDescent="0.25">
      <c r="A721" s="906">
        <v>97913</v>
      </c>
      <c r="B721" s="907" t="s">
        <v>3281</v>
      </c>
      <c r="C721" s="908">
        <v>3.7400000000000001E-5</v>
      </c>
      <c r="D721" s="908">
        <v>3.7700000000000002E-5</v>
      </c>
      <c r="E721" s="909">
        <v>23994.67</v>
      </c>
      <c r="F721" s="909">
        <v>16920</v>
      </c>
      <c r="G721" s="909">
        <v>79375</v>
      </c>
      <c r="H721" s="909"/>
      <c r="I721" s="910">
        <v>1491.325</v>
      </c>
      <c r="J721" s="910">
        <v>69558</v>
      </c>
      <c r="K721" s="910">
        <v>5437</v>
      </c>
      <c r="L721" s="909">
        <v>11163</v>
      </c>
      <c r="M721" s="909"/>
      <c r="N721" s="910">
        <v>2781</v>
      </c>
      <c r="O721" s="910">
        <v>25674</v>
      </c>
      <c r="P721" s="910">
        <v>0</v>
      </c>
      <c r="Q721" s="909">
        <v>0</v>
      </c>
      <c r="R721" s="910">
        <f t="shared" si="11"/>
        <v>43884</v>
      </c>
      <c r="S721" s="909"/>
      <c r="T721" s="910">
        <v>21216</v>
      </c>
      <c r="U721" s="912">
        <v>3404</v>
      </c>
      <c r="V721" s="912">
        <v>24620</v>
      </c>
    </row>
    <row r="722" spans="1:22" x14ac:dyDescent="0.25">
      <c r="A722" s="906">
        <v>97917</v>
      </c>
      <c r="B722" s="907" t="s">
        <v>3282</v>
      </c>
      <c r="C722" s="908">
        <v>1.98E-5</v>
      </c>
      <c r="D722" s="908">
        <v>2.0599999999999999E-5</v>
      </c>
      <c r="E722" s="909">
        <v>11950</v>
      </c>
      <c r="F722" s="909">
        <v>9245</v>
      </c>
      <c r="G722" s="909">
        <v>42022</v>
      </c>
      <c r="H722" s="909"/>
      <c r="I722" s="910">
        <v>789.52499999999998</v>
      </c>
      <c r="J722" s="910">
        <v>36825</v>
      </c>
      <c r="K722" s="910">
        <v>2878</v>
      </c>
      <c r="L722" s="909">
        <v>6195</v>
      </c>
      <c r="M722" s="909"/>
      <c r="N722" s="910">
        <v>1473</v>
      </c>
      <c r="O722" s="910">
        <v>13592</v>
      </c>
      <c r="P722" s="910">
        <v>0</v>
      </c>
      <c r="Q722" s="909">
        <v>0</v>
      </c>
      <c r="R722" s="910">
        <f t="shared" si="11"/>
        <v>23233</v>
      </c>
      <c r="S722" s="909"/>
      <c r="T722" s="910">
        <v>11232</v>
      </c>
      <c r="U722" s="912">
        <v>2211</v>
      </c>
      <c r="V722" s="912">
        <v>13443</v>
      </c>
    </row>
    <row r="723" spans="1:22" x14ac:dyDescent="0.25">
      <c r="A723" s="906">
        <v>97921</v>
      </c>
      <c r="B723" s="907" t="s">
        <v>3283</v>
      </c>
      <c r="C723" s="908">
        <v>2.2169999999999999E-4</v>
      </c>
      <c r="D723" s="908">
        <v>2.3599999999999999E-4</v>
      </c>
      <c r="E723" s="909">
        <v>93980.13</v>
      </c>
      <c r="F723" s="909">
        <v>105915</v>
      </c>
      <c r="G723" s="909">
        <v>470522</v>
      </c>
      <c r="H723" s="909"/>
      <c r="I723" s="910">
        <v>8840</v>
      </c>
      <c r="J723" s="910">
        <v>412327</v>
      </c>
      <c r="K723" s="910">
        <v>32227</v>
      </c>
      <c r="L723" s="909">
        <v>17914</v>
      </c>
      <c r="M723" s="909"/>
      <c r="N723" s="910">
        <v>16488</v>
      </c>
      <c r="O723" s="910">
        <v>152188</v>
      </c>
      <c r="P723" s="910">
        <v>0</v>
      </c>
      <c r="Q723" s="909">
        <v>8707</v>
      </c>
      <c r="R723" s="910">
        <f t="shared" si="11"/>
        <v>260139</v>
      </c>
      <c r="S723" s="909"/>
      <c r="T723" s="910">
        <v>125764</v>
      </c>
      <c r="U723" s="912">
        <v>3320</v>
      </c>
      <c r="V723" s="912">
        <v>129084</v>
      </c>
    </row>
    <row r="724" spans="1:22" x14ac:dyDescent="0.25">
      <c r="A724" s="906">
        <v>97931</v>
      </c>
      <c r="B724" s="907" t="s">
        <v>3284</v>
      </c>
      <c r="C724" s="908">
        <v>6.1600000000000007E-5</v>
      </c>
      <c r="D724" s="908">
        <v>6.7999999999999999E-5</v>
      </c>
      <c r="E724" s="909">
        <v>26190.6</v>
      </c>
      <c r="F724" s="909">
        <v>30518</v>
      </c>
      <c r="G724" s="909">
        <v>130736</v>
      </c>
      <c r="H724" s="909"/>
      <c r="I724" s="910">
        <v>2456</v>
      </c>
      <c r="J724" s="910">
        <v>114566</v>
      </c>
      <c r="K724" s="910">
        <v>8954</v>
      </c>
      <c r="L724" s="909">
        <v>19564</v>
      </c>
      <c r="M724" s="909"/>
      <c r="N724" s="910">
        <v>4581</v>
      </c>
      <c r="O724" s="910">
        <v>42286</v>
      </c>
      <c r="P724" s="910">
        <v>0</v>
      </c>
      <c r="Q724" s="909">
        <v>13697</v>
      </c>
      <c r="R724" s="910">
        <f t="shared" si="11"/>
        <v>72280</v>
      </c>
      <c r="S724" s="909"/>
      <c r="T724" s="910">
        <v>34944</v>
      </c>
      <c r="U724" s="912">
        <v>733</v>
      </c>
      <c r="V724" s="912">
        <v>35677</v>
      </c>
    </row>
    <row r="725" spans="1:22" x14ac:dyDescent="0.25">
      <c r="A725" s="906">
        <v>97941</v>
      </c>
      <c r="B725" s="907" t="s">
        <v>3285</v>
      </c>
      <c r="C725" s="908">
        <v>2.3330000000000001E-4</v>
      </c>
      <c r="D725" s="908">
        <v>2.3120000000000001E-4</v>
      </c>
      <c r="E725" s="909">
        <v>99201.06</v>
      </c>
      <c r="F725" s="909">
        <v>103761</v>
      </c>
      <c r="G725" s="909">
        <v>495141</v>
      </c>
      <c r="H725" s="909"/>
      <c r="I725" s="910">
        <v>9303</v>
      </c>
      <c r="J725" s="910">
        <v>433901</v>
      </c>
      <c r="K725" s="910">
        <v>33913</v>
      </c>
      <c r="L725" s="909">
        <v>27337</v>
      </c>
      <c r="M725" s="909"/>
      <c r="N725" s="910">
        <v>17350</v>
      </c>
      <c r="O725" s="910">
        <v>160151</v>
      </c>
      <c r="P725" s="910">
        <v>0</v>
      </c>
      <c r="Q725" s="909">
        <v>299</v>
      </c>
      <c r="R725" s="910">
        <f t="shared" si="11"/>
        <v>273750</v>
      </c>
      <c r="S725" s="909"/>
      <c r="T725" s="910">
        <v>132344</v>
      </c>
      <c r="U725" s="912">
        <v>9188</v>
      </c>
      <c r="V725" s="912">
        <v>141532</v>
      </c>
    </row>
    <row r="726" spans="1:22" x14ac:dyDescent="0.25">
      <c r="A726" s="906">
        <v>97947</v>
      </c>
      <c r="B726" s="907" t="s">
        <v>3286</v>
      </c>
      <c r="C726" s="908">
        <v>1.5500000000000001E-5</v>
      </c>
      <c r="D726" s="908">
        <v>1.1199999999999999E-5</v>
      </c>
      <c r="E726" s="909">
        <v>11155</v>
      </c>
      <c r="F726" s="909">
        <v>5026</v>
      </c>
      <c r="G726" s="909">
        <v>32896</v>
      </c>
      <c r="H726" s="909"/>
      <c r="I726" s="910">
        <v>618.0625</v>
      </c>
      <c r="J726" s="910">
        <v>28828</v>
      </c>
      <c r="K726" s="910">
        <v>2253</v>
      </c>
      <c r="L726" s="909">
        <v>9195</v>
      </c>
      <c r="M726" s="909"/>
      <c r="N726" s="910">
        <v>1153</v>
      </c>
      <c r="O726" s="910">
        <v>10640</v>
      </c>
      <c r="P726" s="910">
        <v>0</v>
      </c>
      <c r="Q726" s="909">
        <v>615</v>
      </c>
      <c r="R726" s="910">
        <f t="shared" si="11"/>
        <v>18188</v>
      </c>
      <c r="S726" s="909"/>
      <c r="T726" s="910">
        <v>8793</v>
      </c>
      <c r="U726" s="912">
        <v>2366</v>
      </c>
      <c r="V726" s="912">
        <v>11159</v>
      </c>
    </row>
    <row r="727" spans="1:22" x14ac:dyDescent="0.25">
      <c r="A727" s="906">
        <v>97948</v>
      </c>
      <c r="B727" s="907" t="s">
        <v>3287</v>
      </c>
      <c r="C727" s="908">
        <v>3.5200000000000002E-5</v>
      </c>
      <c r="D727" s="908">
        <v>3.43E-5</v>
      </c>
      <c r="E727" s="909">
        <v>13688</v>
      </c>
      <c r="F727" s="909">
        <v>15394</v>
      </c>
      <c r="G727" s="909">
        <v>74706</v>
      </c>
      <c r="H727" s="909"/>
      <c r="I727" s="910">
        <v>1404</v>
      </c>
      <c r="J727" s="910">
        <v>65466</v>
      </c>
      <c r="K727" s="910">
        <v>5117</v>
      </c>
      <c r="L727" s="909">
        <v>3029</v>
      </c>
      <c r="M727" s="909"/>
      <c r="N727" s="910">
        <v>2618</v>
      </c>
      <c r="O727" s="910">
        <v>24163</v>
      </c>
      <c r="P727" s="910">
        <v>0</v>
      </c>
      <c r="Q727" s="909">
        <v>138</v>
      </c>
      <c r="R727" s="910">
        <f t="shared" si="11"/>
        <v>41303</v>
      </c>
      <c r="S727" s="909"/>
      <c r="T727" s="910">
        <v>19968</v>
      </c>
      <c r="U727" s="912">
        <v>1084</v>
      </c>
      <c r="V727" s="912">
        <v>21052</v>
      </c>
    </row>
    <row r="728" spans="1:22" x14ac:dyDescent="0.25">
      <c r="A728" s="906">
        <v>97951</v>
      </c>
      <c r="B728" s="907" t="s">
        <v>3288</v>
      </c>
      <c r="C728" s="908">
        <v>1.2497000000000001E-3</v>
      </c>
      <c r="D728" s="908">
        <v>1.2842000000000001E-3</v>
      </c>
      <c r="E728" s="909">
        <v>544314.75</v>
      </c>
      <c r="F728" s="909">
        <v>576341</v>
      </c>
      <c r="G728" s="909">
        <v>2652282</v>
      </c>
      <c r="H728" s="909"/>
      <c r="I728" s="910">
        <v>49832</v>
      </c>
      <c r="J728" s="910">
        <v>2324245</v>
      </c>
      <c r="K728" s="910">
        <v>181658</v>
      </c>
      <c r="L728" s="909">
        <v>21304</v>
      </c>
      <c r="M728" s="909"/>
      <c r="N728" s="910">
        <v>92939</v>
      </c>
      <c r="O728" s="910">
        <v>857867</v>
      </c>
      <c r="P728" s="910">
        <v>0</v>
      </c>
      <c r="Q728" s="909">
        <v>14204.62</v>
      </c>
      <c r="R728" s="910">
        <f t="shared" si="11"/>
        <v>1466378</v>
      </c>
      <c r="S728" s="909"/>
      <c r="T728" s="910">
        <v>708916</v>
      </c>
      <c r="U728" s="912">
        <v>-103</v>
      </c>
      <c r="V728" s="912">
        <v>708813</v>
      </c>
    </row>
    <row r="729" spans="1:22" x14ac:dyDescent="0.25">
      <c r="A729" s="906">
        <v>97957</v>
      </c>
      <c r="B729" s="907" t="s">
        <v>3289</v>
      </c>
      <c r="C729" s="908">
        <v>1.9599999999999999E-5</v>
      </c>
      <c r="D729" s="908">
        <v>1.9899999999999999E-5</v>
      </c>
      <c r="E729" s="909">
        <v>11054</v>
      </c>
      <c r="F729" s="909">
        <v>8931</v>
      </c>
      <c r="G729" s="909">
        <v>41598</v>
      </c>
      <c r="H729" s="909"/>
      <c r="I729" s="910">
        <v>781.55</v>
      </c>
      <c r="J729" s="910">
        <v>36453</v>
      </c>
      <c r="K729" s="910">
        <v>2849</v>
      </c>
      <c r="L729" s="909">
        <v>2215</v>
      </c>
      <c r="M729" s="909"/>
      <c r="N729" s="910">
        <v>1458</v>
      </c>
      <c r="O729" s="910">
        <v>13455</v>
      </c>
      <c r="P729" s="910">
        <v>0</v>
      </c>
      <c r="Q729" s="909">
        <v>1781</v>
      </c>
      <c r="R729" s="910">
        <f t="shared" si="11"/>
        <v>22998</v>
      </c>
      <c r="S729" s="909"/>
      <c r="T729" s="910">
        <v>11118</v>
      </c>
      <c r="U729" s="912">
        <v>-84</v>
      </c>
      <c r="V729" s="912">
        <v>11035</v>
      </c>
    </row>
    <row r="730" spans="1:22" x14ac:dyDescent="0.25">
      <c r="A730" s="906">
        <v>98001</v>
      </c>
      <c r="B730" s="907" t="s">
        <v>3290</v>
      </c>
      <c r="C730" s="908">
        <v>4.9659999999999999E-3</v>
      </c>
      <c r="D730" s="908">
        <v>4.9379999999999997E-3</v>
      </c>
      <c r="E730" s="909">
        <v>2027252.35</v>
      </c>
      <c r="F730" s="909">
        <v>2216145</v>
      </c>
      <c r="G730" s="909">
        <v>10539516</v>
      </c>
      <c r="H730" s="909"/>
      <c r="I730" s="910">
        <v>198019.25</v>
      </c>
      <c r="J730" s="910">
        <v>9235975</v>
      </c>
      <c r="K730" s="910">
        <v>721863</v>
      </c>
      <c r="L730" s="909">
        <v>119593</v>
      </c>
      <c r="M730" s="909"/>
      <c r="N730" s="910">
        <v>369316</v>
      </c>
      <c r="O730" s="910">
        <v>3408950</v>
      </c>
      <c r="P730" s="910">
        <v>0</v>
      </c>
      <c r="Q730" s="909">
        <v>0</v>
      </c>
      <c r="R730" s="910">
        <f t="shared" si="11"/>
        <v>5827025</v>
      </c>
      <c r="S730" s="909"/>
      <c r="T730" s="910">
        <v>2817058</v>
      </c>
      <c r="U730" s="912">
        <v>52585</v>
      </c>
      <c r="V730" s="912">
        <v>2869642</v>
      </c>
    </row>
    <row r="731" spans="1:22" x14ac:dyDescent="0.25">
      <c r="A731" s="906">
        <v>98002</v>
      </c>
      <c r="B731" s="907" t="s">
        <v>3291</v>
      </c>
      <c r="C731" s="908">
        <v>7.3000000000000004E-6</v>
      </c>
      <c r="D731" s="908">
        <v>7.1999999999999997E-6</v>
      </c>
      <c r="E731" s="909">
        <v>3645</v>
      </c>
      <c r="F731" s="909">
        <v>3231</v>
      </c>
      <c r="G731" s="909">
        <v>15493</v>
      </c>
      <c r="H731" s="909"/>
      <c r="I731" s="910">
        <v>291</v>
      </c>
      <c r="J731" s="910">
        <v>13577</v>
      </c>
      <c r="K731" s="910">
        <v>1061</v>
      </c>
      <c r="L731" s="909">
        <v>799</v>
      </c>
      <c r="M731" s="909"/>
      <c r="N731" s="910">
        <v>543</v>
      </c>
      <c r="O731" s="910">
        <v>5011</v>
      </c>
      <c r="P731" s="910">
        <v>0</v>
      </c>
      <c r="Q731" s="909">
        <v>13050</v>
      </c>
      <c r="R731" s="910">
        <f t="shared" si="11"/>
        <v>8566</v>
      </c>
      <c r="S731" s="909"/>
      <c r="T731" s="910">
        <v>4141</v>
      </c>
      <c r="U731" s="912">
        <v>-6329</v>
      </c>
      <c r="V731" s="912">
        <v>-2188</v>
      </c>
    </row>
    <row r="732" spans="1:22" x14ac:dyDescent="0.25">
      <c r="A732" s="906">
        <v>98003</v>
      </c>
      <c r="B732" s="907" t="s">
        <v>3292</v>
      </c>
      <c r="C732" s="908">
        <v>8.1600000000000005E-5</v>
      </c>
      <c r="D732" s="908">
        <v>6.8100000000000002E-5</v>
      </c>
      <c r="E732" s="909">
        <v>60648.32</v>
      </c>
      <c r="F732" s="909">
        <v>30563</v>
      </c>
      <c r="G732" s="909">
        <v>173183</v>
      </c>
      <c r="H732" s="909"/>
      <c r="I732" s="910">
        <v>3253.8</v>
      </c>
      <c r="J732" s="910">
        <v>151763</v>
      </c>
      <c r="K732" s="910">
        <v>11861</v>
      </c>
      <c r="L732" s="909">
        <v>41565</v>
      </c>
      <c r="M732" s="909"/>
      <c r="N732" s="910">
        <v>6069</v>
      </c>
      <c r="O732" s="910">
        <v>56015</v>
      </c>
      <c r="P732" s="910">
        <v>0</v>
      </c>
      <c r="Q732" s="909">
        <v>0</v>
      </c>
      <c r="R732" s="910">
        <f t="shared" si="11"/>
        <v>95748</v>
      </c>
      <c r="S732" s="909"/>
      <c r="T732" s="910">
        <v>46289</v>
      </c>
      <c r="U732" s="912">
        <v>12223</v>
      </c>
      <c r="V732" s="912">
        <v>58512</v>
      </c>
    </row>
    <row r="733" spans="1:22" x14ac:dyDescent="0.25">
      <c r="A733" s="906">
        <v>98004</v>
      </c>
      <c r="B733" s="907" t="s">
        <v>3293</v>
      </c>
      <c r="C733" s="908">
        <v>1.209E-4</v>
      </c>
      <c r="D733" s="908">
        <v>1.2630000000000001E-4</v>
      </c>
      <c r="E733" s="909">
        <v>71693</v>
      </c>
      <c r="F733" s="909">
        <v>56683</v>
      </c>
      <c r="G733" s="909">
        <v>256590</v>
      </c>
      <c r="H733" s="909"/>
      <c r="I733" s="910">
        <v>4821</v>
      </c>
      <c r="J733" s="910">
        <v>224855</v>
      </c>
      <c r="K733" s="910">
        <v>17574</v>
      </c>
      <c r="L733" s="909">
        <v>29242</v>
      </c>
      <c r="M733" s="909"/>
      <c r="N733" s="910">
        <v>8991</v>
      </c>
      <c r="O733" s="910">
        <v>82993</v>
      </c>
      <c r="P733" s="910">
        <v>0</v>
      </c>
      <c r="Q733" s="909">
        <v>0</v>
      </c>
      <c r="R733" s="910">
        <f t="shared" si="11"/>
        <v>141862</v>
      </c>
      <c r="S733" s="909"/>
      <c r="T733" s="910">
        <v>68583</v>
      </c>
      <c r="U733" s="912">
        <v>9885</v>
      </c>
      <c r="V733" s="912">
        <v>78468</v>
      </c>
    </row>
    <row r="734" spans="1:22" x14ac:dyDescent="0.25">
      <c r="A734" s="906">
        <v>98008</v>
      </c>
      <c r="B734" s="907" t="s">
        <v>3294</v>
      </c>
      <c r="C734" s="908">
        <v>7.7999999999999999E-6</v>
      </c>
      <c r="D734" s="908">
        <v>8.3000000000000002E-6</v>
      </c>
      <c r="E734" s="909">
        <v>3014</v>
      </c>
      <c r="F734" s="909">
        <v>3725</v>
      </c>
      <c r="G734" s="909">
        <v>16554</v>
      </c>
      <c r="H734" s="909"/>
      <c r="I734" s="910">
        <v>311</v>
      </c>
      <c r="J734" s="910">
        <v>14507</v>
      </c>
      <c r="K734" s="910">
        <v>1134</v>
      </c>
      <c r="L734" s="909">
        <v>0</v>
      </c>
      <c r="M734" s="909"/>
      <c r="N734" s="910">
        <v>580</v>
      </c>
      <c r="O734" s="910">
        <v>5354</v>
      </c>
      <c r="P734" s="910">
        <v>0</v>
      </c>
      <c r="Q734" s="909">
        <v>1300</v>
      </c>
      <c r="R734" s="910">
        <f t="shared" si="11"/>
        <v>9153</v>
      </c>
      <c r="S734" s="909"/>
      <c r="T734" s="910">
        <v>4425</v>
      </c>
      <c r="U734" s="912">
        <v>-496</v>
      </c>
      <c r="V734" s="912">
        <v>3929</v>
      </c>
    </row>
    <row r="735" spans="1:22" x14ac:dyDescent="0.25">
      <c r="A735" s="906">
        <v>98011</v>
      </c>
      <c r="B735" s="907" t="s">
        <v>3295</v>
      </c>
      <c r="C735" s="908">
        <v>3.1795E-3</v>
      </c>
      <c r="D735" s="908">
        <v>3.5899E-3</v>
      </c>
      <c r="E735" s="909">
        <v>1249396</v>
      </c>
      <c r="F735" s="909">
        <v>1611126</v>
      </c>
      <c r="G735" s="909">
        <v>6747964</v>
      </c>
      <c r="H735" s="909"/>
      <c r="I735" s="910">
        <v>126783</v>
      </c>
      <c r="J735" s="910">
        <v>5913368</v>
      </c>
      <c r="K735" s="910">
        <v>462175</v>
      </c>
      <c r="L735" s="909">
        <v>0</v>
      </c>
      <c r="M735" s="909"/>
      <c r="N735" s="910">
        <v>236456</v>
      </c>
      <c r="O735" s="910">
        <v>2182593</v>
      </c>
      <c r="P735" s="910">
        <v>0</v>
      </c>
      <c r="Q735" s="909">
        <v>424125</v>
      </c>
      <c r="R735" s="910">
        <f t="shared" si="11"/>
        <v>3730775</v>
      </c>
      <c r="S735" s="909"/>
      <c r="T735" s="910">
        <v>1803632</v>
      </c>
      <c r="U735" s="912">
        <v>-139309</v>
      </c>
      <c r="V735" s="912">
        <v>1664322</v>
      </c>
    </row>
    <row r="736" spans="1:22" x14ac:dyDescent="0.25">
      <c r="A736" s="906">
        <v>98013</v>
      </c>
      <c r="B736" s="907" t="s">
        <v>3296</v>
      </c>
      <c r="C736" s="908">
        <v>1.426E-4</v>
      </c>
      <c r="D736" s="908">
        <v>1.427E-4</v>
      </c>
      <c r="E736" s="909">
        <v>126822.16</v>
      </c>
      <c r="F736" s="909">
        <v>64043</v>
      </c>
      <c r="G736" s="909">
        <v>302645</v>
      </c>
      <c r="H736" s="909"/>
      <c r="I736" s="910">
        <v>5686</v>
      </c>
      <c r="J736" s="910">
        <v>265213</v>
      </c>
      <c r="K736" s="910">
        <v>20728</v>
      </c>
      <c r="L736" s="909">
        <v>97343</v>
      </c>
      <c r="M736" s="909"/>
      <c r="N736" s="910">
        <v>10605</v>
      </c>
      <c r="O736" s="910">
        <v>97889</v>
      </c>
      <c r="P736" s="910">
        <v>0</v>
      </c>
      <c r="Q736" s="909">
        <v>4167</v>
      </c>
      <c r="R736" s="910">
        <f t="shared" si="11"/>
        <v>167324</v>
      </c>
      <c r="S736" s="909"/>
      <c r="T736" s="910">
        <v>80893</v>
      </c>
      <c r="U736" s="912">
        <v>27256</v>
      </c>
      <c r="V736" s="912">
        <v>108149</v>
      </c>
    </row>
    <row r="737" spans="1:22" x14ac:dyDescent="0.25">
      <c r="A737" s="906">
        <v>98021</v>
      </c>
      <c r="B737" s="907" t="s">
        <v>3297</v>
      </c>
      <c r="C737" s="908">
        <v>7.5099999999999996E-5</v>
      </c>
      <c r="D737" s="908">
        <v>7.4099999999999999E-5</v>
      </c>
      <c r="E737" s="909">
        <v>28245.75</v>
      </c>
      <c r="F737" s="909">
        <v>33256</v>
      </c>
      <c r="G737" s="909">
        <v>159387</v>
      </c>
      <c r="H737" s="909"/>
      <c r="I737" s="910">
        <v>2995</v>
      </c>
      <c r="J737" s="910">
        <v>139674</v>
      </c>
      <c r="K737" s="910">
        <v>10917</v>
      </c>
      <c r="L737" s="909">
        <v>20868</v>
      </c>
      <c r="M737" s="909"/>
      <c r="N737" s="910">
        <v>5585</v>
      </c>
      <c r="O737" s="910">
        <v>51553</v>
      </c>
      <c r="P737" s="910">
        <v>0</v>
      </c>
      <c r="Q737" s="909">
        <v>1894</v>
      </c>
      <c r="R737" s="910">
        <f t="shared" si="11"/>
        <v>88121</v>
      </c>
      <c r="S737" s="909"/>
      <c r="T737" s="910">
        <v>42602</v>
      </c>
      <c r="U737" s="912">
        <v>6826</v>
      </c>
      <c r="V737" s="912">
        <v>49428</v>
      </c>
    </row>
    <row r="738" spans="1:22" x14ac:dyDescent="0.25">
      <c r="A738" s="906">
        <v>98023</v>
      </c>
      <c r="B738" s="907" t="s">
        <v>3298</v>
      </c>
      <c r="C738" s="908">
        <v>1.45E-5</v>
      </c>
      <c r="D738" s="908">
        <v>2.1500000000000001E-5</v>
      </c>
      <c r="E738" s="909">
        <v>6210.57</v>
      </c>
      <c r="F738" s="909">
        <v>9649</v>
      </c>
      <c r="G738" s="909">
        <v>30774</v>
      </c>
      <c r="H738" s="909"/>
      <c r="I738" s="910">
        <v>578.1875</v>
      </c>
      <c r="J738" s="910">
        <v>26968</v>
      </c>
      <c r="K738" s="910">
        <v>2108</v>
      </c>
      <c r="L738" s="909">
        <v>0</v>
      </c>
      <c r="M738" s="909"/>
      <c r="N738" s="910">
        <v>1078</v>
      </c>
      <c r="O738" s="910">
        <v>9954</v>
      </c>
      <c r="P738" s="910">
        <v>0</v>
      </c>
      <c r="Q738" s="909">
        <v>7858</v>
      </c>
      <c r="R738" s="910">
        <f t="shared" si="11"/>
        <v>17014</v>
      </c>
      <c r="S738" s="909"/>
      <c r="T738" s="910">
        <v>8225</v>
      </c>
      <c r="U738" s="912">
        <v>-2638</v>
      </c>
      <c r="V738" s="912">
        <v>5587</v>
      </c>
    </row>
    <row r="739" spans="1:22" x14ac:dyDescent="0.25">
      <c r="A739" s="906">
        <v>98031</v>
      </c>
      <c r="B739" s="907" t="s">
        <v>3299</v>
      </c>
      <c r="C739" s="908">
        <v>1.5530000000000001E-4</v>
      </c>
      <c r="D739" s="908">
        <v>1.7009999999999999E-4</v>
      </c>
      <c r="E739" s="909">
        <v>66785.13</v>
      </c>
      <c r="F739" s="909">
        <v>76340</v>
      </c>
      <c r="G739" s="909">
        <v>329599</v>
      </c>
      <c r="H739" s="909"/>
      <c r="I739" s="910">
        <v>6193</v>
      </c>
      <c r="J739" s="910">
        <v>288833</v>
      </c>
      <c r="K739" s="910">
        <v>22575</v>
      </c>
      <c r="L739" s="909">
        <v>7207</v>
      </c>
      <c r="M739" s="909"/>
      <c r="N739" s="910">
        <v>11550</v>
      </c>
      <c r="O739" s="910">
        <v>106607</v>
      </c>
      <c r="P739" s="910">
        <v>0</v>
      </c>
      <c r="Q739" s="909">
        <v>8978</v>
      </c>
      <c r="R739" s="910">
        <f t="shared" si="11"/>
        <v>182226</v>
      </c>
      <c r="S739" s="909"/>
      <c r="T739" s="910">
        <v>88097</v>
      </c>
      <c r="U739" s="912">
        <v>-569</v>
      </c>
      <c r="V739" s="912">
        <v>87528</v>
      </c>
    </row>
    <row r="740" spans="1:22" x14ac:dyDescent="0.25">
      <c r="A740" s="906">
        <v>98041</v>
      </c>
      <c r="B740" s="907" t="s">
        <v>3300</v>
      </c>
      <c r="C740" s="908">
        <v>1.6559999999999999E-4</v>
      </c>
      <c r="D740" s="908">
        <v>1.438E-4</v>
      </c>
      <c r="E740" s="909">
        <v>62577.35</v>
      </c>
      <c r="F740" s="909">
        <v>64537</v>
      </c>
      <c r="G740" s="909">
        <v>351459</v>
      </c>
      <c r="H740" s="909"/>
      <c r="I740" s="910">
        <v>6603</v>
      </c>
      <c r="J740" s="910">
        <v>307990</v>
      </c>
      <c r="K740" s="910">
        <v>24072</v>
      </c>
      <c r="L740" s="909">
        <v>7422</v>
      </c>
      <c r="M740" s="909"/>
      <c r="N740" s="910">
        <v>12316</v>
      </c>
      <c r="O740" s="910">
        <v>113677</v>
      </c>
      <c r="P740" s="910">
        <v>0</v>
      </c>
      <c r="Q740" s="909">
        <v>9673</v>
      </c>
      <c r="R740" s="910">
        <f t="shared" si="11"/>
        <v>194313</v>
      </c>
      <c r="S740" s="909"/>
      <c r="T740" s="910">
        <v>93940</v>
      </c>
      <c r="U740" s="912">
        <v>-1971</v>
      </c>
      <c r="V740" s="912">
        <v>91969</v>
      </c>
    </row>
    <row r="741" spans="1:22" x14ac:dyDescent="0.25">
      <c r="A741" s="906">
        <v>98051</v>
      </c>
      <c r="B741" s="907" t="s">
        <v>3301</v>
      </c>
      <c r="C741" s="908">
        <v>3.0019999999999998E-4</v>
      </c>
      <c r="D741" s="908">
        <v>2.699E-4</v>
      </c>
      <c r="E741" s="909">
        <v>123086</v>
      </c>
      <c r="F741" s="909">
        <v>121130</v>
      </c>
      <c r="G741" s="909">
        <v>637125</v>
      </c>
      <c r="H741" s="909"/>
      <c r="I741" s="910">
        <v>11970</v>
      </c>
      <c r="J741" s="910">
        <v>558325</v>
      </c>
      <c r="K741" s="910">
        <v>43637</v>
      </c>
      <c r="L741" s="909">
        <v>31222</v>
      </c>
      <c r="M741" s="909"/>
      <c r="N741" s="910">
        <v>22326</v>
      </c>
      <c r="O741" s="910">
        <v>206075</v>
      </c>
      <c r="P741" s="910">
        <v>0</v>
      </c>
      <c r="Q741" s="909">
        <v>229</v>
      </c>
      <c r="R741" s="910">
        <f t="shared" si="11"/>
        <v>352250</v>
      </c>
      <c r="S741" s="909"/>
      <c r="T741" s="910">
        <v>170294</v>
      </c>
      <c r="U741" s="912">
        <v>9416</v>
      </c>
      <c r="V741" s="912">
        <v>179711</v>
      </c>
    </row>
    <row r="742" spans="1:22" x14ac:dyDescent="0.25">
      <c r="A742" s="906">
        <v>98061</v>
      </c>
      <c r="B742" s="907" t="s">
        <v>3302</v>
      </c>
      <c r="C742" s="908">
        <v>9.9099999999999996E-5</v>
      </c>
      <c r="D742" s="908">
        <v>1.3410000000000001E-4</v>
      </c>
      <c r="E742" s="909">
        <v>42535.31</v>
      </c>
      <c r="F742" s="909">
        <v>60183</v>
      </c>
      <c r="G742" s="909">
        <v>210323</v>
      </c>
      <c r="H742" s="909"/>
      <c r="I742" s="910">
        <v>3952</v>
      </c>
      <c r="J742" s="910">
        <v>184310</v>
      </c>
      <c r="K742" s="910">
        <v>14405</v>
      </c>
      <c r="L742" s="909">
        <v>0</v>
      </c>
      <c r="M742" s="909"/>
      <c r="N742" s="910">
        <v>7370</v>
      </c>
      <c r="O742" s="910">
        <v>68028</v>
      </c>
      <c r="P742" s="910">
        <v>0</v>
      </c>
      <c r="Q742" s="909">
        <v>24647</v>
      </c>
      <c r="R742" s="910">
        <f t="shared" si="11"/>
        <v>116282</v>
      </c>
      <c r="S742" s="909"/>
      <c r="T742" s="910">
        <v>56216</v>
      </c>
      <c r="U742" s="912">
        <v>-7215</v>
      </c>
      <c r="V742" s="912">
        <v>49002</v>
      </c>
    </row>
    <row r="743" spans="1:22" x14ac:dyDescent="0.25">
      <c r="A743" s="906">
        <v>98071</v>
      </c>
      <c r="B743" s="907" t="s">
        <v>3303</v>
      </c>
      <c r="C743" s="908">
        <v>3.4400000000000003E-5</v>
      </c>
      <c r="D743" s="908">
        <v>3.2299999999999999E-5</v>
      </c>
      <c r="E743" s="909">
        <v>24294.65</v>
      </c>
      <c r="F743" s="909">
        <v>14496</v>
      </c>
      <c r="G743" s="909">
        <v>73008</v>
      </c>
      <c r="H743" s="909"/>
      <c r="I743" s="910">
        <v>1371.7</v>
      </c>
      <c r="J743" s="910">
        <v>63979</v>
      </c>
      <c r="K743" s="910">
        <v>5000</v>
      </c>
      <c r="L743" s="909">
        <v>9217</v>
      </c>
      <c r="M743" s="909"/>
      <c r="N743" s="910">
        <v>2558</v>
      </c>
      <c r="O743" s="910">
        <v>23614</v>
      </c>
      <c r="P743" s="910">
        <v>0</v>
      </c>
      <c r="Q743" s="909">
        <v>1859</v>
      </c>
      <c r="R743" s="910">
        <f t="shared" si="11"/>
        <v>40365</v>
      </c>
      <c r="S743" s="909"/>
      <c r="T743" s="910">
        <v>19514</v>
      </c>
      <c r="U743" s="912">
        <v>1734</v>
      </c>
      <c r="V743" s="912">
        <v>21248</v>
      </c>
    </row>
    <row r="744" spans="1:22" x14ac:dyDescent="0.25">
      <c r="A744" s="906">
        <v>98081</v>
      </c>
      <c r="B744" s="907" t="s">
        <v>3304</v>
      </c>
      <c r="C744" s="908">
        <v>1.9400000000000001E-5</v>
      </c>
      <c r="D744" s="908">
        <v>2.0999999999999999E-5</v>
      </c>
      <c r="E744" s="909">
        <v>6798</v>
      </c>
      <c r="F744" s="909">
        <v>9425</v>
      </c>
      <c r="G744" s="909">
        <v>41173</v>
      </c>
      <c r="H744" s="909"/>
      <c r="I744" s="910">
        <v>773.57500000000005</v>
      </c>
      <c r="J744" s="910">
        <v>36081</v>
      </c>
      <c r="K744" s="910">
        <v>2820</v>
      </c>
      <c r="L744" s="909">
        <v>0</v>
      </c>
      <c r="M744" s="909"/>
      <c r="N744" s="910">
        <v>1443</v>
      </c>
      <c r="O744" s="910">
        <v>13317</v>
      </c>
      <c r="P744" s="910">
        <v>0</v>
      </c>
      <c r="Q744" s="909">
        <v>4336</v>
      </c>
      <c r="R744" s="910">
        <f t="shared" si="11"/>
        <v>22764</v>
      </c>
      <c r="S744" s="909"/>
      <c r="T744" s="910">
        <v>11005</v>
      </c>
      <c r="U744" s="912">
        <v>-1542</v>
      </c>
      <c r="V744" s="912">
        <v>9463</v>
      </c>
    </row>
    <row r="745" spans="1:22" x14ac:dyDescent="0.25">
      <c r="A745" s="906">
        <v>98091</v>
      </c>
      <c r="B745" s="907" t="s">
        <v>3305</v>
      </c>
      <c r="C745" s="908">
        <v>5.0899999999999997E-5</v>
      </c>
      <c r="D745" s="908">
        <v>5.49E-5</v>
      </c>
      <c r="E745" s="909">
        <v>23937.15</v>
      </c>
      <c r="F745" s="909">
        <v>24639</v>
      </c>
      <c r="G745" s="909">
        <v>108027</v>
      </c>
      <c r="H745" s="909"/>
      <c r="I745" s="910">
        <v>2030</v>
      </c>
      <c r="J745" s="910">
        <v>94666</v>
      </c>
      <c r="K745" s="910">
        <v>7399</v>
      </c>
      <c r="L745" s="909">
        <v>1196</v>
      </c>
      <c r="M745" s="909"/>
      <c r="N745" s="910">
        <v>3785</v>
      </c>
      <c r="O745" s="910">
        <v>34941</v>
      </c>
      <c r="P745" s="910">
        <v>0</v>
      </c>
      <c r="Q745" s="909">
        <v>1622</v>
      </c>
      <c r="R745" s="910">
        <f t="shared" si="11"/>
        <v>59725</v>
      </c>
      <c r="S745" s="909"/>
      <c r="T745" s="910">
        <v>28874</v>
      </c>
      <c r="U745" s="912">
        <v>-412</v>
      </c>
      <c r="V745" s="912">
        <v>28462</v>
      </c>
    </row>
    <row r="746" spans="1:22" x14ac:dyDescent="0.25">
      <c r="A746" s="906">
        <v>98101</v>
      </c>
      <c r="B746" s="907" t="s">
        <v>3306</v>
      </c>
      <c r="C746" s="908">
        <v>2.7642999999999999E-3</v>
      </c>
      <c r="D746" s="908">
        <v>2.7445E-3</v>
      </c>
      <c r="E746" s="909">
        <v>1093303.25</v>
      </c>
      <c r="F746" s="909">
        <v>1231715</v>
      </c>
      <c r="G746" s="909">
        <v>5866771</v>
      </c>
      <c r="H746" s="909"/>
      <c r="I746" s="910">
        <v>110226</v>
      </c>
      <c r="J746" s="910">
        <v>5141161</v>
      </c>
      <c r="K746" s="910">
        <v>401821</v>
      </c>
      <c r="L746" s="909">
        <v>61462</v>
      </c>
      <c r="M746" s="909"/>
      <c r="N746" s="910">
        <v>205578</v>
      </c>
      <c r="O746" s="910">
        <v>1897576</v>
      </c>
      <c r="P746" s="910">
        <v>0</v>
      </c>
      <c r="Q746" s="909">
        <v>23820</v>
      </c>
      <c r="R746" s="910">
        <f t="shared" si="11"/>
        <v>3243585</v>
      </c>
      <c r="S746" s="909"/>
      <c r="T746" s="910">
        <v>1568102</v>
      </c>
      <c r="U746" s="912">
        <v>17983</v>
      </c>
      <c r="V746" s="912">
        <v>1586085</v>
      </c>
    </row>
    <row r="747" spans="1:22" x14ac:dyDescent="0.25">
      <c r="A747" s="906">
        <v>98102</v>
      </c>
      <c r="B747" s="907" t="s">
        <v>3307</v>
      </c>
      <c r="C747" s="908">
        <v>1.683E-4</v>
      </c>
      <c r="D747" s="908">
        <v>1.7259999999999999E-4</v>
      </c>
      <c r="E747" s="909">
        <v>69015</v>
      </c>
      <c r="F747" s="909">
        <v>77462</v>
      </c>
      <c r="G747" s="909">
        <v>357189</v>
      </c>
      <c r="H747" s="909"/>
      <c r="I747" s="910">
        <v>6711</v>
      </c>
      <c r="J747" s="910">
        <v>313011</v>
      </c>
      <c r="K747" s="910">
        <v>24464</v>
      </c>
      <c r="L747" s="909">
        <v>0</v>
      </c>
      <c r="M747" s="909"/>
      <c r="N747" s="910">
        <v>12516</v>
      </c>
      <c r="O747" s="910">
        <v>115531</v>
      </c>
      <c r="P747" s="910">
        <v>0</v>
      </c>
      <c r="Q747" s="909">
        <v>10404</v>
      </c>
      <c r="R747" s="910">
        <f t="shared" si="11"/>
        <v>197480</v>
      </c>
      <c r="S747" s="909"/>
      <c r="T747" s="910">
        <v>95471</v>
      </c>
      <c r="U747" s="912">
        <v>-3682</v>
      </c>
      <c r="V747" s="912">
        <v>91789</v>
      </c>
    </row>
    <row r="748" spans="1:22" x14ac:dyDescent="0.25">
      <c r="A748" s="906">
        <v>98103</v>
      </c>
      <c r="B748" s="907" t="s">
        <v>3308</v>
      </c>
      <c r="C748" s="908">
        <v>5.3600000000000002E-4</v>
      </c>
      <c r="D748" s="908">
        <v>5.7140000000000001E-4</v>
      </c>
      <c r="E748" s="909">
        <v>233081</v>
      </c>
      <c r="F748" s="909">
        <v>256441</v>
      </c>
      <c r="G748" s="909">
        <v>1137571.56</v>
      </c>
      <c r="H748" s="909"/>
      <c r="I748" s="910">
        <v>21373</v>
      </c>
      <c r="J748" s="910">
        <v>996875</v>
      </c>
      <c r="K748" s="910">
        <v>77913</v>
      </c>
      <c r="L748" s="909">
        <v>0</v>
      </c>
      <c r="M748" s="909"/>
      <c r="N748" s="910">
        <v>39862</v>
      </c>
      <c r="O748" s="910">
        <v>367941</v>
      </c>
      <c r="P748" s="910">
        <v>0</v>
      </c>
      <c r="Q748" s="909">
        <v>46538</v>
      </c>
      <c r="R748" s="910">
        <f t="shared" si="11"/>
        <v>628934</v>
      </c>
      <c r="S748" s="909"/>
      <c r="T748" s="910">
        <v>304056</v>
      </c>
      <c r="U748" s="912">
        <v>-19483</v>
      </c>
      <c r="V748" s="912">
        <v>284573</v>
      </c>
    </row>
    <row r="749" spans="1:22" x14ac:dyDescent="0.25">
      <c r="A749" s="906">
        <v>98107</v>
      </c>
      <c r="B749" s="907" t="s">
        <v>3309</v>
      </c>
      <c r="C749" s="908">
        <v>1.08E-5</v>
      </c>
      <c r="D749" s="908">
        <v>1.15E-5</v>
      </c>
      <c r="E749" s="909">
        <v>8652</v>
      </c>
      <c r="F749" s="909">
        <v>5161</v>
      </c>
      <c r="G749" s="909">
        <v>22921</v>
      </c>
      <c r="H749" s="909"/>
      <c r="I749" s="910">
        <v>430.65</v>
      </c>
      <c r="J749" s="910">
        <v>20086</v>
      </c>
      <c r="K749" s="910">
        <v>1570</v>
      </c>
      <c r="L749" s="909">
        <v>7420</v>
      </c>
      <c r="M749" s="909"/>
      <c r="N749" s="910">
        <v>803</v>
      </c>
      <c r="O749" s="910">
        <v>7414</v>
      </c>
      <c r="P749" s="910">
        <v>0</v>
      </c>
      <c r="Q749" s="909">
        <v>0</v>
      </c>
      <c r="R749" s="910">
        <f t="shared" si="11"/>
        <v>12672</v>
      </c>
      <c r="S749" s="909"/>
      <c r="T749" s="910">
        <v>6127</v>
      </c>
      <c r="U749" s="912">
        <v>2610</v>
      </c>
      <c r="V749" s="912">
        <v>8737</v>
      </c>
    </row>
    <row r="750" spans="1:22" x14ac:dyDescent="0.25">
      <c r="A750" s="906">
        <v>98109</v>
      </c>
      <c r="B750" s="907" t="s">
        <v>3310</v>
      </c>
      <c r="C750" s="908">
        <v>1.4660000000000001E-4</v>
      </c>
      <c r="D750" s="908">
        <v>2.0680000000000001E-4</v>
      </c>
      <c r="E750" s="909">
        <v>66395.14</v>
      </c>
      <c r="F750" s="909">
        <v>92811</v>
      </c>
      <c r="G750" s="909">
        <v>311134</v>
      </c>
      <c r="H750" s="909"/>
      <c r="I750" s="910">
        <v>5846</v>
      </c>
      <c r="J750" s="910">
        <v>272653</v>
      </c>
      <c r="K750" s="910">
        <v>21310</v>
      </c>
      <c r="L750" s="909">
        <v>3018</v>
      </c>
      <c r="M750" s="909"/>
      <c r="N750" s="910">
        <v>10902</v>
      </c>
      <c r="O750" s="910">
        <v>100635</v>
      </c>
      <c r="P750" s="910">
        <v>0</v>
      </c>
      <c r="Q750" s="909">
        <v>35765</v>
      </c>
      <c r="R750" s="910">
        <f t="shared" si="11"/>
        <v>172018</v>
      </c>
      <c r="S750" s="909"/>
      <c r="T750" s="910">
        <v>83162</v>
      </c>
      <c r="U750" s="912">
        <v>-10144</v>
      </c>
      <c r="V750" s="912">
        <v>73018</v>
      </c>
    </row>
    <row r="751" spans="1:22" x14ac:dyDescent="0.25">
      <c r="A751" s="906">
        <v>98111</v>
      </c>
      <c r="B751" s="907" t="s">
        <v>3311</v>
      </c>
      <c r="C751" s="908">
        <v>1.0191E-3</v>
      </c>
      <c r="D751" s="908">
        <v>1.0443E-3</v>
      </c>
      <c r="E751" s="909">
        <v>380231</v>
      </c>
      <c r="F751" s="909">
        <v>468676</v>
      </c>
      <c r="G751" s="909">
        <v>2162872</v>
      </c>
      <c r="H751" s="909"/>
      <c r="I751" s="910">
        <v>40637</v>
      </c>
      <c r="J751" s="910">
        <v>1895365</v>
      </c>
      <c r="K751" s="910">
        <v>148137</v>
      </c>
      <c r="L751" s="909">
        <v>0</v>
      </c>
      <c r="M751" s="909"/>
      <c r="N751" s="910">
        <v>75789</v>
      </c>
      <c r="O751" s="910">
        <v>699569</v>
      </c>
      <c r="P751" s="910">
        <v>0</v>
      </c>
      <c r="Q751" s="909">
        <v>50975</v>
      </c>
      <c r="R751" s="910">
        <f t="shared" si="11"/>
        <v>1195796</v>
      </c>
      <c r="S751" s="909"/>
      <c r="T751" s="910">
        <v>578104</v>
      </c>
      <c r="U751" s="912">
        <v>-14078</v>
      </c>
      <c r="V751" s="912">
        <v>564026</v>
      </c>
    </row>
    <row r="752" spans="1:22" x14ac:dyDescent="0.25">
      <c r="A752" s="906">
        <v>98113</v>
      </c>
      <c r="B752" s="907" t="s">
        <v>3312</v>
      </c>
      <c r="C752" s="908">
        <v>3.8999999999999999E-5</v>
      </c>
      <c r="D752" s="908">
        <v>4.1399999999999997E-5</v>
      </c>
      <c r="E752" s="909">
        <v>20070.23</v>
      </c>
      <c r="F752" s="909">
        <v>18580</v>
      </c>
      <c r="G752" s="909">
        <v>82771</v>
      </c>
      <c r="H752" s="909"/>
      <c r="I752" s="910">
        <v>1555.125</v>
      </c>
      <c r="J752" s="910">
        <v>72534</v>
      </c>
      <c r="K752" s="910">
        <v>5669</v>
      </c>
      <c r="L752" s="909">
        <v>8069</v>
      </c>
      <c r="M752" s="909"/>
      <c r="N752" s="910">
        <v>2900</v>
      </c>
      <c r="O752" s="910">
        <v>26772</v>
      </c>
      <c r="P752" s="910">
        <v>0</v>
      </c>
      <c r="Q752" s="909">
        <v>0</v>
      </c>
      <c r="R752" s="910">
        <f t="shared" si="11"/>
        <v>45762</v>
      </c>
      <c r="S752" s="909"/>
      <c r="T752" s="910">
        <v>22123</v>
      </c>
      <c r="U752" s="912">
        <v>2983</v>
      </c>
      <c r="V752" s="912">
        <v>25107</v>
      </c>
    </row>
    <row r="753" spans="1:22" x14ac:dyDescent="0.25">
      <c r="A753" s="906">
        <v>98121</v>
      </c>
      <c r="B753" s="907" t="s">
        <v>3313</v>
      </c>
      <c r="C753" s="908">
        <v>2.2910000000000001E-4</v>
      </c>
      <c r="D753" s="908">
        <v>2.0689999999999999E-4</v>
      </c>
      <c r="E753" s="909">
        <v>79942.31</v>
      </c>
      <c r="F753" s="909">
        <v>92855</v>
      </c>
      <c r="G753" s="909">
        <v>486227</v>
      </c>
      <c r="H753" s="909"/>
      <c r="I753" s="910">
        <v>9135</v>
      </c>
      <c r="J753" s="910">
        <v>426090</v>
      </c>
      <c r="K753" s="910">
        <v>33302</v>
      </c>
      <c r="L753" s="909">
        <v>3951</v>
      </c>
      <c r="M753" s="909"/>
      <c r="N753" s="910">
        <v>17038</v>
      </c>
      <c r="O753" s="910">
        <v>157268</v>
      </c>
      <c r="P753" s="910">
        <v>0</v>
      </c>
      <c r="Q753" s="909">
        <v>6313</v>
      </c>
      <c r="R753" s="910">
        <f t="shared" si="11"/>
        <v>268822</v>
      </c>
      <c r="S753" s="909"/>
      <c r="T753" s="910">
        <v>129961</v>
      </c>
      <c r="U753" s="912">
        <v>-421</v>
      </c>
      <c r="V753" s="912">
        <v>129540</v>
      </c>
    </row>
    <row r="754" spans="1:22" x14ac:dyDescent="0.25">
      <c r="A754" s="906">
        <v>98131</v>
      </c>
      <c r="B754" s="907" t="s">
        <v>3314</v>
      </c>
      <c r="C754" s="908">
        <v>2.9569999999999998E-4</v>
      </c>
      <c r="D754" s="908">
        <v>3.0610000000000001E-4</v>
      </c>
      <c r="E754" s="909">
        <v>112056</v>
      </c>
      <c r="F754" s="909">
        <v>137376</v>
      </c>
      <c r="G754" s="909">
        <v>627574</v>
      </c>
      <c r="H754" s="909"/>
      <c r="I754" s="910">
        <v>11791</v>
      </c>
      <c r="J754" s="910">
        <v>549955</v>
      </c>
      <c r="K754" s="910">
        <v>42983</v>
      </c>
      <c r="L754" s="909">
        <v>0</v>
      </c>
      <c r="M754" s="909"/>
      <c r="N754" s="910">
        <v>21991</v>
      </c>
      <c r="O754" s="910">
        <v>202986</v>
      </c>
      <c r="P754" s="910">
        <v>0</v>
      </c>
      <c r="Q754" s="909">
        <v>44899</v>
      </c>
      <c r="R754" s="910">
        <f t="shared" si="11"/>
        <v>346969</v>
      </c>
      <c r="S754" s="909"/>
      <c r="T754" s="910">
        <v>167741</v>
      </c>
      <c r="U754" s="912">
        <v>-17153</v>
      </c>
      <c r="V754" s="912">
        <v>150589</v>
      </c>
    </row>
    <row r="755" spans="1:22" x14ac:dyDescent="0.25">
      <c r="A755" s="906">
        <v>98141</v>
      </c>
      <c r="B755" s="907" t="s">
        <v>3315</v>
      </c>
      <c r="C755" s="908">
        <v>2.9030000000000001E-4</v>
      </c>
      <c r="D755" s="908">
        <v>3.033E-4</v>
      </c>
      <c r="E755" s="909">
        <v>104128</v>
      </c>
      <c r="F755" s="909">
        <v>136119</v>
      </c>
      <c r="G755" s="909">
        <v>616114</v>
      </c>
      <c r="H755" s="909"/>
      <c r="I755" s="910">
        <v>11576</v>
      </c>
      <c r="J755" s="910">
        <v>539912</v>
      </c>
      <c r="K755" s="910">
        <v>42198</v>
      </c>
      <c r="L755" s="909">
        <v>1495</v>
      </c>
      <c r="M755" s="909"/>
      <c r="N755" s="910">
        <v>21589</v>
      </c>
      <c r="O755" s="910">
        <v>199279</v>
      </c>
      <c r="P755" s="910">
        <v>0</v>
      </c>
      <c r="Q755" s="909">
        <v>35601</v>
      </c>
      <c r="R755" s="910">
        <f t="shared" si="11"/>
        <v>340633</v>
      </c>
      <c r="S755" s="909"/>
      <c r="T755" s="910">
        <v>164678</v>
      </c>
      <c r="U755" s="912">
        <v>-12695</v>
      </c>
      <c r="V755" s="912">
        <v>151983</v>
      </c>
    </row>
    <row r="756" spans="1:22" x14ac:dyDescent="0.25">
      <c r="A756" s="906">
        <v>98147</v>
      </c>
      <c r="B756" s="907" t="s">
        <v>3316</v>
      </c>
      <c r="C756" s="908">
        <v>1.29E-5</v>
      </c>
      <c r="D756" s="908">
        <v>1.03E-5</v>
      </c>
      <c r="E756" s="909">
        <v>8826</v>
      </c>
      <c r="F756" s="909">
        <v>4623</v>
      </c>
      <c r="G756" s="909">
        <v>27378</v>
      </c>
      <c r="H756" s="909"/>
      <c r="I756" s="910">
        <v>514</v>
      </c>
      <c r="J756" s="910">
        <v>23992</v>
      </c>
      <c r="K756" s="910">
        <v>1875</v>
      </c>
      <c r="L756" s="909">
        <v>7556</v>
      </c>
      <c r="M756" s="909"/>
      <c r="N756" s="910">
        <v>959</v>
      </c>
      <c r="O756" s="910">
        <v>8855</v>
      </c>
      <c r="P756" s="910">
        <v>0</v>
      </c>
      <c r="Q756" s="909">
        <v>0</v>
      </c>
      <c r="R756" s="910">
        <f t="shared" si="11"/>
        <v>15137</v>
      </c>
      <c r="S756" s="909"/>
      <c r="T756" s="910">
        <v>7318</v>
      </c>
      <c r="U756" s="912">
        <v>2501</v>
      </c>
      <c r="V756" s="912">
        <v>9819</v>
      </c>
    </row>
    <row r="757" spans="1:22" x14ac:dyDescent="0.25">
      <c r="A757" s="906">
        <v>98161</v>
      </c>
      <c r="B757" s="907" t="s">
        <v>3317</v>
      </c>
      <c r="C757" s="908">
        <v>7.4000000000000003E-6</v>
      </c>
      <c r="D757" s="908">
        <v>7.6000000000000001E-6</v>
      </c>
      <c r="E757" s="909">
        <v>4425</v>
      </c>
      <c r="F757" s="909">
        <v>3411</v>
      </c>
      <c r="G757" s="909">
        <v>15705</v>
      </c>
      <c r="H757" s="909"/>
      <c r="I757" s="910">
        <v>295.07499999999999</v>
      </c>
      <c r="J757" s="910">
        <v>13763</v>
      </c>
      <c r="K757" s="910">
        <v>1076</v>
      </c>
      <c r="L757" s="909">
        <v>2152</v>
      </c>
      <c r="M757" s="909"/>
      <c r="N757" s="910">
        <v>550</v>
      </c>
      <c r="O757" s="910">
        <v>5080</v>
      </c>
      <c r="P757" s="910">
        <v>0</v>
      </c>
      <c r="Q757" s="909">
        <v>0</v>
      </c>
      <c r="R757" s="910">
        <f t="shared" si="11"/>
        <v>8683</v>
      </c>
      <c r="S757" s="909"/>
      <c r="T757" s="910">
        <v>4198</v>
      </c>
      <c r="U757" s="912">
        <v>752</v>
      </c>
      <c r="V757" s="912">
        <v>4950</v>
      </c>
    </row>
    <row r="758" spans="1:22" x14ac:dyDescent="0.25">
      <c r="A758" s="906">
        <v>98201</v>
      </c>
      <c r="B758" s="907" t="s">
        <v>3318</v>
      </c>
      <c r="C758" s="908">
        <v>3.0368999999999999E-3</v>
      </c>
      <c r="D758" s="908">
        <v>3.0019999999999999E-3</v>
      </c>
      <c r="E758" s="909">
        <v>1202574.5</v>
      </c>
      <c r="F758" s="909">
        <v>1347280</v>
      </c>
      <c r="G758" s="909">
        <v>6445319</v>
      </c>
      <c r="H758" s="909"/>
      <c r="I758" s="910">
        <v>121096</v>
      </c>
      <c r="J758" s="910">
        <v>5648154</v>
      </c>
      <c r="K758" s="910">
        <v>441447</v>
      </c>
      <c r="L758" s="909">
        <v>0</v>
      </c>
      <c r="M758" s="909"/>
      <c r="N758" s="910">
        <v>225851</v>
      </c>
      <c r="O758" s="910">
        <v>2084704</v>
      </c>
      <c r="P758" s="910">
        <v>0</v>
      </c>
      <c r="Q758" s="909">
        <v>60876</v>
      </c>
      <c r="R758" s="910">
        <f t="shared" si="11"/>
        <v>3563450</v>
      </c>
      <c r="S758" s="909"/>
      <c r="T758" s="910">
        <v>1722739</v>
      </c>
      <c r="U758" s="912">
        <v>-21268</v>
      </c>
      <c r="V758" s="912">
        <v>1701471</v>
      </c>
    </row>
    <row r="759" spans="1:22" x14ac:dyDescent="0.25">
      <c r="A759" s="906">
        <v>98205</v>
      </c>
      <c r="B759" s="907" t="s">
        <v>3319</v>
      </c>
      <c r="C759" s="908">
        <v>5.13E-5</v>
      </c>
      <c r="D759" s="908">
        <v>5.02E-5</v>
      </c>
      <c r="E759" s="909">
        <v>23400</v>
      </c>
      <c r="F759" s="909">
        <v>22529</v>
      </c>
      <c r="G759" s="909">
        <v>108876</v>
      </c>
      <c r="H759" s="909"/>
      <c r="I759" s="910">
        <v>2046</v>
      </c>
      <c r="J759" s="910">
        <v>95410</v>
      </c>
      <c r="K759" s="910">
        <v>7457</v>
      </c>
      <c r="L759" s="909">
        <v>2803</v>
      </c>
      <c r="M759" s="909"/>
      <c r="N759" s="910">
        <v>3815</v>
      </c>
      <c r="O759" s="910">
        <v>35215</v>
      </c>
      <c r="P759" s="910">
        <v>0</v>
      </c>
      <c r="Q759" s="909">
        <v>1718</v>
      </c>
      <c r="R759" s="910">
        <f t="shared" si="11"/>
        <v>60195</v>
      </c>
      <c r="S759" s="909"/>
      <c r="T759" s="910">
        <v>29101</v>
      </c>
      <c r="U759" s="912">
        <v>209</v>
      </c>
      <c r="V759" s="912">
        <v>29310</v>
      </c>
    </row>
    <row r="760" spans="1:22" x14ac:dyDescent="0.25">
      <c r="A760" s="906">
        <v>98211</v>
      </c>
      <c r="B760" s="907" t="s">
        <v>3320</v>
      </c>
      <c r="C760" s="908">
        <v>9.1609999999999999E-4</v>
      </c>
      <c r="D760" s="908">
        <v>9.4729999999999999E-4</v>
      </c>
      <c r="E760" s="909">
        <v>316266.55</v>
      </c>
      <c r="F760" s="909">
        <v>425143</v>
      </c>
      <c r="G760" s="909">
        <v>1944271</v>
      </c>
      <c r="H760" s="909"/>
      <c r="I760" s="910">
        <v>36529</v>
      </c>
      <c r="J760" s="910">
        <v>1703801</v>
      </c>
      <c r="K760" s="910">
        <v>133165</v>
      </c>
      <c r="L760" s="909">
        <v>0</v>
      </c>
      <c r="M760" s="909"/>
      <c r="N760" s="910">
        <v>68129</v>
      </c>
      <c r="O760" s="910">
        <v>628864</v>
      </c>
      <c r="P760" s="910">
        <v>0</v>
      </c>
      <c r="Q760" s="909">
        <v>112970</v>
      </c>
      <c r="R760" s="910">
        <f t="shared" si="11"/>
        <v>1074937</v>
      </c>
      <c r="S760" s="909"/>
      <c r="T760" s="910">
        <v>519675</v>
      </c>
      <c r="U760" s="912">
        <v>-35337</v>
      </c>
      <c r="V760" s="912">
        <v>484338</v>
      </c>
    </row>
    <row r="761" spans="1:22" x14ac:dyDescent="0.25">
      <c r="A761" s="906">
        <v>98218</v>
      </c>
      <c r="B761" s="907" t="s">
        <v>3321</v>
      </c>
      <c r="C761" s="908">
        <v>1.0200000000000001E-5</v>
      </c>
      <c r="D761" s="908">
        <v>1.08E-5</v>
      </c>
      <c r="E761" s="909">
        <v>4407.67</v>
      </c>
      <c r="F761" s="909">
        <v>4847</v>
      </c>
      <c r="G761" s="909">
        <v>21648</v>
      </c>
      <c r="H761" s="909"/>
      <c r="I761" s="910">
        <v>406.72500000000002</v>
      </c>
      <c r="J761" s="910">
        <v>18970</v>
      </c>
      <c r="K761" s="910">
        <v>1483</v>
      </c>
      <c r="L761" s="909">
        <v>0</v>
      </c>
      <c r="M761" s="909"/>
      <c r="N761" s="910">
        <v>759</v>
      </c>
      <c r="O761" s="910">
        <v>7002</v>
      </c>
      <c r="P761" s="910">
        <v>0</v>
      </c>
      <c r="Q761" s="909">
        <v>1864</v>
      </c>
      <c r="R761" s="910">
        <f t="shared" si="11"/>
        <v>11968</v>
      </c>
      <c r="S761" s="909"/>
      <c r="T761" s="910">
        <v>5786</v>
      </c>
      <c r="U761" s="912">
        <v>-792</v>
      </c>
      <c r="V761" s="912">
        <v>4994</v>
      </c>
    </row>
    <row r="762" spans="1:22" x14ac:dyDescent="0.25">
      <c r="A762" s="906">
        <v>98221</v>
      </c>
      <c r="B762" s="907" t="s">
        <v>3322</v>
      </c>
      <c r="C762" s="908">
        <v>1.6799999999999998E-5</v>
      </c>
      <c r="D762" s="908">
        <v>1.5999999999999999E-5</v>
      </c>
      <c r="E762" s="909">
        <v>9584.15</v>
      </c>
      <c r="F762" s="909">
        <v>7181</v>
      </c>
      <c r="G762" s="909">
        <v>35655</v>
      </c>
      <c r="H762" s="909"/>
      <c r="I762" s="910">
        <v>669.9</v>
      </c>
      <c r="J762" s="910">
        <v>31245</v>
      </c>
      <c r="K762" s="910">
        <v>2442</v>
      </c>
      <c r="L762" s="909">
        <v>3240</v>
      </c>
      <c r="M762" s="909"/>
      <c r="N762" s="910">
        <v>1249</v>
      </c>
      <c r="O762" s="910">
        <v>11532</v>
      </c>
      <c r="P762" s="910">
        <v>0</v>
      </c>
      <c r="Q762" s="909">
        <v>0</v>
      </c>
      <c r="R762" s="910">
        <f t="shared" si="11"/>
        <v>19713</v>
      </c>
      <c r="S762" s="909"/>
      <c r="T762" s="910">
        <v>9530</v>
      </c>
      <c r="U762" s="912">
        <v>905</v>
      </c>
      <c r="V762" s="912">
        <v>10435</v>
      </c>
    </row>
    <row r="763" spans="1:22" x14ac:dyDescent="0.25">
      <c r="A763" s="906">
        <v>98231</v>
      </c>
      <c r="B763" s="907" t="s">
        <v>3323</v>
      </c>
      <c r="C763" s="908">
        <v>3.1999999999999999E-5</v>
      </c>
      <c r="D763" s="908">
        <v>3.7400000000000001E-5</v>
      </c>
      <c r="E763" s="909">
        <v>13931.16</v>
      </c>
      <c r="F763" s="909">
        <v>16785</v>
      </c>
      <c r="G763" s="909">
        <v>67914.720000000001</v>
      </c>
      <c r="H763" s="909"/>
      <c r="I763" s="910">
        <v>1276</v>
      </c>
      <c r="J763" s="910">
        <v>59515</v>
      </c>
      <c r="K763" s="910">
        <v>4652</v>
      </c>
      <c r="L763" s="909">
        <v>2641</v>
      </c>
      <c r="M763" s="909"/>
      <c r="N763" s="910">
        <v>2380</v>
      </c>
      <c r="O763" s="910">
        <v>21967</v>
      </c>
      <c r="P763" s="910">
        <v>0</v>
      </c>
      <c r="Q763" s="909">
        <v>7471</v>
      </c>
      <c r="R763" s="910">
        <f t="shared" si="11"/>
        <v>37548</v>
      </c>
      <c r="S763" s="909"/>
      <c r="T763" s="910">
        <v>18153</v>
      </c>
      <c r="U763" s="912">
        <v>-2254</v>
      </c>
      <c r="V763" s="912">
        <v>15898</v>
      </c>
    </row>
    <row r="764" spans="1:22" x14ac:dyDescent="0.25">
      <c r="A764" s="906">
        <v>98237</v>
      </c>
      <c r="B764" s="907" t="s">
        <v>3324</v>
      </c>
      <c r="C764" s="908">
        <v>2.7E-6</v>
      </c>
      <c r="D764" s="908">
        <v>2.9000000000000002E-6</v>
      </c>
      <c r="E764" s="909">
        <v>2767</v>
      </c>
      <c r="F764" s="909">
        <v>1302</v>
      </c>
      <c r="G764" s="909">
        <v>5730</v>
      </c>
      <c r="H764" s="909"/>
      <c r="I764" s="910">
        <v>107.66249999999999</v>
      </c>
      <c r="J764" s="910">
        <v>5022</v>
      </c>
      <c r="K764" s="910">
        <v>392</v>
      </c>
      <c r="L764" s="909">
        <v>2342</v>
      </c>
      <c r="M764" s="909"/>
      <c r="N764" s="910">
        <v>201</v>
      </c>
      <c r="O764" s="910">
        <v>1853</v>
      </c>
      <c r="P764" s="910">
        <v>0</v>
      </c>
      <c r="Q764" s="909">
        <v>0</v>
      </c>
      <c r="R764" s="910">
        <f t="shared" si="11"/>
        <v>3169</v>
      </c>
      <c r="S764" s="909"/>
      <c r="T764" s="910">
        <v>1532</v>
      </c>
      <c r="U764" s="912">
        <v>795</v>
      </c>
      <c r="V764" s="912">
        <v>2326</v>
      </c>
    </row>
    <row r="765" spans="1:22" x14ac:dyDescent="0.25">
      <c r="A765" s="906">
        <v>98241</v>
      </c>
      <c r="B765" s="907" t="s">
        <v>3325</v>
      </c>
      <c r="C765" s="908">
        <v>1.98E-5</v>
      </c>
      <c r="D765" s="908">
        <v>1.0200000000000001E-5</v>
      </c>
      <c r="E765" s="909">
        <v>7741</v>
      </c>
      <c r="F765" s="909">
        <v>4578</v>
      </c>
      <c r="G765" s="909">
        <v>42022</v>
      </c>
      <c r="H765" s="909"/>
      <c r="I765" s="910">
        <v>789.52499999999998</v>
      </c>
      <c r="J765" s="910">
        <v>36825</v>
      </c>
      <c r="K765" s="910">
        <v>2878</v>
      </c>
      <c r="L765" s="909">
        <v>8690</v>
      </c>
      <c r="M765" s="909"/>
      <c r="N765" s="910">
        <v>1473</v>
      </c>
      <c r="O765" s="910">
        <v>13592</v>
      </c>
      <c r="P765" s="910">
        <v>0</v>
      </c>
      <c r="Q765" s="909">
        <v>331</v>
      </c>
      <c r="R765" s="910">
        <f t="shared" si="11"/>
        <v>23233</v>
      </c>
      <c r="S765" s="909"/>
      <c r="T765" s="910">
        <v>11232</v>
      </c>
      <c r="U765" s="912">
        <v>3061</v>
      </c>
      <c r="V765" s="912">
        <v>14293</v>
      </c>
    </row>
    <row r="766" spans="1:22" x14ac:dyDescent="0.25">
      <c r="A766" s="906">
        <v>98251</v>
      </c>
      <c r="B766" s="907" t="s">
        <v>3326</v>
      </c>
      <c r="C766" s="908">
        <v>3.1E-6</v>
      </c>
      <c r="D766" s="908">
        <v>3.1E-6</v>
      </c>
      <c r="E766" s="909">
        <v>1870</v>
      </c>
      <c r="F766" s="909">
        <v>1391</v>
      </c>
      <c r="G766" s="909">
        <v>6579</v>
      </c>
      <c r="H766" s="909"/>
      <c r="I766" s="910">
        <v>123.6125</v>
      </c>
      <c r="J766" s="910">
        <v>5766</v>
      </c>
      <c r="K766" s="910">
        <v>451</v>
      </c>
      <c r="L766" s="909">
        <v>1191</v>
      </c>
      <c r="M766" s="909"/>
      <c r="N766" s="910">
        <v>231</v>
      </c>
      <c r="O766" s="910">
        <v>2128</v>
      </c>
      <c r="P766" s="910">
        <v>0</v>
      </c>
      <c r="Q766" s="909">
        <v>0</v>
      </c>
      <c r="R766" s="910">
        <f t="shared" si="11"/>
        <v>3638</v>
      </c>
      <c r="S766" s="909"/>
      <c r="T766" s="910">
        <v>1759</v>
      </c>
      <c r="U766" s="912">
        <v>412</v>
      </c>
      <c r="V766" s="912">
        <v>2171</v>
      </c>
    </row>
    <row r="767" spans="1:22" x14ac:dyDescent="0.25">
      <c r="A767" s="906">
        <v>98261</v>
      </c>
      <c r="B767" s="907" t="s">
        <v>3327</v>
      </c>
      <c r="C767" s="908">
        <v>2.97E-5</v>
      </c>
      <c r="D767" s="908">
        <v>4.3099999999999997E-5</v>
      </c>
      <c r="E767" s="909">
        <v>12989.23</v>
      </c>
      <c r="F767" s="909">
        <v>19343</v>
      </c>
      <c r="G767" s="909">
        <v>63033</v>
      </c>
      <c r="H767" s="909"/>
      <c r="I767" s="910">
        <v>1184</v>
      </c>
      <c r="J767" s="910">
        <v>55237</v>
      </c>
      <c r="K767" s="910">
        <v>4317</v>
      </c>
      <c r="L767" s="909">
        <v>4504</v>
      </c>
      <c r="M767" s="909"/>
      <c r="N767" s="910">
        <v>2209</v>
      </c>
      <c r="O767" s="910">
        <v>20388</v>
      </c>
      <c r="P767" s="910">
        <v>0</v>
      </c>
      <c r="Q767" s="909">
        <v>6643</v>
      </c>
      <c r="R767" s="910">
        <f t="shared" si="11"/>
        <v>34849</v>
      </c>
      <c r="S767" s="909"/>
      <c r="T767" s="910">
        <v>16848</v>
      </c>
      <c r="U767" s="912">
        <v>-118</v>
      </c>
      <c r="V767" s="912">
        <v>16730</v>
      </c>
    </row>
    <row r="768" spans="1:22" x14ac:dyDescent="0.25">
      <c r="A768" s="906">
        <v>98271</v>
      </c>
      <c r="B768" s="907" t="s">
        <v>3328</v>
      </c>
      <c r="C768" s="908">
        <v>4.5000000000000001E-6</v>
      </c>
      <c r="D768" s="908">
        <v>3.4000000000000001E-6</v>
      </c>
      <c r="E768" s="909">
        <v>3055</v>
      </c>
      <c r="F768" s="909">
        <v>1526</v>
      </c>
      <c r="G768" s="909">
        <v>9551</v>
      </c>
      <c r="H768" s="909"/>
      <c r="I768" s="910">
        <v>179.4375</v>
      </c>
      <c r="J768" s="910">
        <v>8369</v>
      </c>
      <c r="K768" s="910">
        <v>654</v>
      </c>
      <c r="L768" s="909">
        <v>3951</v>
      </c>
      <c r="M768" s="909"/>
      <c r="N768" s="910">
        <v>335</v>
      </c>
      <c r="O768" s="910">
        <v>3089</v>
      </c>
      <c r="P768" s="910">
        <v>0</v>
      </c>
      <c r="Q768" s="909">
        <v>0</v>
      </c>
      <c r="R768" s="910">
        <f t="shared" si="11"/>
        <v>5280</v>
      </c>
      <c r="S768" s="909"/>
      <c r="T768" s="910">
        <v>2553</v>
      </c>
      <c r="U768" s="912">
        <v>1392</v>
      </c>
      <c r="V768" s="912">
        <v>3945</v>
      </c>
    </row>
    <row r="769" spans="1:22" x14ac:dyDescent="0.25">
      <c r="A769" s="906">
        <v>98301</v>
      </c>
      <c r="B769" s="907" t="s">
        <v>3329</v>
      </c>
      <c r="C769" s="908">
        <v>1.7776999999999999E-3</v>
      </c>
      <c r="D769" s="908">
        <v>1.7478999999999999E-3</v>
      </c>
      <c r="E769" s="909">
        <v>735954</v>
      </c>
      <c r="F769" s="909">
        <v>784447</v>
      </c>
      <c r="G769" s="909">
        <v>3772875</v>
      </c>
      <c r="H769" s="909"/>
      <c r="I769" s="910">
        <v>70886</v>
      </c>
      <c r="J769" s="910">
        <v>3306241</v>
      </c>
      <c r="K769" s="910">
        <v>258408</v>
      </c>
      <c r="L769" s="909">
        <v>76085</v>
      </c>
      <c r="M769" s="909"/>
      <c r="N769" s="910">
        <v>132206</v>
      </c>
      <c r="O769" s="910">
        <v>1220316</v>
      </c>
      <c r="P769" s="910">
        <v>0</v>
      </c>
      <c r="Q769" s="909">
        <v>15711</v>
      </c>
      <c r="R769" s="910">
        <f t="shared" si="11"/>
        <v>2085925</v>
      </c>
      <c r="S769" s="909"/>
      <c r="T769" s="910">
        <v>1008434</v>
      </c>
      <c r="U769" s="912">
        <v>17172</v>
      </c>
      <c r="V769" s="912">
        <v>1025606</v>
      </c>
    </row>
    <row r="770" spans="1:22" x14ac:dyDescent="0.25">
      <c r="A770" s="906">
        <v>98304</v>
      </c>
      <c r="B770" s="907" t="s">
        <v>3330</v>
      </c>
      <c r="C770" s="908">
        <v>2.2900000000000001E-5</v>
      </c>
      <c r="D770" s="908">
        <v>2.4499999999999999E-5</v>
      </c>
      <c r="E770" s="909">
        <v>11386</v>
      </c>
      <c r="F770" s="909">
        <v>10995</v>
      </c>
      <c r="G770" s="909">
        <v>48601</v>
      </c>
      <c r="H770" s="909"/>
      <c r="I770" s="910">
        <v>913.13750000000005</v>
      </c>
      <c r="J770" s="910">
        <v>42590</v>
      </c>
      <c r="K770" s="910">
        <v>3329</v>
      </c>
      <c r="L770" s="909">
        <v>1590</v>
      </c>
      <c r="M770" s="909"/>
      <c r="N770" s="910">
        <v>1703</v>
      </c>
      <c r="O770" s="910">
        <v>15720</v>
      </c>
      <c r="P770" s="910">
        <v>0</v>
      </c>
      <c r="Q770" s="909">
        <v>0</v>
      </c>
      <c r="R770" s="910">
        <f t="shared" si="11"/>
        <v>26870</v>
      </c>
      <c r="S770" s="909"/>
      <c r="T770" s="910">
        <v>12990</v>
      </c>
      <c r="U770" s="912">
        <v>514</v>
      </c>
      <c r="V770" s="912">
        <v>13504</v>
      </c>
    </row>
    <row r="771" spans="1:22" x14ac:dyDescent="0.25">
      <c r="A771" s="906">
        <v>98308</v>
      </c>
      <c r="B771" s="907" t="s">
        <v>3331</v>
      </c>
      <c r="C771" s="908">
        <v>2.55E-5</v>
      </c>
      <c r="D771" s="908">
        <v>2.5000000000000001E-5</v>
      </c>
      <c r="E771" s="909">
        <v>13855</v>
      </c>
      <c r="F771" s="909">
        <v>11219.85</v>
      </c>
      <c r="G771" s="909">
        <v>54120</v>
      </c>
      <c r="H771" s="909"/>
      <c r="I771" s="910">
        <v>1016.8125</v>
      </c>
      <c r="J771" s="910">
        <v>47426</v>
      </c>
      <c r="K771" s="910">
        <v>3707</v>
      </c>
      <c r="L771" s="909">
        <v>7689</v>
      </c>
      <c r="M771" s="909"/>
      <c r="N771" s="910">
        <v>1896</v>
      </c>
      <c r="O771" s="910">
        <v>17505</v>
      </c>
      <c r="P771" s="910">
        <v>0</v>
      </c>
      <c r="Q771" s="909">
        <v>0</v>
      </c>
      <c r="R771" s="910">
        <f t="shared" si="11"/>
        <v>29921</v>
      </c>
      <c r="S771" s="909"/>
      <c r="T771" s="910">
        <v>14465</v>
      </c>
      <c r="U771" s="912">
        <v>2796</v>
      </c>
      <c r="V771" s="912">
        <v>17261</v>
      </c>
    </row>
    <row r="772" spans="1:22" x14ac:dyDescent="0.25">
      <c r="A772" s="906">
        <v>98311</v>
      </c>
      <c r="B772" s="907" t="s">
        <v>3332</v>
      </c>
      <c r="C772" s="908">
        <v>1.1441999999999999E-3</v>
      </c>
      <c r="D772" s="908">
        <v>1.1704E-3</v>
      </c>
      <c r="E772" s="909">
        <v>413994</v>
      </c>
      <c r="F772" s="909">
        <v>525268</v>
      </c>
      <c r="G772" s="909">
        <v>2428376</v>
      </c>
      <c r="H772" s="909"/>
      <c r="I772" s="910">
        <v>45625</v>
      </c>
      <c r="J772" s="910">
        <v>2128031</v>
      </c>
      <c r="K772" s="910">
        <v>166322</v>
      </c>
      <c r="L772" s="909">
        <v>25434</v>
      </c>
      <c r="M772" s="909"/>
      <c r="N772" s="910">
        <v>85093</v>
      </c>
      <c r="O772" s="910">
        <v>785445</v>
      </c>
      <c r="P772" s="910">
        <v>0</v>
      </c>
      <c r="Q772" s="909">
        <v>70361</v>
      </c>
      <c r="R772" s="910">
        <f t="shared" si="11"/>
        <v>1342586</v>
      </c>
      <c r="S772" s="909"/>
      <c r="T772" s="910">
        <v>649069</v>
      </c>
      <c r="U772" s="912">
        <v>-6523</v>
      </c>
      <c r="V772" s="912">
        <v>642547</v>
      </c>
    </row>
    <row r="773" spans="1:22" x14ac:dyDescent="0.25">
      <c r="A773" s="906">
        <v>98313</v>
      </c>
      <c r="B773" s="907" t="s">
        <v>3333</v>
      </c>
      <c r="C773" s="908">
        <v>2.4240000000000001E-4</v>
      </c>
      <c r="D773" s="908">
        <v>2.3589999999999999E-4</v>
      </c>
      <c r="E773" s="909">
        <v>227095.51</v>
      </c>
      <c r="F773" s="909">
        <v>105871</v>
      </c>
      <c r="G773" s="909">
        <v>514454</v>
      </c>
      <c r="H773" s="909"/>
      <c r="I773" s="910">
        <v>9666</v>
      </c>
      <c r="J773" s="910">
        <v>450826</v>
      </c>
      <c r="K773" s="910">
        <v>35236</v>
      </c>
      <c r="L773" s="909">
        <v>166298</v>
      </c>
      <c r="M773" s="909"/>
      <c r="N773" s="910">
        <v>18027</v>
      </c>
      <c r="O773" s="910">
        <v>166397</v>
      </c>
      <c r="P773" s="910">
        <v>0</v>
      </c>
      <c r="Q773" s="909">
        <v>119.4</v>
      </c>
      <c r="R773" s="910">
        <f t="shared" si="11"/>
        <v>284429</v>
      </c>
      <c r="S773" s="909"/>
      <c r="T773" s="910">
        <v>137506</v>
      </c>
      <c r="U773" s="912">
        <v>48906</v>
      </c>
      <c r="V773" s="912">
        <v>186412</v>
      </c>
    </row>
    <row r="774" spans="1:22" x14ac:dyDescent="0.25">
      <c r="A774" s="906">
        <v>98321</v>
      </c>
      <c r="B774" s="907" t="s">
        <v>3334</v>
      </c>
      <c r="C774" s="908">
        <v>2.1399999999999998E-5</v>
      </c>
      <c r="D774" s="908">
        <v>2.9E-5</v>
      </c>
      <c r="E774" s="909">
        <v>9180.25</v>
      </c>
      <c r="F774" s="909">
        <v>13015</v>
      </c>
      <c r="G774" s="909">
        <v>45418</v>
      </c>
      <c r="H774" s="909"/>
      <c r="I774" s="910">
        <v>853</v>
      </c>
      <c r="J774" s="910">
        <v>39801</v>
      </c>
      <c r="K774" s="910">
        <v>3111</v>
      </c>
      <c r="L774" s="909">
        <v>3126</v>
      </c>
      <c r="M774" s="909"/>
      <c r="N774" s="910">
        <v>1591</v>
      </c>
      <c r="O774" s="910">
        <v>14690</v>
      </c>
      <c r="P774" s="910">
        <v>0</v>
      </c>
      <c r="Q774" s="909">
        <v>4186</v>
      </c>
      <c r="R774" s="910">
        <f t="shared" si="11"/>
        <v>25111</v>
      </c>
      <c r="S774" s="909"/>
      <c r="T774" s="910">
        <v>12140</v>
      </c>
      <c r="U774" s="912">
        <v>451</v>
      </c>
      <c r="V774" s="912">
        <v>12591</v>
      </c>
    </row>
    <row r="775" spans="1:22" x14ac:dyDescent="0.25">
      <c r="A775" s="906">
        <v>98331</v>
      </c>
      <c r="B775" s="907" t="s">
        <v>3335</v>
      </c>
      <c r="C775" s="908">
        <v>1.03E-5</v>
      </c>
      <c r="D775" s="908">
        <v>9.7999999999999993E-6</v>
      </c>
      <c r="E775" s="909">
        <v>5903.22</v>
      </c>
      <c r="F775" s="909">
        <v>4398</v>
      </c>
      <c r="G775" s="909">
        <v>21860</v>
      </c>
      <c r="H775" s="909"/>
      <c r="I775" s="910">
        <v>410.71249999999998</v>
      </c>
      <c r="J775" s="910">
        <v>19156</v>
      </c>
      <c r="K775" s="910">
        <v>1497</v>
      </c>
      <c r="L775" s="909">
        <v>2778</v>
      </c>
      <c r="M775" s="909"/>
      <c r="N775" s="910">
        <v>766</v>
      </c>
      <c r="O775" s="910">
        <v>7071</v>
      </c>
      <c r="P775" s="910">
        <v>0</v>
      </c>
      <c r="Q775" s="909">
        <v>264.67</v>
      </c>
      <c r="R775" s="910">
        <f t="shared" ref="R775:R838" si="12">IF(J775&gt;O775,J775-O775,O775-J775)</f>
        <v>12085</v>
      </c>
      <c r="S775" s="909"/>
      <c r="T775" s="910">
        <v>5843</v>
      </c>
      <c r="U775" s="912">
        <v>700</v>
      </c>
      <c r="V775" s="912">
        <v>6542</v>
      </c>
    </row>
    <row r="776" spans="1:22" x14ac:dyDescent="0.25">
      <c r="A776" s="906">
        <v>98401</v>
      </c>
      <c r="B776" s="907" t="s">
        <v>3336</v>
      </c>
      <c r="C776" s="908">
        <v>2.7567999999999998E-3</v>
      </c>
      <c r="D776" s="908">
        <v>2.8057999999999998E-3</v>
      </c>
      <c r="E776" s="909">
        <v>1156444.24</v>
      </c>
      <c r="F776" s="909">
        <v>1259226</v>
      </c>
      <c r="G776" s="909">
        <v>5850853</v>
      </c>
      <c r="H776" s="909"/>
      <c r="I776" s="910">
        <v>109927.4</v>
      </c>
      <c r="J776" s="910">
        <v>5127212</v>
      </c>
      <c r="K776" s="910">
        <v>400731</v>
      </c>
      <c r="L776" s="909">
        <v>92083</v>
      </c>
      <c r="M776" s="909"/>
      <c r="N776" s="910">
        <v>205020</v>
      </c>
      <c r="O776" s="910">
        <v>1892427</v>
      </c>
      <c r="P776" s="910">
        <v>0</v>
      </c>
      <c r="Q776" s="909">
        <v>8491</v>
      </c>
      <c r="R776" s="910">
        <f t="shared" si="12"/>
        <v>3234785</v>
      </c>
      <c r="S776" s="909"/>
      <c r="T776" s="910">
        <v>1563847</v>
      </c>
      <c r="U776" s="912">
        <v>31358</v>
      </c>
      <c r="V776" s="912">
        <v>1595205</v>
      </c>
    </row>
    <row r="777" spans="1:22" x14ac:dyDescent="0.25">
      <c r="A777" s="906">
        <v>98411</v>
      </c>
      <c r="B777" s="907" t="s">
        <v>3337</v>
      </c>
      <c r="C777" s="908">
        <v>2.0076999999999998E-3</v>
      </c>
      <c r="D777" s="908">
        <v>1.9907000000000002E-3</v>
      </c>
      <c r="E777" s="909">
        <v>792048.89</v>
      </c>
      <c r="F777" s="909">
        <v>893414</v>
      </c>
      <c r="G777" s="909">
        <v>4261012</v>
      </c>
      <c r="H777" s="909"/>
      <c r="I777" s="910">
        <v>80057</v>
      </c>
      <c r="J777" s="910">
        <v>3734005</v>
      </c>
      <c r="K777" s="910">
        <v>291841</v>
      </c>
      <c r="L777" s="909">
        <v>8012</v>
      </c>
      <c r="M777" s="909"/>
      <c r="N777" s="910">
        <v>149311</v>
      </c>
      <c r="O777" s="910">
        <v>1378202</v>
      </c>
      <c r="P777" s="910">
        <v>0</v>
      </c>
      <c r="Q777" s="909">
        <v>35211</v>
      </c>
      <c r="R777" s="910">
        <f t="shared" si="12"/>
        <v>2355803</v>
      </c>
      <c r="S777" s="909"/>
      <c r="T777" s="910">
        <v>1138906</v>
      </c>
      <c r="U777" s="912">
        <v>-6790</v>
      </c>
      <c r="V777" s="912">
        <v>1132116</v>
      </c>
    </row>
    <row r="778" spans="1:22" x14ac:dyDescent="0.25">
      <c r="A778" s="906">
        <v>98417</v>
      </c>
      <c r="B778" s="907" t="s">
        <v>3338</v>
      </c>
      <c r="C778" s="908">
        <v>2.4899999999999999E-5</v>
      </c>
      <c r="D778" s="908">
        <v>2.6400000000000001E-5</v>
      </c>
      <c r="E778" s="909">
        <v>12734.51</v>
      </c>
      <c r="F778" s="909">
        <v>11848</v>
      </c>
      <c r="G778" s="909">
        <v>52846</v>
      </c>
      <c r="H778" s="909"/>
      <c r="I778" s="910">
        <v>993</v>
      </c>
      <c r="J778" s="910">
        <v>46310</v>
      </c>
      <c r="K778" s="910">
        <v>3619</v>
      </c>
      <c r="L778" s="909">
        <v>1318</v>
      </c>
      <c r="M778" s="909"/>
      <c r="N778" s="910">
        <v>1852</v>
      </c>
      <c r="O778" s="910">
        <v>17093</v>
      </c>
      <c r="P778" s="910">
        <v>0</v>
      </c>
      <c r="Q778" s="909">
        <v>852</v>
      </c>
      <c r="R778" s="910">
        <f t="shared" si="12"/>
        <v>29217</v>
      </c>
      <c r="S778" s="909"/>
      <c r="T778" s="910">
        <v>14125</v>
      </c>
      <c r="U778" s="912">
        <v>-72</v>
      </c>
      <c r="V778" s="912">
        <v>14053</v>
      </c>
    </row>
    <row r="779" spans="1:22" x14ac:dyDescent="0.25">
      <c r="A779" s="906">
        <v>98421</v>
      </c>
      <c r="B779" s="907" t="s">
        <v>3339</v>
      </c>
      <c r="C779" s="908">
        <v>1.0840000000000001E-4</v>
      </c>
      <c r="D779" s="908">
        <v>1.021E-4</v>
      </c>
      <c r="E779" s="909">
        <v>40835</v>
      </c>
      <c r="F779" s="909">
        <v>45822</v>
      </c>
      <c r="G779" s="909">
        <v>230061</v>
      </c>
      <c r="H779" s="909"/>
      <c r="I779" s="910">
        <v>4322.45</v>
      </c>
      <c r="J779" s="910">
        <v>201607</v>
      </c>
      <c r="K779" s="910">
        <v>15757</v>
      </c>
      <c r="L779" s="909">
        <v>7887</v>
      </c>
      <c r="M779" s="909"/>
      <c r="N779" s="910">
        <v>8062</v>
      </c>
      <c r="O779" s="910">
        <v>74412</v>
      </c>
      <c r="P779" s="910">
        <v>0</v>
      </c>
      <c r="Q779" s="909">
        <v>1282</v>
      </c>
      <c r="R779" s="910">
        <f t="shared" si="12"/>
        <v>127195</v>
      </c>
      <c r="S779" s="909"/>
      <c r="T779" s="910">
        <v>61492</v>
      </c>
      <c r="U779" s="912">
        <v>2111</v>
      </c>
      <c r="V779" s="912">
        <v>63603</v>
      </c>
    </row>
    <row r="780" spans="1:22" x14ac:dyDescent="0.25">
      <c r="A780" s="906">
        <v>98427</v>
      </c>
      <c r="B780" s="907" t="s">
        <v>3340</v>
      </c>
      <c r="C780" s="908">
        <v>4.6E-6</v>
      </c>
      <c r="D780" s="908">
        <v>5.2000000000000002E-6</v>
      </c>
      <c r="E780" s="909">
        <v>2927.04</v>
      </c>
      <c r="F780" s="909">
        <v>2334</v>
      </c>
      <c r="G780" s="909">
        <v>9763</v>
      </c>
      <c r="H780" s="909"/>
      <c r="I780" s="910">
        <v>183.42500000000001</v>
      </c>
      <c r="J780" s="910">
        <v>8555</v>
      </c>
      <c r="K780" s="910">
        <v>669</v>
      </c>
      <c r="L780" s="909">
        <v>946</v>
      </c>
      <c r="M780" s="909"/>
      <c r="N780" s="910">
        <v>342</v>
      </c>
      <c r="O780" s="910">
        <v>3158</v>
      </c>
      <c r="P780" s="910">
        <v>0</v>
      </c>
      <c r="Q780" s="909">
        <v>0</v>
      </c>
      <c r="R780" s="910">
        <f t="shared" si="12"/>
        <v>5397</v>
      </c>
      <c r="S780" s="909"/>
      <c r="T780" s="910">
        <v>2609</v>
      </c>
      <c r="U780" s="912">
        <v>309</v>
      </c>
      <c r="V780" s="912">
        <v>2918</v>
      </c>
    </row>
    <row r="781" spans="1:22" x14ac:dyDescent="0.25">
      <c r="A781" s="906">
        <v>98431</v>
      </c>
      <c r="B781" s="907" t="s">
        <v>3341</v>
      </c>
      <c r="C781" s="908">
        <v>2.0010000000000001E-4</v>
      </c>
      <c r="D781" s="908">
        <v>2.0560000000000001E-4</v>
      </c>
      <c r="E781" s="909">
        <v>68369</v>
      </c>
      <c r="F781" s="909">
        <v>92272</v>
      </c>
      <c r="G781" s="909">
        <v>424679</v>
      </c>
      <c r="H781" s="909"/>
      <c r="I781" s="910">
        <v>7979</v>
      </c>
      <c r="J781" s="910">
        <v>372154</v>
      </c>
      <c r="K781" s="910">
        <v>29087</v>
      </c>
      <c r="L781" s="909">
        <v>2505</v>
      </c>
      <c r="M781" s="909"/>
      <c r="N781" s="910">
        <v>14881</v>
      </c>
      <c r="O781" s="910">
        <v>137360</v>
      </c>
      <c r="P781" s="910">
        <v>0</v>
      </c>
      <c r="Q781" s="909">
        <v>22555</v>
      </c>
      <c r="R781" s="910">
        <f t="shared" si="12"/>
        <v>234794</v>
      </c>
      <c r="S781" s="909"/>
      <c r="T781" s="910">
        <v>113511</v>
      </c>
      <c r="U781" s="912">
        <v>-5398</v>
      </c>
      <c r="V781" s="912">
        <v>108113</v>
      </c>
    </row>
    <row r="782" spans="1:22" x14ac:dyDescent="0.25">
      <c r="A782" s="906">
        <v>98441</v>
      </c>
      <c r="B782" s="907" t="s">
        <v>3342</v>
      </c>
      <c r="C782" s="908">
        <v>9.1000000000000003E-5</v>
      </c>
      <c r="D782" s="908">
        <v>1.039E-4</v>
      </c>
      <c r="E782" s="909">
        <v>33724.18</v>
      </c>
      <c r="F782" s="909">
        <v>46630</v>
      </c>
      <c r="G782" s="909">
        <v>193132</v>
      </c>
      <c r="H782" s="909"/>
      <c r="I782" s="910">
        <v>3628.625</v>
      </c>
      <c r="J782" s="910">
        <v>169246</v>
      </c>
      <c r="K782" s="910">
        <v>13228</v>
      </c>
      <c r="L782" s="909">
        <v>1146</v>
      </c>
      <c r="M782" s="909"/>
      <c r="N782" s="910">
        <v>6768</v>
      </c>
      <c r="O782" s="910">
        <v>62468</v>
      </c>
      <c r="P782" s="910">
        <v>0</v>
      </c>
      <c r="Q782" s="909">
        <v>21657</v>
      </c>
      <c r="R782" s="910">
        <f t="shared" si="12"/>
        <v>106778</v>
      </c>
      <c r="S782" s="909"/>
      <c r="T782" s="910">
        <v>51621</v>
      </c>
      <c r="U782" s="912">
        <v>-6156</v>
      </c>
      <c r="V782" s="912">
        <v>45466</v>
      </c>
    </row>
    <row r="783" spans="1:22" x14ac:dyDescent="0.25">
      <c r="A783" s="906">
        <v>98451</v>
      </c>
      <c r="B783" s="907" t="s">
        <v>3343</v>
      </c>
      <c r="C783" s="908">
        <v>5.6199999999999997E-5</v>
      </c>
      <c r="D783" s="908">
        <v>6.0300000000000002E-5</v>
      </c>
      <c r="E783" s="909">
        <v>24173</v>
      </c>
      <c r="F783" s="909">
        <v>27062</v>
      </c>
      <c r="G783" s="909">
        <v>119275</v>
      </c>
      <c r="H783" s="909"/>
      <c r="I783" s="910">
        <v>2240.9749999999999</v>
      </c>
      <c r="J783" s="910">
        <v>104523</v>
      </c>
      <c r="K783" s="910">
        <v>8169</v>
      </c>
      <c r="L783" s="909">
        <v>0</v>
      </c>
      <c r="M783" s="909"/>
      <c r="N783" s="910">
        <v>4180</v>
      </c>
      <c r="O783" s="910">
        <v>38579</v>
      </c>
      <c r="P783" s="910">
        <v>0</v>
      </c>
      <c r="Q783" s="909">
        <v>2135</v>
      </c>
      <c r="R783" s="910">
        <f t="shared" si="12"/>
        <v>65944</v>
      </c>
      <c r="S783" s="909"/>
      <c r="T783" s="910">
        <v>31881</v>
      </c>
      <c r="U783" s="912">
        <v>-657</v>
      </c>
      <c r="V783" s="912">
        <v>31223</v>
      </c>
    </row>
    <row r="784" spans="1:22" x14ac:dyDescent="0.25">
      <c r="A784" s="906">
        <v>98481</v>
      </c>
      <c r="B784" s="907" t="s">
        <v>3344</v>
      </c>
      <c r="C784" s="908">
        <v>6.7700000000000006E-5</v>
      </c>
      <c r="D784" s="908">
        <v>6.2500000000000001E-5</v>
      </c>
      <c r="E784" s="909">
        <v>21741.83</v>
      </c>
      <c r="F784" s="909">
        <v>28049.625</v>
      </c>
      <c r="G784" s="909">
        <v>143682</v>
      </c>
      <c r="H784" s="909"/>
      <c r="I784" s="910">
        <v>2700</v>
      </c>
      <c r="J784" s="910">
        <v>125911</v>
      </c>
      <c r="K784" s="910">
        <v>9841</v>
      </c>
      <c r="L784" s="909">
        <v>3106</v>
      </c>
      <c r="M784" s="909"/>
      <c r="N784" s="910">
        <v>5035</v>
      </c>
      <c r="O784" s="910">
        <v>46473</v>
      </c>
      <c r="P784" s="910">
        <v>0</v>
      </c>
      <c r="Q784" s="909">
        <v>2045</v>
      </c>
      <c r="R784" s="910">
        <f t="shared" si="12"/>
        <v>79438</v>
      </c>
      <c r="S784" s="909"/>
      <c r="T784" s="910">
        <v>38404</v>
      </c>
      <c r="U784" s="912">
        <v>1029</v>
      </c>
      <c r="V784" s="912">
        <v>39434</v>
      </c>
    </row>
    <row r="785" spans="1:22" x14ac:dyDescent="0.25">
      <c r="A785" s="906">
        <v>98501</v>
      </c>
      <c r="B785" s="907" t="s">
        <v>3345</v>
      </c>
      <c r="C785" s="908">
        <v>1.5690999999999999E-3</v>
      </c>
      <c r="D785" s="908">
        <v>1.5471E-3</v>
      </c>
      <c r="E785" s="909">
        <v>684836.9</v>
      </c>
      <c r="F785" s="909">
        <v>694329</v>
      </c>
      <c r="G785" s="909">
        <v>3330156</v>
      </c>
      <c r="H785" s="909"/>
      <c r="I785" s="910">
        <v>62568</v>
      </c>
      <c r="J785" s="910">
        <v>2918278</v>
      </c>
      <c r="K785" s="910">
        <v>228086</v>
      </c>
      <c r="L785" s="909">
        <v>44212</v>
      </c>
      <c r="M785" s="909"/>
      <c r="N785" s="910">
        <v>116692</v>
      </c>
      <c r="O785" s="910">
        <v>1077121</v>
      </c>
      <c r="P785" s="910">
        <v>0</v>
      </c>
      <c r="Q785" s="909">
        <v>5894</v>
      </c>
      <c r="R785" s="910">
        <f t="shared" si="12"/>
        <v>1841157</v>
      </c>
      <c r="S785" s="909"/>
      <c r="T785" s="910">
        <v>890102</v>
      </c>
      <c r="U785" s="912">
        <v>8576</v>
      </c>
      <c r="V785" s="912">
        <v>898678</v>
      </c>
    </row>
    <row r="786" spans="1:22" x14ac:dyDescent="0.25">
      <c r="A786" s="906">
        <v>98511</v>
      </c>
      <c r="B786" s="907" t="s">
        <v>3346</v>
      </c>
      <c r="C786" s="908">
        <v>4.5800000000000002E-5</v>
      </c>
      <c r="D786" s="908">
        <v>3.96E-5</v>
      </c>
      <c r="E786" s="909">
        <v>20253.45</v>
      </c>
      <c r="F786" s="909">
        <v>17772</v>
      </c>
      <c r="G786" s="909">
        <v>97203</v>
      </c>
      <c r="H786" s="909"/>
      <c r="I786" s="910">
        <v>1826.2750000000001</v>
      </c>
      <c r="J786" s="910">
        <v>85181</v>
      </c>
      <c r="K786" s="910">
        <v>6658</v>
      </c>
      <c r="L786" s="909">
        <v>4485</v>
      </c>
      <c r="M786" s="909"/>
      <c r="N786" s="910">
        <v>3406</v>
      </c>
      <c r="O786" s="910">
        <v>31440</v>
      </c>
      <c r="P786" s="910">
        <v>0</v>
      </c>
      <c r="Q786" s="909">
        <v>23108</v>
      </c>
      <c r="R786" s="910">
        <f t="shared" si="12"/>
        <v>53741</v>
      </c>
      <c r="S786" s="909"/>
      <c r="T786" s="910">
        <v>25981</v>
      </c>
      <c r="U786" s="912">
        <v>-10027</v>
      </c>
      <c r="V786" s="912">
        <v>15954</v>
      </c>
    </row>
    <row r="787" spans="1:22" x14ac:dyDescent="0.25">
      <c r="A787" s="906">
        <v>98517</v>
      </c>
      <c r="B787" s="907" t="s">
        <v>3347</v>
      </c>
      <c r="C787" s="908">
        <v>2.6000000000000001E-6</v>
      </c>
      <c r="D787" s="908">
        <v>3.3000000000000002E-6</v>
      </c>
      <c r="E787" s="909">
        <v>2175</v>
      </c>
      <c r="F787" s="909">
        <v>1481</v>
      </c>
      <c r="G787" s="909">
        <v>5518</v>
      </c>
      <c r="H787" s="909"/>
      <c r="I787" s="910">
        <v>103.675</v>
      </c>
      <c r="J787" s="910">
        <v>4836</v>
      </c>
      <c r="K787" s="910">
        <v>378</v>
      </c>
      <c r="L787" s="909">
        <v>1036</v>
      </c>
      <c r="M787" s="909"/>
      <c r="N787" s="910">
        <v>193</v>
      </c>
      <c r="O787" s="910">
        <v>1785</v>
      </c>
      <c r="P787" s="910">
        <v>0</v>
      </c>
      <c r="Q787" s="909">
        <v>0</v>
      </c>
      <c r="R787" s="910">
        <f t="shared" si="12"/>
        <v>3051</v>
      </c>
      <c r="S787" s="909"/>
      <c r="T787" s="910">
        <v>1475</v>
      </c>
      <c r="U787" s="912">
        <v>354</v>
      </c>
      <c r="V787" s="912">
        <v>1829</v>
      </c>
    </row>
    <row r="788" spans="1:22" x14ac:dyDescent="0.25">
      <c r="A788" s="906">
        <v>98521</v>
      </c>
      <c r="B788" s="907" t="s">
        <v>3348</v>
      </c>
      <c r="C788" s="908">
        <v>5.7059999999999999E-4</v>
      </c>
      <c r="D788" s="908">
        <v>6.3980000000000005E-4</v>
      </c>
      <c r="E788" s="909">
        <v>223042</v>
      </c>
      <c r="F788" s="909">
        <v>287138</v>
      </c>
      <c r="G788" s="909">
        <v>1211004</v>
      </c>
      <c r="H788" s="909"/>
      <c r="I788" s="910">
        <v>22753</v>
      </c>
      <c r="J788" s="910">
        <v>1061226</v>
      </c>
      <c r="K788" s="910">
        <v>82943</v>
      </c>
      <c r="L788" s="909">
        <v>0</v>
      </c>
      <c r="M788" s="909"/>
      <c r="N788" s="910">
        <v>42435</v>
      </c>
      <c r="O788" s="910">
        <v>391693</v>
      </c>
      <c r="P788" s="910">
        <v>0</v>
      </c>
      <c r="Q788" s="909">
        <v>62867</v>
      </c>
      <c r="R788" s="910">
        <f t="shared" si="12"/>
        <v>669533</v>
      </c>
      <c r="S788" s="909"/>
      <c r="T788" s="910">
        <v>323684</v>
      </c>
      <c r="U788" s="912">
        <v>-18900</v>
      </c>
      <c r="V788" s="912">
        <v>304784</v>
      </c>
    </row>
    <row r="789" spans="1:22" x14ac:dyDescent="0.25">
      <c r="A789" s="906">
        <v>98601</v>
      </c>
      <c r="B789" s="907" t="s">
        <v>3349</v>
      </c>
      <c r="C789" s="908">
        <v>3.5065999999999999E-3</v>
      </c>
      <c r="D789" s="908">
        <v>3.3880999999999998E-3</v>
      </c>
      <c r="E789" s="909">
        <v>1331350</v>
      </c>
      <c r="F789" s="909">
        <v>1520559</v>
      </c>
      <c r="G789" s="909">
        <v>7442180</v>
      </c>
      <c r="H789" s="909"/>
      <c r="I789" s="910">
        <v>139826</v>
      </c>
      <c r="J789" s="910">
        <v>6521722</v>
      </c>
      <c r="K789" s="910">
        <v>509723</v>
      </c>
      <c r="L789" s="909">
        <v>0</v>
      </c>
      <c r="M789" s="909"/>
      <c r="N789" s="910">
        <v>260782</v>
      </c>
      <c r="O789" s="910">
        <v>2407134</v>
      </c>
      <c r="P789" s="910">
        <v>0</v>
      </c>
      <c r="Q789" s="909">
        <v>160211</v>
      </c>
      <c r="R789" s="910">
        <f t="shared" si="12"/>
        <v>4114588</v>
      </c>
      <c r="S789" s="909"/>
      <c r="T789" s="910">
        <v>1989185</v>
      </c>
      <c r="U789" s="912">
        <v>-63543</v>
      </c>
      <c r="V789" s="912">
        <v>1925643</v>
      </c>
    </row>
    <row r="790" spans="1:22" x14ac:dyDescent="0.25">
      <c r="A790" s="906">
        <v>98604</v>
      </c>
      <c r="B790" s="907" t="s">
        <v>3350</v>
      </c>
      <c r="C790" s="908">
        <v>1.59E-5</v>
      </c>
      <c r="D790" s="908">
        <v>0</v>
      </c>
      <c r="E790" s="909">
        <v>5854</v>
      </c>
      <c r="F790" s="909">
        <v>0</v>
      </c>
      <c r="G790" s="909">
        <v>33745</v>
      </c>
      <c r="H790" s="909"/>
      <c r="I790" s="910">
        <v>634</v>
      </c>
      <c r="J790" s="910">
        <v>29571</v>
      </c>
      <c r="K790" s="910">
        <v>2311</v>
      </c>
      <c r="L790" s="909">
        <v>8069</v>
      </c>
      <c r="M790" s="909"/>
      <c r="N790" s="910">
        <v>1182</v>
      </c>
      <c r="O790" s="910">
        <v>10915</v>
      </c>
      <c r="P790" s="910">
        <v>0</v>
      </c>
      <c r="Q790" s="909">
        <v>0</v>
      </c>
      <c r="R790" s="910">
        <f t="shared" si="12"/>
        <v>18656</v>
      </c>
      <c r="S790" s="909"/>
      <c r="T790" s="910">
        <v>9020</v>
      </c>
      <c r="U790" s="912">
        <v>2090</v>
      </c>
      <c r="V790" s="912">
        <v>11110</v>
      </c>
    </row>
    <row r="791" spans="1:22" x14ac:dyDescent="0.25">
      <c r="A791" s="906">
        <v>98607</v>
      </c>
      <c r="B791" s="907" t="s">
        <v>3351</v>
      </c>
      <c r="C791" s="908">
        <v>5.9000000000000003E-6</v>
      </c>
      <c r="D791" s="908">
        <v>6.0000000000000002E-6</v>
      </c>
      <c r="E791" s="909">
        <v>2400</v>
      </c>
      <c r="F791" s="909">
        <v>2693</v>
      </c>
      <c r="G791" s="909">
        <v>12522</v>
      </c>
      <c r="H791" s="909"/>
      <c r="I791" s="910">
        <v>235</v>
      </c>
      <c r="J791" s="910">
        <v>10973</v>
      </c>
      <c r="K791" s="910">
        <v>858</v>
      </c>
      <c r="L791" s="909">
        <v>0</v>
      </c>
      <c r="M791" s="909"/>
      <c r="N791" s="910">
        <v>439</v>
      </c>
      <c r="O791" s="910">
        <v>4050</v>
      </c>
      <c r="P791" s="910">
        <v>0</v>
      </c>
      <c r="Q791" s="909">
        <v>2348</v>
      </c>
      <c r="R791" s="910">
        <f t="shared" si="12"/>
        <v>6923</v>
      </c>
      <c r="S791" s="909"/>
      <c r="T791" s="910">
        <v>3347</v>
      </c>
      <c r="U791" s="912">
        <v>-874</v>
      </c>
      <c r="V791" s="912">
        <v>2473</v>
      </c>
    </row>
    <row r="792" spans="1:22" x14ac:dyDescent="0.25">
      <c r="A792" s="906">
        <v>98608</v>
      </c>
      <c r="B792" s="907" t="s">
        <v>3352</v>
      </c>
      <c r="C792" s="908">
        <v>4.2299999999999998E-5</v>
      </c>
      <c r="D792" s="908">
        <v>5.4500000000000003E-5</v>
      </c>
      <c r="E792" s="909">
        <v>16593</v>
      </c>
      <c r="F792" s="909">
        <v>24459</v>
      </c>
      <c r="G792" s="909">
        <v>89775</v>
      </c>
      <c r="H792" s="909"/>
      <c r="I792" s="910">
        <v>1687</v>
      </c>
      <c r="J792" s="910">
        <v>78671</v>
      </c>
      <c r="K792" s="910">
        <v>6149</v>
      </c>
      <c r="L792" s="909">
        <v>6369</v>
      </c>
      <c r="M792" s="909"/>
      <c r="N792" s="910">
        <v>3146</v>
      </c>
      <c r="O792" s="910">
        <v>29037</v>
      </c>
      <c r="P792" s="910">
        <v>0</v>
      </c>
      <c r="Q792" s="909">
        <v>7247</v>
      </c>
      <c r="R792" s="910">
        <f t="shared" si="12"/>
        <v>49634</v>
      </c>
      <c r="S792" s="909"/>
      <c r="T792" s="910">
        <v>23995</v>
      </c>
      <c r="U792" s="912">
        <v>566</v>
      </c>
      <c r="V792" s="912">
        <v>24562</v>
      </c>
    </row>
    <row r="793" spans="1:22" x14ac:dyDescent="0.25">
      <c r="A793" s="906">
        <v>98611</v>
      </c>
      <c r="B793" s="907" t="s">
        <v>3353</v>
      </c>
      <c r="C793" s="908">
        <v>8.6700000000000007E-5</v>
      </c>
      <c r="D793" s="908">
        <v>1.2129999999999999E-4</v>
      </c>
      <c r="E793" s="909">
        <v>43078</v>
      </c>
      <c r="F793" s="909">
        <v>54439</v>
      </c>
      <c r="G793" s="909">
        <v>184006</v>
      </c>
      <c r="H793" s="909"/>
      <c r="I793" s="910">
        <v>3457</v>
      </c>
      <c r="J793" s="910">
        <v>161248</v>
      </c>
      <c r="K793" s="910">
        <v>12603</v>
      </c>
      <c r="L793" s="909">
        <v>4723</v>
      </c>
      <c r="M793" s="909"/>
      <c r="N793" s="910">
        <v>6448</v>
      </c>
      <c r="O793" s="910">
        <v>59516</v>
      </c>
      <c r="P793" s="910">
        <v>0</v>
      </c>
      <c r="Q793" s="909">
        <v>12848</v>
      </c>
      <c r="R793" s="910">
        <f t="shared" si="12"/>
        <v>101732</v>
      </c>
      <c r="S793" s="909"/>
      <c r="T793" s="910">
        <v>49182</v>
      </c>
      <c r="U793" s="912">
        <v>-1131</v>
      </c>
      <c r="V793" s="912">
        <v>48051</v>
      </c>
    </row>
    <row r="794" spans="1:22" x14ac:dyDescent="0.25">
      <c r="A794" s="906">
        <v>98621</v>
      </c>
      <c r="B794" s="907" t="s">
        <v>3354</v>
      </c>
      <c r="C794" s="908">
        <v>1.3239999999999999E-4</v>
      </c>
      <c r="D794" s="908">
        <v>1.2740000000000001E-4</v>
      </c>
      <c r="E794" s="909">
        <v>45779.06</v>
      </c>
      <c r="F794" s="909">
        <v>57176</v>
      </c>
      <c r="G794" s="909">
        <v>280997</v>
      </c>
      <c r="H794" s="909"/>
      <c r="I794" s="910">
        <v>5279.45</v>
      </c>
      <c r="J794" s="910">
        <v>246243</v>
      </c>
      <c r="K794" s="910">
        <v>19246</v>
      </c>
      <c r="L794" s="909">
        <v>951</v>
      </c>
      <c r="M794" s="909"/>
      <c r="N794" s="910">
        <v>9846</v>
      </c>
      <c r="O794" s="910">
        <v>90887</v>
      </c>
      <c r="P794" s="910">
        <v>0</v>
      </c>
      <c r="Q794" s="909">
        <v>9470</v>
      </c>
      <c r="R794" s="910">
        <f t="shared" si="12"/>
        <v>155356</v>
      </c>
      <c r="S794" s="909"/>
      <c r="T794" s="910">
        <v>75106</v>
      </c>
      <c r="U794" s="912">
        <v>-2481</v>
      </c>
      <c r="V794" s="912">
        <v>72625</v>
      </c>
    </row>
    <row r="795" spans="1:22" x14ac:dyDescent="0.25">
      <c r="A795" s="906">
        <v>98627</v>
      </c>
      <c r="B795" s="907" t="s">
        <v>3355</v>
      </c>
      <c r="C795" s="908">
        <v>9.3999999999999998E-6</v>
      </c>
      <c r="D795" s="908">
        <v>7.4000000000000003E-6</v>
      </c>
      <c r="E795" s="909">
        <v>3039</v>
      </c>
      <c r="F795" s="909">
        <v>3321</v>
      </c>
      <c r="G795" s="909">
        <v>19950</v>
      </c>
      <c r="H795" s="909"/>
      <c r="I795" s="910">
        <v>374.82499999999999</v>
      </c>
      <c r="J795" s="910">
        <v>17483</v>
      </c>
      <c r="K795" s="910">
        <v>1366</v>
      </c>
      <c r="L795" s="909">
        <v>426</v>
      </c>
      <c r="M795" s="909"/>
      <c r="N795" s="910">
        <v>699</v>
      </c>
      <c r="O795" s="910">
        <v>6453</v>
      </c>
      <c r="P795" s="910">
        <v>0</v>
      </c>
      <c r="Q795" s="909">
        <v>202</v>
      </c>
      <c r="R795" s="910">
        <f t="shared" si="12"/>
        <v>11030</v>
      </c>
      <c r="S795" s="909"/>
      <c r="T795" s="910">
        <v>5332</v>
      </c>
      <c r="U795" s="912">
        <v>25</v>
      </c>
      <c r="V795" s="912">
        <v>5357</v>
      </c>
    </row>
    <row r="796" spans="1:22" x14ac:dyDescent="0.25">
      <c r="A796" s="906">
        <v>98631</v>
      </c>
      <c r="B796" s="907" t="s">
        <v>3356</v>
      </c>
      <c r="C796" s="908">
        <v>1.0415000000000001E-3</v>
      </c>
      <c r="D796" s="908">
        <v>1.1375000000000001E-3</v>
      </c>
      <c r="E796" s="909">
        <v>412487</v>
      </c>
      <c r="F796" s="909">
        <v>510503</v>
      </c>
      <c r="G796" s="909">
        <v>2210412</v>
      </c>
      <c r="H796" s="909"/>
      <c r="I796" s="910">
        <v>41530</v>
      </c>
      <c r="J796" s="910">
        <v>1937025</v>
      </c>
      <c r="K796" s="910">
        <v>151393</v>
      </c>
      <c r="L796" s="909">
        <v>0</v>
      </c>
      <c r="M796" s="909"/>
      <c r="N796" s="910">
        <v>77455</v>
      </c>
      <c r="O796" s="910">
        <v>714946</v>
      </c>
      <c r="P796" s="910">
        <v>0</v>
      </c>
      <c r="Q796" s="909">
        <v>118586</v>
      </c>
      <c r="R796" s="910">
        <f t="shared" si="12"/>
        <v>1222079</v>
      </c>
      <c r="S796" s="909"/>
      <c r="T796" s="910">
        <v>590811</v>
      </c>
      <c r="U796" s="912">
        <v>-36690</v>
      </c>
      <c r="V796" s="912">
        <v>554121</v>
      </c>
    </row>
    <row r="797" spans="1:22" x14ac:dyDescent="0.25">
      <c r="A797" s="906">
        <v>98637</v>
      </c>
      <c r="B797" s="907" t="s">
        <v>3357</v>
      </c>
      <c r="C797" s="908">
        <v>2.2200000000000001E-5</v>
      </c>
      <c r="D797" s="908">
        <v>2.3499999999999999E-5</v>
      </c>
      <c r="E797" s="909">
        <v>14030</v>
      </c>
      <c r="F797" s="909">
        <v>10547</v>
      </c>
      <c r="G797" s="909">
        <v>47116</v>
      </c>
      <c r="H797" s="909"/>
      <c r="I797" s="910">
        <v>885.22500000000002</v>
      </c>
      <c r="J797" s="910">
        <v>41288</v>
      </c>
      <c r="K797" s="910">
        <v>3227</v>
      </c>
      <c r="L797" s="909">
        <v>6585</v>
      </c>
      <c r="M797" s="909"/>
      <c r="N797" s="910">
        <v>1651</v>
      </c>
      <c r="O797" s="910">
        <v>15239</v>
      </c>
      <c r="P797" s="910">
        <v>0</v>
      </c>
      <c r="Q797" s="909">
        <v>0</v>
      </c>
      <c r="R797" s="910">
        <f t="shared" si="12"/>
        <v>26049</v>
      </c>
      <c r="S797" s="909"/>
      <c r="T797" s="910">
        <v>12593</v>
      </c>
      <c r="U797" s="912">
        <v>2204</v>
      </c>
      <c r="V797" s="912">
        <v>14798</v>
      </c>
    </row>
    <row r="798" spans="1:22" x14ac:dyDescent="0.25">
      <c r="A798" s="906">
        <v>98641</v>
      </c>
      <c r="B798" s="907" t="s">
        <v>3358</v>
      </c>
      <c r="C798" s="908">
        <v>3.0019999999999998E-4</v>
      </c>
      <c r="D798" s="908">
        <v>3.1819999999999998E-4</v>
      </c>
      <c r="E798" s="909">
        <v>122410</v>
      </c>
      <c r="F798" s="909">
        <v>142806</v>
      </c>
      <c r="G798" s="909">
        <v>637125</v>
      </c>
      <c r="H798" s="909"/>
      <c r="I798" s="910">
        <v>11970</v>
      </c>
      <c r="J798" s="910">
        <v>558325</v>
      </c>
      <c r="K798" s="910">
        <v>43637</v>
      </c>
      <c r="L798" s="909">
        <v>4514</v>
      </c>
      <c r="M798" s="909"/>
      <c r="N798" s="910">
        <v>22326</v>
      </c>
      <c r="O798" s="910">
        <v>206075</v>
      </c>
      <c r="P798" s="910">
        <v>0</v>
      </c>
      <c r="Q798" s="909">
        <v>10581</v>
      </c>
      <c r="R798" s="910">
        <f t="shared" si="12"/>
        <v>352250</v>
      </c>
      <c r="S798" s="909"/>
      <c r="T798" s="910">
        <v>170294</v>
      </c>
      <c r="U798" s="912">
        <v>-473</v>
      </c>
      <c r="V798" s="912">
        <v>169821</v>
      </c>
    </row>
    <row r="799" spans="1:22" x14ac:dyDescent="0.25">
      <c r="A799" s="906">
        <v>98647</v>
      </c>
      <c r="B799" s="907" t="s">
        <v>3359</v>
      </c>
      <c r="C799" s="908">
        <v>0</v>
      </c>
      <c r="D799" s="908">
        <v>1.24E-5</v>
      </c>
      <c r="E799" s="909">
        <v>0</v>
      </c>
      <c r="F799" s="909">
        <v>5565</v>
      </c>
      <c r="G799" s="909">
        <v>0</v>
      </c>
      <c r="H799" s="909"/>
      <c r="I799" s="910">
        <v>0</v>
      </c>
      <c r="J799" s="910">
        <v>0</v>
      </c>
      <c r="K799" s="910">
        <v>0</v>
      </c>
      <c r="L799" s="909">
        <v>4884</v>
      </c>
      <c r="M799" s="909"/>
      <c r="N799" s="910">
        <v>0</v>
      </c>
      <c r="O799" s="910">
        <v>0</v>
      </c>
      <c r="P799" s="910">
        <v>0</v>
      </c>
      <c r="Q799" s="909">
        <v>6717</v>
      </c>
      <c r="R799" s="910">
        <f t="shared" si="12"/>
        <v>0</v>
      </c>
      <c r="S799" s="909"/>
      <c r="T799" s="910">
        <v>0</v>
      </c>
      <c r="U799" s="912">
        <v>178</v>
      </c>
      <c r="V799" s="912">
        <v>178</v>
      </c>
    </row>
    <row r="800" spans="1:22" x14ac:dyDescent="0.25">
      <c r="A800" s="906">
        <v>98701</v>
      </c>
      <c r="B800" s="907" t="s">
        <v>3360</v>
      </c>
      <c r="C800" s="908">
        <v>1.1793000000000001E-3</v>
      </c>
      <c r="D800" s="908">
        <v>1.0842E-3</v>
      </c>
      <c r="E800" s="909">
        <v>425946.13</v>
      </c>
      <c r="F800" s="909">
        <v>486582</v>
      </c>
      <c r="G800" s="909">
        <v>2502870</v>
      </c>
      <c r="H800" s="909"/>
      <c r="I800" s="910">
        <v>47025</v>
      </c>
      <c r="J800" s="910">
        <v>2193312</v>
      </c>
      <c r="K800" s="910">
        <v>171424</v>
      </c>
      <c r="L800" s="909">
        <v>4631</v>
      </c>
      <c r="M800" s="909"/>
      <c r="N800" s="910">
        <v>87703</v>
      </c>
      <c r="O800" s="910">
        <v>809540</v>
      </c>
      <c r="P800" s="910">
        <v>0</v>
      </c>
      <c r="Q800" s="909">
        <v>48875</v>
      </c>
      <c r="R800" s="910">
        <f t="shared" si="12"/>
        <v>1383772</v>
      </c>
      <c r="S800" s="909"/>
      <c r="T800" s="910">
        <v>668980</v>
      </c>
      <c r="U800" s="912">
        <v>-17040</v>
      </c>
      <c r="V800" s="912">
        <v>651940</v>
      </c>
    </row>
    <row r="801" spans="1:22" x14ac:dyDescent="0.25">
      <c r="A801" s="906">
        <v>98711</v>
      </c>
      <c r="B801" s="907" t="s">
        <v>3361</v>
      </c>
      <c r="C801" s="908">
        <v>1.8039999999999999E-4</v>
      </c>
      <c r="D801" s="908">
        <v>1.7589999999999999E-4</v>
      </c>
      <c r="E801" s="909">
        <v>62580</v>
      </c>
      <c r="F801" s="909">
        <v>78943</v>
      </c>
      <c r="G801" s="909">
        <v>382869</v>
      </c>
      <c r="H801" s="909"/>
      <c r="I801" s="910">
        <v>7193.45</v>
      </c>
      <c r="J801" s="910">
        <v>335515</v>
      </c>
      <c r="K801" s="910">
        <v>26223</v>
      </c>
      <c r="L801" s="909">
        <v>2488</v>
      </c>
      <c r="M801" s="909"/>
      <c r="N801" s="910">
        <v>13416</v>
      </c>
      <c r="O801" s="910">
        <v>123837</v>
      </c>
      <c r="P801" s="910">
        <v>0</v>
      </c>
      <c r="Q801" s="909">
        <v>10451</v>
      </c>
      <c r="R801" s="910">
        <f t="shared" si="12"/>
        <v>211678</v>
      </c>
      <c r="S801" s="909"/>
      <c r="T801" s="910">
        <v>102335</v>
      </c>
      <c r="U801" s="912">
        <v>-1808</v>
      </c>
      <c r="V801" s="912">
        <v>100527</v>
      </c>
    </row>
    <row r="802" spans="1:22" x14ac:dyDescent="0.25">
      <c r="A802" s="906">
        <v>98717</v>
      </c>
      <c r="B802" s="907" t="s">
        <v>3362</v>
      </c>
      <c r="C802" s="908">
        <v>1.8600000000000001E-5</v>
      </c>
      <c r="D802" s="908">
        <v>1.98E-5</v>
      </c>
      <c r="E802" s="909">
        <v>7761</v>
      </c>
      <c r="F802" s="909">
        <v>8886</v>
      </c>
      <c r="G802" s="909">
        <v>39475</v>
      </c>
      <c r="H802" s="909"/>
      <c r="I802" s="910">
        <v>742</v>
      </c>
      <c r="J802" s="910">
        <v>34593</v>
      </c>
      <c r="K802" s="910">
        <v>2704</v>
      </c>
      <c r="L802" s="909">
        <v>783</v>
      </c>
      <c r="M802" s="909"/>
      <c r="N802" s="910">
        <v>1383</v>
      </c>
      <c r="O802" s="910">
        <v>12768</v>
      </c>
      <c r="P802" s="910">
        <v>0</v>
      </c>
      <c r="Q802" s="909">
        <v>798</v>
      </c>
      <c r="R802" s="910">
        <f t="shared" si="12"/>
        <v>21825</v>
      </c>
      <c r="S802" s="909"/>
      <c r="T802" s="910">
        <v>10551</v>
      </c>
      <c r="U802" s="912">
        <v>13</v>
      </c>
      <c r="V802" s="912">
        <v>10565</v>
      </c>
    </row>
    <row r="803" spans="1:22" x14ac:dyDescent="0.25">
      <c r="A803" s="906">
        <v>98801</v>
      </c>
      <c r="B803" s="907" t="s">
        <v>3363</v>
      </c>
      <c r="C803" s="908">
        <v>2.1771999999999998E-3</v>
      </c>
      <c r="D803" s="908">
        <v>2.1686000000000001E-3</v>
      </c>
      <c r="E803" s="909">
        <v>916501</v>
      </c>
      <c r="F803" s="909">
        <v>973255</v>
      </c>
      <c r="G803" s="909">
        <v>4620748</v>
      </c>
      <c r="H803" s="909"/>
      <c r="I803" s="910">
        <v>86816</v>
      </c>
      <c r="J803" s="910">
        <v>4049248</v>
      </c>
      <c r="K803" s="910">
        <v>316480</v>
      </c>
      <c r="L803" s="909">
        <v>92904</v>
      </c>
      <c r="M803" s="909"/>
      <c r="N803" s="910">
        <v>161916</v>
      </c>
      <c r="O803" s="910">
        <v>1494556</v>
      </c>
      <c r="P803" s="910">
        <v>0</v>
      </c>
      <c r="Q803" s="909">
        <v>0</v>
      </c>
      <c r="R803" s="910">
        <f t="shared" si="12"/>
        <v>2554692</v>
      </c>
      <c r="S803" s="909"/>
      <c r="T803" s="910">
        <v>1235058</v>
      </c>
      <c r="U803" s="912">
        <v>33821</v>
      </c>
      <c r="V803" s="912">
        <v>1268879</v>
      </c>
    </row>
    <row r="804" spans="1:22" x14ac:dyDescent="0.25">
      <c r="A804" s="906">
        <v>98811</v>
      </c>
      <c r="B804" s="907" t="s">
        <v>3364</v>
      </c>
      <c r="C804" s="908">
        <v>7.1120000000000005E-4</v>
      </c>
      <c r="D804" s="908">
        <v>7.737E-4</v>
      </c>
      <c r="E804" s="909">
        <v>290528</v>
      </c>
      <c r="F804" s="909">
        <v>347232</v>
      </c>
      <c r="G804" s="909">
        <v>1509405</v>
      </c>
      <c r="H804" s="909"/>
      <c r="I804" s="910">
        <v>28359</v>
      </c>
      <c r="J804" s="910">
        <v>1322720</v>
      </c>
      <c r="K804" s="910">
        <v>103381</v>
      </c>
      <c r="L804" s="909">
        <v>31001</v>
      </c>
      <c r="M804" s="909"/>
      <c r="N804" s="910">
        <v>52891</v>
      </c>
      <c r="O804" s="910">
        <v>488209</v>
      </c>
      <c r="P804" s="910">
        <v>0</v>
      </c>
      <c r="Q804" s="909">
        <v>35404</v>
      </c>
      <c r="R804" s="910">
        <f t="shared" si="12"/>
        <v>834511</v>
      </c>
      <c r="S804" s="909"/>
      <c r="T804" s="910">
        <v>403442</v>
      </c>
      <c r="U804" s="912">
        <v>4854</v>
      </c>
      <c r="V804" s="912">
        <v>408295</v>
      </c>
    </row>
    <row r="805" spans="1:22" x14ac:dyDescent="0.25">
      <c r="A805" s="906">
        <v>98817</v>
      </c>
      <c r="B805" s="907" t="s">
        <v>3365</v>
      </c>
      <c r="C805" s="908">
        <v>2.34E-5</v>
      </c>
      <c r="D805" s="908">
        <v>2.6400000000000001E-5</v>
      </c>
      <c r="E805" s="909">
        <v>11958.25</v>
      </c>
      <c r="F805" s="909">
        <v>11848</v>
      </c>
      <c r="G805" s="909">
        <v>49663</v>
      </c>
      <c r="H805" s="909"/>
      <c r="I805" s="910">
        <v>933</v>
      </c>
      <c r="J805" s="910">
        <v>43520</v>
      </c>
      <c r="K805" s="910">
        <v>3401</v>
      </c>
      <c r="L805" s="909">
        <v>244</v>
      </c>
      <c r="M805" s="909"/>
      <c r="N805" s="910">
        <v>1740</v>
      </c>
      <c r="O805" s="910">
        <v>16063</v>
      </c>
      <c r="P805" s="910">
        <v>0</v>
      </c>
      <c r="Q805" s="909">
        <v>4380</v>
      </c>
      <c r="R805" s="910">
        <f t="shared" si="12"/>
        <v>27457</v>
      </c>
      <c r="S805" s="909"/>
      <c r="T805" s="910">
        <v>13274</v>
      </c>
      <c r="U805" s="912">
        <v>-2136</v>
      </c>
      <c r="V805" s="912">
        <v>11138</v>
      </c>
    </row>
    <row r="806" spans="1:22" x14ac:dyDescent="0.25">
      <c r="A806" s="906">
        <v>98901</v>
      </c>
      <c r="B806" s="907" t="s">
        <v>3366</v>
      </c>
      <c r="C806" s="908">
        <v>3.392E-4</v>
      </c>
      <c r="D806" s="908">
        <v>3.4190000000000002E-4</v>
      </c>
      <c r="E806" s="909">
        <v>138121</v>
      </c>
      <c r="F806" s="909">
        <v>153443</v>
      </c>
      <c r="G806" s="909">
        <v>719896</v>
      </c>
      <c r="H806" s="909"/>
      <c r="I806" s="910">
        <v>13525.6</v>
      </c>
      <c r="J806" s="910">
        <v>630858</v>
      </c>
      <c r="K806" s="910">
        <v>49306</v>
      </c>
      <c r="L806" s="909">
        <v>2099</v>
      </c>
      <c r="M806" s="909"/>
      <c r="N806" s="910">
        <v>25226</v>
      </c>
      <c r="O806" s="910">
        <v>232847</v>
      </c>
      <c r="P806" s="910">
        <v>0</v>
      </c>
      <c r="Q806" s="909">
        <v>3837</v>
      </c>
      <c r="R806" s="910">
        <f t="shared" si="12"/>
        <v>398011</v>
      </c>
      <c r="S806" s="909"/>
      <c r="T806" s="910">
        <v>192418</v>
      </c>
      <c r="U806" s="912">
        <v>-562</v>
      </c>
      <c r="V806" s="912">
        <v>191855</v>
      </c>
    </row>
    <row r="807" spans="1:22" x14ac:dyDescent="0.25">
      <c r="A807" s="906">
        <v>98904</v>
      </c>
      <c r="B807" s="907" t="s">
        <v>3367</v>
      </c>
      <c r="C807" s="908">
        <v>5.2000000000000002E-6</v>
      </c>
      <c r="D807" s="908">
        <v>3.4000000000000001E-6</v>
      </c>
      <c r="E807" s="909">
        <v>0</v>
      </c>
      <c r="F807" s="909">
        <v>1526</v>
      </c>
      <c r="G807" s="909">
        <v>11036</v>
      </c>
      <c r="H807" s="909"/>
      <c r="I807" s="910">
        <v>207.35</v>
      </c>
      <c r="J807" s="910">
        <v>9671</v>
      </c>
      <c r="K807" s="910">
        <v>756</v>
      </c>
      <c r="L807" s="909">
        <v>575</v>
      </c>
      <c r="M807" s="909"/>
      <c r="N807" s="910">
        <v>387</v>
      </c>
      <c r="O807" s="910">
        <v>3570</v>
      </c>
      <c r="P807" s="910">
        <v>0</v>
      </c>
      <c r="Q807" s="909">
        <v>723</v>
      </c>
      <c r="R807" s="910">
        <f t="shared" si="12"/>
        <v>6101</v>
      </c>
      <c r="S807" s="909"/>
      <c r="T807" s="910">
        <v>2950</v>
      </c>
      <c r="U807" s="912">
        <v>22</v>
      </c>
      <c r="V807" s="912">
        <v>2972</v>
      </c>
    </row>
    <row r="808" spans="1:22" x14ac:dyDescent="0.25">
      <c r="A808" s="906">
        <v>98911</v>
      </c>
      <c r="B808" s="907" t="s">
        <v>3368</v>
      </c>
      <c r="C808" s="908">
        <v>2.8600000000000001E-5</v>
      </c>
      <c r="D808" s="908">
        <v>2.5899999999999999E-5</v>
      </c>
      <c r="E808" s="909">
        <v>16745</v>
      </c>
      <c r="F808" s="909">
        <v>11624</v>
      </c>
      <c r="G808" s="909">
        <v>60699</v>
      </c>
      <c r="H808" s="909"/>
      <c r="I808" s="910">
        <v>1140.425</v>
      </c>
      <c r="J808" s="910">
        <v>53191</v>
      </c>
      <c r="K808" s="910">
        <v>4157</v>
      </c>
      <c r="L808" s="909">
        <v>13795</v>
      </c>
      <c r="M808" s="909"/>
      <c r="N808" s="910">
        <v>2127</v>
      </c>
      <c r="O808" s="910">
        <v>19633</v>
      </c>
      <c r="P808" s="910">
        <v>0</v>
      </c>
      <c r="Q808" s="909">
        <v>0</v>
      </c>
      <c r="R808" s="910">
        <f t="shared" si="12"/>
        <v>33558</v>
      </c>
      <c r="S808" s="909"/>
      <c r="T808" s="910">
        <v>16224</v>
      </c>
      <c r="U808" s="912">
        <v>4655</v>
      </c>
      <c r="V808" s="912">
        <v>20879</v>
      </c>
    </row>
    <row r="809" spans="1:22" x14ac:dyDescent="0.25">
      <c r="A809" s="906">
        <v>99001</v>
      </c>
      <c r="B809" s="907" t="s">
        <v>3369</v>
      </c>
      <c r="C809" s="908">
        <v>7.8098999999999998E-3</v>
      </c>
      <c r="D809" s="908">
        <v>7.5116999999999996E-3</v>
      </c>
      <c r="E809" s="909">
        <v>3132308</v>
      </c>
      <c r="F809" s="909">
        <v>3371206</v>
      </c>
      <c r="G809" s="909">
        <v>16575224</v>
      </c>
      <c r="H809" s="909"/>
      <c r="I809" s="910">
        <v>311420</v>
      </c>
      <c r="J809" s="910">
        <v>14525180</v>
      </c>
      <c r="K809" s="910">
        <v>1135255</v>
      </c>
      <c r="L809" s="909">
        <v>444444</v>
      </c>
      <c r="M809" s="909"/>
      <c r="N809" s="910">
        <v>580814</v>
      </c>
      <c r="O809" s="910">
        <v>5361168</v>
      </c>
      <c r="P809" s="910">
        <v>0</v>
      </c>
      <c r="Q809" s="909">
        <v>0</v>
      </c>
      <c r="R809" s="910">
        <f t="shared" si="12"/>
        <v>9164012</v>
      </c>
      <c r="S809" s="909"/>
      <c r="T809" s="910">
        <v>4430314</v>
      </c>
      <c r="U809" s="912">
        <v>166582</v>
      </c>
      <c r="V809" s="912">
        <v>4596896</v>
      </c>
    </row>
    <row r="810" spans="1:22" x14ac:dyDescent="0.25">
      <c r="A810" s="906">
        <v>99011</v>
      </c>
      <c r="B810" s="907" t="s">
        <v>3370</v>
      </c>
      <c r="C810" s="908">
        <v>3.9039000000000001E-3</v>
      </c>
      <c r="D810" s="908">
        <v>4.3128999999999997E-3</v>
      </c>
      <c r="E810" s="909">
        <v>1564249</v>
      </c>
      <c r="F810" s="909">
        <v>1935604</v>
      </c>
      <c r="G810" s="909">
        <v>8285384</v>
      </c>
      <c r="H810" s="909"/>
      <c r="I810" s="910">
        <v>155668</v>
      </c>
      <c r="J810" s="910">
        <v>7260637</v>
      </c>
      <c r="K810" s="910">
        <v>567475</v>
      </c>
      <c r="L810" s="909">
        <v>0</v>
      </c>
      <c r="M810" s="909"/>
      <c r="N810" s="910">
        <v>290329</v>
      </c>
      <c r="O810" s="910">
        <v>2679863</v>
      </c>
      <c r="P810" s="910">
        <v>0</v>
      </c>
      <c r="Q810" s="909">
        <v>573396</v>
      </c>
      <c r="R810" s="910">
        <f t="shared" si="12"/>
        <v>4580774</v>
      </c>
      <c r="S810" s="909"/>
      <c r="T810" s="910">
        <v>2214561</v>
      </c>
      <c r="U810" s="912">
        <v>-205801</v>
      </c>
      <c r="V810" s="912">
        <v>2008761</v>
      </c>
    </row>
    <row r="811" spans="1:22" x14ac:dyDescent="0.25">
      <c r="A811" s="906">
        <v>99013</v>
      </c>
      <c r="B811" s="907" t="s">
        <v>3371</v>
      </c>
      <c r="C811" s="908">
        <v>6.02E-5</v>
      </c>
      <c r="D811" s="908">
        <v>7.2299999999999996E-5</v>
      </c>
      <c r="E811" s="909">
        <v>23490.16</v>
      </c>
      <c r="F811" s="909">
        <v>32448</v>
      </c>
      <c r="G811" s="909">
        <v>127765</v>
      </c>
      <c r="H811" s="909"/>
      <c r="I811" s="910">
        <v>2400.4749999999999</v>
      </c>
      <c r="J811" s="910">
        <v>111962</v>
      </c>
      <c r="K811" s="910">
        <v>8751</v>
      </c>
      <c r="L811" s="909">
        <v>20</v>
      </c>
      <c r="M811" s="909"/>
      <c r="N811" s="910">
        <v>4477</v>
      </c>
      <c r="O811" s="910">
        <v>41325</v>
      </c>
      <c r="P811" s="910">
        <v>0</v>
      </c>
      <c r="Q811" s="909">
        <v>8750</v>
      </c>
      <c r="R811" s="910">
        <f t="shared" si="12"/>
        <v>70637</v>
      </c>
      <c r="S811" s="909"/>
      <c r="T811" s="910">
        <v>34150</v>
      </c>
      <c r="U811" s="912">
        <v>-2370</v>
      </c>
      <c r="V811" s="912">
        <v>31779</v>
      </c>
    </row>
    <row r="812" spans="1:22" x14ac:dyDescent="0.25">
      <c r="A812" s="906">
        <v>99014</v>
      </c>
      <c r="B812" s="907" t="s">
        <v>3372</v>
      </c>
      <c r="C812" s="908">
        <v>2.4199999999999999E-5</v>
      </c>
      <c r="D812" s="908">
        <v>0</v>
      </c>
      <c r="E812" s="909">
        <v>13216.55</v>
      </c>
      <c r="F812" s="909">
        <v>0</v>
      </c>
      <c r="G812" s="909">
        <v>51361</v>
      </c>
      <c r="H812" s="909"/>
      <c r="I812" s="910">
        <v>965</v>
      </c>
      <c r="J812" s="910">
        <v>45008</v>
      </c>
      <c r="K812" s="910">
        <v>3518</v>
      </c>
      <c r="L812" s="909">
        <v>15702</v>
      </c>
      <c r="M812" s="909"/>
      <c r="N812" s="910">
        <v>1800</v>
      </c>
      <c r="O812" s="910">
        <v>16612</v>
      </c>
      <c r="P812" s="910">
        <v>0</v>
      </c>
      <c r="Q812" s="909">
        <v>0</v>
      </c>
      <c r="R812" s="910">
        <f t="shared" si="12"/>
        <v>28396</v>
      </c>
      <c r="S812" s="909"/>
      <c r="T812" s="910">
        <v>13728</v>
      </c>
      <c r="U812" s="912">
        <v>4068</v>
      </c>
      <c r="V812" s="912">
        <v>17796</v>
      </c>
    </row>
    <row r="813" spans="1:22" x14ac:dyDescent="0.25">
      <c r="A813" s="906">
        <v>99017</v>
      </c>
      <c r="B813" s="907" t="s">
        <v>3373</v>
      </c>
      <c r="C813" s="908">
        <v>4.6999999999999997E-5</v>
      </c>
      <c r="D813" s="908">
        <v>4.1199999999999999E-5</v>
      </c>
      <c r="E813" s="909">
        <v>19641</v>
      </c>
      <c r="F813" s="909">
        <v>18490</v>
      </c>
      <c r="G813" s="909">
        <v>99750</v>
      </c>
      <c r="H813" s="909"/>
      <c r="I813" s="910">
        <v>1874.125</v>
      </c>
      <c r="J813" s="910">
        <v>87413</v>
      </c>
      <c r="K813" s="910">
        <v>6832</v>
      </c>
      <c r="L813" s="909">
        <v>5674</v>
      </c>
      <c r="M813" s="909"/>
      <c r="N813" s="910">
        <v>3495</v>
      </c>
      <c r="O813" s="910">
        <v>32264</v>
      </c>
      <c r="P813" s="910">
        <v>0</v>
      </c>
      <c r="Q813" s="909">
        <v>6645</v>
      </c>
      <c r="R813" s="910">
        <f t="shared" si="12"/>
        <v>55149</v>
      </c>
      <c r="S813" s="909"/>
      <c r="T813" s="910">
        <v>26662</v>
      </c>
      <c r="U813" s="912">
        <v>-1651</v>
      </c>
      <c r="V813" s="912">
        <v>25011</v>
      </c>
    </row>
    <row r="814" spans="1:22" x14ac:dyDescent="0.25">
      <c r="A814" s="906">
        <v>99021</v>
      </c>
      <c r="B814" s="907" t="s">
        <v>3374</v>
      </c>
      <c r="C814" s="908">
        <v>1.3420000000000001E-4</v>
      </c>
      <c r="D814" s="908">
        <v>1.3990000000000001E-4</v>
      </c>
      <c r="E814" s="909">
        <v>57840</v>
      </c>
      <c r="F814" s="909">
        <v>62786</v>
      </c>
      <c r="G814" s="909">
        <v>284817</v>
      </c>
      <c r="H814" s="909"/>
      <c r="I814" s="910">
        <v>5351</v>
      </c>
      <c r="J814" s="910">
        <v>249591</v>
      </c>
      <c r="K814" s="910">
        <v>19507</v>
      </c>
      <c r="L814" s="909">
        <v>5869</v>
      </c>
      <c r="M814" s="909"/>
      <c r="N814" s="910">
        <v>9980</v>
      </c>
      <c r="O814" s="910">
        <v>92123</v>
      </c>
      <c r="P814" s="910">
        <v>0</v>
      </c>
      <c r="Q814" s="909">
        <v>982</v>
      </c>
      <c r="R814" s="910">
        <f t="shared" si="12"/>
        <v>157468</v>
      </c>
      <c r="S814" s="909"/>
      <c r="T814" s="910">
        <v>76127</v>
      </c>
      <c r="U814" s="912">
        <v>1992</v>
      </c>
      <c r="V814" s="912">
        <v>78120</v>
      </c>
    </row>
    <row r="815" spans="1:22" x14ac:dyDescent="0.25">
      <c r="A815" s="906">
        <v>99022</v>
      </c>
      <c r="B815" s="907" t="s">
        <v>1970</v>
      </c>
      <c r="C815" s="908">
        <v>1.1800000000000001E-5</v>
      </c>
      <c r="D815" s="908">
        <v>1.33E-5</v>
      </c>
      <c r="E815" s="909">
        <v>10517</v>
      </c>
      <c r="F815" s="909">
        <v>5969</v>
      </c>
      <c r="G815" s="909">
        <v>25044</v>
      </c>
      <c r="H815" s="909"/>
      <c r="I815" s="910">
        <v>471</v>
      </c>
      <c r="J815" s="910">
        <v>21946</v>
      </c>
      <c r="K815" s="910">
        <v>1715</v>
      </c>
      <c r="L815" s="909">
        <v>6383</v>
      </c>
      <c r="M815" s="909"/>
      <c r="N815" s="910">
        <v>878</v>
      </c>
      <c r="O815" s="910">
        <v>8100</v>
      </c>
      <c r="P815" s="910">
        <v>0</v>
      </c>
      <c r="Q815" s="909">
        <v>264.67</v>
      </c>
      <c r="R815" s="910">
        <f t="shared" si="12"/>
        <v>13846</v>
      </c>
      <c r="S815" s="909"/>
      <c r="T815" s="910">
        <v>6694</v>
      </c>
      <c r="U815" s="912">
        <v>1778</v>
      </c>
      <c r="V815" s="912">
        <v>8472</v>
      </c>
    </row>
    <row r="816" spans="1:22" x14ac:dyDescent="0.25">
      <c r="A816" s="906">
        <v>99031</v>
      </c>
      <c r="B816" s="907" t="s">
        <v>3375</v>
      </c>
      <c r="C816" s="908">
        <v>1.5970000000000001E-4</v>
      </c>
      <c r="D816" s="908">
        <v>1.2860000000000001E-4</v>
      </c>
      <c r="E816" s="909">
        <v>49299</v>
      </c>
      <c r="F816" s="909">
        <v>57715</v>
      </c>
      <c r="G816" s="909">
        <v>338937</v>
      </c>
      <c r="H816" s="909"/>
      <c r="I816" s="910">
        <v>6368</v>
      </c>
      <c r="J816" s="910">
        <v>297017</v>
      </c>
      <c r="K816" s="910">
        <v>23214</v>
      </c>
      <c r="L816" s="909">
        <v>3840</v>
      </c>
      <c r="M816" s="909"/>
      <c r="N816" s="910">
        <v>11877</v>
      </c>
      <c r="O816" s="910">
        <v>109627</v>
      </c>
      <c r="P816" s="910">
        <v>0</v>
      </c>
      <c r="Q816" s="909">
        <v>20151</v>
      </c>
      <c r="R816" s="910">
        <f t="shared" si="12"/>
        <v>187390</v>
      </c>
      <c r="S816" s="909"/>
      <c r="T816" s="910">
        <v>90593</v>
      </c>
      <c r="U816" s="912">
        <v>-8432</v>
      </c>
      <c r="V816" s="912">
        <v>82161</v>
      </c>
    </row>
    <row r="817" spans="1:22" x14ac:dyDescent="0.25">
      <c r="A817" s="906">
        <v>99041</v>
      </c>
      <c r="B817" s="907" t="s">
        <v>3376</v>
      </c>
      <c r="C817" s="908">
        <v>5.6289999999999997E-4</v>
      </c>
      <c r="D817" s="908">
        <v>5.0670000000000001E-4</v>
      </c>
      <c r="E817" s="909">
        <v>202619</v>
      </c>
      <c r="F817" s="909">
        <v>227404</v>
      </c>
      <c r="G817" s="909">
        <v>1194662</v>
      </c>
      <c r="H817" s="909"/>
      <c r="I817" s="910">
        <v>22446</v>
      </c>
      <c r="J817" s="910">
        <v>1046905</v>
      </c>
      <c r="K817" s="910">
        <v>81824</v>
      </c>
      <c r="L817" s="909">
        <v>59009</v>
      </c>
      <c r="M817" s="909"/>
      <c r="N817" s="910">
        <v>41862</v>
      </c>
      <c r="O817" s="910">
        <v>386407</v>
      </c>
      <c r="P817" s="910">
        <v>0</v>
      </c>
      <c r="Q817" s="909">
        <v>0</v>
      </c>
      <c r="R817" s="910">
        <f t="shared" si="12"/>
        <v>660498</v>
      </c>
      <c r="S817" s="909"/>
      <c r="T817" s="910">
        <v>319316</v>
      </c>
      <c r="U817" s="912">
        <v>24415</v>
      </c>
      <c r="V817" s="912">
        <v>343731</v>
      </c>
    </row>
    <row r="818" spans="1:22" x14ac:dyDescent="0.25">
      <c r="A818" s="906">
        <v>99047</v>
      </c>
      <c r="B818" s="907" t="s">
        <v>3377</v>
      </c>
      <c r="C818" s="908">
        <v>9.2E-6</v>
      </c>
      <c r="D818" s="908">
        <v>1.19E-5</v>
      </c>
      <c r="E818" s="909">
        <v>6483</v>
      </c>
      <c r="F818" s="909">
        <v>5341</v>
      </c>
      <c r="G818" s="909">
        <v>19525</v>
      </c>
      <c r="H818" s="909"/>
      <c r="I818" s="910">
        <v>366.85</v>
      </c>
      <c r="J818" s="910">
        <v>17111</v>
      </c>
      <c r="K818" s="910">
        <v>1337</v>
      </c>
      <c r="L818" s="909">
        <v>3322</v>
      </c>
      <c r="M818" s="909"/>
      <c r="N818" s="910">
        <v>684</v>
      </c>
      <c r="O818" s="910">
        <v>6315</v>
      </c>
      <c r="P818" s="910">
        <v>0</v>
      </c>
      <c r="Q818" s="909">
        <v>0</v>
      </c>
      <c r="R818" s="910">
        <f t="shared" si="12"/>
        <v>10796</v>
      </c>
      <c r="S818" s="909"/>
      <c r="T818" s="910">
        <v>5219</v>
      </c>
      <c r="U818" s="912">
        <v>1258</v>
      </c>
      <c r="V818" s="912">
        <v>6477</v>
      </c>
    </row>
    <row r="819" spans="1:22" x14ac:dyDescent="0.25">
      <c r="A819" s="906">
        <v>99051</v>
      </c>
      <c r="B819" s="907" t="s">
        <v>3378</v>
      </c>
      <c r="C819" s="908">
        <v>3.3349999999999997E-4</v>
      </c>
      <c r="D819" s="908">
        <v>2.8449999999999998E-4</v>
      </c>
      <c r="E819" s="909">
        <v>116232</v>
      </c>
      <c r="F819" s="909">
        <v>127682</v>
      </c>
      <c r="G819" s="909">
        <v>707799</v>
      </c>
      <c r="H819" s="909"/>
      <c r="I819" s="910">
        <v>13298</v>
      </c>
      <c r="J819" s="910">
        <v>620257</v>
      </c>
      <c r="K819" s="910">
        <v>48478</v>
      </c>
      <c r="L819" s="909">
        <v>16843</v>
      </c>
      <c r="M819" s="909"/>
      <c r="N819" s="910">
        <v>24802</v>
      </c>
      <c r="O819" s="910">
        <v>228934</v>
      </c>
      <c r="P819" s="910">
        <v>0</v>
      </c>
      <c r="Q819" s="909">
        <v>0</v>
      </c>
      <c r="R819" s="910">
        <f t="shared" si="12"/>
        <v>391323</v>
      </c>
      <c r="S819" s="909"/>
      <c r="T819" s="910">
        <v>189184</v>
      </c>
      <c r="U819" s="912">
        <v>5410</v>
      </c>
      <c r="V819" s="912">
        <v>194594</v>
      </c>
    </row>
    <row r="820" spans="1:22" x14ac:dyDescent="0.25">
      <c r="A820" s="906">
        <v>99061</v>
      </c>
      <c r="B820" s="907" t="s">
        <v>3379</v>
      </c>
      <c r="C820" s="908">
        <v>8.3999999999999992E-6</v>
      </c>
      <c r="D820" s="908">
        <v>8.8000000000000004E-6</v>
      </c>
      <c r="E820" s="909">
        <v>7400.82</v>
      </c>
      <c r="F820" s="909">
        <v>3949</v>
      </c>
      <c r="G820" s="909">
        <v>17828</v>
      </c>
      <c r="H820" s="909"/>
      <c r="I820" s="910">
        <v>334.95</v>
      </c>
      <c r="J820" s="910">
        <v>15623</v>
      </c>
      <c r="K820" s="910">
        <v>1221</v>
      </c>
      <c r="L820" s="909">
        <v>6023</v>
      </c>
      <c r="M820" s="909"/>
      <c r="N820" s="910">
        <v>625</v>
      </c>
      <c r="O820" s="910">
        <v>5766</v>
      </c>
      <c r="P820" s="910">
        <v>0</v>
      </c>
      <c r="Q820" s="909">
        <v>0</v>
      </c>
      <c r="R820" s="910">
        <f t="shared" si="12"/>
        <v>9857</v>
      </c>
      <c r="S820" s="909"/>
      <c r="T820" s="910">
        <v>4765</v>
      </c>
      <c r="U820" s="912">
        <v>1888</v>
      </c>
      <c r="V820" s="912">
        <v>6653</v>
      </c>
    </row>
    <row r="821" spans="1:22" x14ac:dyDescent="0.25">
      <c r="A821" s="906">
        <v>99071</v>
      </c>
      <c r="B821" s="907" t="s">
        <v>3380</v>
      </c>
      <c r="C821" s="908">
        <v>3.0499999999999999E-5</v>
      </c>
      <c r="D821" s="908">
        <v>3.9799999999999998E-5</v>
      </c>
      <c r="E821" s="909">
        <v>18015</v>
      </c>
      <c r="F821" s="909">
        <v>17862</v>
      </c>
      <c r="G821" s="909">
        <v>64731</v>
      </c>
      <c r="H821" s="909"/>
      <c r="I821" s="910">
        <v>1216.1875</v>
      </c>
      <c r="J821" s="910">
        <v>56725</v>
      </c>
      <c r="K821" s="910">
        <v>4434</v>
      </c>
      <c r="L821" s="909">
        <v>0</v>
      </c>
      <c r="M821" s="909"/>
      <c r="N821" s="910">
        <v>2268</v>
      </c>
      <c r="O821" s="910">
        <v>20937</v>
      </c>
      <c r="P821" s="910">
        <v>0</v>
      </c>
      <c r="Q821" s="909">
        <v>3405</v>
      </c>
      <c r="R821" s="910">
        <f t="shared" si="12"/>
        <v>35788</v>
      </c>
      <c r="S821" s="909"/>
      <c r="T821" s="910">
        <v>17302</v>
      </c>
      <c r="U821" s="912">
        <v>-1312</v>
      </c>
      <c r="V821" s="912">
        <v>15990</v>
      </c>
    </row>
    <row r="822" spans="1:22" x14ac:dyDescent="0.25">
      <c r="A822" s="906">
        <v>99081</v>
      </c>
      <c r="B822" s="907" t="s">
        <v>3381</v>
      </c>
      <c r="C822" s="908">
        <v>2.9600000000000001E-5</v>
      </c>
      <c r="D822" s="908">
        <v>3.6999999999999998E-5</v>
      </c>
      <c r="E822" s="909">
        <v>11739.53</v>
      </c>
      <c r="F822" s="909">
        <v>16605</v>
      </c>
      <c r="G822" s="909">
        <v>62821</v>
      </c>
      <c r="H822" s="909"/>
      <c r="I822" s="910">
        <v>1180.3</v>
      </c>
      <c r="J822" s="910">
        <v>55051</v>
      </c>
      <c r="K822" s="910">
        <v>4303</v>
      </c>
      <c r="L822" s="909">
        <v>5558</v>
      </c>
      <c r="M822" s="909"/>
      <c r="N822" s="910">
        <v>2201</v>
      </c>
      <c r="O822" s="910">
        <v>20319</v>
      </c>
      <c r="P822" s="910">
        <v>0</v>
      </c>
      <c r="Q822" s="909">
        <v>7640</v>
      </c>
      <c r="R822" s="910">
        <f t="shared" si="12"/>
        <v>34732</v>
      </c>
      <c r="S822" s="909"/>
      <c r="T822" s="910">
        <v>16791</v>
      </c>
      <c r="U822" s="912">
        <v>-809</v>
      </c>
      <c r="V822" s="912">
        <v>15982</v>
      </c>
    </row>
    <row r="823" spans="1:22" x14ac:dyDescent="0.25">
      <c r="A823" s="906">
        <v>99091</v>
      </c>
      <c r="B823" s="907" t="s">
        <v>3382</v>
      </c>
      <c r="C823" s="908">
        <v>4.1999999999999996E-6</v>
      </c>
      <c r="D823" s="908">
        <v>4.7999999999999998E-6</v>
      </c>
      <c r="E823" s="909">
        <v>4170.01</v>
      </c>
      <c r="F823" s="909">
        <v>2154</v>
      </c>
      <c r="G823" s="909">
        <v>8914</v>
      </c>
      <c r="H823" s="909"/>
      <c r="I823" s="910">
        <v>167.47499999999999</v>
      </c>
      <c r="J823" s="910">
        <v>7811</v>
      </c>
      <c r="K823" s="910">
        <v>611</v>
      </c>
      <c r="L823" s="909">
        <v>2618</v>
      </c>
      <c r="M823" s="909"/>
      <c r="N823" s="910">
        <v>312</v>
      </c>
      <c r="O823" s="910">
        <v>2883</v>
      </c>
      <c r="P823" s="910">
        <v>0</v>
      </c>
      <c r="Q823" s="909">
        <v>6497.35</v>
      </c>
      <c r="R823" s="910">
        <f t="shared" si="12"/>
        <v>4928</v>
      </c>
      <c r="S823" s="909"/>
      <c r="T823" s="910">
        <v>2383</v>
      </c>
      <c r="U823" s="912">
        <v>-2491</v>
      </c>
      <c r="V823" s="912">
        <v>-108</v>
      </c>
    </row>
    <row r="824" spans="1:22" x14ac:dyDescent="0.25">
      <c r="A824" s="906">
        <v>99101</v>
      </c>
      <c r="B824" s="907" t="s">
        <v>3383</v>
      </c>
      <c r="C824" s="908">
        <v>2.0087999999999998E-3</v>
      </c>
      <c r="D824" s="908">
        <v>2.026E-3</v>
      </c>
      <c r="E824" s="909">
        <v>792557.39</v>
      </c>
      <c r="F824" s="909">
        <v>909257</v>
      </c>
      <c r="G824" s="909">
        <v>4263347</v>
      </c>
      <c r="H824" s="909"/>
      <c r="I824" s="910">
        <v>80101</v>
      </c>
      <c r="J824" s="910">
        <v>3736051</v>
      </c>
      <c r="K824" s="910">
        <v>292001</v>
      </c>
      <c r="L824" s="909">
        <v>7868</v>
      </c>
      <c r="M824" s="909"/>
      <c r="N824" s="910">
        <v>149392</v>
      </c>
      <c r="O824" s="910">
        <v>1378957</v>
      </c>
      <c r="P824" s="910">
        <v>0</v>
      </c>
      <c r="Q824" s="909">
        <v>72656</v>
      </c>
      <c r="R824" s="910">
        <f t="shared" si="12"/>
        <v>2357094</v>
      </c>
      <c r="S824" s="909"/>
      <c r="T824" s="910">
        <v>1139530</v>
      </c>
      <c r="U824" s="912">
        <v>-24965</v>
      </c>
      <c r="V824" s="912">
        <v>1114565</v>
      </c>
    </row>
    <row r="825" spans="1:22" x14ac:dyDescent="0.25">
      <c r="A825" s="906">
        <v>99104</v>
      </c>
      <c r="B825" s="907" t="s">
        <v>3384</v>
      </c>
      <c r="C825" s="908">
        <v>3.4799999999999999E-5</v>
      </c>
      <c r="D825" s="908">
        <v>2.55E-5</v>
      </c>
      <c r="E825" s="909">
        <v>18414</v>
      </c>
      <c r="F825" s="909">
        <v>11444</v>
      </c>
      <c r="G825" s="909">
        <v>73857</v>
      </c>
      <c r="H825" s="909"/>
      <c r="I825" s="910">
        <v>1388</v>
      </c>
      <c r="J825" s="910">
        <v>64723</v>
      </c>
      <c r="K825" s="910">
        <v>5059</v>
      </c>
      <c r="L825" s="909">
        <v>14979</v>
      </c>
      <c r="M825" s="909"/>
      <c r="N825" s="910">
        <v>2588</v>
      </c>
      <c r="O825" s="910">
        <v>23889</v>
      </c>
      <c r="P825" s="910">
        <v>0</v>
      </c>
      <c r="Q825" s="909">
        <v>0</v>
      </c>
      <c r="R825" s="910">
        <f t="shared" si="12"/>
        <v>40834</v>
      </c>
      <c r="S825" s="909"/>
      <c r="T825" s="910">
        <v>19741</v>
      </c>
      <c r="U825" s="912">
        <v>4886</v>
      </c>
      <c r="V825" s="912">
        <v>24627</v>
      </c>
    </row>
    <row r="826" spans="1:22" x14ac:dyDescent="0.25">
      <c r="A826" s="906">
        <v>99109</v>
      </c>
      <c r="B826" s="907" t="s">
        <v>3385</v>
      </c>
      <c r="C826" s="908">
        <v>1.1849999999999999E-4</v>
      </c>
      <c r="D826" s="908">
        <v>1.4129999999999999E-4</v>
      </c>
      <c r="E826" s="909">
        <v>48014.54</v>
      </c>
      <c r="F826" s="909">
        <v>63415</v>
      </c>
      <c r="G826" s="909">
        <v>251497</v>
      </c>
      <c r="H826" s="909"/>
      <c r="I826" s="910">
        <v>4725.1875</v>
      </c>
      <c r="J826" s="910">
        <v>220391</v>
      </c>
      <c r="K826" s="910">
        <v>17225</v>
      </c>
      <c r="L826" s="909">
        <v>5297</v>
      </c>
      <c r="M826" s="909"/>
      <c r="N826" s="910">
        <v>8813</v>
      </c>
      <c r="O826" s="910">
        <v>81345</v>
      </c>
      <c r="P826" s="910">
        <v>0</v>
      </c>
      <c r="Q826" s="909">
        <v>22236</v>
      </c>
      <c r="R826" s="910">
        <f t="shared" si="12"/>
        <v>139046</v>
      </c>
      <c r="S826" s="909"/>
      <c r="T826" s="910">
        <v>67221</v>
      </c>
      <c r="U826" s="912">
        <v>-6150</v>
      </c>
      <c r="V826" s="912">
        <v>61071</v>
      </c>
    </row>
    <row r="827" spans="1:22" x14ac:dyDescent="0.25">
      <c r="A827" s="906">
        <v>99110</v>
      </c>
      <c r="B827" s="907" t="s">
        <v>3386</v>
      </c>
      <c r="C827" s="908">
        <v>1.8369999999999999E-4</v>
      </c>
      <c r="D827" s="908">
        <v>1.728E-4</v>
      </c>
      <c r="E827" s="909">
        <v>101918</v>
      </c>
      <c r="F827" s="909">
        <v>77552</v>
      </c>
      <c r="G827" s="909">
        <v>389873</v>
      </c>
      <c r="H827" s="909"/>
      <c r="I827" s="910">
        <v>7325</v>
      </c>
      <c r="J827" s="910">
        <v>341653</v>
      </c>
      <c r="K827" s="910">
        <v>26703</v>
      </c>
      <c r="L827" s="909">
        <v>63672</v>
      </c>
      <c r="M827" s="909"/>
      <c r="N827" s="910">
        <v>13662</v>
      </c>
      <c r="O827" s="910">
        <v>126102</v>
      </c>
      <c r="P827" s="910">
        <v>0</v>
      </c>
      <c r="Q827" s="909">
        <v>0</v>
      </c>
      <c r="R827" s="910">
        <f t="shared" si="12"/>
        <v>215551</v>
      </c>
      <c r="S827" s="909"/>
      <c r="T827" s="910">
        <v>104207</v>
      </c>
      <c r="U827" s="912">
        <v>21007</v>
      </c>
      <c r="V827" s="912">
        <v>125214</v>
      </c>
    </row>
    <row r="828" spans="1:22" x14ac:dyDescent="0.25">
      <c r="A828" s="906">
        <v>99111</v>
      </c>
      <c r="B828" s="907" t="s">
        <v>3387</v>
      </c>
      <c r="C828" s="908">
        <v>1.2757000000000001E-3</v>
      </c>
      <c r="D828" s="908">
        <v>1.3278000000000001E-3</v>
      </c>
      <c r="E828" s="909">
        <v>486451</v>
      </c>
      <c r="F828" s="909">
        <v>595909</v>
      </c>
      <c r="G828" s="909">
        <v>2707463</v>
      </c>
      <c r="H828" s="909"/>
      <c r="I828" s="910">
        <v>50869</v>
      </c>
      <c r="J828" s="910">
        <v>2372600</v>
      </c>
      <c r="K828" s="910">
        <v>185437</v>
      </c>
      <c r="L828" s="909">
        <v>0</v>
      </c>
      <c r="M828" s="909"/>
      <c r="N828" s="910">
        <v>94873</v>
      </c>
      <c r="O828" s="910">
        <v>875714</v>
      </c>
      <c r="P828" s="910">
        <v>0</v>
      </c>
      <c r="Q828" s="909">
        <v>165116</v>
      </c>
      <c r="R828" s="910">
        <f t="shared" si="12"/>
        <v>1496886</v>
      </c>
      <c r="S828" s="909"/>
      <c r="T828" s="910">
        <v>723665</v>
      </c>
      <c r="U828" s="912">
        <v>-59086</v>
      </c>
      <c r="V828" s="912">
        <v>664579</v>
      </c>
    </row>
    <row r="829" spans="1:22" x14ac:dyDescent="0.25">
      <c r="A829" s="906">
        <v>99201</v>
      </c>
      <c r="B829" s="907" t="s">
        <v>3388</v>
      </c>
      <c r="C829" s="908">
        <v>3.22145E-2</v>
      </c>
      <c r="D829" s="908">
        <v>3.0831399999999998E-2</v>
      </c>
      <c r="E829" s="909">
        <v>12898805</v>
      </c>
      <c r="F829" s="909">
        <v>13836947</v>
      </c>
      <c r="G829" s="909">
        <v>68369961</v>
      </c>
      <c r="H829" s="909"/>
      <c r="I829" s="910">
        <v>1284553</v>
      </c>
      <c r="J829" s="910">
        <v>59913880</v>
      </c>
      <c r="K829" s="910">
        <v>4682732</v>
      </c>
      <c r="L829" s="909">
        <v>1101849</v>
      </c>
      <c r="M829" s="909"/>
      <c r="N829" s="910">
        <v>2395760</v>
      </c>
      <c r="O829" s="910">
        <v>22113901</v>
      </c>
      <c r="P829" s="910">
        <v>0</v>
      </c>
      <c r="Q829" s="909">
        <v>485474</v>
      </c>
      <c r="R829" s="910">
        <f t="shared" si="12"/>
        <v>37799979</v>
      </c>
      <c r="S829" s="909"/>
      <c r="T829" s="910">
        <v>18274287</v>
      </c>
      <c r="U829" s="912">
        <v>101682</v>
      </c>
      <c r="V829" s="912">
        <v>18375969</v>
      </c>
    </row>
    <row r="830" spans="1:22" x14ac:dyDescent="0.25">
      <c r="A830" s="906">
        <v>99202</v>
      </c>
      <c r="B830" s="907" t="s">
        <v>3389</v>
      </c>
      <c r="C830" s="908">
        <v>2.5138000000000001E-3</v>
      </c>
      <c r="D830" s="908">
        <v>2.6002999999999998E-3</v>
      </c>
      <c r="E830" s="909">
        <v>915266</v>
      </c>
      <c r="F830" s="909">
        <v>1166999</v>
      </c>
      <c r="G830" s="909">
        <v>5335126</v>
      </c>
      <c r="H830" s="909"/>
      <c r="I830" s="910">
        <v>100238</v>
      </c>
      <c r="J830" s="910">
        <v>4675271</v>
      </c>
      <c r="K830" s="910">
        <v>365408</v>
      </c>
      <c r="L830" s="909">
        <v>0</v>
      </c>
      <c r="M830" s="909"/>
      <c r="N830" s="910">
        <v>186949</v>
      </c>
      <c r="O830" s="910">
        <v>1725618</v>
      </c>
      <c r="P830" s="910">
        <v>0</v>
      </c>
      <c r="Q830" s="909">
        <v>202410</v>
      </c>
      <c r="R830" s="910">
        <f t="shared" si="12"/>
        <v>2949653</v>
      </c>
      <c r="S830" s="909"/>
      <c r="T830" s="910">
        <v>1426001</v>
      </c>
      <c r="U830" s="912">
        <v>-62123</v>
      </c>
      <c r="V830" s="912">
        <v>1363878</v>
      </c>
    </row>
    <row r="831" spans="1:22" x14ac:dyDescent="0.25">
      <c r="A831" s="906">
        <v>99203</v>
      </c>
      <c r="B831" s="907" t="s">
        <v>3390</v>
      </c>
      <c r="C831" s="908">
        <v>3.1990000000000002E-4</v>
      </c>
      <c r="D831" s="908">
        <v>2.5050000000000002E-4</v>
      </c>
      <c r="E831" s="909">
        <v>105117</v>
      </c>
      <c r="F831" s="909">
        <v>112423</v>
      </c>
      <c r="G831" s="909">
        <v>678935</v>
      </c>
      <c r="H831" s="909"/>
      <c r="I831" s="910">
        <v>12756</v>
      </c>
      <c r="J831" s="910">
        <v>594963</v>
      </c>
      <c r="K831" s="910">
        <v>46501</v>
      </c>
      <c r="L831" s="909">
        <v>40829</v>
      </c>
      <c r="M831" s="909"/>
      <c r="N831" s="910">
        <v>23791</v>
      </c>
      <c r="O831" s="910">
        <v>219598</v>
      </c>
      <c r="P831" s="910">
        <v>0</v>
      </c>
      <c r="Q831" s="909">
        <v>0</v>
      </c>
      <c r="R831" s="910">
        <f t="shared" si="12"/>
        <v>375365</v>
      </c>
      <c r="S831" s="909"/>
      <c r="T831" s="910">
        <v>181469</v>
      </c>
      <c r="U831" s="912">
        <v>16396</v>
      </c>
      <c r="V831" s="912">
        <v>197865</v>
      </c>
    </row>
    <row r="832" spans="1:22" x14ac:dyDescent="0.25">
      <c r="A832" s="906">
        <v>99204</v>
      </c>
      <c r="B832" s="907" t="s">
        <v>3391</v>
      </c>
      <c r="C832" s="908">
        <v>7.4910000000000005E-4</v>
      </c>
      <c r="D832" s="908">
        <v>6.5600000000000001E-4</v>
      </c>
      <c r="E832" s="909">
        <v>316209.94</v>
      </c>
      <c r="F832" s="909">
        <v>294409</v>
      </c>
      <c r="G832" s="909">
        <v>1589841</v>
      </c>
      <c r="H832" s="909"/>
      <c r="I832" s="910">
        <v>29870</v>
      </c>
      <c r="J832" s="910">
        <v>1393208</v>
      </c>
      <c r="K832" s="910">
        <v>108890</v>
      </c>
      <c r="L832" s="909">
        <v>82158</v>
      </c>
      <c r="M832" s="909"/>
      <c r="N832" s="910">
        <v>55710</v>
      </c>
      <c r="O832" s="910">
        <v>514226</v>
      </c>
      <c r="P832" s="910">
        <v>0</v>
      </c>
      <c r="Q832" s="909">
        <v>0</v>
      </c>
      <c r="R832" s="910">
        <f t="shared" si="12"/>
        <v>878982</v>
      </c>
      <c r="S832" s="909"/>
      <c r="T832" s="910">
        <v>424941</v>
      </c>
      <c r="U832" s="912">
        <v>24836</v>
      </c>
      <c r="V832" s="912">
        <v>449777</v>
      </c>
    </row>
    <row r="833" spans="1:22" x14ac:dyDescent="0.25">
      <c r="A833" s="906">
        <v>99206</v>
      </c>
      <c r="B833" s="907" t="s">
        <v>3392</v>
      </c>
      <c r="C833" s="908">
        <v>1.6665E-3</v>
      </c>
      <c r="D833" s="908">
        <v>1.9373999999999999E-3</v>
      </c>
      <c r="E833" s="909">
        <v>1101168.54</v>
      </c>
      <c r="F833" s="909">
        <v>869493</v>
      </c>
      <c r="G833" s="909">
        <v>3536871</v>
      </c>
      <c r="H833" s="909"/>
      <c r="I833" s="910">
        <v>66452</v>
      </c>
      <c r="J833" s="910">
        <v>3099427</v>
      </c>
      <c r="K833" s="910">
        <v>242244</v>
      </c>
      <c r="L833" s="909">
        <v>400880</v>
      </c>
      <c r="M833" s="909"/>
      <c r="N833" s="910">
        <v>123936</v>
      </c>
      <c r="O833" s="910">
        <v>1143982</v>
      </c>
      <c r="P833" s="910">
        <v>0</v>
      </c>
      <c r="Q833" s="909">
        <v>13550</v>
      </c>
      <c r="R833" s="910">
        <f t="shared" si="12"/>
        <v>1955445</v>
      </c>
      <c r="S833" s="909"/>
      <c r="T833" s="910">
        <v>945354</v>
      </c>
      <c r="U833" s="912">
        <v>117813</v>
      </c>
      <c r="V833" s="912">
        <v>1063167</v>
      </c>
    </row>
    <row r="834" spans="1:22" x14ac:dyDescent="0.25">
      <c r="A834" s="906">
        <v>99207</v>
      </c>
      <c r="B834" s="907" t="s">
        <v>3393</v>
      </c>
      <c r="C834" s="908">
        <v>1.3430000000000001E-4</v>
      </c>
      <c r="D834" s="908">
        <v>1.4320000000000001E-4</v>
      </c>
      <c r="E834" s="909">
        <v>122929.82</v>
      </c>
      <c r="F834" s="909">
        <v>64267</v>
      </c>
      <c r="G834" s="909">
        <v>285030</v>
      </c>
      <c r="H834" s="909"/>
      <c r="I834" s="910">
        <v>5355</v>
      </c>
      <c r="J834" s="910">
        <v>249777</v>
      </c>
      <c r="K834" s="910">
        <v>19522</v>
      </c>
      <c r="L834" s="909">
        <v>79584</v>
      </c>
      <c r="M834" s="909"/>
      <c r="N834" s="910">
        <v>9988</v>
      </c>
      <c r="O834" s="910">
        <v>92191</v>
      </c>
      <c r="P834" s="910">
        <v>0</v>
      </c>
      <c r="Q834" s="909">
        <v>0</v>
      </c>
      <c r="R834" s="910">
        <f t="shared" si="12"/>
        <v>157586</v>
      </c>
      <c r="S834" s="909"/>
      <c r="T834" s="910">
        <v>76184</v>
      </c>
      <c r="U834" s="912">
        <v>24293</v>
      </c>
      <c r="V834" s="912">
        <v>100477</v>
      </c>
    </row>
    <row r="835" spans="1:22" x14ac:dyDescent="0.25">
      <c r="A835" s="906">
        <v>99208</v>
      </c>
      <c r="B835" s="907" t="s">
        <v>3394</v>
      </c>
      <c r="C835" s="908">
        <v>1.3669999999999999E-4</v>
      </c>
      <c r="D835" s="908">
        <v>1.774E-4</v>
      </c>
      <c r="E835" s="909">
        <v>46840</v>
      </c>
      <c r="F835" s="909">
        <v>79616</v>
      </c>
      <c r="G835" s="909">
        <v>290123</v>
      </c>
      <c r="H835" s="909"/>
      <c r="I835" s="910">
        <v>5451</v>
      </c>
      <c r="J835" s="910">
        <v>254240</v>
      </c>
      <c r="K835" s="910">
        <v>19871</v>
      </c>
      <c r="L835" s="909">
        <v>0</v>
      </c>
      <c r="M835" s="909"/>
      <c r="N835" s="910">
        <v>10166</v>
      </c>
      <c r="O835" s="910">
        <v>93839</v>
      </c>
      <c r="P835" s="910">
        <v>0</v>
      </c>
      <c r="Q835" s="909">
        <v>57522</v>
      </c>
      <c r="R835" s="910">
        <f t="shared" si="12"/>
        <v>160401</v>
      </c>
      <c r="S835" s="909"/>
      <c r="T835" s="910">
        <v>77546</v>
      </c>
      <c r="U835" s="912">
        <v>-20235</v>
      </c>
      <c r="V835" s="912">
        <v>57311</v>
      </c>
    </row>
    <row r="836" spans="1:22" x14ac:dyDescent="0.25">
      <c r="A836" s="906">
        <v>99210</v>
      </c>
      <c r="B836" s="907" t="s">
        <v>3395</v>
      </c>
      <c r="C836" s="908">
        <v>1.5945E-3</v>
      </c>
      <c r="D836" s="908">
        <v>1.6262E-3</v>
      </c>
      <c r="E836" s="909">
        <v>706576</v>
      </c>
      <c r="F836" s="909">
        <v>729829</v>
      </c>
      <c r="G836" s="909">
        <v>3384063</v>
      </c>
      <c r="H836" s="909"/>
      <c r="I836" s="910">
        <v>63581</v>
      </c>
      <c r="J836" s="910">
        <v>2965518</v>
      </c>
      <c r="K836" s="910">
        <v>231778</v>
      </c>
      <c r="L836" s="909">
        <v>80869</v>
      </c>
      <c r="M836" s="909"/>
      <c r="N836" s="910">
        <v>118581</v>
      </c>
      <c r="O836" s="910">
        <v>1094557</v>
      </c>
      <c r="P836" s="910">
        <v>0</v>
      </c>
      <c r="Q836" s="909">
        <v>0</v>
      </c>
      <c r="R836" s="910">
        <f t="shared" si="12"/>
        <v>1870961</v>
      </c>
      <c r="S836" s="909"/>
      <c r="T836" s="910">
        <v>904510</v>
      </c>
      <c r="U836" s="912">
        <v>27611</v>
      </c>
      <c r="V836" s="912">
        <v>932122</v>
      </c>
    </row>
    <row r="837" spans="1:22" x14ac:dyDescent="0.25">
      <c r="A837" s="906">
        <v>99211</v>
      </c>
      <c r="B837" s="907" t="s">
        <v>3396</v>
      </c>
      <c r="C837" s="908">
        <v>3.8233999999999997E-2</v>
      </c>
      <c r="D837" s="908">
        <v>3.7564199999999999E-2</v>
      </c>
      <c r="E837" s="909">
        <v>14152947</v>
      </c>
      <c r="F837" s="909">
        <v>16858588</v>
      </c>
      <c r="G837" s="909">
        <v>81145356</v>
      </c>
      <c r="H837" s="909"/>
      <c r="I837" s="910">
        <v>1524580.75</v>
      </c>
      <c r="J837" s="910">
        <v>71109199</v>
      </c>
      <c r="K837" s="910">
        <v>5557732</v>
      </c>
      <c r="L837" s="909">
        <v>0</v>
      </c>
      <c r="M837" s="909"/>
      <c r="N837" s="910">
        <v>2843424</v>
      </c>
      <c r="O837" s="910">
        <v>26246035</v>
      </c>
      <c r="P837" s="910">
        <v>0</v>
      </c>
      <c r="Q837" s="909">
        <v>1538962</v>
      </c>
      <c r="R837" s="910">
        <f t="shared" si="12"/>
        <v>44863164</v>
      </c>
      <c r="S837" s="909"/>
      <c r="T837" s="910">
        <v>21688963</v>
      </c>
      <c r="U837" s="912">
        <v>-519725</v>
      </c>
      <c r="V837" s="912">
        <v>21169238</v>
      </c>
    </row>
    <row r="838" spans="1:22" x14ac:dyDescent="0.25">
      <c r="A838" s="906">
        <v>99212</v>
      </c>
      <c r="B838" s="907" t="s">
        <v>3397</v>
      </c>
      <c r="C838" s="908">
        <v>7.4400000000000006E-5</v>
      </c>
      <c r="D838" s="908">
        <v>1.2750000000000001E-4</v>
      </c>
      <c r="E838" s="909">
        <v>26346.03</v>
      </c>
      <c r="F838" s="909">
        <v>57221</v>
      </c>
      <c r="G838" s="909">
        <v>157902</v>
      </c>
      <c r="H838" s="909"/>
      <c r="I838" s="910">
        <v>2967</v>
      </c>
      <c r="J838" s="910">
        <v>138372</v>
      </c>
      <c r="K838" s="910">
        <v>10815</v>
      </c>
      <c r="L838" s="909">
        <v>0</v>
      </c>
      <c r="M838" s="909"/>
      <c r="N838" s="910">
        <v>5533</v>
      </c>
      <c r="O838" s="910">
        <v>51072</v>
      </c>
      <c r="P838" s="910">
        <v>0</v>
      </c>
      <c r="Q838" s="909">
        <v>49365</v>
      </c>
      <c r="R838" s="910">
        <f t="shared" si="12"/>
        <v>87300</v>
      </c>
      <c r="S838" s="909"/>
      <c r="T838" s="910">
        <v>42205</v>
      </c>
      <c r="U838" s="912">
        <v>-15321</v>
      </c>
      <c r="V838" s="912">
        <v>26884</v>
      </c>
    </row>
    <row r="839" spans="1:22" x14ac:dyDescent="0.25">
      <c r="A839" s="906">
        <v>99213</v>
      </c>
      <c r="B839" s="907" t="s">
        <v>3398</v>
      </c>
      <c r="C839" s="908">
        <v>8.0730000000000005E-4</v>
      </c>
      <c r="D839" s="908">
        <v>8.3339999999999998E-4</v>
      </c>
      <c r="E839" s="909">
        <v>326035</v>
      </c>
      <c r="F839" s="909">
        <v>374025</v>
      </c>
      <c r="G839" s="909">
        <v>1713361</v>
      </c>
      <c r="H839" s="909"/>
      <c r="I839" s="910">
        <v>32191</v>
      </c>
      <c r="J839" s="910">
        <v>1501450</v>
      </c>
      <c r="K839" s="910">
        <v>117350</v>
      </c>
      <c r="L839" s="909">
        <v>9384</v>
      </c>
      <c r="M839" s="909"/>
      <c r="N839" s="910">
        <v>60038</v>
      </c>
      <c r="O839" s="910">
        <v>554178</v>
      </c>
      <c r="P839" s="910">
        <v>0</v>
      </c>
      <c r="Q839" s="909">
        <v>21194</v>
      </c>
      <c r="R839" s="910">
        <f t="shared" ref="R839:R902" si="13">IF(J839&gt;O839,J839-O839,O839-J839)</f>
        <v>947272</v>
      </c>
      <c r="S839" s="909"/>
      <c r="T839" s="910">
        <v>457956</v>
      </c>
      <c r="U839" s="912">
        <v>-2728</v>
      </c>
      <c r="V839" s="912">
        <v>455228</v>
      </c>
    </row>
    <row r="840" spans="1:22" x14ac:dyDescent="0.25">
      <c r="A840" s="906">
        <v>99218</v>
      </c>
      <c r="B840" s="907" t="s">
        <v>3399</v>
      </c>
      <c r="C840" s="908">
        <v>3.1227999999999998E-3</v>
      </c>
      <c r="D840" s="908">
        <v>2.8506999999999998E-3</v>
      </c>
      <c r="E840" s="909">
        <v>1270452.44</v>
      </c>
      <c r="F840" s="909">
        <v>1279377</v>
      </c>
      <c r="G840" s="909">
        <v>6627628</v>
      </c>
      <c r="H840" s="909"/>
      <c r="I840" s="910">
        <v>124521.65</v>
      </c>
      <c r="J840" s="910">
        <v>5807915</v>
      </c>
      <c r="K840" s="910">
        <v>453933</v>
      </c>
      <c r="L840" s="909">
        <v>189764</v>
      </c>
      <c r="M840" s="909"/>
      <c r="N840" s="910">
        <v>232240</v>
      </c>
      <c r="O840" s="910">
        <v>2143671</v>
      </c>
      <c r="P840" s="910">
        <v>0</v>
      </c>
      <c r="Q840" s="909">
        <v>0</v>
      </c>
      <c r="R840" s="910">
        <f t="shared" si="13"/>
        <v>3664244</v>
      </c>
      <c r="S840" s="909"/>
      <c r="T840" s="910">
        <v>1771468</v>
      </c>
      <c r="U840" s="912">
        <v>55483</v>
      </c>
      <c r="V840" s="912">
        <v>1826951</v>
      </c>
    </row>
    <row r="841" spans="1:22" x14ac:dyDescent="0.25">
      <c r="A841" s="906">
        <v>99221</v>
      </c>
      <c r="B841" s="907" t="s">
        <v>3400</v>
      </c>
      <c r="C841" s="908">
        <v>1.3092700000000001E-2</v>
      </c>
      <c r="D841" s="908">
        <v>1.33233E-2</v>
      </c>
      <c r="E841" s="909">
        <v>4943528</v>
      </c>
      <c r="F841" s="909">
        <v>5979417</v>
      </c>
      <c r="G841" s="909">
        <v>27787095</v>
      </c>
      <c r="H841" s="909"/>
      <c r="I841" s="910">
        <v>522071</v>
      </c>
      <c r="J841" s="910">
        <v>24350353</v>
      </c>
      <c r="K841" s="910">
        <v>1903168</v>
      </c>
      <c r="L841" s="909">
        <v>0</v>
      </c>
      <c r="M841" s="909"/>
      <c r="N841" s="910">
        <v>973691</v>
      </c>
      <c r="O841" s="910">
        <v>8987589</v>
      </c>
      <c r="P841" s="910">
        <v>0</v>
      </c>
      <c r="Q841" s="909">
        <v>703621</v>
      </c>
      <c r="R841" s="910">
        <f t="shared" si="13"/>
        <v>15362764</v>
      </c>
      <c r="S841" s="909"/>
      <c r="T841" s="910">
        <v>7427083</v>
      </c>
      <c r="U841" s="912">
        <v>-220701</v>
      </c>
      <c r="V841" s="912">
        <v>7206381</v>
      </c>
    </row>
    <row r="842" spans="1:22" x14ac:dyDescent="0.25">
      <c r="A842" s="906">
        <v>99222</v>
      </c>
      <c r="B842" s="907" t="s">
        <v>3401</v>
      </c>
      <c r="C842" s="908">
        <v>4.0099999999999999E-5</v>
      </c>
      <c r="D842" s="908">
        <v>3.82E-5</v>
      </c>
      <c r="E842" s="909">
        <v>13647</v>
      </c>
      <c r="F842" s="909">
        <v>17144</v>
      </c>
      <c r="G842" s="909">
        <v>85106</v>
      </c>
      <c r="H842" s="909"/>
      <c r="I842" s="910">
        <v>1599</v>
      </c>
      <c r="J842" s="910">
        <v>74580</v>
      </c>
      <c r="K842" s="910">
        <v>5829</v>
      </c>
      <c r="L842" s="909">
        <v>3575</v>
      </c>
      <c r="M842" s="909"/>
      <c r="N842" s="910">
        <v>2982</v>
      </c>
      <c r="O842" s="910">
        <v>27527</v>
      </c>
      <c r="P842" s="910">
        <v>0</v>
      </c>
      <c r="Q842" s="909">
        <v>1230</v>
      </c>
      <c r="R842" s="910">
        <f t="shared" si="13"/>
        <v>47053</v>
      </c>
      <c r="S842" s="909"/>
      <c r="T842" s="910">
        <v>22747</v>
      </c>
      <c r="U842" s="912">
        <v>949</v>
      </c>
      <c r="V842" s="912">
        <v>23697</v>
      </c>
    </row>
    <row r="843" spans="1:22" x14ac:dyDescent="0.25">
      <c r="A843" s="906">
        <v>99231</v>
      </c>
      <c r="B843" s="907" t="s">
        <v>3402</v>
      </c>
      <c r="C843" s="908">
        <v>3.7869999999999999E-4</v>
      </c>
      <c r="D843" s="908">
        <v>3.7139999999999997E-4</v>
      </c>
      <c r="E843" s="909">
        <v>142098.15</v>
      </c>
      <c r="F843" s="909">
        <v>166682</v>
      </c>
      <c r="G843" s="909">
        <v>803728</v>
      </c>
      <c r="H843" s="909"/>
      <c r="I843" s="910">
        <v>15101</v>
      </c>
      <c r="J843" s="910">
        <v>704322</v>
      </c>
      <c r="K843" s="910">
        <v>55048</v>
      </c>
      <c r="L843" s="909">
        <v>0</v>
      </c>
      <c r="M843" s="909"/>
      <c r="N843" s="910">
        <v>28164</v>
      </c>
      <c r="O843" s="910">
        <v>259962</v>
      </c>
      <c r="P843" s="910">
        <v>0</v>
      </c>
      <c r="Q843" s="909">
        <v>27202</v>
      </c>
      <c r="R843" s="910">
        <f t="shared" si="13"/>
        <v>444360</v>
      </c>
      <c r="S843" s="909"/>
      <c r="T843" s="910">
        <v>214825</v>
      </c>
      <c r="U843" s="912">
        <v>-11082</v>
      </c>
      <c r="V843" s="912">
        <v>203743</v>
      </c>
    </row>
    <row r="844" spans="1:22" x14ac:dyDescent="0.25">
      <c r="A844" s="906">
        <v>99241</v>
      </c>
      <c r="B844" s="907" t="s">
        <v>3403</v>
      </c>
      <c r="C844" s="908">
        <v>5.6039999999999996E-4</v>
      </c>
      <c r="D844" s="908">
        <v>5.9259999999999998E-4</v>
      </c>
      <c r="E844" s="909">
        <v>196949</v>
      </c>
      <c r="F844" s="909">
        <v>265955</v>
      </c>
      <c r="G844" s="909">
        <v>1189357</v>
      </c>
      <c r="H844" s="909"/>
      <c r="I844" s="910">
        <v>22346</v>
      </c>
      <c r="J844" s="910">
        <v>1042255</v>
      </c>
      <c r="K844" s="910">
        <v>81460</v>
      </c>
      <c r="L844" s="909">
        <v>0</v>
      </c>
      <c r="M844" s="909"/>
      <c r="N844" s="910">
        <v>41676</v>
      </c>
      <c r="O844" s="910">
        <v>384691</v>
      </c>
      <c r="P844" s="910">
        <v>0</v>
      </c>
      <c r="Q844" s="909">
        <v>122254</v>
      </c>
      <c r="R844" s="910">
        <f t="shared" si="13"/>
        <v>657564</v>
      </c>
      <c r="S844" s="909"/>
      <c r="T844" s="910">
        <v>317898</v>
      </c>
      <c r="U844" s="912">
        <v>-45505</v>
      </c>
      <c r="V844" s="912">
        <v>272393</v>
      </c>
    </row>
    <row r="845" spans="1:22" x14ac:dyDescent="0.25">
      <c r="A845" s="906">
        <v>99251</v>
      </c>
      <c r="B845" s="907" t="s">
        <v>3404</v>
      </c>
      <c r="C845" s="908">
        <v>1.6521000000000001E-3</v>
      </c>
      <c r="D845" s="908">
        <v>1.598E-3</v>
      </c>
      <c r="E845" s="909">
        <v>644905</v>
      </c>
      <c r="F845" s="909">
        <v>717173</v>
      </c>
      <c r="G845" s="909">
        <v>3506310</v>
      </c>
      <c r="H845" s="909"/>
      <c r="I845" s="910">
        <v>65877</v>
      </c>
      <c r="J845" s="910">
        <v>3072645</v>
      </c>
      <c r="K845" s="910">
        <v>240151</v>
      </c>
      <c r="L845" s="909">
        <v>3992</v>
      </c>
      <c r="M845" s="909"/>
      <c r="N845" s="910">
        <v>122865</v>
      </c>
      <c r="O845" s="910">
        <v>1134097</v>
      </c>
      <c r="P845" s="910">
        <v>0</v>
      </c>
      <c r="Q845" s="909">
        <v>14191</v>
      </c>
      <c r="R845" s="910">
        <f t="shared" si="13"/>
        <v>1938548</v>
      </c>
      <c r="S845" s="909"/>
      <c r="T845" s="910">
        <v>937185</v>
      </c>
      <c r="U845" s="912">
        <v>-5897</v>
      </c>
      <c r="V845" s="912">
        <v>931288</v>
      </c>
    </row>
    <row r="846" spans="1:22" x14ac:dyDescent="0.25">
      <c r="A846" s="906">
        <v>99252</v>
      </c>
      <c r="B846" s="907" t="s">
        <v>3405</v>
      </c>
      <c r="C846" s="908">
        <v>5.8279999999999996E-4</v>
      </c>
      <c r="D846" s="908">
        <v>7.4010000000000005E-4</v>
      </c>
      <c r="E846" s="909">
        <v>174600</v>
      </c>
      <c r="F846" s="909">
        <v>332152</v>
      </c>
      <c r="G846" s="909">
        <v>1236897</v>
      </c>
      <c r="H846" s="909"/>
      <c r="I846" s="910">
        <v>23239</v>
      </c>
      <c r="J846" s="910">
        <v>1083916</v>
      </c>
      <c r="K846" s="910">
        <v>84716</v>
      </c>
      <c r="L846" s="909">
        <v>0</v>
      </c>
      <c r="M846" s="909"/>
      <c r="N846" s="910">
        <v>43342</v>
      </c>
      <c r="O846" s="910">
        <v>400068</v>
      </c>
      <c r="P846" s="910">
        <v>0</v>
      </c>
      <c r="Q846" s="909">
        <v>244190</v>
      </c>
      <c r="R846" s="910">
        <f t="shared" si="13"/>
        <v>683848</v>
      </c>
      <c r="S846" s="909"/>
      <c r="T846" s="910">
        <v>330604</v>
      </c>
      <c r="U846" s="912">
        <v>-77201</v>
      </c>
      <c r="V846" s="912">
        <v>253403</v>
      </c>
    </row>
    <row r="847" spans="1:22" x14ac:dyDescent="0.25">
      <c r="A847" s="906">
        <v>99261</v>
      </c>
      <c r="B847" s="907" t="s">
        <v>3406</v>
      </c>
      <c r="C847" s="908">
        <v>1.9145E-3</v>
      </c>
      <c r="D847" s="908">
        <v>1.8552E-3</v>
      </c>
      <c r="E847" s="909">
        <v>638819</v>
      </c>
      <c r="F847" s="909">
        <v>832603</v>
      </c>
      <c r="G847" s="909">
        <v>4063210</v>
      </c>
      <c r="H847" s="909"/>
      <c r="I847" s="910">
        <v>76341</v>
      </c>
      <c r="J847" s="910">
        <v>3560668</v>
      </c>
      <c r="K847" s="910">
        <v>278294</v>
      </c>
      <c r="L847" s="909">
        <v>0</v>
      </c>
      <c r="M847" s="909"/>
      <c r="N847" s="910">
        <v>142379</v>
      </c>
      <c r="O847" s="910">
        <v>1314224</v>
      </c>
      <c r="P847" s="910">
        <v>0</v>
      </c>
      <c r="Q847" s="909">
        <v>177810</v>
      </c>
      <c r="R847" s="910">
        <f t="shared" si="13"/>
        <v>2246444</v>
      </c>
      <c r="S847" s="909"/>
      <c r="T847" s="910">
        <v>1086037</v>
      </c>
      <c r="U847" s="912">
        <v>-61359</v>
      </c>
      <c r="V847" s="912">
        <v>1024677</v>
      </c>
    </row>
    <row r="848" spans="1:22" x14ac:dyDescent="0.25">
      <c r="A848" s="906">
        <v>99271</v>
      </c>
      <c r="B848" s="907" t="s">
        <v>3407</v>
      </c>
      <c r="C848" s="908">
        <v>3.9248E-3</v>
      </c>
      <c r="D848" s="908">
        <v>3.9693000000000003E-3</v>
      </c>
      <c r="E848" s="909">
        <v>1483973.83</v>
      </c>
      <c r="F848" s="909">
        <v>1781398</v>
      </c>
      <c r="G848" s="909">
        <v>8329740</v>
      </c>
      <c r="H848" s="909"/>
      <c r="I848" s="910">
        <v>156501.4</v>
      </c>
      <c r="J848" s="910">
        <v>7299508</v>
      </c>
      <c r="K848" s="910">
        <v>570513</v>
      </c>
      <c r="L848" s="909">
        <v>0</v>
      </c>
      <c r="M848" s="909"/>
      <c r="N848" s="910">
        <v>291883</v>
      </c>
      <c r="O848" s="910">
        <v>2694210</v>
      </c>
      <c r="P848" s="910">
        <v>0</v>
      </c>
      <c r="Q848" s="909">
        <v>151650</v>
      </c>
      <c r="R848" s="910">
        <f t="shared" si="13"/>
        <v>4605298</v>
      </c>
      <c r="S848" s="909"/>
      <c r="T848" s="910">
        <v>2226417</v>
      </c>
      <c r="U848" s="912">
        <v>-42013</v>
      </c>
      <c r="V848" s="912">
        <v>2184404</v>
      </c>
    </row>
    <row r="849" spans="1:22" x14ac:dyDescent="0.25">
      <c r="A849" s="906">
        <v>99281</v>
      </c>
      <c r="B849" s="907" t="s">
        <v>3408</v>
      </c>
      <c r="C849" s="908">
        <v>2.2824E-3</v>
      </c>
      <c r="D849" s="908">
        <v>2.3207000000000002E-3</v>
      </c>
      <c r="E849" s="909">
        <v>859938</v>
      </c>
      <c r="F849" s="909">
        <v>1041516</v>
      </c>
      <c r="G849" s="909">
        <v>4844017</v>
      </c>
      <c r="H849" s="909"/>
      <c r="I849" s="910">
        <v>91010.7</v>
      </c>
      <c r="J849" s="910">
        <v>4244903</v>
      </c>
      <c r="K849" s="910">
        <v>331772</v>
      </c>
      <c r="L849" s="909">
        <v>13554</v>
      </c>
      <c r="M849" s="909"/>
      <c r="N849" s="910">
        <v>169740</v>
      </c>
      <c r="O849" s="910">
        <v>1566772</v>
      </c>
      <c r="P849" s="910">
        <v>0</v>
      </c>
      <c r="Q849" s="909">
        <v>113243</v>
      </c>
      <c r="R849" s="910">
        <f t="shared" si="13"/>
        <v>2678131</v>
      </c>
      <c r="S849" s="909"/>
      <c r="T849" s="910">
        <v>1294735</v>
      </c>
      <c r="U849" s="912">
        <v>-25393</v>
      </c>
      <c r="V849" s="912">
        <v>1269342</v>
      </c>
    </row>
    <row r="850" spans="1:22" x14ac:dyDescent="0.25">
      <c r="A850" s="906">
        <v>99291</v>
      </c>
      <c r="B850" s="907" t="s">
        <v>3409</v>
      </c>
      <c r="C850" s="908">
        <v>7.7260000000000002E-4</v>
      </c>
      <c r="D850" s="908">
        <v>8.0780000000000001E-4</v>
      </c>
      <c r="E850" s="909">
        <v>267315.87</v>
      </c>
      <c r="F850" s="909">
        <v>362536</v>
      </c>
      <c r="G850" s="909">
        <v>1639716</v>
      </c>
      <c r="H850" s="909"/>
      <c r="I850" s="910">
        <v>30807</v>
      </c>
      <c r="J850" s="910">
        <v>1436914</v>
      </c>
      <c r="K850" s="910">
        <v>112306</v>
      </c>
      <c r="L850" s="909">
        <v>0</v>
      </c>
      <c r="M850" s="909"/>
      <c r="N850" s="910">
        <v>57457</v>
      </c>
      <c r="O850" s="910">
        <v>530357</v>
      </c>
      <c r="P850" s="910">
        <v>0</v>
      </c>
      <c r="Q850" s="909">
        <v>124026</v>
      </c>
      <c r="R850" s="910">
        <f t="shared" si="13"/>
        <v>906557</v>
      </c>
      <c r="S850" s="909"/>
      <c r="T850" s="910">
        <v>438272</v>
      </c>
      <c r="U850" s="912">
        <v>-41703</v>
      </c>
      <c r="V850" s="912">
        <v>396569</v>
      </c>
    </row>
    <row r="851" spans="1:22" x14ac:dyDescent="0.25">
      <c r="A851" s="906">
        <v>99301</v>
      </c>
      <c r="B851" s="907" t="s">
        <v>3410</v>
      </c>
      <c r="C851" s="908">
        <v>1.8458000000000001E-3</v>
      </c>
      <c r="D851" s="908">
        <v>1.7903000000000001E-3</v>
      </c>
      <c r="E851" s="909">
        <v>720012.84</v>
      </c>
      <c r="F851" s="909">
        <v>803476</v>
      </c>
      <c r="G851" s="909">
        <v>3917406</v>
      </c>
      <c r="H851" s="909"/>
      <c r="I851" s="910">
        <v>73601</v>
      </c>
      <c r="J851" s="910">
        <v>3432896</v>
      </c>
      <c r="K851" s="910">
        <v>268307</v>
      </c>
      <c r="L851" s="909">
        <v>122430</v>
      </c>
      <c r="M851" s="909"/>
      <c r="N851" s="910">
        <v>137270</v>
      </c>
      <c r="O851" s="910">
        <v>1267064</v>
      </c>
      <c r="P851" s="910">
        <v>0</v>
      </c>
      <c r="Q851" s="909">
        <v>957</v>
      </c>
      <c r="R851" s="910">
        <f t="shared" si="13"/>
        <v>2165832</v>
      </c>
      <c r="S851" s="909"/>
      <c r="T851" s="910">
        <v>1047065</v>
      </c>
      <c r="U851" s="912">
        <v>54774</v>
      </c>
      <c r="V851" s="912">
        <v>1101839</v>
      </c>
    </row>
    <row r="852" spans="1:22" x14ac:dyDescent="0.25">
      <c r="A852" s="906">
        <v>99304</v>
      </c>
      <c r="B852" s="907" t="s">
        <v>3411</v>
      </c>
      <c r="C852" s="908">
        <v>9.9000000000000001E-6</v>
      </c>
      <c r="D852" s="908">
        <v>1.0000000000000001E-5</v>
      </c>
      <c r="E852" s="909">
        <v>6537</v>
      </c>
      <c r="F852" s="909">
        <v>4488</v>
      </c>
      <c r="G852" s="909">
        <v>21011</v>
      </c>
      <c r="H852" s="909"/>
      <c r="I852" s="910">
        <v>394.76249999999999</v>
      </c>
      <c r="J852" s="910">
        <v>18412</v>
      </c>
      <c r="K852" s="910">
        <v>1439</v>
      </c>
      <c r="L852" s="909">
        <v>3536</v>
      </c>
      <c r="M852" s="909"/>
      <c r="N852" s="910">
        <v>736</v>
      </c>
      <c r="O852" s="910">
        <v>6796</v>
      </c>
      <c r="P852" s="910">
        <v>0</v>
      </c>
      <c r="Q852" s="909">
        <v>498</v>
      </c>
      <c r="R852" s="910">
        <f t="shared" si="13"/>
        <v>11616</v>
      </c>
      <c r="S852" s="909"/>
      <c r="T852" s="910">
        <v>5616</v>
      </c>
      <c r="U852" s="912">
        <v>822</v>
      </c>
      <c r="V852" s="912">
        <v>6438</v>
      </c>
    </row>
    <row r="853" spans="1:22" x14ac:dyDescent="0.25">
      <c r="A853" s="906">
        <v>99311</v>
      </c>
      <c r="B853" s="907" t="s">
        <v>3412</v>
      </c>
      <c r="C853" s="908">
        <v>5.7599999999999997E-5</v>
      </c>
      <c r="D853" s="908">
        <v>6.2100000000000005E-5</v>
      </c>
      <c r="E853" s="909">
        <v>21136.39</v>
      </c>
      <c r="F853" s="909">
        <v>27870</v>
      </c>
      <c r="G853" s="909">
        <v>122246</v>
      </c>
      <c r="H853" s="909"/>
      <c r="I853" s="910">
        <v>2297</v>
      </c>
      <c r="J853" s="910">
        <v>107127</v>
      </c>
      <c r="K853" s="910">
        <v>8373</v>
      </c>
      <c r="L853" s="909">
        <v>0</v>
      </c>
      <c r="M853" s="909"/>
      <c r="N853" s="910">
        <v>4284</v>
      </c>
      <c r="O853" s="910">
        <v>39540</v>
      </c>
      <c r="P853" s="910">
        <v>0</v>
      </c>
      <c r="Q853" s="909">
        <v>7642</v>
      </c>
      <c r="R853" s="910">
        <f t="shared" si="13"/>
        <v>67587</v>
      </c>
      <c r="S853" s="909"/>
      <c r="T853" s="910">
        <v>32675</v>
      </c>
      <c r="U853" s="912">
        <v>-2750</v>
      </c>
      <c r="V853" s="912">
        <v>29925</v>
      </c>
    </row>
    <row r="854" spans="1:22" x14ac:dyDescent="0.25">
      <c r="A854" s="906">
        <v>99321</v>
      </c>
      <c r="B854" s="907" t="s">
        <v>3413</v>
      </c>
      <c r="C854" s="908">
        <v>1.1909999999999999E-4</v>
      </c>
      <c r="D854" s="908">
        <v>1.015E-4</v>
      </c>
      <c r="E854" s="909">
        <v>91759.74</v>
      </c>
      <c r="F854" s="909">
        <v>45553</v>
      </c>
      <c r="G854" s="909">
        <v>252770</v>
      </c>
      <c r="H854" s="909"/>
      <c r="I854" s="910">
        <v>4749</v>
      </c>
      <c r="J854" s="910">
        <v>221507</v>
      </c>
      <c r="K854" s="910">
        <v>17312</v>
      </c>
      <c r="L854" s="909">
        <v>97754</v>
      </c>
      <c r="M854" s="909"/>
      <c r="N854" s="910">
        <v>8857</v>
      </c>
      <c r="O854" s="910">
        <v>81757</v>
      </c>
      <c r="P854" s="910">
        <v>0</v>
      </c>
      <c r="Q854" s="909">
        <v>0</v>
      </c>
      <c r="R854" s="910">
        <f t="shared" si="13"/>
        <v>139750</v>
      </c>
      <c r="S854" s="909"/>
      <c r="T854" s="910">
        <v>67562</v>
      </c>
      <c r="U854" s="912">
        <v>33905</v>
      </c>
      <c r="V854" s="912">
        <v>101467</v>
      </c>
    </row>
    <row r="855" spans="1:22" x14ac:dyDescent="0.25">
      <c r="A855" s="906">
        <v>99401</v>
      </c>
      <c r="B855" s="907" t="s">
        <v>3414</v>
      </c>
      <c r="C855" s="908">
        <v>9.3869999999999999E-4</v>
      </c>
      <c r="D855" s="908">
        <v>9.0470000000000004E-4</v>
      </c>
      <c r="E855" s="909">
        <v>380574.92</v>
      </c>
      <c r="F855" s="909">
        <v>406024</v>
      </c>
      <c r="G855" s="909">
        <v>1992236</v>
      </c>
      <c r="H855" s="909"/>
      <c r="I855" s="910">
        <v>37431</v>
      </c>
      <c r="J855" s="910">
        <v>1745834</v>
      </c>
      <c r="K855" s="910">
        <v>136450</v>
      </c>
      <c r="L855" s="909">
        <v>60934</v>
      </c>
      <c r="M855" s="909"/>
      <c r="N855" s="910">
        <v>69810</v>
      </c>
      <c r="O855" s="910">
        <v>644378</v>
      </c>
      <c r="P855" s="910">
        <v>0</v>
      </c>
      <c r="Q855" s="909">
        <v>0</v>
      </c>
      <c r="R855" s="910">
        <f t="shared" si="13"/>
        <v>1101456</v>
      </c>
      <c r="S855" s="909"/>
      <c r="T855" s="910">
        <v>532495</v>
      </c>
      <c r="U855" s="912">
        <v>26694</v>
      </c>
      <c r="V855" s="912">
        <v>559189</v>
      </c>
    </row>
    <row r="856" spans="1:22" x14ac:dyDescent="0.25">
      <c r="A856" s="906">
        <v>99404</v>
      </c>
      <c r="B856" s="907" t="s">
        <v>3415</v>
      </c>
      <c r="C856" s="908">
        <v>9.5999999999999996E-6</v>
      </c>
      <c r="D856" s="908">
        <v>9.9000000000000001E-6</v>
      </c>
      <c r="E856" s="909">
        <v>4863.32</v>
      </c>
      <c r="F856" s="909">
        <v>4443</v>
      </c>
      <c r="G856" s="909">
        <v>20374</v>
      </c>
      <c r="H856" s="909"/>
      <c r="I856" s="910">
        <v>383</v>
      </c>
      <c r="J856" s="910">
        <v>17854</v>
      </c>
      <c r="K856" s="910">
        <v>1395</v>
      </c>
      <c r="L856" s="909">
        <v>890</v>
      </c>
      <c r="M856" s="909"/>
      <c r="N856" s="910">
        <v>714</v>
      </c>
      <c r="O856" s="910">
        <v>6590</v>
      </c>
      <c r="P856" s="910">
        <v>0</v>
      </c>
      <c r="Q856" s="909">
        <v>0</v>
      </c>
      <c r="R856" s="910">
        <f t="shared" si="13"/>
        <v>11264</v>
      </c>
      <c r="S856" s="909"/>
      <c r="T856" s="910">
        <v>5446</v>
      </c>
      <c r="U856" s="912">
        <v>284</v>
      </c>
      <c r="V856" s="912">
        <v>5730</v>
      </c>
    </row>
    <row r="857" spans="1:22" x14ac:dyDescent="0.25">
      <c r="A857" s="906">
        <v>99405</v>
      </c>
      <c r="B857" s="907" t="s">
        <v>3416</v>
      </c>
      <c r="C857" s="908">
        <v>5.8100000000000003E-5</v>
      </c>
      <c r="D857" s="908">
        <v>6.3399999999999996E-5</v>
      </c>
      <c r="E857" s="909">
        <v>32556.2</v>
      </c>
      <c r="F857" s="909">
        <v>28454</v>
      </c>
      <c r="G857" s="909">
        <v>123308</v>
      </c>
      <c r="H857" s="909"/>
      <c r="I857" s="910">
        <v>2317</v>
      </c>
      <c r="J857" s="910">
        <v>108057</v>
      </c>
      <c r="K857" s="910">
        <v>8445</v>
      </c>
      <c r="L857" s="909">
        <v>11934</v>
      </c>
      <c r="M857" s="909"/>
      <c r="N857" s="910">
        <v>4321</v>
      </c>
      <c r="O857" s="910">
        <v>39883</v>
      </c>
      <c r="P857" s="910">
        <v>0</v>
      </c>
      <c r="Q857" s="909">
        <v>675</v>
      </c>
      <c r="R857" s="910">
        <f t="shared" si="13"/>
        <v>68174</v>
      </c>
      <c r="S857" s="909"/>
      <c r="T857" s="910">
        <v>32958</v>
      </c>
      <c r="U857" s="912">
        <v>3510</v>
      </c>
      <c r="V857" s="912">
        <v>36468</v>
      </c>
    </row>
    <row r="858" spans="1:22" x14ac:dyDescent="0.25">
      <c r="A858" s="906">
        <v>99411</v>
      </c>
      <c r="B858" s="907" t="s">
        <v>3417</v>
      </c>
      <c r="C858" s="908">
        <v>1.2510000000000001E-4</v>
      </c>
      <c r="D858" s="908">
        <v>1.07E-4</v>
      </c>
      <c r="E858" s="909">
        <v>60724</v>
      </c>
      <c r="F858" s="909">
        <v>48021</v>
      </c>
      <c r="G858" s="909">
        <v>265504</v>
      </c>
      <c r="H858" s="909"/>
      <c r="I858" s="910">
        <v>4988</v>
      </c>
      <c r="J858" s="910">
        <v>232666</v>
      </c>
      <c r="K858" s="910">
        <v>18185</v>
      </c>
      <c r="L858" s="909">
        <v>24011</v>
      </c>
      <c r="M858" s="909"/>
      <c r="N858" s="910">
        <v>9304</v>
      </c>
      <c r="O858" s="910">
        <v>85876</v>
      </c>
      <c r="P858" s="910">
        <v>0</v>
      </c>
      <c r="Q858" s="909">
        <v>8844</v>
      </c>
      <c r="R858" s="910">
        <f t="shared" si="13"/>
        <v>146790</v>
      </c>
      <c r="S858" s="909"/>
      <c r="T858" s="910">
        <v>70965</v>
      </c>
      <c r="U858" s="912">
        <v>2430</v>
      </c>
      <c r="V858" s="912">
        <v>73395</v>
      </c>
    </row>
    <row r="859" spans="1:22" x14ac:dyDescent="0.25">
      <c r="A859" s="906">
        <v>99413</v>
      </c>
      <c r="B859" s="907" t="s">
        <v>3418</v>
      </c>
      <c r="C859" s="908">
        <v>2.76E-5</v>
      </c>
      <c r="D859" s="908">
        <v>4.21E-5</v>
      </c>
      <c r="E859" s="909">
        <v>17655.62</v>
      </c>
      <c r="F859" s="909">
        <v>18894</v>
      </c>
      <c r="G859" s="909">
        <v>58576</v>
      </c>
      <c r="H859" s="909"/>
      <c r="I859" s="910">
        <v>1100.55</v>
      </c>
      <c r="J859" s="910">
        <v>51332</v>
      </c>
      <c r="K859" s="910">
        <v>4012</v>
      </c>
      <c r="L859" s="909">
        <v>10</v>
      </c>
      <c r="M859" s="909"/>
      <c r="N859" s="910">
        <v>2053</v>
      </c>
      <c r="O859" s="910">
        <v>18946</v>
      </c>
      <c r="P859" s="910">
        <v>0</v>
      </c>
      <c r="Q859" s="909">
        <v>4264</v>
      </c>
      <c r="R859" s="910">
        <f t="shared" si="13"/>
        <v>32386</v>
      </c>
      <c r="S859" s="909"/>
      <c r="T859" s="910">
        <v>15657</v>
      </c>
      <c r="U859" s="912">
        <v>-1235</v>
      </c>
      <c r="V859" s="912">
        <v>14422</v>
      </c>
    </row>
    <row r="860" spans="1:22" x14ac:dyDescent="0.25">
      <c r="A860" s="906">
        <v>99421</v>
      </c>
      <c r="B860" s="907" t="s">
        <v>3419</v>
      </c>
      <c r="C860" s="908">
        <v>1.5E-5</v>
      </c>
      <c r="D860" s="908">
        <v>2.2099999999999998E-5</v>
      </c>
      <c r="E860" s="909">
        <v>6577</v>
      </c>
      <c r="F860" s="909">
        <v>9918</v>
      </c>
      <c r="G860" s="909">
        <v>31835</v>
      </c>
      <c r="H860" s="909"/>
      <c r="I860" s="910">
        <v>598.125</v>
      </c>
      <c r="J860" s="910">
        <v>27897.63</v>
      </c>
      <c r="K860" s="910">
        <v>2180.415</v>
      </c>
      <c r="L860" s="909">
        <v>1536</v>
      </c>
      <c r="M860" s="909"/>
      <c r="N860" s="910">
        <v>1116</v>
      </c>
      <c r="O860" s="910">
        <v>10297</v>
      </c>
      <c r="P860" s="910">
        <v>0</v>
      </c>
      <c r="Q860" s="909">
        <v>4910</v>
      </c>
      <c r="R860" s="910">
        <f t="shared" si="13"/>
        <v>17601</v>
      </c>
      <c r="S860" s="909"/>
      <c r="T860" s="910">
        <v>8509</v>
      </c>
      <c r="U860" s="912">
        <v>-633</v>
      </c>
      <c r="V860" s="912">
        <v>7876</v>
      </c>
    </row>
    <row r="861" spans="1:22" x14ac:dyDescent="0.25">
      <c r="A861" s="906">
        <v>99431</v>
      </c>
      <c r="B861" s="907" t="s">
        <v>3420</v>
      </c>
      <c r="C861" s="908">
        <v>2.16E-5</v>
      </c>
      <c r="D861" s="908">
        <v>2.09E-5</v>
      </c>
      <c r="E861" s="909">
        <v>6864.37</v>
      </c>
      <c r="F861" s="909">
        <v>9380</v>
      </c>
      <c r="G861" s="909">
        <v>45842</v>
      </c>
      <c r="H861" s="909"/>
      <c r="I861" s="910">
        <v>861.3</v>
      </c>
      <c r="J861" s="910">
        <v>40173</v>
      </c>
      <c r="K861" s="910">
        <v>3140</v>
      </c>
      <c r="L861" s="909">
        <v>2153</v>
      </c>
      <c r="M861" s="909"/>
      <c r="N861" s="910">
        <v>1606</v>
      </c>
      <c r="O861" s="910">
        <v>14827</v>
      </c>
      <c r="P861" s="910">
        <v>0</v>
      </c>
      <c r="Q861" s="909">
        <v>1856</v>
      </c>
      <c r="R861" s="910">
        <f t="shared" si="13"/>
        <v>25346</v>
      </c>
      <c r="S861" s="909"/>
      <c r="T861" s="910">
        <v>12253</v>
      </c>
      <c r="U861" s="912">
        <v>541</v>
      </c>
      <c r="V861" s="912">
        <v>12794</v>
      </c>
    </row>
    <row r="862" spans="1:22" x14ac:dyDescent="0.25">
      <c r="A862" s="906">
        <v>99501</v>
      </c>
      <c r="B862" s="907" t="s">
        <v>3421</v>
      </c>
      <c r="C862" s="908">
        <v>1.7390000000000001E-3</v>
      </c>
      <c r="D862" s="908">
        <v>1.7404E-3</v>
      </c>
      <c r="E862" s="909">
        <v>717899.84</v>
      </c>
      <c r="F862" s="909">
        <v>781081</v>
      </c>
      <c r="G862" s="909">
        <v>3690741</v>
      </c>
      <c r="H862" s="909"/>
      <c r="I862" s="910">
        <v>69343</v>
      </c>
      <c r="J862" s="910">
        <v>3234265</v>
      </c>
      <c r="K862" s="910">
        <v>252783</v>
      </c>
      <c r="L862" s="909">
        <v>5725</v>
      </c>
      <c r="M862" s="909"/>
      <c r="N862" s="910">
        <v>129328</v>
      </c>
      <c r="O862" s="910">
        <v>1193750</v>
      </c>
      <c r="P862" s="910">
        <v>0</v>
      </c>
      <c r="Q862" s="909">
        <v>0</v>
      </c>
      <c r="R862" s="910">
        <f t="shared" si="13"/>
        <v>2040515</v>
      </c>
      <c r="S862" s="909"/>
      <c r="T862" s="910">
        <v>986481</v>
      </c>
      <c r="U862" s="912">
        <v>1961</v>
      </c>
      <c r="V862" s="912">
        <v>988442</v>
      </c>
    </row>
    <row r="863" spans="1:22" x14ac:dyDescent="0.25">
      <c r="A863" s="906">
        <v>99502</v>
      </c>
      <c r="B863" s="907" t="s">
        <v>3422</v>
      </c>
      <c r="C863" s="908">
        <v>1.3779999999999999E-4</v>
      </c>
      <c r="D863" s="908">
        <v>1.628E-4</v>
      </c>
      <c r="E863" s="909">
        <v>87805.53</v>
      </c>
      <c r="F863" s="909">
        <v>73064</v>
      </c>
      <c r="G863" s="909">
        <v>292458</v>
      </c>
      <c r="H863" s="909"/>
      <c r="I863" s="910">
        <v>5495</v>
      </c>
      <c r="J863" s="910">
        <v>256286</v>
      </c>
      <c r="K863" s="910">
        <v>20031</v>
      </c>
      <c r="L863" s="909">
        <v>28542</v>
      </c>
      <c r="M863" s="909"/>
      <c r="N863" s="910">
        <v>10248</v>
      </c>
      <c r="O863" s="910">
        <v>94594</v>
      </c>
      <c r="P863" s="910">
        <v>0</v>
      </c>
      <c r="Q863" s="909">
        <v>143</v>
      </c>
      <c r="R863" s="910">
        <f t="shared" si="13"/>
        <v>161692</v>
      </c>
      <c r="S863" s="909"/>
      <c r="T863" s="910">
        <v>78170</v>
      </c>
      <c r="U863" s="912">
        <v>8980</v>
      </c>
      <c r="V863" s="912">
        <v>87150</v>
      </c>
    </row>
    <row r="864" spans="1:22" x14ac:dyDescent="0.25">
      <c r="A864" s="906">
        <v>99508</v>
      </c>
      <c r="B864" s="907" t="s">
        <v>3423</v>
      </c>
      <c r="C864" s="908">
        <v>2.1699999999999999E-5</v>
      </c>
      <c r="D864" s="908">
        <v>2.3200000000000001E-5</v>
      </c>
      <c r="E864" s="909">
        <v>8790.98</v>
      </c>
      <c r="F864" s="909">
        <v>10412</v>
      </c>
      <c r="G864" s="909">
        <v>46055</v>
      </c>
      <c r="H864" s="909"/>
      <c r="I864" s="910">
        <v>865</v>
      </c>
      <c r="J864" s="910">
        <v>40359</v>
      </c>
      <c r="K864" s="910">
        <v>3154</v>
      </c>
      <c r="L864" s="909">
        <v>0</v>
      </c>
      <c r="M864" s="909"/>
      <c r="N864" s="910">
        <v>1614</v>
      </c>
      <c r="O864" s="910">
        <v>14896</v>
      </c>
      <c r="P864" s="910">
        <v>0</v>
      </c>
      <c r="Q864" s="909">
        <v>2564</v>
      </c>
      <c r="R864" s="910">
        <f t="shared" si="13"/>
        <v>25463</v>
      </c>
      <c r="S864" s="909"/>
      <c r="T864" s="910">
        <v>12310</v>
      </c>
      <c r="U864" s="912">
        <v>-994</v>
      </c>
      <c r="V864" s="912">
        <v>11316</v>
      </c>
    </row>
    <row r="865" spans="1:22" x14ac:dyDescent="0.25">
      <c r="A865" s="906">
        <v>99509</v>
      </c>
      <c r="B865" s="907" t="s">
        <v>3424</v>
      </c>
      <c r="C865" s="908">
        <v>2.8900000000000001E-5</v>
      </c>
      <c r="D865" s="908">
        <v>2.87E-5</v>
      </c>
      <c r="E865" s="909">
        <v>10373.91</v>
      </c>
      <c r="F865" s="909">
        <v>12880</v>
      </c>
      <c r="G865" s="909">
        <v>61335</v>
      </c>
      <c r="H865" s="909"/>
      <c r="I865" s="910">
        <v>1152.3875</v>
      </c>
      <c r="J865" s="910">
        <v>53749</v>
      </c>
      <c r="K865" s="910">
        <v>4201</v>
      </c>
      <c r="L865" s="909">
        <v>0</v>
      </c>
      <c r="M865" s="909"/>
      <c r="N865" s="910">
        <v>2149</v>
      </c>
      <c r="O865" s="910">
        <v>19839</v>
      </c>
      <c r="P865" s="910">
        <v>0</v>
      </c>
      <c r="Q865" s="909">
        <v>8463</v>
      </c>
      <c r="R865" s="910">
        <f t="shared" si="13"/>
        <v>33910</v>
      </c>
      <c r="S865" s="909"/>
      <c r="T865" s="910">
        <v>16394</v>
      </c>
      <c r="U865" s="912">
        <v>-3831</v>
      </c>
      <c r="V865" s="912">
        <v>12563</v>
      </c>
    </row>
    <row r="866" spans="1:22" x14ac:dyDescent="0.25">
      <c r="A866" s="906">
        <v>99511</v>
      </c>
      <c r="B866" s="907" t="s">
        <v>3425</v>
      </c>
      <c r="C866" s="908">
        <v>1.3638000000000001E-3</v>
      </c>
      <c r="D866" s="908">
        <v>1.4238E-3</v>
      </c>
      <c r="E866" s="909">
        <v>513320.93</v>
      </c>
      <c r="F866" s="909">
        <v>638993</v>
      </c>
      <c r="G866" s="909">
        <v>2894440</v>
      </c>
      <c r="H866" s="909"/>
      <c r="I866" s="910">
        <v>54382</v>
      </c>
      <c r="J866" s="910">
        <v>2536453</v>
      </c>
      <c r="K866" s="910">
        <v>198243</v>
      </c>
      <c r="L866" s="909">
        <v>6972</v>
      </c>
      <c r="M866" s="909"/>
      <c r="N866" s="910">
        <v>101424</v>
      </c>
      <c r="O866" s="910">
        <v>936191</v>
      </c>
      <c r="P866" s="910">
        <v>0</v>
      </c>
      <c r="Q866" s="909">
        <v>87693</v>
      </c>
      <c r="R866" s="910">
        <f t="shared" si="13"/>
        <v>1600262</v>
      </c>
      <c r="S866" s="909"/>
      <c r="T866" s="910">
        <v>773641</v>
      </c>
      <c r="U866" s="912">
        <v>-24491</v>
      </c>
      <c r="V866" s="912">
        <v>749150</v>
      </c>
    </row>
    <row r="867" spans="1:22" x14ac:dyDescent="0.25">
      <c r="A867" s="906">
        <v>99521</v>
      </c>
      <c r="B867" s="907" t="s">
        <v>3426</v>
      </c>
      <c r="C867" s="908">
        <v>4.0180000000000001E-4</v>
      </c>
      <c r="D867" s="908">
        <v>4.0989999999999999E-4</v>
      </c>
      <c r="E867" s="909">
        <v>150146.22</v>
      </c>
      <c r="F867" s="909">
        <v>183961</v>
      </c>
      <c r="G867" s="909">
        <v>852754</v>
      </c>
      <c r="H867" s="909"/>
      <c r="I867" s="910">
        <v>16022</v>
      </c>
      <c r="J867" s="910">
        <v>747285</v>
      </c>
      <c r="K867" s="910">
        <v>58406</v>
      </c>
      <c r="L867" s="909">
        <v>1435</v>
      </c>
      <c r="M867" s="909"/>
      <c r="N867" s="910">
        <v>29881</v>
      </c>
      <c r="O867" s="910">
        <v>275819</v>
      </c>
      <c r="P867" s="910">
        <v>0</v>
      </c>
      <c r="Q867" s="909">
        <v>21691</v>
      </c>
      <c r="R867" s="910">
        <f t="shared" si="13"/>
        <v>471466</v>
      </c>
      <c r="S867" s="909"/>
      <c r="T867" s="910">
        <v>227929</v>
      </c>
      <c r="U867" s="912">
        <v>-5406</v>
      </c>
      <c r="V867" s="912">
        <v>222522</v>
      </c>
    </row>
    <row r="868" spans="1:22" x14ac:dyDescent="0.25">
      <c r="A868" s="906">
        <v>99527</v>
      </c>
      <c r="B868" s="907" t="s">
        <v>3427</v>
      </c>
      <c r="C868" s="908">
        <v>1.2099999999999999E-5</v>
      </c>
      <c r="D868" s="908">
        <v>1.1800000000000001E-5</v>
      </c>
      <c r="E868" s="909">
        <v>5273.87</v>
      </c>
      <c r="F868" s="909">
        <v>5296</v>
      </c>
      <c r="G868" s="909">
        <v>25680</v>
      </c>
      <c r="H868" s="909"/>
      <c r="I868" s="910">
        <v>482</v>
      </c>
      <c r="J868" s="910">
        <v>22504</v>
      </c>
      <c r="K868" s="910">
        <v>1759</v>
      </c>
      <c r="L868" s="909">
        <v>1404</v>
      </c>
      <c r="M868" s="909"/>
      <c r="N868" s="910">
        <v>900</v>
      </c>
      <c r="O868" s="910">
        <v>8306</v>
      </c>
      <c r="P868" s="910">
        <v>0</v>
      </c>
      <c r="Q868" s="909">
        <v>0</v>
      </c>
      <c r="R868" s="910">
        <f t="shared" si="13"/>
        <v>14198</v>
      </c>
      <c r="S868" s="909"/>
      <c r="T868" s="910">
        <v>6864</v>
      </c>
      <c r="U868" s="912">
        <v>529</v>
      </c>
      <c r="V868" s="912">
        <v>7393</v>
      </c>
    </row>
    <row r="869" spans="1:22" x14ac:dyDescent="0.25">
      <c r="A869" s="906">
        <v>99531</v>
      </c>
      <c r="B869" s="907" t="s">
        <v>3428</v>
      </c>
      <c r="C869" s="908">
        <v>8.7600000000000002E-5</v>
      </c>
      <c r="D869" s="908">
        <v>8.8200000000000003E-5</v>
      </c>
      <c r="E869" s="909">
        <v>67487</v>
      </c>
      <c r="F869" s="909">
        <v>39584</v>
      </c>
      <c r="G869" s="909">
        <v>185917</v>
      </c>
      <c r="H869" s="909"/>
      <c r="I869" s="910">
        <v>3493.05</v>
      </c>
      <c r="J869" s="910">
        <v>162922</v>
      </c>
      <c r="K869" s="910">
        <v>12734</v>
      </c>
      <c r="L869" s="909">
        <v>39764</v>
      </c>
      <c r="M869" s="909"/>
      <c r="N869" s="910">
        <v>6515</v>
      </c>
      <c r="O869" s="910">
        <v>60134</v>
      </c>
      <c r="P869" s="910">
        <v>0</v>
      </c>
      <c r="Q869" s="909">
        <v>0</v>
      </c>
      <c r="R869" s="910">
        <f t="shared" si="13"/>
        <v>102788</v>
      </c>
      <c r="S869" s="909"/>
      <c r="T869" s="910">
        <v>49693</v>
      </c>
      <c r="U869" s="912">
        <v>11839</v>
      </c>
      <c r="V869" s="912">
        <v>61531</v>
      </c>
    </row>
    <row r="870" spans="1:22" x14ac:dyDescent="0.25">
      <c r="A870" s="906">
        <v>99601</v>
      </c>
      <c r="B870" s="907" t="s">
        <v>3429</v>
      </c>
      <c r="C870" s="908">
        <v>5.2824999999999999E-3</v>
      </c>
      <c r="D870" s="908">
        <v>5.3274999999999998E-3</v>
      </c>
      <c r="E870" s="909">
        <v>2087469</v>
      </c>
      <c r="F870" s="909">
        <v>2390950</v>
      </c>
      <c r="G870" s="909">
        <v>11211235</v>
      </c>
      <c r="H870" s="909"/>
      <c r="I870" s="910">
        <v>210640</v>
      </c>
      <c r="J870" s="910">
        <v>9824615</v>
      </c>
      <c r="K870" s="910">
        <v>767869</v>
      </c>
      <c r="L870" s="909">
        <v>60572</v>
      </c>
      <c r="M870" s="909"/>
      <c r="N870" s="910">
        <v>392854</v>
      </c>
      <c r="O870" s="910">
        <v>3626214</v>
      </c>
      <c r="P870" s="910">
        <v>0</v>
      </c>
      <c r="Q870" s="909">
        <v>101945</v>
      </c>
      <c r="R870" s="910">
        <f t="shared" si="13"/>
        <v>6198401</v>
      </c>
      <c r="S870" s="909"/>
      <c r="T870" s="910">
        <v>2996598</v>
      </c>
      <c r="U870" s="912">
        <v>-7395</v>
      </c>
      <c r="V870" s="912">
        <v>2989204</v>
      </c>
    </row>
    <row r="871" spans="1:22" x14ac:dyDescent="0.25">
      <c r="A871" s="906">
        <v>99602</v>
      </c>
      <c r="B871" s="907" t="s">
        <v>3430</v>
      </c>
      <c r="C871" s="908">
        <v>5.1700000000000003E-5</v>
      </c>
      <c r="D871" s="908">
        <v>5.13E-5</v>
      </c>
      <c r="E871" s="909">
        <v>23478.31</v>
      </c>
      <c r="F871" s="909">
        <v>23023</v>
      </c>
      <c r="G871" s="909">
        <v>109725</v>
      </c>
      <c r="H871" s="909"/>
      <c r="I871" s="910">
        <v>2062</v>
      </c>
      <c r="J871" s="910">
        <v>96154</v>
      </c>
      <c r="K871" s="910">
        <v>7515</v>
      </c>
      <c r="L871" s="909">
        <v>5410</v>
      </c>
      <c r="M871" s="909"/>
      <c r="N871" s="910">
        <v>3845</v>
      </c>
      <c r="O871" s="910">
        <v>35490</v>
      </c>
      <c r="P871" s="910">
        <v>0</v>
      </c>
      <c r="Q871" s="909">
        <v>4155</v>
      </c>
      <c r="R871" s="910">
        <f t="shared" si="13"/>
        <v>60664</v>
      </c>
      <c r="S871" s="909"/>
      <c r="T871" s="910">
        <v>29328</v>
      </c>
      <c r="U871" s="912">
        <v>-358</v>
      </c>
      <c r="V871" s="912">
        <v>28969</v>
      </c>
    </row>
    <row r="872" spans="1:22" x14ac:dyDescent="0.25">
      <c r="A872" s="906">
        <v>99603</v>
      </c>
      <c r="B872" s="907" t="s">
        <v>3431</v>
      </c>
      <c r="C872" s="908">
        <v>1.4219999999999999E-4</v>
      </c>
      <c r="D872" s="908">
        <v>1.474E-4</v>
      </c>
      <c r="E872" s="909">
        <v>137623</v>
      </c>
      <c r="F872" s="909">
        <v>66152</v>
      </c>
      <c r="G872" s="909">
        <v>301796</v>
      </c>
      <c r="H872" s="909"/>
      <c r="I872" s="910">
        <v>5670</v>
      </c>
      <c r="J872" s="910">
        <v>264470</v>
      </c>
      <c r="K872" s="910">
        <v>20670</v>
      </c>
      <c r="L872" s="909">
        <v>103545</v>
      </c>
      <c r="M872" s="909"/>
      <c r="N872" s="910">
        <v>10575</v>
      </c>
      <c r="O872" s="910">
        <v>97614</v>
      </c>
      <c r="P872" s="910">
        <v>0</v>
      </c>
      <c r="Q872" s="909">
        <v>0</v>
      </c>
      <c r="R872" s="910">
        <f t="shared" si="13"/>
        <v>166856</v>
      </c>
      <c r="S872" s="909"/>
      <c r="T872" s="910">
        <v>80666</v>
      </c>
      <c r="U872" s="912">
        <v>31526</v>
      </c>
      <c r="V872" s="912">
        <v>112191</v>
      </c>
    </row>
    <row r="873" spans="1:22" x14ac:dyDescent="0.25">
      <c r="A873" s="906">
        <v>99604</v>
      </c>
      <c r="B873" s="907" t="s">
        <v>3432</v>
      </c>
      <c r="C873" s="908">
        <v>9.6899999999999997E-5</v>
      </c>
      <c r="D873" s="908">
        <v>9.3300000000000005E-5</v>
      </c>
      <c r="E873" s="909">
        <v>45606</v>
      </c>
      <c r="F873" s="909">
        <v>41872</v>
      </c>
      <c r="G873" s="909">
        <v>205654</v>
      </c>
      <c r="H873" s="909"/>
      <c r="I873" s="910">
        <v>3864</v>
      </c>
      <c r="J873" s="910">
        <v>180219</v>
      </c>
      <c r="K873" s="910">
        <v>14085</v>
      </c>
      <c r="L873" s="909">
        <v>20600</v>
      </c>
      <c r="M873" s="909"/>
      <c r="N873" s="910">
        <v>7206</v>
      </c>
      <c r="O873" s="910">
        <v>66518</v>
      </c>
      <c r="P873" s="910">
        <v>0</v>
      </c>
      <c r="Q873" s="909">
        <v>0</v>
      </c>
      <c r="R873" s="910">
        <f t="shared" si="13"/>
        <v>113701</v>
      </c>
      <c r="S873" s="909"/>
      <c r="T873" s="910">
        <v>54968</v>
      </c>
      <c r="U873" s="912">
        <v>7597</v>
      </c>
      <c r="V873" s="912">
        <v>62566</v>
      </c>
    </row>
    <row r="874" spans="1:22" x14ac:dyDescent="0.25">
      <c r="A874" s="906">
        <v>99609</v>
      </c>
      <c r="B874" s="907" t="s">
        <v>3433</v>
      </c>
      <c r="C874" s="908">
        <v>2.0999999999999999E-5</v>
      </c>
      <c r="D874" s="908">
        <v>1.98E-5</v>
      </c>
      <c r="E874" s="909">
        <v>10788</v>
      </c>
      <c r="F874" s="909">
        <v>8886</v>
      </c>
      <c r="G874" s="909">
        <v>44569</v>
      </c>
      <c r="H874" s="909"/>
      <c r="I874" s="910">
        <v>837.375</v>
      </c>
      <c r="J874" s="910">
        <v>39057</v>
      </c>
      <c r="K874" s="910">
        <v>3053</v>
      </c>
      <c r="L874" s="909">
        <v>5629</v>
      </c>
      <c r="M874" s="909"/>
      <c r="N874" s="910">
        <v>1562</v>
      </c>
      <c r="O874" s="910">
        <v>14416</v>
      </c>
      <c r="P874" s="910">
        <v>0</v>
      </c>
      <c r="Q874" s="909">
        <v>0</v>
      </c>
      <c r="R874" s="910">
        <f t="shared" si="13"/>
        <v>24641</v>
      </c>
      <c r="S874" s="909"/>
      <c r="T874" s="910">
        <v>11913</v>
      </c>
      <c r="U874" s="912">
        <v>2074</v>
      </c>
      <c r="V874" s="912">
        <v>13986</v>
      </c>
    </row>
    <row r="875" spans="1:22" x14ac:dyDescent="0.25">
      <c r="A875" s="906">
        <v>99610</v>
      </c>
      <c r="B875" s="907" t="s">
        <v>3434</v>
      </c>
      <c r="C875" s="908">
        <v>1.9440000000000001E-4</v>
      </c>
      <c r="D875" s="908">
        <v>1.883E-4</v>
      </c>
      <c r="E875" s="909">
        <v>78017.36</v>
      </c>
      <c r="F875" s="909">
        <v>84508</v>
      </c>
      <c r="G875" s="909">
        <v>412582</v>
      </c>
      <c r="H875" s="909"/>
      <c r="I875" s="910">
        <v>7752</v>
      </c>
      <c r="J875" s="910">
        <v>361553</v>
      </c>
      <c r="K875" s="910">
        <v>28258</v>
      </c>
      <c r="L875" s="909">
        <v>4583</v>
      </c>
      <c r="M875" s="909"/>
      <c r="N875" s="910">
        <v>14457</v>
      </c>
      <c r="O875" s="910">
        <v>133447</v>
      </c>
      <c r="P875" s="910">
        <v>0</v>
      </c>
      <c r="Q875" s="909">
        <v>1313</v>
      </c>
      <c r="R875" s="910">
        <f t="shared" si="13"/>
        <v>228106</v>
      </c>
      <c r="S875" s="909"/>
      <c r="T875" s="910">
        <v>110277</v>
      </c>
      <c r="U875" s="912">
        <v>1406</v>
      </c>
      <c r="V875" s="912">
        <v>111683</v>
      </c>
    </row>
    <row r="876" spans="1:22" x14ac:dyDescent="0.25">
      <c r="A876" s="906">
        <v>99611</v>
      </c>
      <c r="B876" s="907" t="s">
        <v>3435</v>
      </c>
      <c r="C876" s="908">
        <v>3.1495999999999998E-3</v>
      </c>
      <c r="D876" s="908">
        <v>3.4461000000000001E-3</v>
      </c>
      <c r="E876" s="909">
        <v>1274178.99</v>
      </c>
      <c r="F876" s="909">
        <v>1546589</v>
      </c>
      <c r="G876" s="909">
        <v>6684506</v>
      </c>
      <c r="H876" s="909"/>
      <c r="I876" s="910">
        <v>125590</v>
      </c>
      <c r="J876" s="910">
        <v>5857758</v>
      </c>
      <c r="K876" s="910">
        <v>457829</v>
      </c>
      <c r="L876" s="909">
        <v>0</v>
      </c>
      <c r="M876" s="909"/>
      <c r="N876" s="910">
        <v>234233</v>
      </c>
      <c r="O876" s="910">
        <v>2162068</v>
      </c>
      <c r="P876" s="910">
        <v>0</v>
      </c>
      <c r="Q876" s="909">
        <v>295351</v>
      </c>
      <c r="R876" s="910">
        <f t="shared" si="13"/>
        <v>3695690</v>
      </c>
      <c r="S876" s="909"/>
      <c r="T876" s="910">
        <v>1786670</v>
      </c>
      <c r="U876" s="912">
        <v>-97649</v>
      </c>
      <c r="V876" s="912">
        <v>1689022</v>
      </c>
    </row>
    <row r="877" spans="1:22" x14ac:dyDescent="0.25">
      <c r="A877" s="906">
        <v>99613</v>
      </c>
      <c r="B877" s="907" t="s">
        <v>3436</v>
      </c>
      <c r="C877" s="908">
        <v>3.369E-4</v>
      </c>
      <c r="D877" s="908">
        <v>2.6350000000000001E-4</v>
      </c>
      <c r="E877" s="909">
        <v>287693.51</v>
      </c>
      <c r="F877" s="909">
        <v>118257</v>
      </c>
      <c r="G877" s="909">
        <v>715015</v>
      </c>
      <c r="H877" s="909"/>
      <c r="I877" s="910">
        <v>13434</v>
      </c>
      <c r="J877" s="910">
        <v>626581</v>
      </c>
      <c r="K877" s="910">
        <v>48972</v>
      </c>
      <c r="L877" s="909">
        <v>227196</v>
      </c>
      <c r="M877" s="909"/>
      <c r="N877" s="910">
        <v>25055</v>
      </c>
      <c r="O877" s="910">
        <v>231268</v>
      </c>
      <c r="P877" s="910">
        <v>0</v>
      </c>
      <c r="Q877" s="909">
        <v>0</v>
      </c>
      <c r="R877" s="910">
        <f t="shared" si="13"/>
        <v>395313</v>
      </c>
      <c r="S877" s="909"/>
      <c r="T877" s="910">
        <v>191113</v>
      </c>
      <c r="U877" s="912">
        <v>65914</v>
      </c>
      <c r="V877" s="912">
        <v>257027</v>
      </c>
    </row>
    <row r="878" spans="1:22" x14ac:dyDescent="0.25">
      <c r="A878" s="906">
        <v>99621</v>
      </c>
      <c r="B878" s="907" t="s">
        <v>3437</v>
      </c>
      <c r="C878" s="908">
        <v>3.2850000000000002E-4</v>
      </c>
      <c r="D878" s="908">
        <v>2.9550000000000003E-4</v>
      </c>
      <c r="E878" s="909">
        <v>133172.19</v>
      </c>
      <c r="F878" s="909">
        <v>132619</v>
      </c>
      <c r="G878" s="909">
        <v>697187</v>
      </c>
      <c r="H878" s="909"/>
      <c r="I878" s="910">
        <v>13098.9375</v>
      </c>
      <c r="J878" s="910">
        <v>610958</v>
      </c>
      <c r="K878" s="910">
        <v>47751</v>
      </c>
      <c r="L878" s="909">
        <v>25982</v>
      </c>
      <c r="M878" s="909"/>
      <c r="N878" s="910">
        <v>24430</v>
      </c>
      <c r="O878" s="910">
        <v>225501</v>
      </c>
      <c r="P878" s="910">
        <v>0</v>
      </c>
      <c r="Q878" s="909">
        <v>7236</v>
      </c>
      <c r="R878" s="910">
        <f t="shared" si="13"/>
        <v>385457</v>
      </c>
      <c r="S878" s="909"/>
      <c r="T878" s="910">
        <v>186348</v>
      </c>
      <c r="U878" s="912">
        <v>6510</v>
      </c>
      <c r="V878" s="912">
        <v>192858</v>
      </c>
    </row>
    <row r="879" spans="1:22" x14ac:dyDescent="0.25">
      <c r="A879" s="906">
        <v>99623</v>
      </c>
      <c r="B879" s="907" t="s">
        <v>3438</v>
      </c>
      <c r="C879" s="908">
        <v>2.9200000000000002E-5</v>
      </c>
      <c r="D879" s="908">
        <v>2.1299999999999999E-5</v>
      </c>
      <c r="E879" s="909">
        <v>8301.6</v>
      </c>
      <c r="F879" s="909">
        <v>9559</v>
      </c>
      <c r="G879" s="909">
        <v>61972</v>
      </c>
      <c r="H879" s="909"/>
      <c r="I879" s="910">
        <v>1164</v>
      </c>
      <c r="J879" s="910">
        <v>54307</v>
      </c>
      <c r="K879" s="910">
        <v>4245</v>
      </c>
      <c r="L879" s="909">
        <v>3598</v>
      </c>
      <c r="M879" s="909"/>
      <c r="N879" s="910">
        <v>2172</v>
      </c>
      <c r="O879" s="910">
        <v>20045</v>
      </c>
      <c r="P879" s="910">
        <v>0</v>
      </c>
      <c r="Q879" s="909">
        <v>316</v>
      </c>
      <c r="R879" s="910">
        <f t="shared" si="13"/>
        <v>34262</v>
      </c>
      <c r="S879" s="909"/>
      <c r="T879" s="910">
        <v>16564</v>
      </c>
      <c r="U879" s="912">
        <v>989</v>
      </c>
      <c r="V879" s="912">
        <v>17554</v>
      </c>
    </row>
    <row r="880" spans="1:22" x14ac:dyDescent="0.25">
      <c r="A880" s="906">
        <v>99631</v>
      </c>
      <c r="B880" s="907" t="s">
        <v>3439</v>
      </c>
      <c r="C880" s="908">
        <v>1.0340000000000001E-4</v>
      </c>
      <c r="D880" s="908">
        <v>9.8599999999999998E-5</v>
      </c>
      <c r="E880" s="909">
        <v>37652</v>
      </c>
      <c r="F880" s="909">
        <v>44251</v>
      </c>
      <c r="G880" s="909">
        <v>219449</v>
      </c>
      <c r="H880" s="909"/>
      <c r="I880" s="910">
        <v>4123</v>
      </c>
      <c r="J880" s="910">
        <v>192308</v>
      </c>
      <c r="K880" s="910">
        <v>15030</v>
      </c>
      <c r="L880" s="909">
        <v>0</v>
      </c>
      <c r="M880" s="909"/>
      <c r="N880" s="910">
        <v>7690</v>
      </c>
      <c r="O880" s="910">
        <v>70980</v>
      </c>
      <c r="P880" s="910">
        <v>0</v>
      </c>
      <c r="Q880" s="909">
        <v>9381</v>
      </c>
      <c r="R880" s="910">
        <f t="shared" si="13"/>
        <v>121328</v>
      </c>
      <c r="S880" s="909"/>
      <c r="T880" s="910">
        <v>58656</v>
      </c>
      <c r="U880" s="912">
        <v>-4222</v>
      </c>
      <c r="V880" s="912">
        <v>54433</v>
      </c>
    </row>
    <row r="881" spans="1:22" x14ac:dyDescent="0.25">
      <c r="A881" s="906">
        <v>99651</v>
      </c>
      <c r="B881" s="907" t="s">
        <v>3440</v>
      </c>
      <c r="C881" s="908">
        <v>6.7100000000000005E-5</v>
      </c>
      <c r="D881" s="908">
        <v>5.7500000000000002E-5</v>
      </c>
      <c r="E881" s="909">
        <v>24617</v>
      </c>
      <c r="F881" s="909">
        <v>25806</v>
      </c>
      <c r="G881" s="909">
        <v>142409</v>
      </c>
      <c r="H881" s="909"/>
      <c r="I881" s="910">
        <v>2676</v>
      </c>
      <c r="J881" s="910">
        <v>124795</v>
      </c>
      <c r="K881" s="910">
        <v>9754</v>
      </c>
      <c r="L881" s="909">
        <v>8790</v>
      </c>
      <c r="M881" s="909"/>
      <c r="N881" s="910">
        <v>4990</v>
      </c>
      <c r="O881" s="910">
        <v>46061</v>
      </c>
      <c r="P881" s="910">
        <v>0</v>
      </c>
      <c r="Q881" s="909">
        <v>2840</v>
      </c>
      <c r="R881" s="910">
        <f t="shared" si="13"/>
        <v>78734</v>
      </c>
      <c r="S881" s="909"/>
      <c r="T881" s="910">
        <v>38064</v>
      </c>
      <c r="U881" s="912">
        <v>1419</v>
      </c>
      <c r="V881" s="912">
        <v>39483</v>
      </c>
    </row>
    <row r="882" spans="1:22" x14ac:dyDescent="0.25">
      <c r="A882" s="906">
        <v>99661</v>
      </c>
      <c r="B882" s="907" t="s">
        <v>3441</v>
      </c>
      <c r="C882" s="908">
        <v>3.5500000000000002E-5</v>
      </c>
      <c r="D882" s="908">
        <v>3.4900000000000001E-5</v>
      </c>
      <c r="E882" s="909">
        <v>34311.1</v>
      </c>
      <c r="F882" s="909">
        <v>15663</v>
      </c>
      <c r="G882" s="909">
        <v>75343</v>
      </c>
      <c r="H882" s="909"/>
      <c r="I882" s="910">
        <v>1415.5625</v>
      </c>
      <c r="J882" s="910">
        <v>66024</v>
      </c>
      <c r="K882" s="910">
        <v>5160</v>
      </c>
      <c r="L882" s="909">
        <v>30447</v>
      </c>
      <c r="M882" s="909"/>
      <c r="N882" s="910">
        <v>2640</v>
      </c>
      <c r="O882" s="910">
        <v>24369</v>
      </c>
      <c r="P882" s="910">
        <v>0</v>
      </c>
      <c r="Q882" s="909">
        <v>0</v>
      </c>
      <c r="R882" s="910">
        <f t="shared" si="13"/>
        <v>41655</v>
      </c>
      <c r="S882" s="909"/>
      <c r="T882" s="910">
        <v>20138</v>
      </c>
      <c r="U882" s="912">
        <v>9415</v>
      </c>
      <c r="V882" s="912">
        <v>29553</v>
      </c>
    </row>
    <row r="883" spans="1:22" x14ac:dyDescent="0.25">
      <c r="A883" s="906">
        <v>99701</v>
      </c>
      <c r="B883" s="907" t="s">
        <v>3442</v>
      </c>
      <c r="C883" s="908">
        <v>2.8774E-3</v>
      </c>
      <c r="D883" s="908">
        <v>2.7742000000000001E-3</v>
      </c>
      <c r="E883" s="909">
        <v>1127825</v>
      </c>
      <c r="F883" s="909">
        <v>1245044</v>
      </c>
      <c r="G883" s="909">
        <v>6106807</v>
      </c>
      <c r="H883" s="909"/>
      <c r="I883" s="910">
        <v>114736</v>
      </c>
      <c r="J883" s="910">
        <v>5351509</v>
      </c>
      <c r="K883" s="910">
        <v>418262</v>
      </c>
      <c r="L883" s="909">
        <v>31037</v>
      </c>
      <c r="M883" s="909"/>
      <c r="N883" s="910">
        <v>213989</v>
      </c>
      <c r="O883" s="910">
        <v>1975214</v>
      </c>
      <c r="P883" s="910">
        <v>0</v>
      </c>
      <c r="Q883" s="909">
        <v>19671</v>
      </c>
      <c r="R883" s="910">
        <f t="shared" si="13"/>
        <v>3376295</v>
      </c>
      <c r="S883" s="909"/>
      <c r="T883" s="910">
        <v>1632260</v>
      </c>
      <c r="U883" s="912">
        <v>-10</v>
      </c>
      <c r="V883" s="912">
        <v>1632250</v>
      </c>
    </row>
    <row r="884" spans="1:22" x14ac:dyDescent="0.25">
      <c r="A884" s="906">
        <v>99705</v>
      </c>
      <c r="B884" s="907" t="s">
        <v>3443</v>
      </c>
      <c r="C884" s="908">
        <v>1.7259999999999999E-4</v>
      </c>
      <c r="D884" s="908">
        <v>1.7660000000000001E-4</v>
      </c>
      <c r="E884" s="909">
        <v>76713.119999999995</v>
      </c>
      <c r="F884" s="909">
        <v>79257</v>
      </c>
      <c r="G884" s="909">
        <v>366315</v>
      </c>
      <c r="H884" s="909"/>
      <c r="I884" s="910">
        <v>6882</v>
      </c>
      <c r="J884" s="910">
        <v>321009</v>
      </c>
      <c r="K884" s="910">
        <v>25089</v>
      </c>
      <c r="L884" s="909">
        <v>11090</v>
      </c>
      <c r="M884" s="909"/>
      <c r="N884" s="910">
        <v>12836</v>
      </c>
      <c r="O884" s="910">
        <v>118483</v>
      </c>
      <c r="P884" s="910">
        <v>0</v>
      </c>
      <c r="Q884" s="909">
        <v>842</v>
      </c>
      <c r="R884" s="910">
        <f t="shared" si="13"/>
        <v>202526</v>
      </c>
      <c r="S884" s="909"/>
      <c r="T884" s="910">
        <v>97911</v>
      </c>
      <c r="U884" s="912">
        <v>4693</v>
      </c>
      <c r="V884" s="912">
        <v>102604</v>
      </c>
    </row>
    <row r="885" spans="1:22" x14ac:dyDescent="0.25">
      <c r="A885" s="906">
        <v>99711</v>
      </c>
      <c r="B885" s="907" t="s">
        <v>3444</v>
      </c>
      <c r="C885" s="908">
        <v>4.3540000000000001E-4</v>
      </c>
      <c r="D885" s="908">
        <v>4.506E-4</v>
      </c>
      <c r="E885" s="909">
        <v>185440.27</v>
      </c>
      <c r="F885" s="909">
        <v>202227</v>
      </c>
      <c r="G885" s="909">
        <v>924065</v>
      </c>
      <c r="H885" s="909"/>
      <c r="I885" s="910">
        <v>17362</v>
      </c>
      <c r="J885" s="910">
        <v>809775</v>
      </c>
      <c r="K885" s="910">
        <v>63290</v>
      </c>
      <c r="L885" s="909">
        <v>1891</v>
      </c>
      <c r="M885" s="909"/>
      <c r="N885" s="910">
        <v>32380</v>
      </c>
      <c r="O885" s="910">
        <v>298884</v>
      </c>
      <c r="P885" s="910">
        <v>0</v>
      </c>
      <c r="Q885" s="909">
        <v>15994</v>
      </c>
      <c r="R885" s="910">
        <f t="shared" si="13"/>
        <v>510891</v>
      </c>
      <c r="S885" s="909"/>
      <c r="T885" s="910">
        <v>246989</v>
      </c>
      <c r="U885" s="912">
        <v>-4419</v>
      </c>
      <c r="V885" s="912">
        <v>242569</v>
      </c>
    </row>
    <row r="886" spans="1:22" x14ac:dyDescent="0.25">
      <c r="A886" s="906">
        <v>99717</v>
      </c>
      <c r="B886" s="907" t="s">
        <v>3445</v>
      </c>
      <c r="C886" s="908">
        <v>2.3200000000000001E-5</v>
      </c>
      <c r="D886" s="908">
        <v>2.2399999999999999E-5</v>
      </c>
      <c r="E886" s="909">
        <v>7625</v>
      </c>
      <c r="F886" s="909">
        <v>10053</v>
      </c>
      <c r="G886" s="909">
        <v>49238</v>
      </c>
      <c r="H886" s="909"/>
      <c r="I886" s="910">
        <v>925.1</v>
      </c>
      <c r="J886" s="910">
        <v>43148</v>
      </c>
      <c r="K886" s="910">
        <v>3372</v>
      </c>
      <c r="L886" s="909">
        <v>0</v>
      </c>
      <c r="M886" s="909"/>
      <c r="N886" s="910">
        <v>1725</v>
      </c>
      <c r="O886" s="910">
        <v>15926</v>
      </c>
      <c r="P886" s="910">
        <v>0</v>
      </c>
      <c r="Q886" s="909">
        <v>2122</v>
      </c>
      <c r="R886" s="910">
        <f t="shared" si="13"/>
        <v>27222</v>
      </c>
      <c r="S886" s="909"/>
      <c r="T886" s="910">
        <v>13161</v>
      </c>
      <c r="U886" s="912">
        <v>-653</v>
      </c>
      <c r="V886" s="912">
        <v>12508</v>
      </c>
    </row>
    <row r="887" spans="1:22" x14ac:dyDescent="0.25">
      <c r="A887" s="906">
        <v>99721</v>
      </c>
      <c r="B887" s="907" t="s">
        <v>3446</v>
      </c>
      <c r="C887" s="908">
        <v>6.2449999999999995E-4</v>
      </c>
      <c r="D887" s="908">
        <v>5.8460000000000001E-4</v>
      </c>
      <c r="E887" s="909">
        <v>220767.11</v>
      </c>
      <c r="F887" s="909">
        <v>262365</v>
      </c>
      <c r="G887" s="909">
        <v>1325398</v>
      </c>
      <c r="H887" s="909"/>
      <c r="I887" s="910">
        <v>24902</v>
      </c>
      <c r="J887" s="910">
        <v>1161471</v>
      </c>
      <c r="K887" s="910">
        <v>90778</v>
      </c>
      <c r="L887" s="909">
        <v>0</v>
      </c>
      <c r="M887" s="909"/>
      <c r="N887" s="910">
        <v>46443</v>
      </c>
      <c r="O887" s="910">
        <v>428693</v>
      </c>
      <c r="P887" s="910">
        <v>0</v>
      </c>
      <c r="Q887" s="909">
        <v>11340</v>
      </c>
      <c r="R887" s="910">
        <f t="shared" si="13"/>
        <v>732778</v>
      </c>
      <c r="S887" s="909"/>
      <c r="T887" s="910">
        <v>354259</v>
      </c>
      <c r="U887" s="912">
        <v>-3889</v>
      </c>
      <c r="V887" s="912">
        <v>350371</v>
      </c>
    </row>
    <row r="888" spans="1:22" x14ac:dyDescent="0.25">
      <c r="A888" s="906">
        <v>99727</v>
      </c>
      <c r="B888" s="907" t="s">
        <v>3447</v>
      </c>
      <c r="C888" s="908">
        <v>2.5299999999999998E-5</v>
      </c>
      <c r="D888" s="908">
        <v>2.8099999999999999E-5</v>
      </c>
      <c r="E888" s="909">
        <v>45027.6</v>
      </c>
      <c r="F888" s="909">
        <v>12611</v>
      </c>
      <c r="G888" s="909">
        <v>53695</v>
      </c>
      <c r="H888" s="909"/>
      <c r="I888" s="910">
        <v>1008.8375</v>
      </c>
      <c r="J888" s="910">
        <v>47054</v>
      </c>
      <c r="K888" s="910">
        <v>3678</v>
      </c>
      <c r="L888" s="909">
        <v>46298</v>
      </c>
      <c r="M888" s="909"/>
      <c r="N888" s="910">
        <v>1882</v>
      </c>
      <c r="O888" s="910">
        <v>17367</v>
      </c>
      <c r="P888" s="910">
        <v>0</v>
      </c>
      <c r="Q888" s="909">
        <v>0</v>
      </c>
      <c r="R888" s="910">
        <f t="shared" si="13"/>
        <v>29687</v>
      </c>
      <c r="S888" s="909"/>
      <c r="T888" s="910">
        <v>14352</v>
      </c>
      <c r="U888" s="912">
        <v>14150</v>
      </c>
      <c r="V888" s="912">
        <v>28501</v>
      </c>
    </row>
    <row r="889" spans="1:22" x14ac:dyDescent="0.25">
      <c r="A889" s="906">
        <v>99801</v>
      </c>
      <c r="B889" s="907" t="s">
        <v>3448</v>
      </c>
      <c r="C889" s="908">
        <v>5.1954999999999996E-3</v>
      </c>
      <c r="D889" s="908">
        <v>5.0806999999999996E-3</v>
      </c>
      <c r="E889" s="909">
        <v>2017956.21</v>
      </c>
      <c r="F889" s="909">
        <v>2280188</v>
      </c>
      <c r="G889" s="909">
        <v>11026591</v>
      </c>
      <c r="H889" s="909"/>
      <c r="I889" s="910">
        <v>207171</v>
      </c>
      <c r="J889" s="910">
        <v>9662809</v>
      </c>
      <c r="K889" s="910">
        <v>755223</v>
      </c>
      <c r="L889" s="909">
        <v>34255.86</v>
      </c>
      <c r="M889" s="909"/>
      <c r="N889" s="910">
        <v>386384</v>
      </c>
      <c r="O889" s="910">
        <v>3566493</v>
      </c>
      <c r="P889" s="910">
        <v>0</v>
      </c>
      <c r="Q889" s="909">
        <v>67721</v>
      </c>
      <c r="R889" s="910">
        <f t="shared" si="13"/>
        <v>6096316</v>
      </c>
      <c r="S889" s="909"/>
      <c r="T889" s="910">
        <v>2947246</v>
      </c>
      <c r="U889" s="912">
        <v>-3738</v>
      </c>
      <c r="V889" s="912">
        <v>2943508</v>
      </c>
    </row>
    <row r="890" spans="1:22" x14ac:dyDescent="0.25">
      <c r="A890" s="906">
        <v>99802</v>
      </c>
      <c r="B890" s="907" t="s">
        <v>3449</v>
      </c>
      <c r="C890" s="908">
        <v>6.4999999999999996E-6</v>
      </c>
      <c r="D890" s="908">
        <v>7.7000000000000008E-6</v>
      </c>
      <c r="E890" s="909">
        <v>3764</v>
      </c>
      <c r="F890" s="909">
        <v>3456</v>
      </c>
      <c r="G890" s="909">
        <v>13795</v>
      </c>
      <c r="H890" s="909"/>
      <c r="I890" s="910">
        <v>259.1875</v>
      </c>
      <c r="J890" s="910">
        <v>12089</v>
      </c>
      <c r="K890" s="910">
        <v>945</v>
      </c>
      <c r="L890" s="909">
        <v>358</v>
      </c>
      <c r="M890" s="909"/>
      <c r="N890" s="910">
        <v>483</v>
      </c>
      <c r="O890" s="910">
        <v>4462</v>
      </c>
      <c r="P890" s="910">
        <v>0</v>
      </c>
      <c r="Q890" s="909">
        <v>107</v>
      </c>
      <c r="R890" s="910">
        <f t="shared" si="13"/>
        <v>7627</v>
      </c>
      <c r="S890" s="909"/>
      <c r="T890" s="910">
        <v>3687</v>
      </c>
      <c r="U890" s="912">
        <v>52</v>
      </c>
      <c r="V890" s="912">
        <v>3740</v>
      </c>
    </row>
    <row r="891" spans="1:22" x14ac:dyDescent="0.25">
      <c r="A891" s="906">
        <v>99804</v>
      </c>
      <c r="B891" s="907" t="s">
        <v>3450</v>
      </c>
      <c r="C891" s="908">
        <v>8.6600000000000004E-5</v>
      </c>
      <c r="D891" s="908">
        <v>8.7999999999999998E-5</v>
      </c>
      <c r="E891" s="909">
        <v>41607</v>
      </c>
      <c r="F891" s="909">
        <v>39494</v>
      </c>
      <c r="G891" s="909">
        <v>183794</v>
      </c>
      <c r="H891" s="909"/>
      <c r="I891" s="910">
        <v>3453</v>
      </c>
      <c r="J891" s="910">
        <v>161062</v>
      </c>
      <c r="K891" s="910">
        <v>12588</v>
      </c>
      <c r="L891" s="909">
        <v>10128</v>
      </c>
      <c r="M891" s="909"/>
      <c r="N891" s="910">
        <v>6440</v>
      </c>
      <c r="O891" s="910">
        <v>59447</v>
      </c>
      <c r="P891" s="910">
        <v>0</v>
      </c>
      <c r="Q891" s="909">
        <v>0</v>
      </c>
      <c r="R891" s="910">
        <f t="shared" si="13"/>
        <v>101615</v>
      </c>
      <c r="S891" s="909"/>
      <c r="T891" s="910">
        <v>49125</v>
      </c>
      <c r="U891" s="912">
        <v>3221</v>
      </c>
      <c r="V891" s="912">
        <v>52347</v>
      </c>
    </row>
    <row r="892" spans="1:22" x14ac:dyDescent="0.25">
      <c r="A892" s="906">
        <v>99811</v>
      </c>
      <c r="B892" s="907" t="s">
        <v>3451</v>
      </c>
      <c r="C892" s="908">
        <v>6.8415000000000004E-3</v>
      </c>
      <c r="D892" s="908">
        <v>6.9579999999999998E-3</v>
      </c>
      <c r="E892" s="909">
        <v>2561770.62</v>
      </c>
      <c r="F892" s="909">
        <v>3122709</v>
      </c>
      <c r="G892" s="909">
        <v>14519955</v>
      </c>
      <c r="H892" s="909"/>
      <c r="I892" s="910">
        <v>272805</v>
      </c>
      <c r="J892" s="910">
        <v>12724109</v>
      </c>
      <c r="K892" s="910">
        <v>994487</v>
      </c>
      <c r="L892" s="909">
        <v>0</v>
      </c>
      <c r="M892" s="909"/>
      <c r="N892" s="910">
        <v>508796</v>
      </c>
      <c r="O892" s="910">
        <v>4696402</v>
      </c>
      <c r="P892" s="910">
        <v>0</v>
      </c>
      <c r="Q892" s="909">
        <v>526561</v>
      </c>
      <c r="R892" s="910">
        <f t="shared" si="13"/>
        <v>8027707</v>
      </c>
      <c r="S892" s="909"/>
      <c r="T892" s="910">
        <v>3880971</v>
      </c>
      <c r="U892" s="912">
        <v>-175139</v>
      </c>
      <c r="V892" s="912">
        <v>3705832</v>
      </c>
    </row>
    <row r="893" spans="1:22" x14ac:dyDescent="0.25">
      <c r="A893" s="906">
        <v>99812</v>
      </c>
      <c r="B893" s="907" t="s">
        <v>3452</v>
      </c>
      <c r="C893" s="908">
        <v>2.5599999999999999E-5</v>
      </c>
      <c r="D893" s="908">
        <v>2.7399999999999999E-5</v>
      </c>
      <c r="E893" s="909">
        <v>18003</v>
      </c>
      <c r="F893" s="909">
        <v>12297</v>
      </c>
      <c r="G893" s="909">
        <v>54332</v>
      </c>
      <c r="H893" s="909"/>
      <c r="I893" s="910">
        <v>1020.8</v>
      </c>
      <c r="J893" s="910">
        <v>47612</v>
      </c>
      <c r="K893" s="910">
        <v>3721</v>
      </c>
      <c r="L893" s="909">
        <v>8899</v>
      </c>
      <c r="M893" s="909"/>
      <c r="N893" s="910">
        <v>1904</v>
      </c>
      <c r="O893" s="910">
        <v>17573</v>
      </c>
      <c r="P893" s="910">
        <v>0</v>
      </c>
      <c r="Q893" s="909">
        <v>0</v>
      </c>
      <c r="R893" s="910">
        <f t="shared" si="13"/>
        <v>30039</v>
      </c>
      <c r="S893" s="909"/>
      <c r="T893" s="910">
        <v>14522</v>
      </c>
      <c r="U893" s="912">
        <v>2839</v>
      </c>
      <c r="V893" s="912">
        <v>17361</v>
      </c>
    </row>
    <row r="894" spans="1:22" x14ac:dyDescent="0.25">
      <c r="A894" s="906">
        <v>99818</v>
      </c>
      <c r="B894" s="907" t="s">
        <v>3453</v>
      </c>
      <c r="C894" s="908">
        <v>3.7700000000000002E-5</v>
      </c>
      <c r="D894" s="908">
        <v>4.4199999999999997E-5</v>
      </c>
      <c r="E894" s="909">
        <v>16175</v>
      </c>
      <c r="F894" s="909">
        <v>19837</v>
      </c>
      <c r="G894" s="909">
        <v>80012</v>
      </c>
      <c r="H894" s="909"/>
      <c r="I894" s="910">
        <v>1503</v>
      </c>
      <c r="J894" s="910">
        <v>70116</v>
      </c>
      <c r="K894" s="910">
        <v>5480</v>
      </c>
      <c r="L894" s="909">
        <v>5574</v>
      </c>
      <c r="M894" s="909"/>
      <c r="N894" s="910">
        <v>2804</v>
      </c>
      <c r="O894" s="910">
        <v>25879</v>
      </c>
      <c r="P894" s="910">
        <v>0</v>
      </c>
      <c r="Q894" s="909">
        <v>2988</v>
      </c>
      <c r="R894" s="910">
        <f t="shared" si="13"/>
        <v>44237</v>
      </c>
      <c r="S894" s="909"/>
      <c r="T894" s="910">
        <v>21386</v>
      </c>
      <c r="U894" s="912">
        <v>1745</v>
      </c>
      <c r="V894" s="912">
        <v>23131</v>
      </c>
    </row>
    <row r="895" spans="1:22" x14ac:dyDescent="0.25">
      <c r="A895" s="906">
        <v>99821</v>
      </c>
      <c r="B895" s="907" t="s">
        <v>3454</v>
      </c>
      <c r="C895" s="908">
        <v>8.2899999999999996E-5</v>
      </c>
      <c r="D895" s="908">
        <v>8.42E-5</v>
      </c>
      <c r="E895" s="909">
        <v>42679.99</v>
      </c>
      <c r="F895" s="909">
        <v>37788</v>
      </c>
      <c r="G895" s="909">
        <v>175942</v>
      </c>
      <c r="H895" s="909"/>
      <c r="I895" s="910">
        <v>3306</v>
      </c>
      <c r="J895" s="910">
        <v>154181</v>
      </c>
      <c r="K895" s="910">
        <v>12050</v>
      </c>
      <c r="L895" s="909">
        <v>17868</v>
      </c>
      <c r="M895" s="909"/>
      <c r="N895" s="910">
        <v>6165</v>
      </c>
      <c r="O895" s="910">
        <v>56907</v>
      </c>
      <c r="P895" s="910">
        <v>0</v>
      </c>
      <c r="Q895" s="909">
        <v>860</v>
      </c>
      <c r="R895" s="910">
        <f t="shared" si="13"/>
        <v>97274</v>
      </c>
      <c r="S895" s="909"/>
      <c r="T895" s="910">
        <v>47027</v>
      </c>
      <c r="U895" s="912">
        <v>7184</v>
      </c>
      <c r="V895" s="912">
        <v>54211</v>
      </c>
    </row>
    <row r="896" spans="1:22" x14ac:dyDescent="0.25">
      <c r="A896" s="906">
        <v>99831</v>
      </c>
      <c r="B896" s="907" t="s">
        <v>3455</v>
      </c>
      <c r="C896" s="908">
        <v>5.5899999999999997E-5</v>
      </c>
      <c r="D896" s="908">
        <v>5.0699999999999999E-5</v>
      </c>
      <c r="E896" s="909">
        <v>23539.8</v>
      </c>
      <c r="F896" s="909">
        <v>22754</v>
      </c>
      <c r="G896" s="909">
        <v>118639</v>
      </c>
      <c r="H896" s="909"/>
      <c r="I896" s="910">
        <v>2229</v>
      </c>
      <c r="J896" s="910">
        <v>103965</v>
      </c>
      <c r="K896" s="910">
        <v>8126</v>
      </c>
      <c r="L896" s="909">
        <v>3830</v>
      </c>
      <c r="M896" s="909"/>
      <c r="N896" s="910">
        <v>4157</v>
      </c>
      <c r="O896" s="910">
        <v>38373</v>
      </c>
      <c r="P896" s="910">
        <v>0</v>
      </c>
      <c r="Q896" s="909">
        <v>873</v>
      </c>
      <c r="R896" s="910">
        <f t="shared" si="13"/>
        <v>65592</v>
      </c>
      <c r="S896" s="909"/>
      <c r="T896" s="910">
        <v>31710</v>
      </c>
      <c r="U896" s="912">
        <v>823</v>
      </c>
      <c r="V896" s="912">
        <v>32533</v>
      </c>
    </row>
    <row r="897" spans="1:22" x14ac:dyDescent="0.25">
      <c r="A897" s="906">
        <v>99841</v>
      </c>
      <c r="B897" s="907" t="s">
        <v>3456</v>
      </c>
      <c r="C897" s="908">
        <v>4.6E-5</v>
      </c>
      <c r="D897" s="908">
        <v>4.6699999999999997E-5</v>
      </c>
      <c r="E897" s="909">
        <v>18090.39</v>
      </c>
      <c r="F897" s="909">
        <v>20959</v>
      </c>
      <c r="G897" s="909">
        <v>97627.41</v>
      </c>
      <c r="H897" s="909"/>
      <c r="I897" s="910">
        <v>1834.25</v>
      </c>
      <c r="J897" s="910">
        <v>85553</v>
      </c>
      <c r="K897" s="910">
        <v>6687</v>
      </c>
      <c r="L897" s="909">
        <v>1970</v>
      </c>
      <c r="M897" s="909"/>
      <c r="N897" s="910">
        <v>3421</v>
      </c>
      <c r="O897" s="910">
        <v>31577</v>
      </c>
      <c r="P897" s="910">
        <v>0</v>
      </c>
      <c r="Q897" s="909">
        <v>3207</v>
      </c>
      <c r="R897" s="910">
        <f t="shared" si="13"/>
        <v>53976</v>
      </c>
      <c r="S897" s="909"/>
      <c r="T897" s="910">
        <v>26094</v>
      </c>
      <c r="U897" s="912">
        <v>-661</v>
      </c>
      <c r="V897" s="912">
        <v>25434</v>
      </c>
    </row>
    <row r="898" spans="1:22" x14ac:dyDescent="0.25">
      <c r="A898" s="906">
        <v>99851</v>
      </c>
      <c r="B898" s="907" t="s">
        <v>3457</v>
      </c>
      <c r="C898" s="908">
        <v>2.1999999999999999E-5</v>
      </c>
      <c r="D898" s="908">
        <v>2.0299999999999999E-5</v>
      </c>
      <c r="E898" s="909">
        <v>6172</v>
      </c>
      <c r="F898" s="909">
        <v>9111</v>
      </c>
      <c r="G898" s="909">
        <v>46691</v>
      </c>
      <c r="H898" s="909"/>
      <c r="I898" s="910">
        <v>877.25</v>
      </c>
      <c r="J898" s="910">
        <v>40917</v>
      </c>
      <c r="K898" s="910">
        <v>3198</v>
      </c>
      <c r="L898" s="909">
        <v>221</v>
      </c>
      <c r="M898" s="909"/>
      <c r="N898" s="910">
        <v>1636</v>
      </c>
      <c r="O898" s="910">
        <v>15102</v>
      </c>
      <c r="P898" s="910">
        <v>0</v>
      </c>
      <c r="Q898" s="909">
        <v>1432</v>
      </c>
      <c r="R898" s="910">
        <f t="shared" si="13"/>
        <v>25815</v>
      </c>
      <c r="S898" s="909"/>
      <c r="T898" s="910">
        <v>12480</v>
      </c>
      <c r="U898" s="912">
        <v>-310</v>
      </c>
      <c r="V898" s="912">
        <v>12170</v>
      </c>
    </row>
    <row r="899" spans="1:22" x14ac:dyDescent="0.25">
      <c r="A899" s="906">
        <v>99901</v>
      </c>
      <c r="B899" s="907" t="s">
        <v>3458</v>
      </c>
      <c r="C899" s="908">
        <v>1.6371999999999999E-3</v>
      </c>
      <c r="D899" s="908">
        <v>1.5259E-3</v>
      </c>
      <c r="E899" s="909">
        <v>635103.91</v>
      </c>
      <c r="F899" s="909">
        <v>684815</v>
      </c>
      <c r="G899" s="909">
        <v>3474687</v>
      </c>
      <c r="H899" s="909"/>
      <c r="I899" s="910">
        <v>65283.35</v>
      </c>
      <c r="J899" s="910">
        <v>3044933</v>
      </c>
      <c r="K899" s="910">
        <v>237985</v>
      </c>
      <c r="L899" s="909">
        <v>67178</v>
      </c>
      <c r="M899" s="909"/>
      <c r="N899" s="910">
        <v>121757</v>
      </c>
      <c r="O899" s="910">
        <v>1123869</v>
      </c>
      <c r="P899" s="910">
        <v>0</v>
      </c>
      <c r="Q899" s="909">
        <v>24162.58</v>
      </c>
      <c r="R899" s="910">
        <f t="shared" si="13"/>
        <v>1921064</v>
      </c>
      <c r="S899" s="909"/>
      <c r="T899" s="910">
        <v>928733</v>
      </c>
      <c r="U899" s="912">
        <v>8817</v>
      </c>
      <c r="V899" s="912">
        <v>937550</v>
      </c>
    </row>
    <row r="900" spans="1:22" x14ac:dyDescent="0.25">
      <c r="A900" s="906">
        <v>99911</v>
      </c>
      <c r="B900" s="907" t="s">
        <v>3459</v>
      </c>
      <c r="C900" s="908">
        <v>2.5520000000000002E-4</v>
      </c>
      <c r="D900" s="908">
        <v>2.766E-4</v>
      </c>
      <c r="E900" s="909">
        <v>106882</v>
      </c>
      <c r="F900" s="909">
        <v>124136</v>
      </c>
      <c r="G900" s="909">
        <v>541620</v>
      </c>
      <c r="H900" s="909"/>
      <c r="I900" s="910">
        <v>10176.1</v>
      </c>
      <c r="J900" s="910">
        <v>474632</v>
      </c>
      <c r="K900" s="910">
        <v>37096</v>
      </c>
      <c r="L900" s="909">
        <v>2863</v>
      </c>
      <c r="M900" s="909"/>
      <c r="N900" s="910">
        <v>18979</v>
      </c>
      <c r="O900" s="910">
        <v>175184</v>
      </c>
      <c r="P900" s="910">
        <v>0</v>
      </c>
      <c r="Q900" s="909">
        <v>20527</v>
      </c>
      <c r="R900" s="910">
        <f t="shared" si="13"/>
        <v>299448</v>
      </c>
      <c r="S900" s="909"/>
      <c r="T900" s="910">
        <v>144767</v>
      </c>
      <c r="U900" s="912">
        <v>-6851</v>
      </c>
      <c r="V900" s="912">
        <v>137916</v>
      </c>
    </row>
    <row r="901" spans="1:22" x14ac:dyDescent="0.25">
      <c r="A901" s="906">
        <v>99921</v>
      </c>
      <c r="B901" s="907" t="s">
        <v>3460</v>
      </c>
      <c r="C901" s="925">
        <v>1.5129999999999999E-4</v>
      </c>
      <c r="D901" s="925">
        <v>1.3889999999999999E-4</v>
      </c>
      <c r="E901" s="909">
        <v>55802.77</v>
      </c>
      <c r="F901" s="909">
        <v>62337</v>
      </c>
      <c r="G901" s="894">
        <v>321109</v>
      </c>
      <c r="H901" s="894"/>
      <c r="I901" s="926">
        <v>6033</v>
      </c>
      <c r="J901" s="926">
        <v>281394</v>
      </c>
      <c r="K901" s="926">
        <v>21993</v>
      </c>
      <c r="L901" s="894">
        <v>4809</v>
      </c>
      <c r="M901" s="894"/>
      <c r="N901" s="926">
        <v>11252</v>
      </c>
      <c r="O901" s="926">
        <v>103861</v>
      </c>
      <c r="P901" s="926">
        <v>0</v>
      </c>
      <c r="Q901" s="894">
        <v>7353</v>
      </c>
      <c r="R901" s="910">
        <f t="shared" si="13"/>
        <v>177533</v>
      </c>
      <c r="S901" s="894"/>
      <c r="T901" s="926">
        <v>85828</v>
      </c>
      <c r="U901" s="896">
        <v>-2145</v>
      </c>
      <c r="V901" s="896">
        <v>83683</v>
      </c>
    </row>
    <row r="902" spans="1:22" s="895" customFormat="1" x14ac:dyDescent="0.25">
      <c r="A902" s="906">
        <v>99931</v>
      </c>
      <c r="B902" s="898" t="s">
        <v>3461</v>
      </c>
      <c r="C902" s="927">
        <v>2.51E-5</v>
      </c>
      <c r="D902" s="927">
        <v>2.5700000000000001E-5</v>
      </c>
      <c r="E902" s="909">
        <v>9194.32</v>
      </c>
      <c r="F902" s="909">
        <v>11534</v>
      </c>
      <c r="G902" s="928">
        <v>53271</v>
      </c>
      <c r="H902" s="928"/>
      <c r="I902" s="928">
        <v>1000.8625</v>
      </c>
      <c r="J902" s="928">
        <v>46682</v>
      </c>
      <c r="K902" s="928">
        <v>3649</v>
      </c>
      <c r="L902" s="928">
        <v>0</v>
      </c>
      <c r="N902" s="928">
        <v>1867</v>
      </c>
      <c r="O902" s="928">
        <v>17230</v>
      </c>
      <c r="P902" s="929">
        <v>0</v>
      </c>
      <c r="Q902" s="928">
        <v>5581</v>
      </c>
      <c r="R902" s="910">
        <f t="shared" si="13"/>
        <v>29452</v>
      </c>
      <c r="S902" s="928"/>
      <c r="T902" s="928">
        <v>14238</v>
      </c>
      <c r="U902" s="928">
        <v>-2038</v>
      </c>
      <c r="V902" s="928">
        <v>12201</v>
      </c>
    </row>
    <row r="903" spans="1:22" x14ac:dyDescent="0.25">
      <c r="A903" s="913">
        <v>99941</v>
      </c>
      <c r="B903" s="893" t="s">
        <v>3462</v>
      </c>
      <c r="C903" s="925">
        <v>7.8200000000000003E-5</v>
      </c>
      <c r="D903" s="925">
        <v>8.7899999999999995E-5</v>
      </c>
      <c r="E903" s="909">
        <v>27969.51</v>
      </c>
      <c r="F903" s="909">
        <v>39449</v>
      </c>
      <c r="G903" s="928">
        <v>165967</v>
      </c>
      <c r="H903" s="928"/>
      <c r="I903" s="928">
        <v>3118</v>
      </c>
      <c r="J903" s="928">
        <v>145440</v>
      </c>
      <c r="K903" s="928">
        <v>11367</v>
      </c>
      <c r="L903" s="928">
        <v>0</v>
      </c>
      <c r="N903" s="928">
        <v>5816</v>
      </c>
      <c r="O903" s="928">
        <v>53681</v>
      </c>
      <c r="P903" s="929">
        <v>0</v>
      </c>
      <c r="Q903" s="928">
        <v>11883</v>
      </c>
      <c r="R903" s="910">
        <f>IF(J903&gt;O903,J903-O903,O903-J903)</f>
        <v>91759</v>
      </c>
      <c r="S903" s="928"/>
      <c r="T903" s="928">
        <v>44360</v>
      </c>
      <c r="U903" s="928">
        <v>-3675</v>
      </c>
      <c r="V903" s="928">
        <v>40686</v>
      </c>
    </row>
    <row r="904" spans="1:22" x14ac:dyDescent="0.25">
      <c r="A904" s="913">
        <v>99991</v>
      </c>
      <c r="B904" s="893" t="s">
        <v>3463</v>
      </c>
      <c r="C904" s="925">
        <v>5.6990000000000003E-4</v>
      </c>
      <c r="D904" s="925">
        <v>5.1539999999999995E-4</v>
      </c>
      <c r="E904" s="909">
        <v>214761.88</v>
      </c>
      <c r="F904" s="909">
        <v>231308</v>
      </c>
      <c r="G904" s="928">
        <v>1209519</v>
      </c>
      <c r="H904" s="928"/>
      <c r="I904" s="928">
        <v>22725</v>
      </c>
      <c r="J904" s="928">
        <v>1059924</v>
      </c>
      <c r="K904" s="928">
        <v>82841</v>
      </c>
      <c r="L904" s="928">
        <v>48305</v>
      </c>
      <c r="N904" s="928">
        <v>42383</v>
      </c>
      <c r="O904" s="928">
        <v>391212</v>
      </c>
      <c r="P904" s="929">
        <v>0</v>
      </c>
      <c r="Q904" s="928">
        <v>0</v>
      </c>
      <c r="R904" s="910">
        <f>IF(J904&gt;O904,J904-O904,O904-J904)</f>
        <v>668712</v>
      </c>
      <c r="S904" s="928"/>
      <c r="T904" s="928">
        <v>323287</v>
      </c>
      <c r="U904" s="928">
        <v>19414</v>
      </c>
      <c r="V904" s="928">
        <v>342701</v>
      </c>
    </row>
    <row r="905" spans="1:22" x14ac:dyDescent="0.25">
      <c r="A905" s="913">
        <v>99999</v>
      </c>
      <c r="B905" s="893" t="s">
        <v>3464</v>
      </c>
      <c r="C905" s="925">
        <v>1.0101000000000001E-3</v>
      </c>
      <c r="D905" s="925">
        <v>9.3599999999999998E-4</v>
      </c>
      <c r="E905" s="909">
        <v>441362</v>
      </c>
      <c r="F905" s="909">
        <v>420071</v>
      </c>
      <c r="G905" s="928">
        <v>2143771</v>
      </c>
      <c r="H905" s="928"/>
      <c r="I905" s="928">
        <v>40278</v>
      </c>
      <c r="J905" s="928">
        <v>1878626</v>
      </c>
      <c r="K905" s="928">
        <v>146829</v>
      </c>
      <c r="L905" s="928">
        <v>111413</v>
      </c>
      <c r="N905" s="928">
        <v>75120</v>
      </c>
      <c r="O905" s="928">
        <v>693391</v>
      </c>
      <c r="P905" s="929">
        <v>0</v>
      </c>
      <c r="Q905" s="928">
        <v>43600.9</v>
      </c>
      <c r="R905" s="910">
        <f>IF(J905&gt;O905,J905-O905,O905-J905)</f>
        <v>1185235</v>
      </c>
      <c r="S905" s="928"/>
      <c r="T905" s="928">
        <v>572998</v>
      </c>
      <c r="U905" s="928">
        <v>11793</v>
      </c>
      <c r="V905" s="928">
        <v>584791</v>
      </c>
    </row>
    <row r="906" spans="1:22" x14ac:dyDescent="0.25">
      <c r="A906" s="906" t="s">
        <v>2553</v>
      </c>
      <c r="B906" s="907" t="s">
        <v>2552</v>
      </c>
      <c r="C906" s="908">
        <v>2.6160000000000002E-4</v>
      </c>
      <c r="D906" s="908">
        <v>2.9179999999999999E-4</v>
      </c>
      <c r="E906" s="909">
        <v>124242</v>
      </c>
      <c r="F906" s="909">
        <v>130958</v>
      </c>
      <c r="G906" s="909">
        <v>555203</v>
      </c>
      <c r="H906" s="909"/>
      <c r="I906" s="910">
        <v>10431</v>
      </c>
      <c r="J906" s="910">
        <v>486535</v>
      </c>
      <c r="K906" s="910">
        <v>38026</v>
      </c>
      <c r="L906" s="909">
        <v>2390</v>
      </c>
      <c r="M906" s="909"/>
      <c r="N906" s="910">
        <v>19455</v>
      </c>
      <c r="O906" s="910">
        <v>179577</v>
      </c>
      <c r="P906" s="910">
        <v>0</v>
      </c>
      <c r="Q906" s="909">
        <v>5043</v>
      </c>
      <c r="R906" s="910">
        <f>IF(J906&gt;O906,J906-O906,O906-J906)</f>
        <v>306958</v>
      </c>
      <c r="S906" s="909"/>
      <c r="T906" s="910">
        <v>148398</v>
      </c>
      <c r="U906" s="912">
        <v>-926</v>
      </c>
      <c r="V906" s="912">
        <v>147472</v>
      </c>
    </row>
    <row r="908" spans="1:22" x14ac:dyDescent="0.25">
      <c r="B908" s="916" t="s">
        <v>2061</v>
      </c>
      <c r="C908" s="930">
        <f>SUM(C7:C905)</f>
        <v>1</v>
      </c>
      <c r="D908" s="930">
        <f>SUM(D7:D905)</f>
        <v>1</v>
      </c>
      <c r="E908" s="931">
        <f>SUM(E7:E905)</f>
        <v>411243363</v>
      </c>
      <c r="F908" s="931">
        <f>SUM(F7:F905)</f>
        <v>448793979</v>
      </c>
      <c r="G908" s="931">
        <f>SUM(G7:G905)</f>
        <v>2122335002</v>
      </c>
      <c r="H908" s="931"/>
      <c r="I908" s="931">
        <f>SUM(I7:I905)</f>
        <v>39875005</v>
      </c>
      <c r="J908" s="931">
        <f>SUM(J7:J905)</f>
        <v>1857361931</v>
      </c>
      <c r="K908" s="931">
        <f>SUM(K7:K905)</f>
        <v>145360990</v>
      </c>
      <c r="L908" s="931">
        <f>SUM(L7:L905)</f>
        <v>47059867</v>
      </c>
      <c r="M908" s="931"/>
      <c r="N908" s="931">
        <f>SUM(N7:N905)</f>
        <v>74369003</v>
      </c>
      <c r="O908" s="931">
        <f>SUM(O7:O905)</f>
        <v>686457998</v>
      </c>
      <c r="P908" s="931">
        <f>SUM(P7:P905)</f>
        <v>0</v>
      </c>
      <c r="Q908" s="931">
        <f>SUM(Q7:Q905)</f>
        <v>47059539</v>
      </c>
      <c r="R908" s="931"/>
      <c r="S908" s="931"/>
      <c r="T908" s="931">
        <f>SUM(T7:T905)</f>
        <v>567268993</v>
      </c>
      <c r="U908" s="931">
        <f>SUM(U7:U905)</f>
        <v>95</v>
      </c>
      <c r="V908" s="931">
        <f>SUM(V7:V905)</f>
        <v>567269105</v>
      </c>
    </row>
    <row r="909" spans="1:22" x14ac:dyDescent="0.25">
      <c r="G909" s="932"/>
      <c r="H909" s="932"/>
      <c r="I909" s="932"/>
      <c r="J909" s="932"/>
      <c r="K909" s="932"/>
      <c r="L909" s="932"/>
      <c r="M909" s="932"/>
      <c r="N909" s="932"/>
      <c r="O909" s="932"/>
      <c r="P909" s="932"/>
      <c r="Q909" s="932"/>
      <c r="R909" s="932"/>
      <c r="S909" s="932"/>
      <c r="T909" s="932"/>
      <c r="U909" s="932"/>
      <c r="V909" s="932"/>
    </row>
    <row r="910" spans="1:22" x14ac:dyDescent="0.25">
      <c r="G910" s="933"/>
      <c r="H910" s="933"/>
      <c r="I910" s="933"/>
      <c r="J910" s="933"/>
      <c r="K910" s="933"/>
      <c r="L910" s="933"/>
      <c r="M910" s="933"/>
      <c r="N910" s="933"/>
      <c r="O910" s="933"/>
      <c r="P910" s="933"/>
      <c r="Q910" s="933"/>
      <c r="R910" s="933"/>
      <c r="S910" s="933"/>
      <c r="T910" s="933"/>
      <c r="U910" s="933"/>
      <c r="V910" s="933"/>
    </row>
    <row r="911" spans="1:22" x14ac:dyDescent="0.25">
      <c r="B911" s="893" t="s">
        <v>2121</v>
      </c>
      <c r="C911" s="904" t="s">
        <v>487</v>
      </c>
    </row>
    <row r="912" spans="1:22" x14ac:dyDescent="0.25">
      <c r="B912" s="893" t="s">
        <v>1733</v>
      </c>
      <c r="C912" s="906">
        <v>96331</v>
      </c>
    </row>
    <row r="913" spans="2:22" x14ac:dyDescent="0.25">
      <c r="B913" s="893" t="s">
        <v>1608</v>
      </c>
      <c r="C913" s="906">
        <v>94611</v>
      </c>
    </row>
    <row r="914" spans="2:22" x14ac:dyDescent="0.25">
      <c r="B914" s="893" t="s">
        <v>1486</v>
      </c>
      <c r="C914" s="906">
        <v>93402</v>
      </c>
      <c r="G914" s="895"/>
      <c r="H914" s="895"/>
      <c r="I914" s="895"/>
      <c r="J914" s="895"/>
      <c r="K914" s="895"/>
      <c r="L914" s="895"/>
      <c r="M914" s="895"/>
      <c r="N914" s="895"/>
      <c r="O914" s="895"/>
      <c r="P914" s="895"/>
      <c r="Q914" s="895"/>
      <c r="R914" s="895"/>
      <c r="S914" s="895"/>
      <c r="T914" s="895"/>
      <c r="U914" s="895"/>
      <c r="V914" s="895"/>
    </row>
    <row r="915" spans="2:22" x14ac:dyDescent="0.25">
      <c r="B915" s="893" t="s">
        <v>1551</v>
      </c>
      <c r="C915" s="906">
        <v>94109</v>
      </c>
      <c r="D915" s="934"/>
      <c r="E915" s="934"/>
      <c r="F915" s="934"/>
    </row>
    <row r="916" spans="2:22" x14ac:dyDescent="0.25">
      <c r="B916" s="893" t="s">
        <v>1180</v>
      </c>
      <c r="C916" s="906">
        <v>90101</v>
      </c>
      <c r="D916" s="934"/>
      <c r="E916" s="934"/>
      <c r="F916" s="934"/>
    </row>
    <row r="917" spans="2:22" x14ac:dyDescent="0.25">
      <c r="B917" s="893" t="s">
        <v>3465</v>
      </c>
      <c r="C917" s="906">
        <v>90117</v>
      </c>
      <c r="D917" s="934"/>
      <c r="E917" s="934"/>
      <c r="F917" s="934"/>
    </row>
    <row r="918" spans="2:22" x14ac:dyDescent="0.25">
      <c r="B918" s="893" t="s">
        <v>1187</v>
      </c>
      <c r="C918" s="906">
        <v>90151</v>
      </c>
      <c r="D918" s="934"/>
      <c r="E918" s="934"/>
      <c r="F918" s="934"/>
    </row>
    <row r="919" spans="2:22" x14ac:dyDescent="0.25">
      <c r="B919" s="893" t="s">
        <v>1935</v>
      </c>
      <c r="C919" s="906">
        <v>98417</v>
      </c>
      <c r="D919" s="934"/>
      <c r="E919" s="934"/>
      <c r="F919" s="934"/>
    </row>
    <row r="920" spans="2:22" x14ac:dyDescent="0.25">
      <c r="B920" s="893" t="s">
        <v>1795</v>
      </c>
      <c r="C920" s="906">
        <v>97008</v>
      </c>
      <c r="D920" s="934"/>
      <c r="E920" s="934"/>
      <c r="F920" s="934"/>
    </row>
    <row r="921" spans="2:22" x14ac:dyDescent="0.25">
      <c r="B921" s="893" t="s">
        <v>1796</v>
      </c>
      <c r="C921" s="906">
        <v>97010</v>
      </c>
      <c r="D921" s="934"/>
      <c r="E921" s="934"/>
      <c r="F921" s="934"/>
    </row>
    <row r="922" spans="2:22" x14ac:dyDescent="0.25">
      <c r="B922" s="893" t="s">
        <v>3466</v>
      </c>
      <c r="C922" s="906">
        <v>90096</v>
      </c>
      <c r="D922" s="934"/>
      <c r="E922" s="934"/>
      <c r="F922" s="934"/>
    </row>
    <row r="923" spans="2:22" x14ac:dyDescent="0.25">
      <c r="B923" s="893" t="s">
        <v>1229</v>
      </c>
      <c r="C923" s="906">
        <v>90805</v>
      </c>
      <c r="D923" s="934"/>
      <c r="E923" s="934"/>
      <c r="F923" s="934"/>
    </row>
    <row r="924" spans="2:22" x14ac:dyDescent="0.25">
      <c r="B924" s="893" t="s">
        <v>1373</v>
      </c>
      <c r="C924" s="906">
        <v>92109</v>
      </c>
      <c r="D924" s="934"/>
      <c r="E924" s="934"/>
      <c r="F924" s="934"/>
    </row>
    <row r="925" spans="2:22" x14ac:dyDescent="0.25">
      <c r="B925" s="893" t="s">
        <v>1934</v>
      </c>
      <c r="C925" s="906">
        <v>98411</v>
      </c>
      <c r="D925" s="934"/>
      <c r="E925" s="934"/>
      <c r="F925" s="934"/>
    </row>
    <row r="926" spans="2:22" x14ac:dyDescent="0.25">
      <c r="B926" s="893" t="s">
        <v>1189</v>
      </c>
      <c r="C926" s="906">
        <v>90201</v>
      </c>
      <c r="D926" s="934"/>
      <c r="E926" s="934"/>
      <c r="F926" s="934"/>
    </row>
    <row r="927" spans="2:22" x14ac:dyDescent="0.25">
      <c r="B927" s="893" t="s">
        <v>1190</v>
      </c>
      <c r="C927" s="906">
        <v>90203</v>
      </c>
      <c r="D927" s="934"/>
      <c r="E927" s="934"/>
      <c r="F927" s="934"/>
    </row>
    <row r="928" spans="2:22" x14ac:dyDescent="0.25">
      <c r="B928" s="893" t="s">
        <v>1191</v>
      </c>
      <c r="C928" s="906">
        <v>90205</v>
      </c>
    </row>
    <row r="929" spans="2:6" x14ac:dyDescent="0.25">
      <c r="B929" s="893" t="s">
        <v>1192</v>
      </c>
      <c r="C929" s="906">
        <v>90206</v>
      </c>
      <c r="D929" s="934"/>
      <c r="E929" s="934"/>
      <c r="F929" s="934"/>
    </row>
    <row r="930" spans="2:6" x14ac:dyDescent="0.25">
      <c r="B930" s="893" t="s">
        <v>1194</v>
      </c>
      <c r="C930" s="906">
        <v>90301</v>
      </c>
    </row>
    <row r="931" spans="2:6" x14ac:dyDescent="0.25">
      <c r="B931" s="893" t="s">
        <v>1469</v>
      </c>
      <c r="C931" s="906">
        <v>93209</v>
      </c>
      <c r="D931" s="934"/>
      <c r="E931" s="934"/>
      <c r="F931" s="934"/>
    </row>
    <row r="932" spans="2:6" x14ac:dyDescent="0.25">
      <c r="B932" s="893" t="s">
        <v>1370</v>
      </c>
      <c r="C932" s="906">
        <v>92021</v>
      </c>
    </row>
    <row r="933" spans="2:6" x14ac:dyDescent="0.25">
      <c r="B933" s="893" t="s">
        <v>1582</v>
      </c>
      <c r="C933" s="906">
        <v>94347</v>
      </c>
    </row>
    <row r="934" spans="2:6" x14ac:dyDescent="0.25">
      <c r="B934" s="893" t="s">
        <v>1583</v>
      </c>
      <c r="C934" s="906">
        <v>94351</v>
      </c>
    </row>
    <row r="935" spans="2:6" x14ac:dyDescent="0.25">
      <c r="B935" s="893" t="s">
        <v>1197</v>
      </c>
      <c r="C935" s="906">
        <v>90401</v>
      </c>
    </row>
    <row r="936" spans="2:6" x14ac:dyDescent="0.25">
      <c r="B936" s="893" t="s">
        <v>1204</v>
      </c>
      <c r="C936" s="906">
        <v>90451</v>
      </c>
    </row>
    <row r="937" spans="2:6" x14ac:dyDescent="0.25">
      <c r="B937" s="893" t="s">
        <v>2003</v>
      </c>
      <c r="C937" s="906">
        <v>99271</v>
      </c>
    </row>
    <row r="938" spans="2:6" x14ac:dyDescent="0.25">
      <c r="B938" s="893" t="s">
        <v>1179</v>
      </c>
      <c r="C938" s="906">
        <v>90099</v>
      </c>
    </row>
    <row r="939" spans="2:6" x14ac:dyDescent="0.25">
      <c r="B939" s="893" t="s">
        <v>2039</v>
      </c>
      <c r="C939" s="906">
        <v>99705</v>
      </c>
    </row>
    <row r="940" spans="2:6" x14ac:dyDescent="0.25">
      <c r="B940" s="893" t="s">
        <v>1847</v>
      </c>
      <c r="C940" s="906">
        <v>97651</v>
      </c>
    </row>
    <row r="941" spans="2:6" x14ac:dyDescent="0.25">
      <c r="B941" s="893" t="s">
        <v>1638</v>
      </c>
      <c r="C941" s="906">
        <v>95106</v>
      </c>
    </row>
    <row r="942" spans="2:6" x14ac:dyDescent="0.25">
      <c r="B942" s="893" t="s">
        <v>1206</v>
      </c>
      <c r="C942" s="906">
        <v>90501</v>
      </c>
    </row>
    <row r="943" spans="2:6" x14ac:dyDescent="0.25">
      <c r="B943" s="893" t="s">
        <v>1838</v>
      </c>
      <c r="C943" s="906">
        <v>97607</v>
      </c>
    </row>
    <row r="944" spans="2:6" x14ac:dyDescent="0.25">
      <c r="B944" s="893" t="s">
        <v>1840</v>
      </c>
      <c r="C944" s="906">
        <v>97613</v>
      </c>
    </row>
    <row r="945" spans="2:3" x14ac:dyDescent="0.25">
      <c r="B945" s="893" t="s">
        <v>1839</v>
      </c>
      <c r="C945" s="906">
        <v>97611</v>
      </c>
    </row>
    <row r="946" spans="2:3" x14ac:dyDescent="0.25">
      <c r="B946" s="893" t="s">
        <v>1282</v>
      </c>
      <c r="C946" s="906">
        <v>91127</v>
      </c>
    </row>
    <row r="947" spans="2:3" x14ac:dyDescent="0.25">
      <c r="B947" s="893" t="s">
        <v>1283</v>
      </c>
      <c r="C947" s="906">
        <v>91128</v>
      </c>
    </row>
    <row r="948" spans="2:3" x14ac:dyDescent="0.25">
      <c r="B948" s="893" t="s">
        <v>1281</v>
      </c>
      <c r="C948" s="906">
        <v>91121</v>
      </c>
    </row>
    <row r="949" spans="2:3" x14ac:dyDescent="0.25">
      <c r="B949" s="893" t="s">
        <v>1339</v>
      </c>
      <c r="C949" s="906">
        <v>91681</v>
      </c>
    </row>
    <row r="950" spans="2:3" x14ac:dyDescent="0.25">
      <c r="B950" s="893" t="s">
        <v>1231</v>
      </c>
      <c r="C950" s="906">
        <v>90811</v>
      </c>
    </row>
    <row r="951" spans="2:3" x14ac:dyDescent="0.25">
      <c r="B951" s="893" t="s">
        <v>1223</v>
      </c>
      <c r="C951" s="906">
        <v>90721</v>
      </c>
    </row>
    <row r="952" spans="2:3" x14ac:dyDescent="0.25">
      <c r="B952" s="893" t="s">
        <v>1925</v>
      </c>
      <c r="C952" s="906">
        <v>98271</v>
      </c>
    </row>
    <row r="953" spans="2:3" x14ac:dyDescent="0.25">
      <c r="B953" s="893" t="s">
        <v>1210</v>
      </c>
      <c r="C953" s="906">
        <v>90601</v>
      </c>
    </row>
    <row r="954" spans="2:3" x14ac:dyDescent="0.25">
      <c r="B954" s="893" t="s">
        <v>2122</v>
      </c>
      <c r="C954" s="906">
        <v>90602</v>
      </c>
    </row>
    <row r="955" spans="2:3" x14ac:dyDescent="0.25">
      <c r="B955" s="893" t="s">
        <v>1211</v>
      </c>
      <c r="C955" s="906">
        <v>90605</v>
      </c>
    </row>
    <row r="956" spans="2:3" x14ac:dyDescent="0.25">
      <c r="B956" s="893" t="s">
        <v>1829</v>
      </c>
      <c r="C956" s="906">
        <v>97463</v>
      </c>
    </row>
    <row r="957" spans="2:3" x14ac:dyDescent="0.25">
      <c r="B957" s="893" t="s">
        <v>1828</v>
      </c>
      <c r="C957" s="906">
        <v>97461</v>
      </c>
    </row>
    <row r="958" spans="2:3" x14ac:dyDescent="0.25">
      <c r="B958" s="893" t="s">
        <v>1220</v>
      </c>
      <c r="C958" s="906">
        <v>90705</v>
      </c>
    </row>
    <row r="959" spans="2:3" x14ac:dyDescent="0.25">
      <c r="B959" s="893" t="s">
        <v>1940</v>
      </c>
      <c r="C959" s="906">
        <v>98451</v>
      </c>
    </row>
    <row r="960" spans="2:3" x14ac:dyDescent="0.25">
      <c r="B960" s="893" t="s">
        <v>1747</v>
      </c>
      <c r="C960" s="906">
        <v>96451</v>
      </c>
    </row>
    <row r="961" spans="2:3" x14ac:dyDescent="0.25">
      <c r="B961" s="893" t="s">
        <v>1717</v>
      </c>
      <c r="C961" s="906">
        <v>96121</v>
      </c>
    </row>
    <row r="962" spans="2:3" x14ac:dyDescent="0.25">
      <c r="B962" s="893" t="s">
        <v>1271</v>
      </c>
      <c r="C962" s="906">
        <v>91091</v>
      </c>
    </row>
    <row r="963" spans="2:3" x14ac:dyDescent="0.25">
      <c r="B963" s="893" t="s">
        <v>1212</v>
      </c>
      <c r="C963" s="906">
        <v>90611</v>
      </c>
    </row>
    <row r="964" spans="2:3" x14ac:dyDescent="0.25">
      <c r="B964" s="893" t="s">
        <v>1790</v>
      </c>
      <c r="C964" s="906">
        <v>96918</v>
      </c>
    </row>
    <row r="965" spans="2:3" x14ac:dyDescent="0.25">
      <c r="B965" s="893" t="s">
        <v>1788</v>
      </c>
      <c r="C965" s="906">
        <v>96911</v>
      </c>
    </row>
    <row r="966" spans="2:3" x14ac:dyDescent="0.25">
      <c r="B966" s="893" t="s">
        <v>1990</v>
      </c>
      <c r="C966" s="906">
        <v>99208</v>
      </c>
    </row>
    <row r="967" spans="2:3" x14ac:dyDescent="0.25">
      <c r="B967" s="893" t="s">
        <v>1218</v>
      </c>
      <c r="C967" s="906">
        <v>90701</v>
      </c>
    </row>
    <row r="968" spans="2:3" x14ac:dyDescent="0.25">
      <c r="B968" s="893" t="s">
        <v>1219</v>
      </c>
      <c r="C968" s="906">
        <v>90704</v>
      </c>
    </row>
    <row r="969" spans="2:3" x14ac:dyDescent="0.25">
      <c r="B969" s="893" t="s">
        <v>1334</v>
      </c>
      <c r="C969" s="906">
        <v>91633</v>
      </c>
    </row>
    <row r="970" spans="2:3" x14ac:dyDescent="0.25">
      <c r="B970" s="893" t="s">
        <v>1333</v>
      </c>
      <c r="C970" s="906">
        <v>91631</v>
      </c>
    </row>
    <row r="971" spans="2:3" x14ac:dyDescent="0.25">
      <c r="B971" s="893" t="s">
        <v>1215</v>
      </c>
      <c r="C971" s="906">
        <v>90631</v>
      </c>
    </row>
    <row r="972" spans="2:3" x14ac:dyDescent="0.25">
      <c r="B972" s="893" t="s">
        <v>1224</v>
      </c>
      <c r="C972" s="906">
        <v>90731</v>
      </c>
    </row>
    <row r="973" spans="2:3" x14ac:dyDescent="0.25">
      <c r="B973" s="893" t="s">
        <v>1515</v>
      </c>
      <c r="C973" s="906">
        <v>93623</v>
      </c>
    </row>
    <row r="974" spans="2:3" x14ac:dyDescent="0.25">
      <c r="B974" s="893" t="s">
        <v>1514</v>
      </c>
      <c r="C974" s="906">
        <v>93621</v>
      </c>
    </row>
    <row r="975" spans="2:3" x14ac:dyDescent="0.25">
      <c r="B975" s="893" t="s">
        <v>1255</v>
      </c>
      <c r="C975" s="906">
        <v>91020</v>
      </c>
    </row>
    <row r="976" spans="2:3" x14ac:dyDescent="0.25">
      <c r="B976" s="893" t="s">
        <v>1635</v>
      </c>
      <c r="C976" s="906">
        <v>95103</v>
      </c>
    </row>
    <row r="977" spans="2:3" x14ac:dyDescent="0.25">
      <c r="B977" s="893" t="s">
        <v>1646</v>
      </c>
      <c r="C977" s="906">
        <v>95141</v>
      </c>
    </row>
    <row r="978" spans="2:3" x14ac:dyDescent="0.25">
      <c r="B978" s="893" t="s">
        <v>1449</v>
      </c>
      <c r="C978" s="906">
        <v>93021</v>
      </c>
    </row>
    <row r="979" spans="2:3" x14ac:dyDescent="0.25">
      <c r="B979" s="893" t="s">
        <v>1227</v>
      </c>
      <c r="C979" s="906">
        <v>90801</v>
      </c>
    </row>
    <row r="980" spans="2:3" x14ac:dyDescent="0.25">
      <c r="B980" s="893" t="s">
        <v>1228</v>
      </c>
      <c r="C980" s="906">
        <v>90804</v>
      </c>
    </row>
    <row r="981" spans="2:3" x14ac:dyDescent="0.25">
      <c r="B981" s="893" t="s">
        <v>1230</v>
      </c>
      <c r="C981" s="906">
        <v>90808</v>
      </c>
    </row>
    <row r="982" spans="2:3" x14ac:dyDescent="0.25">
      <c r="B982" s="893" t="s">
        <v>1522</v>
      </c>
      <c r="C982" s="906">
        <v>93677</v>
      </c>
    </row>
    <row r="983" spans="2:3" x14ac:dyDescent="0.25">
      <c r="B983" s="893" t="s">
        <v>1521</v>
      </c>
      <c r="C983" s="906">
        <v>93671</v>
      </c>
    </row>
    <row r="984" spans="2:3" x14ac:dyDescent="0.25">
      <c r="B984" s="893" t="s">
        <v>1826</v>
      </c>
      <c r="C984" s="906">
        <v>97441</v>
      </c>
    </row>
    <row r="985" spans="2:3" x14ac:dyDescent="0.25">
      <c r="B985" s="893" t="s">
        <v>1454</v>
      </c>
      <c r="C985" s="906">
        <v>93111</v>
      </c>
    </row>
    <row r="986" spans="2:3" x14ac:dyDescent="0.25">
      <c r="B986" s="893" t="s">
        <v>1278</v>
      </c>
      <c r="C986" s="906">
        <v>91111</v>
      </c>
    </row>
    <row r="987" spans="2:3" x14ac:dyDescent="0.25">
      <c r="B987" s="893" t="s">
        <v>1722</v>
      </c>
      <c r="C987" s="906">
        <v>96231</v>
      </c>
    </row>
    <row r="988" spans="2:3" x14ac:dyDescent="0.25">
      <c r="B988" s="893" t="s">
        <v>2051</v>
      </c>
      <c r="C988" s="906">
        <v>99831</v>
      </c>
    </row>
    <row r="989" spans="2:3" x14ac:dyDescent="0.25">
      <c r="B989" s="893" t="s">
        <v>1288</v>
      </c>
      <c r="C989" s="906">
        <v>91154</v>
      </c>
    </row>
    <row r="990" spans="2:3" x14ac:dyDescent="0.25">
      <c r="B990" s="893" t="s">
        <v>1287</v>
      </c>
      <c r="C990" s="906">
        <v>91151</v>
      </c>
    </row>
    <row r="991" spans="2:3" x14ac:dyDescent="0.25">
      <c r="B991" s="893" t="s">
        <v>1235</v>
      </c>
      <c r="C991" s="906">
        <v>90901</v>
      </c>
    </row>
    <row r="992" spans="2:3" x14ac:dyDescent="0.25">
      <c r="B992" s="893" t="s">
        <v>1241</v>
      </c>
      <c r="C992" s="906">
        <v>90941</v>
      </c>
    </row>
    <row r="993" spans="2:3" x14ac:dyDescent="0.25">
      <c r="B993" s="893" t="s">
        <v>2023</v>
      </c>
      <c r="C993" s="906">
        <v>99527</v>
      </c>
    </row>
    <row r="994" spans="2:3" x14ac:dyDescent="0.25">
      <c r="B994" s="893" t="s">
        <v>2019</v>
      </c>
      <c r="C994" s="906">
        <v>99508</v>
      </c>
    </row>
    <row r="995" spans="2:3" x14ac:dyDescent="0.25">
      <c r="B995" s="893" t="s">
        <v>2022</v>
      </c>
      <c r="C995" s="906">
        <v>99521</v>
      </c>
    </row>
    <row r="996" spans="2:3" x14ac:dyDescent="0.25">
      <c r="B996" s="893" t="s">
        <v>1601</v>
      </c>
      <c r="C996" s="906">
        <v>94532</v>
      </c>
    </row>
    <row r="997" spans="2:3" x14ac:dyDescent="0.25">
      <c r="B997" s="893" t="s">
        <v>1269</v>
      </c>
      <c r="C997" s="906">
        <v>91077</v>
      </c>
    </row>
    <row r="998" spans="2:3" x14ac:dyDescent="0.25">
      <c r="B998" s="893" t="s">
        <v>1268</v>
      </c>
      <c r="C998" s="906">
        <v>91071</v>
      </c>
    </row>
    <row r="999" spans="2:3" x14ac:dyDescent="0.25">
      <c r="B999" s="893" t="s">
        <v>1383</v>
      </c>
      <c r="C999" s="906">
        <v>92331</v>
      </c>
    </row>
    <row r="1000" spans="2:3" x14ac:dyDescent="0.25">
      <c r="B1000" s="893" t="s">
        <v>2021</v>
      </c>
      <c r="C1000" s="906">
        <v>99511</v>
      </c>
    </row>
    <row r="1001" spans="2:3" x14ac:dyDescent="0.25">
      <c r="B1001" s="893" t="s">
        <v>2058</v>
      </c>
      <c r="C1001" s="913">
        <v>99941</v>
      </c>
    </row>
    <row r="1002" spans="2:3" x14ac:dyDescent="0.25">
      <c r="B1002" s="893" t="s">
        <v>1742</v>
      </c>
      <c r="C1002" s="906">
        <v>96405</v>
      </c>
    </row>
    <row r="1003" spans="2:3" x14ac:dyDescent="0.25">
      <c r="B1003" s="893" t="s">
        <v>1961</v>
      </c>
      <c r="C1003" s="906">
        <v>98817</v>
      </c>
    </row>
    <row r="1004" spans="2:3" x14ac:dyDescent="0.25">
      <c r="B1004" s="893" t="s">
        <v>1960</v>
      </c>
      <c r="C1004" s="906">
        <v>98811</v>
      </c>
    </row>
    <row r="1005" spans="2:3" x14ac:dyDescent="0.25">
      <c r="B1005" s="893" t="s">
        <v>1411</v>
      </c>
      <c r="C1005" s="906">
        <v>92561</v>
      </c>
    </row>
    <row r="1006" spans="2:3" x14ac:dyDescent="0.25">
      <c r="B1006" s="893" t="s">
        <v>1904</v>
      </c>
      <c r="C1006" s="906">
        <v>98102</v>
      </c>
    </row>
    <row r="1007" spans="2:3" x14ac:dyDescent="0.25">
      <c r="B1007" s="893" t="s">
        <v>1660</v>
      </c>
      <c r="C1007" s="906">
        <v>95321</v>
      </c>
    </row>
    <row r="1008" spans="2:3" x14ac:dyDescent="0.25">
      <c r="B1008" s="893" t="s">
        <v>1356</v>
      </c>
      <c r="C1008" s="906">
        <v>91861</v>
      </c>
    </row>
    <row r="1009" spans="2:3" x14ac:dyDescent="0.25">
      <c r="B1009" s="893" t="s">
        <v>1242</v>
      </c>
      <c r="C1009" s="906">
        <v>91001</v>
      </c>
    </row>
    <row r="1010" spans="2:3" x14ac:dyDescent="0.25">
      <c r="B1010" s="893" t="s">
        <v>1245</v>
      </c>
      <c r="C1010" s="906">
        <v>91004</v>
      </c>
    </row>
    <row r="1011" spans="2:3" x14ac:dyDescent="0.25">
      <c r="B1011" s="893" t="s">
        <v>3467</v>
      </c>
      <c r="C1011" s="906">
        <v>91006</v>
      </c>
    </row>
    <row r="1012" spans="2:3" x14ac:dyDescent="0.25">
      <c r="B1012" s="893" t="s">
        <v>1244</v>
      </c>
      <c r="C1012" s="906">
        <v>91003</v>
      </c>
    </row>
    <row r="1013" spans="2:3" x14ac:dyDescent="0.25">
      <c r="B1013" s="893" t="s">
        <v>1249</v>
      </c>
      <c r="C1013" s="906">
        <v>91009</v>
      </c>
    </row>
    <row r="1014" spans="2:3" x14ac:dyDescent="0.25">
      <c r="B1014" s="893" t="s">
        <v>3468</v>
      </c>
      <c r="C1014" s="906">
        <v>91042</v>
      </c>
    </row>
    <row r="1015" spans="2:3" x14ac:dyDescent="0.25">
      <c r="B1015" s="893" t="s">
        <v>1391</v>
      </c>
      <c r="C1015" s="906">
        <v>92421</v>
      </c>
    </row>
    <row r="1016" spans="2:3" x14ac:dyDescent="0.25">
      <c r="B1016" s="893" t="s">
        <v>1958</v>
      </c>
      <c r="C1016" s="906">
        <v>98717</v>
      </c>
    </row>
    <row r="1017" spans="2:3" x14ac:dyDescent="0.25">
      <c r="B1017" s="893" t="s">
        <v>1957</v>
      </c>
      <c r="C1017" s="906">
        <v>98711</v>
      </c>
    </row>
    <row r="1018" spans="2:3" x14ac:dyDescent="0.25">
      <c r="B1018" s="893" t="s">
        <v>1272</v>
      </c>
      <c r="C1018" s="906">
        <v>91101</v>
      </c>
    </row>
    <row r="1019" spans="2:3" x14ac:dyDescent="0.25">
      <c r="B1019" s="893" t="s">
        <v>1505</v>
      </c>
      <c r="C1019" s="906">
        <v>93537</v>
      </c>
    </row>
    <row r="1020" spans="2:3" x14ac:dyDescent="0.25">
      <c r="B1020" s="893" t="s">
        <v>1504</v>
      </c>
      <c r="C1020" s="906">
        <v>93531</v>
      </c>
    </row>
    <row r="1021" spans="2:3" x14ac:dyDescent="0.25">
      <c r="B1021" s="893" t="s">
        <v>1804</v>
      </c>
      <c r="C1021" s="906">
        <v>97111</v>
      </c>
    </row>
    <row r="1022" spans="2:3" x14ac:dyDescent="0.25">
      <c r="B1022" s="893" t="s">
        <v>1291</v>
      </c>
      <c r="C1022" s="906">
        <v>91201</v>
      </c>
    </row>
    <row r="1023" spans="2:3" x14ac:dyDescent="0.25">
      <c r="B1023" s="893" t="s">
        <v>3469</v>
      </c>
      <c r="C1023" s="906">
        <v>91206</v>
      </c>
    </row>
    <row r="1024" spans="2:3" x14ac:dyDescent="0.25">
      <c r="B1024" s="893" t="s">
        <v>1293</v>
      </c>
      <c r="C1024" s="906">
        <v>91203</v>
      </c>
    </row>
    <row r="1025" spans="2:3" x14ac:dyDescent="0.25">
      <c r="B1025" s="893" t="s">
        <v>1295</v>
      </c>
      <c r="C1025" s="906">
        <v>91208</v>
      </c>
    </row>
    <row r="1026" spans="2:3" x14ac:dyDescent="0.25">
      <c r="B1026" s="893" t="s">
        <v>1292</v>
      </c>
      <c r="C1026" s="906">
        <v>91202</v>
      </c>
    </row>
    <row r="1027" spans="2:3" x14ac:dyDescent="0.25">
      <c r="B1027" s="893" t="s">
        <v>1181</v>
      </c>
      <c r="C1027" s="906">
        <v>90111</v>
      </c>
    </row>
    <row r="1028" spans="2:3" x14ac:dyDescent="0.25">
      <c r="B1028" s="893" t="s">
        <v>1175</v>
      </c>
      <c r="C1028" s="906">
        <v>90011</v>
      </c>
    </row>
    <row r="1029" spans="2:3" x14ac:dyDescent="0.25">
      <c r="B1029" s="893" t="s">
        <v>1540</v>
      </c>
      <c r="C1029" s="906">
        <v>93931</v>
      </c>
    </row>
    <row r="1030" spans="2:3" x14ac:dyDescent="0.25">
      <c r="B1030" s="893" t="s">
        <v>1308</v>
      </c>
      <c r="C1030" s="913">
        <v>91306</v>
      </c>
    </row>
    <row r="1031" spans="2:3" x14ac:dyDescent="0.25">
      <c r="B1031" s="893" t="s">
        <v>1309</v>
      </c>
      <c r="C1031" s="906">
        <v>91308</v>
      </c>
    </row>
    <row r="1032" spans="2:3" x14ac:dyDescent="0.25">
      <c r="B1032" s="893" t="s">
        <v>1306</v>
      </c>
      <c r="C1032" s="913">
        <v>91301</v>
      </c>
    </row>
    <row r="1033" spans="2:3" x14ac:dyDescent="0.25">
      <c r="B1033" s="893" t="s">
        <v>1325</v>
      </c>
      <c r="C1033" s="906">
        <v>91461</v>
      </c>
    </row>
    <row r="1034" spans="2:3" x14ac:dyDescent="0.25">
      <c r="B1034" s="893" t="s">
        <v>1247</v>
      </c>
      <c r="C1034" s="906">
        <v>91007</v>
      </c>
    </row>
    <row r="1035" spans="2:3" x14ac:dyDescent="0.25">
      <c r="B1035" s="893" t="s">
        <v>1250</v>
      </c>
      <c r="C1035" s="906">
        <v>91010</v>
      </c>
    </row>
    <row r="1036" spans="2:3" x14ac:dyDescent="0.25">
      <c r="B1036" s="893" t="s">
        <v>1316</v>
      </c>
      <c r="C1036" s="906">
        <v>91401</v>
      </c>
    </row>
    <row r="1037" spans="2:3" x14ac:dyDescent="0.25">
      <c r="B1037" s="893" t="s">
        <v>1463</v>
      </c>
      <c r="C1037" s="906">
        <v>93171</v>
      </c>
    </row>
    <row r="1038" spans="2:3" x14ac:dyDescent="0.25">
      <c r="B1038" s="893" t="s">
        <v>1326</v>
      </c>
      <c r="C1038" s="906">
        <v>91501</v>
      </c>
    </row>
    <row r="1039" spans="2:3" x14ac:dyDescent="0.25">
      <c r="B1039" s="893" t="s">
        <v>1327</v>
      </c>
      <c r="C1039" s="906">
        <v>91504</v>
      </c>
    </row>
    <row r="1040" spans="2:3" x14ac:dyDescent="0.25">
      <c r="B1040" s="893" t="s">
        <v>1731</v>
      </c>
      <c r="C1040" s="906">
        <v>96312</v>
      </c>
    </row>
    <row r="1041" spans="2:3" x14ac:dyDescent="0.25">
      <c r="B1041" s="893" t="s">
        <v>1723</v>
      </c>
      <c r="C1041" s="906">
        <v>96241</v>
      </c>
    </row>
    <row r="1042" spans="2:3" x14ac:dyDescent="0.25">
      <c r="B1042" s="893" t="s">
        <v>1593</v>
      </c>
      <c r="C1042" s="906">
        <v>94437</v>
      </c>
    </row>
    <row r="1043" spans="2:3" x14ac:dyDescent="0.25">
      <c r="B1043" s="893" t="s">
        <v>1592</v>
      </c>
      <c r="C1043" s="906">
        <v>94431</v>
      </c>
    </row>
    <row r="1044" spans="2:3" x14ac:dyDescent="0.25">
      <c r="B1044" s="893" t="s">
        <v>1338</v>
      </c>
      <c r="C1044" s="906">
        <v>91671</v>
      </c>
    </row>
    <row r="1045" spans="2:3" x14ac:dyDescent="0.25">
      <c r="B1045" s="893" t="s">
        <v>1248</v>
      </c>
      <c r="C1045" s="906">
        <v>91008</v>
      </c>
    </row>
    <row r="1046" spans="2:3" x14ac:dyDescent="0.25">
      <c r="B1046" s="893" t="s">
        <v>1756</v>
      </c>
      <c r="C1046" s="906">
        <v>96512</v>
      </c>
    </row>
    <row r="1047" spans="2:3" x14ac:dyDescent="0.25">
      <c r="B1047" s="893" t="s">
        <v>1753</v>
      </c>
      <c r="C1047" s="906">
        <v>96507</v>
      </c>
    </row>
    <row r="1048" spans="2:3" x14ac:dyDescent="0.25">
      <c r="B1048" s="893" t="s">
        <v>1758</v>
      </c>
      <c r="C1048" s="906">
        <v>96521</v>
      </c>
    </row>
    <row r="1049" spans="2:3" x14ac:dyDescent="0.25">
      <c r="B1049" s="893" t="s">
        <v>1257</v>
      </c>
      <c r="C1049" s="906">
        <v>91024</v>
      </c>
    </row>
    <row r="1050" spans="2:3" x14ac:dyDescent="0.25">
      <c r="B1050" s="893" t="s">
        <v>1785</v>
      </c>
      <c r="C1050" s="906">
        <v>96821</v>
      </c>
    </row>
    <row r="1051" spans="2:3" x14ac:dyDescent="0.25">
      <c r="B1051" s="893" t="s">
        <v>1328</v>
      </c>
      <c r="C1051" s="906">
        <v>91601</v>
      </c>
    </row>
    <row r="1052" spans="2:3" x14ac:dyDescent="0.25">
      <c r="B1052" s="893" t="s">
        <v>1329</v>
      </c>
      <c r="C1052" s="906">
        <v>91604</v>
      </c>
    </row>
    <row r="1053" spans="2:3" x14ac:dyDescent="0.25">
      <c r="B1053" s="893" t="s">
        <v>1739</v>
      </c>
      <c r="C1053" s="906">
        <v>96391</v>
      </c>
    </row>
    <row r="1054" spans="2:3" x14ac:dyDescent="0.25">
      <c r="B1054" s="893" t="s">
        <v>1996</v>
      </c>
      <c r="C1054" s="906">
        <v>99221</v>
      </c>
    </row>
    <row r="1055" spans="2:3" x14ac:dyDescent="0.25">
      <c r="B1055" s="893" t="s">
        <v>1264</v>
      </c>
      <c r="C1055" s="906">
        <v>91051</v>
      </c>
    </row>
    <row r="1056" spans="2:3" x14ac:dyDescent="0.25">
      <c r="B1056" s="893" t="s">
        <v>1341</v>
      </c>
      <c r="C1056" s="906">
        <v>91701</v>
      </c>
    </row>
    <row r="1057" spans="2:3" x14ac:dyDescent="0.25">
      <c r="B1057" s="893" t="s">
        <v>1342</v>
      </c>
      <c r="C1057" s="906">
        <v>91704</v>
      </c>
    </row>
    <row r="1058" spans="2:3" x14ac:dyDescent="0.25">
      <c r="B1058" s="893" t="s">
        <v>3470</v>
      </c>
      <c r="C1058" s="906">
        <v>91706</v>
      </c>
    </row>
    <row r="1059" spans="2:3" x14ac:dyDescent="0.25">
      <c r="B1059" s="893" t="s">
        <v>1345</v>
      </c>
      <c r="C1059" s="906">
        <v>91801</v>
      </c>
    </row>
    <row r="1060" spans="2:3" x14ac:dyDescent="0.25">
      <c r="B1060" s="893" t="s">
        <v>1346</v>
      </c>
      <c r="C1060" s="906">
        <v>91804</v>
      </c>
    </row>
    <row r="1061" spans="2:3" x14ac:dyDescent="0.25">
      <c r="B1061" s="893" t="s">
        <v>1358</v>
      </c>
      <c r="C1061" s="906">
        <v>91881</v>
      </c>
    </row>
    <row r="1062" spans="2:3" x14ac:dyDescent="0.25">
      <c r="B1062" s="893" t="s">
        <v>1340</v>
      </c>
      <c r="C1062" s="906">
        <v>91691</v>
      </c>
    </row>
    <row r="1063" spans="2:3" x14ac:dyDescent="0.25">
      <c r="B1063" s="893" t="s">
        <v>1997</v>
      </c>
      <c r="C1063" s="906">
        <v>99222</v>
      </c>
    </row>
    <row r="1064" spans="2:3" x14ac:dyDescent="0.25">
      <c r="B1064" s="893" t="s">
        <v>3471</v>
      </c>
      <c r="C1064" s="906">
        <v>93408</v>
      </c>
    </row>
    <row r="1065" spans="2:3" x14ac:dyDescent="0.25">
      <c r="B1065" s="893" t="s">
        <v>1703</v>
      </c>
      <c r="C1065" s="906">
        <v>96009</v>
      </c>
    </row>
    <row r="1066" spans="2:3" x14ac:dyDescent="0.25">
      <c r="B1066" s="893" t="s">
        <v>1394</v>
      </c>
      <c r="C1066" s="906">
        <v>92441</v>
      </c>
    </row>
    <row r="1067" spans="2:3" x14ac:dyDescent="0.25">
      <c r="B1067" s="893" t="s">
        <v>1784</v>
      </c>
      <c r="C1067" s="906">
        <v>96811</v>
      </c>
    </row>
    <row r="1068" spans="2:3" x14ac:dyDescent="0.25">
      <c r="B1068" s="893" t="s">
        <v>1699</v>
      </c>
      <c r="C1068" s="906">
        <v>96003</v>
      </c>
    </row>
    <row r="1069" spans="2:3" x14ac:dyDescent="0.25">
      <c r="B1069" s="893" t="s">
        <v>1706</v>
      </c>
      <c r="C1069" s="906">
        <v>96018</v>
      </c>
    </row>
    <row r="1070" spans="2:3" x14ac:dyDescent="0.25">
      <c r="B1070" s="893" t="s">
        <v>3472</v>
      </c>
      <c r="C1070" s="906">
        <v>96012</v>
      </c>
    </row>
    <row r="1071" spans="2:3" x14ac:dyDescent="0.25">
      <c r="B1071" s="893" t="s">
        <v>1704</v>
      </c>
      <c r="C1071" s="906">
        <v>96011</v>
      </c>
    </row>
    <row r="1072" spans="2:3" x14ac:dyDescent="0.25">
      <c r="B1072" s="893" t="s">
        <v>1701</v>
      </c>
      <c r="C1072" s="906">
        <v>96005</v>
      </c>
    </row>
    <row r="1073" spans="2:3" x14ac:dyDescent="0.25">
      <c r="B1073" s="893" t="s">
        <v>1359</v>
      </c>
      <c r="C1073" s="906">
        <v>91901</v>
      </c>
    </row>
    <row r="1074" spans="2:3" x14ac:dyDescent="0.25">
      <c r="B1074" s="893" t="s">
        <v>1361</v>
      </c>
      <c r="C1074" s="906">
        <v>91904</v>
      </c>
    </row>
    <row r="1075" spans="2:3" x14ac:dyDescent="0.25">
      <c r="B1075" s="893" t="s">
        <v>1360</v>
      </c>
      <c r="C1075" s="906">
        <v>91903</v>
      </c>
    </row>
    <row r="1076" spans="2:3" x14ac:dyDescent="0.25">
      <c r="B1076" s="893" t="s">
        <v>1366</v>
      </c>
      <c r="C1076" s="906">
        <v>92001</v>
      </c>
    </row>
    <row r="1077" spans="2:3" x14ac:dyDescent="0.25">
      <c r="B1077" s="893" t="s">
        <v>1518</v>
      </c>
      <c r="C1077" s="906">
        <v>93647</v>
      </c>
    </row>
    <row r="1078" spans="2:3" x14ac:dyDescent="0.25">
      <c r="B1078" s="893" t="s">
        <v>1517</v>
      </c>
      <c r="C1078" s="906">
        <v>93641</v>
      </c>
    </row>
    <row r="1079" spans="2:3" x14ac:dyDescent="0.25">
      <c r="B1079" s="893" t="s">
        <v>1897</v>
      </c>
      <c r="C1079" s="906">
        <v>98041</v>
      </c>
    </row>
    <row r="1080" spans="2:3" x14ac:dyDescent="0.25">
      <c r="B1080" s="893" t="s">
        <v>1764</v>
      </c>
      <c r="C1080" s="906">
        <v>96612</v>
      </c>
    </row>
    <row r="1081" spans="2:3" x14ac:dyDescent="0.25">
      <c r="B1081" s="893" t="s">
        <v>1226</v>
      </c>
      <c r="C1081" s="906">
        <v>90751</v>
      </c>
    </row>
    <row r="1082" spans="2:3" x14ac:dyDescent="0.25">
      <c r="B1082" s="893" t="s">
        <v>1371</v>
      </c>
      <c r="C1082" s="906">
        <v>92101</v>
      </c>
    </row>
    <row r="1083" spans="2:3" x14ac:dyDescent="0.25">
      <c r="B1083" s="893" t="s">
        <v>1372</v>
      </c>
      <c r="C1083" s="906">
        <v>92104</v>
      </c>
    </row>
    <row r="1084" spans="2:3" x14ac:dyDescent="0.25">
      <c r="B1084" s="893" t="s">
        <v>2049</v>
      </c>
      <c r="C1084" s="906">
        <v>99818</v>
      </c>
    </row>
    <row r="1085" spans="2:3" x14ac:dyDescent="0.25">
      <c r="B1085" s="893" t="s">
        <v>1352</v>
      </c>
      <c r="C1085" s="906">
        <v>91821</v>
      </c>
    </row>
    <row r="1086" spans="2:3" x14ac:dyDescent="0.25">
      <c r="B1086" s="893" t="s">
        <v>1240</v>
      </c>
      <c r="C1086" s="906">
        <v>90931</v>
      </c>
    </row>
    <row r="1087" spans="2:3" x14ac:dyDescent="0.25">
      <c r="B1087" s="893" t="s">
        <v>1376</v>
      </c>
      <c r="C1087" s="906">
        <v>92201</v>
      </c>
    </row>
    <row r="1088" spans="2:3" x14ac:dyDescent="0.25">
      <c r="B1088" s="893" t="s">
        <v>1645</v>
      </c>
      <c r="C1088" s="906">
        <v>95131</v>
      </c>
    </row>
    <row r="1089" spans="2:3" x14ac:dyDescent="0.25">
      <c r="B1089" s="893" t="s">
        <v>1495</v>
      </c>
      <c r="C1089" s="906">
        <v>93442</v>
      </c>
    </row>
    <row r="1090" spans="2:3" x14ac:dyDescent="0.25">
      <c r="B1090" s="893" t="s">
        <v>1494</v>
      </c>
      <c r="C1090" s="906">
        <v>93441</v>
      </c>
    </row>
    <row r="1091" spans="2:3" x14ac:dyDescent="0.25">
      <c r="B1091" s="893" t="s">
        <v>1377</v>
      </c>
      <c r="C1091" s="906">
        <v>92301</v>
      </c>
    </row>
    <row r="1092" spans="2:3" x14ac:dyDescent="0.25">
      <c r="B1092" s="893" t="s">
        <v>1378</v>
      </c>
      <c r="C1092" s="906">
        <v>92302</v>
      </c>
    </row>
    <row r="1093" spans="2:3" x14ac:dyDescent="0.25">
      <c r="B1093" s="893" t="s">
        <v>1902</v>
      </c>
      <c r="C1093" s="906">
        <v>98091</v>
      </c>
    </row>
    <row r="1094" spans="2:3" x14ac:dyDescent="0.25">
      <c r="B1094" s="893" t="s">
        <v>1918</v>
      </c>
      <c r="C1094" s="906">
        <v>98218</v>
      </c>
    </row>
    <row r="1095" spans="2:3" x14ac:dyDescent="0.25">
      <c r="B1095" s="893" t="s">
        <v>1917</v>
      </c>
      <c r="C1095" s="906">
        <v>98211</v>
      </c>
    </row>
    <row r="1096" spans="2:3" x14ac:dyDescent="0.25">
      <c r="B1096" s="893" t="s">
        <v>1757</v>
      </c>
      <c r="C1096" s="906">
        <v>96519</v>
      </c>
    </row>
    <row r="1097" spans="2:3" x14ac:dyDescent="0.25">
      <c r="B1097" s="893" t="s">
        <v>1404</v>
      </c>
      <c r="C1097" s="906">
        <v>92508</v>
      </c>
    </row>
    <row r="1098" spans="2:3" x14ac:dyDescent="0.25">
      <c r="B1098" s="893" t="s">
        <v>1581</v>
      </c>
      <c r="C1098" s="906">
        <v>94341</v>
      </c>
    </row>
    <row r="1099" spans="2:3" x14ac:dyDescent="0.25">
      <c r="B1099" s="893" t="s">
        <v>1611</v>
      </c>
      <c r="C1099" s="906">
        <v>94641</v>
      </c>
    </row>
    <row r="1100" spans="2:3" x14ac:dyDescent="0.25">
      <c r="B1100" s="893" t="s">
        <v>1233</v>
      </c>
      <c r="C1100" s="906">
        <v>90813</v>
      </c>
    </row>
    <row r="1101" spans="2:3" x14ac:dyDescent="0.25">
      <c r="B1101" s="893" t="s">
        <v>1562</v>
      </c>
      <c r="C1101" s="906">
        <v>94168</v>
      </c>
    </row>
    <row r="1102" spans="2:3" x14ac:dyDescent="0.25">
      <c r="B1102" s="893" t="s">
        <v>1964</v>
      </c>
      <c r="C1102" s="906">
        <v>98911</v>
      </c>
    </row>
    <row r="1103" spans="2:3" x14ac:dyDescent="0.25">
      <c r="B1103" s="893" t="s">
        <v>1386</v>
      </c>
      <c r="C1103" s="906">
        <v>92401</v>
      </c>
    </row>
    <row r="1104" spans="2:3" x14ac:dyDescent="0.25">
      <c r="B1104" s="893" t="s">
        <v>1835</v>
      </c>
      <c r="C1104" s="906">
        <v>97521</v>
      </c>
    </row>
    <row r="1105" spans="2:3" x14ac:dyDescent="0.25">
      <c r="B1105" s="893" t="s">
        <v>1311</v>
      </c>
      <c r="C1105" s="906">
        <v>91317</v>
      </c>
    </row>
    <row r="1106" spans="2:3" x14ac:dyDescent="0.25">
      <c r="B1106" s="893" t="s">
        <v>1310</v>
      </c>
      <c r="C1106" s="906">
        <v>91311</v>
      </c>
    </row>
    <row r="1107" spans="2:3" x14ac:dyDescent="0.25">
      <c r="B1107" s="893" t="s">
        <v>1305</v>
      </c>
      <c r="C1107" s="906">
        <v>91261</v>
      </c>
    </row>
    <row r="1108" spans="2:3" x14ac:dyDescent="0.25">
      <c r="B1108" s="893" t="s">
        <v>1355</v>
      </c>
      <c r="C1108" s="906">
        <v>91851</v>
      </c>
    </row>
    <row r="1109" spans="2:3" x14ac:dyDescent="0.25">
      <c r="B1109" s="893" t="s">
        <v>3473</v>
      </c>
      <c r="C1109" s="906">
        <v>97408</v>
      </c>
    </row>
    <row r="1110" spans="2:3" x14ac:dyDescent="0.25">
      <c r="B1110" s="893" t="s">
        <v>1767</v>
      </c>
      <c r="C1110" s="906">
        <v>96641</v>
      </c>
    </row>
    <row r="1111" spans="2:3" x14ac:dyDescent="0.25">
      <c r="B1111" s="893" t="s">
        <v>1450</v>
      </c>
      <c r="C1111" s="906">
        <v>93027</v>
      </c>
    </row>
    <row r="1112" spans="2:3" x14ac:dyDescent="0.25">
      <c r="B1112" s="893" t="s">
        <v>1451</v>
      </c>
      <c r="C1112" s="906">
        <v>93031</v>
      </c>
    </row>
    <row r="1113" spans="2:3" x14ac:dyDescent="0.25">
      <c r="B1113" s="893" t="s">
        <v>1710</v>
      </c>
      <c r="C1113" s="906">
        <v>96051</v>
      </c>
    </row>
    <row r="1114" spans="2:3" x14ac:dyDescent="0.25">
      <c r="B1114" s="893" t="s">
        <v>1412</v>
      </c>
      <c r="C1114" s="906">
        <v>92571</v>
      </c>
    </row>
    <row r="1115" spans="2:3" x14ac:dyDescent="0.25">
      <c r="B1115" s="893" t="s">
        <v>1516</v>
      </c>
      <c r="C1115" s="906">
        <v>93631</v>
      </c>
    </row>
    <row r="1116" spans="2:3" x14ac:dyDescent="0.25">
      <c r="B1116" s="893" t="s">
        <v>1398</v>
      </c>
      <c r="C1116" s="906">
        <v>92501</v>
      </c>
    </row>
    <row r="1117" spans="2:3" x14ac:dyDescent="0.25">
      <c r="B1117" s="893" t="s">
        <v>1400</v>
      </c>
      <c r="C1117" s="906">
        <v>92504</v>
      </c>
    </row>
    <row r="1118" spans="2:3" x14ac:dyDescent="0.25">
      <c r="B1118" s="893" t="s">
        <v>1402</v>
      </c>
      <c r="C1118" s="906">
        <v>92506</v>
      </c>
    </row>
    <row r="1119" spans="2:3" x14ac:dyDescent="0.25">
      <c r="B1119" s="893" t="s">
        <v>1401</v>
      </c>
      <c r="C1119" s="906">
        <v>92505</v>
      </c>
    </row>
    <row r="1120" spans="2:3" x14ac:dyDescent="0.25">
      <c r="B1120" s="893" t="s">
        <v>1539</v>
      </c>
      <c r="C1120" s="906">
        <v>93921</v>
      </c>
    </row>
    <row r="1121" spans="2:3" x14ac:dyDescent="0.25">
      <c r="B1121" s="893" t="s">
        <v>2016</v>
      </c>
      <c r="C1121" s="906">
        <v>99431</v>
      </c>
    </row>
    <row r="1122" spans="2:3" x14ac:dyDescent="0.25">
      <c r="B1122" s="893" t="s">
        <v>1413</v>
      </c>
      <c r="C1122" s="906">
        <v>92601</v>
      </c>
    </row>
    <row r="1123" spans="2:3" x14ac:dyDescent="0.25">
      <c r="B1123" s="893" t="s">
        <v>1415</v>
      </c>
      <c r="C1123" s="906">
        <v>92604</v>
      </c>
    </row>
    <row r="1124" spans="2:3" x14ac:dyDescent="0.25">
      <c r="B1124" s="893" t="s">
        <v>1417</v>
      </c>
      <c r="C1124" s="906">
        <v>92608</v>
      </c>
    </row>
    <row r="1125" spans="2:3" x14ac:dyDescent="0.25">
      <c r="B1125" s="893" t="s">
        <v>1428</v>
      </c>
      <c r="C1125" s="906">
        <v>92701</v>
      </c>
    </row>
    <row r="1126" spans="2:3" x14ac:dyDescent="0.25">
      <c r="B1126" s="893" t="s">
        <v>1429</v>
      </c>
      <c r="C1126" s="906">
        <v>92704</v>
      </c>
    </row>
    <row r="1127" spans="2:3" x14ac:dyDescent="0.25">
      <c r="B1127" s="893" t="s">
        <v>1519</v>
      </c>
      <c r="C1127" s="906">
        <v>93651</v>
      </c>
    </row>
    <row r="1128" spans="2:3" x14ac:dyDescent="0.25">
      <c r="B1128" s="893" t="s">
        <v>1430</v>
      </c>
      <c r="C1128" s="906">
        <v>92801</v>
      </c>
    </row>
    <row r="1129" spans="2:3" x14ac:dyDescent="0.25">
      <c r="B1129" s="893" t="s">
        <v>1432</v>
      </c>
      <c r="C1129" s="906">
        <v>92804</v>
      </c>
    </row>
    <row r="1130" spans="2:3" x14ac:dyDescent="0.25">
      <c r="B1130" s="893" t="s">
        <v>1431</v>
      </c>
      <c r="C1130" s="906">
        <v>92802</v>
      </c>
    </row>
    <row r="1131" spans="2:3" x14ac:dyDescent="0.25">
      <c r="B1131" s="893" t="s">
        <v>1439</v>
      </c>
      <c r="C1131" s="906">
        <v>92901</v>
      </c>
    </row>
    <row r="1132" spans="2:3" x14ac:dyDescent="0.25">
      <c r="B1132" s="893" t="s">
        <v>1713</v>
      </c>
      <c r="C1132" s="906">
        <v>96081</v>
      </c>
    </row>
    <row r="1133" spans="2:3" x14ac:dyDescent="0.25">
      <c r="B1133" s="893" t="s">
        <v>1446</v>
      </c>
      <c r="C1133" s="906">
        <v>93001</v>
      </c>
    </row>
    <row r="1134" spans="2:3" x14ac:dyDescent="0.25">
      <c r="B1134" s="893" t="s">
        <v>1447</v>
      </c>
      <c r="C1134" s="906">
        <v>93009</v>
      </c>
    </row>
    <row r="1135" spans="2:3" x14ac:dyDescent="0.25">
      <c r="B1135" s="893" t="s">
        <v>1443</v>
      </c>
      <c r="C1135" s="906">
        <v>92921</v>
      </c>
    </row>
    <row r="1136" spans="2:3" x14ac:dyDescent="0.25">
      <c r="B1136" s="893" t="s">
        <v>1951</v>
      </c>
      <c r="C1136" s="906">
        <v>98627</v>
      </c>
    </row>
    <row r="1137" spans="2:3" x14ac:dyDescent="0.25">
      <c r="B1137" s="893" t="s">
        <v>1950</v>
      </c>
      <c r="C1137" s="906">
        <v>98621</v>
      </c>
    </row>
    <row r="1138" spans="2:3" x14ac:dyDescent="0.25">
      <c r="B1138" s="893" t="s">
        <v>1300</v>
      </c>
      <c r="C1138" s="906">
        <v>91221</v>
      </c>
    </row>
    <row r="1139" spans="2:3" x14ac:dyDescent="0.25">
      <c r="B1139" s="893" t="s">
        <v>1438</v>
      </c>
      <c r="C1139" s="906">
        <v>92861</v>
      </c>
    </row>
    <row r="1140" spans="2:3" x14ac:dyDescent="0.25">
      <c r="B1140" s="893" t="s">
        <v>1578</v>
      </c>
      <c r="C1140" s="906">
        <v>94317</v>
      </c>
    </row>
    <row r="1141" spans="2:3" x14ac:dyDescent="0.25">
      <c r="B1141" s="893" t="s">
        <v>1577</v>
      </c>
      <c r="C1141" s="906">
        <v>94313</v>
      </c>
    </row>
    <row r="1142" spans="2:3" x14ac:dyDescent="0.25">
      <c r="B1142" s="893" t="s">
        <v>1576</v>
      </c>
      <c r="C1142" s="906">
        <v>94311</v>
      </c>
    </row>
    <row r="1143" spans="2:3" x14ac:dyDescent="0.25">
      <c r="B1143" s="893" t="s">
        <v>1452</v>
      </c>
      <c r="C1143" s="906">
        <v>93101</v>
      </c>
    </row>
    <row r="1144" spans="2:3" x14ac:dyDescent="0.25">
      <c r="B1144" s="893" t="s">
        <v>2123</v>
      </c>
      <c r="C1144" s="906">
        <v>93103</v>
      </c>
    </row>
    <row r="1145" spans="2:3" x14ac:dyDescent="0.25">
      <c r="B1145" s="893" t="s">
        <v>1471</v>
      </c>
      <c r="C1145" s="906">
        <v>93212</v>
      </c>
    </row>
    <row r="1146" spans="2:3" x14ac:dyDescent="0.25">
      <c r="B1146" s="893" t="s">
        <v>1466</v>
      </c>
      <c r="C1146" s="906">
        <v>93201</v>
      </c>
    </row>
    <row r="1147" spans="2:3" x14ac:dyDescent="0.25">
      <c r="B1147" s="893" t="s">
        <v>1468</v>
      </c>
      <c r="C1147" s="906">
        <v>93204</v>
      </c>
    </row>
    <row r="1148" spans="2:3" x14ac:dyDescent="0.25">
      <c r="B1148" s="893" t="s">
        <v>1993</v>
      </c>
      <c r="C1148" s="906">
        <v>99212</v>
      </c>
    </row>
    <row r="1149" spans="2:3" x14ac:dyDescent="0.25">
      <c r="B1149" s="893" t="s">
        <v>1470</v>
      </c>
      <c r="C1149" s="906">
        <v>93211</v>
      </c>
    </row>
    <row r="1150" spans="2:3" x14ac:dyDescent="0.25">
      <c r="B1150" s="893" t="s">
        <v>1794</v>
      </c>
      <c r="C1150" s="906">
        <v>97005</v>
      </c>
    </row>
    <row r="1151" spans="2:3" x14ac:dyDescent="0.25">
      <c r="B1151" s="893" t="s">
        <v>2057</v>
      </c>
      <c r="C1151" s="906">
        <v>99931</v>
      </c>
    </row>
    <row r="1152" spans="2:3" x14ac:dyDescent="0.25">
      <c r="B1152" s="893" t="s">
        <v>3474</v>
      </c>
      <c r="C1152" s="906">
        <v>92509</v>
      </c>
    </row>
    <row r="1153" spans="2:3" x14ac:dyDescent="0.25">
      <c r="B1153" s="893" t="s">
        <v>1895</v>
      </c>
      <c r="C1153" s="906">
        <v>98023</v>
      </c>
    </row>
    <row r="1154" spans="2:3" x14ac:dyDescent="0.25">
      <c r="B1154" s="893" t="s">
        <v>1894</v>
      </c>
      <c r="C1154" s="906">
        <v>98021</v>
      </c>
    </row>
    <row r="1155" spans="2:3" x14ac:dyDescent="0.25">
      <c r="B1155" s="893" t="s">
        <v>1169</v>
      </c>
      <c r="C1155" s="906">
        <v>70505</v>
      </c>
    </row>
    <row r="1156" spans="2:3" x14ac:dyDescent="0.25">
      <c r="B1156" s="893" t="s">
        <v>2027</v>
      </c>
      <c r="C1156" s="906">
        <v>99603</v>
      </c>
    </row>
    <row r="1157" spans="2:3" x14ac:dyDescent="0.25">
      <c r="B1157" s="893" t="s">
        <v>2030</v>
      </c>
      <c r="C1157" s="906">
        <v>99610</v>
      </c>
    </row>
    <row r="1158" spans="2:3" x14ac:dyDescent="0.25">
      <c r="B1158" s="893" t="s">
        <v>1427</v>
      </c>
      <c r="C1158" s="906">
        <v>92681</v>
      </c>
    </row>
    <row r="1159" spans="2:3" x14ac:dyDescent="0.25">
      <c r="B1159" s="893" t="s">
        <v>3475</v>
      </c>
      <c r="C1159" s="906">
        <v>93108</v>
      </c>
    </row>
    <row r="1160" spans="2:3" x14ac:dyDescent="0.25">
      <c r="B1160" s="893" t="s">
        <v>1886</v>
      </c>
      <c r="C1160" s="906">
        <v>97957</v>
      </c>
    </row>
    <row r="1161" spans="2:3" x14ac:dyDescent="0.25">
      <c r="B1161" s="893" t="s">
        <v>1885</v>
      </c>
      <c r="C1161" s="906">
        <v>97951</v>
      </c>
    </row>
    <row r="1162" spans="2:3" x14ac:dyDescent="0.25">
      <c r="B1162" s="893" t="s">
        <v>1374</v>
      </c>
      <c r="C1162" s="906">
        <v>92111</v>
      </c>
    </row>
    <row r="1163" spans="2:3" x14ac:dyDescent="0.25">
      <c r="B1163" s="893" t="s">
        <v>1473</v>
      </c>
      <c r="C1163" s="906">
        <v>93301</v>
      </c>
    </row>
    <row r="1164" spans="2:3" x14ac:dyDescent="0.25">
      <c r="B1164" s="893" t="s">
        <v>1474</v>
      </c>
      <c r="C1164" s="906">
        <v>93304</v>
      </c>
    </row>
    <row r="1165" spans="2:3" x14ac:dyDescent="0.25">
      <c r="B1165" s="893" t="s">
        <v>1475</v>
      </c>
      <c r="C1165" s="906">
        <v>93305</v>
      </c>
    </row>
    <row r="1166" spans="2:3" x14ac:dyDescent="0.25">
      <c r="B1166" s="893" t="s">
        <v>1991</v>
      </c>
      <c r="C1166" s="906">
        <v>99210</v>
      </c>
    </row>
    <row r="1167" spans="2:3" x14ac:dyDescent="0.25">
      <c r="B1167" s="893" t="s">
        <v>1797</v>
      </c>
      <c r="C1167" s="906">
        <v>97011</v>
      </c>
    </row>
    <row r="1168" spans="2:3" x14ac:dyDescent="0.25">
      <c r="B1168" s="893" t="s">
        <v>1799</v>
      </c>
      <c r="C1168" s="906">
        <v>97013</v>
      </c>
    </row>
    <row r="1169" spans="2:3" x14ac:dyDescent="0.25">
      <c r="B1169" s="893" t="s">
        <v>1798</v>
      </c>
      <c r="C1169" s="906">
        <v>97012</v>
      </c>
    </row>
    <row r="1170" spans="2:3" x14ac:dyDescent="0.25">
      <c r="B1170" s="893" t="s">
        <v>1801</v>
      </c>
      <c r="C1170" s="906">
        <v>97018</v>
      </c>
    </row>
    <row r="1171" spans="2:3" x14ac:dyDescent="0.25">
      <c r="B1171" s="893" t="s">
        <v>1237</v>
      </c>
      <c r="C1171" s="906">
        <v>90917</v>
      </c>
    </row>
    <row r="1172" spans="2:3" x14ac:dyDescent="0.25">
      <c r="B1172" s="893" t="s">
        <v>1236</v>
      </c>
      <c r="C1172" s="906">
        <v>90911</v>
      </c>
    </row>
    <row r="1173" spans="2:3" x14ac:dyDescent="0.25">
      <c r="B1173" s="893" t="s">
        <v>1216</v>
      </c>
      <c r="C1173" s="906">
        <v>90641</v>
      </c>
    </row>
    <row r="1174" spans="2:3" x14ac:dyDescent="0.25">
      <c r="B1174" s="893" t="s">
        <v>1955</v>
      </c>
      <c r="C1174" s="906">
        <v>98647</v>
      </c>
    </row>
    <row r="1175" spans="2:3" x14ac:dyDescent="0.25">
      <c r="B1175" s="893" t="s">
        <v>1954</v>
      </c>
      <c r="C1175" s="906">
        <v>98641</v>
      </c>
    </row>
    <row r="1176" spans="2:3" x14ac:dyDescent="0.25">
      <c r="B1176" s="893" t="s">
        <v>1914</v>
      </c>
      <c r="C1176" s="906">
        <v>98161</v>
      </c>
    </row>
    <row r="1177" spans="2:3" x14ac:dyDescent="0.25">
      <c r="B1177" s="893" t="s">
        <v>1856</v>
      </c>
      <c r="C1177" s="906">
        <v>97731</v>
      </c>
    </row>
    <row r="1178" spans="2:3" x14ac:dyDescent="0.25">
      <c r="B1178" s="893" t="s">
        <v>2053</v>
      </c>
      <c r="C1178" s="906">
        <v>99851</v>
      </c>
    </row>
    <row r="1179" spans="2:3" x14ac:dyDescent="0.25">
      <c r="B1179" s="893" t="s">
        <v>1185</v>
      </c>
      <c r="C1179" s="906">
        <v>90131</v>
      </c>
    </row>
    <row r="1180" spans="2:3" x14ac:dyDescent="0.25">
      <c r="B1180" s="893" t="s">
        <v>1336</v>
      </c>
      <c r="C1180" s="906">
        <v>91651</v>
      </c>
    </row>
    <row r="1181" spans="2:3" x14ac:dyDescent="0.25">
      <c r="B1181" s="893" t="s">
        <v>1569</v>
      </c>
      <c r="C1181" s="906">
        <v>94211</v>
      </c>
    </row>
    <row r="1182" spans="2:3" x14ac:dyDescent="0.25">
      <c r="B1182" s="893" t="s">
        <v>1580</v>
      </c>
      <c r="C1182" s="906">
        <v>94331</v>
      </c>
    </row>
    <row r="1183" spans="2:3" x14ac:dyDescent="0.25">
      <c r="B1183" s="893" t="s">
        <v>1393</v>
      </c>
      <c r="C1183" s="906">
        <v>92431</v>
      </c>
    </row>
    <row r="1184" spans="2:3" x14ac:dyDescent="0.25">
      <c r="B1184" s="893" t="s">
        <v>1865</v>
      </c>
      <c r="C1184" s="906">
        <v>97823</v>
      </c>
    </row>
    <row r="1185" spans="2:3" x14ac:dyDescent="0.25">
      <c r="B1185" s="893" t="s">
        <v>1864</v>
      </c>
      <c r="C1185" s="906">
        <v>97821</v>
      </c>
    </row>
    <row r="1186" spans="2:3" x14ac:dyDescent="0.25">
      <c r="B1186" s="893" t="s">
        <v>1459</v>
      </c>
      <c r="C1186" s="906">
        <v>93141</v>
      </c>
    </row>
    <row r="1187" spans="2:3" x14ac:dyDescent="0.25">
      <c r="B1187" s="893" t="s">
        <v>1901</v>
      </c>
      <c r="C1187" s="906">
        <v>98081</v>
      </c>
    </row>
    <row r="1188" spans="2:3" x14ac:dyDescent="0.25">
      <c r="B1188" s="893" t="s">
        <v>1426</v>
      </c>
      <c r="C1188" s="906">
        <v>92671</v>
      </c>
    </row>
    <row r="1189" spans="2:3" x14ac:dyDescent="0.25">
      <c r="B1189" s="893" t="s">
        <v>1824</v>
      </c>
      <c r="C1189" s="906">
        <v>97423</v>
      </c>
    </row>
    <row r="1190" spans="2:3" x14ac:dyDescent="0.25">
      <c r="B1190" s="893" t="s">
        <v>1823</v>
      </c>
      <c r="C1190" s="906">
        <v>97421</v>
      </c>
    </row>
    <row r="1191" spans="2:3" x14ac:dyDescent="0.25">
      <c r="B1191" s="893" t="s">
        <v>1419</v>
      </c>
      <c r="C1191" s="906">
        <v>92613</v>
      </c>
    </row>
    <row r="1192" spans="2:3" x14ac:dyDescent="0.25">
      <c r="B1192" s="893" t="s">
        <v>1420</v>
      </c>
      <c r="C1192" s="906">
        <v>92614</v>
      </c>
    </row>
    <row r="1193" spans="2:3" x14ac:dyDescent="0.25">
      <c r="B1193" s="893" t="s">
        <v>1418</v>
      </c>
      <c r="C1193" s="906">
        <v>92611</v>
      </c>
    </row>
    <row r="1194" spans="2:3" x14ac:dyDescent="0.25">
      <c r="B1194" s="893" t="s">
        <v>1399</v>
      </c>
      <c r="C1194" s="906">
        <v>92502</v>
      </c>
    </row>
    <row r="1195" spans="2:3" x14ac:dyDescent="0.25">
      <c r="B1195" s="893" t="s">
        <v>1600</v>
      </c>
      <c r="C1195" s="906">
        <v>94531</v>
      </c>
    </row>
    <row r="1196" spans="2:3" x14ac:dyDescent="0.25">
      <c r="B1196" s="893" t="s">
        <v>1603</v>
      </c>
      <c r="C1196" s="906">
        <v>94547</v>
      </c>
    </row>
    <row r="1197" spans="2:3" x14ac:dyDescent="0.25">
      <c r="B1197" s="893" t="s">
        <v>1602</v>
      </c>
      <c r="C1197" s="906">
        <v>94541</v>
      </c>
    </row>
    <row r="1198" spans="2:3" x14ac:dyDescent="0.25">
      <c r="B1198" s="893" t="s">
        <v>1629</v>
      </c>
      <c r="C1198" s="906">
        <v>95005</v>
      </c>
    </row>
    <row r="1199" spans="2:3" x14ac:dyDescent="0.25">
      <c r="B1199" s="893" t="s">
        <v>1908</v>
      </c>
      <c r="C1199" s="906">
        <v>98111</v>
      </c>
    </row>
    <row r="1200" spans="2:3" x14ac:dyDescent="0.25">
      <c r="B1200" s="893" t="s">
        <v>1906</v>
      </c>
      <c r="C1200" s="906">
        <v>98107</v>
      </c>
    </row>
    <row r="1201" spans="2:3" x14ac:dyDescent="0.25">
      <c r="B1201" s="893" t="s">
        <v>1909</v>
      </c>
      <c r="C1201" s="906">
        <v>98113</v>
      </c>
    </row>
    <row r="1202" spans="2:3" x14ac:dyDescent="0.25">
      <c r="B1202" s="893" t="s">
        <v>2026</v>
      </c>
      <c r="C1202" s="906">
        <v>99602</v>
      </c>
    </row>
    <row r="1203" spans="2:3" x14ac:dyDescent="0.25">
      <c r="B1203" s="893" t="s">
        <v>1485</v>
      </c>
      <c r="C1203" s="906">
        <v>93401</v>
      </c>
    </row>
    <row r="1204" spans="2:3" x14ac:dyDescent="0.25">
      <c r="B1204" s="893" t="s">
        <v>1832</v>
      </c>
      <c r="C1204" s="906">
        <v>97491</v>
      </c>
    </row>
    <row r="1205" spans="2:3" x14ac:dyDescent="0.25">
      <c r="B1205" s="893" t="s">
        <v>1647</v>
      </c>
      <c r="C1205" s="906">
        <v>95151</v>
      </c>
    </row>
    <row r="1206" spans="2:3" x14ac:dyDescent="0.25">
      <c r="B1206" s="893" t="s">
        <v>1738</v>
      </c>
      <c r="C1206" s="906">
        <v>96381</v>
      </c>
    </row>
    <row r="1207" spans="2:3" x14ac:dyDescent="0.25">
      <c r="B1207" s="893" t="s">
        <v>1499</v>
      </c>
      <c r="C1207" s="906">
        <v>93501</v>
      </c>
    </row>
    <row r="1208" spans="2:3" x14ac:dyDescent="0.25">
      <c r="B1208" s="893" t="s">
        <v>1676</v>
      </c>
      <c r="C1208" s="906">
        <v>95611</v>
      </c>
    </row>
    <row r="1209" spans="2:3" x14ac:dyDescent="0.25">
      <c r="B1209" s="893" t="s">
        <v>1501</v>
      </c>
      <c r="C1209" s="906">
        <v>93517</v>
      </c>
    </row>
    <row r="1210" spans="2:3" x14ac:dyDescent="0.25">
      <c r="B1210" s="893" t="s">
        <v>1500</v>
      </c>
      <c r="C1210" s="906">
        <v>93511</v>
      </c>
    </row>
    <row r="1211" spans="2:3" x14ac:dyDescent="0.25">
      <c r="B1211" s="893" t="s">
        <v>2035</v>
      </c>
      <c r="C1211" s="906">
        <v>99631</v>
      </c>
    </row>
    <row r="1212" spans="2:3" x14ac:dyDescent="0.25">
      <c r="B1212" s="893" t="s">
        <v>2002</v>
      </c>
      <c r="C1212" s="906">
        <v>99261</v>
      </c>
    </row>
    <row r="1213" spans="2:3" x14ac:dyDescent="0.25">
      <c r="B1213" s="893" t="s">
        <v>1922</v>
      </c>
      <c r="C1213" s="906">
        <v>98241</v>
      </c>
    </row>
    <row r="1214" spans="2:3" x14ac:dyDescent="0.25">
      <c r="B1214" s="893" t="s">
        <v>2001</v>
      </c>
      <c r="C1214" s="906">
        <v>99252</v>
      </c>
    </row>
    <row r="1215" spans="2:3" x14ac:dyDescent="0.25">
      <c r="B1215" s="893" t="s">
        <v>2000</v>
      </c>
      <c r="C1215" s="906">
        <v>99251</v>
      </c>
    </row>
    <row r="1216" spans="2:3" x14ac:dyDescent="0.25">
      <c r="B1216" s="893" t="s">
        <v>1766</v>
      </c>
      <c r="C1216" s="906">
        <v>96631</v>
      </c>
    </row>
    <row r="1217" spans="2:3" x14ac:dyDescent="0.25">
      <c r="B1217" s="893" t="s">
        <v>1513</v>
      </c>
      <c r="C1217" s="906">
        <v>93618</v>
      </c>
    </row>
    <row r="1218" spans="2:3" x14ac:dyDescent="0.25">
      <c r="B1218" s="893" t="s">
        <v>1507</v>
      </c>
      <c r="C1218" s="906">
        <v>93601</v>
      </c>
    </row>
    <row r="1219" spans="2:3" x14ac:dyDescent="0.25">
      <c r="B1219" s="893" t="s">
        <v>1768</v>
      </c>
      <c r="C1219" s="906">
        <v>96651</v>
      </c>
    </row>
    <row r="1220" spans="2:3" x14ac:dyDescent="0.25">
      <c r="B1220" s="893" t="s">
        <v>1512</v>
      </c>
      <c r="C1220" s="906">
        <v>93617</v>
      </c>
    </row>
    <row r="1221" spans="2:3" x14ac:dyDescent="0.25">
      <c r="B1221" s="893" t="s">
        <v>1511</v>
      </c>
      <c r="C1221" s="906">
        <v>93611</v>
      </c>
    </row>
    <row r="1222" spans="2:3" x14ac:dyDescent="0.25">
      <c r="B1222" s="893" t="s">
        <v>1525</v>
      </c>
      <c r="C1222" s="906">
        <v>93701</v>
      </c>
    </row>
    <row r="1223" spans="2:3" x14ac:dyDescent="0.25">
      <c r="B1223" s="893" t="s">
        <v>1526</v>
      </c>
      <c r="C1223" s="906">
        <v>93704</v>
      </c>
    </row>
    <row r="1224" spans="2:3" x14ac:dyDescent="0.25">
      <c r="B1224" s="893" t="s">
        <v>1932</v>
      </c>
      <c r="C1224" s="906">
        <v>98331</v>
      </c>
    </row>
    <row r="1225" spans="2:3" x14ac:dyDescent="0.25">
      <c r="B1225" s="893" t="s">
        <v>1560</v>
      </c>
      <c r="C1225" s="906">
        <v>94157</v>
      </c>
    </row>
    <row r="1226" spans="2:3" x14ac:dyDescent="0.25">
      <c r="B1226" s="893" t="s">
        <v>1559</v>
      </c>
      <c r="C1226" s="906">
        <v>94151</v>
      </c>
    </row>
    <row r="1227" spans="2:3" x14ac:dyDescent="0.25">
      <c r="B1227" s="893" t="s">
        <v>1303</v>
      </c>
      <c r="C1227" s="906">
        <v>91241</v>
      </c>
    </row>
    <row r="1228" spans="2:3" x14ac:dyDescent="0.25">
      <c r="B1228" s="893" t="s">
        <v>1665</v>
      </c>
      <c r="C1228" s="906">
        <v>95412</v>
      </c>
    </row>
    <row r="1229" spans="2:3" x14ac:dyDescent="0.25">
      <c r="B1229" s="893" t="s">
        <v>3476</v>
      </c>
      <c r="C1229" s="906">
        <v>99613</v>
      </c>
    </row>
    <row r="1230" spans="2:3" x14ac:dyDescent="0.25">
      <c r="B1230" s="893" t="s">
        <v>2031</v>
      </c>
      <c r="C1230" s="906">
        <v>99611</v>
      </c>
    </row>
    <row r="1231" spans="2:3" x14ac:dyDescent="0.25">
      <c r="B1231" s="893" t="s">
        <v>1362</v>
      </c>
      <c r="C1231" s="906">
        <v>91908</v>
      </c>
    </row>
    <row r="1232" spans="2:3" x14ac:dyDescent="0.25">
      <c r="B1232" s="893" t="s">
        <v>1527</v>
      </c>
      <c r="C1232" s="906">
        <v>93801</v>
      </c>
    </row>
    <row r="1233" spans="2:3" x14ac:dyDescent="0.25">
      <c r="B1233" s="893" t="s">
        <v>3477</v>
      </c>
      <c r="C1233" s="906">
        <v>93806</v>
      </c>
    </row>
    <row r="1234" spans="2:3" x14ac:dyDescent="0.25">
      <c r="B1234" s="893" t="s">
        <v>1528</v>
      </c>
      <c r="C1234" s="906">
        <v>93803</v>
      </c>
    </row>
    <row r="1235" spans="2:3" x14ac:dyDescent="0.25">
      <c r="B1235" s="893" t="s">
        <v>1184</v>
      </c>
      <c r="C1235" s="906">
        <v>90121</v>
      </c>
    </row>
    <row r="1236" spans="2:3" x14ac:dyDescent="0.25">
      <c r="B1236" s="893" t="s">
        <v>1318</v>
      </c>
      <c r="C1236" s="906">
        <v>91417</v>
      </c>
    </row>
    <row r="1237" spans="2:3" x14ac:dyDescent="0.25">
      <c r="B1237" s="893" t="s">
        <v>1317</v>
      </c>
      <c r="C1237" s="906">
        <v>91411</v>
      </c>
    </row>
    <row r="1238" spans="2:3" x14ac:dyDescent="0.25">
      <c r="B1238" s="893" t="s">
        <v>1899</v>
      </c>
      <c r="C1238" s="906">
        <v>98061</v>
      </c>
    </row>
    <row r="1239" spans="2:3" x14ac:dyDescent="0.25">
      <c r="B1239" s="893" t="s">
        <v>1531</v>
      </c>
      <c r="C1239" s="906">
        <v>93901</v>
      </c>
    </row>
    <row r="1240" spans="2:3" x14ac:dyDescent="0.25">
      <c r="B1240" s="893" t="s">
        <v>1532</v>
      </c>
      <c r="C1240" s="906">
        <v>93904</v>
      </c>
    </row>
    <row r="1241" spans="2:3" x14ac:dyDescent="0.25">
      <c r="B1241" s="893" t="s">
        <v>1533</v>
      </c>
      <c r="C1241" s="906">
        <v>93906</v>
      </c>
    </row>
    <row r="1242" spans="2:3" x14ac:dyDescent="0.25">
      <c r="B1242" s="893" t="s">
        <v>1534</v>
      </c>
      <c r="C1242" s="906">
        <v>93908</v>
      </c>
    </row>
    <row r="1243" spans="2:3" x14ac:dyDescent="0.25">
      <c r="B1243" s="893" t="s">
        <v>1619</v>
      </c>
      <c r="C1243" s="906">
        <v>94908</v>
      </c>
    </row>
    <row r="1244" spans="2:3" x14ac:dyDescent="0.25">
      <c r="B1244" s="893" t="s">
        <v>1188</v>
      </c>
      <c r="C1244" s="906">
        <v>90161</v>
      </c>
    </row>
    <row r="1245" spans="2:3" x14ac:dyDescent="0.25">
      <c r="B1245" s="893" t="s">
        <v>1541</v>
      </c>
      <c r="C1245" s="906">
        <v>94001</v>
      </c>
    </row>
    <row r="1246" spans="2:3" x14ac:dyDescent="0.25">
      <c r="B1246" s="893" t="s">
        <v>1543</v>
      </c>
      <c r="C1246" s="906">
        <v>94004</v>
      </c>
    </row>
    <row r="1247" spans="2:3" x14ac:dyDescent="0.25">
      <c r="B1247" s="893" t="s">
        <v>1554</v>
      </c>
      <c r="C1247" s="906">
        <v>94117</v>
      </c>
    </row>
    <row r="1248" spans="2:3" x14ac:dyDescent="0.25">
      <c r="B1248" s="893" t="s">
        <v>1552</v>
      </c>
      <c r="C1248" s="906">
        <v>94111</v>
      </c>
    </row>
    <row r="1249" spans="2:3" x14ac:dyDescent="0.25">
      <c r="B1249" s="893" t="s">
        <v>1822</v>
      </c>
      <c r="C1249" s="906">
        <v>97413</v>
      </c>
    </row>
    <row r="1250" spans="2:3" x14ac:dyDescent="0.25">
      <c r="B1250" s="893" t="s">
        <v>1821</v>
      </c>
      <c r="C1250" s="906">
        <v>97412</v>
      </c>
    </row>
    <row r="1251" spans="2:3" x14ac:dyDescent="0.25">
      <c r="B1251" s="893" t="s">
        <v>1820</v>
      </c>
      <c r="C1251" s="906">
        <v>97411</v>
      </c>
    </row>
    <row r="1252" spans="2:3" x14ac:dyDescent="0.25">
      <c r="B1252" s="893" t="s">
        <v>1825</v>
      </c>
      <c r="C1252" s="906">
        <v>97431</v>
      </c>
    </row>
    <row r="1253" spans="2:3" x14ac:dyDescent="0.25">
      <c r="B1253" s="893" t="s">
        <v>1830</v>
      </c>
      <c r="C1253" s="906">
        <v>97471</v>
      </c>
    </row>
    <row r="1254" spans="2:3" x14ac:dyDescent="0.25">
      <c r="B1254" s="893" t="s">
        <v>1385</v>
      </c>
      <c r="C1254" s="906">
        <v>92351</v>
      </c>
    </row>
    <row r="1255" spans="2:3" x14ac:dyDescent="0.25">
      <c r="B1255" s="893" t="s">
        <v>1555</v>
      </c>
      <c r="C1255" s="906">
        <v>94118</v>
      </c>
    </row>
    <row r="1256" spans="2:3" x14ac:dyDescent="0.25">
      <c r="B1256" s="893" t="s">
        <v>1548</v>
      </c>
      <c r="C1256" s="906">
        <v>94101</v>
      </c>
    </row>
    <row r="1257" spans="2:3" x14ac:dyDescent="0.25">
      <c r="B1257" s="893" t="s">
        <v>1549</v>
      </c>
      <c r="C1257" s="906">
        <v>94102</v>
      </c>
    </row>
    <row r="1258" spans="2:3" x14ac:dyDescent="0.25">
      <c r="B1258" s="893" t="s">
        <v>1565</v>
      </c>
      <c r="C1258" s="906">
        <v>94201</v>
      </c>
    </row>
    <row r="1259" spans="2:3" x14ac:dyDescent="0.25">
      <c r="B1259" s="893" t="s">
        <v>1566</v>
      </c>
      <c r="C1259" s="906">
        <v>94204</v>
      </c>
    </row>
    <row r="1260" spans="2:3" x14ac:dyDescent="0.25">
      <c r="B1260" s="893" t="s">
        <v>1567</v>
      </c>
      <c r="C1260" s="906">
        <v>94205</v>
      </c>
    </row>
    <row r="1261" spans="2:3" x14ac:dyDescent="0.25">
      <c r="B1261" s="893" t="s">
        <v>1689</v>
      </c>
      <c r="C1261" s="906">
        <v>95831</v>
      </c>
    </row>
    <row r="1262" spans="2:3" x14ac:dyDescent="0.25">
      <c r="B1262" s="893" t="s">
        <v>1853</v>
      </c>
      <c r="C1262" s="906">
        <v>97717</v>
      </c>
    </row>
    <row r="1263" spans="2:3" x14ac:dyDescent="0.25">
      <c r="B1263" s="893" t="s">
        <v>1854</v>
      </c>
      <c r="C1263" s="906">
        <v>97721</v>
      </c>
    </row>
    <row r="1264" spans="2:3" x14ac:dyDescent="0.25">
      <c r="B1264" s="893" t="s">
        <v>1575</v>
      </c>
      <c r="C1264" s="906">
        <v>94301</v>
      </c>
    </row>
    <row r="1265" spans="2:3" x14ac:dyDescent="0.25">
      <c r="B1265" s="893" t="s">
        <v>1322</v>
      </c>
      <c r="C1265" s="906">
        <v>91441</v>
      </c>
    </row>
    <row r="1266" spans="2:3" x14ac:dyDescent="0.25">
      <c r="B1266" s="893" t="s">
        <v>1408</v>
      </c>
      <c r="C1266" s="906">
        <v>92531</v>
      </c>
    </row>
    <row r="1267" spans="2:3" x14ac:dyDescent="0.25">
      <c r="B1267" s="893" t="s">
        <v>1186</v>
      </c>
      <c r="C1267" s="906">
        <v>90141</v>
      </c>
    </row>
    <row r="1268" spans="2:3" x14ac:dyDescent="0.25">
      <c r="B1268" s="893" t="s">
        <v>1584</v>
      </c>
      <c r="C1268" s="906">
        <v>94401</v>
      </c>
    </row>
    <row r="1269" spans="2:3" x14ac:dyDescent="0.25">
      <c r="B1269" s="893" t="s">
        <v>1585</v>
      </c>
      <c r="C1269" s="906">
        <v>94402</v>
      </c>
    </row>
    <row r="1270" spans="2:3" x14ac:dyDescent="0.25">
      <c r="B1270" s="893" t="s">
        <v>1594</v>
      </c>
      <c r="C1270" s="906">
        <v>94501</v>
      </c>
    </row>
    <row r="1271" spans="2:3" x14ac:dyDescent="0.25">
      <c r="B1271" s="893" t="s">
        <v>1983</v>
      </c>
      <c r="C1271" s="906">
        <v>99111</v>
      </c>
    </row>
    <row r="1272" spans="2:3" x14ac:dyDescent="0.25">
      <c r="B1272" s="893" t="s">
        <v>1597</v>
      </c>
      <c r="C1272" s="906">
        <v>94517</v>
      </c>
    </row>
    <row r="1273" spans="2:3" x14ac:dyDescent="0.25">
      <c r="B1273" s="893" t="s">
        <v>1596</v>
      </c>
      <c r="C1273" s="906">
        <v>94512</v>
      </c>
    </row>
    <row r="1274" spans="2:3" x14ac:dyDescent="0.25">
      <c r="B1274" s="893" t="s">
        <v>1595</v>
      </c>
      <c r="C1274" s="906">
        <v>94511</v>
      </c>
    </row>
    <row r="1275" spans="2:3" x14ac:dyDescent="0.25">
      <c r="B1275" s="893" t="s">
        <v>1810</v>
      </c>
      <c r="C1275" s="906">
        <v>97217</v>
      </c>
    </row>
    <row r="1276" spans="2:3" x14ac:dyDescent="0.25">
      <c r="B1276" s="893" t="s">
        <v>1605</v>
      </c>
      <c r="C1276" s="906">
        <v>94601</v>
      </c>
    </row>
    <row r="1277" spans="2:3" x14ac:dyDescent="0.25">
      <c r="B1277" s="893" t="s">
        <v>1606</v>
      </c>
      <c r="C1277" s="906">
        <v>94604</v>
      </c>
    </row>
    <row r="1278" spans="2:3" x14ac:dyDescent="0.25">
      <c r="B1278" s="893" t="s">
        <v>1607</v>
      </c>
      <c r="C1278" s="906">
        <v>94606</v>
      </c>
    </row>
    <row r="1279" spans="2:3" x14ac:dyDescent="0.25">
      <c r="B1279" s="893" t="s">
        <v>1809</v>
      </c>
      <c r="C1279" s="906">
        <v>97213</v>
      </c>
    </row>
    <row r="1280" spans="2:3" x14ac:dyDescent="0.25">
      <c r="B1280" s="893" t="s">
        <v>1808</v>
      </c>
      <c r="C1280" s="906">
        <v>97211</v>
      </c>
    </row>
    <row r="1281" spans="2:3" x14ac:dyDescent="0.25">
      <c r="B1281" s="893" t="s">
        <v>1349</v>
      </c>
      <c r="C1281" s="906">
        <v>91813</v>
      </c>
    </row>
    <row r="1282" spans="2:3" x14ac:dyDescent="0.25">
      <c r="B1282" s="893" t="s">
        <v>1347</v>
      </c>
      <c r="C1282" s="906">
        <v>91811</v>
      </c>
    </row>
    <row r="1283" spans="2:3" x14ac:dyDescent="0.25">
      <c r="B1283" s="893" t="s">
        <v>1348</v>
      </c>
      <c r="C1283" s="906">
        <v>91812</v>
      </c>
    </row>
    <row r="1284" spans="2:3" x14ac:dyDescent="0.25">
      <c r="B1284" s="893" t="s">
        <v>1213</v>
      </c>
      <c r="C1284" s="906">
        <v>90617</v>
      </c>
    </row>
    <row r="1285" spans="2:3" x14ac:dyDescent="0.25">
      <c r="B1285" s="893" t="s">
        <v>1557</v>
      </c>
      <c r="C1285" s="906">
        <v>94127</v>
      </c>
    </row>
    <row r="1286" spans="2:3" x14ac:dyDescent="0.25">
      <c r="B1286" s="893" t="s">
        <v>1556</v>
      </c>
      <c r="C1286" s="906">
        <v>94121</v>
      </c>
    </row>
    <row r="1287" spans="2:3" x14ac:dyDescent="0.25">
      <c r="B1287" s="893" t="s">
        <v>1677</v>
      </c>
      <c r="C1287" s="906">
        <v>95617</v>
      </c>
    </row>
    <row r="1288" spans="2:3" x14ac:dyDescent="0.25">
      <c r="B1288" s="893" t="s">
        <v>1678</v>
      </c>
      <c r="C1288" s="906">
        <v>95621</v>
      </c>
    </row>
    <row r="1289" spans="2:3" x14ac:dyDescent="0.25">
      <c r="B1289" s="893" t="s">
        <v>1304</v>
      </c>
      <c r="C1289" s="906">
        <v>91251</v>
      </c>
    </row>
    <row r="1290" spans="2:3" x14ac:dyDescent="0.25">
      <c r="B1290" s="893" t="s">
        <v>1786</v>
      </c>
      <c r="C1290" s="906">
        <v>96831</v>
      </c>
    </row>
    <row r="1291" spans="2:3" x14ac:dyDescent="0.25">
      <c r="B1291" s="893" t="s">
        <v>1573</v>
      </c>
      <c r="C1291" s="906">
        <v>94251</v>
      </c>
    </row>
    <row r="1292" spans="2:3" x14ac:dyDescent="0.25">
      <c r="B1292" s="893" t="s">
        <v>1612</v>
      </c>
      <c r="C1292" s="906">
        <v>94701</v>
      </c>
    </row>
    <row r="1293" spans="2:3" x14ac:dyDescent="0.25">
      <c r="B1293" s="893" t="s">
        <v>1613</v>
      </c>
      <c r="C1293" s="906">
        <v>94704</v>
      </c>
    </row>
    <row r="1294" spans="2:3" x14ac:dyDescent="0.25">
      <c r="B1294" s="893" t="s">
        <v>1253</v>
      </c>
      <c r="C1294" s="906">
        <v>91014</v>
      </c>
    </row>
    <row r="1295" spans="2:3" x14ac:dyDescent="0.25">
      <c r="B1295" s="893" t="s">
        <v>1778</v>
      </c>
      <c r="C1295" s="906">
        <v>96733</v>
      </c>
    </row>
    <row r="1296" spans="2:3" x14ac:dyDescent="0.25">
      <c r="B1296" s="893" t="s">
        <v>1777</v>
      </c>
      <c r="C1296" s="906">
        <v>96731</v>
      </c>
    </row>
    <row r="1297" spans="2:3" x14ac:dyDescent="0.25">
      <c r="B1297" s="893" t="s">
        <v>1985</v>
      </c>
      <c r="C1297" s="906">
        <v>99202</v>
      </c>
    </row>
    <row r="1298" spans="2:3" x14ac:dyDescent="0.25">
      <c r="B1298" s="893" t="s">
        <v>1545</v>
      </c>
      <c r="C1298" s="906">
        <v>94011</v>
      </c>
    </row>
    <row r="1299" spans="2:3" x14ac:dyDescent="0.25">
      <c r="B1299" s="893" t="s">
        <v>1422</v>
      </c>
      <c r="C1299" s="906">
        <v>92631</v>
      </c>
    </row>
    <row r="1300" spans="2:3" x14ac:dyDescent="0.25">
      <c r="B1300" s="893" t="s">
        <v>1682</v>
      </c>
      <c r="C1300" s="906">
        <v>95733</v>
      </c>
    </row>
    <row r="1301" spans="2:3" x14ac:dyDescent="0.25">
      <c r="B1301" s="893" t="s">
        <v>1321</v>
      </c>
      <c r="C1301" s="906">
        <v>91431</v>
      </c>
    </row>
    <row r="1302" spans="2:3" x14ac:dyDescent="0.25">
      <c r="B1302" s="893" t="s">
        <v>1709</v>
      </c>
      <c r="C1302" s="906">
        <v>96041</v>
      </c>
    </row>
    <row r="1303" spans="2:3" x14ac:dyDescent="0.25">
      <c r="B1303" s="893" t="s">
        <v>1615</v>
      </c>
      <c r="C1303" s="906">
        <v>94801</v>
      </c>
    </row>
    <row r="1304" spans="2:3" x14ac:dyDescent="0.25">
      <c r="B1304" s="893" t="s">
        <v>1616</v>
      </c>
      <c r="C1304" s="906">
        <v>94804</v>
      </c>
    </row>
    <row r="1305" spans="2:3" x14ac:dyDescent="0.25">
      <c r="B1305" s="893" t="s">
        <v>1337</v>
      </c>
      <c r="C1305" s="906">
        <v>91661</v>
      </c>
    </row>
    <row r="1306" spans="2:3" x14ac:dyDescent="0.25">
      <c r="B1306" s="893" t="s">
        <v>3478</v>
      </c>
      <c r="C1306" s="906">
        <v>99014</v>
      </c>
    </row>
    <row r="1307" spans="2:3" x14ac:dyDescent="0.25">
      <c r="B1307" s="893" t="s">
        <v>1974</v>
      </c>
      <c r="C1307" s="906">
        <v>99051</v>
      </c>
    </row>
    <row r="1308" spans="2:3" x14ac:dyDescent="0.25">
      <c r="B1308" s="893" t="s">
        <v>1618</v>
      </c>
      <c r="C1308" s="906">
        <v>94901</v>
      </c>
    </row>
    <row r="1309" spans="2:3" x14ac:dyDescent="0.25">
      <c r="B1309" s="893" t="s">
        <v>1907</v>
      </c>
      <c r="C1309" s="906">
        <v>98109</v>
      </c>
    </row>
    <row r="1310" spans="2:3" x14ac:dyDescent="0.25">
      <c r="B1310" s="893" t="s">
        <v>1916</v>
      </c>
      <c r="C1310" s="906">
        <v>98205</v>
      </c>
    </row>
    <row r="1311" spans="2:3" x14ac:dyDescent="0.25">
      <c r="B1311" s="893" t="s">
        <v>1627</v>
      </c>
      <c r="C1311" s="906">
        <v>95001</v>
      </c>
    </row>
    <row r="1312" spans="2:3" x14ac:dyDescent="0.25">
      <c r="B1312" s="893" t="s">
        <v>3479</v>
      </c>
      <c r="C1312" s="906">
        <v>95017</v>
      </c>
    </row>
    <row r="1313" spans="2:3" x14ac:dyDescent="0.25">
      <c r="B1313" s="893" t="s">
        <v>1769</v>
      </c>
      <c r="C1313" s="906">
        <v>96661</v>
      </c>
    </row>
    <row r="1314" spans="2:3" x14ac:dyDescent="0.25">
      <c r="B1314" s="893" t="s">
        <v>1775</v>
      </c>
      <c r="C1314" s="906">
        <v>96711</v>
      </c>
    </row>
    <row r="1315" spans="2:3" x14ac:dyDescent="0.25">
      <c r="B1315" s="893" t="s">
        <v>1558</v>
      </c>
      <c r="C1315" s="906">
        <v>94131</v>
      </c>
    </row>
    <row r="1316" spans="2:3" x14ac:dyDescent="0.25">
      <c r="B1316" s="893" t="s">
        <v>1690</v>
      </c>
      <c r="C1316" s="906">
        <v>95841</v>
      </c>
    </row>
    <row r="1317" spans="2:3" x14ac:dyDescent="0.25">
      <c r="B1317" s="893" t="s">
        <v>1208</v>
      </c>
      <c r="C1317" s="906">
        <v>90511</v>
      </c>
    </row>
    <row r="1318" spans="2:3" x14ac:dyDescent="0.25">
      <c r="B1318" s="893" t="s">
        <v>1634</v>
      </c>
      <c r="C1318" s="906">
        <v>95101</v>
      </c>
    </row>
    <row r="1319" spans="2:3" x14ac:dyDescent="0.25">
      <c r="B1319" s="893" t="s">
        <v>1636</v>
      </c>
      <c r="C1319" s="906">
        <v>95104</v>
      </c>
    </row>
    <row r="1320" spans="2:3" x14ac:dyDescent="0.25">
      <c r="B1320" s="893" t="s">
        <v>1637</v>
      </c>
      <c r="C1320" s="906">
        <v>95105</v>
      </c>
    </row>
    <row r="1321" spans="2:3" x14ac:dyDescent="0.25">
      <c r="B1321" s="893" t="s">
        <v>3480</v>
      </c>
      <c r="C1321" s="906">
        <v>95110</v>
      </c>
    </row>
    <row r="1322" spans="2:3" x14ac:dyDescent="0.25">
      <c r="B1322" s="893" t="s">
        <v>1652</v>
      </c>
      <c r="C1322" s="906">
        <v>95201</v>
      </c>
    </row>
    <row r="1323" spans="2:3" x14ac:dyDescent="0.25">
      <c r="B1323" s="893" t="s">
        <v>1653</v>
      </c>
      <c r="C1323" s="906">
        <v>95204</v>
      </c>
    </row>
    <row r="1324" spans="2:3" x14ac:dyDescent="0.25">
      <c r="B1324" s="893" t="s">
        <v>2056</v>
      </c>
      <c r="C1324" s="906">
        <v>99921</v>
      </c>
    </row>
    <row r="1325" spans="2:3" x14ac:dyDescent="0.25">
      <c r="B1325" s="893" t="s">
        <v>1586</v>
      </c>
      <c r="C1325" s="906">
        <v>94408</v>
      </c>
    </row>
    <row r="1326" spans="2:3" x14ac:dyDescent="0.25">
      <c r="B1326" s="893" t="s">
        <v>1314</v>
      </c>
      <c r="C1326" s="906">
        <v>91331</v>
      </c>
    </row>
    <row r="1327" spans="2:3" x14ac:dyDescent="0.25">
      <c r="B1327" s="893" t="s">
        <v>1456</v>
      </c>
      <c r="C1327" s="906">
        <v>93127</v>
      </c>
    </row>
    <row r="1328" spans="2:3" x14ac:dyDescent="0.25">
      <c r="B1328" s="893" t="s">
        <v>1455</v>
      </c>
      <c r="C1328" s="906">
        <v>93121</v>
      </c>
    </row>
    <row r="1329" spans="2:3" x14ac:dyDescent="0.25">
      <c r="B1329" s="893" t="s">
        <v>1649</v>
      </c>
      <c r="C1329" s="906">
        <v>95171</v>
      </c>
    </row>
    <row r="1330" spans="2:3" x14ac:dyDescent="0.25">
      <c r="B1330" s="893" t="s">
        <v>1492</v>
      </c>
      <c r="C1330" s="906">
        <v>93421</v>
      </c>
    </row>
    <row r="1331" spans="2:3" x14ac:dyDescent="0.25">
      <c r="B1331" s="893" t="s">
        <v>1982</v>
      </c>
      <c r="C1331" s="906">
        <v>99110</v>
      </c>
    </row>
    <row r="1332" spans="2:3" x14ac:dyDescent="0.25">
      <c r="B1332" s="893" t="s">
        <v>1981</v>
      </c>
      <c r="C1332" s="906">
        <v>99109</v>
      </c>
    </row>
    <row r="1333" spans="2:3" x14ac:dyDescent="0.25">
      <c r="B1333" s="893" t="s">
        <v>1434</v>
      </c>
      <c r="C1333" s="906">
        <v>92821</v>
      </c>
    </row>
    <row r="1334" spans="2:3" x14ac:dyDescent="0.25">
      <c r="B1334" s="893" t="s">
        <v>1945</v>
      </c>
      <c r="C1334" s="906">
        <v>98521</v>
      </c>
    </row>
    <row r="1335" spans="2:3" x14ac:dyDescent="0.25">
      <c r="B1335" s="893" t="s">
        <v>1382</v>
      </c>
      <c r="C1335" s="906">
        <v>92327</v>
      </c>
    </row>
    <row r="1336" spans="2:3" x14ac:dyDescent="0.25">
      <c r="B1336" s="893" t="s">
        <v>1381</v>
      </c>
      <c r="C1336" s="906">
        <v>92321</v>
      </c>
    </row>
    <row r="1337" spans="2:3" x14ac:dyDescent="0.25">
      <c r="B1337" s="893" t="s">
        <v>1666</v>
      </c>
      <c r="C1337" s="906">
        <v>95413</v>
      </c>
    </row>
    <row r="1338" spans="2:3" x14ac:dyDescent="0.25">
      <c r="B1338" s="893" t="s">
        <v>1664</v>
      </c>
      <c r="C1338" s="906">
        <v>95411</v>
      </c>
    </row>
    <row r="1339" spans="2:3" x14ac:dyDescent="0.25">
      <c r="B1339" s="893" t="s">
        <v>1667</v>
      </c>
      <c r="C1339" s="906">
        <v>95415</v>
      </c>
    </row>
    <row r="1340" spans="2:3" x14ac:dyDescent="0.25">
      <c r="B1340" s="893" t="s">
        <v>1437</v>
      </c>
      <c r="C1340" s="906">
        <v>92851</v>
      </c>
    </row>
    <row r="1341" spans="2:3" x14ac:dyDescent="0.25">
      <c r="B1341" s="893" t="s">
        <v>2005</v>
      </c>
      <c r="C1341" s="906">
        <v>99291</v>
      </c>
    </row>
    <row r="1342" spans="2:3" x14ac:dyDescent="0.25">
      <c r="B1342" s="893" t="s">
        <v>1760</v>
      </c>
      <c r="C1342" s="906">
        <v>96541</v>
      </c>
    </row>
    <row r="1343" spans="2:3" x14ac:dyDescent="0.25">
      <c r="B1343" s="893" t="s">
        <v>1669</v>
      </c>
      <c r="C1343" s="906">
        <v>95431</v>
      </c>
    </row>
    <row r="1344" spans="2:3" x14ac:dyDescent="0.25">
      <c r="B1344" s="893" t="s">
        <v>1911</v>
      </c>
      <c r="C1344" s="906">
        <v>98131</v>
      </c>
    </row>
    <row r="1345" spans="2:3" x14ac:dyDescent="0.25">
      <c r="B1345" s="893" t="s">
        <v>1392</v>
      </c>
      <c r="C1345" s="906">
        <v>92427</v>
      </c>
    </row>
    <row r="1346" spans="2:3" x14ac:dyDescent="0.25">
      <c r="B1346" s="893" t="s">
        <v>1397</v>
      </c>
      <c r="C1346" s="906">
        <v>92461</v>
      </c>
    </row>
    <row r="1347" spans="2:3" x14ac:dyDescent="0.25">
      <c r="B1347" s="893" t="s">
        <v>1898</v>
      </c>
      <c r="C1347" s="906">
        <v>98051</v>
      </c>
    </row>
    <row r="1348" spans="2:3" x14ac:dyDescent="0.25">
      <c r="B1348" s="893" t="s">
        <v>1273</v>
      </c>
      <c r="C1348" s="906">
        <v>91102</v>
      </c>
    </row>
    <row r="1349" spans="2:3" x14ac:dyDescent="0.25">
      <c r="B1349" s="893" t="s">
        <v>1599</v>
      </c>
      <c r="C1349" s="906">
        <v>94527</v>
      </c>
    </row>
    <row r="1350" spans="2:3" x14ac:dyDescent="0.25">
      <c r="B1350" s="893" t="s">
        <v>1598</v>
      </c>
      <c r="C1350" s="906">
        <v>94521</v>
      </c>
    </row>
    <row r="1351" spans="2:3" x14ac:dyDescent="0.25">
      <c r="B1351" s="893" t="s">
        <v>1930</v>
      </c>
      <c r="C1351" s="906">
        <v>98313</v>
      </c>
    </row>
    <row r="1352" spans="2:3" x14ac:dyDescent="0.25">
      <c r="B1352" s="893" t="s">
        <v>1929</v>
      </c>
      <c r="C1352" s="906">
        <v>98311</v>
      </c>
    </row>
    <row r="1353" spans="2:3" x14ac:dyDescent="0.25">
      <c r="B1353" s="893" t="s">
        <v>1928</v>
      </c>
      <c r="C1353" s="906">
        <v>98308</v>
      </c>
    </row>
    <row r="1354" spans="2:3" x14ac:dyDescent="0.25">
      <c r="B1354" s="893" t="s">
        <v>1384</v>
      </c>
      <c r="C1354" s="906">
        <v>92341</v>
      </c>
    </row>
    <row r="1355" spans="2:3" x14ac:dyDescent="0.25">
      <c r="B1355" s="893" t="s">
        <v>1657</v>
      </c>
      <c r="C1355" s="906">
        <v>95301</v>
      </c>
    </row>
    <row r="1356" spans="2:3" x14ac:dyDescent="0.25">
      <c r="B1356" s="893" t="s">
        <v>1243</v>
      </c>
      <c r="C1356" s="906">
        <v>91002</v>
      </c>
    </row>
    <row r="1357" spans="2:3" x14ac:dyDescent="0.25">
      <c r="B1357" s="893" t="s">
        <v>1324</v>
      </c>
      <c r="C1357" s="906">
        <v>91457</v>
      </c>
    </row>
    <row r="1358" spans="2:3" x14ac:dyDescent="0.25">
      <c r="B1358" s="893" t="s">
        <v>1661</v>
      </c>
      <c r="C1358" s="906">
        <v>95401</v>
      </c>
    </row>
    <row r="1359" spans="2:3" x14ac:dyDescent="0.25">
      <c r="B1359" s="893" t="s">
        <v>1662</v>
      </c>
      <c r="C1359" s="906">
        <v>95404</v>
      </c>
    </row>
    <row r="1360" spans="2:3" x14ac:dyDescent="0.25">
      <c r="B1360" s="893" t="s">
        <v>1320</v>
      </c>
      <c r="C1360" s="906">
        <v>91423</v>
      </c>
    </row>
    <row r="1361" spans="2:3" x14ac:dyDescent="0.25">
      <c r="B1361" s="893" t="s">
        <v>1323</v>
      </c>
      <c r="C1361" s="906">
        <v>91451</v>
      </c>
    </row>
    <row r="1362" spans="2:3" x14ac:dyDescent="0.25">
      <c r="B1362" s="893" t="s">
        <v>1234</v>
      </c>
      <c r="C1362" s="906">
        <v>90861</v>
      </c>
    </row>
    <row r="1363" spans="2:3" x14ac:dyDescent="0.25">
      <c r="B1363" s="893" t="s">
        <v>1496</v>
      </c>
      <c r="C1363" s="906">
        <v>93451</v>
      </c>
    </row>
    <row r="1364" spans="2:3" x14ac:dyDescent="0.25">
      <c r="B1364" s="893" t="s">
        <v>1442</v>
      </c>
      <c r="C1364" s="906">
        <v>92917</v>
      </c>
    </row>
    <row r="1365" spans="2:3" x14ac:dyDescent="0.25">
      <c r="B1365" s="893" t="s">
        <v>1444</v>
      </c>
      <c r="C1365" s="906">
        <v>92931</v>
      </c>
    </row>
    <row r="1366" spans="2:3" x14ac:dyDescent="0.25">
      <c r="B1366" s="893" t="s">
        <v>1845</v>
      </c>
      <c r="C1366" s="906">
        <v>97637</v>
      </c>
    </row>
    <row r="1367" spans="2:3" x14ac:dyDescent="0.25">
      <c r="B1367" s="893" t="s">
        <v>1844</v>
      </c>
      <c r="C1367" s="906">
        <v>97631</v>
      </c>
    </row>
    <row r="1368" spans="2:3" x14ac:dyDescent="0.25">
      <c r="B1368" s="893" t="s">
        <v>1201</v>
      </c>
      <c r="C1368" s="906">
        <v>90421</v>
      </c>
    </row>
    <row r="1369" spans="2:3" x14ac:dyDescent="0.25">
      <c r="B1369" s="893" t="s">
        <v>1579</v>
      </c>
      <c r="C1369" s="906">
        <v>94321</v>
      </c>
    </row>
    <row r="1370" spans="2:3" x14ac:dyDescent="0.25">
      <c r="B1370" s="893" t="s">
        <v>1670</v>
      </c>
      <c r="C1370" s="906">
        <v>95501</v>
      </c>
    </row>
    <row r="1371" spans="2:3" x14ac:dyDescent="0.25">
      <c r="B1371" s="893" t="s">
        <v>1671</v>
      </c>
      <c r="C1371" s="906">
        <v>95504</v>
      </c>
    </row>
    <row r="1372" spans="2:3" x14ac:dyDescent="0.25">
      <c r="B1372" s="893" t="s">
        <v>1674</v>
      </c>
      <c r="C1372" s="906">
        <v>95517</v>
      </c>
    </row>
    <row r="1373" spans="2:3" x14ac:dyDescent="0.25">
      <c r="B1373" s="893" t="s">
        <v>1673</v>
      </c>
      <c r="C1373" s="906">
        <v>95513</v>
      </c>
    </row>
    <row r="1374" spans="2:3" x14ac:dyDescent="0.25">
      <c r="B1374" s="893" t="s">
        <v>1672</v>
      </c>
      <c r="C1374" s="906">
        <v>95511</v>
      </c>
    </row>
    <row r="1375" spans="2:3" x14ac:dyDescent="0.25">
      <c r="B1375" s="893" t="s">
        <v>1424</v>
      </c>
      <c r="C1375" s="906">
        <v>92651</v>
      </c>
    </row>
    <row r="1376" spans="2:3" x14ac:dyDescent="0.25">
      <c r="B1376" s="893" t="s">
        <v>1574</v>
      </c>
      <c r="C1376" s="906">
        <v>94261</v>
      </c>
    </row>
    <row r="1377" spans="2:3" x14ac:dyDescent="0.25">
      <c r="B1377" s="893" t="s">
        <v>1938</v>
      </c>
      <c r="C1377" s="906">
        <v>98431</v>
      </c>
    </row>
    <row r="1378" spans="2:3" x14ac:dyDescent="0.25">
      <c r="B1378" s="893" t="s">
        <v>1354</v>
      </c>
      <c r="C1378" s="906">
        <v>91841</v>
      </c>
    </row>
    <row r="1379" spans="2:3" x14ac:dyDescent="0.25">
      <c r="B1379" s="893" t="s">
        <v>1503</v>
      </c>
      <c r="C1379" s="906">
        <v>93527</v>
      </c>
    </row>
    <row r="1380" spans="2:3" x14ac:dyDescent="0.25">
      <c r="B1380" s="893" t="s">
        <v>1502</v>
      </c>
      <c r="C1380" s="906">
        <v>93521</v>
      </c>
    </row>
    <row r="1381" spans="2:3" x14ac:dyDescent="0.25">
      <c r="B1381" s="893" t="s">
        <v>1520</v>
      </c>
      <c r="C1381" s="906">
        <v>93661</v>
      </c>
    </row>
    <row r="1382" spans="2:3" x14ac:dyDescent="0.25">
      <c r="B1382" s="893" t="s">
        <v>1754</v>
      </c>
      <c r="C1382" s="906">
        <v>96508</v>
      </c>
    </row>
    <row r="1383" spans="2:3" x14ac:dyDescent="0.25">
      <c r="B1383" s="893" t="s">
        <v>2052</v>
      </c>
      <c r="C1383" s="906">
        <v>99841</v>
      </c>
    </row>
    <row r="1384" spans="2:3" x14ac:dyDescent="0.25">
      <c r="B1384" s="893" t="s">
        <v>1858</v>
      </c>
      <c r="C1384" s="906">
        <v>97802</v>
      </c>
    </row>
    <row r="1385" spans="2:3" x14ac:dyDescent="0.25">
      <c r="B1385" s="893" t="s">
        <v>1862</v>
      </c>
      <c r="C1385" s="906">
        <v>97817</v>
      </c>
    </row>
    <row r="1386" spans="2:3" x14ac:dyDescent="0.25">
      <c r="B1386" s="893" t="s">
        <v>1863</v>
      </c>
      <c r="C1386" s="906">
        <v>97818</v>
      </c>
    </row>
    <row r="1387" spans="2:3" x14ac:dyDescent="0.25">
      <c r="B1387" s="893" t="s">
        <v>1861</v>
      </c>
      <c r="C1387" s="906">
        <v>97811</v>
      </c>
    </row>
    <row r="1388" spans="2:3" x14ac:dyDescent="0.25">
      <c r="B1388" s="893" t="s">
        <v>1483</v>
      </c>
      <c r="C1388" s="906">
        <v>93341</v>
      </c>
    </row>
    <row r="1389" spans="2:3" x14ac:dyDescent="0.25">
      <c r="B1389" s="893" t="s">
        <v>1675</v>
      </c>
      <c r="C1389" s="906">
        <v>95601</v>
      </c>
    </row>
    <row r="1390" spans="2:3" x14ac:dyDescent="0.25">
      <c r="B1390" s="893" t="s">
        <v>1883</v>
      </c>
      <c r="C1390" s="906">
        <v>97947</v>
      </c>
    </row>
    <row r="1391" spans="2:3" x14ac:dyDescent="0.25">
      <c r="B1391" s="893" t="s">
        <v>1679</v>
      </c>
      <c r="C1391" s="906">
        <v>95701</v>
      </c>
    </row>
    <row r="1392" spans="2:3" x14ac:dyDescent="0.25">
      <c r="B1392" s="893" t="s">
        <v>1882</v>
      </c>
      <c r="C1392" s="906">
        <v>97941</v>
      </c>
    </row>
    <row r="1393" spans="2:3" x14ac:dyDescent="0.25">
      <c r="B1393" s="893" t="s">
        <v>1884</v>
      </c>
      <c r="C1393" s="906">
        <v>97948</v>
      </c>
    </row>
    <row r="1394" spans="2:3" x14ac:dyDescent="0.25">
      <c r="B1394" s="893" t="s">
        <v>1590</v>
      </c>
      <c r="C1394" s="906">
        <v>94427</v>
      </c>
    </row>
    <row r="1395" spans="2:3" x14ac:dyDescent="0.25">
      <c r="B1395" s="893" t="s">
        <v>1591</v>
      </c>
      <c r="C1395" s="906">
        <v>94428</v>
      </c>
    </row>
    <row r="1396" spans="2:3" x14ac:dyDescent="0.25">
      <c r="B1396" s="893" t="s">
        <v>1589</v>
      </c>
      <c r="C1396" s="906">
        <v>94421</v>
      </c>
    </row>
    <row r="1397" spans="2:3" x14ac:dyDescent="0.25">
      <c r="B1397" s="893" t="s">
        <v>1465</v>
      </c>
      <c r="C1397" s="906">
        <v>93191</v>
      </c>
    </row>
    <row r="1398" spans="2:3" x14ac:dyDescent="0.25">
      <c r="B1398" s="893" t="s">
        <v>1353</v>
      </c>
      <c r="C1398" s="906">
        <v>91831</v>
      </c>
    </row>
    <row r="1399" spans="2:3" x14ac:dyDescent="0.25">
      <c r="B1399" s="893" t="s">
        <v>1435</v>
      </c>
      <c r="C1399" s="906">
        <v>92831</v>
      </c>
    </row>
    <row r="1400" spans="2:3" x14ac:dyDescent="0.25">
      <c r="B1400" s="893" t="s">
        <v>1696</v>
      </c>
      <c r="C1400" s="906">
        <v>95917</v>
      </c>
    </row>
    <row r="1401" spans="2:3" x14ac:dyDescent="0.25">
      <c r="B1401" s="893" t="s">
        <v>1695</v>
      </c>
      <c r="C1401" s="906">
        <v>95911</v>
      </c>
    </row>
    <row r="1402" spans="2:3" x14ac:dyDescent="0.25">
      <c r="B1402" s="893" t="s">
        <v>1680</v>
      </c>
      <c r="C1402" s="906">
        <v>95711</v>
      </c>
    </row>
    <row r="1403" spans="2:3" x14ac:dyDescent="0.25">
      <c r="B1403" s="893" t="s">
        <v>1681</v>
      </c>
      <c r="C1403" s="906">
        <v>95721</v>
      </c>
    </row>
    <row r="1404" spans="2:3" x14ac:dyDescent="0.25">
      <c r="B1404" s="893" t="s">
        <v>1969</v>
      </c>
      <c r="C1404" s="906">
        <v>99021</v>
      </c>
    </row>
    <row r="1405" spans="2:3" x14ac:dyDescent="0.25">
      <c r="B1405" s="893" t="s">
        <v>1683</v>
      </c>
      <c r="C1405" s="906">
        <v>95801</v>
      </c>
    </row>
    <row r="1406" spans="2:3" x14ac:dyDescent="0.25">
      <c r="B1406" s="893" t="s">
        <v>1685</v>
      </c>
      <c r="C1406" s="906">
        <v>95804</v>
      </c>
    </row>
    <row r="1407" spans="2:3" x14ac:dyDescent="0.25">
      <c r="B1407" s="893" t="s">
        <v>1684</v>
      </c>
      <c r="C1407" s="906">
        <v>95802</v>
      </c>
    </row>
    <row r="1408" spans="2:3" x14ac:dyDescent="0.25">
      <c r="B1408" s="893" t="s">
        <v>1176</v>
      </c>
      <c r="C1408" s="906">
        <v>90092</v>
      </c>
    </row>
    <row r="1409" spans="2:3" x14ac:dyDescent="0.25">
      <c r="B1409" s="893" t="s">
        <v>1977</v>
      </c>
      <c r="C1409" s="906">
        <v>99081</v>
      </c>
    </row>
    <row r="1410" spans="2:3" x14ac:dyDescent="0.25">
      <c r="B1410" s="893" t="s">
        <v>1712</v>
      </c>
      <c r="C1410" s="906">
        <v>96071</v>
      </c>
    </row>
    <row r="1411" spans="2:3" x14ac:dyDescent="0.25">
      <c r="B1411" s="893" t="s">
        <v>1542</v>
      </c>
      <c r="C1411" s="906">
        <v>94002</v>
      </c>
    </row>
    <row r="1412" spans="2:3" x14ac:dyDescent="0.25">
      <c r="B1412" s="893" t="s">
        <v>1870</v>
      </c>
      <c r="C1412" s="906">
        <v>97847</v>
      </c>
    </row>
    <row r="1413" spans="2:3" x14ac:dyDescent="0.25">
      <c r="B1413" s="893" t="s">
        <v>1868</v>
      </c>
      <c r="C1413" s="906">
        <v>97840</v>
      </c>
    </row>
    <row r="1414" spans="2:3" x14ac:dyDescent="0.25">
      <c r="B1414" s="893" t="s">
        <v>1880</v>
      </c>
      <c r="C1414" s="906">
        <v>97921</v>
      </c>
    </row>
    <row r="1415" spans="2:3" x14ac:dyDescent="0.25">
      <c r="B1415" s="893" t="s">
        <v>1656</v>
      </c>
      <c r="C1415" s="906">
        <v>95221</v>
      </c>
    </row>
    <row r="1416" spans="2:3" x14ac:dyDescent="0.25">
      <c r="B1416" s="893" t="s">
        <v>1510</v>
      </c>
      <c r="C1416" s="906">
        <v>93610</v>
      </c>
    </row>
    <row r="1417" spans="2:3" x14ac:dyDescent="0.25">
      <c r="B1417" s="893" t="s">
        <v>3481</v>
      </c>
      <c r="C1417" s="906">
        <v>95901</v>
      </c>
    </row>
    <row r="1418" spans="2:3" x14ac:dyDescent="0.25">
      <c r="B1418" s="893" t="s">
        <v>1182</v>
      </c>
      <c r="C1418" s="906">
        <v>90114</v>
      </c>
    </row>
    <row r="1419" spans="2:3" x14ac:dyDescent="0.25">
      <c r="B1419" s="893" t="s">
        <v>1698</v>
      </c>
      <c r="C1419" s="906">
        <v>96001</v>
      </c>
    </row>
    <row r="1420" spans="2:3" x14ac:dyDescent="0.25">
      <c r="B1420" s="893" t="s">
        <v>1700</v>
      </c>
      <c r="C1420" s="906">
        <v>96004</v>
      </c>
    </row>
    <row r="1421" spans="2:3" x14ac:dyDescent="0.25">
      <c r="B1421" s="893" t="s">
        <v>1702</v>
      </c>
      <c r="C1421" s="906">
        <v>96008</v>
      </c>
    </row>
    <row r="1422" spans="2:3" x14ac:dyDescent="0.25">
      <c r="B1422" s="893" t="s">
        <v>1276</v>
      </c>
      <c r="C1422" s="906">
        <v>91108</v>
      </c>
    </row>
    <row r="1423" spans="2:3" x14ac:dyDescent="0.25">
      <c r="B1423" s="893" t="s">
        <v>1626</v>
      </c>
      <c r="C1423" s="906">
        <v>94941</v>
      </c>
    </row>
    <row r="1424" spans="2:3" x14ac:dyDescent="0.25">
      <c r="B1424" s="893" t="s">
        <v>1643</v>
      </c>
      <c r="C1424" s="906">
        <v>95122</v>
      </c>
    </row>
    <row r="1425" spans="2:3" x14ac:dyDescent="0.25">
      <c r="B1425" s="893" t="s">
        <v>3482</v>
      </c>
      <c r="C1425" s="906">
        <v>92607</v>
      </c>
    </row>
    <row r="1426" spans="2:3" x14ac:dyDescent="0.25">
      <c r="B1426" s="893" t="s">
        <v>1745</v>
      </c>
      <c r="C1426" s="906">
        <v>96431</v>
      </c>
    </row>
    <row r="1427" spans="2:3" x14ac:dyDescent="0.25">
      <c r="B1427" s="893" t="s">
        <v>3483</v>
      </c>
      <c r="C1427" s="906">
        <v>90709</v>
      </c>
    </row>
    <row r="1428" spans="2:3" x14ac:dyDescent="0.25">
      <c r="B1428" s="893" t="s">
        <v>1315</v>
      </c>
      <c r="C1428" s="906">
        <v>91341</v>
      </c>
    </row>
    <row r="1429" spans="2:3" x14ac:dyDescent="0.25">
      <c r="B1429" s="893" t="s">
        <v>1604</v>
      </c>
      <c r="C1429" s="906">
        <v>94551</v>
      </c>
    </row>
    <row r="1430" spans="2:3" x14ac:dyDescent="0.25">
      <c r="B1430" s="893" t="s">
        <v>3484</v>
      </c>
      <c r="C1430" s="906">
        <v>99022</v>
      </c>
    </row>
    <row r="1431" spans="2:3" x14ac:dyDescent="0.25">
      <c r="B1431" s="893" t="s">
        <v>1708</v>
      </c>
      <c r="C1431" s="906">
        <v>96031</v>
      </c>
    </row>
    <row r="1432" spans="2:3" x14ac:dyDescent="0.25">
      <c r="B1432" s="893" t="s">
        <v>1170</v>
      </c>
      <c r="C1432" s="906">
        <v>71786</v>
      </c>
    </row>
    <row r="1433" spans="2:3" x14ac:dyDescent="0.25">
      <c r="B1433" s="893" t="s">
        <v>1714</v>
      </c>
      <c r="C1433" s="906">
        <v>96101</v>
      </c>
    </row>
    <row r="1434" spans="2:3" x14ac:dyDescent="0.25">
      <c r="B1434" s="893" t="s">
        <v>1715</v>
      </c>
      <c r="C1434" s="906">
        <v>96102</v>
      </c>
    </row>
    <row r="1435" spans="2:3" x14ac:dyDescent="0.25">
      <c r="B1435" s="893" t="s">
        <v>1448</v>
      </c>
      <c r="C1435" s="906">
        <v>93011</v>
      </c>
    </row>
    <row r="1436" spans="2:3" x14ac:dyDescent="0.25">
      <c r="B1436" s="893" t="s">
        <v>1968</v>
      </c>
      <c r="C1436" s="906">
        <v>99017</v>
      </c>
    </row>
    <row r="1437" spans="2:3" x14ac:dyDescent="0.25">
      <c r="B1437" s="893" t="s">
        <v>1967</v>
      </c>
      <c r="C1437" s="906">
        <v>99013</v>
      </c>
    </row>
    <row r="1438" spans="2:3" x14ac:dyDescent="0.25">
      <c r="B1438" s="893" t="s">
        <v>1966</v>
      </c>
      <c r="C1438" s="906">
        <v>99011</v>
      </c>
    </row>
    <row r="1439" spans="2:3" x14ac:dyDescent="0.25">
      <c r="B1439" s="893" t="s">
        <v>1718</v>
      </c>
      <c r="C1439" s="906">
        <v>96201</v>
      </c>
    </row>
    <row r="1440" spans="2:3" x14ac:dyDescent="0.25">
      <c r="B1440" s="893" t="s">
        <v>1719</v>
      </c>
      <c r="C1440" s="906">
        <v>96204</v>
      </c>
    </row>
    <row r="1441" spans="2:3" x14ac:dyDescent="0.25">
      <c r="B1441" s="893" t="s">
        <v>1289</v>
      </c>
      <c r="C1441" s="906">
        <v>91161</v>
      </c>
    </row>
    <row r="1442" spans="2:3" x14ac:dyDescent="0.25">
      <c r="B1442" s="893" t="s">
        <v>1725</v>
      </c>
      <c r="C1442" s="906">
        <v>96301</v>
      </c>
    </row>
    <row r="1443" spans="2:3" x14ac:dyDescent="0.25">
      <c r="B1443" s="893" t="s">
        <v>1727</v>
      </c>
      <c r="C1443" s="906">
        <v>96304</v>
      </c>
    </row>
    <row r="1444" spans="2:3" x14ac:dyDescent="0.25">
      <c r="B1444" s="893" t="s">
        <v>1729</v>
      </c>
      <c r="C1444" s="906">
        <v>96310</v>
      </c>
    </row>
    <row r="1445" spans="2:3" x14ac:dyDescent="0.25">
      <c r="B1445" s="893" t="s">
        <v>1728</v>
      </c>
      <c r="C1445" s="906">
        <v>96305</v>
      </c>
    </row>
    <row r="1446" spans="2:3" x14ac:dyDescent="0.25">
      <c r="B1446" s="893" t="s">
        <v>1624</v>
      </c>
      <c r="C1446" s="906">
        <v>94927</v>
      </c>
    </row>
    <row r="1447" spans="2:3" x14ac:dyDescent="0.25">
      <c r="B1447" s="893" t="s">
        <v>1623</v>
      </c>
      <c r="C1447" s="906">
        <v>94923</v>
      </c>
    </row>
    <row r="1448" spans="2:3" x14ac:dyDescent="0.25">
      <c r="B1448" s="893" t="s">
        <v>1622</v>
      </c>
      <c r="C1448" s="906">
        <v>94921</v>
      </c>
    </row>
    <row r="1449" spans="2:3" x14ac:dyDescent="0.25">
      <c r="B1449" s="893" t="s">
        <v>1331</v>
      </c>
      <c r="C1449" s="906">
        <v>91611</v>
      </c>
    </row>
    <row r="1450" spans="2:3" x14ac:dyDescent="0.25">
      <c r="B1450" s="893" t="s">
        <v>1299</v>
      </c>
      <c r="C1450" s="906">
        <v>91217</v>
      </c>
    </row>
    <row r="1451" spans="2:3" x14ac:dyDescent="0.25">
      <c r="B1451" s="893" t="s">
        <v>1302</v>
      </c>
      <c r="C1451" s="906">
        <v>91233</v>
      </c>
    </row>
    <row r="1452" spans="2:3" x14ac:dyDescent="0.25">
      <c r="B1452" s="893" t="s">
        <v>1301</v>
      </c>
      <c r="C1452" s="906">
        <v>91231</v>
      </c>
    </row>
    <row r="1453" spans="2:3" x14ac:dyDescent="0.25">
      <c r="B1453" s="893" t="s">
        <v>1988</v>
      </c>
      <c r="C1453" s="906">
        <v>99206</v>
      </c>
    </row>
    <row r="1454" spans="2:3" x14ac:dyDescent="0.25">
      <c r="B1454" s="893" t="s">
        <v>1205</v>
      </c>
      <c r="C1454" s="906">
        <v>90461</v>
      </c>
    </row>
    <row r="1455" spans="2:3" x14ac:dyDescent="0.25">
      <c r="B1455" s="893" t="s">
        <v>1952</v>
      </c>
      <c r="C1455" s="906">
        <v>98631</v>
      </c>
    </row>
    <row r="1456" spans="2:3" x14ac:dyDescent="0.25">
      <c r="B1456" s="893" t="s">
        <v>1724</v>
      </c>
      <c r="C1456" s="906">
        <v>96251</v>
      </c>
    </row>
    <row r="1457" spans="2:3" x14ac:dyDescent="0.25">
      <c r="B1457" s="893" t="s">
        <v>2034</v>
      </c>
      <c r="C1457" s="906">
        <v>99623</v>
      </c>
    </row>
    <row r="1458" spans="2:3" x14ac:dyDescent="0.25">
      <c r="B1458" s="893" t="s">
        <v>2033</v>
      </c>
      <c r="C1458" s="906">
        <v>99621</v>
      </c>
    </row>
    <row r="1459" spans="2:3" x14ac:dyDescent="0.25">
      <c r="B1459" s="893" t="s">
        <v>1312</v>
      </c>
      <c r="C1459" s="906">
        <v>91321</v>
      </c>
    </row>
    <row r="1460" spans="2:3" x14ac:dyDescent="0.25">
      <c r="B1460" s="893" t="s">
        <v>1953</v>
      </c>
      <c r="C1460" s="906">
        <v>98637</v>
      </c>
    </row>
    <row r="1461" spans="2:3" x14ac:dyDescent="0.25">
      <c r="B1461" s="893" t="s">
        <v>1524</v>
      </c>
      <c r="C1461" s="906">
        <v>93691</v>
      </c>
    </row>
    <row r="1462" spans="2:3" x14ac:dyDescent="0.25">
      <c r="B1462" s="893" t="s">
        <v>1313</v>
      </c>
      <c r="C1462" s="906">
        <v>91327</v>
      </c>
    </row>
    <row r="1463" spans="2:3" x14ac:dyDescent="0.25">
      <c r="B1463" s="893" t="s">
        <v>1609</v>
      </c>
      <c r="C1463" s="906">
        <v>94621</v>
      </c>
    </row>
    <row r="1464" spans="2:3" x14ac:dyDescent="0.25">
      <c r="B1464" s="893" t="s">
        <v>1369</v>
      </c>
      <c r="C1464" s="906">
        <v>92017</v>
      </c>
    </row>
    <row r="1465" spans="2:3" x14ac:dyDescent="0.25">
      <c r="B1465" s="893" t="s">
        <v>1368</v>
      </c>
      <c r="C1465" s="906">
        <v>92011</v>
      </c>
    </row>
    <row r="1466" spans="2:3" x14ac:dyDescent="0.25">
      <c r="B1466" s="893" t="s">
        <v>2059</v>
      </c>
      <c r="C1466" s="913">
        <v>99991</v>
      </c>
    </row>
    <row r="1467" spans="2:3" x14ac:dyDescent="0.25">
      <c r="B1467" s="893" t="s">
        <v>2060</v>
      </c>
      <c r="C1467" s="913">
        <v>99999</v>
      </c>
    </row>
    <row r="1468" spans="2:3" x14ac:dyDescent="0.25">
      <c r="B1468" s="893" t="s">
        <v>1433</v>
      </c>
      <c r="C1468" s="906">
        <v>92811</v>
      </c>
    </row>
    <row r="1469" spans="2:3" x14ac:dyDescent="0.25">
      <c r="B1469" s="893" t="s">
        <v>1367</v>
      </c>
      <c r="C1469" s="906">
        <v>92005</v>
      </c>
    </row>
    <row r="1470" spans="2:3" x14ac:dyDescent="0.25">
      <c r="B1470" s="893" t="s">
        <v>1740</v>
      </c>
      <c r="C1470" s="906">
        <v>96401</v>
      </c>
    </row>
    <row r="1471" spans="2:3" x14ac:dyDescent="0.25">
      <c r="B1471" s="893" t="s">
        <v>1741</v>
      </c>
      <c r="C1471" s="906">
        <v>96404</v>
      </c>
    </row>
    <row r="1472" spans="2:3" x14ac:dyDescent="0.25">
      <c r="B1472" s="893" t="s">
        <v>1744</v>
      </c>
      <c r="C1472" s="906">
        <v>96421</v>
      </c>
    </row>
    <row r="1473" spans="2:3" x14ac:dyDescent="0.25">
      <c r="B1473" s="893" t="s">
        <v>1663</v>
      </c>
      <c r="C1473" s="906">
        <v>95405</v>
      </c>
    </row>
    <row r="1474" spans="2:3" x14ac:dyDescent="0.25">
      <c r="B1474" s="893" t="s">
        <v>1544</v>
      </c>
      <c r="C1474" s="906">
        <v>94005</v>
      </c>
    </row>
    <row r="1475" spans="2:3" x14ac:dyDescent="0.25">
      <c r="B1475" s="893" t="s">
        <v>1654</v>
      </c>
      <c r="C1475" s="906">
        <v>95205</v>
      </c>
    </row>
    <row r="1476" spans="2:3" x14ac:dyDescent="0.25">
      <c r="B1476" s="893" t="s">
        <v>1403</v>
      </c>
      <c r="C1476" s="906">
        <v>92507</v>
      </c>
    </row>
    <row r="1477" spans="2:3" x14ac:dyDescent="0.25">
      <c r="B1477" s="893" t="s">
        <v>1406</v>
      </c>
      <c r="C1477" s="906">
        <v>92511</v>
      </c>
    </row>
    <row r="1478" spans="2:3" x14ac:dyDescent="0.25">
      <c r="B1478" s="893" t="s">
        <v>1750</v>
      </c>
      <c r="C1478" s="906">
        <v>96502</v>
      </c>
    </row>
    <row r="1479" spans="2:3" x14ac:dyDescent="0.25">
      <c r="B1479" s="893" t="s">
        <v>1749</v>
      </c>
      <c r="C1479" s="906">
        <v>96501</v>
      </c>
    </row>
    <row r="1480" spans="2:3" x14ac:dyDescent="0.25">
      <c r="B1480" s="893" t="s">
        <v>1752</v>
      </c>
      <c r="C1480" s="906">
        <v>96504</v>
      </c>
    </row>
    <row r="1481" spans="2:3" x14ac:dyDescent="0.25">
      <c r="B1481" s="893" t="s">
        <v>1878</v>
      </c>
      <c r="C1481" s="906">
        <v>97913</v>
      </c>
    </row>
    <row r="1482" spans="2:3" x14ac:dyDescent="0.25">
      <c r="B1482" s="893" t="s">
        <v>1214</v>
      </c>
      <c r="C1482" s="906">
        <v>90621</v>
      </c>
    </row>
    <row r="1483" spans="2:3" x14ac:dyDescent="0.25">
      <c r="B1483" s="893" t="s">
        <v>1332</v>
      </c>
      <c r="C1483" s="906">
        <v>91621</v>
      </c>
    </row>
    <row r="1484" spans="2:3" x14ac:dyDescent="0.25">
      <c r="B1484" s="893" t="s">
        <v>1920</v>
      </c>
      <c r="C1484" s="906">
        <v>98231</v>
      </c>
    </row>
    <row r="1485" spans="2:3" x14ac:dyDescent="0.25">
      <c r="B1485" s="893" t="s">
        <v>1357</v>
      </c>
      <c r="C1485" s="906">
        <v>91871</v>
      </c>
    </row>
    <row r="1486" spans="2:3" x14ac:dyDescent="0.25">
      <c r="B1486" s="893" t="s">
        <v>2008</v>
      </c>
      <c r="C1486" s="906">
        <v>99311</v>
      </c>
    </row>
    <row r="1487" spans="2:3" x14ac:dyDescent="0.25">
      <c r="B1487" s="893" t="s">
        <v>1780</v>
      </c>
      <c r="C1487" s="906">
        <v>96751</v>
      </c>
    </row>
    <row r="1488" spans="2:3" x14ac:dyDescent="0.25">
      <c r="B1488" s="893" t="s">
        <v>2041</v>
      </c>
      <c r="C1488" s="906">
        <v>99717</v>
      </c>
    </row>
    <row r="1489" spans="2:3" x14ac:dyDescent="0.25">
      <c r="B1489" s="893" t="s">
        <v>2040</v>
      </c>
      <c r="C1489" s="906">
        <v>99711</v>
      </c>
    </row>
    <row r="1490" spans="2:3" x14ac:dyDescent="0.25">
      <c r="B1490" s="893" t="s">
        <v>1761</v>
      </c>
      <c r="C1490" s="906">
        <v>96601</v>
      </c>
    </row>
    <row r="1491" spans="2:3" x14ac:dyDescent="0.25">
      <c r="B1491" s="893" t="s">
        <v>1762</v>
      </c>
      <c r="C1491" s="906">
        <v>96604</v>
      </c>
    </row>
    <row r="1492" spans="2:3" x14ac:dyDescent="0.25">
      <c r="B1492" s="893" t="s">
        <v>1252</v>
      </c>
      <c r="C1492" s="906">
        <v>91012</v>
      </c>
    </row>
    <row r="1493" spans="2:3" x14ac:dyDescent="0.25">
      <c r="B1493" s="893" t="s">
        <v>1195</v>
      </c>
      <c r="C1493" s="906">
        <v>90305</v>
      </c>
    </row>
    <row r="1494" spans="2:3" x14ac:dyDescent="0.25">
      <c r="B1494" s="893" t="s">
        <v>1937</v>
      </c>
      <c r="C1494" s="906">
        <v>98427</v>
      </c>
    </row>
    <row r="1495" spans="2:3" x14ac:dyDescent="0.25">
      <c r="B1495" s="893" t="s">
        <v>1936</v>
      </c>
      <c r="C1495" s="906">
        <v>98421</v>
      </c>
    </row>
    <row r="1496" spans="2:3" x14ac:dyDescent="0.25">
      <c r="B1496" s="893" t="s">
        <v>1688</v>
      </c>
      <c r="C1496" s="906">
        <v>95821</v>
      </c>
    </row>
    <row r="1497" spans="2:3" x14ac:dyDescent="0.25">
      <c r="B1497" s="893" t="s">
        <v>1259</v>
      </c>
      <c r="C1497" s="906">
        <v>91027</v>
      </c>
    </row>
    <row r="1498" spans="2:3" x14ac:dyDescent="0.25">
      <c r="B1498" s="893" t="s">
        <v>1256</v>
      </c>
      <c r="C1498" s="906">
        <v>91021</v>
      </c>
    </row>
    <row r="1499" spans="2:3" x14ac:dyDescent="0.25">
      <c r="B1499" s="893" t="s">
        <v>1561</v>
      </c>
      <c r="C1499" s="906">
        <v>94161</v>
      </c>
    </row>
    <row r="1500" spans="2:3" x14ac:dyDescent="0.25">
      <c r="B1500" s="893" t="s">
        <v>1939</v>
      </c>
      <c r="C1500" s="906">
        <v>98441</v>
      </c>
    </row>
    <row r="1501" spans="2:3" x14ac:dyDescent="0.25">
      <c r="B1501" s="893" t="s">
        <v>1267</v>
      </c>
      <c r="C1501" s="906">
        <v>91067</v>
      </c>
    </row>
    <row r="1502" spans="2:3" x14ac:dyDescent="0.25">
      <c r="B1502" s="893" t="s">
        <v>1266</v>
      </c>
      <c r="C1502" s="906">
        <v>91061</v>
      </c>
    </row>
    <row r="1503" spans="2:3" x14ac:dyDescent="0.25">
      <c r="B1503" s="893" t="s">
        <v>1617</v>
      </c>
      <c r="C1503" s="906">
        <v>94812</v>
      </c>
    </row>
    <row r="1504" spans="2:3" x14ac:dyDescent="0.25">
      <c r="B1504" s="893" t="s">
        <v>1697</v>
      </c>
      <c r="C1504" s="906">
        <v>95921</v>
      </c>
    </row>
    <row r="1505" spans="2:3" x14ac:dyDescent="0.25">
      <c r="B1505" s="893" t="s">
        <v>1772</v>
      </c>
      <c r="C1505" s="906">
        <v>96701</v>
      </c>
    </row>
    <row r="1506" spans="2:3" x14ac:dyDescent="0.25">
      <c r="B1506" s="893" t="s">
        <v>1773</v>
      </c>
      <c r="C1506" s="906">
        <v>96704</v>
      </c>
    </row>
    <row r="1507" spans="2:3" x14ac:dyDescent="0.25">
      <c r="B1507" s="893" t="s">
        <v>1774</v>
      </c>
      <c r="C1507" s="906">
        <v>96708</v>
      </c>
    </row>
    <row r="1508" spans="2:3" x14ac:dyDescent="0.25">
      <c r="B1508" s="893" t="s">
        <v>1781</v>
      </c>
      <c r="C1508" s="906">
        <v>96801</v>
      </c>
    </row>
    <row r="1509" spans="2:3" x14ac:dyDescent="0.25">
      <c r="B1509" s="893" t="s">
        <v>1782</v>
      </c>
      <c r="C1509" s="906">
        <v>96804</v>
      </c>
    </row>
    <row r="1510" spans="2:3" x14ac:dyDescent="0.25">
      <c r="B1510" s="893" t="s">
        <v>1783</v>
      </c>
      <c r="C1510" s="906">
        <v>96808</v>
      </c>
    </row>
    <row r="1511" spans="2:3" x14ac:dyDescent="0.25">
      <c r="B1511" s="893" t="s">
        <v>1789</v>
      </c>
      <c r="C1511" s="906">
        <v>96912</v>
      </c>
    </row>
    <row r="1512" spans="2:3" x14ac:dyDescent="0.25">
      <c r="B1512" s="893" t="s">
        <v>1537</v>
      </c>
      <c r="C1512" s="906">
        <v>93913</v>
      </c>
    </row>
    <row r="1513" spans="2:3" x14ac:dyDescent="0.25">
      <c r="B1513" s="893" t="s">
        <v>1536</v>
      </c>
      <c r="C1513" s="906">
        <v>93911</v>
      </c>
    </row>
    <row r="1514" spans="2:3" x14ac:dyDescent="0.25">
      <c r="B1514" s="893" t="s">
        <v>1787</v>
      </c>
      <c r="C1514" s="906">
        <v>96901</v>
      </c>
    </row>
    <row r="1515" spans="2:3" x14ac:dyDescent="0.25">
      <c r="B1515" s="893" t="s">
        <v>3485</v>
      </c>
      <c r="C1515" s="906">
        <v>97841</v>
      </c>
    </row>
    <row r="1516" spans="2:3" x14ac:dyDescent="0.25">
      <c r="B1516" s="893" t="s">
        <v>1467</v>
      </c>
      <c r="C1516" s="906">
        <v>93202</v>
      </c>
    </row>
    <row r="1517" spans="2:3" x14ac:dyDescent="0.25">
      <c r="B1517" s="893" t="s">
        <v>3486</v>
      </c>
      <c r="C1517" s="906">
        <v>93609</v>
      </c>
    </row>
    <row r="1518" spans="2:3" x14ac:dyDescent="0.25">
      <c r="B1518" s="893" t="s">
        <v>1791</v>
      </c>
      <c r="C1518" s="906">
        <v>97001</v>
      </c>
    </row>
    <row r="1519" spans="2:3" x14ac:dyDescent="0.25">
      <c r="B1519" s="893" t="s">
        <v>1793</v>
      </c>
      <c r="C1519" s="906">
        <v>97004</v>
      </c>
    </row>
    <row r="1520" spans="2:3" x14ac:dyDescent="0.25">
      <c r="B1520" s="893" t="s">
        <v>1792</v>
      </c>
      <c r="C1520" s="906">
        <v>97002</v>
      </c>
    </row>
    <row r="1521" spans="2:3" x14ac:dyDescent="0.25">
      <c r="B1521" s="893" t="s">
        <v>1800</v>
      </c>
      <c r="C1521" s="906">
        <v>97015</v>
      </c>
    </row>
    <row r="1522" spans="2:3" x14ac:dyDescent="0.25">
      <c r="B1522" s="893" t="s">
        <v>1203</v>
      </c>
      <c r="C1522" s="906">
        <v>90441</v>
      </c>
    </row>
    <row r="1523" spans="2:3" x14ac:dyDescent="0.25">
      <c r="B1523" s="893" t="s">
        <v>1872</v>
      </c>
      <c r="C1523" s="906">
        <v>97853</v>
      </c>
    </row>
    <row r="1524" spans="2:3" x14ac:dyDescent="0.25">
      <c r="B1524" s="893" t="s">
        <v>1871</v>
      </c>
      <c r="C1524" s="906">
        <v>97851</v>
      </c>
    </row>
    <row r="1525" spans="2:3" x14ac:dyDescent="0.25">
      <c r="B1525" s="893" t="s">
        <v>1802</v>
      </c>
      <c r="C1525" s="906">
        <v>97101</v>
      </c>
    </row>
    <row r="1526" spans="2:3" x14ac:dyDescent="0.25">
      <c r="B1526" s="893" t="s">
        <v>1803</v>
      </c>
      <c r="C1526" s="906">
        <v>97104</v>
      </c>
    </row>
    <row r="1527" spans="2:3" x14ac:dyDescent="0.25">
      <c r="B1527" s="893" t="s">
        <v>1807</v>
      </c>
      <c r="C1527" s="906">
        <v>97201</v>
      </c>
    </row>
    <row r="1528" spans="2:3" x14ac:dyDescent="0.25">
      <c r="B1528" s="893" t="s">
        <v>1812</v>
      </c>
      <c r="C1528" s="906">
        <v>97301</v>
      </c>
    </row>
    <row r="1529" spans="2:3" x14ac:dyDescent="0.25">
      <c r="B1529" s="893" t="s">
        <v>1813</v>
      </c>
      <c r="C1529" s="906">
        <v>97304</v>
      </c>
    </row>
    <row r="1530" spans="2:3" x14ac:dyDescent="0.25">
      <c r="B1530" s="893" t="s">
        <v>2012</v>
      </c>
      <c r="C1530" s="906">
        <v>99405</v>
      </c>
    </row>
    <row r="1531" spans="2:3" x14ac:dyDescent="0.25">
      <c r="B1531" s="893" t="s">
        <v>1171</v>
      </c>
      <c r="C1531" s="906">
        <v>72265</v>
      </c>
    </row>
    <row r="1532" spans="2:3" x14ac:dyDescent="0.25">
      <c r="B1532" s="893" t="s">
        <v>1487</v>
      </c>
      <c r="C1532" s="906">
        <v>93406</v>
      </c>
    </row>
    <row r="1533" spans="2:3" x14ac:dyDescent="0.25">
      <c r="B1533" s="893" t="s">
        <v>1553</v>
      </c>
      <c r="C1533" s="906">
        <v>94112</v>
      </c>
    </row>
    <row r="1534" spans="2:3" x14ac:dyDescent="0.25">
      <c r="B1534" s="893" t="s">
        <v>2036</v>
      </c>
      <c r="C1534" s="906">
        <v>99651</v>
      </c>
    </row>
    <row r="1535" spans="2:3" x14ac:dyDescent="0.25">
      <c r="B1535" s="893" t="s">
        <v>1947</v>
      </c>
      <c r="C1535" s="906">
        <v>98607</v>
      </c>
    </row>
    <row r="1536" spans="2:3" x14ac:dyDescent="0.25">
      <c r="B1536" s="893" t="s">
        <v>1949</v>
      </c>
      <c r="C1536" s="906">
        <v>98611</v>
      </c>
    </row>
    <row r="1537" spans="2:3" x14ac:dyDescent="0.25">
      <c r="B1537" s="893" t="s">
        <v>1335</v>
      </c>
      <c r="C1537" s="906">
        <v>91641</v>
      </c>
    </row>
    <row r="1538" spans="2:3" x14ac:dyDescent="0.25">
      <c r="B1538" s="893" t="s">
        <v>1648</v>
      </c>
      <c r="C1538" s="906">
        <v>95161</v>
      </c>
    </row>
    <row r="1539" spans="2:3" x14ac:dyDescent="0.25">
      <c r="B1539" s="893" t="s">
        <v>1736</v>
      </c>
      <c r="C1539" s="906">
        <v>96361</v>
      </c>
    </row>
    <row r="1540" spans="2:3" x14ac:dyDescent="0.25">
      <c r="B1540" s="893" t="s">
        <v>1550</v>
      </c>
      <c r="C1540" s="906">
        <v>94108</v>
      </c>
    </row>
    <row r="1541" spans="2:3" x14ac:dyDescent="0.25">
      <c r="B1541" s="893" t="s">
        <v>1735</v>
      </c>
      <c r="C1541" s="906">
        <v>96351</v>
      </c>
    </row>
    <row r="1542" spans="2:3" x14ac:dyDescent="0.25">
      <c r="B1542" s="893" t="s">
        <v>1481</v>
      </c>
      <c r="C1542" s="906">
        <v>93331</v>
      </c>
    </row>
    <row r="1543" spans="2:3" x14ac:dyDescent="0.25">
      <c r="B1543" s="893" t="s">
        <v>1707</v>
      </c>
      <c r="C1543" s="906">
        <v>96021</v>
      </c>
    </row>
    <row r="1544" spans="2:3" x14ac:dyDescent="0.25">
      <c r="B1544" s="893" t="s">
        <v>1668</v>
      </c>
      <c r="C1544" s="906">
        <v>95421</v>
      </c>
    </row>
    <row r="1545" spans="2:3" x14ac:dyDescent="0.25">
      <c r="B1545" s="893" t="s">
        <v>1815</v>
      </c>
      <c r="C1545" s="906">
        <v>97401</v>
      </c>
    </row>
    <row r="1546" spans="2:3" x14ac:dyDescent="0.25">
      <c r="B1546" s="893" t="s">
        <v>1817</v>
      </c>
      <c r="C1546" s="906">
        <v>97404</v>
      </c>
    </row>
    <row r="1547" spans="2:3" x14ac:dyDescent="0.25">
      <c r="B1547" s="893" t="s">
        <v>1816</v>
      </c>
      <c r="C1547" s="906">
        <v>97402</v>
      </c>
    </row>
    <row r="1548" spans="2:3" x14ac:dyDescent="0.25">
      <c r="B1548" s="893" t="s">
        <v>1365</v>
      </c>
      <c r="C1548" s="906">
        <v>91921</v>
      </c>
    </row>
    <row r="1549" spans="2:3" x14ac:dyDescent="0.25">
      <c r="B1549" s="893" t="s">
        <v>1694</v>
      </c>
      <c r="C1549" s="906">
        <v>95908</v>
      </c>
    </row>
    <row r="1550" spans="2:3" x14ac:dyDescent="0.25">
      <c r="B1550" s="893" t="s">
        <v>2014</v>
      </c>
      <c r="C1550" s="906">
        <v>99413</v>
      </c>
    </row>
    <row r="1551" spans="2:3" x14ac:dyDescent="0.25">
      <c r="B1551" s="893" t="s">
        <v>2013</v>
      </c>
      <c r="C1551" s="906">
        <v>99411</v>
      </c>
    </row>
    <row r="1552" spans="2:3" x14ac:dyDescent="0.25">
      <c r="B1552" s="893" t="s">
        <v>1833</v>
      </c>
      <c r="C1552" s="906">
        <v>97501</v>
      </c>
    </row>
    <row r="1553" spans="2:3" x14ac:dyDescent="0.25">
      <c r="B1553" s="893" t="s">
        <v>1202</v>
      </c>
      <c r="C1553" s="906">
        <v>90431</v>
      </c>
    </row>
    <row r="1554" spans="2:3" x14ac:dyDescent="0.25">
      <c r="B1554" s="893" t="s">
        <v>1655</v>
      </c>
      <c r="C1554" s="906">
        <v>95211</v>
      </c>
    </row>
    <row r="1555" spans="2:3" x14ac:dyDescent="0.25">
      <c r="B1555" s="893" t="s">
        <v>1650</v>
      </c>
      <c r="C1555" s="906">
        <v>95181</v>
      </c>
    </row>
    <row r="1556" spans="2:3" x14ac:dyDescent="0.25">
      <c r="B1556" s="893" t="s">
        <v>1484</v>
      </c>
      <c r="C1556" s="906">
        <v>93351</v>
      </c>
    </row>
    <row r="1557" spans="2:3" x14ac:dyDescent="0.25">
      <c r="B1557" s="893" t="s">
        <v>1614</v>
      </c>
      <c r="C1557" s="906">
        <v>94711</v>
      </c>
    </row>
    <row r="1558" spans="2:3" x14ac:dyDescent="0.25">
      <c r="B1558" s="893" t="s">
        <v>1994</v>
      </c>
      <c r="C1558" s="906">
        <v>99213</v>
      </c>
    </row>
    <row r="1559" spans="2:3" x14ac:dyDescent="0.25">
      <c r="B1559" s="893" t="s">
        <v>1992</v>
      </c>
      <c r="C1559" s="906">
        <v>99211</v>
      </c>
    </row>
    <row r="1560" spans="2:3" x14ac:dyDescent="0.25">
      <c r="B1560" s="893" t="s">
        <v>1995</v>
      </c>
      <c r="C1560" s="906">
        <v>99218</v>
      </c>
    </row>
    <row r="1561" spans="2:3" x14ac:dyDescent="0.25">
      <c r="B1561" s="893" t="s">
        <v>1846</v>
      </c>
      <c r="C1561" s="906">
        <v>97641</v>
      </c>
    </row>
    <row r="1562" spans="2:3" x14ac:dyDescent="0.25">
      <c r="B1562" s="893" t="s">
        <v>1843</v>
      </c>
      <c r="C1562" s="906">
        <v>97627</v>
      </c>
    </row>
    <row r="1563" spans="2:3" x14ac:dyDescent="0.25">
      <c r="B1563" s="893" t="s">
        <v>1842</v>
      </c>
      <c r="C1563" s="906">
        <v>97623</v>
      </c>
    </row>
    <row r="1564" spans="2:3" x14ac:dyDescent="0.25">
      <c r="B1564" s="893" t="s">
        <v>1841</v>
      </c>
      <c r="C1564" s="906">
        <v>97621</v>
      </c>
    </row>
    <row r="1565" spans="2:3" x14ac:dyDescent="0.25">
      <c r="B1565" s="893" t="s">
        <v>1837</v>
      </c>
      <c r="C1565" s="906">
        <v>97601</v>
      </c>
    </row>
    <row r="1566" spans="2:3" x14ac:dyDescent="0.25">
      <c r="B1566" s="893" t="s">
        <v>1523</v>
      </c>
      <c r="C1566" s="906">
        <v>93681</v>
      </c>
    </row>
    <row r="1567" spans="2:3" x14ac:dyDescent="0.25">
      <c r="B1567" s="893" t="s">
        <v>1875</v>
      </c>
      <c r="C1567" s="906">
        <v>97877</v>
      </c>
    </row>
    <row r="1568" spans="2:3" x14ac:dyDescent="0.25">
      <c r="B1568" s="893" t="s">
        <v>1874</v>
      </c>
      <c r="C1568" s="906">
        <v>97871</v>
      </c>
    </row>
    <row r="1569" spans="2:3" x14ac:dyDescent="0.25">
      <c r="B1569" s="893" t="s">
        <v>2018</v>
      </c>
      <c r="C1569" s="906">
        <v>99502</v>
      </c>
    </row>
    <row r="1570" spans="2:3" x14ac:dyDescent="0.25">
      <c r="B1570" s="893" t="s">
        <v>1879</v>
      </c>
      <c r="C1570" s="906">
        <v>97917</v>
      </c>
    </row>
    <row r="1571" spans="2:3" x14ac:dyDescent="0.25">
      <c r="B1571" s="893" t="s">
        <v>1877</v>
      </c>
      <c r="C1571" s="906">
        <v>97911</v>
      </c>
    </row>
    <row r="1572" spans="2:3" x14ac:dyDescent="0.25">
      <c r="B1572" s="893" t="s">
        <v>1763</v>
      </c>
      <c r="C1572" s="906">
        <v>96611</v>
      </c>
    </row>
    <row r="1573" spans="2:3" x14ac:dyDescent="0.25">
      <c r="B1573" s="893" t="s">
        <v>1779</v>
      </c>
      <c r="C1573" s="906">
        <v>96741</v>
      </c>
    </row>
    <row r="1574" spans="2:3" x14ac:dyDescent="0.25">
      <c r="B1574" s="893" t="s">
        <v>1849</v>
      </c>
      <c r="C1574" s="906">
        <v>97701</v>
      </c>
    </row>
    <row r="1575" spans="2:3" x14ac:dyDescent="0.25">
      <c r="B1575" s="893" t="s">
        <v>1409</v>
      </c>
      <c r="C1575" s="906">
        <v>92541</v>
      </c>
    </row>
    <row r="1576" spans="2:3" x14ac:dyDescent="0.25">
      <c r="B1576" s="893" t="s">
        <v>1568</v>
      </c>
      <c r="C1576" s="906">
        <v>94209</v>
      </c>
    </row>
    <row r="1577" spans="2:3" x14ac:dyDescent="0.25">
      <c r="B1577" s="893" t="s">
        <v>1570</v>
      </c>
      <c r="C1577" s="906">
        <v>94221</v>
      </c>
    </row>
    <row r="1578" spans="2:3" x14ac:dyDescent="0.25">
      <c r="B1578" s="893" t="s">
        <v>1734</v>
      </c>
      <c r="C1578" s="906">
        <v>96341</v>
      </c>
    </row>
    <row r="1579" spans="2:3" x14ac:dyDescent="0.25">
      <c r="B1579" s="893" t="s">
        <v>1530</v>
      </c>
      <c r="C1579" s="906">
        <v>93821</v>
      </c>
    </row>
    <row r="1580" spans="2:3" x14ac:dyDescent="0.25">
      <c r="B1580" s="893" t="s">
        <v>1692</v>
      </c>
      <c r="C1580" s="906">
        <v>95853</v>
      </c>
    </row>
    <row r="1581" spans="2:3" x14ac:dyDescent="0.25">
      <c r="B1581" s="893" t="s">
        <v>1691</v>
      </c>
      <c r="C1581" s="906">
        <v>95851</v>
      </c>
    </row>
    <row r="1582" spans="2:3" x14ac:dyDescent="0.25">
      <c r="B1582" s="893" t="s">
        <v>1857</v>
      </c>
      <c r="C1582" s="906">
        <v>97801</v>
      </c>
    </row>
    <row r="1583" spans="2:3" x14ac:dyDescent="0.25">
      <c r="B1583" s="893" t="s">
        <v>1859</v>
      </c>
      <c r="C1583" s="906">
        <v>97803</v>
      </c>
    </row>
    <row r="1584" spans="2:3" x14ac:dyDescent="0.25">
      <c r="B1584" s="893" t="s">
        <v>1860</v>
      </c>
      <c r="C1584" s="906">
        <v>97805</v>
      </c>
    </row>
    <row r="1585" spans="2:3" x14ac:dyDescent="0.25">
      <c r="B1585" s="893" t="s">
        <v>1855</v>
      </c>
      <c r="C1585" s="906">
        <v>97727</v>
      </c>
    </row>
    <row r="1586" spans="2:3" x14ac:dyDescent="0.25">
      <c r="B1586" s="893" t="s">
        <v>1876</v>
      </c>
      <c r="C1586" s="906">
        <v>97901</v>
      </c>
    </row>
    <row r="1587" spans="2:3" x14ac:dyDescent="0.25">
      <c r="B1587" s="893" t="s">
        <v>1852</v>
      </c>
      <c r="C1587" s="906">
        <v>97713</v>
      </c>
    </row>
    <row r="1588" spans="2:3" x14ac:dyDescent="0.25">
      <c r="B1588" s="893" t="s">
        <v>1851</v>
      </c>
      <c r="C1588" s="906">
        <v>97711</v>
      </c>
    </row>
    <row r="1589" spans="2:3" x14ac:dyDescent="0.25">
      <c r="B1589" s="893" t="s">
        <v>1900</v>
      </c>
      <c r="C1589" s="906">
        <v>98071</v>
      </c>
    </row>
    <row r="1590" spans="2:3" x14ac:dyDescent="0.25">
      <c r="B1590" s="893" t="s">
        <v>1482</v>
      </c>
      <c r="C1590" s="906">
        <v>93333</v>
      </c>
    </row>
    <row r="1591" spans="2:3" x14ac:dyDescent="0.25">
      <c r="B1591" s="893" t="s">
        <v>1479</v>
      </c>
      <c r="C1591" s="906">
        <v>93321</v>
      </c>
    </row>
    <row r="1592" spans="2:3" x14ac:dyDescent="0.25">
      <c r="B1592" s="893" t="s">
        <v>1480</v>
      </c>
      <c r="C1592" s="906">
        <v>93323</v>
      </c>
    </row>
    <row r="1593" spans="2:3" x14ac:dyDescent="0.25">
      <c r="B1593" s="893" t="s">
        <v>1986</v>
      </c>
      <c r="C1593" s="906">
        <v>99203</v>
      </c>
    </row>
    <row r="1594" spans="2:3" x14ac:dyDescent="0.25">
      <c r="B1594" s="893" t="s">
        <v>2015</v>
      </c>
      <c r="C1594" s="906">
        <v>99421</v>
      </c>
    </row>
    <row r="1595" spans="2:3" x14ac:dyDescent="0.25">
      <c r="B1595" s="893" t="s">
        <v>1462</v>
      </c>
      <c r="C1595" s="906">
        <v>93161</v>
      </c>
    </row>
    <row r="1596" spans="2:3" x14ac:dyDescent="0.25">
      <c r="B1596" s="893" t="s">
        <v>1921</v>
      </c>
      <c r="C1596" s="906">
        <v>98237</v>
      </c>
    </row>
    <row r="1597" spans="2:3" x14ac:dyDescent="0.25">
      <c r="B1597" s="893" t="s">
        <v>1924</v>
      </c>
      <c r="C1597" s="906">
        <v>98261</v>
      </c>
    </row>
    <row r="1598" spans="2:3" x14ac:dyDescent="0.25">
      <c r="B1598" s="893" t="s">
        <v>3487</v>
      </c>
      <c r="C1598" s="906">
        <v>98002</v>
      </c>
    </row>
    <row r="1599" spans="2:3" x14ac:dyDescent="0.25">
      <c r="B1599" s="893" t="s">
        <v>1887</v>
      </c>
      <c r="C1599" s="906">
        <v>98001</v>
      </c>
    </row>
    <row r="1600" spans="2:3" x14ac:dyDescent="0.25">
      <c r="B1600" s="893" t="s">
        <v>1890</v>
      </c>
      <c r="C1600" s="906">
        <v>98004</v>
      </c>
    </row>
    <row r="1601" spans="2:3" x14ac:dyDescent="0.25">
      <c r="B1601" s="893" t="s">
        <v>1889</v>
      </c>
      <c r="C1601" s="906">
        <v>98003</v>
      </c>
    </row>
    <row r="1602" spans="2:3" x14ac:dyDescent="0.25">
      <c r="B1602" s="893" t="s">
        <v>1891</v>
      </c>
      <c r="C1602" s="906">
        <v>98008</v>
      </c>
    </row>
    <row r="1603" spans="2:3" x14ac:dyDescent="0.25">
      <c r="B1603" s="893" t="s">
        <v>1873</v>
      </c>
      <c r="C1603" s="906">
        <v>97861</v>
      </c>
    </row>
    <row r="1604" spans="2:3" x14ac:dyDescent="0.25">
      <c r="B1604" s="893" t="s">
        <v>1814</v>
      </c>
      <c r="C1604" s="906">
        <v>97311</v>
      </c>
    </row>
    <row r="1605" spans="2:3" x14ac:dyDescent="0.25">
      <c r="B1605" s="893" t="s">
        <v>1493</v>
      </c>
      <c r="C1605" s="906">
        <v>93431</v>
      </c>
    </row>
    <row r="1606" spans="2:3" x14ac:dyDescent="0.25">
      <c r="B1606" s="893" t="s">
        <v>1298</v>
      </c>
      <c r="C1606" s="906">
        <v>91214</v>
      </c>
    </row>
    <row r="1607" spans="2:3" x14ac:dyDescent="0.25">
      <c r="B1607" s="893" t="s">
        <v>1903</v>
      </c>
      <c r="C1607" s="906">
        <v>98101</v>
      </c>
    </row>
    <row r="1608" spans="2:3" x14ac:dyDescent="0.25">
      <c r="B1608" s="893" t="s">
        <v>1905</v>
      </c>
      <c r="C1608" s="906">
        <v>98103</v>
      </c>
    </row>
    <row r="1609" spans="2:3" x14ac:dyDescent="0.25">
      <c r="B1609" s="893" t="s">
        <v>1913</v>
      </c>
      <c r="C1609" s="906">
        <v>98147</v>
      </c>
    </row>
    <row r="1610" spans="2:3" x14ac:dyDescent="0.25">
      <c r="B1610" s="893" t="s">
        <v>1912</v>
      </c>
      <c r="C1610" s="906">
        <v>98141</v>
      </c>
    </row>
    <row r="1611" spans="2:3" x14ac:dyDescent="0.25">
      <c r="B1611" s="893" t="s">
        <v>1867</v>
      </c>
      <c r="C1611" s="906">
        <v>97837</v>
      </c>
    </row>
    <row r="1612" spans="2:3" x14ac:dyDescent="0.25">
      <c r="B1612" s="893" t="s">
        <v>1919</v>
      </c>
      <c r="C1612" s="906">
        <v>98221</v>
      </c>
    </row>
    <row r="1613" spans="2:3" x14ac:dyDescent="0.25">
      <c r="B1613" s="893" t="s">
        <v>1893</v>
      </c>
      <c r="C1613" s="906">
        <v>98013</v>
      </c>
    </row>
    <row r="1614" spans="2:3" x14ac:dyDescent="0.25">
      <c r="B1614" s="893" t="s">
        <v>1892</v>
      </c>
      <c r="C1614" s="906">
        <v>98011</v>
      </c>
    </row>
    <row r="1615" spans="2:3" x14ac:dyDescent="0.25">
      <c r="B1615" s="893" t="s">
        <v>1836</v>
      </c>
      <c r="C1615" s="906">
        <v>97531</v>
      </c>
    </row>
    <row r="1616" spans="2:3" x14ac:dyDescent="0.25">
      <c r="B1616" s="893" t="s">
        <v>1915</v>
      </c>
      <c r="C1616" s="906">
        <v>98201</v>
      </c>
    </row>
    <row r="1617" spans="2:3" x14ac:dyDescent="0.25">
      <c r="B1617" s="893" t="s">
        <v>1850</v>
      </c>
      <c r="C1617" s="906">
        <v>97705</v>
      </c>
    </row>
    <row r="1618" spans="2:3" x14ac:dyDescent="0.25">
      <c r="B1618" s="893" t="s">
        <v>3488</v>
      </c>
      <c r="C1618" s="906">
        <v>96318</v>
      </c>
    </row>
    <row r="1619" spans="2:3" x14ac:dyDescent="0.25">
      <c r="B1619" s="893" t="s">
        <v>1659</v>
      </c>
      <c r="C1619" s="906">
        <v>95317</v>
      </c>
    </row>
    <row r="1620" spans="2:3" x14ac:dyDescent="0.25">
      <c r="B1620" s="893" t="s">
        <v>1658</v>
      </c>
      <c r="C1620" s="906">
        <v>95311</v>
      </c>
    </row>
    <row r="1621" spans="2:3" x14ac:dyDescent="0.25">
      <c r="B1621" s="893" t="s">
        <v>1319</v>
      </c>
      <c r="C1621" s="906">
        <v>91421</v>
      </c>
    </row>
    <row r="1622" spans="2:3" x14ac:dyDescent="0.25">
      <c r="B1622" s="893" t="s">
        <v>1926</v>
      </c>
      <c r="C1622" s="906">
        <v>98301</v>
      </c>
    </row>
    <row r="1623" spans="2:3" x14ac:dyDescent="0.25">
      <c r="B1623" s="893" t="s">
        <v>1927</v>
      </c>
      <c r="C1623" s="906">
        <v>98304</v>
      </c>
    </row>
    <row r="1624" spans="2:3" x14ac:dyDescent="0.25">
      <c r="B1624" s="893" t="s">
        <v>1572</v>
      </c>
      <c r="C1624" s="906">
        <v>94241</v>
      </c>
    </row>
    <row r="1625" spans="2:3" x14ac:dyDescent="0.25">
      <c r="B1625" s="893" t="s">
        <v>1771</v>
      </c>
      <c r="C1625" s="906">
        <v>96681</v>
      </c>
    </row>
    <row r="1626" spans="2:3" x14ac:dyDescent="0.25">
      <c r="B1626" s="893" t="s">
        <v>1644</v>
      </c>
      <c r="C1626" s="906">
        <v>95123</v>
      </c>
    </row>
    <row r="1627" spans="2:3" x14ac:dyDescent="0.25">
      <c r="B1627" s="893" t="s">
        <v>1642</v>
      </c>
      <c r="C1627" s="906">
        <v>95121</v>
      </c>
    </row>
    <row r="1628" spans="2:3" x14ac:dyDescent="0.25">
      <c r="B1628" s="893" t="s">
        <v>2024</v>
      </c>
      <c r="C1628" s="906">
        <v>99531</v>
      </c>
    </row>
    <row r="1629" spans="2:3" x14ac:dyDescent="0.25">
      <c r="B1629" s="893" t="s">
        <v>1770</v>
      </c>
      <c r="C1629" s="906">
        <v>96671</v>
      </c>
    </row>
    <row r="1630" spans="2:3" x14ac:dyDescent="0.25">
      <c r="B1630" s="893" t="s">
        <v>1265</v>
      </c>
      <c r="C1630" s="906">
        <v>91057</v>
      </c>
    </row>
    <row r="1631" spans="2:3" x14ac:dyDescent="0.25">
      <c r="B1631" s="893" t="s">
        <v>1270</v>
      </c>
      <c r="C1631" s="906">
        <v>91081</v>
      </c>
    </row>
    <row r="1632" spans="2:3" x14ac:dyDescent="0.25">
      <c r="B1632" s="893" t="s">
        <v>1748</v>
      </c>
      <c r="C1632" s="906">
        <v>96461</v>
      </c>
    </row>
    <row r="1633" spans="2:3" x14ac:dyDescent="0.25">
      <c r="B1633" s="893" t="s">
        <v>1380</v>
      </c>
      <c r="C1633" s="906">
        <v>92317</v>
      </c>
    </row>
    <row r="1634" spans="2:3" x14ac:dyDescent="0.25">
      <c r="B1634" s="893" t="s">
        <v>1379</v>
      </c>
      <c r="C1634" s="906">
        <v>92311</v>
      </c>
    </row>
    <row r="1635" spans="2:3" x14ac:dyDescent="0.25">
      <c r="B1635" s="893" t="s">
        <v>1818</v>
      </c>
      <c r="C1635" s="906">
        <v>97405</v>
      </c>
    </row>
    <row r="1636" spans="2:3" x14ac:dyDescent="0.25">
      <c r="B1636" s="893" t="s">
        <v>1364</v>
      </c>
      <c r="C1636" s="906">
        <v>91917</v>
      </c>
    </row>
    <row r="1637" spans="2:3" x14ac:dyDescent="0.25">
      <c r="B1637" s="893" t="s">
        <v>1363</v>
      </c>
      <c r="C1637" s="906">
        <v>91911</v>
      </c>
    </row>
    <row r="1638" spans="2:3" x14ac:dyDescent="0.25">
      <c r="B1638" s="893" t="s">
        <v>1831</v>
      </c>
      <c r="C1638" s="906">
        <v>97481</v>
      </c>
    </row>
    <row r="1639" spans="2:3" x14ac:dyDescent="0.25">
      <c r="B1639" s="893" t="s">
        <v>1284</v>
      </c>
      <c r="C1639" s="906">
        <v>91138</v>
      </c>
    </row>
    <row r="1640" spans="2:3" x14ac:dyDescent="0.25">
      <c r="B1640" s="893" t="s">
        <v>1641</v>
      </c>
      <c r="C1640" s="906">
        <v>95113</v>
      </c>
    </row>
    <row r="1641" spans="2:3" x14ac:dyDescent="0.25">
      <c r="B1641" s="893" t="s">
        <v>1640</v>
      </c>
      <c r="C1641" s="906">
        <v>95111</v>
      </c>
    </row>
    <row r="1642" spans="2:3" x14ac:dyDescent="0.25">
      <c r="B1642" s="893" t="s">
        <v>1631</v>
      </c>
      <c r="C1642" s="906">
        <v>95009</v>
      </c>
    </row>
    <row r="1643" spans="2:3" x14ac:dyDescent="0.25">
      <c r="B1643" s="893" t="s">
        <v>1546</v>
      </c>
      <c r="C1643" s="906">
        <v>94021</v>
      </c>
    </row>
    <row r="1644" spans="2:3" x14ac:dyDescent="0.25">
      <c r="B1644" s="893" t="s">
        <v>1535</v>
      </c>
      <c r="C1644" s="906">
        <v>93910</v>
      </c>
    </row>
    <row r="1645" spans="2:3" x14ac:dyDescent="0.25">
      <c r="B1645" s="893" t="s">
        <v>3489</v>
      </c>
      <c r="C1645" s="906">
        <v>91013</v>
      </c>
    </row>
    <row r="1646" spans="2:3" x14ac:dyDescent="0.25">
      <c r="B1646" s="893" t="s">
        <v>1238</v>
      </c>
      <c r="C1646" s="906">
        <v>90918</v>
      </c>
    </row>
    <row r="1647" spans="2:3" x14ac:dyDescent="0.25">
      <c r="B1647" s="893" t="s">
        <v>1730</v>
      </c>
      <c r="C1647" s="906">
        <v>96311</v>
      </c>
    </row>
    <row r="1648" spans="2:3" x14ac:dyDescent="0.25">
      <c r="B1648" s="893" t="s">
        <v>1436</v>
      </c>
      <c r="C1648" s="906">
        <v>92841</v>
      </c>
    </row>
    <row r="1649" spans="2:3" x14ac:dyDescent="0.25">
      <c r="B1649" s="893" t="s">
        <v>2029</v>
      </c>
      <c r="C1649" s="906">
        <v>99609</v>
      </c>
    </row>
    <row r="1650" spans="2:3" x14ac:dyDescent="0.25">
      <c r="B1650" s="893" t="s">
        <v>1254</v>
      </c>
      <c r="C1650" s="906">
        <v>91017</v>
      </c>
    </row>
    <row r="1651" spans="2:3" x14ac:dyDescent="0.25">
      <c r="B1651" s="893" t="s">
        <v>1251</v>
      </c>
      <c r="C1651" s="906">
        <v>91011</v>
      </c>
    </row>
    <row r="1652" spans="2:3" x14ac:dyDescent="0.25">
      <c r="B1652" s="893" t="s">
        <v>1630</v>
      </c>
      <c r="C1652" s="906">
        <v>95008</v>
      </c>
    </row>
    <row r="1653" spans="2:3" x14ac:dyDescent="0.25">
      <c r="B1653" s="893" t="s">
        <v>1196</v>
      </c>
      <c r="C1653" s="906">
        <v>90307</v>
      </c>
    </row>
    <row r="1654" spans="2:3" x14ac:dyDescent="0.25">
      <c r="B1654" s="893" t="s">
        <v>1172</v>
      </c>
      <c r="C1654" s="906">
        <v>72657</v>
      </c>
    </row>
    <row r="1655" spans="2:3" x14ac:dyDescent="0.25">
      <c r="B1655" s="893" t="s">
        <v>1896</v>
      </c>
      <c r="C1655" s="906">
        <v>98031</v>
      </c>
    </row>
    <row r="1656" spans="2:3" x14ac:dyDescent="0.25">
      <c r="B1656" s="893" t="s">
        <v>1910</v>
      </c>
      <c r="C1656" s="906">
        <v>98121</v>
      </c>
    </row>
    <row r="1657" spans="2:3" x14ac:dyDescent="0.25">
      <c r="B1657" s="893" t="s">
        <v>1743</v>
      </c>
      <c r="C1657" s="906">
        <v>96411</v>
      </c>
    </row>
    <row r="1658" spans="2:3" x14ac:dyDescent="0.25">
      <c r="B1658" s="893" t="s">
        <v>1425</v>
      </c>
      <c r="C1658" s="906">
        <v>92661</v>
      </c>
    </row>
    <row r="1659" spans="2:3" x14ac:dyDescent="0.25">
      <c r="B1659" s="893" t="s">
        <v>1716</v>
      </c>
      <c r="C1659" s="906">
        <v>96111</v>
      </c>
    </row>
    <row r="1660" spans="2:3" x14ac:dyDescent="0.25">
      <c r="B1660" s="893" t="s">
        <v>1260</v>
      </c>
      <c r="C1660" s="906">
        <v>91032</v>
      </c>
    </row>
    <row r="1661" spans="2:3" x14ac:dyDescent="0.25">
      <c r="B1661" s="893" t="s">
        <v>1866</v>
      </c>
      <c r="C1661" s="906">
        <v>97831</v>
      </c>
    </row>
    <row r="1662" spans="2:3" x14ac:dyDescent="0.25">
      <c r="B1662" s="893" t="s">
        <v>1711</v>
      </c>
      <c r="C1662" s="906">
        <v>96061</v>
      </c>
    </row>
    <row r="1663" spans="2:3" x14ac:dyDescent="0.25">
      <c r="B1663" s="893" t="s">
        <v>1941</v>
      </c>
      <c r="C1663" s="906">
        <v>98481</v>
      </c>
    </row>
    <row r="1664" spans="2:3" x14ac:dyDescent="0.25">
      <c r="B1664" s="893" t="s">
        <v>1508</v>
      </c>
      <c r="C1664" s="906">
        <v>93602</v>
      </c>
    </row>
    <row r="1665" spans="2:3" x14ac:dyDescent="0.25">
      <c r="B1665" s="893" t="s">
        <v>1933</v>
      </c>
      <c r="C1665" s="906">
        <v>98401</v>
      </c>
    </row>
    <row r="1666" spans="2:3" x14ac:dyDescent="0.25">
      <c r="B1666" s="893" t="s">
        <v>2050</v>
      </c>
      <c r="C1666" s="906">
        <v>99821</v>
      </c>
    </row>
    <row r="1667" spans="2:3" x14ac:dyDescent="0.25">
      <c r="B1667" s="893" t="s">
        <v>1720</v>
      </c>
      <c r="C1667" s="906">
        <v>96211</v>
      </c>
    </row>
    <row r="1668" spans="2:3" x14ac:dyDescent="0.25">
      <c r="B1668" s="893" t="s">
        <v>1621</v>
      </c>
      <c r="C1668" s="906">
        <v>94917</v>
      </c>
    </row>
    <row r="1669" spans="2:3" x14ac:dyDescent="0.25">
      <c r="B1669" s="893" t="s">
        <v>1620</v>
      </c>
      <c r="C1669" s="906">
        <v>94911</v>
      </c>
    </row>
    <row r="1670" spans="2:3" x14ac:dyDescent="0.25">
      <c r="B1670" s="893" t="s">
        <v>1421</v>
      </c>
      <c r="C1670" s="906">
        <v>92621</v>
      </c>
    </row>
    <row r="1671" spans="2:3" x14ac:dyDescent="0.25">
      <c r="B1671" s="893" t="s">
        <v>1942</v>
      </c>
      <c r="C1671" s="906">
        <v>98501</v>
      </c>
    </row>
    <row r="1672" spans="2:3" x14ac:dyDescent="0.25">
      <c r="B1672" s="893" t="s">
        <v>1881</v>
      </c>
      <c r="C1672" s="906">
        <v>97931</v>
      </c>
    </row>
    <row r="1673" spans="2:3" x14ac:dyDescent="0.25">
      <c r="B1673" s="893" t="s">
        <v>1538</v>
      </c>
      <c r="C1673" s="906">
        <v>93914</v>
      </c>
    </row>
    <row r="1674" spans="2:3" x14ac:dyDescent="0.25">
      <c r="B1674" s="893" t="s">
        <v>1217</v>
      </c>
      <c r="C1674" s="906">
        <v>90651</v>
      </c>
    </row>
    <row r="1675" spans="2:3" x14ac:dyDescent="0.25">
      <c r="B1675" s="893" t="s">
        <v>1564</v>
      </c>
      <c r="C1675" s="906">
        <v>94172</v>
      </c>
    </row>
    <row r="1676" spans="2:3" x14ac:dyDescent="0.25">
      <c r="B1676" s="893" t="s">
        <v>1563</v>
      </c>
      <c r="C1676" s="906">
        <v>94171</v>
      </c>
    </row>
    <row r="1677" spans="2:3" x14ac:dyDescent="0.25">
      <c r="B1677" s="893" t="s">
        <v>1263</v>
      </c>
      <c r="C1677" s="906">
        <v>91047</v>
      </c>
    </row>
    <row r="1678" spans="2:3" x14ac:dyDescent="0.25">
      <c r="B1678" s="893" t="s">
        <v>1261</v>
      </c>
      <c r="C1678" s="906">
        <v>91041</v>
      </c>
    </row>
    <row r="1679" spans="2:3" x14ac:dyDescent="0.25">
      <c r="B1679" s="893" t="s">
        <v>1806</v>
      </c>
      <c r="C1679" s="906">
        <v>97131</v>
      </c>
    </row>
    <row r="1680" spans="2:3" x14ac:dyDescent="0.25">
      <c r="B1680" s="893" t="s">
        <v>1946</v>
      </c>
      <c r="C1680" s="906">
        <v>98601</v>
      </c>
    </row>
    <row r="1681" spans="2:3" x14ac:dyDescent="0.25">
      <c r="B1681" s="893" t="s">
        <v>1956</v>
      </c>
      <c r="C1681" s="906">
        <v>98701</v>
      </c>
    </row>
    <row r="1682" spans="2:3" x14ac:dyDescent="0.25">
      <c r="B1682" s="893" t="s">
        <v>1776</v>
      </c>
      <c r="C1682" s="906">
        <v>96721</v>
      </c>
    </row>
    <row r="1683" spans="2:3" x14ac:dyDescent="0.25">
      <c r="B1683" s="893" t="s">
        <v>1632</v>
      </c>
      <c r="C1683" s="906">
        <v>95011</v>
      </c>
    </row>
    <row r="1684" spans="2:3" x14ac:dyDescent="0.25">
      <c r="B1684" s="893" t="s">
        <v>1396</v>
      </c>
      <c r="C1684" s="906">
        <v>92451</v>
      </c>
    </row>
    <row r="1685" spans="2:3" x14ac:dyDescent="0.25">
      <c r="B1685" s="893" t="s">
        <v>1478</v>
      </c>
      <c r="C1685" s="906">
        <v>93317</v>
      </c>
    </row>
    <row r="1686" spans="2:3" x14ac:dyDescent="0.25">
      <c r="B1686" s="893" t="s">
        <v>1477</v>
      </c>
      <c r="C1686" s="906">
        <v>93311</v>
      </c>
    </row>
    <row r="1687" spans="2:3" x14ac:dyDescent="0.25">
      <c r="B1687" s="893" t="s">
        <v>1193</v>
      </c>
      <c r="C1687" s="906">
        <v>90211</v>
      </c>
    </row>
    <row r="1688" spans="2:3" x14ac:dyDescent="0.25">
      <c r="B1688" s="893" t="s">
        <v>1726</v>
      </c>
      <c r="C1688" s="906">
        <v>96302</v>
      </c>
    </row>
    <row r="1689" spans="2:3" x14ac:dyDescent="0.25">
      <c r="B1689" s="893" t="s">
        <v>1464</v>
      </c>
      <c r="C1689" s="906">
        <v>93181</v>
      </c>
    </row>
    <row r="1690" spans="2:3" x14ac:dyDescent="0.25">
      <c r="B1690" s="893" t="s">
        <v>1375</v>
      </c>
      <c r="C1690" s="906">
        <v>92113</v>
      </c>
    </row>
    <row r="1691" spans="2:3" x14ac:dyDescent="0.25">
      <c r="B1691" s="893" t="s">
        <v>1441</v>
      </c>
      <c r="C1691" s="906">
        <v>92913</v>
      </c>
    </row>
    <row r="1692" spans="2:3" x14ac:dyDescent="0.25">
      <c r="B1692" s="893" t="s">
        <v>1440</v>
      </c>
      <c r="C1692" s="906">
        <v>92911</v>
      </c>
    </row>
    <row r="1693" spans="2:3" x14ac:dyDescent="0.25">
      <c r="B1693" s="893" t="s">
        <v>1498</v>
      </c>
      <c r="C1693" s="906">
        <v>93471</v>
      </c>
    </row>
    <row r="1694" spans="2:3" x14ac:dyDescent="0.25">
      <c r="B1694" s="893" t="s">
        <v>1178</v>
      </c>
      <c r="C1694" s="906">
        <v>90098</v>
      </c>
    </row>
    <row r="1695" spans="2:3" x14ac:dyDescent="0.25">
      <c r="B1695" s="893" t="s">
        <v>1805</v>
      </c>
      <c r="C1695" s="906">
        <v>97121</v>
      </c>
    </row>
    <row r="1696" spans="2:3" x14ac:dyDescent="0.25">
      <c r="B1696" s="893" t="s">
        <v>1389</v>
      </c>
      <c r="C1696" s="906">
        <v>92414</v>
      </c>
    </row>
    <row r="1697" spans="2:3" x14ac:dyDescent="0.25">
      <c r="B1697" s="893" t="s">
        <v>1445</v>
      </c>
      <c r="C1697" s="906">
        <v>92941</v>
      </c>
    </row>
    <row r="1698" spans="2:3" x14ac:dyDescent="0.25">
      <c r="B1698" s="893" t="s">
        <v>1258</v>
      </c>
      <c r="C1698" s="906">
        <v>91026</v>
      </c>
    </row>
    <row r="1699" spans="2:3" x14ac:dyDescent="0.25">
      <c r="B1699" s="893" t="s">
        <v>1959</v>
      </c>
      <c r="C1699" s="906">
        <v>98801</v>
      </c>
    </row>
    <row r="1700" spans="2:3" x14ac:dyDescent="0.25">
      <c r="B1700" s="893" t="s">
        <v>1407</v>
      </c>
      <c r="C1700" s="906">
        <v>92521</v>
      </c>
    </row>
    <row r="1701" spans="2:3" x14ac:dyDescent="0.25">
      <c r="B1701" s="893" t="s">
        <v>3490</v>
      </c>
      <c r="C1701" s="906">
        <v>93417</v>
      </c>
    </row>
    <row r="1702" spans="2:3" x14ac:dyDescent="0.25">
      <c r="B1702" s="893" t="s">
        <v>1472</v>
      </c>
      <c r="C1702" s="906">
        <v>93219</v>
      </c>
    </row>
    <row r="1703" spans="2:3" x14ac:dyDescent="0.25">
      <c r="B1703" s="893" t="s">
        <v>3491</v>
      </c>
      <c r="C1703" s="906">
        <v>92513</v>
      </c>
    </row>
    <row r="1704" spans="2:3" x14ac:dyDescent="0.25">
      <c r="B1704" s="893" t="s">
        <v>1848</v>
      </c>
      <c r="C1704" s="906">
        <v>97661</v>
      </c>
    </row>
    <row r="1705" spans="2:3" x14ac:dyDescent="0.25">
      <c r="B1705" s="893" t="s">
        <v>1625</v>
      </c>
      <c r="C1705" s="906">
        <v>94931</v>
      </c>
    </row>
    <row r="1706" spans="2:3" x14ac:dyDescent="0.25">
      <c r="B1706" s="893" t="s">
        <v>1721</v>
      </c>
      <c r="C1706" s="906">
        <v>96221</v>
      </c>
    </row>
    <row r="1707" spans="2:3" x14ac:dyDescent="0.25">
      <c r="B1707" s="893" t="s">
        <v>1834</v>
      </c>
      <c r="C1707" s="906">
        <v>97511</v>
      </c>
    </row>
    <row r="1708" spans="2:3" x14ac:dyDescent="0.25">
      <c r="B1708" s="893" t="s">
        <v>1628</v>
      </c>
      <c r="C1708" s="906">
        <v>95002</v>
      </c>
    </row>
    <row r="1709" spans="2:3" x14ac:dyDescent="0.25">
      <c r="B1709" s="893" t="s">
        <v>1923</v>
      </c>
      <c r="C1709" s="906">
        <v>98251</v>
      </c>
    </row>
    <row r="1710" spans="2:3" x14ac:dyDescent="0.25">
      <c r="B1710" s="893" t="s">
        <v>1962</v>
      </c>
      <c r="C1710" s="906">
        <v>98901</v>
      </c>
    </row>
    <row r="1711" spans="2:3" x14ac:dyDescent="0.25">
      <c r="B1711" s="893" t="s">
        <v>1963</v>
      </c>
      <c r="C1711" s="906">
        <v>98904</v>
      </c>
    </row>
    <row r="1712" spans="2:3" x14ac:dyDescent="0.25">
      <c r="B1712" s="893" t="s">
        <v>1965</v>
      </c>
      <c r="C1712" s="906">
        <v>99001</v>
      </c>
    </row>
    <row r="1713" spans="2:3" x14ac:dyDescent="0.25">
      <c r="B1713" s="893" t="s">
        <v>1975</v>
      </c>
      <c r="C1713" s="906">
        <v>99061</v>
      </c>
    </row>
    <row r="1714" spans="2:3" x14ac:dyDescent="0.25">
      <c r="B1714" s="893" t="s">
        <v>3492</v>
      </c>
      <c r="C1714" s="906">
        <v>93309</v>
      </c>
    </row>
    <row r="1715" spans="2:3" x14ac:dyDescent="0.25">
      <c r="B1715" s="893" t="s">
        <v>1297</v>
      </c>
      <c r="C1715" s="906">
        <v>91213</v>
      </c>
    </row>
    <row r="1716" spans="2:3" x14ac:dyDescent="0.25">
      <c r="B1716" s="893" t="s">
        <v>1296</v>
      </c>
      <c r="C1716" s="906">
        <v>91211</v>
      </c>
    </row>
    <row r="1717" spans="2:3" x14ac:dyDescent="0.25">
      <c r="B1717" s="893" t="s">
        <v>1979</v>
      </c>
      <c r="C1717" s="906">
        <v>99101</v>
      </c>
    </row>
    <row r="1718" spans="2:3" x14ac:dyDescent="0.25">
      <c r="B1718" s="893" t="s">
        <v>1980</v>
      </c>
      <c r="C1718" s="906">
        <v>99104</v>
      </c>
    </row>
    <row r="1719" spans="2:3" x14ac:dyDescent="0.25">
      <c r="B1719" s="893" t="s">
        <v>1410</v>
      </c>
      <c r="C1719" s="906">
        <v>92551</v>
      </c>
    </row>
    <row r="1720" spans="2:3" x14ac:dyDescent="0.25">
      <c r="B1720" s="893" t="s">
        <v>1732</v>
      </c>
      <c r="C1720" s="906">
        <v>96321</v>
      </c>
    </row>
    <row r="1721" spans="2:3" x14ac:dyDescent="0.25">
      <c r="B1721" s="893" t="s">
        <v>1423</v>
      </c>
      <c r="C1721" s="906">
        <v>92641</v>
      </c>
    </row>
    <row r="1722" spans="2:3" x14ac:dyDescent="0.25">
      <c r="B1722" s="893" t="s">
        <v>1200</v>
      </c>
      <c r="C1722" s="906">
        <v>90417</v>
      </c>
    </row>
    <row r="1723" spans="2:3" x14ac:dyDescent="0.25">
      <c r="B1723" s="893" t="s">
        <v>1199</v>
      </c>
      <c r="C1723" s="906">
        <v>90413</v>
      </c>
    </row>
    <row r="1724" spans="2:3" x14ac:dyDescent="0.25">
      <c r="B1724" s="893" t="s">
        <v>1198</v>
      </c>
      <c r="C1724" s="906">
        <v>90411</v>
      </c>
    </row>
    <row r="1725" spans="2:3" x14ac:dyDescent="0.25">
      <c r="B1725" s="893" t="s">
        <v>1931</v>
      </c>
      <c r="C1725" s="906">
        <v>98321</v>
      </c>
    </row>
    <row r="1726" spans="2:3" x14ac:dyDescent="0.25">
      <c r="B1726" s="893" t="s">
        <v>1984</v>
      </c>
      <c r="C1726" s="906">
        <v>99201</v>
      </c>
    </row>
    <row r="1727" spans="2:3" x14ac:dyDescent="0.25">
      <c r="B1727" s="893" t="s">
        <v>1987</v>
      </c>
      <c r="C1727" s="906">
        <v>99204</v>
      </c>
    </row>
    <row r="1728" spans="2:3" x14ac:dyDescent="0.25">
      <c r="B1728" s="893" t="s">
        <v>1989</v>
      </c>
      <c r="C1728" s="906">
        <v>99207</v>
      </c>
    </row>
    <row r="1729" spans="2:3" x14ac:dyDescent="0.25">
      <c r="B1729" s="893" t="s">
        <v>2004</v>
      </c>
      <c r="C1729" s="906">
        <v>99281</v>
      </c>
    </row>
    <row r="1730" spans="2:3" x14ac:dyDescent="0.25">
      <c r="B1730" s="893" t="s">
        <v>1497</v>
      </c>
      <c r="C1730" s="906">
        <v>93461</v>
      </c>
    </row>
    <row r="1731" spans="2:3" x14ac:dyDescent="0.25">
      <c r="B1731" s="893" t="s">
        <v>1461</v>
      </c>
      <c r="C1731" s="906">
        <v>93157</v>
      </c>
    </row>
    <row r="1732" spans="2:3" x14ac:dyDescent="0.25">
      <c r="B1732" s="893" t="s">
        <v>1460</v>
      </c>
      <c r="C1732" s="906">
        <v>93151</v>
      </c>
    </row>
    <row r="1733" spans="2:3" x14ac:dyDescent="0.25">
      <c r="B1733" s="893" t="s">
        <v>1944</v>
      </c>
      <c r="C1733" s="906">
        <v>98517</v>
      </c>
    </row>
    <row r="1734" spans="2:3" x14ac:dyDescent="0.25">
      <c r="B1734" s="893" t="s">
        <v>1943</v>
      </c>
      <c r="C1734" s="906">
        <v>98511</v>
      </c>
    </row>
    <row r="1735" spans="2:3" x14ac:dyDescent="0.25">
      <c r="B1735" s="893" t="s">
        <v>2037</v>
      </c>
      <c r="C1735" s="906">
        <v>99661</v>
      </c>
    </row>
    <row r="1736" spans="2:3" x14ac:dyDescent="0.25">
      <c r="B1736" s="893" t="s">
        <v>1547</v>
      </c>
      <c r="C1736" s="906">
        <v>94031</v>
      </c>
    </row>
    <row r="1737" spans="2:3" x14ac:dyDescent="0.25">
      <c r="B1737" s="893" t="s">
        <v>2006</v>
      </c>
      <c r="C1737" s="906">
        <v>99301</v>
      </c>
    </row>
    <row r="1738" spans="2:3" x14ac:dyDescent="0.25">
      <c r="B1738" s="893" t="s">
        <v>2007</v>
      </c>
      <c r="C1738" s="906">
        <v>99304</v>
      </c>
    </row>
    <row r="1739" spans="2:3" x14ac:dyDescent="0.25">
      <c r="B1739" s="893" t="s">
        <v>2009</v>
      </c>
      <c r="C1739" s="906">
        <v>99321</v>
      </c>
    </row>
    <row r="1740" spans="2:3" x14ac:dyDescent="0.25">
      <c r="B1740" s="893" t="s">
        <v>1458</v>
      </c>
      <c r="C1740" s="906">
        <v>93137</v>
      </c>
    </row>
    <row r="1741" spans="2:3" x14ac:dyDescent="0.25">
      <c r="B1741" s="893" t="s">
        <v>1457</v>
      </c>
      <c r="C1741" s="906">
        <v>93131</v>
      </c>
    </row>
    <row r="1742" spans="2:3" x14ac:dyDescent="0.25">
      <c r="B1742" s="893" t="s">
        <v>2010</v>
      </c>
      <c r="C1742" s="906">
        <v>99401</v>
      </c>
    </row>
    <row r="1743" spans="2:3" x14ac:dyDescent="0.25">
      <c r="B1743" s="893" t="s">
        <v>2011</v>
      </c>
      <c r="C1743" s="906">
        <v>99404</v>
      </c>
    </row>
    <row r="1744" spans="2:3" x14ac:dyDescent="0.25">
      <c r="B1744" s="893" t="s">
        <v>1225</v>
      </c>
      <c r="C1744" s="906">
        <v>90741</v>
      </c>
    </row>
    <row r="1745" spans="2:3" x14ac:dyDescent="0.25">
      <c r="B1745" s="893" t="s">
        <v>1222</v>
      </c>
      <c r="C1745" s="906">
        <v>90711</v>
      </c>
    </row>
    <row r="1746" spans="2:3" x14ac:dyDescent="0.25">
      <c r="B1746" s="893" t="s">
        <v>2017</v>
      </c>
      <c r="C1746" s="906">
        <v>99501</v>
      </c>
    </row>
    <row r="1747" spans="2:3" x14ac:dyDescent="0.25">
      <c r="B1747" s="893" t="s">
        <v>2020</v>
      </c>
      <c r="C1747" s="906">
        <v>99509</v>
      </c>
    </row>
    <row r="1748" spans="2:3" x14ac:dyDescent="0.25">
      <c r="B1748" s="893" t="s">
        <v>1307</v>
      </c>
      <c r="C1748" s="913">
        <v>91302</v>
      </c>
    </row>
    <row r="1749" spans="2:3" x14ac:dyDescent="0.25">
      <c r="B1749" s="893" t="s">
        <v>1973</v>
      </c>
      <c r="C1749" s="906">
        <v>99047</v>
      </c>
    </row>
    <row r="1750" spans="2:3" x14ac:dyDescent="0.25">
      <c r="B1750" s="893" t="s">
        <v>1972</v>
      </c>
      <c r="C1750" s="906">
        <v>99041</v>
      </c>
    </row>
    <row r="1751" spans="2:3" x14ac:dyDescent="0.25">
      <c r="B1751" s="893" t="s">
        <v>2025</v>
      </c>
      <c r="C1751" s="906">
        <v>99601</v>
      </c>
    </row>
    <row r="1752" spans="2:3" x14ac:dyDescent="0.25">
      <c r="B1752" s="893" t="s">
        <v>2028</v>
      </c>
      <c r="C1752" s="906">
        <v>99604</v>
      </c>
    </row>
    <row r="1753" spans="2:3" x14ac:dyDescent="0.25">
      <c r="B1753" s="893" t="s">
        <v>1588</v>
      </c>
      <c r="C1753" s="906">
        <v>94412</v>
      </c>
    </row>
    <row r="1754" spans="2:3" x14ac:dyDescent="0.25">
      <c r="B1754" s="893" t="s">
        <v>1587</v>
      </c>
      <c r="C1754" s="906">
        <v>94411</v>
      </c>
    </row>
    <row r="1755" spans="2:3" x14ac:dyDescent="0.25">
      <c r="B1755" s="893" t="s">
        <v>1286</v>
      </c>
      <c r="C1755" s="906">
        <v>91147</v>
      </c>
    </row>
    <row r="1756" spans="2:3" x14ac:dyDescent="0.25">
      <c r="B1756" s="893" t="s">
        <v>1285</v>
      </c>
      <c r="C1756" s="906">
        <v>91141</v>
      </c>
    </row>
    <row r="1757" spans="2:3" x14ac:dyDescent="0.25">
      <c r="B1757" s="893" t="s">
        <v>1976</v>
      </c>
      <c r="C1757" s="906">
        <v>99071</v>
      </c>
    </row>
    <row r="1758" spans="2:3" x14ac:dyDescent="0.25">
      <c r="B1758" s="893" t="s">
        <v>1571</v>
      </c>
      <c r="C1758" s="906">
        <v>94231</v>
      </c>
    </row>
    <row r="1759" spans="2:3" x14ac:dyDescent="0.25">
      <c r="B1759" s="893" t="s">
        <v>1998</v>
      </c>
      <c r="C1759" s="906">
        <v>99231</v>
      </c>
    </row>
    <row r="1760" spans="2:3" x14ac:dyDescent="0.25">
      <c r="B1760" s="893" t="s">
        <v>1978</v>
      </c>
      <c r="C1760" s="906">
        <v>99091</v>
      </c>
    </row>
    <row r="1761" spans="2:3" x14ac:dyDescent="0.25">
      <c r="B1761" s="893" t="s">
        <v>1280</v>
      </c>
      <c r="C1761" s="906">
        <v>91120</v>
      </c>
    </row>
    <row r="1762" spans="2:3" x14ac:dyDescent="0.25">
      <c r="B1762" s="893" t="s">
        <v>3493</v>
      </c>
      <c r="C1762" s="906">
        <v>92444</v>
      </c>
    </row>
    <row r="1763" spans="2:3" x14ac:dyDescent="0.25">
      <c r="B1763" s="893" t="s">
        <v>1207</v>
      </c>
      <c r="C1763" s="906">
        <v>90507</v>
      </c>
    </row>
    <row r="1764" spans="2:3" x14ac:dyDescent="0.25">
      <c r="B1764" s="893" t="s">
        <v>1209</v>
      </c>
      <c r="C1764" s="906">
        <v>90521</v>
      </c>
    </row>
    <row r="1765" spans="2:3" x14ac:dyDescent="0.25">
      <c r="B1765" s="893" t="s">
        <v>1414</v>
      </c>
      <c r="C1765" s="906">
        <v>92602</v>
      </c>
    </row>
    <row r="1766" spans="2:3" x14ac:dyDescent="0.25">
      <c r="B1766" s="893" t="s">
        <v>1330</v>
      </c>
      <c r="C1766" s="906">
        <v>91608</v>
      </c>
    </row>
    <row r="1767" spans="2:3" x14ac:dyDescent="0.25">
      <c r="B1767" s="893" t="s">
        <v>1279</v>
      </c>
      <c r="C1767" s="906">
        <v>91119</v>
      </c>
    </row>
    <row r="1768" spans="2:3" x14ac:dyDescent="0.25">
      <c r="B1768" s="893" t="s">
        <v>1275</v>
      </c>
      <c r="C1768" s="906">
        <v>91107</v>
      </c>
    </row>
    <row r="1769" spans="2:3" x14ac:dyDescent="0.25">
      <c r="B1769" s="893" t="s">
        <v>1350</v>
      </c>
      <c r="C1769" s="906">
        <v>91818</v>
      </c>
    </row>
    <row r="1770" spans="2:3" x14ac:dyDescent="0.25">
      <c r="B1770" s="893" t="s">
        <v>1351</v>
      </c>
      <c r="C1770" s="906">
        <v>91819</v>
      </c>
    </row>
    <row r="1771" spans="2:3" x14ac:dyDescent="0.25">
      <c r="B1771" s="893" t="s">
        <v>1737</v>
      </c>
      <c r="C1771" s="906">
        <v>96371</v>
      </c>
    </row>
    <row r="1772" spans="2:3" x14ac:dyDescent="0.25">
      <c r="B1772" s="893" t="s">
        <v>1746</v>
      </c>
      <c r="C1772" s="906">
        <v>96441</v>
      </c>
    </row>
    <row r="1773" spans="2:3" x14ac:dyDescent="0.25">
      <c r="B1773" s="893" t="s">
        <v>1239</v>
      </c>
      <c r="C1773" s="906">
        <v>90921</v>
      </c>
    </row>
    <row r="1774" spans="2:3" x14ac:dyDescent="0.25">
      <c r="B1774" s="893" t="s">
        <v>1390</v>
      </c>
      <c r="C1774" s="906">
        <v>92417</v>
      </c>
    </row>
    <row r="1775" spans="2:3" x14ac:dyDescent="0.25">
      <c r="B1775" s="893" t="s">
        <v>1387</v>
      </c>
      <c r="C1775" s="906">
        <v>92403</v>
      </c>
    </row>
    <row r="1776" spans="2:3" x14ac:dyDescent="0.25">
      <c r="B1776" s="893" t="s">
        <v>1388</v>
      </c>
      <c r="C1776" s="906">
        <v>92411</v>
      </c>
    </row>
    <row r="1777" spans="2:3" x14ac:dyDescent="0.25">
      <c r="B1777" s="893" t="s">
        <v>2038</v>
      </c>
      <c r="C1777" s="906">
        <v>99701</v>
      </c>
    </row>
    <row r="1778" spans="2:3" x14ac:dyDescent="0.25">
      <c r="B1778" s="893" t="s">
        <v>2043</v>
      </c>
      <c r="C1778" s="906">
        <v>99727</v>
      </c>
    </row>
    <row r="1779" spans="2:3" x14ac:dyDescent="0.25">
      <c r="B1779" s="893" t="s">
        <v>2042</v>
      </c>
      <c r="C1779" s="906">
        <v>99721</v>
      </c>
    </row>
    <row r="1780" spans="2:3" x14ac:dyDescent="0.25">
      <c r="B1780" s="893" t="s">
        <v>1687</v>
      </c>
      <c r="C1780" s="906">
        <v>95813</v>
      </c>
    </row>
    <row r="1781" spans="2:3" x14ac:dyDescent="0.25">
      <c r="B1781" s="893" t="s">
        <v>1686</v>
      </c>
      <c r="C1781" s="906">
        <v>95811</v>
      </c>
    </row>
    <row r="1782" spans="2:3" x14ac:dyDescent="0.25">
      <c r="B1782" s="893" t="s">
        <v>1751</v>
      </c>
      <c r="C1782" s="906">
        <v>96503</v>
      </c>
    </row>
    <row r="1783" spans="2:3" x14ac:dyDescent="0.25">
      <c r="B1783" s="893" t="s">
        <v>1759</v>
      </c>
      <c r="C1783" s="906">
        <v>96531</v>
      </c>
    </row>
    <row r="1784" spans="2:3" x14ac:dyDescent="0.25">
      <c r="B1784" s="893" t="s">
        <v>2044</v>
      </c>
      <c r="C1784" s="906">
        <v>99801</v>
      </c>
    </row>
    <row r="1785" spans="2:3" x14ac:dyDescent="0.25">
      <c r="B1785" s="893" t="s">
        <v>2046</v>
      </c>
      <c r="C1785" s="906">
        <v>99804</v>
      </c>
    </row>
    <row r="1786" spans="2:3" x14ac:dyDescent="0.25">
      <c r="B1786" s="893" t="s">
        <v>2045</v>
      </c>
      <c r="C1786" s="906">
        <v>99802</v>
      </c>
    </row>
    <row r="1787" spans="2:3" x14ac:dyDescent="0.25">
      <c r="B1787" s="893" t="s">
        <v>2048</v>
      </c>
      <c r="C1787" s="906">
        <v>99812</v>
      </c>
    </row>
    <row r="1788" spans="2:3" x14ac:dyDescent="0.25">
      <c r="B1788" s="893" t="s">
        <v>2047</v>
      </c>
      <c r="C1788" s="906">
        <v>99811</v>
      </c>
    </row>
    <row r="1789" spans="2:3" x14ac:dyDescent="0.25">
      <c r="B1789" s="893" t="s">
        <v>1651</v>
      </c>
      <c r="C1789" s="906">
        <v>95191</v>
      </c>
    </row>
    <row r="1790" spans="2:3" x14ac:dyDescent="0.25">
      <c r="B1790" s="893" t="s">
        <v>1232</v>
      </c>
      <c r="C1790" s="906">
        <v>90812</v>
      </c>
    </row>
    <row r="1791" spans="2:3" x14ac:dyDescent="0.25">
      <c r="B1791" s="893" t="s">
        <v>1811</v>
      </c>
      <c r="C1791" s="906">
        <v>97221</v>
      </c>
    </row>
    <row r="1792" spans="2:3" x14ac:dyDescent="0.25">
      <c r="B1792" s="893" t="s">
        <v>1971</v>
      </c>
      <c r="C1792" s="906">
        <v>99031</v>
      </c>
    </row>
    <row r="1793" spans="2:3" x14ac:dyDescent="0.25">
      <c r="B1793" s="893" t="s">
        <v>1490</v>
      </c>
      <c r="C1793" s="906">
        <v>93413</v>
      </c>
    </row>
    <row r="1794" spans="2:3" x14ac:dyDescent="0.25">
      <c r="B1794" s="893" t="s">
        <v>1489</v>
      </c>
      <c r="C1794" s="906">
        <v>93411</v>
      </c>
    </row>
    <row r="1795" spans="2:3" x14ac:dyDescent="0.25">
      <c r="B1795" s="893" t="s">
        <v>1827</v>
      </c>
      <c r="C1795" s="906">
        <v>97451</v>
      </c>
    </row>
    <row r="1796" spans="2:3" x14ac:dyDescent="0.25">
      <c r="B1796" s="893" t="s">
        <v>1610</v>
      </c>
      <c r="C1796" s="906">
        <v>94631</v>
      </c>
    </row>
    <row r="1797" spans="2:3" x14ac:dyDescent="0.25">
      <c r="B1797" s="893" t="s">
        <v>1274</v>
      </c>
      <c r="C1797" s="906">
        <v>91104</v>
      </c>
    </row>
    <row r="1798" spans="2:3" x14ac:dyDescent="0.25">
      <c r="B1798" s="893" t="s">
        <v>1277</v>
      </c>
      <c r="C1798" s="906">
        <v>91109</v>
      </c>
    </row>
    <row r="1799" spans="2:3" x14ac:dyDescent="0.25">
      <c r="B1799" s="893" t="s">
        <v>1290</v>
      </c>
      <c r="C1799" s="906">
        <v>91171</v>
      </c>
    </row>
    <row r="1800" spans="2:3" x14ac:dyDescent="0.25">
      <c r="B1800" s="893" t="s">
        <v>1765</v>
      </c>
      <c r="C1800" s="906">
        <v>96621</v>
      </c>
    </row>
    <row r="1801" spans="2:3" x14ac:dyDescent="0.25">
      <c r="B1801" s="893" t="s">
        <v>1755</v>
      </c>
      <c r="C1801" s="906">
        <v>96511</v>
      </c>
    </row>
    <row r="1802" spans="2:3" x14ac:dyDescent="0.25">
      <c r="B1802" s="893" t="s">
        <v>2054</v>
      </c>
      <c r="C1802" s="906">
        <v>99901</v>
      </c>
    </row>
    <row r="1803" spans="2:3" x14ac:dyDescent="0.25">
      <c r="B1803" s="893" t="s">
        <v>3494</v>
      </c>
      <c r="C1803" s="906">
        <v>98604</v>
      </c>
    </row>
    <row r="1804" spans="2:3" x14ac:dyDescent="0.25">
      <c r="B1804" s="893" t="s">
        <v>1948</v>
      </c>
      <c r="C1804" s="906">
        <v>98608</v>
      </c>
    </row>
    <row r="1805" spans="2:3" x14ac:dyDescent="0.25">
      <c r="B1805" s="893" t="s">
        <v>2055</v>
      </c>
      <c r="C1805" s="906">
        <v>99911</v>
      </c>
    </row>
    <row r="1806" spans="2:3" x14ac:dyDescent="0.25">
      <c r="B1806" s="893" t="s">
        <v>1173</v>
      </c>
      <c r="C1806" s="906">
        <v>90001</v>
      </c>
    </row>
    <row r="1807" spans="2:3" x14ac:dyDescent="0.25">
      <c r="B1807" s="893" t="s">
        <v>1174</v>
      </c>
      <c r="C1807" s="906">
        <v>90002</v>
      </c>
    </row>
    <row r="1808" spans="2:3" x14ac:dyDescent="0.25">
      <c r="B1808" s="893" t="s">
        <v>1344</v>
      </c>
      <c r="C1808" s="906">
        <v>91719</v>
      </c>
    </row>
    <row r="1809" spans="2:3" x14ac:dyDescent="0.25">
      <c r="B1809" s="893" t="s">
        <v>1506</v>
      </c>
      <c r="C1809" s="906">
        <v>93541</v>
      </c>
    </row>
    <row r="1810" spans="2:3" x14ac:dyDescent="0.25">
      <c r="B1810" s="893" t="s">
        <v>1999</v>
      </c>
      <c r="C1810" s="906">
        <v>99241</v>
      </c>
    </row>
    <row r="1811" spans="2:3" x14ac:dyDescent="0.25">
      <c r="B1811" s="950" t="s">
        <v>2552</v>
      </c>
      <c r="C1811" s="952" t="s">
        <v>2553</v>
      </c>
    </row>
    <row r="1812" spans="2:3" x14ac:dyDescent="0.25">
      <c r="C1812" s="951"/>
    </row>
  </sheetData>
  <pageMargins left="0" right="0" top="0.75" bottom="0.75" header="0.3" footer="0.3"/>
  <pageSetup scale="40" fitToHeight="0" orientation="landscape"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066ED-76E5-461C-B294-C4BF16AB1267}">
  <dimension ref="A1:XFD2344"/>
  <sheetViews>
    <sheetView topLeftCell="A875" workbookViewId="0">
      <selection activeCell="C904" sqref="C904"/>
    </sheetView>
  </sheetViews>
  <sheetFormatPr defaultRowHeight="15" x14ac:dyDescent="0.25"/>
  <cols>
    <col min="1" max="1" width="12.140625" style="1071" bestFit="1" customWidth="1"/>
    <col min="2" max="2" width="55.5703125" style="1071" bestFit="1" customWidth="1"/>
    <col min="3" max="3" width="27" style="1095" bestFit="1" customWidth="1"/>
    <col min="4" max="4" width="9.140625" style="1071"/>
    <col min="5" max="5" width="9.140625" style="1091"/>
    <col min="6" max="6" width="21" style="1091" customWidth="1"/>
    <col min="7" max="16384" width="9.140625" style="1091"/>
  </cols>
  <sheetData>
    <row r="1" spans="1:4" x14ac:dyDescent="0.25">
      <c r="A1" s="1089" t="s">
        <v>3872</v>
      </c>
      <c r="B1" s="1089" t="s">
        <v>3873</v>
      </c>
      <c r="C1" s="1090" t="s">
        <v>4874</v>
      </c>
      <c r="D1" s="1071" t="s">
        <v>3875</v>
      </c>
    </row>
    <row r="2" spans="1:4" x14ac:dyDescent="0.25">
      <c r="A2" s="1092" t="s">
        <v>487</v>
      </c>
      <c r="B2" s="1093" t="s">
        <v>2121</v>
      </c>
      <c r="C2" s="1094">
        <v>0</v>
      </c>
    </row>
    <row r="3" spans="1:4" x14ac:dyDescent="0.25">
      <c r="A3" s="1071">
        <v>70505</v>
      </c>
      <c r="B3" s="1071" t="s">
        <v>2575</v>
      </c>
      <c r="C3" s="1095">
        <v>199598.36</v>
      </c>
    </row>
    <row r="4" spans="1:4" x14ac:dyDescent="0.25">
      <c r="A4" s="1071">
        <v>72265</v>
      </c>
      <c r="B4" s="1071" t="s">
        <v>2577</v>
      </c>
      <c r="C4" s="1095">
        <v>73112.03</v>
      </c>
    </row>
    <row r="5" spans="1:4" x14ac:dyDescent="0.25">
      <c r="A5" s="1071">
        <v>72593</v>
      </c>
      <c r="B5" s="1071" t="s">
        <v>3578</v>
      </c>
      <c r="C5" s="1095">
        <v>2108.59</v>
      </c>
    </row>
    <row r="6" spans="1:4" x14ac:dyDescent="0.25">
      <c r="A6" s="1071">
        <v>72657</v>
      </c>
      <c r="B6" s="1071" t="s">
        <v>2578</v>
      </c>
      <c r="C6" s="1095">
        <v>17248.68</v>
      </c>
    </row>
    <row r="7" spans="1:4" x14ac:dyDescent="0.25">
      <c r="A7" s="1071">
        <v>90001</v>
      </c>
      <c r="B7" s="1071" t="s">
        <v>2579</v>
      </c>
      <c r="C7" s="1095">
        <v>422349.86</v>
      </c>
    </row>
    <row r="8" spans="1:4" x14ac:dyDescent="0.25">
      <c r="A8" s="1071">
        <v>90002</v>
      </c>
      <c r="B8" s="1071" t="s">
        <v>2580</v>
      </c>
      <c r="C8" s="1095">
        <v>6507.44</v>
      </c>
    </row>
    <row r="9" spans="1:4" x14ac:dyDescent="0.25">
      <c r="A9" s="1071">
        <v>90011</v>
      </c>
      <c r="B9" s="1071" t="s">
        <v>2581</v>
      </c>
      <c r="C9" s="1095">
        <v>89505.7</v>
      </c>
    </row>
    <row r="10" spans="1:4" x14ac:dyDescent="0.25">
      <c r="A10" s="1071">
        <v>90092</v>
      </c>
      <c r="B10" s="1071" t="s">
        <v>2582</v>
      </c>
      <c r="C10" s="1095">
        <v>190866.47</v>
      </c>
    </row>
    <row r="11" spans="1:4" x14ac:dyDescent="0.25">
      <c r="A11" s="1071">
        <v>90096</v>
      </c>
      <c r="B11" s="1071" t="s">
        <v>2583</v>
      </c>
      <c r="C11" s="1095">
        <v>544431.76</v>
      </c>
    </row>
    <row r="12" spans="1:4" x14ac:dyDescent="0.25">
      <c r="A12" s="1071">
        <v>90098</v>
      </c>
      <c r="B12" s="1071" t="s">
        <v>2584</v>
      </c>
      <c r="C12" s="1095">
        <v>156011.64000000001</v>
      </c>
    </row>
    <row r="13" spans="1:4" x14ac:dyDescent="0.25">
      <c r="A13" s="1071">
        <v>90099</v>
      </c>
      <c r="B13" s="1071" t="s">
        <v>2585</v>
      </c>
      <c r="C13" s="1095">
        <v>309544.28000000003</v>
      </c>
    </row>
    <row r="14" spans="1:4" x14ac:dyDescent="0.25">
      <c r="A14" s="1071">
        <v>90101</v>
      </c>
      <c r="B14" s="1071" t="s">
        <v>2586</v>
      </c>
      <c r="C14" s="1095">
        <v>3133228.39</v>
      </c>
    </row>
    <row r="15" spans="1:4" x14ac:dyDescent="0.25">
      <c r="A15" s="1071">
        <v>90111</v>
      </c>
      <c r="B15" s="1071" t="s">
        <v>2587</v>
      </c>
      <c r="C15" s="1095">
        <v>2405333.15</v>
      </c>
    </row>
    <row r="16" spans="1:4" x14ac:dyDescent="0.25">
      <c r="A16" s="1071">
        <v>90114</v>
      </c>
      <c r="B16" s="1071" t="s">
        <v>2588</v>
      </c>
      <c r="C16" s="1095">
        <v>1198986.54</v>
      </c>
    </row>
    <row r="17" spans="1:3" x14ac:dyDescent="0.25">
      <c r="A17" s="1071">
        <v>90117</v>
      </c>
      <c r="B17" s="1071" t="s">
        <v>2589</v>
      </c>
      <c r="C17" s="1095">
        <v>88275.02</v>
      </c>
    </row>
    <row r="18" spans="1:3" x14ac:dyDescent="0.25">
      <c r="A18" s="1071">
        <v>90121</v>
      </c>
      <c r="B18" s="1071" t="s">
        <v>2590</v>
      </c>
      <c r="C18" s="1095">
        <v>462400.57</v>
      </c>
    </row>
    <row r="19" spans="1:3" x14ac:dyDescent="0.25">
      <c r="A19" s="1071">
        <v>90131</v>
      </c>
      <c r="B19" s="1071" t="s">
        <v>2591</v>
      </c>
      <c r="C19" s="1095">
        <v>219611.64</v>
      </c>
    </row>
    <row r="20" spans="1:3" x14ac:dyDescent="0.25">
      <c r="A20" s="1071">
        <v>90141</v>
      </c>
      <c r="B20" s="1071" t="s">
        <v>2592</v>
      </c>
      <c r="C20" s="1095">
        <v>68863.360000000001</v>
      </c>
    </row>
    <row r="21" spans="1:3" x14ac:dyDescent="0.25">
      <c r="A21" s="1071">
        <v>90151</v>
      </c>
      <c r="B21" s="1071" t="s">
        <v>2593</v>
      </c>
      <c r="C21" s="1095">
        <v>3287.64</v>
      </c>
    </row>
    <row r="22" spans="1:3" x14ac:dyDescent="0.25">
      <c r="A22" s="1071">
        <v>90161</v>
      </c>
      <c r="B22" s="1071" t="s">
        <v>2594</v>
      </c>
      <c r="C22" s="1095">
        <v>16093.92</v>
      </c>
    </row>
    <row r="23" spans="1:3" x14ac:dyDescent="0.25">
      <c r="A23" s="1071">
        <v>90201</v>
      </c>
      <c r="B23" s="1071" t="s">
        <v>2595</v>
      </c>
      <c r="C23" s="1095">
        <v>578316.75</v>
      </c>
    </row>
    <row r="24" spans="1:3" x14ac:dyDescent="0.25">
      <c r="A24" s="1071">
        <v>90203</v>
      </c>
      <c r="B24" s="1071" t="s">
        <v>2596</v>
      </c>
      <c r="C24" s="1095">
        <v>101603.37</v>
      </c>
    </row>
    <row r="25" spans="1:3" x14ac:dyDescent="0.25">
      <c r="A25" s="1071">
        <v>90205</v>
      </c>
      <c r="B25" s="1071" t="s">
        <v>2597</v>
      </c>
      <c r="C25" s="1095">
        <v>16633.099999999999</v>
      </c>
    </row>
    <row r="26" spans="1:3" x14ac:dyDescent="0.25">
      <c r="A26" s="1071">
        <v>90206</v>
      </c>
      <c r="B26" s="1071" t="s">
        <v>2598</v>
      </c>
      <c r="C26" s="1095">
        <v>199183.31</v>
      </c>
    </row>
    <row r="27" spans="1:3" x14ac:dyDescent="0.25">
      <c r="A27" s="1071">
        <v>90211</v>
      </c>
      <c r="B27" s="1071" t="s">
        <v>2599</v>
      </c>
      <c r="C27" s="1095">
        <v>79199.97</v>
      </c>
    </row>
    <row r="28" spans="1:3" x14ac:dyDescent="0.25">
      <c r="A28" s="1071">
        <v>90301</v>
      </c>
      <c r="B28" s="1071" t="s">
        <v>2600</v>
      </c>
      <c r="C28" s="1095">
        <v>305923.24</v>
      </c>
    </row>
    <row r="29" spans="1:3" x14ac:dyDescent="0.25">
      <c r="A29" s="1071">
        <v>90305</v>
      </c>
      <c r="B29" s="1071" t="s">
        <v>2601</v>
      </c>
      <c r="C29" s="1095">
        <v>86244.7</v>
      </c>
    </row>
    <row r="30" spans="1:3" x14ac:dyDescent="0.25">
      <c r="A30" s="1071">
        <v>90307</v>
      </c>
      <c r="B30" s="1071" t="s">
        <v>2602</v>
      </c>
      <c r="C30" s="1095">
        <v>4263.08</v>
      </c>
    </row>
    <row r="31" spans="1:3" x14ac:dyDescent="0.25">
      <c r="A31" s="1071">
        <v>90401</v>
      </c>
      <c r="B31" s="1071" t="s">
        <v>2603</v>
      </c>
      <c r="C31" s="1095">
        <v>665185.52</v>
      </c>
    </row>
    <row r="32" spans="1:3" x14ac:dyDescent="0.25">
      <c r="A32" s="1071">
        <v>90411</v>
      </c>
      <c r="B32" s="1071" t="s">
        <v>2604</v>
      </c>
      <c r="C32" s="1095">
        <v>159556.95000000001</v>
      </c>
    </row>
    <row r="33" spans="1:3" x14ac:dyDescent="0.25">
      <c r="A33" s="1071">
        <v>90413</v>
      </c>
      <c r="B33" s="1071" t="s">
        <v>2605</v>
      </c>
      <c r="C33" s="1095">
        <v>19071.849999999999</v>
      </c>
    </row>
    <row r="34" spans="1:3" x14ac:dyDescent="0.25">
      <c r="A34" s="1071">
        <v>90417</v>
      </c>
      <c r="B34" s="1071" t="s">
        <v>2606</v>
      </c>
      <c r="C34" s="1095">
        <v>8909.31</v>
      </c>
    </row>
    <row r="35" spans="1:3" x14ac:dyDescent="0.25">
      <c r="A35" s="1071">
        <v>90421</v>
      </c>
      <c r="B35" s="1071" t="s">
        <v>2607</v>
      </c>
      <c r="C35" s="1095">
        <v>8994.9</v>
      </c>
    </row>
    <row r="36" spans="1:3" x14ac:dyDescent="0.25">
      <c r="A36" s="1071">
        <v>90431</v>
      </c>
      <c r="B36" s="1071" t="s">
        <v>2608</v>
      </c>
      <c r="C36" s="1095">
        <v>23132.46</v>
      </c>
    </row>
    <row r="37" spans="1:3" x14ac:dyDescent="0.25">
      <c r="A37" s="1071">
        <v>90441</v>
      </c>
      <c r="B37" s="1071" t="s">
        <v>2609</v>
      </c>
      <c r="C37" s="1095">
        <v>5251.99</v>
      </c>
    </row>
    <row r="38" spans="1:3" x14ac:dyDescent="0.25">
      <c r="A38" s="1071">
        <v>90451</v>
      </c>
      <c r="B38" s="1071" t="s">
        <v>2610</v>
      </c>
      <c r="C38" s="1095">
        <v>9876.26</v>
      </c>
    </row>
    <row r="39" spans="1:3" x14ac:dyDescent="0.25">
      <c r="A39" s="1071">
        <v>90461</v>
      </c>
      <c r="B39" s="1071" t="s">
        <v>2611</v>
      </c>
      <c r="C39" s="1095">
        <v>4462.04</v>
      </c>
    </row>
    <row r="40" spans="1:3" x14ac:dyDescent="0.25">
      <c r="A40" s="1071">
        <v>90501</v>
      </c>
      <c r="B40" s="1071" t="s">
        <v>2612</v>
      </c>
      <c r="C40" s="1095">
        <v>706559.67</v>
      </c>
    </row>
    <row r="41" spans="1:3" x14ac:dyDescent="0.25">
      <c r="A41" s="1071">
        <v>90507</v>
      </c>
      <c r="B41" s="1071" t="s">
        <v>1207</v>
      </c>
      <c r="C41" s="1095">
        <v>10999.19</v>
      </c>
    </row>
    <row r="42" spans="1:3" x14ac:dyDescent="0.25">
      <c r="A42" s="1071">
        <v>90511</v>
      </c>
      <c r="B42" s="1071" t="s">
        <v>2613</v>
      </c>
      <c r="C42" s="1095">
        <v>54677.3</v>
      </c>
    </row>
    <row r="43" spans="1:3" x14ac:dyDescent="0.25">
      <c r="A43" s="1071">
        <v>90521</v>
      </c>
      <c r="B43" s="1071" t="s">
        <v>2614</v>
      </c>
      <c r="C43" s="1095">
        <v>56165.440000000002</v>
      </c>
    </row>
    <row r="44" spans="1:3" x14ac:dyDescent="0.25">
      <c r="A44" s="1071">
        <v>90601</v>
      </c>
      <c r="B44" s="1071" t="s">
        <v>2615</v>
      </c>
      <c r="C44" s="1095">
        <v>569631.02</v>
      </c>
    </row>
    <row r="45" spans="1:3" x14ac:dyDescent="0.25">
      <c r="A45" s="1071">
        <v>90602</v>
      </c>
      <c r="B45" s="1071" t="s">
        <v>2122</v>
      </c>
      <c r="C45" s="1095">
        <v>43992.959999999999</v>
      </c>
    </row>
    <row r="46" spans="1:3" x14ac:dyDescent="0.25">
      <c r="A46" s="1071">
        <v>90605</v>
      </c>
      <c r="B46" s="1071" t="s">
        <v>2616</v>
      </c>
      <c r="C46" s="1095">
        <v>27630.29</v>
      </c>
    </row>
    <row r="47" spans="1:3" x14ac:dyDescent="0.25">
      <c r="A47" s="1071">
        <v>90611</v>
      </c>
      <c r="B47" s="1071" t="s">
        <v>2617</v>
      </c>
      <c r="C47" s="1095">
        <v>65699.09</v>
      </c>
    </row>
    <row r="48" spans="1:3" x14ac:dyDescent="0.25">
      <c r="A48" s="1071">
        <v>90617</v>
      </c>
      <c r="B48" s="1071" t="s">
        <v>2618</v>
      </c>
      <c r="C48" s="1095">
        <v>14672.75</v>
      </c>
    </row>
    <row r="49" spans="1:3" x14ac:dyDescent="0.25">
      <c r="A49" s="1071">
        <v>90621</v>
      </c>
      <c r="B49" s="1071" t="s">
        <v>2619</v>
      </c>
      <c r="C49" s="1095">
        <v>27186.65</v>
      </c>
    </row>
    <row r="50" spans="1:3" x14ac:dyDescent="0.25">
      <c r="A50" s="1071">
        <v>90631</v>
      </c>
      <c r="B50" s="1071" t="s">
        <v>2620</v>
      </c>
      <c r="C50" s="1095">
        <v>183176.35</v>
      </c>
    </row>
    <row r="51" spans="1:3" x14ac:dyDescent="0.25">
      <c r="A51" s="1071">
        <v>90641</v>
      </c>
      <c r="B51" s="1071" t="s">
        <v>2621</v>
      </c>
      <c r="C51" s="1095">
        <v>7183.64</v>
      </c>
    </row>
    <row r="52" spans="1:3" x14ac:dyDescent="0.25">
      <c r="A52" s="1071">
        <v>90651</v>
      </c>
      <c r="B52" s="1071" t="s">
        <v>4875</v>
      </c>
      <c r="C52" s="1095">
        <v>102653.54</v>
      </c>
    </row>
    <row r="53" spans="1:3" x14ac:dyDescent="0.25">
      <c r="A53" s="1071">
        <v>90701</v>
      </c>
      <c r="B53" s="1071" t="s">
        <v>3579</v>
      </c>
      <c r="C53" s="1095">
        <v>1197981.55</v>
      </c>
    </row>
    <row r="54" spans="1:3" x14ac:dyDescent="0.25">
      <c r="A54" s="1071">
        <v>90704</v>
      </c>
      <c r="B54" s="1071" t="s">
        <v>2624</v>
      </c>
      <c r="C54" s="1095">
        <v>27041.13</v>
      </c>
    </row>
    <row r="55" spans="1:3" x14ac:dyDescent="0.25">
      <c r="A55" s="1071">
        <v>90705</v>
      </c>
      <c r="B55" s="1071" t="s">
        <v>2625</v>
      </c>
      <c r="C55" s="1095">
        <v>23511.61</v>
      </c>
    </row>
    <row r="56" spans="1:3" x14ac:dyDescent="0.25">
      <c r="A56" s="1071">
        <v>90709</v>
      </c>
      <c r="B56" s="1071" t="s">
        <v>2626</v>
      </c>
      <c r="C56" s="1095">
        <v>93850.66</v>
      </c>
    </row>
    <row r="57" spans="1:3" x14ac:dyDescent="0.25">
      <c r="A57" s="1071">
        <v>90711</v>
      </c>
      <c r="B57" s="1071" t="s">
        <v>2627</v>
      </c>
      <c r="C57" s="1095">
        <v>779300.72</v>
      </c>
    </row>
    <row r="58" spans="1:3" x14ac:dyDescent="0.25">
      <c r="A58" s="1071">
        <v>90721</v>
      </c>
      <c r="B58" s="1071" t="s">
        <v>2628</v>
      </c>
      <c r="C58" s="1095">
        <v>14420.6</v>
      </c>
    </row>
    <row r="59" spans="1:3" x14ac:dyDescent="0.25">
      <c r="A59" s="1071">
        <v>90731</v>
      </c>
      <c r="B59" s="1071" t="s">
        <v>2629</v>
      </c>
      <c r="C59" s="1095">
        <v>79076.149999999994</v>
      </c>
    </row>
    <row r="60" spans="1:3" x14ac:dyDescent="0.25">
      <c r="A60" s="1071">
        <v>90741</v>
      </c>
      <c r="B60" s="1071" t="s">
        <v>2630</v>
      </c>
      <c r="C60" s="1095">
        <v>7000.11</v>
      </c>
    </row>
    <row r="61" spans="1:3" x14ac:dyDescent="0.25">
      <c r="A61" s="1071">
        <v>90751</v>
      </c>
      <c r="B61" s="1071" t="s">
        <v>2631</v>
      </c>
      <c r="C61" s="1095">
        <v>32337.1</v>
      </c>
    </row>
    <row r="62" spans="1:3" x14ac:dyDescent="0.25">
      <c r="A62" s="1071">
        <v>90801</v>
      </c>
      <c r="B62" s="1071" t="s">
        <v>2632</v>
      </c>
      <c r="C62" s="1095">
        <v>563452.01</v>
      </c>
    </row>
    <row r="63" spans="1:3" x14ac:dyDescent="0.25">
      <c r="A63" s="1071">
        <v>90804</v>
      </c>
      <c r="B63" s="1071" t="s">
        <v>2633</v>
      </c>
      <c r="C63" s="1095">
        <v>2846.16</v>
      </c>
    </row>
    <row r="64" spans="1:3" x14ac:dyDescent="0.25">
      <c r="A64" s="1071">
        <v>90805</v>
      </c>
      <c r="B64" s="1071" t="s">
        <v>2634</v>
      </c>
      <c r="C64" s="1095">
        <v>40885.440000000002</v>
      </c>
    </row>
    <row r="65" spans="1:3" x14ac:dyDescent="0.25">
      <c r="A65" s="1071">
        <v>90808</v>
      </c>
      <c r="B65" s="1071" t="s">
        <v>2635</v>
      </c>
      <c r="C65" s="1095">
        <v>59800.12</v>
      </c>
    </row>
    <row r="66" spans="1:3" x14ac:dyDescent="0.25">
      <c r="A66" s="1071">
        <v>90811</v>
      </c>
      <c r="B66" s="1071" t="s">
        <v>2636</v>
      </c>
      <c r="C66" s="1095">
        <v>11840</v>
      </c>
    </row>
    <row r="67" spans="1:3" x14ac:dyDescent="0.25">
      <c r="A67" s="1071">
        <v>90812</v>
      </c>
      <c r="B67" s="1071" t="s">
        <v>2637</v>
      </c>
      <c r="C67" s="1095">
        <v>108049.17</v>
      </c>
    </row>
    <row r="68" spans="1:3" x14ac:dyDescent="0.25">
      <c r="A68" s="1071">
        <v>90813</v>
      </c>
      <c r="B68" s="1071" t="s">
        <v>2638</v>
      </c>
      <c r="C68" s="1095">
        <v>2202.62</v>
      </c>
    </row>
    <row r="69" spans="1:3" x14ac:dyDescent="0.25">
      <c r="A69" s="1071">
        <v>90861</v>
      </c>
      <c r="B69" s="1071" t="s">
        <v>2639</v>
      </c>
      <c r="C69" s="1095">
        <v>6397.63</v>
      </c>
    </row>
    <row r="70" spans="1:3" x14ac:dyDescent="0.25">
      <c r="A70" s="1071">
        <v>90901</v>
      </c>
      <c r="B70" s="1071" t="s">
        <v>2640</v>
      </c>
      <c r="C70" s="1095">
        <v>1076135.98</v>
      </c>
    </row>
    <row r="71" spans="1:3" x14ac:dyDescent="0.25">
      <c r="A71" s="1071">
        <v>90911</v>
      </c>
      <c r="B71" s="1071" t="s">
        <v>2641</v>
      </c>
      <c r="C71" s="1095">
        <v>172044.33</v>
      </c>
    </row>
    <row r="72" spans="1:3" x14ac:dyDescent="0.25">
      <c r="A72" s="1071">
        <v>90917</v>
      </c>
      <c r="B72" s="1071" t="s">
        <v>2642</v>
      </c>
      <c r="C72" s="1095">
        <v>6378.08</v>
      </c>
    </row>
    <row r="73" spans="1:3" x14ac:dyDescent="0.25">
      <c r="A73" s="1071">
        <v>90918</v>
      </c>
      <c r="B73" s="1071" t="s">
        <v>2643</v>
      </c>
      <c r="C73" s="1095">
        <v>5036.16</v>
      </c>
    </row>
    <row r="74" spans="1:3" x14ac:dyDescent="0.25">
      <c r="A74" s="1071">
        <v>90921</v>
      </c>
      <c r="B74" s="1071" t="s">
        <v>2644</v>
      </c>
      <c r="C74" s="1095">
        <v>62914.78</v>
      </c>
    </row>
    <row r="75" spans="1:3" x14ac:dyDescent="0.25">
      <c r="A75" s="1071">
        <v>90931</v>
      </c>
      <c r="B75" s="1071" t="s">
        <v>2645</v>
      </c>
      <c r="C75" s="1095">
        <v>16352.75</v>
      </c>
    </row>
    <row r="76" spans="1:3" x14ac:dyDescent="0.25">
      <c r="A76" s="1071">
        <v>90941</v>
      </c>
      <c r="B76" s="1071" t="s">
        <v>2646</v>
      </c>
      <c r="C76" s="1095">
        <v>39056.300000000003</v>
      </c>
    </row>
    <row r="77" spans="1:3" x14ac:dyDescent="0.25">
      <c r="A77" s="1071">
        <v>91001</v>
      </c>
      <c r="B77" s="1071" t="s">
        <v>2647</v>
      </c>
      <c r="C77" s="1095">
        <v>3090374.08</v>
      </c>
    </row>
    <row r="78" spans="1:3" x14ac:dyDescent="0.25">
      <c r="A78" s="1071">
        <v>91002</v>
      </c>
      <c r="B78" s="1071" t="s">
        <v>2648</v>
      </c>
      <c r="C78" s="1095">
        <v>407170.49</v>
      </c>
    </row>
    <row r="79" spans="1:3" x14ac:dyDescent="0.25">
      <c r="A79" s="1071">
        <v>91003</v>
      </c>
      <c r="B79" s="1071" t="s">
        <v>2649</v>
      </c>
      <c r="C79" s="1095">
        <v>270617.24</v>
      </c>
    </row>
    <row r="80" spans="1:3" x14ac:dyDescent="0.25">
      <c r="A80" s="1071">
        <v>91004</v>
      </c>
      <c r="B80" s="1071" t="s">
        <v>2650</v>
      </c>
      <c r="C80" s="1095">
        <v>17386.82</v>
      </c>
    </row>
    <row r="81" spans="1:3" x14ac:dyDescent="0.25">
      <c r="A81" s="1071">
        <v>91006</v>
      </c>
      <c r="B81" s="1071" t="s">
        <v>2651</v>
      </c>
      <c r="C81" s="1095">
        <v>473853.03</v>
      </c>
    </row>
    <row r="82" spans="1:3" x14ac:dyDescent="0.25">
      <c r="A82" s="1071">
        <v>91007</v>
      </c>
      <c r="B82" s="1071" t="s">
        <v>2652</v>
      </c>
      <c r="C82" s="1095">
        <v>5144.54</v>
      </c>
    </row>
    <row r="83" spans="1:3" x14ac:dyDescent="0.25">
      <c r="A83" s="1071">
        <v>91008</v>
      </c>
      <c r="B83" s="1071" t="s">
        <v>2653</v>
      </c>
      <c r="C83" s="1095">
        <v>75095.399999999994</v>
      </c>
    </row>
    <row r="84" spans="1:3" x14ac:dyDescent="0.25">
      <c r="A84" s="1071">
        <v>91009</v>
      </c>
      <c r="B84" s="1071" t="s">
        <v>2654</v>
      </c>
      <c r="C84" s="1095">
        <v>11581.2</v>
      </c>
    </row>
    <row r="85" spans="1:3" x14ac:dyDescent="0.25">
      <c r="A85" s="1071">
        <v>91010</v>
      </c>
      <c r="B85" s="1071" t="s">
        <v>2655</v>
      </c>
      <c r="C85" s="1095">
        <v>30525.27</v>
      </c>
    </row>
    <row r="86" spans="1:3" x14ac:dyDescent="0.25">
      <c r="A86" s="1071">
        <v>91011</v>
      </c>
      <c r="B86" s="1071" t="s">
        <v>2656</v>
      </c>
      <c r="C86" s="1095">
        <v>170093.99</v>
      </c>
    </row>
    <row r="87" spans="1:3" x14ac:dyDescent="0.25">
      <c r="A87" s="1071">
        <v>91012</v>
      </c>
      <c r="B87" s="1071" t="s">
        <v>2657</v>
      </c>
      <c r="C87" s="1095">
        <v>7628.71</v>
      </c>
    </row>
    <row r="88" spans="1:3" x14ac:dyDescent="0.25">
      <c r="A88" s="1071">
        <v>91013</v>
      </c>
      <c r="B88" s="1071" t="s">
        <v>2658</v>
      </c>
      <c r="C88" s="1095">
        <v>33972.910000000003</v>
      </c>
    </row>
    <row r="89" spans="1:3" x14ac:dyDescent="0.25">
      <c r="A89" s="1071">
        <v>91014</v>
      </c>
      <c r="B89" s="1071" t="s">
        <v>2659</v>
      </c>
      <c r="C89" s="1095">
        <v>98530.09</v>
      </c>
    </row>
    <row r="90" spans="1:3" x14ac:dyDescent="0.25">
      <c r="A90" s="1071">
        <v>91015</v>
      </c>
      <c r="B90" s="1071" t="s">
        <v>3876</v>
      </c>
      <c r="C90" s="1095">
        <v>17475.47</v>
      </c>
    </row>
    <row r="91" spans="1:3" x14ac:dyDescent="0.25">
      <c r="A91" s="1071">
        <v>91017</v>
      </c>
      <c r="B91" s="1071" t="s">
        <v>2660</v>
      </c>
      <c r="C91" s="1095">
        <v>13122.92</v>
      </c>
    </row>
    <row r="92" spans="1:3" x14ac:dyDescent="0.25">
      <c r="A92" s="1071">
        <v>91020</v>
      </c>
      <c r="B92" s="1071" t="s">
        <v>2661</v>
      </c>
      <c r="C92" s="1095">
        <v>13714.62</v>
      </c>
    </row>
    <row r="93" spans="1:3" x14ac:dyDescent="0.25">
      <c r="A93" s="1071">
        <v>91021</v>
      </c>
      <c r="B93" s="1071" t="s">
        <v>2662</v>
      </c>
      <c r="C93" s="1095">
        <v>437293.88</v>
      </c>
    </row>
    <row r="94" spans="1:3" x14ac:dyDescent="0.25">
      <c r="A94" s="1071">
        <v>91024</v>
      </c>
      <c r="B94" s="1071" t="s">
        <v>2663</v>
      </c>
      <c r="C94" s="1095">
        <v>47198.87</v>
      </c>
    </row>
    <row r="95" spans="1:3" x14ac:dyDescent="0.25">
      <c r="A95" s="1071">
        <v>91026</v>
      </c>
      <c r="B95" s="1071" t="s">
        <v>1258</v>
      </c>
      <c r="C95" s="1095">
        <v>47235.53</v>
      </c>
    </row>
    <row r="96" spans="1:3" x14ac:dyDescent="0.25">
      <c r="A96" s="1071">
        <v>91027</v>
      </c>
      <c r="B96" s="1071" t="s">
        <v>2664</v>
      </c>
      <c r="C96" s="1095">
        <v>14495.89</v>
      </c>
    </row>
    <row r="97" spans="1:3" x14ac:dyDescent="0.25">
      <c r="A97" s="1071">
        <v>91032</v>
      </c>
      <c r="B97" s="1071" t="s">
        <v>2665</v>
      </c>
      <c r="C97" s="1095">
        <v>19389.87</v>
      </c>
    </row>
    <row r="98" spans="1:3" x14ac:dyDescent="0.25">
      <c r="A98" s="1071">
        <v>91041</v>
      </c>
      <c r="B98" s="1071" t="s">
        <v>2666</v>
      </c>
      <c r="C98" s="1095">
        <v>178639.54</v>
      </c>
    </row>
    <row r="99" spans="1:3" x14ac:dyDescent="0.25">
      <c r="A99" s="1071">
        <v>91042</v>
      </c>
      <c r="B99" s="1071" t="s">
        <v>2667</v>
      </c>
      <c r="C99" s="1095">
        <v>115345.57</v>
      </c>
    </row>
    <row r="100" spans="1:3" x14ac:dyDescent="0.25">
      <c r="A100" s="1071">
        <v>91047</v>
      </c>
      <c r="B100" s="1071" t="s">
        <v>2668</v>
      </c>
      <c r="C100" s="1095">
        <v>18028.490000000002</v>
      </c>
    </row>
    <row r="101" spans="1:3" x14ac:dyDescent="0.25">
      <c r="A101" s="1071">
        <v>91051</v>
      </c>
      <c r="B101" s="1071" t="s">
        <v>2669</v>
      </c>
      <c r="C101" s="1095">
        <v>33299.519999999997</v>
      </c>
    </row>
    <row r="102" spans="1:3" x14ac:dyDescent="0.25">
      <c r="A102" s="1071">
        <v>91057</v>
      </c>
      <c r="B102" s="1071" t="s">
        <v>2670</v>
      </c>
      <c r="C102" s="1095">
        <v>10701.43</v>
      </c>
    </row>
    <row r="103" spans="1:3" x14ac:dyDescent="0.25">
      <c r="A103" s="1071">
        <v>91061</v>
      </c>
      <c r="B103" s="1071" t="s">
        <v>2671</v>
      </c>
      <c r="C103" s="1095">
        <v>185817.86</v>
      </c>
    </row>
    <row r="104" spans="1:3" x14ac:dyDescent="0.25">
      <c r="A104" s="1071">
        <v>91067</v>
      </c>
      <c r="B104" s="1071" t="s">
        <v>2672</v>
      </c>
      <c r="C104" s="1095">
        <v>9145.5</v>
      </c>
    </row>
    <row r="105" spans="1:3" x14ac:dyDescent="0.25">
      <c r="A105" s="1071">
        <v>91071</v>
      </c>
      <c r="B105" s="1071" t="s">
        <v>2673</v>
      </c>
      <c r="C105" s="1095">
        <v>107390.02</v>
      </c>
    </row>
    <row r="106" spans="1:3" x14ac:dyDescent="0.25">
      <c r="A106" s="1071">
        <v>91077</v>
      </c>
      <c r="B106" s="1071" t="s">
        <v>2674</v>
      </c>
      <c r="C106" s="1095">
        <v>2844.76</v>
      </c>
    </row>
    <row r="107" spans="1:3" x14ac:dyDescent="0.25">
      <c r="A107" s="1071">
        <v>91081</v>
      </c>
      <c r="B107" s="1071" t="s">
        <v>2675</v>
      </c>
      <c r="C107" s="1095">
        <v>190608.11</v>
      </c>
    </row>
    <row r="108" spans="1:3" x14ac:dyDescent="0.25">
      <c r="A108" s="1071">
        <v>91091</v>
      </c>
      <c r="B108" s="1071" t="s">
        <v>2676</v>
      </c>
      <c r="C108" s="1095">
        <v>242147.15</v>
      </c>
    </row>
    <row r="109" spans="1:3" x14ac:dyDescent="0.25">
      <c r="A109" s="1071">
        <v>91101</v>
      </c>
      <c r="B109" s="1071" t="s">
        <v>2677</v>
      </c>
      <c r="C109" s="1095">
        <v>6369471.71</v>
      </c>
    </row>
    <row r="110" spans="1:3" x14ac:dyDescent="0.25">
      <c r="A110" s="1071">
        <v>91102</v>
      </c>
      <c r="B110" s="1071" t="s">
        <v>2678</v>
      </c>
      <c r="C110" s="1095">
        <v>161217.85999999999</v>
      </c>
    </row>
    <row r="111" spans="1:3" x14ac:dyDescent="0.25">
      <c r="A111" s="1071">
        <v>91104</v>
      </c>
      <c r="B111" s="1071" t="s">
        <v>2679</v>
      </c>
      <c r="C111" s="1095">
        <v>7841.5</v>
      </c>
    </row>
    <row r="112" spans="1:3" x14ac:dyDescent="0.25">
      <c r="A112" s="1071">
        <v>91107</v>
      </c>
      <c r="B112" s="1071" t="s">
        <v>3580</v>
      </c>
      <c r="C112" s="1095">
        <v>35656.78</v>
      </c>
    </row>
    <row r="113" spans="1:3" x14ac:dyDescent="0.25">
      <c r="A113" s="1071">
        <v>91108</v>
      </c>
      <c r="B113" s="1071" t="s">
        <v>2681</v>
      </c>
      <c r="C113" s="1095">
        <v>653593.38</v>
      </c>
    </row>
    <row r="114" spans="1:3" x14ac:dyDescent="0.25">
      <c r="A114" s="1071">
        <v>91109</v>
      </c>
      <c r="B114" s="1071" t="s">
        <v>2682</v>
      </c>
      <c r="C114" s="1095">
        <v>52821.48</v>
      </c>
    </row>
    <row r="115" spans="1:3" x14ac:dyDescent="0.25">
      <c r="A115" s="1071">
        <v>91111</v>
      </c>
      <c r="B115" s="1071" t="s">
        <v>2683</v>
      </c>
      <c r="C115" s="1095">
        <v>113814.14</v>
      </c>
    </row>
    <row r="116" spans="1:3" x14ac:dyDescent="0.25">
      <c r="A116" s="1071">
        <v>91120</v>
      </c>
      <c r="B116" s="1071" t="s">
        <v>2684</v>
      </c>
      <c r="C116" s="1095">
        <v>51466.63</v>
      </c>
    </row>
    <row r="117" spans="1:3" x14ac:dyDescent="0.25">
      <c r="A117" s="1071">
        <v>91121</v>
      </c>
      <c r="B117" s="1071" t="s">
        <v>2685</v>
      </c>
      <c r="C117" s="1095">
        <v>4668215.2</v>
      </c>
    </row>
    <row r="118" spans="1:3" x14ac:dyDescent="0.25">
      <c r="A118" s="1071">
        <v>91127</v>
      </c>
      <c r="B118" s="1071" t="s">
        <v>2686</v>
      </c>
      <c r="C118" s="1095">
        <v>160012.03</v>
      </c>
    </row>
    <row r="119" spans="1:3" x14ac:dyDescent="0.25">
      <c r="A119" s="1071">
        <v>91128</v>
      </c>
      <c r="B119" s="1071" t="s">
        <v>2687</v>
      </c>
      <c r="C119" s="1095">
        <v>247626.75</v>
      </c>
    </row>
    <row r="120" spans="1:3" x14ac:dyDescent="0.25">
      <c r="A120" s="1071">
        <v>91138</v>
      </c>
      <c r="B120" s="1071" t="s">
        <v>2688</v>
      </c>
      <c r="C120" s="1095">
        <v>195822.78</v>
      </c>
    </row>
    <row r="121" spans="1:3" x14ac:dyDescent="0.25">
      <c r="A121" s="1071">
        <v>91141</v>
      </c>
      <c r="B121" s="1071" t="s">
        <v>2689</v>
      </c>
      <c r="C121" s="1095">
        <v>259024.41</v>
      </c>
    </row>
    <row r="122" spans="1:3" x14ac:dyDescent="0.25">
      <c r="A122" s="1071">
        <v>91147</v>
      </c>
      <c r="B122" s="1071" t="s">
        <v>2690</v>
      </c>
      <c r="C122" s="1095">
        <v>14428.59</v>
      </c>
    </row>
    <row r="123" spans="1:3" x14ac:dyDescent="0.25">
      <c r="A123" s="1071">
        <v>91151</v>
      </c>
      <c r="B123" s="1071" t="s">
        <v>2691</v>
      </c>
      <c r="C123" s="1095">
        <v>265563.67</v>
      </c>
    </row>
    <row r="124" spans="1:3" x14ac:dyDescent="0.25">
      <c r="A124" s="1071">
        <v>91154</v>
      </c>
      <c r="B124" s="1071" t="s">
        <v>2692</v>
      </c>
      <c r="C124" s="1095">
        <v>11031.76</v>
      </c>
    </row>
    <row r="125" spans="1:3" x14ac:dyDescent="0.25">
      <c r="A125" s="1071">
        <v>91161</v>
      </c>
      <c r="B125" s="1071" t="s">
        <v>2693</v>
      </c>
      <c r="C125" s="1095">
        <v>39612.639999999999</v>
      </c>
    </row>
    <row r="126" spans="1:3" x14ac:dyDescent="0.25">
      <c r="A126" s="1071">
        <v>91171</v>
      </c>
      <c r="B126" s="1071" t="s">
        <v>2694</v>
      </c>
      <c r="C126" s="1095">
        <v>108457.15</v>
      </c>
    </row>
    <row r="127" spans="1:3" x14ac:dyDescent="0.25">
      <c r="A127" s="1071">
        <v>91201</v>
      </c>
      <c r="B127" s="1071" t="s">
        <v>2695</v>
      </c>
      <c r="C127" s="1095">
        <v>1055634.83</v>
      </c>
    </row>
    <row r="128" spans="1:3" x14ac:dyDescent="0.25">
      <c r="A128" s="1071">
        <v>91202</v>
      </c>
      <c r="B128" s="1071" t="s">
        <v>2696</v>
      </c>
      <c r="C128" s="1095">
        <v>98483.79</v>
      </c>
    </row>
    <row r="129" spans="1:3" x14ac:dyDescent="0.25">
      <c r="A129" s="1071">
        <v>91203</v>
      </c>
      <c r="B129" s="1071" t="s">
        <v>2697</v>
      </c>
      <c r="C129" s="1095">
        <v>137099.06</v>
      </c>
    </row>
    <row r="130" spans="1:3" x14ac:dyDescent="0.25">
      <c r="A130" s="1071">
        <v>91206</v>
      </c>
      <c r="B130" s="1071" t="s">
        <v>2698</v>
      </c>
      <c r="C130" s="1095">
        <v>441655</v>
      </c>
    </row>
    <row r="131" spans="1:3" x14ac:dyDescent="0.25">
      <c r="A131" s="1071">
        <v>91208</v>
      </c>
      <c r="B131" s="1071" t="s">
        <v>2699</v>
      </c>
      <c r="C131" s="1095">
        <v>6701.2</v>
      </c>
    </row>
    <row r="132" spans="1:3" x14ac:dyDescent="0.25">
      <c r="A132" s="1071">
        <v>91211</v>
      </c>
      <c r="B132" s="1071" t="s">
        <v>2700</v>
      </c>
      <c r="C132" s="1095">
        <v>205268.23</v>
      </c>
    </row>
    <row r="133" spans="1:3" x14ac:dyDescent="0.25">
      <c r="A133" s="1071">
        <v>91213</v>
      </c>
      <c r="B133" s="1071" t="s">
        <v>2701</v>
      </c>
      <c r="C133" s="1095">
        <v>11721.01</v>
      </c>
    </row>
    <row r="134" spans="1:3" x14ac:dyDescent="0.25">
      <c r="A134" s="1071">
        <v>91214</v>
      </c>
      <c r="B134" s="1071" t="s">
        <v>2702</v>
      </c>
      <c r="C134" s="1095">
        <v>11806.91</v>
      </c>
    </row>
    <row r="135" spans="1:3" x14ac:dyDescent="0.25">
      <c r="A135" s="1071">
        <v>91217</v>
      </c>
      <c r="B135" s="1071" t="s">
        <v>2703</v>
      </c>
      <c r="C135" s="1095">
        <v>14531.74</v>
      </c>
    </row>
    <row r="136" spans="1:3" x14ac:dyDescent="0.25">
      <c r="A136" s="1071">
        <v>91221</v>
      </c>
      <c r="B136" s="1071" t="s">
        <v>2704</v>
      </c>
      <c r="C136" s="1095">
        <v>57643.74</v>
      </c>
    </row>
    <row r="137" spans="1:3" x14ac:dyDescent="0.25">
      <c r="A137" s="1071">
        <v>91231</v>
      </c>
      <c r="B137" s="1071" t="s">
        <v>2705</v>
      </c>
      <c r="C137" s="1095">
        <v>907952.12</v>
      </c>
    </row>
    <row r="138" spans="1:3" x14ac:dyDescent="0.25">
      <c r="A138" s="1071">
        <v>91233</v>
      </c>
      <c r="B138" s="1071" t="s">
        <v>2706</v>
      </c>
      <c r="C138" s="1095">
        <v>22381.89</v>
      </c>
    </row>
    <row r="139" spans="1:3" x14ac:dyDescent="0.25">
      <c r="A139" s="1071">
        <v>91241</v>
      </c>
      <c r="B139" s="1071" t="s">
        <v>2707</v>
      </c>
      <c r="C139" s="1095">
        <v>29020.19</v>
      </c>
    </row>
    <row r="140" spans="1:3" x14ac:dyDescent="0.25">
      <c r="A140" s="1071">
        <v>91251</v>
      </c>
      <c r="B140" s="1071" t="s">
        <v>2708</v>
      </c>
      <c r="C140" s="1095">
        <v>17207.91</v>
      </c>
    </row>
    <row r="141" spans="1:3" x14ac:dyDescent="0.25">
      <c r="A141" s="1071">
        <v>91261</v>
      </c>
      <c r="B141" s="1071" t="s">
        <v>2709</v>
      </c>
      <c r="C141" s="1095">
        <v>4921.62</v>
      </c>
    </row>
    <row r="142" spans="1:3" x14ac:dyDescent="0.25">
      <c r="A142" s="1071">
        <v>91301</v>
      </c>
      <c r="B142" s="1071" t="s">
        <v>2710</v>
      </c>
      <c r="C142" s="1095">
        <v>3634284.41</v>
      </c>
    </row>
    <row r="143" spans="1:3" x14ac:dyDescent="0.25">
      <c r="A143" s="1071">
        <v>91302</v>
      </c>
      <c r="B143" s="1071" t="s">
        <v>3581</v>
      </c>
      <c r="C143" s="1095">
        <v>256040.47</v>
      </c>
    </row>
    <row r="144" spans="1:3" x14ac:dyDescent="0.25">
      <c r="A144" s="1071">
        <v>91306</v>
      </c>
      <c r="B144" s="1071" t="s">
        <v>2712</v>
      </c>
      <c r="C144" s="1095">
        <v>913944.23</v>
      </c>
    </row>
    <row r="145" spans="1:3" x14ac:dyDescent="0.25">
      <c r="A145" s="1071">
        <v>91308</v>
      </c>
      <c r="B145" s="1071" t="s">
        <v>2713</v>
      </c>
      <c r="C145" s="1095">
        <v>81846.03</v>
      </c>
    </row>
    <row r="146" spans="1:3" x14ac:dyDescent="0.25">
      <c r="A146" s="1071">
        <v>91311</v>
      </c>
      <c r="B146" s="1071" t="s">
        <v>2714</v>
      </c>
      <c r="C146" s="1095">
        <v>3635419.91</v>
      </c>
    </row>
    <row r="147" spans="1:3" x14ac:dyDescent="0.25">
      <c r="A147" s="1071">
        <v>91317</v>
      </c>
      <c r="B147" s="1071" t="s">
        <v>2715</v>
      </c>
      <c r="C147" s="1095">
        <v>55268.480000000003</v>
      </c>
    </row>
    <row r="148" spans="1:3" x14ac:dyDescent="0.25">
      <c r="A148" s="1071">
        <v>91321</v>
      </c>
      <c r="B148" s="1071" t="s">
        <v>2716</v>
      </c>
      <c r="C148" s="1095">
        <v>46430.78</v>
      </c>
    </row>
    <row r="149" spans="1:3" x14ac:dyDescent="0.25">
      <c r="A149" s="1071">
        <v>91327</v>
      </c>
      <c r="B149" s="1071" t="s">
        <v>2717</v>
      </c>
      <c r="C149" s="1095">
        <v>4873.43</v>
      </c>
    </row>
    <row r="150" spans="1:3" x14ac:dyDescent="0.25">
      <c r="A150" s="1071">
        <v>91331</v>
      </c>
      <c r="B150" s="1071" t="s">
        <v>2718</v>
      </c>
      <c r="C150" s="1095">
        <v>1293706.05</v>
      </c>
    </row>
    <row r="151" spans="1:3" x14ac:dyDescent="0.25">
      <c r="A151" s="1071">
        <v>91341</v>
      </c>
      <c r="B151" s="1071" t="s">
        <v>2719</v>
      </c>
      <c r="C151" s="1095">
        <v>14437.97</v>
      </c>
    </row>
    <row r="152" spans="1:3" x14ac:dyDescent="0.25">
      <c r="A152" s="1071">
        <v>91401</v>
      </c>
      <c r="B152" s="1071" t="s">
        <v>2720</v>
      </c>
      <c r="C152" s="1095">
        <v>1665858.47</v>
      </c>
    </row>
    <row r="153" spans="1:3" x14ac:dyDescent="0.25">
      <c r="A153" s="1071">
        <v>91411</v>
      </c>
      <c r="B153" s="1071" t="s">
        <v>2721</v>
      </c>
      <c r="C153" s="1095">
        <v>184234.83</v>
      </c>
    </row>
    <row r="154" spans="1:3" x14ac:dyDescent="0.25">
      <c r="A154" s="1071">
        <v>91417</v>
      </c>
      <c r="B154" s="1071" t="s">
        <v>2722</v>
      </c>
      <c r="C154" s="1095">
        <v>5523.81</v>
      </c>
    </row>
    <row r="155" spans="1:3" x14ac:dyDescent="0.25">
      <c r="A155" s="1071">
        <v>91421</v>
      </c>
      <c r="B155" s="1071" t="s">
        <v>2723</v>
      </c>
      <c r="C155" s="1095">
        <v>38840.82</v>
      </c>
    </row>
    <row r="156" spans="1:3" x14ac:dyDescent="0.25">
      <c r="A156" s="1071">
        <v>91423</v>
      </c>
      <c r="B156" s="1071" t="s">
        <v>2724</v>
      </c>
      <c r="C156" s="1095">
        <v>19786.169999999998</v>
      </c>
    </row>
    <row r="157" spans="1:3" x14ac:dyDescent="0.25">
      <c r="A157" s="1071">
        <v>91431</v>
      </c>
      <c r="B157" s="1071" t="s">
        <v>2725</v>
      </c>
      <c r="C157" s="1095">
        <v>88726.05</v>
      </c>
    </row>
    <row r="158" spans="1:3" x14ac:dyDescent="0.25">
      <c r="A158" s="1071">
        <v>91441</v>
      </c>
      <c r="B158" s="1071" t="s">
        <v>2726</v>
      </c>
      <c r="C158" s="1095">
        <v>350488.21</v>
      </c>
    </row>
    <row r="159" spans="1:3" x14ac:dyDescent="0.25">
      <c r="A159" s="1071">
        <v>91451</v>
      </c>
      <c r="B159" s="1071" t="s">
        <v>2727</v>
      </c>
      <c r="C159" s="1095">
        <v>719186.38</v>
      </c>
    </row>
    <row r="160" spans="1:3" x14ac:dyDescent="0.25">
      <c r="A160" s="1071">
        <v>91457</v>
      </c>
      <c r="B160" s="1071" t="s">
        <v>2728</v>
      </c>
      <c r="C160" s="1095">
        <v>29814.83</v>
      </c>
    </row>
    <row r="161" spans="1:3" x14ac:dyDescent="0.25">
      <c r="A161" s="1071">
        <v>91461</v>
      </c>
      <c r="B161" s="1071" t="s">
        <v>2729</v>
      </c>
      <c r="C161" s="1095">
        <v>3124.44</v>
      </c>
    </row>
    <row r="162" spans="1:3" x14ac:dyDescent="0.25">
      <c r="A162" s="1071">
        <v>91501</v>
      </c>
      <c r="B162" s="1071" t="s">
        <v>2730</v>
      </c>
      <c r="C162" s="1095">
        <v>236941.69</v>
      </c>
    </row>
    <row r="163" spans="1:3" x14ac:dyDescent="0.25">
      <c r="A163" s="1071">
        <v>91504</v>
      </c>
      <c r="B163" s="1071" t="s">
        <v>2731</v>
      </c>
      <c r="C163" s="1095">
        <v>6938.79</v>
      </c>
    </row>
    <row r="164" spans="1:3" x14ac:dyDescent="0.25">
      <c r="A164" s="1071">
        <v>91601</v>
      </c>
      <c r="B164" s="1071" t="s">
        <v>2732</v>
      </c>
      <c r="C164" s="1095">
        <v>1390327.92</v>
      </c>
    </row>
    <row r="165" spans="1:3" x14ac:dyDescent="0.25">
      <c r="A165" s="1071">
        <v>91604</v>
      </c>
      <c r="B165" s="1071" t="s">
        <v>2733</v>
      </c>
      <c r="C165" s="1095">
        <v>55839.06</v>
      </c>
    </row>
    <row r="166" spans="1:3" x14ac:dyDescent="0.25">
      <c r="A166" s="1071">
        <v>91608</v>
      </c>
      <c r="B166" s="1071" t="s">
        <v>2734</v>
      </c>
      <c r="C166" s="1095">
        <v>52378.559999999998</v>
      </c>
    </row>
    <row r="167" spans="1:3" x14ac:dyDescent="0.25">
      <c r="A167" s="1071">
        <v>91611</v>
      </c>
      <c r="B167" s="1071" t="s">
        <v>2735</v>
      </c>
      <c r="C167" s="1095">
        <v>614656.17000000004</v>
      </c>
    </row>
    <row r="168" spans="1:3" x14ac:dyDescent="0.25">
      <c r="A168" s="1071">
        <v>91621</v>
      </c>
      <c r="B168" s="1071" t="s">
        <v>2736</v>
      </c>
      <c r="C168" s="1095">
        <v>124283.42</v>
      </c>
    </row>
    <row r="169" spans="1:3" x14ac:dyDescent="0.25">
      <c r="A169" s="1071">
        <v>91631</v>
      </c>
      <c r="B169" s="1071" t="s">
        <v>2737</v>
      </c>
      <c r="C169" s="1095">
        <v>239433.46</v>
      </c>
    </row>
    <row r="170" spans="1:3" x14ac:dyDescent="0.25">
      <c r="A170" s="1071">
        <v>91633</v>
      </c>
      <c r="B170" s="1071" t="s">
        <v>2738</v>
      </c>
      <c r="C170" s="1095">
        <v>10219.19</v>
      </c>
    </row>
    <row r="171" spans="1:3" x14ac:dyDescent="0.25">
      <c r="A171" s="1071">
        <v>91641</v>
      </c>
      <c r="B171" s="1071" t="s">
        <v>2739</v>
      </c>
      <c r="C171" s="1095">
        <v>115065.09</v>
      </c>
    </row>
    <row r="172" spans="1:3" x14ac:dyDescent="0.25">
      <c r="A172" s="1071">
        <v>91651</v>
      </c>
      <c r="B172" s="1071" t="s">
        <v>2740</v>
      </c>
      <c r="C172" s="1095">
        <v>238247.14</v>
      </c>
    </row>
    <row r="173" spans="1:3" x14ac:dyDescent="0.25">
      <c r="A173" s="1071">
        <v>91661</v>
      </c>
      <c r="B173" s="1071" t="s">
        <v>2741</v>
      </c>
      <c r="C173" s="1095">
        <v>66913.820000000007</v>
      </c>
    </row>
    <row r="174" spans="1:3" x14ac:dyDescent="0.25">
      <c r="A174" s="1071">
        <v>91671</v>
      </c>
      <c r="B174" s="1071" t="s">
        <v>2742</v>
      </c>
      <c r="C174" s="1095">
        <v>47244.94</v>
      </c>
    </row>
    <row r="175" spans="1:3" x14ac:dyDescent="0.25">
      <c r="A175" s="1071">
        <v>91681</v>
      </c>
      <c r="B175" s="1071" t="s">
        <v>2743</v>
      </c>
      <c r="C175" s="1095">
        <v>400102.46</v>
      </c>
    </row>
    <row r="176" spans="1:3" x14ac:dyDescent="0.25">
      <c r="A176" s="1071">
        <v>91691</v>
      </c>
      <c r="B176" s="1071" t="s">
        <v>2744</v>
      </c>
      <c r="C176" s="1095">
        <v>11105.62</v>
      </c>
    </row>
    <row r="177" spans="1:3" x14ac:dyDescent="0.25">
      <c r="A177" s="1071">
        <v>91701</v>
      </c>
      <c r="B177" s="1071" t="s">
        <v>2745</v>
      </c>
      <c r="C177" s="1095">
        <v>564446.93000000005</v>
      </c>
    </row>
    <row r="178" spans="1:3" x14ac:dyDescent="0.25">
      <c r="A178" s="1071">
        <v>91704</v>
      </c>
      <c r="B178" s="1071" t="s">
        <v>2746</v>
      </c>
      <c r="C178" s="1095">
        <v>8607.86</v>
      </c>
    </row>
    <row r="179" spans="1:3" x14ac:dyDescent="0.25">
      <c r="A179" s="1071">
        <v>91706</v>
      </c>
      <c r="B179" s="1071" t="s">
        <v>2747</v>
      </c>
      <c r="C179" s="1095">
        <v>166002.10999999999</v>
      </c>
    </row>
    <row r="180" spans="1:3" x14ac:dyDescent="0.25">
      <c r="A180" s="1071">
        <v>91719</v>
      </c>
      <c r="B180" s="1071" t="s">
        <v>2748</v>
      </c>
      <c r="C180" s="1095">
        <v>22115.77</v>
      </c>
    </row>
    <row r="181" spans="1:3" x14ac:dyDescent="0.25">
      <c r="A181" s="1071">
        <v>91801</v>
      </c>
      <c r="B181" s="1071" t="s">
        <v>2749</v>
      </c>
      <c r="C181" s="1095">
        <v>3845158.35</v>
      </c>
    </row>
    <row r="182" spans="1:3" x14ac:dyDescent="0.25">
      <c r="A182" s="1071">
        <v>91804</v>
      </c>
      <c r="B182" s="1071" t="s">
        <v>2750</v>
      </c>
      <c r="C182" s="1095">
        <v>105464.52</v>
      </c>
    </row>
    <row r="183" spans="1:3" x14ac:dyDescent="0.25">
      <c r="A183" s="1071">
        <v>91811</v>
      </c>
      <c r="B183" s="1071" t="s">
        <v>2751</v>
      </c>
      <c r="C183" s="1095">
        <v>2056779.12</v>
      </c>
    </row>
    <row r="184" spans="1:3" x14ac:dyDescent="0.25">
      <c r="A184" s="1071">
        <v>91812</v>
      </c>
      <c r="B184" s="1071" t="s">
        <v>2752</v>
      </c>
      <c r="C184" s="1095">
        <v>28370.39</v>
      </c>
    </row>
    <row r="185" spans="1:3" x14ac:dyDescent="0.25">
      <c r="A185" s="1071">
        <v>91813</v>
      </c>
      <c r="B185" s="1071" t="s">
        <v>2753</v>
      </c>
      <c r="C185" s="1095">
        <v>41692.79</v>
      </c>
    </row>
    <row r="186" spans="1:3" x14ac:dyDescent="0.25">
      <c r="A186" s="1071">
        <v>91818</v>
      </c>
      <c r="B186" s="1071" t="s">
        <v>2754</v>
      </c>
      <c r="C186" s="1095">
        <v>468317.05</v>
      </c>
    </row>
    <row r="187" spans="1:3" x14ac:dyDescent="0.25">
      <c r="A187" s="1071">
        <v>91819</v>
      </c>
      <c r="B187" s="1071" t="s">
        <v>2755</v>
      </c>
      <c r="C187" s="1095">
        <v>156994.41</v>
      </c>
    </row>
    <row r="188" spans="1:3" x14ac:dyDescent="0.25">
      <c r="A188" s="1071">
        <v>91821</v>
      </c>
      <c r="B188" s="1071" t="s">
        <v>2756</v>
      </c>
      <c r="C188" s="1095">
        <v>75806.77</v>
      </c>
    </row>
    <row r="189" spans="1:3" x14ac:dyDescent="0.25">
      <c r="A189" s="1071">
        <v>91831</v>
      </c>
      <c r="B189" s="1071" t="s">
        <v>2757</v>
      </c>
      <c r="C189" s="1095">
        <v>165489.25</v>
      </c>
    </row>
    <row r="190" spans="1:3" x14ac:dyDescent="0.25">
      <c r="A190" s="1071">
        <v>91841</v>
      </c>
      <c r="B190" s="1071" t="s">
        <v>2758</v>
      </c>
      <c r="C190" s="1095">
        <v>125257.59</v>
      </c>
    </row>
    <row r="191" spans="1:3" x14ac:dyDescent="0.25">
      <c r="A191" s="1071">
        <v>91851</v>
      </c>
      <c r="B191" s="1071" t="s">
        <v>2759</v>
      </c>
      <c r="C191" s="1095">
        <v>362200.99</v>
      </c>
    </row>
    <row r="192" spans="1:3" x14ac:dyDescent="0.25">
      <c r="A192" s="1071">
        <v>91861</v>
      </c>
      <c r="B192" s="1071" t="s">
        <v>2760</v>
      </c>
      <c r="C192" s="1095">
        <v>7332.89</v>
      </c>
    </row>
    <row r="193" spans="1:3" x14ac:dyDescent="0.25">
      <c r="A193" s="1071">
        <v>91871</v>
      </c>
      <c r="B193" s="1071" t="s">
        <v>2761</v>
      </c>
      <c r="C193" s="1095">
        <v>615146.46</v>
      </c>
    </row>
    <row r="194" spans="1:3" x14ac:dyDescent="0.25">
      <c r="A194" s="1071">
        <v>91881</v>
      </c>
      <c r="B194" s="1071" t="s">
        <v>2762</v>
      </c>
      <c r="C194" s="1095">
        <v>5098.6400000000003</v>
      </c>
    </row>
    <row r="195" spans="1:3" x14ac:dyDescent="0.25">
      <c r="A195" s="1071">
        <v>91901</v>
      </c>
      <c r="B195" s="1071" t="s">
        <v>2763</v>
      </c>
      <c r="C195" s="1095">
        <v>1743893.92</v>
      </c>
    </row>
    <row r="196" spans="1:3" x14ac:dyDescent="0.25">
      <c r="A196" s="1071">
        <v>91903</v>
      </c>
      <c r="B196" s="1071" t="s">
        <v>2764</v>
      </c>
      <c r="C196" s="1095">
        <v>6537</v>
      </c>
    </row>
    <row r="197" spans="1:3" x14ac:dyDescent="0.25">
      <c r="A197" s="1071">
        <v>91904</v>
      </c>
      <c r="B197" s="1071" t="s">
        <v>2765</v>
      </c>
      <c r="C197" s="1095">
        <v>16612.080000000002</v>
      </c>
    </row>
    <row r="198" spans="1:3" x14ac:dyDescent="0.25">
      <c r="A198" s="1071">
        <v>91908</v>
      </c>
      <c r="B198" s="1071" t="s">
        <v>2766</v>
      </c>
      <c r="C198" s="1095">
        <v>5166.92</v>
      </c>
    </row>
    <row r="199" spans="1:3" x14ac:dyDescent="0.25">
      <c r="A199" s="1071">
        <v>91911</v>
      </c>
      <c r="B199" s="1071" t="s">
        <v>2767</v>
      </c>
      <c r="C199" s="1095">
        <v>231598.93</v>
      </c>
    </row>
    <row r="200" spans="1:3" x14ac:dyDescent="0.25">
      <c r="A200" s="1071">
        <v>91917</v>
      </c>
      <c r="B200" s="1071" t="s">
        <v>2768</v>
      </c>
      <c r="C200" s="1095">
        <v>6945.38</v>
      </c>
    </row>
    <row r="201" spans="1:3" x14ac:dyDescent="0.25">
      <c r="A201" s="1071">
        <v>91921</v>
      </c>
      <c r="B201" s="1071" t="s">
        <v>2769</v>
      </c>
      <c r="C201" s="1095">
        <v>166029.18</v>
      </c>
    </row>
    <row r="202" spans="1:3" x14ac:dyDescent="0.25">
      <c r="A202" s="1071">
        <v>92001</v>
      </c>
      <c r="B202" s="1071" t="s">
        <v>2770</v>
      </c>
      <c r="C202" s="1095">
        <v>863075.18</v>
      </c>
    </row>
    <row r="203" spans="1:3" x14ac:dyDescent="0.25">
      <c r="A203" s="1071">
        <v>92005</v>
      </c>
      <c r="B203" s="1071" t="s">
        <v>2771</v>
      </c>
      <c r="C203" s="1095">
        <v>23807.88</v>
      </c>
    </row>
    <row r="204" spans="1:3" x14ac:dyDescent="0.25">
      <c r="A204" s="1071">
        <v>92011</v>
      </c>
      <c r="B204" s="1071" t="s">
        <v>2772</v>
      </c>
      <c r="C204" s="1095">
        <v>94487.1</v>
      </c>
    </row>
    <row r="205" spans="1:3" x14ac:dyDescent="0.25">
      <c r="A205" s="1071">
        <v>92017</v>
      </c>
      <c r="B205" s="1071" t="s">
        <v>2773</v>
      </c>
      <c r="C205" s="1095">
        <v>18378.2</v>
      </c>
    </row>
    <row r="206" spans="1:3" x14ac:dyDescent="0.25">
      <c r="A206" s="1071">
        <v>92021</v>
      </c>
      <c r="B206" s="1071" t="s">
        <v>2774</v>
      </c>
      <c r="C206" s="1095">
        <v>56797.99</v>
      </c>
    </row>
    <row r="207" spans="1:3" x14ac:dyDescent="0.25">
      <c r="A207" s="1071">
        <v>92101</v>
      </c>
      <c r="B207" s="1071" t="s">
        <v>2775</v>
      </c>
      <c r="C207" s="1095">
        <v>385403.07</v>
      </c>
    </row>
    <row r="208" spans="1:3" x14ac:dyDescent="0.25">
      <c r="A208" s="1071">
        <v>92104</v>
      </c>
      <c r="B208" s="1071" t="s">
        <v>2776</v>
      </c>
      <c r="C208" s="1095">
        <v>5362.87</v>
      </c>
    </row>
    <row r="209" spans="1:3" x14ac:dyDescent="0.25">
      <c r="A209" s="1071">
        <v>92109</v>
      </c>
      <c r="B209" s="1071" t="s">
        <v>2777</v>
      </c>
      <c r="C209" s="1095">
        <v>81663.56</v>
      </c>
    </row>
    <row r="210" spans="1:3" x14ac:dyDescent="0.25">
      <c r="A210" s="1071">
        <v>92111</v>
      </c>
      <c r="B210" s="1071" t="s">
        <v>2778</v>
      </c>
      <c r="C210" s="1095">
        <v>241524.03</v>
      </c>
    </row>
    <row r="211" spans="1:3" x14ac:dyDescent="0.25">
      <c r="A211" s="1071">
        <v>92113</v>
      </c>
      <c r="B211" s="1071" t="s">
        <v>2779</v>
      </c>
      <c r="C211" s="1095">
        <v>12477</v>
      </c>
    </row>
    <row r="212" spans="1:3" x14ac:dyDescent="0.25">
      <c r="A212" s="1071">
        <v>92201</v>
      </c>
      <c r="B212" s="1071" t="s">
        <v>2780</v>
      </c>
      <c r="C212" s="1095">
        <v>466555.83</v>
      </c>
    </row>
    <row r="213" spans="1:3" x14ac:dyDescent="0.25">
      <c r="A213" s="1071">
        <v>92214</v>
      </c>
      <c r="B213" s="1071" t="s">
        <v>4071</v>
      </c>
      <c r="C213" s="1095">
        <v>9828.8799999999992</v>
      </c>
    </row>
    <row r="214" spans="1:3" x14ac:dyDescent="0.25">
      <c r="A214" s="1071">
        <v>92301</v>
      </c>
      <c r="B214" s="1071" t="s">
        <v>2781</v>
      </c>
      <c r="C214" s="1095">
        <v>2605917.56</v>
      </c>
    </row>
    <row r="215" spans="1:3" x14ac:dyDescent="0.25">
      <c r="A215" s="1071">
        <v>92302</v>
      </c>
      <c r="B215" s="1071" t="s">
        <v>3582</v>
      </c>
      <c r="C215" s="1095">
        <v>142815.22</v>
      </c>
    </row>
    <row r="216" spans="1:3" x14ac:dyDescent="0.25">
      <c r="A216" s="1071">
        <v>92311</v>
      </c>
      <c r="B216" s="1071" t="s">
        <v>2783</v>
      </c>
      <c r="C216" s="1095">
        <v>1034114.67</v>
      </c>
    </row>
    <row r="217" spans="1:3" x14ac:dyDescent="0.25">
      <c r="A217" s="1071">
        <v>92317</v>
      </c>
      <c r="B217" s="1071" t="s">
        <v>2784</v>
      </c>
      <c r="C217" s="1095">
        <v>22934.21</v>
      </c>
    </row>
    <row r="218" spans="1:3" x14ac:dyDescent="0.25">
      <c r="A218" s="1071">
        <v>92321</v>
      </c>
      <c r="B218" s="1071" t="s">
        <v>2785</v>
      </c>
      <c r="C218" s="1095">
        <v>602728.48</v>
      </c>
    </row>
    <row r="219" spans="1:3" x14ac:dyDescent="0.25">
      <c r="A219" s="1071">
        <v>92327</v>
      </c>
      <c r="B219" s="1071" t="s">
        <v>2786</v>
      </c>
      <c r="C219" s="1095">
        <v>7041.69</v>
      </c>
    </row>
    <row r="220" spans="1:3" x14ac:dyDescent="0.25">
      <c r="A220" s="1071">
        <v>92331</v>
      </c>
      <c r="B220" s="1071" t="s">
        <v>2787</v>
      </c>
      <c r="C220" s="1095">
        <v>66231.38</v>
      </c>
    </row>
    <row r="221" spans="1:3" x14ac:dyDescent="0.25">
      <c r="A221" s="1071">
        <v>92341</v>
      </c>
      <c r="B221" s="1071" t="s">
        <v>2788</v>
      </c>
      <c r="C221" s="1095">
        <v>3267.72</v>
      </c>
    </row>
    <row r="222" spans="1:3" x14ac:dyDescent="0.25">
      <c r="A222" s="1071">
        <v>92351</v>
      </c>
      <c r="B222" s="1071" t="s">
        <v>2789</v>
      </c>
      <c r="C222" s="1095">
        <v>12788.92</v>
      </c>
    </row>
    <row r="223" spans="1:3" x14ac:dyDescent="0.25">
      <c r="A223" s="1071">
        <v>92401</v>
      </c>
      <c r="B223" s="1071" t="s">
        <v>2790</v>
      </c>
      <c r="C223" s="1095">
        <v>1332379.25</v>
      </c>
    </row>
    <row r="224" spans="1:3" x14ac:dyDescent="0.25">
      <c r="A224" s="1071">
        <v>92403</v>
      </c>
      <c r="B224" s="1071" t="s">
        <v>2791</v>
      </c>
      <c r="C224" s="1095">
        <v>6224.4</v>
      </c>
    </row>
    <row r="225" spans="1:3" x14ac:dyDescent="0.25">
      <c r="A225" s="1071">
        <v>92411</v>
      </c>
      <c r="B225" s="1071" t="s">
        <v>2792</v>
      </c>
      <c r="C225" s="1095">
        <v>212765.28</v>
      </c>
    </row>
    <row r="226" spans="1:3" x14ac:dyDescent="0.25">
      <c r="A226" s="1071">
        <v>92417</v>
      </c>
      <c r="B226" s="1071" t="s">
        <v>2793</v>
      </c>
      <c r="C226" s="1095">
        <v>6522.41</v>
      </c>
    </row>
    <row r="227" spans="1:3" x14ac:dyDescent="0.25">
      <c r="A227" s="1071">
        <v>92421</v>
      </c>
      <c r="B227" s="1071" t="s">
        <v>2794</v>
      </c>
      <c r="C227" s="1095">
        <v>9320.2999999999993</v>
      </c>
    </row>
    <row r="228" spans="1:3" x14ac:dyDescent="0.25">
      <c r="A228" s="1071">
        <v>92427</v>
      </c>
      <c r="B228" s="1071" t="s">
        <v>2795</v>
      </c>
      <c r="C228" s="1095">
        <v>1693.16</v>
      </c>
    </row>
    <row r="229" spans="1:3" x14ac:dyDescent="0.25">
      <c r="A229" s="1071">
        <v>92431</v>
      </c>
      <c r="B229" s="1071" t="s">
        <v>2796</v>
      </c>
      <c r="C229" s="1095">
        <v>16532.62</v>
      </c>
    </row>
    <row r="230" spans="1:3" x14ac:dyDescent="0.25">
      <c r="A230" s="1071">
        <v>92441</v>
      </c>
      <c r="B230" s="1071" t="s">
        <v>2797</v>
      </c>
      <c r="C230" s="1095">
        <v>48364.15</v>
      </c>
    </row>
    <row r="231" spans="1:3" x14ac:dyDescent="0.25">
      <c r="A231" s="1071">
        <v>92444</v>
      </c>
      <c r="B231" s="1071" t="s">
        <v>2798</v>
      </c>
      <c r="C231" s="1095">
        <v>3182.44</v>
      </c>
    </row>
    <row r="232" spans="1:3" x14ac:dyDescent="0.25">
      <c r="A232" s="1071">
        <v>92451</v>
      </c>
      <c r="B232" s="1071" t="s">
        <v>2799</v>
      </c>
      <c r="C232" s="1095">
        <v>79859.87</v>
      </c>
    </row>
    <row r="233" spans="1:3" x14ac:dyDescent="0.25">
      <c r="A233" s="1071">
        <v>92461</v>
      </c>
      <c r="B233" s="1071" t="s">
        <v>2800</v>
      </c>
      <c r="C233" s="1095">
        <v>43080.7</v>
      </c>
    </row>
    <row r="234" spans="1:3" x14ac:dyDescent="0.25">
      <c r="A234" s="1071">
        <v>92501</v>
      </c>
      <c r="B234" s="1071" t="s">
        <v>2801</v>
      </c>
      <c r="C234" s="1095">
        <v>2001121.78</v>
      </c>
    </row>
    <row r="235" spans="1:3" x14ac:dyDescent="0.25">
      <c r="A235" s="1071">
        <v>92502</v>
      </c>
      <c r="B235" s="1071" t="s">
        <v>2802</v>
      </c>
      <c r="C235" s="1095">
        <v>15228.84</v>
      </c>
    </row>
    <row r="236" spans="1:3" x14ac:dyDescent="0.25">
      <c r="A236" s="1071">
        <v>92504</v>
      </c>
      <c r="B236" s="1071" t="s">
        <v>2803</v>
      </c>
      <c r="C236" s="1095">
        <v>50659.74</v>
      </c>
    </row>
    <row r="237" spans="1:3" x14ac:dyDescent="0.25">
      <c r="A237" s="1071">
        <v>92505</v>
      </c>
      <c r="B237" s="1071" t="s">
        <v>2804</v>
      </c>
      <c r="C237" s="1095">
        <v>127842.43</v>
      </c>
    </row>
    <row r="238" spans="1:3" x14ac:dyDescent="0.25">
      <c r="A238" s="1071">
        <v>92506</v>
      </c>
      <c r="B238" s="1071" t="s">
        <v>2805</v>
      </c>
      <c r="C238" s="1095">
        <v>34609.71</v>
      </c>
    </row>
    <row r="239" spans="1:3" x14ac:dyDescent="0.25">
      <c r="A239" s="1071">
        <v>92507</v>
      </c>
      <c r="B239" s="1071" t="s">
        <v>2806</v>
      </c>
      <c r="C239" s="1095">
        <v>38660.58</v>
      </c>
    </row>
    <row r="240" spans="1:3" x14ac:dyDescent="0.25">
      <c r="A240" s="1071">
        <v>92508</v>
      </c>
      <c r="B240" s="1071" t="s">
        <v>2807</v>
      </c>
      <c r="C240" s="1095">
        <v>159816</v>
      </c>
    </row>
    <row r="241" spans="1:16384" x14ac:dyDescent="0.25">
      <c r="A241" s="1096" t="s">
        <v>4084</v>
      </c>
      <c r="B241" s="1055" t="s">
        <v>4503</v>
      </c>
      <c r="C241" s="1095">
        <v>0</v>
      </c>
      <c r="D241" s="1055"/>
      <c r="E241" s="1054"/>
      <c r="F241" s="1055"/>
      <c r="G241" s="1054"/>
      <c r="H241" s="1055"/>
      <c r="I241" s="1054"/>
      <c r="J241" s="1055"/>
      <c r="K241" s="1054"/>
      <c r="L241" s="1055"/>
      <c r="M241" s="1054"/>
      <c r="N241" s="1055"/>
      <c r="O241" s="1054"/>
      <c r="P241" s="1055"/>
      <c r="Q241" s="1054"/>
      <c r="R241" s="1055"/>
      <c r="S241" s="1054"/>
      <c r="T241" s="1055"/>
      <c r="U241" s="1054"/>
      <c r="V241" s="1055"/>
      <c r="W241" s="1054"/>
      <c r="X241" s="1055"/>
      <c r="Y241" s="1054"/>
      <c r="Z241" s="1055"/>
      <c r="AA241" s="1054"/>
      <c r="AB241" s="1055"/>
      <c r="AC241" s="1054"/>
      <c r="AD241" s="1055"/>
      <c r="AE241" s="1054"/>
      <c r="AF241" s="1055"/>
      <c r="AG241" s="1054"/>
      <c r="AH241" s="1055"/>
      <c r="AI241" s="1054"/>
      <c r="AJ241" s="1055"/>
      <c r="AK241" s="1054"/>
      <c r="AL241" s="1055"/>
      <c r="AM241" s="1054"/>
      <c r="AN241" s="1055"/>
      <c r="AO241" s="1054"/>
      <c r="AP241" s="1055"/>
      <c r="AQ241" s="1054"/>
      <c r="AR241" s="1055"/>
      <c r="AS241" s="1054"/>
      <c r="AT241" s="1055"/>
      <c r="AU241" s="1054"/>
      <c r="AV241" s="1055"/>
      <c r="AW241" s="1054"/>
      <c r="AX241" s="1055"/>
      <c r="AY241" s="1054"/>
      <c r="AZ241" s="1055"/>
      <c r="BA241" s="1054"/>
      <c r="BB241" s="1055"/>
      <c r="BC241" s="1054"/>
      <c r="BD241" s="1055"/>
      <c r="BE241" s="1054"/>
      <c r="BF241" s="1055"/>
      <c r="BG241" s="1054"/>
      <c r="BH241" s="1055"/>
      <c r="BI241" s="1054"/>
      <c r="BJ241" s="1055"/>
      <c r="BK241" s="1054"/>
      <c r="BL241" s="1055"/>
      <c r="BM241" s="1054"/>
      <c r="BN241" s="1055"/>
      <c r="BO241" s="1054"/>
      <c r="BP241" s="1055"/>
      <c r="BQ241" s="1054"/>
      <c r="BR241" s="1055"/>
      <c r="BS241" s="1054"/>
      <c r="BT241" s="1055"/>
      <c r="BU241" s="1054"/>
      <c r="BV241" s="1055"/>
      <c r="BW241" s="1054"/>
      <c r="BX241" s="1055"/>
      <c r="BY241" s="1054"/>
      <c r="BZ241" s="1055"/>
      <c r="CA241" s="1054"/>
      <c r="CB241" s="1055"/>
      <c r="CC241" s="1054"/>
      <c r="CD241" s="1055"/>
      <c r="CE241" s="1054"/>
      <c r="CF241" s="1055"/>
      <c r="CG241" s="1054"/>
      <c r="CH241" s="1055"/>
      <c r="CI241" s="1054"/>
      <c r="CJ241" s="1055"/>
      <c r="CK241" s="1054"/>
      <c r="CL241" s="1055"/>
      <c r="CM241" s="1054"/>
      <c r="CN241" s="1055"/>
      <c r="CO241" s="1054"/>
      <c r="CP241" s="1055"/>
      <c r="CQ241" s="1054"/>
      <c r="CR241" s="1055"/>
      <c r="CS241" s="1054"/>
      <c r="CT241" s="1055"/>
      <c r="CU241" s="1054"/>
      <c r="CV241" s="1055"/>
      <c r="CW241" s="1054"/>
      <c r="CX241" s="1055"/>
      <c r="CY241" s="1054"/>
      <c r="CZ241" s="1055"/>
      <c r="DA241" s="1054"/>
      <c r="DB241" s="1055"/>
      <c r="DC241" s="1054"/>
      <c r="DD241" s="1055"/>
      <c r="DE241" s="1054"/>
      <c r="DF241" s="1055"/>
      <c r="DG241" s="1054"/>
      <c r="DH241" s="1055"/>
      <c r="DI241" s="1054"/>
      <c r="DJ241" s="1055"/>
      <c r="DK241" s="1054"/>
      <c r="DL241" s="1055"/>
      <c r="DM241" s="1054"/>
      <c r="DN241" s="1055"/>
      <c r="DO241" s="1054"/>
      <c r="DP241" s="1055"/>
      <c r="DQ241" s="1054"/>
      <c r="DR241" s="1055"/>
      <c r="DS241" s="1054"/>
      <c r="DT241" s="1055"/>
      <c r="DU241" s="1054"/>
      <c r="DV241" s="1055"/>
      <c r="DW241" s="1054"/>
      <c r="DX241" s="1055"/>
      <c r="DY241" s="1054"/>
      <c r="DZ241" s="1055"/>
      <c r="EA241" s="1054"/>
      <c r="EB241" s="1055"/>
      <c r="EC241" s="1054"/>
      <c r="ED241" s="1055"/>
      <c r="EE241" s="1054"/>
      <c r="EF241" s="1055"/>
      <c r="EG241" s="1054"/>
      <c r="EH241" s="1055"/>
      <c r="EI241" s="1054"/>
      <c r="EJ241" s="1055"/>
      <c r="EK241" s="1054"/>
      <c r="EL241" s="1055"/>
      <c r="EM241" s="1054"/>
      <c r="EN241" s="1055"/>
      <c r="EO241" s="1054"/>
      <c r="EP241" s="1055"/>
      <c r="EQ241" s="1054"/>
      <c r="ER241" s="1055"/>
      <c r="ES241" s="1054"/>
      <c r="ET241" s="1055"/>
      <c r="EU241" s="1054"/>
      <c r="EV241" s="1055"/>
      <c r="EW241" s="1054"/>
      <c r="EX241" s="1055"/>
      <c r="EY241" s="1054"/>
      <c r="EZ241" s="1055"/>
      <c r="FA241" s="1054"/>
      <c r="FB241" s="1055"/>
      <c r="FC241" s="1054"/>
      <c r="FD241" s="1055"/>
      <c r="FE241" s="1054"/>
      <c r="FF241" s="1055"/>
      <c r="FG241" s="1054"/>
      <c r="FH241" s="1055"/>
      <c r="FI241" s="1054"/>
      <c r="FJ241" s="1055"/>
      <c r="FK241" s="1054"/>
      <c r="FL241" s="1055"/>
      <c r="FM241" s="1054"/>
      <c r="FN241" s="1055"/>
      <c r="FO241" s="1054"/>
      <c r="FP241" s="1055"/>
      <c r="FQ241" s="1054"/>
      <c r="FR241" s="1055"/>
      <c r="FS241" s="1054"/>
      <c r="FT241" s="1055"/>
      <c r="FU241" s="1054"/>
      <c r="FV241" s="1055"/>
      <c r="FW241" s="1054"/>
      <c r="FX241" s="1055"/>
      <c r="FY241" s="1054"/>
      <c r="FZ241" s="1055"/>
      <c r="GA241" s="1054"/>
      <c r="GB241" s="1055"/>
      <c r="GC241" s="1054"/>
      <c r="GD241" s="1055"/>
      <c r="GE241" s="1054"/>
      <c r="GF241" s="1055"/>
      <c r="GG241" s="1054"/>
      <c r="GH241" s="1055"/>
      <c r="GI241" s="1054"/>
      <c r="GJ241" s="1055"/>
      <c r="GK241" s="1054"/>
      <c r="GL241" s="1055"/>
      <c r="GM241" s="1054"/>
      <c r="GN241" s="1055"/>
      <c r="GO241" s="1054"/>
      <c r="GP241" s="1055"/>
      <c r="GQ241" s="1054"/>
      <c r="GR241" s="1055"/>
      <c r="GS241" s="1054"/>
      <c r="GT241" s="1055"/>
      <c r="GU241" s="1054"/>
      <c r="GV241" s="1055"/>
      <c r="GW241" s="1054"/>
      <c r="GX241" s="1055"/>
      <c r="GY241" s="1054"/>
      <c r="GZ241" s="1055"/>
      <c r="HA241" s="1054"/>
      <c r="HB241" s="1055"/>
      <c r="HC241" s="1054"/>
      <c r="HD241" s="1055"/>
      <c r="HE241" s="1054"/>
      <c r="HF241" s="1055"/>
      <c r="HG241" s="1054"/>
      <c r="HH241" s="1055"/>
      <c r="HI241" s="1054"/>
      <c r="HJ241" s="1055"/>
      <c r="HK241" s="1054"/>
      <c r="HL241" s="1055"/>
      <c r="HM241" s="1054"/>
      <c r="HN241" s="1055"/>
      <c r="HO241" s="1054"/>
      <c r="HP241" s="1055"/>
      <c r="HQ241" s="1054"/>
      <c r="HR241" s="1055"/>
      <c r="HS241" s="1054"/>
      <c r="HT241" s="1055"/>
      <c r="HU241" s="1054"/>
      <c r="HV241" s="1055"/>
      <c r="HW241" s="1054"/>
      <c r="HX241" s="1055"/>
      <c r="HY241" s="1054"/>
      <c r="HZ241" s="1055"/>
      <c r="IA241" s="1054"/>
      <c r="IB241" s="1055"/>
      <c r="IC241" s="1054"/>
      <c r="ID241" s="1055"/>
      <c r="IE241" s="1054"/>
      <c r="IF241" s="1055"/>
      <c r="IG241" s="1054"/>
      <c r="IH241" s="1055"/>
      <c r="II241" s="1054"/>
      <c r="IJ241" s="1055"/>
      <c r="IK241" s="1054"/>
      <c r="IL241" s="1055"/>
      <c r="IM241" s="1054"/>
      <c r="IN241" s="1055"/>
      <c r="IO241" s="1054"/>
      <c r="IP241" s="1055"/>
      <c r="IQ241" s="1054"/>
      <c r="IR241" s="1055"/>
      <c r="IS241" s="1054"/>
      <c r="IT241" s="1055"/>
      <c r="IU241" s="1054"/>
      <c r="IV241" s="1055"/>
      <c r="IW241" s="1054"/>
      <c r="IX241" s="1055"/>
      <c r="IY241" s="1054"/>
      <c r="IZ241" s="1055"/>
      <c r="JA241" s="1054"/>
      <c r="JB241" s="1055"/>
      <c r="JC241" s="1054"/>
      <c r="JD241" s="1055"/>
      <c r="JE241" s="1054"/>
      <c r="JF241" s="1055"/>
      <c r="JG241" s="1054"/>
      <c r="JH241" s="1055"/>
      <c r="JI241" s="1054"/>
      <c r="JJ241" s="1055"/>
      <c r="JK241" s="1054"/>
      <c r="JL241" s="1055"/>
      <c r="JM241" s="1054"/>
      <c r="JN241" s="1055"/>
      <c r="JO241" s="1054"/>
      <c r="JP241" s="1055"/>
      <c r="JQ241" s="1054"/>
      <c r="JR241" s="1055"/>
      <c r="JS241" s="1054"/>
      <c r="JT241" s="1055"/>
      <c r="JU241" s="1054"/>
      <c r="JV241" s="1055"/>
      <c r="JW241" s="1054"/>
      <c r="JX241" s="1055"/>
      <c r="JY241" s="1054"/>
      <c r="JZ241" s="1055"/>
      <c r="KA241" s="1054"/>
      <c r="KB241" s="1055"/>
      <c r="KC241" s="1054"/>
      <c r="KD241" s="1055"/>
      <c r="KE241" s="1054"/>
      <c r="KF241" s="1055"/>
      <c r="KG241" s="1054"/>
      <c r="KH241" s="1055"/>
      <c r="KI241" s="1054"/>
      <c r="KJ241" s="1055"/>
      <c r="KK241" s="1054"/>
      <c r="KL241" s="1055"/>
      <c r="KM241" s="1054"/>
      <c r="KN241" s="1055"/>
      <c r="KO241" s="1054"/>
      <c r="KP241" s="1055"/>
      <c r="KQ241" s="1054"/>
      <c r="KR241" s="1055"/>
      <c r="KS241" s="1054"/>
      <c r="KT241" s="1055"/>
      <c r="KU241" s="1054"/>
      <c r="KV241" s="1055"/>
      <c r="KW241" s="1054"/>
      <c r="KX241" s="1055"/>
      <c r="KY241" s="1054"/>
      <c r="KZ241" s="1055"/>
      <c r="LA241" s="1054"/>
      <c r="LB241" s="1055"/>
      <c r="LC241" s="1054"/>
      <c r="LD241" s="1055"/>
      <c r="LE241" s="1054"/>
      <c r="LF241" s="1055"/>
      <c r="LG241" s="1054"/>
      <c r="LH241" s="1055"/>
      <c r="LI241" s="1054"/>
      <c r="LJ241" s="1055"/>
      <c r="LK241" s="1054"/>
      <c r="LL241" s="1055"/>
      <c r="LM241" s="1054"/>
      <c r="LN241" s="1055"/>
      <c r="LO241" s="1054"/>
      <c r="LP241" s="1055"/>
      <c r="LQ241" s="1054"/>
      <c r="LR241" s="1055"/>
      <c r="LS241" s="1054"/>
      <c r="LT241" s="1055"/>
      <c r="LU241" s="1054"/>
      <c r="LV241" s="1055"/>
      <c r="LW241" s="1054"/>
      <c r="LX241" s="1055"/>
      <c r="LY241" s="1054"/>
      <c r="LZ241" s="1055"/>
      <c r="MA241" s="1054"/>
      <c r="MB241" s="1055"/>
      <c r="MC241" s="1054"/>
      <c r="MD241" s="1055"/>
      <c r="ME241" s="1054"/>
      <c r="MF241" s="1055"/>
      <c r="MG241" s="1054"/>
      <c r="MH241" s="1055"/>
      <c r="MI241" s="1054"/>
      <c r="MJ241" s="1055"/>
      <c r="MK241" s="1054"/>
      <c r="ML241" s="1055"/>
      <c r="MM241" s="1054"/>
      <c r="MN241" s="1055"/>
      <c r="MO241" s="1054"/>
      <c r="MP241" s="1055"/>
      <c r="MQ241" s="1054"/>
      <c r="MR241" s="1055"/>
      <c r="MS241" s="1054"/>
      <c r="MT241" s="1055"/>
      <c r="MU241" s="1054"/>
      <c r="MV241" s="1055"/>
      <c r="MW241" s="1054"/>
      <c r="MX241" s="1055"/>
      <c r="MY241" s="1054"/>
      <c r="MZ241" s="1055"/>
      <c r="NA241" s="1054"/>
      <c r="NB241" s="1055"/>
      <c r="NC241" s="1054"/>
      <c r="ND241" s="1055"/>
      <c r="NE241" s="1054"/>
      <c r="NF241" s="1055"/>
      <c r="NG241" s="1054"/>
      <c r="NH241" s="1055"/>
      <c r="NI241" s="1054"/>
      <c r="NJ241" s="1055"/>
      <c r="NK241" s="1054"/>
      <c r="NL241" s="1055"/>
      <c r="NM241" s="1054"/>
      <c r="NN241" s="1055"/>
      <c r="NO241" s="1054"/>
      <c r="NP241" s="1055"/>
      <c r="NQ241" s="1054"/>
      <c r="NR241" s="1055"/>
      <c r="NS241" s="1054"/>
      <c r="NT241" s="1055"/>
      <c r="NU241" s="1054"/>
      <c r="NV241" s="1055"/>
      <c r="NW241" s="1054"/>
      <c r="NX241" s="1055"/>
      <c r="NY241" s="1054"/>
      <c r="NZ241" s="1055"/>
      <c r="OA241" s="1054"/>
      <c r="OB241" s="1055"/>
      <c r="OC241" s="1054"/>
      <c r="OD241" s="1055"/>
      <c r="OE241" s="1054"/>
      <c r="OF241" s="1055"/>
      <c r="OG241" s="1054"/>
      <c r="OH241" s="1055"/>
      <c r="OI241" s="1054"/>
      <c r="OJ241" s="1055"/>
      <c r="OK241" s="1054"/>
      <c r="OL241" s="1055"/>
      <c r="OM241" s="1054"/>
      <c r="ON241" s="1055"/>
      <c r="OO241" s="1054"/>
      <c r="OP241" s="1055"/>
      <c r="OQ241" s="1054"/>
      <c r="OR241" s="1055"/>
      <c r="OS241" s="1054"/>
      <c r="OT241" s="1055"/>
      <c r="OU241" s="1054"/>
      <c r="OV241" s="1055"/>
      <c r="OW241" s="1054"/>
      <c r="OX241" s="1055"/>
      <c r="OY241" s="1054"/>
      <c r="OZ241" s="1055"/>
      <c r="PA241" s="1054"/>
      <c r="PB241" s="1055"/>
      <c r="PC241" s="1054"/>
      <c r="PD241" s="1055"/>
      <c r="PE241" s="1054"/>
      <c r="PF241" s="1055"/>
      <c r="PG241" s="1054"/>
      <c r="PH241" s="1055"/>
      <c r="PI241" s="1054"/>
      <c r="PJ241" s="1055"/>
      <c r="PK241" s="1054"/>
      <c r="PL241" s="1055"/>
      <c r="PM241" s="1054"/>
      <c r="PN241" s="1055"/>
      <c r="PO241" s="1054"/>
      <c r="PP241" s="1055"/>
      <c r="PQ241" s="1054"/>
      <c r="PR241" s="1055"/>
      <c r="PS241" s="1054"/>
      <c r="PT241" s="1055"/>
      <c r="PU241" s="1054"/>
      <c r="PV241" s="1055"/>
      <c r="PW241" s="1054"/>
      <c r="PX241" s="1055"/>
      <c r="PY241" s="1054"/>
      <c r="PZ241" s="1055"/>
      <c r="QA241" s="1054"/>
      <c r="QB241" s="1055"/>
      <c r="QC241" s="1054"/>
      <c r="QD241" s="1055"/>
      <c r="QE241" s="1054"/>
      <c r="QF241" s="1055"/>
      <c r="QG241" s="1054"/>
      <c r="QH241" s="1055"/>
      <c r="QI241" s="1054"/>
      <c r="QJ241" s="1055"/>
      <c r="QK241" s="1054"/>
      <c r="QL241" s="1055"/>
      <c r="QM241" s="1054"/>
      <c r="QN241" s="1055"/>
      <c r="QO241" s="1054"/>
      <c r="QP241" s="1055"/>
      <c r="QQ241" s="1054"/>
      <c r="QR241" s="1055"/>
      <c r="QS241" s="1054"/>
      <c r="QT241" s="1055"/>
      <c r="QU241" s="1054"/>
      <c r="QV241" s="1055"/>
      <c r="QW241" s="1054"/>
      <c r="QX241" s="1055"/>
      <c r="QY241" s="1054"/>
      <c r="QZ241" s="1055"/>
      <c r="RA241" s="1054"/>
      <c r="RB241" s="1055"/>
      <c r="RC241" s="1054"/>
      <c r="RD241" s="1055"/>
      <c r="RE241" s="1054"/>
      <c r="RF241" s="1055"/>
      <c r="RG241" s="1054"/>
      <c r="RH241" s="1055"/>
      <c r="RI241" s="1054"/>
      <c r="RJ241" s="1055"/>
      <c r="RK241" s="1054"/>
      <c r="RL241" s="1055"/>
      <c r="RM241" s="1054"/>
      <c r="RN241" s="1055"/>
      <c r="RO241" s="1054"/>
      <c r="RP241" s="1055"/>
      <c r="RQ241" s="1054"/>
      <c r="RR241" s="1055"/>
      <c r="RS241" s="1054"/>
      <c r="RT241" s="1055"/>
      <c r="RU241" s="1054"/>
      <c r="RV241" s="1055"/>
      <c r="RW241" s="1054"/>
      <c r="RX241" s="1055"/>
      <c r="RY241" s="1054"/>
      <c r="RZ241" s="1055"/>
      <c r="SA241" s="1054"/>
      <c r="SB241" s="1055"/>
      <c r="SC241" s="1054"/>
      <c r="SD241" s="1055"/>
      <c r="SE241" s="1054"/>
      <c r="SF241" s="1055"/>
      <c r="SG241" s="1054"/>
      <c r="SH241" s="1055"/>
      <c r="SI241" s="1054"/>
      <c r="SJ241" s="1055"/>
      <c r="SK241" s="1054"/>
      <c r="SL241" s="1055"/>
      <c r="SM241" s="1054"/>
      <c r="SN241" s="1055"/>
      <c r="SO241" s="1054"/>
      <c r="SP241" s="1055"/>
      <c r="SQ241" s="1054"/>
      <c r="SR241" s="1055"/>
      <c r="SS241" s="1054"/>
      <c r="ST241" s="1055"/>
      <c r="SU241" s="1054"/>
      <c r="SV241" s="1055"/>
      <c r="SW241" s="1054"/>
      <c r="SX241" s="1055"/>
      <c r="SY241" s="1054"/>
      <c r="SZ241" s="1055"/>
      <c r="TA241" s="1054"/>
      <c r="TB241" s="1055"/>
      <c r="TC241" s="1054"/>
      <c r="TD241" s="1055"/>
      <c r="TE241" s="1054"/>
      <c r="TF241" s="1055"/>
      <c r="TG241" s="1054"/>
      <c r="TH241" s="1055"/>
      <c r="TI241" s="1054"/>
      <c r="TJ241" s="1055"/>
      <c r="TK241" s="1054"/>
      <c r="TL241" s="1055"/>
      <c r="TM241" s="1054"/>
      <c r="TN241" s="1055"/>
      <c r="TO241" s="1054"/>
      <c r="TP241" s="1055"/>
      <c r="TQ241" s="1054"/>
      <c r="TR241" s="1055"/>
      <c r="TS241" s="1054"/>
      <c r="TT241" s="1055"/>
      <c r="TU241" s="1054"/>
      <c r="TV241" s="1055"/>
      <c r="TW241" s="1054"/>
      <c r="TX241" s="1055"/>
      <c r="TY241" s="1054"/>
      <c r="TZ241" s="1055"/>
      <c r="UA241" s="1054"/>
      <c r="UB241" s="1055"/>
      <c r="UC241" s="1054"/>
      <c r="UD241" s="1055"/>
      <c r="UE241" s="1054"/>
      <c r="UF241" s="1055"/>
      <c r="UG241" s="1054"/>
      <c r="UH241" s="1055"/>
      <c r="UI241" s="1054"/>
      <c r="UJ241" s="1055"/>
      <c r="UK241" s="1054"/>
      <c r="UL241" s="1055"/>
      <c r="UM241" s="1054"/>
      <c r="UN241" s="1055"/>
      <c r="UO241" s="1054"/>
      <c r="UP241" s="1055"/>
      <c r="UQ241" s="1054"/>
      <c r="UR241" s="1055"/>
      <c r="US241" s="1054"/>
      <c r="UT241" s="1055"/>
      <c r="UU241" s="1054"/>
      <c r="UV241" s="1055"/>
      <c r="UW241" s="1054"/>
      <c r="UX241" s="1055"/>
      <c r="UY241" s="1054"/>
      <c r="UZ241" s="1055"/>
      <c r="VA241" s="1054"/>
      <c r="VB241" s="1055"/>
      <c r="VC241" s="1054"/>
      <c r="VD241" s="1055"/>
      <c r="VE241" s="1054"/>
      <c r="VF241" s="1055"/>
      <c r="VG241" s="1054"/>
      <c r="VH241" s="1055"/>
      <c r="VI241" s="1054"/>
      <c r="VJ241" s="1055"/>
      <c r="VK241" s="1054"/>
      <c r="VL241" s="1055"/>
      <c r="VM241" s="1054"/>
      <c r="VN241" s="1055"/>
      <c r="VO241" s="1054"/>
      <c r="VP241" s="1055"/>
      <c r="VQ241" s="1054"/>
      <c r="VR241" s="1055"/>
      <c r="VS241" s="1054"/>
      <c r="VT241" s="1055"/>
      <c r="VU241" s="1054"/>
      <c r="VV241" s="1055"/>
      <c r="VW241" s="1054"/>
      <c r="VX241" s="1055"/>
      <c r="VY241" s="1054"/>
      <c r="VZ241" s="1055"/>
      <c r="WA241" s="1054"/>
      <c r="WB241" s="1055"/>
      <c r="WC241" s="1054"/>
      <c r="WD241" s="1055"/>
      <c r="WE241" s="1054"/>
      <c r="WF241" s="1055"/>
      <c r="WG241" s="1054"/>
      <c r="WH241" s="1055"/>
      <c r="WI241" s="1054"/>
      <c r="WJ241" s="1055"/>
      <c r="WK241" s="1054"/>
      <c r="WL241" s="1055"/>
      <c r="WM241" s="1054"/>
      <c r="WN241" s="1055"/>
      <c r="WO241" s="1054"/>
      <c r="WP241" s="1055"/>
      <c r="WQ241" s="1054"/>
      <c r="WR241" s="1055"/>
      <c r="WS241" s="1054"/>
      <c r="WT241" s="1055"/>
      <c r="WU241" s="1054"/>
      <c r="WV241" s="1055"/>
      <c r="WW241" s="1054"/>
      <c r="WX241" s="1055"/>
      <c r="WY241" s="1054"/>
      <c r="WZ241" s="1055"/>
      <c r="XA241" s="1054"/>
      <c r="XB241" s="1055"/>
      <c r="XC241" s="1054"/>
      <c r="XD241" s="1055"/>
      <c r="XE241" s="1054"/>
      <c r="XF241" s="1055"/>
      <c r="XG241" s="1054"/>
      <c r="XH241" s="1055"/>
      <c r="XI241" s="1054"/>
      <c r="XJ241" s="1055"/>
      <c r="XK241" s="1054"/>
      <c r="XL241" s="1055"/>
      <c r="XM241" s="1054"/>
      <c r="XN241" s="1055"/>
      <c r="XO241" s="1054"/>
      <c r="XP241" s="1055"/>
      <c r="XQ241" s="1054"/>
      <c r="XR241" s="1055"/>
      <c r="XS241" s="1054"/>
      <c r="XT241" s="1055"/>
      <c r="XU241" s="1054"/>
      <c r="XV241" s="1055"/>
      <c r="XW241" s="1054"/>
      <c r="XX241" s="1055"/>
      <c r="XY241" s="1054"/>
      <c r="XZ241" s="1055"/>
      <c r="YA241" s="1054"/>
      <c r="YB241" s="1055"/>
      <c r="YC241" s="1054"/>
      <c r="YD241" s="1055"/>
      <c r="YE241" s="1054"/>
      <c r="YF241" s="1055"/>
      <c r="YG241" s="1054"/>
      <c r="YH241" s="1055"/>
      <c r="YI241" s="1054"/>
      <c r="YJ241" s="1055"/>
      <c r="YK241" s="1054"/>
      <c r="YL241" s="1055"/>
      <c r="YM241" s="1054"/>
      <c r="YN241" s="1055"/>
      <c r="YO241" s="1054"/>
      <c r="YP241" s="1055"/>
      <c r="YQ241" s="1054"/>
      <c r="YR241" s="1055"/>
      <c r="YS241" s="1054"/>
      <c r="YT241" s="1055"/>
      <c r="YU241" s="1054"/>
      <c r="YV241" s="1055"/>
      <c r="YW241" s="1054"/>
      <c r="YX241" s="1055"/>
      <c r="YY241" s="1054"/>
      <c r="YZ241" s="1055"/>
      <c r="ZA241" s="1054"/>
      <c r="ZB241" s="1055"/>
      <c r="ZC241" s="1054"/>
      <c r="ZD241" s="1055"/>
      <c r="ZE241" s="1054"/>
      <c r="ZF241" s="1055"/>
      <c r="ZG241" s="1054"/>
      <c r="ZH241" s="1055"/>
      <c r="ZI241" s="1054"/>
      <c r="ZJ241" s="1055"/>
      <c r="ZK241" s="1054"/>
      <c r="ZL241" s="1055"/>
      <c r="ZM241" s="1054"/>
      <c r="ZN241" s="1055"/>
      <c r="ZO241" s="1054"/>
      <c r="ZP241" s="1055"/>
      <c r="ZQ241" s="1054"/>
      <c r="ZR241" s="1055"/>
      <c r="ZS241" s="1054"/>
      <c r="ZT241" s="1055"/>
      <c r="ZU241" s="1054"/>
      <c r="ZV241" s="1055"/>
      <c r="ZW241" s="1054"/>
      <c r="ZX241" s="1055"/>
      <c r="ZY241" s="1054"/>
      <c r="ZZ241" s="1055"/>
      <c r="AAA241" s="1054"/>
      <c r="AAB241" s="1055"/>
      <c r="AAC241" s="1054"/>
      <c r="AAD241" s="1055"/>
      <c r="AAE241" s="1054"/>
      <c r="AAF241" s="1055"/>
      <c r="AAG241" s="1054"/>
      <c r="AAH241" s="1055"/>
      <c r="AAI241" s="1054"/>
      <c r="AAJ241" s="1055"/>
      <c r="AAK241" s="1054"/>
      <c r="AAL241" s="1055"/>
      <c r="AAM241" s="1054"/>
      <c r="AAN241" s="1055"/>
      <c r="AAO241" s="1054"/>
      <c r="AAP241" s="1055"/>
      <c r="AAQ241" s="1054"/>
      <c r="AAR241" s="1055"/>
      <c r="AAS241" s="1054"/>
      <c r="AAT241" s="1055"/>
      <c r="AAU241" s="1054"/>
      <c r="AAV241" s="1055"/>
      <c r="AAW241" s="1054"/>
      <c r="AAX241" s="1055"/>
      <c r="AAY241" s="1054"/>
      <c r="AAZ241" s="1055"/>
      <c r="ABA241" s="1054"/>
      <c r="ABB241" s="1055"/>
      <c r="ABC241" s="1054"/>
      <c r="ABD241" s="1055"/>
      <c r="ABE241" s="1054"/>
      <c r="ABF241" s="1055"/>
      <c r="ABG241" s="1054"/>
      <c r="ABH241" s="1055"/>
      <c r="ABI241" s="1054"/>
      <c r="ABJ241" s="1055"/>
      <c r="ABK241" s="1054"/>
      <c r="ABL241" s="1055"/>
      <c r="ABM241" s="1054"/>
      <c r="ABN241" s="1055"/>
      <c r="ABO241" s="1054"/>
      <c r="ABP241" s="1055"/>
      <c r="ABQ241" s="1054"/>
      <c r="ABR241" s="1055"/>
      <c r="ABS241" s="1054"/>
      <c r="ABT241" s="1055"/>
      <c r="ABU241" s="1054"/>
      <c r="ABV241" s="1055"/>
      <c r="ABW241" s="1054"/>
      <c r="ABX241" s="1055"/>
      <c r="ABY241" s="1054"/>
      <c r="ABZ241" s="1055"/>
      <c r="ACA241" s="1054"/>
      <c r="ACB241" s="1055"/>
      <c r="ACC241" s="1054"/>
      <c r="ACD241" s="1055"/>
      <c r="ACE241" s="1054"/>
      <c r="ACF241" s="1055"/>
      <c r="ACG241" s="1054"/>
      <c r="ACH241" s="1055"/>
      <c r="ACI241" s="1054"/>
      <c r="ACJ241" s="1055"/>
      <c r="ACK241" s="1054"/>
      <c r="ACL241" s="1055"/>
      <c r="ACM241" s="1054"/>
      <c r="ACN241" s="1055"/>
      <c r="ACO241" s="1054"/>
      <c r="ACP241" s="1055"/>
      <c r="ACQ241" s="1054"/>
      <c r="ACR241" s="1055"/>
      <c r="ACS241" s="1054"/>
      <c r="ACT241" s="1055"/>
      <c r="ACU241" s="1054"/>
      <c r="ACV241" s="1055"/>
      <c r="ACW241" s="1054"/>
      <c r="ACX241" s="1055"/>
      <c r="ACY241" s="1054"/>
      <c r="ACZ241" s="1055"/>
      <c r="ADA241" s="1054"/>
      <c r="ADB241" s="1055"/>
      <c r="ADC241" s="1054"/>
      <c r="ADD241" s="1055"/>
      <c r="ADE241" s="1054"/>
      <c r="ADF241" s="1055"/>
      <c r="ADG241" s="1054"/>
      <c r="ADH241" s="1055"/>
      <c r="ADI241" s="1054"/>
      <c r="ADJ241" s="1055"/>
      <c r="ADK241" s="1054"/>
      <c r="ADL241" s="1055"/>
      <c r="ADM241" s="1054"/>
      <c r="ADN241" s="1055"/>
      <c r="ADO241" s="1054"/>
      <c r="ADP241" s="1055"/>
      <c r="ADQ241" s="1054"/>
      <c r="ADR241" s="1055"/>
      <c r="ADS241" s="1054"/>
      <c r="ADT241" s="1055"/>
      <c r="ADU241" s="1054"/>
      <c r="ADV241" s="1055"/>
      <c r="ADW241" s="1054"/>
      <c r="ADX241" s="1055"/>
      <c r="ADY241" s="1054"/>
      <c r="ADZ241" s="1055"/>
      <c r="AEA241" s="1054"/>
      <c r="AEB241" s="1055"/>
      <c r="AEC241" s="1054"/>
      <c r="AED241" s="1055"/>
      <c r="AEE241" s="1054"/>
      <c r="AEF241" s="1055"/>
      <c r="AEG241" s="1054"/>
      <c r="AEH241" s="1055"/>
      <c r="AEI241" s="1054"/>
      <c r="AEJ241" s="1055"/>
      <c r="AEK241" s="1054"/>
      <c r="AEL241" s="1055"/>
      <c r="AEM241" s="1054"/>
      <c r="AEN241" s="1055"/>
      <c r="AEO241" s="1054"/>
      <c r="AEP241" s="1055"/>
      <c r="AEQ241" s="1054"/>
      <c r="AER241" s="1055"/>
      <c r="AES241" s="1054"/>
      <c r="AET241" s="1055"/>
      <c r="AEU241" s="1054"/>
      <c r="AEV241" s="1055"/>
      <c r="AEW241" s="1054"/>
      <c r="AEX241" s="1055"/>
      <c r="AEY241" s="1054"/>
      <c r="AEZ241" s="1055"/>
      <c r="AFA241" s="1054"/>
      <c r="AFB241" s="1055"/>
      <c r="AFC241" s="1054"/>
      <c r="AFD241" s="1055"/>
      <c r="AFE241" s="1054"/>
      <c r="AFF241" s="1055"/>
      <c r="AFG241" s="1054"/>
      <c r="AFH241" s="1055"/>
      <c r="AFI241" s="1054"/>
      <c r="AFJ241" s="1055"/>
      <c r="AFK241" s="1054"/>
      <c r="AFL241" s="1055"/>
      <c r="AFM241" s="1054"/>
      <c r="AFN241" s="1055"/>
      <c r="AFO241" s="1054"/>
      <c r="AFP241" s="1055"/>
      <c r="AFQ241" s="1054"/>
      <c r="AFR241" s="1055"/>
      <c r="AFS241" s="1054"/>
      <c r="AFT241" s="1055"/>
      <c r="AFU241" s="1054"/>
      <c r="AFV241" s="1055"/>
      <c r="AFW241" s="1054"/>
      <c r="AFX241" s="1055"/>
      <c r="AFY241" s="1054"/>
      <c r="AFZ241" s="1055"/>
      <c r="AGA241" s="1054"/>
      <c r="AGB241" s="1055"/>
      <c r="AGC241" s="1054"/>
      <c r="AGD241" s="1055"/>
      <c r="AGE241" s="1054"/>
      <c r="AGF241" s="1055"/>
      <c r="AGG241" s="1054"/>
      <c r="AGH241" s="1055"/>
      <c r="AGI241" s="1054"/>
      <c r="AGJ241" s="1055"/>
      <c r="AGK241" s="1054"/>
      <c r="AGL241" s="1055"/>
      <c r="AGM241" s="1054"/>
      <c r="AGN241" s="1055"/>
      <c r="AGO241" s="1054"/>
      <c r="AGP241" s="1055"/>
      <c r="AGQ241" s="1054"/>
      <c r="AGR241" s="1055"/>
      <c r="AGS241" s="1054"/>
      <c r="AGT241" s="1055"/>
      <c r="AGU241" s="1054"/>
      <c r="AGV241" s="1055"/>
      <c r="AGW241" s="1054"/>
      <c r="AGX241" s="1055"/>
      <c r="AGY241" s="1054"/>
      <c r="AGZ241" s="1055"/>
      <c r="AHA241" s="1054"/>
      <c r="AHB241" s="1055"/>
      <c r="AHC241" s="1054"/>
      <c r="AHD241" s="1055"/>
      <c r="AHE241" s="1054"/>
      <c r="AHF241" s="1055"/>
      <c r="AHG241" s="1054"/>
      <c r="AHH241" s="1055"/>
      <c r="AHI241" s="1054"/>
      <c r="AHJ241" s="1055"/>
      <c r="AHK241" s="1054"/>
      <c r="AHL241" s="1055"/>
      <c r="AHM241" s="1054"/>
      <c r="AHN241" s="1055"/>
      <c r="AHO241" s="1054"/>
      <c r="AHP241" s="1055"/>
      <c r="AHQ241" s="1054"/>
      <c r="AHR241" s="1055"/>
      <c r="AHS241" s="1054"/>
      <c r="AHT241" s="1055"/>
      <c r="AHU241" s="1054"/>
      <c r="AHV241" s="1055"/>
      <c r="AHW241" s="1054"/>
      <c r="AHX241" s="1055"/>
      <c r="AHY241" s="1054"/>
      <c r="AHZ241" s="1055"/>
      <c r="AIA241" s="1054"/>
      <c r="AIB241" s="1055"/>
      <c r="AIC241" s="1054"/>
      <c r="AID241" s="1055"/>
      <c r="AIE241" s="1054"/>
      <c r="AIF241" s="1055"/>
      <c r="AIG241" s="1054"/>
      <c r="AIH241" s="1055"/>
      <c r="AII241" s="1054"/>
      <c r="AIJ241" s="1055"/>
      <c r="AIK241" s="1054"/>
      <c r="AIL241" s="1055"/>
      <c r="AIM241" s="1054"/>
      <c r="AIN241" s="1055"/>
      <c r="AIO241" s="1054"/>
      <c r="AIP241" s="1055"/>
      <c r="AIQ241" s="1054"/>
      <c r="AIR241" s="1055"/>
      <c r="AIS241" s="1054"/>
      <c r="AIT241" s="1055"/>
      <c r="AIU241" s="1054"/>
      <c r="AIV241" s="1055"/>
      <c r="AIW241" s="1054"/>
      <c r="AIX241" s="1055"/>
      <c r="AIY241" s="1054"/>
      <c r="AIZ241" s="1055"/>
      <c r="AJA241" s="1054"/>
      <c r="AJB241" s="1055"/>
      <c r="AJC241" s="1054"/>
      <c r="AJD241" s="1055"/>
      <c r="AJE241" s="1054"/>
      <c r="AJF241" s="1055"/>
      <c r="AJG241" s="1054"/>
      <c r="AJH241" s="1055"/>
      <c r="AJI241" s="1054"/>
      <c r="AJJ241" s="1055"/>
      <c r="AJK241" s="1054"/>
      <c r="AJL241" s="1055"/>
      <c r="AJM241" s="1054"/>
      <c r="AJN241" s="1055"/>
      <c r="AJO241" s="1054"/>
      <c r="AJP241" s="1055"/>
      <c r="AJQ241" s="1054"/>
      <c r="AJR241" s="1055"/>
      <c r="AJS241" s="1054"/>
      <c r="AJT241" s="1055"/>
      <c r="AJU241" s="1054"/>
      <c r="AJV241" s="1055"/>
      <c r="AJW241" s="1054"/>
      <c r="AJX241" s="1055"/>
      <c r="AJY241" s="1054"/>
      <c r="AJZ241" s="1055"/>
      <c r="AKA241" s="1054"/>
      <c r="AKB241" s="1055"/>
      <c r="AKC241" s="1054"/>
      <c r="AKD241" s="1055"/>
      <c r="AKE241" s="1054"/>
      <c r="AKF241" s="1055"/>
      <c r="AKG241" s="1054"/>
      <c r="AKH241" s="1055"/>
      <c r="AKI241" s="1054"/>
      <c r="AKJ241" s="1055"/>
      <c r="AKK241" s="1054"/>
      <c r="AKL241" s="1055"/>
      <c r="AKM241" s="1054"/>
      <c r="AKN241" s="1055"/>
      <c r="AKO241" s="1054"/>
      <c r="AKP241" s="1055"/>
      <c r="AKQ241" s="1054"/>
      <c r="AKR241" s="1055"/>
      <c r="AKS241" s="1054"/>
      <c r="AKT241" s="1055"/>
      <c r="AKU241" s="1054"/>
      <c r="AKV241" s="1055"/>
      <c r="AKW241" s="1054"/>
      <c r="AKX241" s="1055"/>
      <c r="AKY241" s="1054"/>
      <c r="AKZ241" s="1055"/>
      <c r="ALA241" s="1054"/>
      <c r="ALB241" s="1055"/>
      <c r="ALC241" s="1054"/>
      <c r="ALD241" s="1055"/>
      <c r="ALE241" s="1054"/>
      <c r="ALF241" s="1055"/>
      <c r="ALG241" s="1054"/>
      <c r="ALH241" s="1055"/>
      <c r="ALI241" s="1054"/>
      <c r="ALJ241" s="1055"/>
      <c r="ALK241" s="1054"/>
      <c r="ALL241" s="1055"/>
      <c r="ALM241" s="1054"/>
      <c r="ALN241" s="1055"/>
      <c r="ALO241" s="1054"/>
      <c r="ALP241" s="1055"/>
      <c r="ALQ241" s="1054"/>
      <c r="ALR241" s="1055"/>
      <c r="ALS241" s="1054"/>
      <c r="ALT241" s="1055"/>
      <c r="ALU241" s="1054"/>
      <c r="ALV241" s="1055"/>
      <c r="ALW241" s="1054"/>
      <c r="ALX241" s="1055"/>
      <c r="ALY241" s="1054"/>
      <c r="ALZ241" s="1055"/>
      <c r="AMA241" s="1054"/>
      <c r="AMB241" s="1055"/>
      <c r="AMC241" s="1054"/>
      <c r="AMD241" s="1055"/>
      <c r="AME241" s="1054"/>
      <c r="AMF241" s="1055"/>
      <c r="AMG241" s="1054"/>
      <c r="AMH241" s="1055"/>
      <c r="AMI241" s="1054"/>
      <c r="AMJ241" s="1055"/>
      <c r="AMK241" s="1054"/>
      <c r="AML241" s="1055"/>
      <c r="AMM241" s="1054"/>
      <c r="AMN241" s="1055"/>
      <c r="AMO241" s="1054"/>
      <c r="AMP241" s="1055"/>
      <c r="AMQ241" s="1054"/>
      <c r="AMR241" s="1055"/>
      <c r="AMS241" s="1054"/>
      <c r="AMT241" s="1055"/>
      <c r="AMU241" s="1054"/>
      <c r="AMV241" s="1055"/>
      <c r="AMW241" s="1054"/>
      <c r="AMX241" s="1055"/>
      <c r="AMY241" s="1054"/>
      <c r="AMZ241" s="1055"/>
      <c r="ANA241" s="1054"/>
      <c r="ANB241" s="1055"/>
      <c r="ANC241" s="1054"/>
      <c r="AND241" s="1055"/>
      <c r="ANE241" s="1054"/>
      <c r="ANF241" s="1055"/>
      <c r="ANG241" s="1054"/>
      <c r="ANH241" s="1055"/>
      <c r="ANI241" s="1054"/>
      <c r="ANJ241" s="1055"/>
      <c r="ANK241" s="1054"/>
      <c r="ANL241" s="1055"/>
      <c r="ANM241" s="1054"/>
      <c r="ANN241" s="1055"/>
      <c r="ANO241" s="1054"/>
      <c r="ANP241" s="1055"/>
      <c r="ANQ241" s="1054"/>
      <c r="ANR241" s="1055"/>
      <c r="ANS241" s="1054"/>
      <c r="ANT241" s="1055"/>
      <c r="ANU241" s="1054"/>
      <c r="ANV241" s="1055"/>
      <c r="ANW241" s="1054"/>
      <c r="ANX241" s="1055"/>
      <c r="ANY241" s="1054"/>
      <c r="ANZ241" s="1055"/>
      <c r="AOA241" s="1054"/>
      <c r="AOB241" s="1055"/>
      <c r="AOC241" s="1054"/>
      <c r="AOD241" s="1055"/>
      <c r="AOE241" s="1054"/>
      <c r="AOF241" s="1055"/>
      <c r="AOG241" s="1054"/>
      <c r="AOH241" s="1055"/>
      <c r="AOI241" s="1054"/>
      <c r="AOJ241" s="1055"/>
      <c r="AOK241" s="1054"/>
      <c r="AOL241" s="1055"/>
      <c r="AOM241" s="1054"/>
      <c r="AON241" s="1055"/>
      <c r="AOO241" s="1054"/>
      <c r="AOP241" s="1055"/>
      <c r="AOQ241" s="1054"/>
      <c r="AOR241" s="1055"/>
      <c r="AOS241" s="1054"/>
      <c r="AOT241" s="1055"/>
      <c r="AOU241" s="1054"/>
      <c r="AOV241" s="1055"/>
      <c r="AOW241" s="1054"/>
      <c r="AOX241" s="1055"/>
      <c r="AOY241" s="1054"/>
      <c r="AOZ241" s="1055"/>
      <c r="APA241" s="1054"/>
      <c r="APB241" s="1055"/>
      <c r="APC241" s="1054"/>
      <c r="APD241" s="1055"/>
      <c r="APE241" s="1054"/>
      <c r="APF241" s="1055"/>
      <c r="APG241" s="1054"/>
      <c r="APH241" s="1055"/>
      <c r="API241" s="1054"/>
      <c r="APJ241" s="1055"/>
      <c r="APK241" s="1054"/>
      <c r="APL241" s="1055"/>
      <c r="APM241" s="1054"/>
      <c r="APN241" s="1055"/>
      <c r="APO241" s="1054"/>
      <c r="APP241" s="1055"/>
      <c r="APQ241" s="1054"/>
      <c r="APR241" s="1055"/>
      <c r="APS241" s="1054"/>
      <c r="APT241" s="1055"/>
      <c r="APU241" s="1054"/>
      <c r="APV241" s="1055"/>
      <c r="APW241" s="1054"/>
      <c r="APX241" s="1055"/>
      <c r="APY241" s="1054"/>
      <c r="APZ241" s="1055"/>
      <c r="AQA241" s="1054"/>
      <c r="AQB241" s="1055"/>
      <c r="AQC241" s="1054"/>
      <c r="AQD241" s="1055"/>
      <c r="AQE241" s="1054"/>
      <c r="AQF241" s="1055"/>
      <c r="AQG241" s="1054"/>
      <c r="AQH241" s="1055"/>
      <c r="AQI241" s="1054"/>
      <c r="AQJ241" s="1055"/>
      <c r="AQK241" s="1054"/>
      <c r="AQL241" s="1055"/>
      <c r="AQM241" s="1054"/>
      <c r="AQN241" s="1055"/>
      <c r="AQO241" s="1054"/>
      <c r="AQP241" s="1055"/>
      <c r="AQQ241" s="1054"/>
      <c r="AQR241" s="1055"/>
      <c r="AQS241" s="1054"/>
      <c r="AQT241" s="1055"/>
      <c r="AQU241" s="1054"/>
      <c r="AQV241" s="1055"/>
      <c r="AQW241" s="1054"/>
      <c r="AQX241" s="1055"/>
      <c r="AQY241" s="1054"/>
      <c r="AQZ241" s="1055"/>
      <c r="ARA241" s="1054"/>
      <c r="ARB241" s="1055"/>
      <c r="ARC241" s="1054"/>
      <c r="ARD241" s="1055"/>
      <c r="ARE241" s="1054"/>
      <c r="ARF241" s="1055"/>
      <c r="ARG241" s="1054"/>
      <c r="ARH241" s="1055"/>
      <c r="ARI241" s="1054"/>
      <c r="ARJ241" s="1055"/>
      <c r="ARK241" s="1054"/>
      <c r="ARL241" s="1055"/>
      <c r="ARM241" s="1054"/>
      <c r="ARN241" s="1055"/>
      <c r="ARO241" s="1054"/>
      <c r="ARP241" s="1055"/>
      <c r="ARQ241" s="1054"/>
      <c r="ARR241" s="1055"/>
      <c r="ARS241" s="1054"/>
      <c r="ART241" s="1055"/>
      <c r="ARU241" s="1054"/>
      <c r="ARV241" s="1055"/>
      <c r="ARW241" s="1054"/>
      <c r="ARX241" s="1055"/>
      <c r="ARY241" s="1054"/>
      <c r="ARZ241" s="1055"/>
      <c r="ASA241" s="1054"/>
      <c r="ASB241" s="1055"/>
      <c r="ASC241" s="1054"/>
      <c r="ASD241" s="1055"/>
      <c r="ASE241" s="1054"/>
      <c r="ASF241" s="1055"/>
      <c r="ASG241" s="1054"/>
      <c r="ASH241" s="1055"/>
      <c r="ASI241" s="1054"/>
      <c r="ASJ241" s="1055"/>
      <c r="ASK241" s="1054"/>
      <c r="ASL241" s="1055"/>
      <c r="ASM241" s="1054"/>
      <c r="ASN241" s="1055"/>
      <c r="ASO241" s="1054"/>
      <c r="ASP241" s="1055"/>
      <c r="ASQ241" s="1054"/>
      <c r="ASR241" s="1055"/>
      <c r="ASS241" s="1054"/>
      <c r="AST241" s="1055"/>
      <c r="ASU241" s="1054"/>
      <c r="ASV241" s="1055"/>
      <c r="ASW241" s="1054"/>
      <c r="ASX241" s="1055"/>
      <c r="ASY241" s="1054"/>
      <c r="ASZ241" s="1055"/>
      <c r="ATA241" s="1054"/>
      <c r="ATB241" s="1055"/>
      <c r="ATC241" s="1054"/>
      <c r="ATD241" s="1055"/>
      <c r="ATE241" s="1054"/>
      <c r="ATF241" s="1055"/>
      <c r="ATG241" s="1054"/>
      <c r="ATH241" s="1055"/>
      <c r="ATI241" s="1054"/>
      <c r="ATJ241" s="1055"/>
      <c r="ATK241" s="1054"/>
      <c r="ATL241" s="1055"/>
      <c r="ATM241" s="1054"/>
      <c r="ATN241" s="1055"/>
      <c r="ATO241" s="1054"/>
      <c r="ATP241" s="1055"/>
      <c r="ATQ241" s="1054"/>
      <c r="ATR241" s="1055"/>
      <c r="ATS241" s="1054"/>
      <c r="ATT241" s="1055"/>
      <c r="ATU241" s="1054"/>
      <c r="ATV241" s="1055"/>
      <c r="ATW241" s="1054"/>
      <c r="ATX241" s="1055"/>
      <c r="ATY241" s="1054"/>
      <c r="ATZ241" s="1055"/>
      <c r="AUA241" s="1054"/>
      <c r="AUB241" s="1055"/>
      <c r="AUC241" s="1054"/>
      <c r="AUD241" s="1055"/>
      <c r="AUE241" s="1054"/>
      <c r="AUF241" s="1055"/>
      <c r="AUG241" s="1054"/>
      <c r="AUH241" s="1055"/>
      <c r="AUI241" s="1054"/>
      <c r="AUJ241" s="1055"/>
      <c r="AUK241" s="1054"/>
      <c r="AUL241" s="1055"/>
      <c r="AUM241" s="1054"/>
      <c r="AUN241" s="1055"/>
      <c r="AUO241" s="1054"/>
      <c r="AUP241" s="1055"/>
      <c r="AUQ241" s="1054"/>
      <c r="AUR241" s="1055"/>
      <c r="AUS241" s="1054"/>
      <c r="AUT241" s="1055"/>
      <c r="AUU241" s="1054"/>
      <c r="AUV241" s="1055"/>
      <c r="AUW241" s="1054"/>
      <c r="AUX241" s="1055"/>
      <c r="AUY241" s="1054"/>
      <c r="AUZ241" s="1055"/>
      <c r="AVA241" s="1054"/>
      <c r="AVB241" s="1055"/>
      <c r="AVC241" s="1054"/>
      <c r="AVD241" s="1055"/>
      <c r="AVE241" s="1054"/>
      <c r="AVF241" s="1055"/>
      <c r="AVG241" s="1054"/>
      <c r="AVH241" s="1055"/>
      <c r="AVI241" s="1054"/>
      <c r="AVJ241" s="1055"/>
      <c r="AVK241" s="1054"/>
      <c r="AVL241" s="1055"/>
      <c r="AVM241" s="1054"/>
      <c r="AVN241" s="1055"/>
      <c r="AVO241" s="1054"/>
      <c r="AVP241" s="1055"/>
      <c r="AVQ241" s="1054"/>
      <c r="AVR241" s="1055"/>
      <c r="AVS241" s="1054"/>
      <c r="AVT241" s="1055"/>
      <c r="AVU241" s="1054"/>
      <c r="AVV241" s="1055"/>
      <c r="AVW241" s="1054"/>
      <c r="AVX241" s="1055"/>
      <c r="AVY241" s="1054"/>
      <c r="AVZ241" s="1055"/>
      <c r="AWA241" s="1054"/>
      <c r="AWB241" s="1055"/>
      <c r="AWC241" s="1054"/>
      <c r="AWD241" s="1055"/>
      <c r="AWE241" s="1054"/>
      <c r="AWF241" s="1055"/>
      <c r="AWG241" s="1054"/>
      <c r="AWH241" s="1055"/>
      <c r="AWI241" s="1054"/>
      <c r="AWJ241" s="1055"/>
      <c r="AWK241" s="1054"/>
      <c r="AWL241" s="1055"/>
      <c r="AWM241" s="1054"/>
      <c r="AWN241" s="1055"/>
      <c r="AWO241" s="1054"/>
      <c r="AWP241" s="1055"/>
      <c r="AWQ241" s="1054"/>
      <c r="AWR241" s="1055"/>
      <c r="AWS241" s="1054"/>
      <c r="AWT241" s="1055"/>
      <c r="AWU241" s="1054"/>
      <c r="AWV241" s="1055"/>
      <c r="AWW241" s="1054"/>
      <c r="AWX241" s="1055"/>
      <c r="AWY241" s="1054"/>
      <c r="AWZ241" s="1055"/>
      <c r="AXA241" s="1054"/>
      <c r="AXB241" s="1055"/>
      <c r="AXC241" s="1054"/>
      <c r="AXD241" s="1055"/>
      <c r="AXE241" s="1054"/>
      <c r="AXF241" s="1055"/>
      <c r="AXG241" s="1054"/>
      <c r="AXH241" s="1055"/>
      <c r="AXI241" s="1054"/>
      <c r="AXJ241" s="1055"/>
      <c r="AXK241" s="1054"/>
      <c r="AXL241" s="1055"/>
      <c r="AXM241" s="1054"/>
      <c r="AXN241" s="1055"/>
      <c r="AXO241" s="1054"/>
      <c r="AXP241" s="1055"/>
      <c r="AXQ241" s="1054"/>
      <c r="AXR241" s="1055"/>
      <c r="AXS241" s="1054"/>
      <c r="AXT241" s="1055"/>
      <c r="AXU241" s="1054"/>
      <c r="AXV241" s="1055"/>
      <c r="AXW241" s="1054"/>
      <c r="AXX241" s="1055"/>
      <c r="AXY241" s="1054"/>
      <c r="AXZ241" s="1055"/>
      <c r="AYA241" s="1054"/>
      <c r="AYB241" s="1055"/>
      <c r="AYC241" s="1054"/>
      <c r="AYD241" s="1055"/>
      <c r="AYE241" s="1054"/>
      <c r="AYF241" s="1055"/>
      <c r="AYG241" s="1054"/>
      <c r="AYH241" s="1055"/>
      <c r="AYI241" s="1054"/>
      <c r="AYJ241" s="1055"/>
      <c r="AYK241" s="1054"/>
      <c r="AYL241" s="1055"/>
      <c r="AYM241" s="1054"/>
      <c r="AYN241" s="1055"/>
      <c r="AYO241" s="1054"/>
      <c r="AYP241" s="1055"/>
      <c r="AYQ241" s="1054"/>
      <c r="AYR241" s="1055"/>
      <c r="AYS241" s="1054"/>
      <c r="AYT241" s="1055"/>
      <c r="AYU241" s="1054"/>
      <c r="AYV241" s="1055"/>
      <c r="AYW241" s="1054"/>
      <c r="AYX241" s="1055"/>
      <c r="AYY241" s="1054"/>
      <c r="AYZ241" s="1055"/>
      <c r="AZA241" s="1054"/>
      <c r="AZB241" s="1055"/>
      <c r="AZC241" s="1054"/>
      <c r="AZD241" s="1055"/>
      <c r="AZE241" s="1054"/>
      <c r="AZF241" s="1055"/>
      <c r="AZG241" s="1054"/>
      <c r="AZH241" s="1055"/>
      <c r="AZI241" s="1054"/>
      <c r="AZJ241" s="1055"/>
      <c r="AZK241" s="1054"/>
      <c r="AZL241" s="1055"/>
      <c r="AZM241" s="1054"/>
      <c r="AZN241" s="1055"/>
      <c r="AZO241" s="1054"/>
      <c r="AZP241" s="1055"/>
      <c r="AZQ241" s="1054"/>
      <c r="AZR241" s="1055"/>
      <c r="AZS241" s="1054"/>
      <c r="AZT241" s="1055"/>
      <c r="AZU241" s="1054"/>
      <c r="AZV241" s="1055"/>
      <c r="AZW241" s="1054"/>
      <c r="AZX241" s="1055"/>
      <c r="AZY241" s="1054"/>
      <c r="AZZ241" s="1055"/>
      <c r="BAA241" s="1054"/>
      <c r="BAB241" s="1055"/>
      <c r="BAC241" s="1054"/>
      <c r="BAD241" s="1055"/>
      <c r="BAE241" s="1054"/>
      <c r="BAF241" s="1055"/>
      <c r="BAG241" s="1054"/>
      <c r="BAH241" s="1055"/>
      <c r="BAI241" s="1054"/>
      <c r="BAJ241" s="1055"/>
      <c r="BAK241" s="1054"/>
      <c r="BAL241" s="1055"/>
      <c r="BAM241" s="1054"/>
      <c r="BAN241" s="1055"/>
      <c r="BAO241" s="1054"/>
      <c r="BAP241" s="1055"/>
      <c r="BAQ241" s="1054"/>
      <c r="BAR241" s="1055"/>
      <c r="BAS241" s="1054"/>
      <c r="BAT241" s="1055"/>
      <c r="BAU241" s="1054"/>
      <c r="BAV241" s="1055"/>
      <c r="BAW241" s="1054"/>
      <c r="BAX241" s="1055"/>
      <c r="BAY241" s="1054"/>
      <c r="BAZ241" s="1055"/>
      <c r="BBA241" s="1054"/>
      <c r="BBB241" s="1055"/>
      <c r="BBC241" s="1054"/>
      <c r="BBD241" s="1055"/>
      <c r="BBE241" s="1054"/>
      <c r="BBF241" s="1055"/>
      <c r="BBG241" s="1054"/>
      <c r="BBH241" s="1055"/>
      <c r="BBI241" s="1054"/>
      <c r="BBJ241" s="1055"/>
      <c r="BBK241" s="1054"/>
      <c r="BBL241" s="1055"/>
      <c r="BBM241" s="1054"/>
      <c r="BBN241" s="1055"/>
      <c r="BBO241" s="1054"/>
      <c r="BBP241" s="1055"/>
      <c r="BBQ241" s="1054"/>
      <c r="BBR241" s="1055"/>
      <c r="BBS241" s="1054"/>
      <c r="BBT241" s="1055"/>
      <c r="BBU241" s="1054"/>
      <c r="BBV241" s="1055"/>
      <c r="BBW241" s="1054"/>
      <c r="BBX241" s="1055"/>
      <c r="BBY241" s="1054"/>
      <c r="BBZ241" s="1055"/>
      <c r="BCA241" s="1054"/>
      <c r="BCB241" s="1055"/>
      <c r="BCC241" s="1054"/>
      <c r="BCD241" s="1055"/>
      <c r="BCE241" s="1054"/>
      <c r="BCF241" s="1055"/>
      <c r="BCG241" s="1054"/>
      <c r="BCH241" s="1055"/>
      <c r="BCI241" s="1054"/>
      <c r="BCJ241" s="1055"/>
      <c r="BCK241" s="1054"/>
      <c r="BCL241" s="1055"/>
      <c r="BCM241" s="1054"/>
      <c r="BCN241" s="1055"/>
      <c r="BCO241" s="1054"/>
      <c r="BCP241" s="1055"/>
      <c r="BCQ241" s="1054"/>
      <c r="BCR241" s="1055"/>
      <c r="BCS241" s="1054"/>
      <c r="BCT241" s="1055"/>
      <c r="BCU241" s="1054"/>
      <c r="BCV241" s="1055"/>
      <c r="BCW241" s="1054"/>
      <c r="BCX241" s="1055"/>
      <c r="BCY241" s="1054"/>
      <c r="BCZ241" s="1055"/>
      <c r="BDA241" s="1054"/>
      <c r="BDB241" s="1055"/>
      <c r="BDC241" s="1054"/>
      <c r="BDD241" s="1055"/>
      <c r="BDE241" s="1054"/>
      <c r="BDF241" s="1055"/>
      <c r="BDG241" s="1054"/>
      <c r="BDH241" s="1055"/>
      <c r="BDI241" s="1054"/>
      <c r="BDJ241" s="1055"/>
      <c r="BDK241" s="1054"/>
      <c r="BDL241" s="1055"/>
      <c r="BDM241" s="1054"/>
      <c r="BDN241" s="1055"/>
      <c r="BDO241" s="1054"/>
      <c r="BDP241" s="1055"/>
      <c r="BDQ241" s="1054"/>
      <c r="BDR241" s="1055"/>
      <c r="BDS241" s="1054"/>
      <c r="BDT241" s="1055"/>
      <c r="BDU241" s="1054"/>
      <c r="BDV241" s="1055"/>
      <c r="BDW241" s="1054"/>
      <c r="BDX241" s="1055"/>
      <c r="BDY241" s="1054"/>
      <c r="BDZ241" s="1055"/>
      <c r="BEA241" s="1054"/>
      <c r="BEB241" s="1055"/>
      <c r="BEC241" s="1054"/>
      <c r="BED241" s="1055"/>
      <c r="BEE241" s="1054"/>
      <c r="BEF241" s="1055"/>
      <c r="BEG241" s="1054"/>
      <c r="BEH241" s="1055"/>
      <c r="BEI241" s="1054"/>
      <c r="BEJ241" s="1055"/>
      <c r="BEK241" s="1054"/>
      <c r="BEL241" s="1055"/>
      <c r="BEM241" s="1054"/>
      <c r="BEN241" s="1055"/>
      <c r="BEO241" s="1054"/>
      <c r="BEP241" s="1055"/>
      <c r="BEQ241" s="1054"/>
      <c r="BER241" s="1055"/>
      <c r="BES241" s="1054"/>
      <c r="BET241" s="1055"/>
      <c r="BEU241" s="1054"/>
      <c r="BEV241" s="1055"/>
      <c r="BEW241" s="1054"/>
      <c r="BEX241" s="1055"/>
      <c r="BEY241" s="1054"/>
      <c r="BEZ241" s="1055"/>
      <c r="BFA241" s="1054"/>
      <c r="BFB241" s="1055"/>
      <c r="BFC241" s="1054"/>
      <c r="BFD241" s="1055"/>
      <c r="BFE241" s="1054"/>
      <c r="BFF241" s="1055"/>
      <c r="BFG241" s="1054"/>
      <c r="BFH241" s="1055"/>
      <c r="BFI241" s="1054"/>
      <c r="BFJ241" s="1055"/>
      <c r="BFK241" s="1054"/>
      <c r="BFL241" s="1055"/>
      <c r="BFM241" s="1054"/>
      <c r="BFN241" s="1055"/>
      <c r="BFO241" s="1054"/>
      <c r="BFP241" s="1055"/>
      <c r="BFQ241" s="1054"/>
      <c r="BFR241" s="1055"/>
      <c r="BFS241" s="1054"/>
      <c r="BFT241" s="1055"/>
      <c r="BFU241" s="1054"/>
      <c r="BFV241" s="1055"/>
      <c r="BFW241" s="1054"/>
      <c r="BFX241" s="1055"/>
      <c r="BFY241" s="1054"/>
      <c r="BFZ241" s="1055"/>
      <c r="BGA241" s="1054"/>
      <c r="BGB241" s="1055"/>
      <c r="BGC241" s="1054"/>
      <c r="BGD241" s="1055"/>
      <c r="BGE241" s="1054"/>
      <c r="BGF241" s="1055"/>
      <c r="BGG241" s="1054"/>
      <c r="BGH241" s="1055"/>
      <c r="BGI241" s="1054"/>
      <c r="BGJ241" s="1055"/>
      <c r="BGK241" s="1054"/>
      <c r="BGL241" s="1055"/>
      <c r="BGM241" s="1054"/>
      <c r="BGN241" s="1055"/>
      <c r="BGO241" s="1054"/>
      <c r="BGP241" s="1055"/>
      <c r="BGQ241" s="1054"/>
      <c r="BGR241" s="1055"/>
      <c r="BGS241" s="1054"/>
      <c r="BGT241" s="1055"/>
      <c r="BGU241" s="1054"/>
      <c r="BGV241" s="1055"/>
      <c r="BGW241" s="1054"/>
      <c r="BGX241" s="1055"/>
      <c r="BGY241" s="1054"/>
      <c r="BGZ241" s="1055"/>
      <c r="BHA241" s="1054"/>
      <c r="BHB241" s="1055"/>
      <c r="BHC241" s="1054"/>
      <c r="BHD241" s="1055"/>
      <c r="BHE241" s="1054"/>
      <c r="BHF241" s="1055"/>
      <c r="BHG241" s="1054"/>
      <c r="BHH241" s="1055"/>
      <c r="BHI241" s="1054"/>
      <c r="BHJ241" s="1055"/>
      <c r="BHK241" s="1054"/>
      <c r="BHL241" s="1055"/>
      <c r="BHM241" s="1054"/>
      <c r="BHN241" s="1055"/>
      <c r="BHO241" s="1054"/>
      <c r="BHP241" s="1055"/>
      <c r="BHQ241" s="1054"/>
      <c r="BHR241" s="1055"/>
      <c r="BHS241" s="1054"/>
      <c r="BHT241" s="1055"/>
      <c r="BHU241" s="1054"/>
      <c r="BHV241" s="1055"/>
      <c r="BHW241" s="1054"/>
      <c r="BHX241" s="1055"/>
      <c r="BHY241" s="1054"/>
      <c r="BHZ241" s="1055"/>
      <c r="BIA241" s="1054"/>
      <c r="BIB241" s="1055"/>
      <c r="BIC241" s="1054"/>
      <c r="BID241" s="1055"/>
      <c r="BIE241" s="1054"/>
      <c r="BIF241" s="1055"/>
      <c r="BIG241" s="1054"/>
      <c r="BIH241" s="1055"/>
      <c r="BII241" s="1054"/>
      <c r="BIJ241" s="1055"/>
      <c r="BIK241" s="1054"/>
      <c r="BIL241" s="1055"/>
      <c r="BIM241" s="1054"/>
      <c r="BIN241" s="1055"/>
      <c r="BIO241" s="1054"/>
      <c r="BIP241" s="1055"/>
      <c r="BIQ241" s="1054"/>
      <c r="BIR241" s="1055"/>
      <c r="BIS241" s="1054"/>
      <c r="BIT241" s="1055"/>
      <c r="BIU241" s="1054"/>
      <c r="BIV241" s="1055"/>
      <c r="BIW241" s="1054"/>
      <c r="BIX241" s="1055"/>
      <c r="BIY241" s="1054"/>
      <c r="BIZ241" s="1055"/>
      <c r="BJA241" s="1054"/>
      <c r="BJB241" s="1055"/>
      <c r="BJC241" s="1054"/>
      <c r="BJD241" s="1055"/>
      <c r="BJE241" s="1054"/>
      <c r="BJF241" s="1055"/>
      <c r="BJG241" s="1054"/>
      <c r="BJH241" s="1055"/>
      <c r="BJI241" s="1054"/>
      <c r="BJJ241" s="1055"/>
      <c r="BJK241" s="1054"/>
      <c r="BJL241" s="1055"/>
      <c r="BJM241" s="1054"/>
      <c r="BJN241" s="1055"/>
      <c r="BJO241" s="1054"/>
      <c r="BJP241" s="1055"/>
      <c r="BJQ241" s="1054"/>
      <c r="BJR241" s="1055"/>
      <c r="BJS241" s="1054"/>
      <c r="BJT241" s="1055"/>
      <c r="BJU241" s="1054"/>
      <c r="BJV241" s="1055"/>
      <c r="BJW241" s="1054"/>
      <c r="BJX241" s="1055"/>
      <c r="BJY241" s="1054"/>
      <c r="BJZ241" s="1055"/>
      <c r="BKA241" s="1054"/>
      <c r="BKB241" s="1055"/>
      <c r="BKC241" s="1054"/>
      <c r="BKD241" s="1055"/>
      <c r="BKE241" s="1054"/>
      <c r="BKF241" s="1055"/>
      <c r="BKG241" s="1054"/>
      <c r="BKH241" s="1055"/>
      <c r="BKI241" s="1054"/>
      <c r="BKJ241" s="1055"/>
      <c r="BKK241" s="1054"/>
      <c r="BKL241" s="1055"/>
      <c r="BKM241" s="1054"/>
      <c r="BKN241" s="1055"/>
      <c r="BKO241" s="1054"/>
      <c r="BKP241" s="1055"/>
      <c r="BKQ241" s="1054"/>
      <c r="BKR241" s="1055"/>
      <c r="BKS241" s="1054"/>
      <c r="BKT241" s="1055"/>
      <c r="BKU241" s="1054"/>
      <c r="BKV241" s="1055"/>
      <c r="BKW241" s="1054"/>
      <c r="BKX241" s="1055"/>
      <c r="BKY241" s="1054"/>
      <c r="BKZ241" s="1055"/>
      <c r="BLA241" s="1054"/>
      <c r="BLB241" s="1055"/>
      <c r="BLC241" s="1054"/>
      <c r="BLD241" s="1055"/>
      <c r="BLE241" s="1054"/>
      <c r="BLF241" s="1055"/>
      <c r="BLG241" s="1054"/>
      <c r="BLH241" s="1055"/>
      <c r="BLI241" s="1054"/>
      <c r="BLJ241" s="1055"/>
      <c r="BLK241" s="1054"/>
      <c r="BLL241" s="1055"/>
      <c r="BLM241" s="1054"/>
      <c r="BLN241" s="1055"/>
      <c r="BLO241" s="1054"/>
      <c r="BLP241" s="1055"/>
      <c r="BLQ241" s="1054"/>
      <c r="BLR241" s="1055"/>
      <c r="BLS241" s="1054"/>
      <c r="BLT241" s="1055"/>
      <c r="BLU241" s="1054"/>
      <c r="BLV241" s="1055"/>
      <c r="BLW241" s="1054"/>
      <c r="BLX241" s="1055"/>
      <c r="BLY241" s="1054"/>
      <c r="BLZ241" s="1055"/>
      <c r="BMA241" s="1054"/>
      <c r="BMB241" s="1055"/>
      <c r="BMC241" s="1054"/>
      <c r="BMD241" s="1055"/>
      <c r="BME241" s="1054"/>
      <c r="BMF241" s="1055"/>
      <c r="BMG241" s="1054"/>
      <c r="BMH241" s="1055"/>
      <c r="BMI241" s="1054"/>
      <c r="BMJ241" s="1055"/>
      <c r="BMK241" s="1054"/>
      <c r="BML241" s="1055"/>
      <c r="BMM241" s="1054"/>
      <c r="BMN241" s="1055"/>
      <c r="BMO241" s="1054"/>
      <c r="BMP241" s="1055"/>
      <c r="BMQ241" s="1054"/>
      <c r="BMR241" s="1055"/>
      <c r="BMS241" s="1054"/>
      <c r="BMT241" s="1055"/>
      <c r="BMU241" s="1054"/>
      <c r="BMV241" s="1055"/>
      <c r="BMW241" s="1054"/>
      <c r="BMX241" s="1055"/>
      <c r="BMY241" s="1054"/>
      <c r="BMZ241" s="1055"/>
      <c r="BNA241" s="1054"/>
      <c r="BNB241" s="1055"/>
      <c r="BNC241" s="1054"/>
      <c r="BND241" s="1055"/>
      <c r="BNE241" s="1054"/>
      <c r="BNF241" s="1055"/>
      <c r="BNG241" s="1054"/>
      <c r="BNH241" s="1055"/>
      <c r="BNI241" s="1054"/>
      <c r="BNJ241" s="1055"/>
      <c r="BNK241" s="1054"/>
      <c r="BNL241" s="1055"/>
      <c r="BNM241" s="1054"/>
      <c r="BNN241" s="1055"/>
      <c r="BNO241" s="1054"/>
      <c r="BNP241" s="1055"/>
      <c r="BNQ241" s="1054"/>
      <c r="BNR241" s="1055"/>
      <c r="BNS241" s="1054"/>
      <c r="BNT241" s="1055"/>
      <c r="BNU241" s="1054"/>
      <c r="BNV241" s="1055"/>
      <c r="BNW241" s="1054"/>
      <c r="BNX241" s="1055"/>
      <c r="BNY241" s="1054"/>
      <c r="BNZ241" s="1055"/>
      <c r="BOA241" s="1054"/>
      <c r="BOB241" s="1055"/>
      <c r="BOC241" s="1054"/>
      <c r="BOD241" s="1055"/>
      <c r="BOE241" s="1054"/>
      <c r="BOF241" s="1055"/>
      <c r="BOG241" s="1054"/>
      <c r="BOH241" s="1055"/>
      <c r="BOI241" s="1054"/>
      <c r="BOJ241" s="1055"/>
      <c r="BOK241" s="1054"/>
      <c r="BOL241" s="1055"/>
      <c r="BOM241" s="1054"/>
      <c r="BON241" s="1055"/>
      <c r="BOO241" s="1054"/>
      <c r="BOP241" s="1055"/>
      <c r="BOQ241" s="1054"/>
      <c r="BOR241" s="1055"/>
      <c r="BOS241" s="1054"/>
      <c r="BOT241" s="1055"/>
      <c r="BOU241" s="1054"/>
      <c r="BOV241" s="1055"/>
      <c r="BOW241" s="1054"/>
      <c r="BOX241" s="1055"/>
      <c r="BOY241" s="1054"/>
      <c r="BOZ241" s="1055"/>
      <c r="BPA241" s="1054"/>
      <c r="BPB241" s="1055"/>
      <c r="BPC241" s="1054"/>
      <c r="BPD241" s="1055"/>
      <c r="BPE241" s="1054"/>
      <c r="BPF241" s="1055"/>
      <c r="BPG241" s="1054"/>
      <c r="BPH241" s="1055"/>
      <c r="BPI241" s="1054"/>
      <c r="BPJ241" s="1055"/>
      <c r="BPK241" s="1054"/>
      <c r="BPL241" s="1055"/>
      <c r="BPM241" s="1054"/>
      <c r="BPN241" s="1055"/>
      <c r="BPO241" s="1054"/>
      <c r="BPP241" s="1055"/>
      <c r="BPQ241" s="1054"/>
      <c r="BPR241" s="1055"/>
      <c r="BPS241" s="1054"/>
      <c r="BPT241" s="1055"/>
      <c r="BPU241" s="1054"/>
      <c r="BPV241" s="1055"/>
      <c r="BPW241" s="1054"/>
      <c r="BPX241" s="1055"/>
      <c r="BPY241" s="1054"/>
      <c r="BPZ241" s="1055"/>
      <c r="BQA241" s="1054"/>
      <c r="BQB241" s="1055"/>
      <c r="BQC241" s="1054"/>
      <c r="BQD241" s="1055"/>
      <c r="BQE241" s="1054"/>
      <c r="BQF241" s="1055"/>
      <c r="BQG241" s="1054"/>
      <c r="BQH241" s="1055"/>
      <c r="BQI241" s="1054"/>
      <c r="BQJ241" s="1055"/>
      <c r="BQK241" s="1054"/>
      <c r="BQL241" s="1055"/>
      <c r="BQM241" s="1054"/>
      <c r="BQN241" s="1055"/>
      <c r="BQO241" s="1054"/>
      <c r="BQP241" s="1055"/>
      <c r="BQQ241" s="1054"/>
      <c r="BQR241" s="1055"/>
      <c r="BQS241" s="1054"/>
      <c r="BQT241" s="1055"/>
      <c r="BQU241" s="1054"/>
      <c r="BQV241" s="1055"/>
      <c r="BQW241" s="1054"/>
      <c r="BQX241" s="1055"/>
      <c r="BQY241" s="1054"/>
      <c r="BQZ241" s="1055"/>
      <c r="BRA241" s="1054"/>
      <c r="BRB241" s="1055"/>
      <c r="BRC241" s="1054"/>
      <c r="BRD241" s="1055"/>
      <c r="BRE241" s="1054"/>
      <c r="BRF241" s="1055"/>
      <c r="BRG241" s="1054"/>
      <c r="BRH241" s="1055"/>
      <c r="BRI241" s="1054"/>
      <c r="BRJ241" s="1055"/>
      <c r="BRK241" s="1054"/>
      <c r="BRL241" s="1055"/>
      <c r="BRM241" s="1054"/>
      <c r="BRN241" s="1055"/>
      <c r="BRO241" s="1054"/>
      <c r="BRP241" s="1055"/>
      <c r="BRQ241" s="1054"/>
      <c r="BRR241" s="1055"/>
      <c r="BRS241" s="1054"/>
      <c r="BRT241" s="1055"/>
      <c r="BRU241" s="1054"/>
      <c r="BRV241" s="1055"/>
      <c r="BRW241" s="1054"/>
      <c r="BRX241" s="1055"/>
      <c r="BRY241" s="1054"/>
      <c r="BRZ241" s="1055"/>
      <c r="BSA241" s="1054"/>
      <c r="BSB241" s="1055"/>
      <c r="BSC241" s="1054"/>
      <c r="BSD241" s="1055"/>
      <c r="BSE241" s="1054"/>
      <c r="BSF241" s="1055"/>
      <c r="BSG241" s="1054"/>
      <c r="BSH241" s="1055"/>
      <c r="BSI241" s="1054"/>
      <c r="BSJ241" s="1055"/>
      <c r="BSK241" s="1054"/>
      <c r="BSL241" s="1055"/>
      <c r="BSM241" s="1054"/>
      <c r="BSN241" s="1055"/>
      <c r="BSO241" s="1054"/>
      <c r="BSP241" s="1055"/>
      <c r="BSQ241" s="1054"/>
      <c r="BSR241" s="1055"/>
      <c r="BSS241" s="1054"/>
      <c r="BST241" s="1055"/>
      <c r="BSU241" s="1054"/>
      <c r="BSV241" s="1055"/>
      <c r="BSW241" s="1054"/>
      <c r="BSX241" s="1055"/>
      <c r="BSY241" s="1054"/>
      <c r="BSZ241" s="1055"/>
      <c r="BTA241" s="1054"/>
      <c r="BTB241" s="1055"/>
      <c r="BTC241" s="1054"/>
      <c r="BTD241" s="1055"/>
      <c r="BTE241" s="1054"/>
      <c r="BTF241" s="1055"/>
      <c r="BTG241" s="1054"/>
      <c r="BTH241" s="1055"/>
      <c r="BTI241" s="1054"/>
      <c r="BTJ241" s="1055"/>
      <c r="BTK241" s="1054"/>
      <c r="BTL241" s="1055"/>
      <c r="BTM241" s="1054"/>
      <c r="BTN241" s="1055"/>
      <c r="BTO241" s="1054"/>
      <c r="BTP241" s="1055"/>
      <c r="BTQ241" s="1054"/>
      <c r="BTR241" s="1055"/>
      <c r="BTS241" s="1054"/>
      <c r="BTT241" s="1055"/>
      <c r="BTU241" s="1054"/>
      <c r="BTV241" s="1055"/>
      <c r="BTW241" s="1054"/>
      <c r="BTX241" s="1055"/>
      <c r="BTY241" s="1054"/>
      <c r="BTZ241" s="1055"/>
      <c r="BUA241" s="1054"/>
      <c r="BUB241" s="1055"/>
      <c r="BUC241" s="1054"/>
      <c r="BUD241" s="1055"/>
      <c r="BUE241" s="1054"/>
      <c r="BUF241" s="1055"/>
      <c r="BUG241" s="1054"/>
      <c r="BUH241" s="1055"/>
      <c r="BUI241" s="1054"/>
      <c r="BUJ241" s="1055"/>
      <c r="BUK241" s="1054"/>
      <c r="BUL241" s="1055"/>
      <c r="BUM241" s="1054"/>
      <c r="BUN241" s="1055"/>
      <c r="BUO241" s="1054"/>
      <c r="BUP241" s="1055"/>
      <c r="BUQ241" s="1054"/>
      <c r="BUR241" s="1055"/>
      <c r="BUS241" s="1054"/>
      <c r="BUT241" s="1055"/>
      <c r="BUU241" s="1054"/>
      <c r="BUV241" s="1055"/>
      <c r="BUW241" s="1054"/>
      <c r="BUX241" s="1055"/>
      <c r="BUY241" s="1054"/>
      <c r="BUZ241" s="1055"/>
      <c r="BVA241" s="1054"/>
      <c r="BVB241" s="1055"/>
      <c r="BVC241" s="1054"/>
      <c r="BVD241" s="1055"/>
      <c r="BVE241" s="1054"/>
      <c r="BVF241" s="1055"/>
      <c r="BVG241" s="1054"/>
      <c r="BVH241" s="1055"/>
      <c r="BVI241" s="1054"/>
      <c r="BVJ241" s="1055"/>
      <c r="BVK241" s="1054"/>
      <c r="BVL241" s="1055"/>
      <c r="BVM241" s="1054"/>
      <c r="BVN241" s="1055"/>
      <c r="BVO241" s="1054"/>
      <c r="BVP241" s="1055"/>
      <c r="BVQ241" s="1054"/>
      <c r="BVR241" s="1055"/>
      <c r="BVS241" s="1054"/>
      <c r="BVT241" s="1055"/>
      <c r="BVU241" s="1054"/>
      <c r="BVV241" s="1055"/>
      <c r="BVW241" s="1054"/>
      <c r="BVX241" s="1055"/>
      <c r="BVY241" s="1054"/>
      <c r="BVZ241" s="1055"/>
      <c r="BWA241" s="1054"/>
      <c r="BWB241" s="1055"/>
      <c r="BWC241" s="1054"/>
      <c r="BWD241" s="1055"/>
      <c r="BWE241" s="1054"/>
      <c r="BWF241" s="1055"/>
      <c r="BWG241" s="1054"/>
      <c r="BWH241" s="1055"/>
      <c r="BWI241" s="1054"/>
      <c r="BWJ241" s="1055"/>
      <c r="BWK241" s="1054"/>
      <c r="BWL241" s="1055"/>
      <c r="BWM241" s="1054"/>
      <c r="BWN241" s="1055"/>
      <c r="BWO241" s="1054"/>
      <c r="BWP241" s="1055"/>
      <c r="BWQ241" s="1054"/>
      <c r="BWR241" s="1055"/>
      <c r="BWS241" s="1054"/>
      <c r="BWT241" s="1055"/>
      <c r="BWU241" s="1054"/>
      <c r="BWV241" s="1055"/>
      <c r="BWW241" s="1054"/>
      <c r="BWX241" s="1055"/>
      <c r="BWY241" s="1054"/>
      <c r="BWZ241" s="1055"/>
      <c r="BXA241" s="1054"/>
      <c r="BXB241" s="1055"/>
      <c r="BXC241" s="1054"/>
      <c r="BXD241" s="1055"/>
      <c r="BXE241" s="1054"/>
      <c r="BXF241" s="1055"/>
      <c r="BXG241" s="1054"/>
      <c r="BXH241" s="1055"/>
      <c r="BXI241" s="1054"/>
      <c r="BXJ241" s="1055"/>
      <c r="BXK241" s="1054"/>
      <c r="BXL241" s="1055"/>
      <c r="BXM241" s="1054"/>
      <c r="BXN241" s="1055"/>
      <c r="BXO241" s="1054"/>
      <c r="BXP241" s="1055"/>
      <c r="BXQ241" s="1054"/>
      <c r="BXR241" s="1055"/>
      <c r="BXS241" s="1054"/>
      <c r="BXT241" s="1055"/>
      <c r="BXU241" s="1054"/>
      <c r="BXV241" s="1055"/>
      <c r="BXW241" s="1054"/>
      <c r="BXX241" s="1055"/>
      <c r="BXY241" s="1054"/>
      <c r="BXZ241" s="1055"/>
      <c r="BYA241" s="1054"/>
      <c r="BYB241" s="1055"/>
      <c r="BYC241" s="1054"/>
      <c r="BYD241" s="1055"/>
      <c r="BYE241" s="1054"/>
      <c r="BYF241" s="1055"/>
      <c r="BYG241" s="1054"/>
      <c r="BYH241" s="1055"/>
      <c r="BYI241" s="1054"/>
      <c r="BYJ241" s="1055"/>
      <c r="BYK241" s="1054"/>
      <c r="BYL241" s="1055"/>
      <c r="BYM241" s="1054"/>
      <c r="BYN241" s="1055"/>
      <c r="BYO241" s="1054"/>
      <c r="BYP241" s="1055"/>
      <c r="BYQ241" s="1054"/>
      <c r="BYR241" s="1055"/>
      <c r="BYS241" s="1054"/>
      <c r="BYT241" s="1055"/>
      <c r="BYU241" s="1054"/>
      <c r="BYV241" s="1055"/>
      <c r="BYW241" s="1054"/>
      <c r="BYX241" s="1055"/>
      <c r="BYY241" s="1054"/>
      <c r="BYZ241" s="1055"/>
      <c r="BZA241" s="1054"/>
      <c r="BZB241" s="1055"/>
      <c r="BZC241" s="1054"/>
      <c r="BZD241" s="1055"/>
      <c r="BZE241" s="1054"/>
      <c r="BZF241" s="1055"/>
      <c r="BZG241" s="1054"/>
      <c r="BZH241" s="1055"/>
      <c r="BZI241" s="1054"/>
      <c r="BZJ241" s="1055"/>
      <c r="BZK241" s="1054"/>
      <c r="BZL241" s="1055"/>
      <c r="BZM241" s="1054"/>
      <c r="BZN241" s="1055"/>
      <c r="BZO241" s="1054"/>
      <c r="BZP241" s="1055"/>
      <c r="BZQ241" s="1054"/>
      <c r="BZR241" s="1055"/>
      <c r="BZS241" s="1054"/>
      <c r="BZT241" s="1055"/>
      <c r="BZU241" s="1054"/>
      <c r="BZV241" s="1055"/>
      <c r="BZW241" s="1054"/>
      <c r="BZX241" s="1055"/>
      <c r="BZY241" s="1054"/>
      <c r="BZZ241" s="1055"/>
      <c r="CAA241" s="1054"/>
      <c r="CAB241" s="1055"/>
      <c r="CAC241" s="1054"/>
      <c r="CAD241" s="1055"/>
      <c r="CAE241" s="1054"/>
      <c r="CAF241" s="1055"/>
      <c r="CAG241" s="1054"/>
      <c r="CAH241" s="1055"/>
      <c r="CAI241" s="1054"/>
      <c r="CAJ241" s="1055"/>
      <c r="CAK241" s="1054"/>
      <c r="CAL241" s="1055"/>
      <c r="CAM241" s="1054"/>
      <c r="CAN241" s="1055"/>
      <c r="CAO241" s="1054"/>
      <c r="CAP241" s="1055"/>
      <c r="CAQ241" s="1054"/>
      <c r="CAR241" s="1055"/>
      <c r="CAS241" s="1054"/>
      <c r="CAT241" s="1055"/>
      <c r="CAU241" s="1054"/>
      <c r="CAV241" s="1055"/>
      <c r="CAW241" s="1054"/>
      <c r="CAX241" s="1055"/>
      <c r="CAY241" s="1054"/>
      <c r="CAZ241" s="1055"/>
      <c r="CBA241" s="1054"/>
      <c r="CBB241" s="1055"/>
      <c r="CBC241" s="1054"/>
      <c r="CBD241" s="1055"/>
      <c r="CBE241" s="1054"/>
      <c r="CBF241" s="1055"/>
      <c r="CBG241" s="1054"/>
      <c r="CBH241" s="1055"/>
      <c r="CBI241" s="1054"/>
      <c r="CBJ241" s="1055"/>
      <c r="CBK241" s="1054"/>
      <c r="CBL241" s="1055"/>
      <c r="CBM241" s="1054"/>
      <c r="CBN241" s="1055"/>
      <c r="CBO241" s="1054"/>
      <c r="CBP241" s="1055"/>
      <c r="CBQ241" s="1054"/>
      <c r="CBR241" s="1055"/>
      <c r="CBS241" s="1054"/>
      <c r="CBT241" s="1055"/>
      <c r="CBU241" s="1054"/>
      <c r="CBV241" s="1055"/>
      <c r="CBW241" s="1054"/>
      <c r="CBX241" s="1055"/>
      <c r="CBY241" s="1054"/>
      <c r="CBZ241" s="1055"/>
      <c r="CCA241" s="1054"/>
      <c r="CCB241" s="1055"/>
      <c r="CCC241" s="1054"/>
      <c r="CCD241" s="1055"/>
      <c r="CCE241" s="1054"/>
      <c r="CCF241" s="1055"/>
      <c r="CCG241" s="1054"/>
      <c r="CCH241" s="1055"/>
      <c r="CCI241" s="1054"/>
      <c r="CCJ241" s="1055"/>
      <c r="CCK241" s="1054"/>
      <c r="CCL241" s="1055"/>
      <c r="CCM241" s="1054"/>
      <c r="CCN241" s="1055"/>
      <c r="CCO241" s="1054"/>
      <c r="CCP241" s="1055"/>
      <c r="CCQ241" s="1054"/>
      <c r="CCR241" s="1055"/>
      <c r="CCS241" s="1054"/>
      <c r="CCT241" s="1055"/>
      <c r="CCU241" s="1054"/>
      <c r="CCV241" s="1055"/>
      <c r="CCW241" s="1054"/>
      <c r="CCX241" s="1055"/>
      <c r="CCY241" s="1054"/>
      <c r="CCZ241" s="1055"/>
      <c r="CDA241" s="1054"/>
      <c r="CDB241" s="1055"/>
      <c r="CDC241" s="1054"/>
      <c r="CDD241" s="1055"/>
      <c r="CDE241" s="1054"/>
      <c r="CDF241" s="1055"/>
      <c r="CDG241" s="1054"/>
      <c r="CDH241" s="1055"/>
      <c r="CDI241" s="1054"/>
      <c r="CDJ241" s="1055"/>
      <c r="CDK241" s="1054"/>
      <c r="CDL241" s="1055"/>
      <c r="CDM241" s="1054"/>
      <c r="CDN241" s="1055"/>
      <c r="CDO241" s="1054"/>
      <c r="CDP241" s="1055"/>
      <c r="CDQ241" s="1054"/>
      <c r="CDR241" s="1055"/>
      <c r="CDS241" s="1054"/>
      <c r="CDT241" s="1055"/>
      <c r="CDU241" s="1054"/>
      <c r="CDV241" s="1055"/>
      <c r="CDW241" s="1054"/>
      <c r="CDX241" s="1055"/>
      <c r="CDY241" s="1054"/>
      <c r="CDZ241" s="1055"/>
      <c r="CEA241" s="1054"/>
      <c r="CEB241" s="1055"/>
      <c r="CEC241" s="1054"/>
      <c r="CED241" s="1055"/>
      <c r="CEE241" s="1054"/>
      <c r="CEF241" s="1055"/>
      <c r="CEG241" s="1054"/>
      <c r="CEH241" s="1055"/>
      <c r="CEI241" s="1054"/>
      <c r="CEJ241" s="1055"/>
      <c r="CEK241" s="1054"/>
      <c r="CEL241" s="1055"/>
      <c r="CEM241" s="1054"/>
      <c r="CEN241" s="1055"/>
      <c r="CEO241" s="1054"/>
      <c r="CEP241" s="1055"/>
      <c r="CEQ241" s="1054"/>
      <c r="CER241" s="1055"/>
      <c r="CES241" s="1054"/>
      <c r="CET241" s="1055"/>
      <c r="CEU241" s="1054"/>
      <c r="CEV241" s="1055"/>
      <c r="CEW241" s="1054"/>
      <c r="CEX241" s="1055"/>
      <c r="CEY241" s="1054"/>
      <c r="CEZ241" s="1055"/>
      <c r="CFA241" s="1054"/>
      <c r="CFB241" s="1055"/>
      <c r="CFC241" s="1054"/>
      <c r="CFD241" s="1055"/>
      <c r="CFE241" s="1054"/>
      <c r="CFF241" s="1055"/>
      <c r="CFG241" s="1054"/>
      <c r="CFH241" s="1055"/>
      <c r="CFI241" s="1054"/>
      <c r="CFJ241" s="1055"/>
      <c r="CFK241" s="1054"/>
      <c r="CFL241" s="1055"/>
      <c r="CFM241" s="1054"/>
      <c r="CFN241" s="1055"/>
      <c r="CFO241" s="1054"/>
      <c r="CFP241" s="1055"/>
      <c r="CFQ241" s="1054"/>
      <c r="CFR241" s="1055"/>
      <c r="CFS241" s="1054"/>
      <c r="CFT241" s="1055"/>
      <c r="CFU241" s="1054"/>
      <c r="CFV241" s="1055"/>
      <c r="CFW241" s="1054"/>
      <c r="CFX241" s="1055"/>
      <c r="CFY241" s="1054"/>
      <c r="CFZ241" s="1055"/>
      <c r="CGA241" s="1054"/>
      <c r="CGB241" s="1055"/>
      <c r="CGC241" s="1054"/>
      <c r="CGD241" s="1055"/>
      <c r="CGE241" s="1054"/>
      <c r="CGF241" s="1055"/>
      <c r="CGG241" s="1054"/>
      <c r="CGH241" s="1055"/>
      <c r="CGI241" s="1054"/>
      <c r="CGJ241" s="1055"/>
      <c r="CGK241" s="1054"/>
      <c r="CGL241" s="1055"/>
      <c r="CGM241" s="1054"/>
      <c r="CGN241" s="1055"/>
      <c r="CGO241" s="1054"/>
      <c r="CGP241" s="1055"/>
      <c r="CGQ241" s="1054"/>
      <c r="CGR241" s="1055"/>
      <c r="CGS241" s="1054"/>
      <c r="CGT241" s="1055"/>
      <c r="CGU241" s="1054"/>
      <c r="CGV241" s="1055"/>
      <c r="CGW241" s="1054"/>
      <c r="CGX241" s="1055"/>
      <c r="CGY241" s="1054"/>
      <c r="CGZ241" s="1055"/>
      <c r="CHA241" s="1054"/>
      <c r="CHB241" s="1055"/>
      <c r="CHC241" s="1054"/>
      <c r="CHD241" s="1055"/>
      <c r="CHE241" s="1054"/>
      <c r="CHF241" s="1055"/>
      <c r="CHG241" s="1054"/>
      <c r="CHH241" s="1055"/>
      <c r="CHI241" s="1054"/>
      <c r="CHJ241" s="1055"/>
      <c r="CHK241" s="1054"/>
      <c r="CHL241" s="1055"/>
      <c r="CHM241" s="1054"/>
      <c r="CHN241" s="1055"/>
      <c r="CHO241" s="1054"/>
      <c r="CHP241" s="1055"/>
      <c r="CHQ241" s="1054"/>
      <c r="CHR241" s="1055"/>
      <c r="CHS241" s="1054"/>
      <c r="CHT241" s="1055"/>
      <c r="CHU241" s="1054"/>
      <c r="CHV241" s="1055"/>
      <c r="CHW241" s="1054"/>
      <c r="CHX241" s="1055"/>
      <c r="CHY241" s="1054"/>
      <c r="CHZ241" s="1055"/>
      <c r="CIA241" s="1054"/>
      <c r="CIB241" s="1055"/>
      <c r="CIC241" s="1054"/>
      <c r="CID241" s="1055"/>
      <c r="CIE241" s="1054"/>
      <c r="CIF241" s="1055"/>
      <c r="CIG241" s="1054"/>
      <c r="CIH241" s="1055"/>
      <c r="CII241" s="1054"/>
      <c r="CIJ241" s="1055"/>
      <c r="CIK241" s="1054"/>
      <c r="CIL241" s="1055"/>
      <c r="CIM241" s="1054"/>
      <c r="CIN241" s="1055"/>
      <c r="CIO241" s="1054"/>
      <c r="CIP241" s="1055"/>
      <c r="CIQ241" s="1054"/>
      <c r="CIR241" s="1055"/>
      <c r="CIS241" s="1054"/>
      <c r="CIT241" s="1055"/>
      <c r="CIU241" s="1054"/>
      <c r="CIV241" s="1055"/>
      <c r="CIW241" s="1054"/>
      <c r="CIX241" s="1055"/>
      <c r="CIY241" s="1054"/>
      <c r="CIZ241" s="1055"/>
      <c r="CJA241" s="1054"/>
      <c r="CJB241" s="1055"/>
      <c r="CJC241" s="1054"/>
      <c r="CJD241" s="1055"/>
      <c r="CJE241" s="1054"/>
      <c r="CJF241" s="1055"/>
      <c r="CJG241" s="1054"/>
      <c r="CJH241" s="1055"/>
      <c r="CJI241" s="1054"/>
      <c r="CJJ241" s="1055"/>
      <c r="CJK241" s="1054"/>
      <c r="CJL241" s="1055"/>
      <c r="CJM241" s="1054"/>
      <c r="CJN241" s="1055"/>
      <c r="CJO241" s="1054"/>
      <c r="CJP241" s="1055"/>
      <c r="CJQ241" s="1054"/>
      <c r="CJR241" s="1055"/>
      <c r="CJS241" s="1054"/>
      <c r="CJT241" s="1055"/>
      <c r="CJU241" s="1054"/>
      <c r="CJV241" s="1055"/>
      <c r="CJW241" s="1054"/>
      <c r="CJX241" s="1055"/>
      <c r="CJY241" s="1054"/>
      <c r="CJZ241" s="1055"/>
      <c r="CKA241" s="1054"/>
      <c r="CKB241" s="1055"/>
      <c r="CKC241" s="1054"/>
      <c r="CKD241" s="1055"/>
      <c r="CKE241" s="1054"/>
      <c r="CKF241" s="1055"/>
      <c r="CKG241" s="1054"/>
      <c r="CKH241" s="1055"/>
      <c r="CKI241" s="1054"/>
      <c r="CKJ241" s="1055"/>
      <c r="CKK241" s="1054"/>
      <c r="CKL241" s="1055"/>
      <c r="CKM241" s="1054"/>
      <c r="CKN241" s="1055"/>
      <c r="CKO241" s="1054"/>
      <c r="CKP241" s="1055"/>
      <c r="CKQ241" s="1054"/>
      <c r="CKR241" s="1055"/>
      <c r="CKS241" s="1054"/>
      <c r="CKT241" s="1055"/>
      <c r="CKU241" s="1054"/>
      <c r="CKV241" s="1055"/>
      <c r="CKW241" s="1054"/>
      <c r="CKX241" s="1055"/>
      <c r="CKY241" s="1054"/>
      <c r="CKZ241" s="1055"/>
      <c r="CLA241" s="1054"/>
      <c r="CLB241" s="1055"/>
      <c r="CLC241" s="1054"/>
      <c r="CLD241" s="1055"/>
      <c r="CLE241" s="1054"/>
      <c r="CLF241" s="1055"/>
      <c r="CLG241" s="1054"/>
      <c r="CLH241" s="1055"/>
      <c r="CLI241" s="1054"/>
      <c r="CLJ241" s="1055"/>
      <c r="CLK241" s="1054"/>
      <c r="CLL241" s="1055"/>
      <c r="CLM241" s="1054"/>
      <c r="CLN241" s="1055"/>
      <c r="CLO241" s="1054"/>
      <c r="CLP241" s="1055"/>
      <c r="CLQ241" s="1054"/>
      <c r="CLR241" s="1055"/>
      <c r="CLS241" s="1054"/>
      <c r="CLT241" s="1055"/>
      <c r="CLU241" s="1054"/>
      <c r="CLV241" s="1055"/>
      <c r="CLW241" s="1054"/>
      <c r="CLX241" s="1055"/>
      <c r="CLY241" s="1054"/>
      <c r="CLZ241" s="1055"/>
      <c r="CMA241" s="1054"/>
      <c r="CMB241" s="1055"/>
      <c r="CMC241" s="1054"/>
      <c r="CMD241" s="1055"/>
      <c r="CME241" s="1054"/>
      <c r="CMF241" s="1055"/>
      <c r="CMG241" s="1054"/>
      <c r="CMH241" s="1055"/>
      <c r="CMI241" s="1054"/>
      <c r="CMJ241" s="1055"/>
      <c r="CMK241" s="1054"/>
      <c r="CML241" s="1055"/>
      <c r="CMM241" s="1054"/>
      <c r="CMN241" s="1055"/>
      <c r="CMO241" s="1054"/>
      <c r="CMP241" s="1055"/>
      <c r="CMQ241" s="1054"/>
      <c r="CMR241" s="1055"/>
      <c r="CMS241" s="1054"/>
      <c r="CMT241" s="1055"/>
      <c r="CMU241" s="1054"/>
      <c r="CMV241" s="1055"/>
      <c r="CMW241" s="1054"/>
      <c r="CMX241" s="1055"/>
      <c r="CMY241" s="1054"/>
      <c r="CMZ241" s="1055"/>
      <c r="CNA241" s="1054"/>
      <c r="CNB241" s="1055"/>
      <c r="CNC241" s="1054"/>
      <c r="CND241" s="1055"/>
      <c r="CNE241" s="1054"/>
      <c r="CNF241" s="1055"/>
      <c r="CNG241" s="1054"/>
      <c r="CNH241" s="1055"/>
      <c r="CNI241" s="1054"/>
      <c r="CNJ241" s="1055"/>
      <c r="CNK241" s="1054"/>
      <c r="CNL241" s="1055"/>
      <c r="CNM241" s="1054"/>
      <c r="CNN241" s="1055"/>
      <c r="CNO241" s="1054"/>
      <c r="CNP241" s="1055"/>
      <c r="CNQ241" s="1054"/>
      <c r="CNR241" s="1055"/>
      <c r="CNS241" s="1054"/>
      <c r="CNT241" s="1055"/>
      <c r="CNU241" s="1054"/>
      <c r="CNV241" s="1055"/>
      <c r="CNW241" s="1054"/>
      <c r="CNX241" s="1055"/>
      <c r="CNY241" s="1054"/>
      <c r="CNZ241" s="1055"/>
      <c r="COA241" s="1054"/>
      <c r="COB241" s="1055"/>
      <c r="COC241" s="1054"/>
      <c r="COD241" s="1055"/>
      <c r="COE241" s="1054"/>
      <c r="COF241" s="1055"/>
      <c r="COG241" s="1054"/>
      <c r="COH241" s="1055"/>
      <c r="COI241" s="1054"/>
      <c r="COJ241" s="1055"/>
      <c r="COK241" s="1054"/>
      <c r="COL241" s="1055"/>
      <c r="COM241" s="1054"/>
      <c r="CON241" s="1055"/>
      <c r="COO241" s="1054"/>
      <c r="COP241" s="1055"/>
      <c r="COQ241" s="1054"/>
      <c r="COR241" s="1055"/>
      <c r="COS241" s="1054"/>
      <c r="COT241" s="1055"/>
      <c r="COU241" s="1054"/>
      <c r="COV241" s="1055"/>
      <c r="COW241" s="1054"/>
      <c r="COX241" s="1055"/>
      <c r="COY241" s="1054"/>
      <c r="COZ241" s="1055"/>
      <c r="CPA241" s="1054"/>
      <c r="CPB241" s="1055"/>
      <c r="CPC241" s="1054"/>
      <c r="CPD241" s="1055"/>
      <c r="CPE241" s="1054"/>
      <c r="CPF241" s="1055"/>
      <c r="CPG241" s="1054"/>
      <c r="CPH241" s="1055"/>
      <c r="CPI241" s="1054"/>
      <c r="CPJ241" s="1055"/>
      <c r="CPK241" s="1054"/>
      <c r="CPL241" s="1055"/>
      <c r="CPM241" s="1054"/>
      <c r="CPN241" s="1055"/>
      <c r="CPO241" s="1054"/>
      <c r="CPP241" s="1055"/>
      <c r="CPQ241" s="1054"/>
      <c r="CPR241" s="1055"/>
      <c r="CPS241" s="1054"/>
      <c r="CPT241" s="1055"/>
      <c r="CPU241" s="1054"/>
      <c r="CPV241" s="1055"/>
      <c r="CPW241" s="1054"/>
      <c r="CPX241" s="1055"/>
      <c r="CPY241" s="1054"/>
      <c r="CPZ241" s="1055"/>
      <c r="CQA241" s="1054"/>
      <c r="CQB241" s="1055"/>
      <c r="CQC241" s="1054"/>
      <c r="CQD241" s="1055"/>
      <c r="CQE241" s="1054"/>
      <c r="CQF241" s="1055"/>
      <c r="CQG241" s="1054"/>
      <c r="CQH241" s="1055"/>
      <c r="CQI241" s="1054"/>
      <c r="CQJ241" s="1055"/>
      <c r="CQK241" s="1054"/>
      <c r="CQL241" s="1055"/>
      <c r="CQM241" s="1054"/>
      <c r="CQN241" s="1055"/>
      <c r="CQO241" s="1054"/>
      <c r="CQP241" s="1055"/>
      <c r="CQQ241" s="1054"/>
      <c r="CQR241" s="1055"/>
      <c r="CQS241" s="1054"/>
      <c r="CQT241" s="1055"/>
      <c r="CQU241" s="1054"/>
      <c r="CQV241" s="1055"/>
      <c r="CQW241" s="1054"/>
      <c r="CQX241" s="1055"/>
      <c r="CQY241" s="1054"/>
      <c r="CQZ241" s="1055"/>
      <c r="CRA241" s="1054"/>
      <c r="CRB241" s="1055"/>
      <c r="CRC241" s="1054"/>
      <c r="CRD241" s="1055"/>
      <c r="CRE241" s="1054"/>
      <c r="CRF241" s="1055"/>
      <c r="CRG241" s="1054"/>
      <c r="CRH241" s="1055"/>
      <c r="CRI241" s="1054"/>
      <c r="CRJ241" s="1055"/>
      <c r="CRK241" s="1054"/>
      <c r="CRL241" s="1055"/>
      <c r="CRM241" s="1054"/>
      <c r="CRN241" s="1055"/>
      <c r="CRO241" s="1054"/>
      <c r="CRP241" s="1055"/>
      <c r="CRQ241" s="1054"/>
      <c r="CRR241" s="1055"/>
      <c r="CRS241" s="1054"/>
      <c r="CRT241" s="1055"/>
      <c r="CRU241" s="1054"/>
      <c r="CRV241" s="1055"/>
      <c r="CRW241" s="1054"/>
      <c r="CRX241" s="1055"/>
      <c r="CRY241" s="1054"/>
      <c r="CRZ241" s="1055"/>
      <c r="CSA241" s="1054"/>
      <c r="CSB241" s="1055"/>
      <c r="CSC241" s="1054"/>
      <c r="CSD241" s="1055"/>
      <c r="CSE241" s="1054"/>
      <c r="CSF241" s="1055"/>
      <c r="CSG241" s="1054"/>
      <c r="CSH241" s="1055"/>
      <c r="CSI241" s="1054"/>
      <c r="CSJ241" s="1055"/>
      <c r="CSK241" s="1054"/>
      <c r="CSL241" s="1055"/>
      <c r="CSM241" s="1054"/>
      <c r="CSN241" s="1055"/>
      <c r="CSO241" s="1054"/>
      <c r="CSP241" s="1055"/>
      <c r="CSQ241" s="1054"/>
      <c r="CSR241" s="1055"/>
      <c r="CSS241" s="1054"/>
      <c r="CST241" s="1055"/>
      <c r="CSU241" s="1054"/>
      <c r="CSV241" s="1055"/>
      <c r="CSW241" s="1054"/>
      <c r="CSX241" s="1055"/>
      <c r="CSY241" s="1054"/>
      <c r="CSZ241" s="1055"/>
      <c r="CTA241" s="1054"/>
      <c r="CTB241" s="1055"/>
      <c r="CTC241" s="1054"/>
      <c r="CTD241" s="1055"/>
      <c r="CTE241" s="1054"/>
      <c r="CTF241" s="1055"/>
      <c r="CTG241" s="1054"/>
      <c r="CTH241" s="1055"/>
      <c r="CTI241" s="1054"/>
      <c r="CTJ241" s="1055"/>
      <c r="CTK241" s="1054"/>
      <c r="CTL241" s="1055"/>
      <c r="CTM241" s="1054"/>
      <c r="CTN241" s="1055"/>
      <c r="CTO241" s="1054"/>
      <c r="CTP241" s="1055"/>
      <c r="CTQ241" s="1054"/>
      <c r="CTR241" s="1055"/>
      <c r="CTS241" s="1054"/>
      <c r="CTT241" s="1055"/>
      <c r="CTU241" s="1054"/>
      <c r="CTV241" s="1055"/>
      <c r="CTW241" s="1054"/>
      <c r="CTX241" s="1055"/>
      <c r="CTY241" s="1054"/>
      <c r="CTZ241" s="1055"/>
      <c r="CUA241" s="1054"/>
      <c r="CUB241" s="1055"/>
      <c r="CUC241" s="1054"/>
      <c r="CUD241" s="1055"/>
      <c r="CUE241" s="1054"/>
      <c r="CUF241" s="1055"/>
      <c r="CUG241" s="1054"/>
      <c r="CUH241" s="1055"/>
      <c r="CUI241" s="1054"/>
      <c r="CUJ241" s="1055"/>
      <c r="CUK241" s="1054"/>
      <c r="CUL241" s="1055"/>
      <c r="CUM241" s="1054"/>
      <c r="CUN241" s="1055"/>
      <c r="CUO241" s="1054"/>
      <c r="CUP241" s="1055"/>
      <c r="CUQ241" s="1054"/>
      <c r="CUR241" s="1055"/>
      <c r="CUS241" s="1054"/>
      <c r="CUT241" s="1055"/>
      <c r="CUU241" s="1054"/>
      <c r="CUV241" s="1055"/>
      <c r="CUW241" s="1054"/>
      <c r="CUX241" s="1055"/>
      <c r="CUY241" s="1054"/>
      <c r="CUZ241" s="1055"/>
      <c r="CVA241" s="1054"/>
      <c r="CVB241" s="1055"/>
      <c r="CVC241" s="1054"/>
      <c r="CVD241" s="1055"/>
      <c r="CVE241" s="1054"/>
      <c r="CVF241" s="1055"/>
      <c r="CVG241" s="1054"/>
      <c r="CVH241" s="1055"/>
      <c r="CVI241" s="1054"/>
      <c r="CVJ241" s="1055"/>
      <c r="CVK241" s="1054"/>
      <c r="CVL241" s="1055"/>
      <c r="CVM241" s="1054"/>
      <c r="CVN241" s="1055"/>
      <c r="CVO241" s="1054"/>
      <c r="CVP241" s="1055"/>
      <c r="CVQ241" s="1054"/>
      <c r="CVR241" s="1055"/>
      <c r="CVS241" s="1054"/>
      <c r="CVT241" s="1055"/>
      <c r="CVU241" s="1054"/>
      <c r="CVV241" s="1055"/>
      <c r="CVW241" s="1054"/>
      <c r="CVX241" s="1055"/>
      <c r="CVY241" s="1054"/>
      <c r="CVZ241" s="1055"/>
      <c r="CWA241" s="1054"/>
      <c r="CWB241" s="1055"/>
      <c r="CWC241" s="1054"/>
      <c r="CWD241" s="1055"/>
      <c r="CWE241" s="1054"/>
      <c r="CWF241" s="1055"/>
      <c r="CWG241" s="1054"/>
      <c r="CWH241" s="1055"/>
      <c r="CWI241" s="1054"/>
      <c r="CWJ241" s="1055"/>
      <c r="CWK241" s="1054"/>
      <c r="CWL241" s="1055"/>
      <c r="CWM241" s="1054"/>
      <c r="CWN241" s="1055"/>
      <c r="CWO241" s="1054"/>
      <c r="CWP241" s="1055"/>
      <c r="CWQ241" s="1054"/>
      <c r="CWR241" s="1055"/>
      <c r="CWS241" s="1054"/>
      <c r="CWT241" s="1055"/>
      <c r="CWU241" s="1054"/>
      <c r="CWV241" s="1055"/>
      <c r="CWW241" s="1054"/>
      <c r="CWX241" s="1055"/>
      <c r="CWY241" s="1054"/>
      <c r="CWZ241" s="1055"/>
      <c r="CXA241" s="1054"/>
      <c r="CXB241" s="1055"/>
      <c r="CXC241" s="1054"/>
      <c r="CXD241" s="1055"/>
      <c r="CXE241" s="1054"/>
      <c r="CXF241" s="1055"/>
      <c r="CXG241" s="1054"/>
      <c r="CXH241" s="1055"/>
      <c r="CXI241" s="1054"/>
      <c r="CXJ241" s="1055"/>
      <c r="CXK241" s="1054"/>
      <c r="CXL241" s="1055"/>
      <c r="CXM241" s="1054"/>
      <c r="CXN241" s="1055"/>
      <c r="CXO241" s="1054"/>
      <c r="CXP241" s="1055"/>
      <c r="CXQ241" s="1054"/>
      <c r="CXR241" s="1055"/>
      <c r="CXS241" s="1054"/>
      <c r="CXT241" s="1055"/>
      <c r="CXU241" s="1054"/>
      <c r="CXV241" s="1055"/>
      <c r="CXW241" s="1054"/>
      <c r="CXX241" s="1055"/>
      <c r="CXY241" s="1054"/>
      <c r="CXZ241" s="1055"/>
      <c r="CYA241" s="1054"/>
      <c r="CYB241" s="1055"/>
      <c r="CYC241" s="1054"/>
      <c r="CYD241" s="1055"/>
      <c r="CYE241" s="1054"/>
      <c r="CYF241" s="1055"/>
      <c r="CYG241" s="1054"/>
      <c r="CYH241" s="1055"/>
      <c r="CYI241" s="1054"/>
      <c r="CYJ241" s="1055"/>
      <c r="CYK241" s="1054"/>
      <c r="CYL241" s="1055"/>
      <c r="CYM241" s="1054"/>
      <c r="CYN241" s="1055"/>
      <c r="CYO241" s="1054"/>
      <c r="CYP241" s="1055"/>
      <c r="CYQ241" s="1054"/>
      <c r="CYR241" s="1055"/>
      <c r="CYS241" s="1054"/>
      <c r="CYT241" s="1055"/>
      <c r="CYU241" s="1054"/>
      <c r="CYV241" s="1055"/>
      <c r="CYW241" s="1054"/>
      <c r="CYX241" s="1055"/>
      <c r="CYY241" s="1054"/>
      <c r="CYZ241" s="1055"/>
      <c r="CZA241" s="1054"/>
      <c r="CZB241" s="1055"/>
      <c r="CZC241" s="1054"/>
      <c r="CZD241" s="1055"/>
      <c r="CZE241" s="1054"/>
      <c r="CZF241" s="1055"/>
      <c r="CZG241" s="1054"/>
      <c r="CZH241" s="1055"/>
      <c r="CZI241" s="1054"/>
      <c r="CZJ241" s="1055"/>
      <c r="CZK241" s="1054"/>
      <c r="CZL241" s="1055"/>
      <c r="CZM241" s="1054"/>
      <c r="CZN241" s="1055"/>
      <c r="CZO241" s="1054"/>
      <c r="CZP241" s="1055"/>
      <c r="CZQ241" s="1054"/>
      <c r="CZR241" s="1055"/>
      <c r="CZS241" s="1054"/>
      <c r="CZT241" s="1055"/>
      <c r="CZU241" s="1054"/>
      <c r="CZV241" s="1055"/>
      <c r="CZW241" s="1054"/>
      <c r="CZX241" s="1055"/>
      <c r="CZY241" s="1054"/>
      <c r="CZZ241" s="1055"/>
      <c r="DAA241" s="1054"/>
      <c r="DAB241" s="1055"/>
      <c r="DAC241" s="1054"/>
      <c r="DAD241" s="1055"/>
      <c r="DAE241" s="1054"/>
      <c r="DAF241" s="1055"/>
      <c r="DAG241" s="1054"/>
      <c r="DAH241" s="1055"/>
      <c r="DAI241" s="1054"/>
      <c r="DAJ241" s="1055"/>
      <c r="DAK241" s="1054"/>
      <c r="DAL241" s="1055"/>
      <c r="DAM241" s="1054"/>
      <c r="DAN241" s="1055"/>
      <c r="DAO241" s="1054"/>
      <c r="DAP241" s="1055"/>
      <c r="DAQ241" s="1054"/>
      <c r="DAR241" s="1055"/>
      <c r="DAS241" s="1054"/>
      <c r="DAT241" s="1055"/>
      <c r="DAU241" s="1054"/>
      <c r="DAV241" s="1055"/>
      <c r="DAW241" s="1054"/>
      <c r="DAX241" s="1055"/>
      <c r="DAY241" s="1054"/>
      <c r="DAZ241" s="1055"/>
      <c r="DBA241" s="1054"/>
      <c r="DBB241" s="1055"/>
      <c r="DBC241" s="1054"/>
      <c r="DBD241" s="1055"/>
      <c r="DBE241" s="1054"/>
      <c r="DBF241" s="1055"/>
      <c r="DBG241" s="1054"/>
      <c r="DBH241" s="1055"/>
      <c r="DBI241" s="1054"/>
      <c r="DBJ241" s="1055"/>
      <c r="DBK241" s="1054"/>
      <c r="DBL241" s="1055"/>
      <c r="DBM241" s="1054"/>
      <c r="DBN241" s="1055"/>
      <c r="DBO241" s="1054"/>
      <c r="DBP241" s="1055"/>
      <c r="DBQ241" s="1054"/>
      <c r="DBR241" s="1055"/>
      <c r="DBS241" s="1054"/>
      <c r="DBT241" s="1055"/>
      <c r="DBU241" s="1054"/>
      <c r="DBV241" s="1055"/>
      <c r="DBW241" s="1054"/>
      <c r="DBX241" s="1055"/>
      <c r="DBY241" s="1054"/>
      <c r="DBZ241" s="1055"/>
      <c r="DCA241" s="1054"/>
      <c r="DCB241" s="1055"/>
      <c r="DCC241" s="1054"/>
      <c r="DCD241" s="1055"/>
      <c r="DCE241" s="1054"/>
      <c r="DCF241" s="1055"/>
      <c r="DCG241" s="1054"/>
      <c r="DCH241" s="1055"/>
      <c r="DCI241" s="1054"/>
      <c r="DCJ241" s="1055"/>
      <c r="DCK241" s="1054"/>
      <c r="DCL241" s="1055"/>
      <c r="DCM241" s="1054"/>
      <c r="DCN241" s="1055"/>
      <c r="DCO241" s="1054"/>
      <c r="DCP241" s="1055"/>
      <c r="DCQ241" s="1054"/>
      <c r="DCR241" s="1055"/>
      <c r="DCS241" s="1054"/>
      <c r="DCT241" s="1055"/>
      <c r="DCU241" s="1054"/>
      <c r="DCV241" s="1055"/>
      <c r="DCW241" s="1054"/>
      <c r="DCX241" s="1055"/>
      <c r="DCY241" s="1054"/>
      <c r="DCZ241" s="1055"/>
      <c r="DDA241" s="1054"/>
      <c r="DDB241" s="1055"/>
      <c r="DDC241" s="1054"/>
      <c r="DDD241" s="1055"/>
      <c r="DDE241" s="1054"/>
      <c r="DDF241" s="1055"/>
      <c r="DDG241" s="1054"/>
      <c r="DDH241" s="1055"/>
      <c r="DDI241" s="1054"/>
      <c r="DDJ241" s="1055"/>
      <c r="DDK241" s="1054"/>
      <c r="DDL241" s="1055"/>
      <c r="DDM241" s="1054"/>
      <c r="DDN241" s="1055"/>
      <c r="DDO241" s="1054"/>
      <c r="DDP241" s="1055"/>
      <c r="DDQ241" s="1054"/>
      <c r="DDR241" s="1055"/>
      <c r="DDS241" s="1054"/>
      <c r="DDT241" s="1055"/>
      <c r="DDU241" s="1054"/>
      <c r="DDV241" s="1055"/>
      <c r="DDW241" s="1054"/>
      <c r="DDX241" s="1055"/>
      <c r="DDY241" s="1054"/>
      <c r="DDZ241" s="1055"/>
      <c r="DEA241" s="1054"/>
      <c r="DEB241" s="1055"/>
      <c r="DEC241" s="1054"/>
      <c r="DED241" s="1055"/>
      <c r="DEE241" s="1054"/>
      <c r="DEF241" s="1055"/>
      <c r="DEG241" s="1054"/>
      <c r="DEH241" s="1055"/>
      <c r="DEI241" s="1054"/>
      <c r="DEJ241" s="1055"/>
      <c r="DEK241" s="1054"/>
      <c r="DEL241" s="1055"/>
      <c r="DEM241" s="1054"/>
      <c r="DEN241" s="1055"/>
      <c r="DEO241" s="1054"/>
      <c r="DEP241" s="1055"/>
      <c r="DEQ241" s="1054"/>
      <c r="DER241" s="1055"/>
      <c r="DES241" s="1054"/>
      <c r="DET241" s="1055"/>
      <c r="DEU241" s="1054"/>
      <c r="DEV241" s="1055"/>
      <c r="DEW241" s="1054"/>
      <c r="DEX241" s="1055"/>
      <c r="DEY241" s="1054"/>
      <c r="DEZ241" s="1055"/>
      <c r="DFA241" s="1054"/>
      <c r="DFB241" s="1055"/>
      <c r="DFC241" s="1054"/>
      <c r="DFD241" s="1055"/>
      <c r="DFE241" s="1054"/>
      <c r="DFF241" s="1055"/>
      <c r="DFG241" s="1054"/>
      <c r="DFH241" s="1055"/>
      <c r="DFI241" s="1054"/>
      <c r="DFJ241" s="1055"/>
      <c r="DFK241" s="1054"/>
      <c r="DFL241" s="1055"/>
      <c r="DFM241" s="1054"/>
      <c r="DFN241" s="1055"/>
      <c r="DFO241" s="1054"/>
      <c r="DFP241" s="1055"/>
      <c r="DFQ241" s="1054"/>
      <c r="DFR241" s="1055"/>
      <c r="DFS241" s="1054"/>
      <c r="DFT241" s="1055"/>
      <c r="DFU241" s="1054"/>
      <c r="DFV241" s="1055"/>
      <c r="DFW241" s="1054"/>
      <c r="DFX241" s="1055"/>
      <c r="DFY241" s="1054"/>
      <c r="DFZ241" s="1055"/>
      <c r="DGA241" s="1054"/>
      <c r="DGB241" s="1055"/>
      <c r="DGC241" s="1054"/>
      <c r="DGD241" s="1055"/>
      <c r="DGE241" s="1054"/>
      <c r="DGF241" s="1055"/>
      <c r="DGG241" s="1054"/>
      <c r="DGH241" s="1055"/>
      <c r="DGI241" s="1054"/>
      <c r="DGJ241" s="1055"/>
      <c r="DGK241" s="1054"/>
      <c r="DGL241" s="1055"/>
      <c r="DGM241" s="1054"/>
      <c r="DGN241" s="1055"/>
      <c r="DGO241" s="1054"/>
      <c r="DGP241" s="1055"/>
      <c r="DGQ241" s="1054"/>
      <c r="DGR241" s="1055"/>
      <c r="DGS241" s="1054"/>
      <c r="DGT241" s="1055"/>
      <c r="DGU241" s="1054"/>
      <c r="DGV241" s="1055"/>
      <c r="DGW241" s="1054"/>
      <c r="DGX241" s="1055"/>
      <c r="DGY241" s="1054"/>
      <c r="DGZ241" s="1055"/>
      <c r="DHA241" s="1054"/>
      <c r="DHB241" s="1055"/>
      <c r="DHC241" s="1054"/>
      <c r="DHD241" s="1055"/>
      <c r="DHE241" s="1054"/>
      <c r="DHF241" s="1055"/>
      <c r="DHG241" s="1054"/>
      <c r="DHH241" s="1055"/>
      <c r="DHI241" s="1054"/>
      <c r="DHJ241" s="1055"/>
      <c r="DHK241" s="1054"/>
      <c r="DHL241" s="1055"/>
      <c r="DHM241" s="1054"/>
      <c r="DHN241" s="1055"/>
      <c r="DHO241" s="1054"/>
      <c r="DHP241" s="1055"/>
      <c r="DHQ241" s="1054"/>
      <c r="DHR241" s="1055"/>
      <c r="DHS241" s="1054"/>
      <c r="DHT241" s="1055"/>
      <c r="DHU241" s="1054"/>
      <c r="DHV241" s="1055"/>
      <c r="DHW241" s="1054"/>
      <c r="DHX241" s="1055"/>
      <c r="DHY241" s="1054"/>
      <c r="DHZ241" s="1055"/>
      <c r="DIA241" s="1054"/>
      <c r="DIB241" s="1055"/>
      <c r="DIC241" s="1054"/>
      <c r="DID241" s="1055"/>
      <c r="DIE241" s="1054"/>
      <c r="DIF241" s="1055"/>
      <c r="DIG241" s="1054"/>
      <c r="DIH241" s="1055"/>
      <c r="DII241" s="1054"/>
      <c r="DIJ241" s="1055"/>
      <c r="DIK241" s="1054"/>
      <c r="DIL241" s="1055"/>
      <c r="DIM241" s="1054"/>
      <c r="DIN241" s="1055"/>
      <c r="DIO241" s="1054"/>
      <c r="DIP241" s="1055"/>
      <c r="DIQ241" s="1054"/>
      <c r="DIR241" s="1055"/>
      <c r="DIS241" s="1054"/>
      <c r="DIT241" s="1055"/>
      <c r="DIU241" s="1054"/>
      <c r="DIV241" s="1055"/>
      <c r="DIW241" s="1054"/>
      <c r="DIX241" s="1055"/>
      <c r="DIY241" s="1054"/>
      <c r="DIZ241" s="1055"/>
      <c r="DJA241" s="1054"/>
      <c r="DJB241" s="1055"/>
      <c r="DJC241" s="1054"/>
      <c r="DJD241" s="1055"/>
      <c r="DJE241" s="1054"/>
      <c r="DJF241" s="1055"/>
      <c r="DJG241" s="1054"/>
      <c r="DJH241" s="1055"/>
      <c r="DJI241" s="1054"/>
      <c r="DJJ241" s="1055"/>
      <c r="DJK241" s="1054"/>
      <c r="DJL241" s="1055"/>
      <c r="DJM241" s="1054"/>
      <c r="DJN241" s="1055"/>
      <c r="DJO241" s="1054"/>
      <c r="DJP241" s="1055"/>
      <c r="DJQ241" s="1054"/>
      <c r="DJR241" s="1055"/>
      <c r="DJS241" s="1054"/>
      <c r="DJT241" s="1055"/>
      <c r="DJU241" s="1054"/>
      <c r="DJV241" s="1055"/>
      <c r="DJW241" s="1054"/>
      <c r="DJX241" s="1055"/>
      <c r="DJY241" s="1054"/>
      <c r="DJZ241" s="1055"/>
      <c r="DKA241" s="1054"/>
      <c r="DKB241" s="1055"/>
      <c r="DKC241" s="1054"/>
      <c r="DKD241" s="1055"/>
      <c r="DKE241" s="1054"/>
      <c r="DKF241" s="1055"/>
      <c r="DKG241" s="1054"/>
      <c r="DKH241" s="1055"/>
      <c r="DKI241" s="1054"/>
      <c r="DKJ241" s="1055"/>
      <c r="DKK241" s="1054"/>
      <c r="DKL241" s="1055"/>
      <c r="DKM241" s="1054"/>
      <c r="DKN241" s="1055"/>
      <c r="DKO241" s="1054"/>
      <c r="DKP241" s="1055"/>
      <c r="DKQ241" s="1054"/>
      <c r="DKR241" s="1055"/>
      <c r="DKS241" s="1054"/>
      <c r="DKT241" s="1055"/>
      <c r="DKU241" s="1054"/>
      <c r="DKV241" s="1055"/>
      <c r="DKW241" s="1054"/>
      <c r="DKX241" s="1055"/>
      <c r="DKY241" s="1054"/>
      <c r="DKZ241" s="1055"/>
      <c r="DLA241" s="1054"/>
      <c r="DLB241" s="1055"/>
      <c r="DLC241" s="1054"/>
      <c r="DLD241" s="1055"/>
      <c r="DLE241" s="1054"/>
      <c r="DLF241" s="1055"/>
      <c r="DLG241" s="1054"/>
      <c r="DLH241" s="1055"/>
      <c r="DLI241" s="1054"/>
      <c r="DLJ241" s="1055"/>
      <c r="DLK241" s="1054"/>
      <c r="DLL241" s="1055"/>
      <c r="DLM241" s="1054"/>
      <c r="DLN241" s="1055"/>
      <c r="DLO241" s="1054"/>
      <c r="DLP241" s="1055"/>
      <c r="DLQ241" s="1054"/>
      <c r="DLR241" s="1055"/>
      <c r="DLS241" s="1054"/>
      <c r="DLT241" s="1055"/>
      <c r="DLU241" s="1054"/>
      <c r="DLV241" s="1055"/>
      <c r="DLW241" s="1054"/>
      <c r="DLX241" s="1055"/>
      <c r="DLY241" s="1054"/>
      <c r="DLZ241" s="1055"/>
      <c r="DMA241" s="1054"/>
      <c r="DMB241" s="1055"/>
      <c r="DMC241" s="1054"/>
      <c r="DMD241" s="1055"/>
      <c r="DME241" s="1054"/>
      <c r="DMF241" s="1055"/>
      <c r="DMG241" s="1054"/>
      <c r="DMH241" s="1055"/>
      <c r="DMI241" s="1054"/>
      <c r="DMJ241" s="1055"/>
      <c r="DMK241" s="1054"/>
      <c r="DML241" s="1055"/>
      <c r="DMM241" s="1054"/>
      <c r="DMN241" s="1055"/>
      <c r="DMO241" s="1054"/>
      <c r="DMP241" s="1055"/>
      <c r="DMQ241" s="1054"/>
      <c r="DMR241" s="1055"/>
      <c r="DMS241" s="1054"/>
      <c r="DMT241" s="1055"/>
      <c r="DMU241" s="1054"/>
      <c r="DMV241" s="1055"/>
      <c r="DMW241" s="1054"/>
      <c r="DMX241" s="1055"/>
      <c r="DMY241" s="1054"/>
      <c r="DMZ241" s="1055"/>
      <c r="DNA241" s="1054"/>
      <c r="DNB241" s="1055"/>
      <c r="DNC241" s="1054"/>
      <c r="DND241" s="1055"/>
      <c r="DNE241" s="1054"/>
      <c r="DNF241" s="1055"/>
      <c r="DNG241" s="1054"/>
      <c r="DNH241" s="1055"/>
      <c r="DNI241" s="1054"/>
      <c r="DNJ241" s="1055"/>
      <c r="DNK241" s="1054"/>
      <c r="DNL241" s="1055"/>
      <c r="DNM241" s="1054"/>
      <c r="DNN241" s="1055"/>
      <c r="DNO241" s="1054"/>
      <c r="DNP241" s="1055"/>
      <c r="DNQ241" s="1054"/>
      <c r="DNR241" s="1055"/>
      <c r="DNS241" s="1054"/>
      <c r="DNT241" s="1055"/>
      <c r="DNU241" s="1054"/>
      <c r="DNV241" s="1055"/>
      <c r="DNW241" s="1054"/>
      <c r="DNX241" s="1055"/>
      <c r="DNY241" s="1054"/>
      <c r="DNZ241" s="1055"/>
      <c r="DOA241" s="1054"/>
      <c r="DOB241" s="1055"/>
      <c r="DOC241" s="1054"/>
      <c r="DOD241" s="1055"/>
      <c r="DOE241" s="1054"/>
      <c r="DOF241" s="1055"/>
      <c r="DOG241" s="1054"/>
      <c r="DOH241" s="1055"/>
      <c r="DOI241" s="1054"/>
      <c r="DOJ241" s="1055"/>
      <c r="DOK241" s="1054"/>
      <c r="DOL241" s="1055"/>
      <c r="DOM241" s="1054"/>
      <c r="DON241" s="1055"/>
      <c r="DOO241" s="1054"/>
      <c r="DOP241" s="1055"/>
      <c r="DOQ241" s="1054"/>
      <c r="DOR241" s="1055"/>
      <c r="DOS241" s="1054"/>
      <c r="DOT241" s="1055"/>
      <c r="DOU241" s="1054"/>
      <c r="DOV241" s="1055"/>
      <c r="DOW241" s="1054"/>
      <c r="DOX241" s="1055"/>
      <c r="DOY241" s="1054"/>
      <c r="DOZ241" s="1055"/>
      <c r="DPA241" s="1054"/>
      <c r="DPB241" s="1055"/>
      <c r="DPC241" s="1054"/>
      <c r="DPD241" s="1055"/>
      <c r="DPE241" s="1054"/>
      <c r="DPF241" s="1055"/>
      <c r="DPG241" s="1054"/>
      <c r="DPH241" s="1055"/>
      <c r="DPI241" s="1054"/>
      <c r="DPJ241" s="1055"/>
      <c r="DPK241" s="1054"/>
      <c r="DPL241" s="1055"/>
      <c r="DPM241" s="1054"/>
      <c r="DPN241" s="1055"/>
      <c r="DPO241" s="1054"/>
      <c r="DPP241" s="1055"/>
      <c r="DPQ241" s="1054"/>
      <c r="DPR241" s="1055"/>
      <c r="DPS241" s="1054"/>
      <c r="DPT241" s="1055"/>
      <c r="DPU241" s="1054"/>
      <c r="DPV241" s="1055"/>
      <c r="DPW241" s="1054"/>
      <c r="DPX241" s="1055"/>
      <c r="DPY241" s="1054"/>
      <c r="DPZ241" s="1055"/>
      <c r="DQA241" s="1054"/>
      <c r="DQB241" s="1055"/>
      <c r="DQC241" s="1054"/>
      <c r="DQD241" s="1055"/>
      <c r="DQE241" s="1054"/>
      <c r="DQF241" s="1055"/>
      <c r="DQG241" s="1054"/>
      <c r="DQH241" s="1055"/>
      <c r="DQI241" s="1054"/>
      <c r="DQJ241" s="1055"/>
      <c r="DQK241" s="1054"/>
      <c r="DQL241" s="1055"/>
      <c r="DQM241" s="1054"/>
      <c r="DQN241" s="1055"/>
      <c r="DQO241" s="1054"/>
      <c r="DQP241" s="1055"/>
      <c r="DQQ241" s="1054"/>
      <c r="DQR241" s="1055"/>
      <c r="DQS241" s="1054"/>
      <c r="DQT241" s="1055"/>
      <c r="DQU241" s="1054"/>
      <c r="DQV241" s="1055"/>
      <c r="DQW241" s="1054"/>
      <c r="DQX241" s="1055"/>
      <c r="DQY241" s="1054"/>
      <c r="DQZ241" s="1055"/>
      <c r="DRA241" s="1054"/>
      <c r="DRB241" s="1055"/>
      <c r="DRC241" s="1054"/>
      <c r="DRD241" s="1055"/>
      <c r="DRE241" s="1054"/>
      <c r="DRF241" s="1055"/>
      <c r="DRG241" s="1054"/>
      <c r="DRH241" s="1055"/>
      <c r="DRI241" s="1054"/>
      <c r="DRJ241" s="1055"/>
      <c r="DRK241" s="1054"/>
      <c r="DRL241" s="1055"/>
      <c r="DRM241" s="1054"/>
      <c r="DRN241" s="1055"/>
      <c r="DRO241" s="1054"/>
      <c r="DRP241" s="1055"/>
      <c r="DRQ241" s="1054"/>
      <c r="DRR241" s="1055"/>
      <c r="DRS241" s="1054"/>
      <c r="DRT241" s="1055"/>
      <c r="DRU241" s="1054"/>
      <c r="DRV241" s="1055"/>
      <c r="DRW241" s="1054"/>
      <c r="DRX241" s="1055"/>
      <c r="DRY241" s="1054"/>
      <c r="DRZ241" s="1055"/>
      <c r="DSA241" s="1054"/>
      <c r="DSB241" s="1055"/>
      <c r="DSC241" s="1054"/>
      <c r="DSD241" s="1055"/>
      <c r="DSE241" s="1054"/>
      <c r="DSF241" s="1055"/>
      <c r="DSG241" s="1054"/>
      <c r="DSH241" s="1055"/>
      <c r="DSI241" s="1054"/>
      <c r="DSJ241" s="1055"/>
      <c r="DSK241" s="1054"/>
      <c r="DSL241" s="1055"/>
      <c r="DSM241" s="1054"/>
      <c r="DSN241" s="1055"/>
      <c r="DSO241" s="1054"/>
      <c r="DSP241" s="1055"/>
      <c r="DSQ241" s="1054"/>
      <c r="DSR241" s="1055"/>
      <c r="DSS241" s="1054"/>
      <c r="DST241" s="1055"/>
      <c r="DSU241" s="1054"/>
      <c r="DSV241" s="1055"/>
      <c r="DSW241" s="1054"/>
      <c r="DSX241" s="1055"/>
      <c r="DSY241" s="1054"/>
      <c r="DSZ241" s="1055"/>
      <c r="DTA241" s="1054"/>
      <c r="DTB241" s="1055"/>
      <c r="DTC241" s="1054"/>
      <c r="DTD241" s="1055"/>
      <c r="DTE241" s="1054"/>
      <c r="DTF241" s="1055"/>
      <c r="DTG241" s="1054"/>
      <c r="DTH241" s="1055"/>
      <c r="DTI241" s="1054"/>
      <c r="DTJ241" s="1055"/>
      <c r="DTK241" s="1054"/>
      <c r="DTL241" s="1055"/>
      <c r="DTM241" s="1054"/>
      <c r="DTN241" s="1055"/>
      <c r="DTO241" s="1054"/>
      <c r="DTP241" s="1055"/>
      <c r="DTQ241" s="1054"/>
      <c r="DTR241" s="1055"/>
      <c r="DTS241" s="1054"/>
      <c r="DTT241" s="1055"/>
      <c r="DTU241" s="1054"/>
      <c r="DTV241" s="1055"/>
      <c r="DTW241" s="1054"/>
      <c r="DTX241" s="1055"/>
      <c r="DTY241" s="1054"/>
      <c r="DTZ241" s="1055"/>
      <c r="DUA241" s="1054"/>
      <c r="DUB241" s="1055"/>
      <c r="DUC241" s="1054"/>
      <c r="DUD241" s="1055"/>
      <c r="DUE241" s="1054"/>
      <c r="DUF241" s="1055"/>
      <c r="DUG241" s="1054"/>
      <c r="DUH241" s="1055"/>
      <c r="DUI241" s="1054"/>
      <c r="DUJ241" s="1055"/>
      <c r="DUK241" s="1054"/>
      <c r="DUL241" s="1055"/>
      <c r="DUM241" s="1054"/>
      <c r="DUN241" s="1055"/>
      <c r="DUO241" s="1054"/>
      <c r="DUP241" s="1055"/>
      <c r="DUQ241" s="1054"/>
      <c r="DUR241" s="1055"/>
      <c r="DUS241" s="1054"/>
      <c r="DUT241" s="1055"/>
      <c r="DUU241" s="1054"/>
      <c r="DUV241" s="1055"/>
      <c r="DUW241" s="1054"/>
      <c r="DUX241" s="1055"/>
      <c r="DUY241" s="1054"/>
      <c r="DUZ241" s="1055"/>
      <c r="DVA241" s="1054"/>
      <c r="DVB241" s="1055"/>
      <c r="DVC241" s="1054"/>
      <c r="DVD241" s="1055"/>
      <c r="DVE241" s="1054"/>
      <c r="DVF241" s="1055"/>
      <c r="DVG241" s="1054"/>
      <c r="DVH241" s="1055"/>
      <c r="DVI241" s="1054"/>
      <c r="DVJ241" s="1055"/>
      <c r="DVK241" s="1054"/>
      <c r="DVL241" s="1055"/>
      <c r="DVM241" s="1054"/>
      <c r="DVN241" s="1055"/>
      <c r="DVO241" s="1054"/>
      <c r="DVP241" s="1055"/>
      <c r="DVQ241" s="1054"/>
      <c r="DVR241" s="1055"/>
      <c r="DVS241" s="1054"/>
      <c r="DVT241" s="1055"/>
      <c r="DVU241" s="1054"/>
      <c r="DVV241" s="1055"/>
      <c r="DVW241" s="1054"/>
      <c r="DVX241" s="1055"/>
      <c r="DVY241" s="1054"/>
      <c r="DVZ241" s="1055"/>
      <c r="DWA241" s="1054"/>
      <c r="DWB241" s="1055"/>
      <c r="DWC241" s="1054"/>
      <c r="DWD241" s="1055"/>
      <c r="DWE241" s="1054"/>
      <c r="DWF241" s="1055"/>
      <c r="DWG241" s="1054"/>
      <c r="DWH241" s="1055"/>
      <c r="DWI241" s="1054"/>
      <c r="DWJ241" s="1055"/>
      <c r="DWK241" s="1054"/>
      <c r="DWL241" s="1055"/>
      <c r="DWM241" s="1054"/>
      <c r="DWN241" s="1055"/>
      <c r="DWO241" s="1054"/>
      <c r="DWP241" s="1055"/>
      <c r="DWQ241" s="1054"/>
      <c r="DWR241" s="1055"/>
      <c r="DWS241" s="1054"/>
      <c r="DWT241" s="1055"/>
      <c r="DWU241" s="1054"/>
      <c r="DWV241" s="1055"/>
      <c r="DWW241" s="1054"/>
      <c r="DWX241" s="1055"/>
      <c r="DWY241" s="1054"/>
      <c r="DWZ241" s="1055"/>
      <c r="DXA241" s="1054"/>
      <c r="DXB241" s="1055"/>
      <c r="DXC241" s="1054"/>
      <c r="DXD241" s="1055"/>
      <c r="DXE241" s="1054"/>
      <c r="DXF241" s="1055"/>
      <c r="DXG241" s="1054"/>
      <c r="DXH241" s="1055"/>
      <c r="DXI241" s="1054"/>
      <c r="DXJ241" s="1055"/>
      <c r="DXK241" s="1054"/>
      <c r="DXL241" s="1055"/>
      <c r="DXM241" s="1054"/>
      <c r="DXN241" s="1055"/>
      <c r="DXO241" s="1054"/>
      <c r="DXP241" s="1055"/>
      <c r="DXQ241" s="1054"/>
      <c r="DXR241" s="1055"/>
      <c r="DXS241" s="1054"/>
      <c r="DXT241" s="1055"/>
      <c r="DXU241" s="1054"/>
      <c r="DXV241" s="1055"/>
      <c r="DXW241" s="1054"/>
      <c r="DXX241" s="1055"/>
      <c r="DXY241" s="1054"/>
      <c r="DXZ241" s="1055"/>
      <c r="DYA241" s="1054"/>
      <c r="DYB241" s="1055"/>
      <c r="DYC241" s="1054"/>
      <c r="DYD241" s="1055"/>
      <c r="DYE241" s="1054"/>
      <c r="DYF241" s="1055"/>
      <c r="DYG241" s="1054"/>
      <c r="DYH241" s="1055"/>
      <c r="DYI241" s="1054"/>
      <c r="DYJ241" s="1055"/>
      <c r="DYK241" s="1054"/>
      <c r="DYL241" s="1055"/>
      <c r="DYM241" s="1054"/>
      <c r="DYN241" s="1055"/>
      <c r="DYO241" s="1054"/>
      <c r="DYP241" s="1055"/>
      <c r="DYQ241" s="1054"/>
      <c r="DYR241" s="1055"/>
      <c r="DYS241" s="1054"/>
      <c r="DYT241" s="1055"/>
      <c r="DYU241" s="1054"/>
      <c r="DYV241" s="1055"/>
      <c r="DYW241" s="1054"/>
      <c r="DYX241" s="1055"/>
      <c r="DYY241" s="1054"/>
      <c r="DYZ241" s="1055"/>
      <c r="DZA241" s="1054"/>
      <c r="DZB241" s="1055"/>
      <c r="DZC241" s="1054"/>
      <c r="DZD241" s="1055"/>
      <c r="DZE241" s="1054"/>
      <c r="DZF241" s="1055"/>
      <c r="DZG241" s="1054"/>
      <c r="DZH241" s="1055"/>
      <c r="DZI241" s="1054"/>
      <c r="DZJ241" s="1055"/>
      <c r="DZK241" s="1054"/>
      <c r="DZL241" s="1055"/>
      <c r="DZM241" s="1054"/>
      <c r="DZN241" s="1055"/>
      <c r="DZO241" s="1054"/>
      <c r="DZP241" s="1055"/>
      <c r="DZQ241" s="1054"/>
      <c r="DZR241" s="1055"/>
      <c r="DZS241" s="1054"/>
      <c r="DZT241" s="1055"/>
      <c r="DZU241" s="1054"/>
      <c r="DZV241" s="1055"/>
      <c r="DZW241" s="1054"/>
      <c r="DZX241" s="1055"/>
      <c r="DZY241" s="1054"/>
      <c r="DZZ241" s="1055"/>
      <c r="EAA241" s="1054"/>
      <c r="EAB241" s="1055"/>
      <c r="EAC241" s="1054"/>
      <c r="EAD241" s="1055"/>
      <c r="EAE241" s="1054"/>
      <c r="EAF241" s="1055"/>
      <c r="EAG241" s="1054"/>
      <c r="EAH241" s="1055"/>
      <c r="EAI241" s="1054"/>
      <c r="EAJ241" s="1055"/>
      <c r="EAK241" s="1054"/>
      <c r="EAL241" s="1055"/>
      <c r="EAM241" s="1054"/>
      <c r="EAN241" s="1055"/>
      <c r="EAO241" s="1054"/>
      <c r="EAP241" s="1055"/>
      <c r="EAQ241" s="1054"/>
      <c r="EAR241" s="1055"/>
      <c r="EAS241" s="1054"/>
      <c r="EAT241" s="1055"/>
      <c r="EAU241" s="1054"/>
      <c r="EAV241" s="1055"/>
      <c r="EAW241" s="1054"/>
      <c r="EAX241" s="1055"/>
      <c r="EAY241" s="1054"/>
      <c r="EAZ241" s="1055"/>
      <c r="EBA241" s="1054"/>
      <c r="EBB241" s="1055"/>
      <c r="EBC241" s="1054"/>
      <c r="EBD241" s="1055"/>
      <c r="EBE241" s="1054"/>
      <c r="EBF241" s="1055"/>
      <c r="EBG241" s="1054"/>
      <c r="EBH241" s="1055"/>
      <c r="EBI241" s="1054"/>
      <c r="EBJ241" s="1055"/>
      <c r="EBK241" s="1054"/>
      <c r="EBL241" s="1055"/>
      <c r="EBM241" s="1054"/>
      <c r="EBN241" s="1055"/>
      <c r="EBO241" s="1054"/>
      <c r="EBP241" s="1055"/>
      <c r="EBQ241" s="1054"/>
      <c r="EBR241" s="1055"/>
      <c r="EBS241" s="1054"/>
      <c r="EBT241" s="1055"/>
      <c r="EBU241" s="1054"/>
      <c r="EBV241" s="1055"/>
      <c r="EBW241" s="1054"/>
      <c r="EBX241" s="1055"/>
      <c r="EBY241" s="1054"/>
      <c r="EBZ241" s="1055"/>
      <c r="ECA241" s="1054"/>
      <c r="ECB241" s="1055"/>
      <c r="ECC241" s="1054"/>
      <c r="ECD241" s="1055"/>
      <c r="ECE241" s="1054"/>
      <c r="ECF241" s="1055"/>
      <c r="ECG241" s="1054"/>
      <c r="ECH241" s="1055"/>
      <c r="ECI241" s="1054"/>
      <c r="ECJ241" s="1055"/>
      <c r="ECK241" s="1054"/>
      <c r="ECL241" s="1055"/>
      <c r="ECM241" s="1054"/>
      <c r="ECN241" s="1055"/>
      <c r="ECO241" s="1054"/>
      <c r="ECP241" s="1055"/>
      <c r="ECQ241" s="1054"/>
      <c r="ECR241" s="1055"/>
      <c r="ECS241" s="1054"/>
      <c r="ECT241" s="1055"/>
      <c r="ECU241" s="1054"/>
      <c r="ECV241" s="1055"/>
      <c r="ECW241" s="1054"/>
      <c r="ECX241" s="1055"/>
      <c r="ECY241" s="1054"/>
      <c r="ECZ241" s="1055"/>
      <c r="EDA241" s="1054"/>
      <c r="EDB241" s="1055"/>
      <c r="EDC241" s="1054"/>
      <c r="EDD241" s="1055"/>
      <c r="EDE241" s="1054"/>
      <c r="EDF241" s="1055"/>
      <c r="EDG241" s="1054"/>
      <c r="EDH241" s="1055"/>
      <c r="EDI241" s="1054"/>
      <c r="EDJ241" s="1055"/>
      <c r="EDK241" s="1054"/>
      <c r="EDL241" s="1055"/>
      <c r="EDM241" s="1054"/>
      <c r="EDN241" s="1055"/>
      <c r="EDO241" s="1054"/>
      <c r="EDP241" s="1055"/>
      <c r="EDQ241" s="1054"/>
      <c r="EDR241" s="1055"/>
      <c r="EDS241" s="1054"/>
      <c r="EDT241" s="1055"/>
      <c r="EDU241" s="1054"/>
      <c r="EDV241" s="1055"/>
      <c r="EDW241" s="1054"/>
      <c r="EDX241" s="1055"/>
      <c r="EDY241" s="1054"/>
      <c r="EDZ241" s="1055"/>
      <c r="EEA241" s="1054"/>
      <c r="EEB241" s="1055"/>
      <c r="EEC241" s="1054"/>
      <c r="EED241" s="1055"/>
      <c r="EEE241" s="1054"/>
      <c r="EEF241" s="1055"/>
      <c r="EEG241" s="1054"/>
      <c r="EEH241" s="1055"/>
      <c r="EEI241" s="1054"/>
      <c r="EEJ241" s="1055"/>
      <c r="EEK241" s="1054"/>
      <c r="EEL241" s="1055"/>
      <c r="EEM241" s="1054"/>
      <c r="EEN241" s="1055"/>
      <c r="EEO241" s="1054"/>
      <c r="EEP241" s="1055"/>
      <c r="EEQ241" s="1054"/>
      <c r="EER241" s="1055"/>
      <c r="EES241" s="1054"/>
      <c r="EET241" s="1055"/>
      <c r="EEU241" s="1054"/>
      <c r="EEV241" s="1055"/>
      <c r="EEW241" s="1054"/>
      <c r="EEX241" s="1055"/>
      <c r="EEY241" s="1054"/>
      <c r="EEZ241" s="1055"/>
      <c r="EFA241" s="1054"/>
      <c r="EFB241" s="1055"/>
      <c r="EFC241" s="1054"/>
      <c r="EFD241" s="1055"/>
      <c r="EFE241" s="1054"/>
      <c r="EFF241" s="1055"/>
      <c r="EFG241" s="1054"/>
      <c r="EFH241" s="1055"/>
      <c r="EFI241" s="1054"/>
      <c r="EFJ241" s="1055"/>
      <c r="EFK241" s="1054"/>
      <c r="EFL241" s="1055"/>
      <c r="EFM241" s="1054"/>
      <c r="EFN241" s="1055"/>
      <c r="EFO241" s="1054"/>
      <c r="EFP241" s="1055"/>
      <c r="EFQ241" s="1054"/>
      <c r="EFR241" s="1055"/>
      <c r="EFS241" s="1054"/>
      <c r="EFT241" s="1055"/>
      <c r="EFU241" s="1054"/>
      <c r="EFV241" s="1055"/>
      <c r="EFW241" s="1054"/>
      <c r="EFX241" s="1055"/>
      <c r="EFY241" s="1054"/>
      <c r="EFZ241" s="1055"/>
      <c r="EGA241" s="1054"/>
      <c r="EGB241" s="1055"/>
      <c r="EGC241" s="1054"/>
      <c r="EGD241" s="1055"/>
      <c r="EGE241" s="1054"/>
      <c r="EGF241" s="1055"/>
      <c r="EGG241" s="1054"/>
      <c r="EGH241" s="1055"/>
      <c r="EGI241" s="1054"/>
      <c r="EGJ241" s="1055"/>
      <c r="EGK241" s="1054"/>
      <c r="EGL241" s="1055"/>
      <c r="EGM241" s="1054"/>
      <c r="EGN241" s="1055"/>
      <c r="EGO241" s="1054"/>
      <c r="EGP241" s="1055"/>
      <c r="EGQ241" s="1054"/>
      <c r="EGR241" s="1055"/>
      <c r="EGS241" s="1054"/>
      <c r="EGT241" s="1055"/>
      <c r="EGU241" s="1054"/>
      <c r="EGV241" s="1055"/>
      <c r="EGW241" s="1054"/>
      <c r="EGX241" s="1055"/>
      <c r="EGY241" s="1054"/>
      <c r="EGZ241" s="1055"/>
      <c r="EHA241" s="1054"/>
      <c r="EHB241" s="1055"/>
      <c r="EHC241" s="1054"/>
      <c r="EHD241" s="1055"/>
      <c r="EHE241" s="1054"/>
      <c r="EHF241" s="1055"/>
      <c r="EHG241" s="1054"/>
      <c r="EHH241" s="1055"/>
      <c r="EHI241" s="1054"/>
      <c r="EHJ241" s="1055"/>
      <c r="EHK241" s="1054"/>
      <c r="EHL241" s="1055"/>
      <c r="EHM241" s="1054"/>
      <c r="EHN241" s="1055"/>
      <c r="EHO241" s="1054"/>
      <c r="EHP241" s="1055"/>
      <c r="EHQ241" s="1054"/>
      <c r="EHR241" s="1055"/>
      <c r="EHS241" s="1054"/>
      <c r="EHT241" s="1055"/>
      <c r="EHU241" s="1054"/>
      <c r="EHV241" s="1055"/>
      <c r="EHW241" s="1054"/>
      <c r="EHX241" s="1055"/>
      <c r="EHY241" s="1054"/>
      <c r="EHZ241" s="1055"/>
      <c r="EIA241" s="1054"/>
      <c r="EIB241" s="1055"/>
      <c r="EIC241" s="1054"/>
      <c r="EID241" s="1055"/>
      <c r="EIE241" s="1054"/>
      <c r="EIF241" s="1055"/>
      <c r="EIG241" s="1054"/>
      <c r="EIH241" s="1055"/>
      <c r="EII241" s="1054"/>
      <c r="EIJ241" s="1055"/>
      <c r="EIK241" s="1054"/>
      <c r="EIL241" s="1055"/>
      <c r="EIM241" s="1054"/>
      <c r="EIN241" s="1055"/>
      <c r="EIO241" s="1054"/>
      <c r="EIP241" s="1055"/>
      <c r="EIQ241" s="1054"/>
      <c r="EIR241" s="1055"/>
      <c r="EIS241" s="1054"/>
      <c r="EIT241" s="1055"/>
      <c r="EIU241" s="1054"/>
      <c r="EIV241" s="1055"/>
      <c r="EIW241" s="1054"/>
      <c r="EIX241" s="1055"/>
      <c r="EIY241" s="1054"/>
      <c r="EIZ241" s="1055"/>
      <c r="EJA241" s="1054"/>
      <c r="EJB241" s="1055"/>
      <c r="EJC241" s="1054"/>
      <c r="EJD241" s="1055"/>
      <c r="EJE241" s="1054"/>
      <c r="EJF241" s="1055"/>
      <c r="EJG241" s="1054"/>
      <c r="EJH241" s="1055"/>
      <c r="EJI241" s="1054"/>
      <c r="EJJ241" s="1055"/>
      <c r="EJK241" s="1054"/>
      <c r="EJL241" s="1055"/>
      <c r="EJM241" s="1054"/>
      <c r="EJN241" s="1055"/>
      <c r="EJO241" s="1054"/>
      <c r="EJP241" s="1055"/>
      <c r="EJQ241" s="1054"/>
      <c r="EJR241" s="1055"/>
      <c r="EJS241" s="1054"/>
      <c r="EJT241" s="1055"/>
      <c r="EJU241" s="1054"/>
      <c r="EJV241" s="1055"/>
      <c r="EJW241" s="1054"/>
      <c r="EJX241" s="1055"/>
      <c r="EJY241" s="1054"/>
      <c r="EJZ241" s="1055"/>
      <c r="EKA241" s="1054"/>
      <c r="EKB241" s="1055"/>
      <c r="EKC241" s="1054"/>
      <c r="EKD241" s="1055"/>
      <c r="EKE241" s="1054"/>
      <c r="EKF241" s="1055"/>
      <c r="EKG241" s="1054"/>
      <c r="EKH241" s="1055"/>
      <c r="EKI241" s="1054"/>
      <c r="EKJ241" s="1055"/>
      <c r="EKK241" s="1054"/>
      <c r="EKL241" s="1055"/>
      <c r="EKM241" s="1054"/>
      <c r="EKN241" s="1055"/>
      <c r="EKO241" s="1054"/>
      <c r="EKP241" s="1055"/>
      <c r="EKQ241" s="1054"/>
      <c r="EKR241" s="1055"/>
      <c r="EKS241" s="1054"/>
      <c r="EKT241" s="1055"/>
      <c r="EKU241" s="1054"/>
      <c r="EKV241" s="1055"/>
      <c r="EKW241" s="1054"/>
      <c r="EKX241" s="1055"/>
      <c r="EKY241" s="1054"/>
      <c r="EKZ241" s="1055"/>
      <c r="ELA241" s="1054"/>
      <c r="ELB241" s="1055"/>
      <c r="ELC241" s="1054"/>
      <c r="ELD241" s="1055"/>
      <c r="ELE241" s="1054"/>
      <c r="ELF241" s="1055"/>
      <c r="ELG241" s="1054"/>
      <c r="ELH241" s="1055"/>
      <c r="ELI241" s="1054"/>
      <c r="ELJ241" s="1055"/>
      <c r="ELK241" s="1054"/>
      <c r="ELL241" s="1055"/>
      <c r="ELM241" s="1054"/>
      <c r="ELN241" s="1055"/>
      <c r="ELO241" s="1054"/>
      <c r="ELP241" s="1055"/>
      <c r="ELQ241" s="1054"/>
      <c r="ELR241" s="1055"/>
      <c r="ELS241" s="1054"/>
      <c r="ELT241" s="1055"/>
      <c r="ELU241" s="1054"/>
      <c r="ELV241" s="1055"/>
      <c r="ELW241" s="1054"/>
      <c r="ELX241" s="1055"/>
      <c r="ELY241" s="1054"/>
      <c r="ELZ241" s="1055"/>
      <c r="EMA241" s="1054"/>
      <c r="EMB241" s="1055"/>
      <c r="EMC241" s="1054"/>
      <c r="EMD241" s="1055"/>
      <c r="EME241" s="1054"/>
      <c r="EMF241" s="1055"/>
      <c r="EMG241" s="1054"/>
      <c r="EMH241" s="1055"/>
      <c r="EMI241" s="1054"/>
      <c r="EMJ241" s="1055"/>
      <c r="EMK241" s="1054"/>
      <c r="EML241" s="1055"/>
      <c r="EMM241" s="1054"/>
      <c r="EMN241" s="1055"/>
      <c r="EMO241" s="1054"/>
      <c r="EMP241" s="1055"/>
      <c r="EMQ241" s="1054"/>
      <c r="EMR241" s="1055"/>
      <c r="EMS241" s="1054"/>
      <c r="EMT241" s="1055"/>
      <c r="EMU241" s="1054"/>
      <c r="EMV241" s="1055"/>
      <c r="EMW241" s="1054"/>
      <c r="EMX241" s="1055"/>
      <c r="EMY241" s="1054"/>
      <c r="EMZ241" s="1055"/>
      <c r="ENA241" s="1054"/>
      <c r="ENB241" s="1055"/>
      <c r="ENC241" s="1054"/>
      <c r="END241" s="1055"/>
      <c r="ENE241" s="1054"/>
      <c r="ENF241" s="1055"/>
      <c r="ENG241" s="1054"/>
      <c r="ENH241" s="1055"/>
      <c r="ENI241" s="1054"/>
      <c r="ENJ241" s="1055"/>
      <c r="ENK241" s="1054"/>
      <c r="ENL241" s="1055"/>
      <c r="ENM241" s="1054"/>
      <c r="ENN241" s="1055"/>
      <c r="ENO241" s="1054"/>
      <c r="ENP241" s="1055"/>
      <c r="ENQ241" s="1054"/>
      <c r="ENR241" s="1055"/>
      <c r="ENS241" s="1054"/>
      <c r="ENT241" s="1055"/>
      <c r="ENU241" s="1054"/>
      <c r="ENV241" s="1055"/>
      <c r="ENW241" s="1054"/>
      <c r="ENX241" s="1055"/>
      <c r="ENY241" s="1054"/>
      <c r="ENZ241" s="1055"/>
      <c r="EOA241" s="1054"/>
      <c r="EOB241" s="1055"/>
      <c r="EOC241" s="1054"/>
      <c r="EOD241" s="1055"/>
      <c r="EOE241" s="1054"/>
      <c r="EOF241" s="1055"/>
      <c r="EOG241" s="1054"/>
      <c r="EOH241" s="1055"/>
      <c r="EOI241" s="1054"/>
      <c r="EOJ241" s="1055"/>
      <c r="EOK241" s="1054"/>
      <c r="EOL241" s="1055"/>
      <c r="EOM241" s="1054"/>
      <c r="EON241" s="1055"/>
      <c r="EOO241" s="1054"/>
      <c r="EOP241" s="1055"/>
      <c r="EOQ241" s="1054"/>
      <c r="EOR241" s="1055"/>
      <c r="EOS241" s="1054"/>
      <c r="EOT241" s="1055"/>
      <c r="EOU241" s="1054"/>
      <c r="EOV241" s="1055"/>
      <c r="EOW241" s="1054"/>
      <c r="EOX241" s="1055"/>
      <c r="EOY241" s="1054"/>
      <c r="EOZ241" s="1055"/>
      <c r="EPA241" s="1054"/>
      <c r="EPB241" s="1055"/>
      <c r="EPC241" s="1054"/>
      <c r="EPD241" s="1055"/>
      <c r="EPE241" s="1054"/>
      <c r="EPF241" s="1055"/>
      <c r="EPG241" s="1054"/>
      <c r="EPH241" s="1055"/>
      <c r="EPI241" s="1054"/>
      <c r="EPJ241" s="1055"/>
      <c r="EPK241" s="1054"/>
      <c r="EPL241" s="1055"/>
      <c r="EPM241" s="1054"/>
      <c r="EPN241" s="1055"/>
      <c r="EPO241" s="1054"/>
      <c r="EPP241" s="1055"/>
      <c r="EPQ241" s="1054"/>
      <c r="EPR241" s="1055"/>
      <c r="EPS241" s="1054"/>
      <c r="EPT241" s="1055"/>
      <c r="EPU241" s="1054"/>
      <c r="EPV241" s="1055"/>
      <c r="EPW241" s="1054"/>
      <c r="EPX241" s="1055"/>
      <c r="EPY241" s="1054"/>
      <c r="EPZ241" s="1055"/>
      <c r="EQA241" s="1054"/>
      <c r="EQB241" s="1055"/>
      <c r="EQC241" s="1054"/>
      <c r="EQD241" s="1055"/>
      <c r="EQE241" s="1054"/>
      <c r="EQF241" s="1055"/>
      <c r="EQG241" s="1054"/>
      <c r="EQH241" s="1055"/>
      <c r="EQI241" s="1054"/>
      <c r="EQJ241" s="1055"/>
      <c r="EQK241" s="1054"/>
      <c r="EQL241" s="1055"/>
      <c r="EQM241" s="1054"/>
      <c r="EQN241" s="1055"/>
      <c r="EQO241" s="1054"/>
      <c r="EQP241" s="1055"/>
      <c r="EQQ241" s="1054"/>
      <c r="EQR241" s="1055"/>
      <c r="EQS241" s="1054"/>
      <c r="EQT241" s="1055"/>
      <c r="EQU241" s="1054"/>
      <c r="EQV241" s="1055"/>
      <c r="EQW241" s="1054"/>
      <c r="EQX241" s="1055"/>
      <c r="EQY241" s="1054"/>
      <c r="EQZ241" s="1055"/>
      <c r="ERA241" s="1054"/>
      <c r="ERB241" s="1055"/>
      <c r="ERC241" s="1054"/>
      <c r="ERD241" s="1055"/>
      <c r="ERE241" s="1054"/>
      <c r="ERF241" s="1055"/>
      <c r="ERG241" s="1054"/>
      <c r="ERH241" s="1055"/>
      <c r="ERI241" s="1054"/>
      <c r="ERJ241" s="1055"/>
      <c r="ERK241" s="1054"/>
      <c r="ERL241" s="1055"/>
      <c r="ERM241" s="1054"/>
      <c r="ERN241" s="1055"/>
      <c r="ERO241" s="1054"/>
      <c r="ERP241" s="1055"/>
      <c r="ERQ241" s="1054"/>
      <c r="ERR241" s="1055"/>
      <c r="ERS241" s="1054"/>
      <c r="ERT241" s="1055"/>
      <c r="ERU241" s="1054"/>
      <c r="ERV241" s="1055"/>
      <c r="ERW241" s="1054"/>
      <c r="ERX241" s="1055"/>
      <c r="ERY241" s="1054"/>
      <c r="ERZ241" s="1055"/>
      <c r="ESA241" s="1054"/>
      <c r="ESB241" s="1055"/>
      <c r="ESC241" s="1054"/>
      <c r="ESD241" s="1055"/>
      <c r="ESE241" s="1054"/>
      <c r="ESF241" s="1055"/>
      <c r="ESG241" s="1054"/>
      <c r="ESH241" s="1055"/>
      <c r="ESI241" s="1054"/>
      <c r="ESJ241" s="1055"/>
      <c r="ESK241" s="1054"/>
      <c r="ESL241" s="1055"/>
      <c r="ESM241" s="1054"/>
      <c r="ESN241" s="1055"/>
      <c r="ESO241" s="1054"/>
      <c r="ESP241" s="1055"/>
      <c r="ESQ241" s="1054"/>
      <c r="ESR241" s="1055"/>
      <c r="ESS241" s="1054"/>
      <c r="EST241" s="1055"/>
      <c r="ESU241" s="1054"/>
      <c r="ESV241" s="1055"/>
      <c r="ESW241" s="1054"/>
      <c r="ESX241" s="1055"/>
      <c r="ESY241" s="1054"/>
      <c r="ESZ241" s="1055"/>
      <c r="ETA241" s="1054"/>
      <c r="ETB241" s="1055"/>
      <c r="ETC241" s="1054"/>
      <c r="ETD241" s="1055"/>
      <c r="ETE241" s="1054"/>
      <c r="ETF241" s="1055"/>
      <c r="ETG241" s="1054"/>
      <c r="ETH241" s="1055"/>
      <c r="ETI241" s="1054"/>
      <c r="ETJ241" s="1055"/>
      <c r="ETK241" s="1054"/>
      <c r="ETL241" s="1055"/>
      <c r="ETM241" s="1054"/>
      <c r="ETN241" s="1055"/>
      <c r="ETO241" s="1054"/>
      <c r="ETP241" s="1055"/>
      <c r="ETQ241" s="1054"/>
      <c r="ETR241" s="1055"/>
      <c r="ETS241" s="1054"/>
      <c r="ETT241" s="1055"/>
      <c r="ETU241" s="1054"/>
      <c r="ETV241" s="1055"/>
      <c r="ETW241" s="1054"/>
      <c r="ETX241" s="1055"/>
      <c r="ETY241" s="1054"/>
      <c r="ETZ241" s="1055"/>
      <c r="EUA241" s="1054"/>
      <c r="EUB241" s="1055"/>
      <c r="EUC241" s="1054"/>
      <c r="EUD241" s="1055"/>
      <c r="EUE241" s="1054"/>
      <c r="EUF241" s="1055"/>
      <c r="EUG241" s="1054"/>
      <c r="EUH241" s="1055"/>
      <c r="EUI241" s="1054"/>
      <c r="EUJ241" s="1055"/>
      <c r="EUK241" s="1054"/>
      <c r="EUL241" s="1055"/>
      <c r="EUM241" s="1054"/>
      <c r="EUN241" s="1055"/>
      <c r="EUO241" s="1054"/>
      <c r="EUP241" s="1055"/>
      <c r="EUQ241" s="1054"/>
      <c r="EUR241" s="1055"/>
      <c r="EUS241" s="1054"/>
      <c r="EUT241" s="1055"/>
      <c r="EUU241" s="1054"/>
      <c r="EUV241" s="1055"/>
      <c r="EUW241" s="1054"/>
      <c r="EUX241" s="1055"/>
      <c r="EUY241" s="1054"/>
      <c r="EUZ241" s="1055"/>
      <c r="EVA241" s="1054"/>
      <c r="EVB241" s="1055"/>
      <c r="EVC241" s="1054"/>
      <c r="EVD241" s="1055"/>
      <c r="EVE241" s="1054"/>
      <c r="EVF241" s="1055"/>
      <c r="EVG241" s="1054"/>
      <c r="EVH241" s="1055"/>
      <c r="EVI241" s="1054"/>
      <c r="EVJ241" s="1055"/>
      <c r="EVK241" s="1054"/>
      <c r="EVL241" s="1055"/>
      <c r="EVM241" s="1054"/>
      <c r="EVN241" s="1055"/>
      <c r="EVO241" s="1054"/>
      <c r="EVP241" s="1055"/>
      <c r="EVQ241" s="1054"/>
      <c r="EVR241" s="1055"/>
      <c r="EVS241" s="1054"/>
      <c r="EVT241" s="1055"/>
      <c r="EVU241" s="1054"/>
      <c r="EVV241" s="1055"/>
      <c r="EVW241" s="1054"/>
      <c r="EVX241" s="1055"/>
      <c r="EVY241" s="1054"/>
      <c r="EVZ241" s="1055"/>
      <c r="EWA241" s="1054"/>
      <c r="EWB241" s="1055"/>
      <c r="EWC241" s="1054"/>
      <c r="EWD241" s="1055"/>
      <c r="EWE241" s="1054"/>
      <c r="EWF241" s="1055"/>
      <c r="EWG241" s="1054"/>
      <c r="EWH241" s="1055"/>
      <c r="EWI241" s="1054"/>
      <c r="EWJ241" s="1055"/>
      <c r="EWK241" s="1054"/>
      <c r="EWL241" s="1055"/>
      <c r="EWM241" s="1054"/>
      <c r="EWN241" s="1055"/>
      <c r="EWO241" s="1054"/>
      <c r="EWP241" s="1055"/>
      <c r="EWQ241" s="1054"/>
      <c r="EWR241" s="1055"/>
      <c r="EWS241" s="1054"/>
      <c r="EWT241" s="1055"/>
      <c r="EWU241" s="1054"/>
      <c r="EWV241" s="1055"/>
      <c r="EWW241" s="1054"/>
      <c r="EWX241" s="1055"/>
      <c r="EWY241" s="1054"/>
      <c r="EWZ241" s="1055"/>
      <c r="EXA241" s="1054"/>
      <c r="EXB241" s="1055"/>
      <c r="EXC241" s="1054"/>
      <c r="EXD241" s="1055"/>
      <c r="EXE241" s="1054"/>
      <c r="EXF241" s="1055"/>
      <c r="EXG241" s="1054"/>
      <c r="EXH241" s="1055"/>
      <c r="EXI241" s="1054"/>
      <c r="EXJ241" s="1055"/>
      <c r="EXK241" s="1054"/>
      <c r="EXL241" s="1055"/>
      <c r="EXM241" s="1054"/>
      <c r="EXN241" s="1055"/>
      <c r="EXO241" s="1054"/>
      <c r="EXP241" s="1055"/>
      <c r="EXQ241" s="1054"/>
      <c r="EXR241" s="1055"/>
      <c r="EXS241" s="1054"/>
      <c r="EXT241" s="1055"/>
      <c r="EXU241" s="1054"/>
      <c r="EXV241" s="1055"/>
      <c r="EXW241" s="1054"/>
      <c r="EXX241" s="1055"/>
      <c r="EXY241" s="1054"/>
      <c r="EXZ241" s="1055"/>
      <c r="EYA241" s="1054"/>
      <c r="EYB241" s="1055"/>
      <c r="EYC241" s="1054"/>
      <c r="EYD241" s="1055"/>
      <c r="EYE241" s="1054"/>
      <c r="EYF241" s="1055"/>
      <c r="EYG241" s="1054"/>
      <c r="EYH241" s="1055"/>
      <c r="EYI241" s="1054"/>
      <c r="EYJ241" s="1055"/>
      <c r="EYK241" s="1054"/>
      <c r="EYL241" s="1055"/>
      <c r="EYM241" s="1054"/>
      <c r="EYN241" s="1055"/>
      <c r="EYO241" s="1054"/>
      <c r="EYP241" s="1055"/>
      <c r="EYQ241" s="1054"/>
      <c r="EYR241" s="1055"/>
      <c r="EYS241" s="1054"/>
      <c r="EYT241" s="1055"/>
      <c r="EYU241" s="1054"/>
      <c r="EYV241" s="1055"/>
      <c r="EYW241" s="1054"/>
      <c r="EYX241" s="1055"/>
      <c r="EYY241" s="1054"/>
      <c r="EYZ241" s="1055"/>
      <c r="EZA241" s="1054"/>
      <c r="EZB241" s="1055"/>
      <c r="EZC241" s="1054"/>
      <c r="EZD241" s="1055"/>
      <c r="EZE241" s="1054"/>
      <c r="EZF241" s="1055"/>
      <c r="EZG241" s="1054"/>
      <c r="EZH241" s="1055"/>
      <c r="EZI241" s="1054"/>
      <c r="EZJ241" s="1055"/>
      <c r="EZK241" s="1054"/>
      <c r="EZL241" s="1055"/>
      <c r="EZM241" s="1054"/>
      <c r="EZN241" s="1055"/>
      <c r="EZO241" s="1054"/>
      <c r="EZP241" s="1055"/>
      <c r="EZQ241" s="1054"/>
      <c r="EZR241" s="1055"/>
      <c r="EZS241" s="1054"/>
      <c r="EZT241" s="1055"/>
      <c r="EZU241" s="1054"/>
      <c r="EZV241" s="1055"/>
      <c r="EZW241" s="1054"/>
      <c r="EZX241" s="1055"/>
      <c r="EZY241" s="1054"/>
      <c r="EZZ241" s="1055"/>
      <c r="FAA241" s="1054"/>
      <c r="FAB241" s="1055"/>
      <c r="FAC241" s="1054"/>
      <c r="FAD241" s="1055"/>
      <c r="FAE241" s="1054"/>
      <c r="FAF241" s="1055"/>
      <c r="FAG241" s="1054"/>
      <c r="FAH241" s="1055"/>
      <c r="FAI241" s="1054"/>
      <c r="FAJ241" s="1055"/>
      <c r="FAK241" s="1054"/>
      <c r="FAL241" s="1055"/>
      <c r="FAM241" s="1054"/>
      <c r="FAN241" s="1055"/>
      <c r="FAO241" s="1054"/>
      <c r="FAP241" s="1055"/>
      <c r="FAQ241" s="1054"/>
      <c r="FAR241" s="1055"/>
      <c r="FAS241" s="1054"/>
      <c r="FAT241" s="1055"/>
      <c r="FAU241" s="1054"/>
      <c r="FAV241" s="1055"/>
      <c r="FAW241" s="1054"/>
      <c r="FAX241" s="1055"/>
      <c r="FAY241" s="1054"/>
      <c r="FAZ241" s="1055"/>
      <c r="FBA241" s="1054"/>
      <c r="FBB241" s="1055"/>
      <c r="FBC241" s="1054"/>
      <c r="FBD241" s="1055"/>
      <c r="FBE241" s="1054"/>
      <c r="FBF241" s="1055"/>
      <c r="FBG241" s="1054"/>
      <c r="FBH241" s="1055"/>
      <c r="FBI241" s="1054"/>
      <c r="FBJ241" s="1055"/>
      <c r="FBK241" s="1054"/>
      <c r="FBL241" s="1055"/>
      <c r="FBM241" s="1054"/>
      <c r="FBN241" s="1055"/>
      <c r="FBO241" s="1054"/>
      <c r="FBP241" s="1055"/>
      <c r="FBQ241" s="1054"/>
      <c r="FBR241" s="1055"/>
      <c r="FBS241" s="1054"/>
      <c r="FBT241" s="1055"/>
      <c r="FBU241" s="1054"/>
      <c r="FBV241" s="1055"/>
      <c r="FBW241" s="1054"/>
      <c r="FBX241" s="1055"/>
      <c r="FBY241" s="1054"/>
      <c r="FBZ241" s="1055"/>
      <c r="FCA241" s="1054"/>
      <c r="FCB241" s="1055"/>
      <c r="FCC241" s="1054"/>
      <c r="FCD241" s="1055"/>
      <c r="FCE241" s="1054"/>
      <c r="FCF241" s="1055"/>
      <c r="FCG241" s="1054"/>
      <c r="FCH241" s="1055"/>
      <c r="FCI241" s="1054"/>
      <c r="FCJ241" s="1055"/>
      <c r="FCK241" s="1054"/>
      <c r="FCL241" s="1055"/>
      <c r="FCM241" s="1054"/>
      <c r="FCN241" s="1055"/>
      <c r="FCO241" s="1054"/>
      <c r="FCP241" s="1055"/>
      <c r="FCQ241" s="1054"/>
      <c r="FCR241" s="1055"/>
      <c r="FCS241" s="1054"/>
      <c r="FCT241" s="1055"/>
      <c r="FCU241" s="1054"/>
      <c r="FCV241" s="1055"/>
      <c r="FCW241" s="1054"/>
      <c r="FCX241" s="1055"/>
      <c r="FCY241" s="1054"/>
      <c r="FCZ241" s="1055"/>
      <c r="FDA241" s="1054"/>
      <c r="FDB241" s="1055"/>
      <c r="FDC241" s="1054"/>
      <c r="FDD241" s="1055"/>
      <c r="FDE241" s="1054"/>
      <c r="FDF241" s="1055"/>
      <c r="FDG241" s="1054"/>
      <c r="FDH241" s="1055"/>
      <c r="FDI241" s="1054"/>
      <c r="FDJ241" s="1055"/>
      <c r="FDK241" s="1054"/>
      <c r="FDL241" s="1055"/>
      <c r="FDM241" s="1054"/>
      <c r="FDN241" s="1055"/>
      <c r="FDO241" s="1054"/>
      <c r="FDP241" s="1055"/>
      <c r="FDQ241" s="1054"/>
      <c r="FDR241" s="1055"/>
      <c r="FDS241" s="1054"/>
      <c r="FDT241" s="1055"/>
      <c r="FDU241" s="1054"/>
      <c r="FDV241" s="1055"/>
      <c r="FDW241" s="1054"/>
      <c r="FDX241" s="1055"/>
      <c r="FDY241" s="1054"/>
      <c r="FDZ241" s="1055"/>
      <c r="FEA241" s="1054"/>
      <c r="FEB241" s="1055"/>
      <c r="FEC241" s="1054"/>
      <c r="FED241" s="1055"/>
      <c r="FEE241" s="1054"/>
      <c r="FEF241" s="1055"/>
      <c r="FEG241" s="1054"/>
      <c r="FEH241" s="1055"/>
      <c r="FEI241" s="1054"/>
      <c r="FEJ241" s="1055"/>
      <c r="FEK241" s="1054"/>
      <c r="FEL241" s="1055"/>
      <c r="FEM241" s="1054"/>
      <c r="FEN241" s="1055"/>
      <c r="FEO241" s="1054"/>
      <c r="FEP241" s="1055"/>
      <c r="FEQ241" s="1054"/>
      <c r="FER241" s="1055"/>
      <c r="FES241" s="1054"/>
      <c r="FET241" s="1055"/>
      <c r="FEU241" s="1054"/>
      <c r="FEV241" s="1055"/>
      <c r="FEW241" s="1054"/>
      <c r="FEX241" s="1055"/>
      <c r="FEY241" s="1054"/>
      <c r="FEZ241" s="1055"/>
      <c r="FFA241" s="1054"/>
      <c r="FFB241" s="1055"/>
      <c r="FFC241" s="1054"/>
      <c r="FFD241" s="1055"/>
      <c r="FFE241" s="1054"/>
      <c r="FFF241" s="1055"/>
      <c r="FFG241" s="1054"/>
      <c r="FFH241" s="1055"/>
      <c r="FFI241" s="1054"/>
      <c r="FFJ241" s="1055"/>
      <c r="FFK241" s="1054"/>
      <c r="FFL241" s="1055"/>
      <c r="FFM241" s="1054"/>
      <c r="FFN241" s="1055"/>
      <c r="FFO241" s="1054"/>
      <c r="FFP241" s="1055"/>
      <c r="FFQ241" s="1054"/>
      <c r="FFR241" s="1055"/>
      <c r="FFS241" s="1054"/>
      <c r="FFT241" s="1055"/>
      <c r="FFU241" s="1054"/>
      <c r="FFV241" s="1055"/>
      <c r="FFW241" s="1054"/>
      <c r="FFX241" s="1055"/>
      <c r="FFY241" s="1054"/>
      <c r="FFZ241" s="1055"/>
      <c r="FGA241" s="1054"/>
      <c r="FGB241" s="1055"/>
      <c r="FGC241" s="1054"/>
      <c r="FGD241" s="1055"/>
      <c r="FGE241" s="1054"/>
      <c r="FGF241" s="1055"/>
      <c r="FGG241" s="1054"/>
      <c r="FGH241" s="1055"/>
      <c r="FGI241" s="1054"/>
      <c r="FGJ241" s="1055"/>
      <c r="FGK241" s="1054"/>
      <c r="FGL241" s="1055"/>
      <c r="FGM241" s="1054"/>
      <c r="FGN241" s="1055"/>
      <c r="FGO241" s="1054"/>
      <c r="FGP241" s="1055"/>
      <c r="FGQ241" s="1054"/>
      <c r="FGR241" s="1055"/>
      <c r="FGS241" s="1054"/>
      <c r="FGT241" s="1055"/>
      <c r="FGU241" s="1054"/>
      <c r="FGV241" s="1055"/>
      <c r="FGW241" s="1054"/>
      <c r="FGX241" s="1055"/>
      <c r="FGY241" s="1054"/>
      <c r="FGZ241" s="1055"/>
      <c r="FHA241" s="1054"/>
      <c r="FHB241" s="1055"/>
      <c r="FHC241" s="1054"/>
      <c r="FHD241" s="1055"/>
      <c r="FHE241" s="1054"/>
      <c r="FHF241" s="1055"/>
      <c r="FHG241" s="1054"/>
      <c r="FHH241" s="1055"/>
      <c r="FHI241" s="1054"/>
      <c r="FHJ241" s="1055"/>
      <c r="FHK241" s="1054"/>
      <c r="FHL241" s="1055"/>
      <c r="FHM241" s="1054"/>
      <c r="FHN241" s="1055"/>
      <c r="FHO241" s="1054"/>
      <c r="FHP241" s="1055"/>
      <c r="FHQ241" s="1054"/>
      <c r="FHR241" s="1055"/>
      <c r="FHS241" s="1054"/>
      <c r="FHT241" s="1055"/>
      <c r="FHU241" s="1054"/>
      <c r="FHV241" s="1055"/>
      <c r="FHW241" s="1054"/>
      <c r="FHX241" s="1055"/>
      <c r="FHY241" s="1054"/>
      <c r="FHZ241" s="1055"/>
      <c r="FIA241" s="1054"/>
      <c r="FIB241" s="1055"/>
      <c r="FIC241" s="1054"/>
      <c r="FID241" s="1055"/>
      <c r="FIE241" s="1054"/>
      <c r="FIF241" s="1055"/>
      <c r="FIG241" s="1054"/>
      <c r="FIH241" s="1055"/>
      <c r="FII241" s="1054"/>
      <c r="FIJ241" s="1055"/>
      <c r="FIK241" s="1054"/>
      <c r="FIL241" s="1055"/>
      <c r="FIM241" s="1054"/>
      <c r="FIN241" s="1055"/>
      <c r="FIO241" s="1054"/>
      <c r="FIP241" s="1055"/>
      <c r="FIQ241" s="1054"/>
      <c r="FIR241" s="1055"/>
      <c r="FIS241" s="1054"/>
      <c r="FIT241" s="1055"/>
      <c r="FIU241" s="1054"/>
      <c r="FIV241" s="1055"/>
      <c r="FIW241" s="1054"/>
      <c r="FIX241" s="1055"/>
      <c r="FIY241" s="1054"/>
      <c r="FIZ241" s="1055"/>
      <c r="FJA241" s="1054"/>
      <c r="FJB241" s="1055"/>
      <c r="FJC241" s="1054"/>
      <c r="FJD241" s="1055"/>
      <c r="FJE241" s="1054"/>
      <c r="FJF241" s="1055"/>
      <c r="FJG241" s="1054"/>
      <c r="FJH241" s="1055"/>
      <c r="FJI241" s="1054"/>
      <c r="FJJ241" s="1055"/>
      <c r="FJK241" s="1054"/>
      <c r="FJL241" s="1055"/>
      <c r="FJM241" s="1054"/>
      <c r="FJN241" s="1055"/>
      <c r="FJO241" s="1054"/>
      <c r="FJP241" s="1055"/>
      <c r="FJQ241" s="1054"/>
      <c r="FJR241" s="1055"/>
      <c r="FJS241" s="1054"/>
      <c r="FJT241" s="1055"/>
      <c r="FJU241" s="1054"/>
      <c r="FJV241" s="1055"/>
      <c r="FJW241" s="1054"/>
      <c r="FJX241" s="1055"/>
      <c r="FJY241" s="1054"/>
      <c r="FJZ241" s="1055"/>
      <c r="FKA241" s="1054"/>
      <c r="FKB241" s="1055"/>
      <c r="FKC241" s="1054"/>
      <c r="FKD241" s="1055"/>
      <c r="FKE241" s="1054"/>
      <c r="FKF241" s="1055"/>
      <c r="FKG241" s="1054"/>
      <c r="FKH241" s="1055"/>
      <c r="FKI241" s="1054"/>
      <c r="FKJ241" s="1055"/>
      <c r="FKK241" s="1054"/>
      <c r="FKL241" s="1055"/>
      <c r="FKM241" s="1054"/>
      <c r="FKN241" s="1055"/>
      <c r="FKO241" s="1054"/>
      <c r="FKP241" s="1055"/>
      <c r="FKQ241" s="1054"/>
      <c r="FKR241" s="1055"/>
      <c r="FKS241" s="1054"/>
      <c r="FKT241" s="1055"/>
      <c r="FKU241" s="1054"/>
      <c r="FKV241" s="1055"/>
      <c r="FKW241" s="1054"/>
      <c r="FKX241" s="1055"/>
      <c r="FKY241" s="1054"/>
      <c r="FKZ241" s="1055"/>
      <c r="FLA241" s="1054"/>
      <c r="FLB241" s="1055"/>
      <c r="FLC241" s="1054"/>
      <c r="FLD241" s="1055"/>
      <c r="FLE241" s="1054"/>
      <c r="FLF241" s="1055"/>
      <c r="FLG241" s="1054"/>
      <c r="FLH241" s="1055"/>
      <c r="FLI241" s="1054"/>
      <c r="FLJ241" s="1055"/>
      <c r="FLK241" s="1054"/>
      <c r="FLL241" s="1055"/>
      <c r="FLM241" s="1054"/>
      <c r="FLN241" s="1055"/>
      <c r="FLO241" s="1054"/>
      <c r="FLP241" s="1055"/>
      <c r="FLQ241" s="1054"/>
      <c r="FLR241" s="1055"/>
      <c r="FLS241" s="1054"/>
      <c r="FLT241" s="1055"/>
      <c r="FLU241" s="1054"/>
      <c r="FLV241" s="1055"/>
      <c r="FLW241" s="1054"/>
      <c r="FLX241" s="1055"/>
      <c r="FLY241" s="1054"/>
      <c r="FLZ241" s="1055"/>
      <c r="FMA241" s="1054"/>
      <c r="FMB241" s="1055"/>
      <c r="FMC241" s="1054"/>
      <c r="FMD241" s="1055"/>
      <c r="FME241" s="1054"/>
      <c r="FMF241" s="1055"/>
      <c r="FMG241" s="1054"/>
      <c r="FMH241" s="1055"/>
      <c r="FMI241" s="1054"/>
      <c r="FMJ241" s="1055"/>
      <c r="FMK241" s="1054"/>
      <c r="FML241" s="1055"/>
      <c r="FMM241" s="1054"/>
      <c r="FMN241" s="1055"/>
      <c r="FMO241" s="1054"/>
      <c r="FMP241" s="1055"/>
      <c r="FMQ241" s="1054"/>
      <c r="FMR241" s="1055"/>
      <c r="FMS241" s="1054"/>
      <c r="FMT241" s="1055"/>
      <c r="FMU241" s="1054"/>
      <c r="FMV241" s="1055"/>
      <c r="FMW241" s="1054"/>
      <c r="FMX241" s="1055"/>
      <c r="FMY241" s="1054"/>
      <c r="FMZ241" s="1055"/>
      <c r="FNA241" s="1054"/>
      <c r="FNB241" s="1055"/>
      <c r="FNC241" s="1054"/>
      <c r="FND241" s="1055"/>
      <c r="FNE241" s="1054"/>
      <c r="FNF241" s="1055"/>
      <c r="FNG241" s="1054"/>
      <c r="FNH241" s="1055"/>
      <c r="FNI241" s="1054"/>
      <c r="FNJ241" s="1055"/>
      <c r="FNK241" s="1054"/>
      <c r="FNL241" s="1055"/>
      <c r="FNM241" s="1054"/>
      <c r="FNN241" s="1055"/>
      <c r="FNO241" s="1054"/>
      <c r="FNP241" s="1055"/>
      <c r="FNQ241" s="1054"/>
      <c r="FNR241" s="1055"/>
      <c r="FNS241" s="1054"/>
      <c r="FNT241" s="1055"/>
      <c r="FNU241" s="1054"/>
      <c r="FNV241" s="1055"/>
      <c r="FNW241" s="1054"/>
      <c r="FNX241" s="1055"/>
      <c r="FNY241" s="1054"/>
      <c r="FNZ241" s="1055"/>
      <c r="FOA241" s="1054"/>
      <c r="FOB241" s="1055"/>
      <c r="FOC241" s="1054"/>
      <c r="FOD241" s="1055"/>
      <c r="FOE241" s="1054"/>
      <c r="FOF241" s="1055"/>
      <c r="FOG241" s="1054"/>
      <c r="FOH241" s="1055"/>
      <c r="FOI241" s="1054"/>
      <c r="FOJ241" s="1055"/>
      <c r="FOK241" s="1054"/>
      <c r="FOL241" s="1055"/>
      <c r="FOM241" s="1054"/>
      <c r="FON241" s="1055"/>
      <c r="FOO241" s="1054"/>
      <c r="FOP241" s="1055"/>
      <c r="FOQ241" s="1054"/>
      <c r="FOR241" s="1055"/>
      <c r="FOS241" s="1054"/>
      <c r="FOT241" s="1055"/>
      <c r="FOU241" s="1054"/>
      <c r="FOV241" s="1055"/>
      <c r="FOW241" s="1054"/>
      <c r="FOX241" s="1055"/>
      <c r="FOY241" s="1054"/>
      <c r="FOZ241" s="1055"/>
      <c r="FPA241" s="1054"/>
      <c r="FPB241" s="1055"/>
      <c r="FPC241" s="1054"/>
      <c r="FPD241" s="1055"/>
      <c r="FPE241" s="1054"/>
      <c r="FPF241" s="1055"/>
      <c r="FPG241" s="1054"/>
      <c r="FPH241" s="1055"/>
      <c r="FPI241" s="1054"/>
      <c r="FPJ241" s="1055"/>
      <c r="FPK241" s="1054"/>
      <c r="FPL241" s="1055"/>
      <c r="FPM241" s="1054"/>
      <c r="FPN241" s="1055"/>
      <c r="FPO241" s="1054"/>
      <c r="FPP241" s="1055"/>
      <c r="FPQ241" s="1054"/>
      <c r="FPR241" s="1055"/>
      <c r="FPS241" s="1054"/>
      <c r="FPT241" s="1055"/>
      <c r="FPU241" s="1054"/>
      <c r="FPV241" s="1055"/>
      <c r="FPW241" s="1054"/>
      <c r="FPX241" s="1055"/>
      <c r="FPY241" s="1054"/>
      <c r="FPZ241" s="1055"/>
      <c r="FQA241" s="1054"/>
      <c r="FQB241" s="1055"/>
      <c r="FQC241" s="1054"/>
      <c r="FQD241" s="1055"/>
      <c r="FQE241" s="1054"/>
      <c r="FQF241" s="1055"/>
      <c r="FQG241" s="1054"/>
      <c r="FQH241" s="1055"/>
      <c r="FQI241" s="1054"/>
      <c r="FQJ241" s="1055"/>
      <c r="FQK241" s="1054"/>
      <c r="FQL241" s="1055"/>
      <c r="FQM241" s="1054"/>
      <c r="FQN241" s="1055"/>
      <c r="FQO241" s="1054"/>
      <c r="FQP241" s="1055"/>
      <c r="FQQ241" s="1054"/>
      <c r="FQR241" s="1055"/>
      <c r="FQS241" s="1054"/>
      <c r="FQT241" s="1055"/>
      <c r="FQU241" s="1054"/>
      <c r="FQV241" s="1055"/>
      <c r="FQW241" s="1054"/>
      <c r="FQX241" s="1055"/>
      <c r="FQY241" s="1054"/>
      <c r="FQZ241" s="1055"/>
      <c r="FRA241" s="1054"/>
      <c r="FRB241" s="1055"/>
      <c r="FRC241" s="1054"/>
      <c r="FRD241" s="1055"/>
      <c r="FRE241" s="1054"/>
      <c r="FRF241" s="1055"/>
      <c r="FRG241" s="1054"/>
      <c r="FRH241" s="1055"/>
      <c r="FRI241" s="1054"/>
      <c r="FRJ241" s="1055"/>
      <c r="FRK241" s="1054"/>
      <c r="FRL241" s="1055"/>
      <c r="FRM241" s="1054"/>
      <c r="FRN241" s="1055"/>
      <c r="FRO241" s="1054"/>
      <c r="FRP241" s="1055"/>
      <c r="FRQ241" s="1054"/>
      <c r="FRR241" s="1055"/>
      <c r="FRS241" s="1054"/>
      <c r="FRT241" s="1055"/>
      <c r="FRU241" s="1054"/>
      <c r="FRV241" s="1055"/>
      <c r="FRW241" s="1054"/>
      <c r="FRX241" s="1055"/>
      <c r="FRY241" s="1054"/>
      <c r="FRZ241" s="1055"/>
      <c r="FSA241" s="1054"/>
      <c r="FSB241" s="1055"/>
      <c r="FSC241" s="1054"/>
      <c r="FSD241" s="1055"/>
      <c r="FSE241" s="1054"/>
      <c r="FSF241" s="1055"/>
      <c r="FSG241" s="1054"/>
      <c r="FSH241" s="1055"/>
      <c r="FSI241" s="1054"/>
      <c r="FSJ241" s="1055"/>
      <c r="FSK241" s="1054"/>
      <c r="FSL241" s="1055"/>
      <c r="FSM241" s="1054"/>
      <c r="FSN241" s="1055"/>
      <c r="FSO241" s="1054"/>
      <c r="FSP241" s="1055"/>
      <c r="FSQ241" s="1054"/>
      <c r="FSR241" s="1055"/>
      <c r="FSS241" s="1054"/>
      <c r="FST241" s="1055"/>
      <c r="FSU241" s="1054"/>
      <c r="FSV241" s="1055"/>
      <c r="FSW241" s="1054"/>
      <c r="FSX241" s="1055"/>
      <c r="FSY241" s="1054"/>
      <c r="FSZ241" s="1055"/>
      <c r="FTA241" s="1054"/>
      <c r="FTB241" s="1055"/>
      <c r="FTC241" s="1054"/>
      <c r="FTD241" s="1055"/>
      <c r="FTE241" s="1054"/>
      <c r="FTF241" s="1055"/>
      <c r="FTG241" s="1054"/>
      <c r="FTH241" s="1055"/>
      <c r="FTI241" s="1054"/>
      <c r="FTJ241" s="1055"/>
      <c r="FTK241" s="1054"/>
      <c r="FTL241" s="1055"/>
      <c r="FTM241" s="1054"/>
      <c r="FTN241" s="1055"/>
      <c r="FTO241" s="1054"/>
      <c r="FTP241" s="1055"/>
      <c r="FTQ241" s="1054"/>
      <c r="FTR241" s="1055"/>
      <c r="FTS241" s="1054"/>
      <c r="FTT241" s="1055"/>
      <c r="FTU241" s="1054"/>
      <c r="FTV241" s="1055"/>
      <c r="FTW241" s="1054"/>
      <c r="FTX241" s="1055"/>
      <c r="FTY241" s="1054"/>
      <c r="FTZ241" s="1055"/>
      <c r="FUA241" s="1054"/>
      <c r="FUB241" s="1055"/>
      <c r="FUC241" s="1054"/>
      <c r="FUD241" s="1055"/>
      <c r="FUE241" s="1054"/>
      <c r="FUF241" s="1055"/>
      <c r="FUG241" s="1054"/>
      <c r="FUH241" s="1055"/>
      <c r="FUI241" s="1054"/>
      <c r="FUJ241" s="1055"/>
      <c r="FUK241" s="1054"/>
      <c r="FUL241" s="1055"/>
      <c r="FUM241" s="1054"/>
      <c r="FUN241" s="1055"/>
      <c r="FUO241" s="1054"/>
      <c r="FUP241" s="1055"/>
      <c r="FUQ241" s="1054"/>
      <c r="FUR241" s="1055"/>
      <c r="FUS241" s="1054"/>
      <c r="FUT241" s="1055"/>
      <c r="FUU241" s="1054"/>
      <c r="FUV241" s="1055"/>
      <c r="FUW241" s="1054"/>
      <c r="FUX241" s="1055"/>
      <c r="FUY241" s="1054"/>
      <c r="FUZ241" s="1055"/>
      <c r="FVA241" s="1054"/>
      <c r="FVB241" s="1055"/>
      <c r="FVC241" s="1054"/>
      <c r="FVD241" s="1055"/>
      <c r="FVE241" s="1054"/>
      <c r="FVF241" s="1055"/>
      <c r="FVG241" s="1054"/>
      <c r="FVH241" s="1055"/>
      <c r="FVI241" s="1054"/>
      <c r="FVJ241" s="1055"/>
      <c r="FVK241" s="1054"/>
      <c r="FVL241" s="1055"/>
      <c r="FVM241" s="1054"/>
      <c r="FVN241" s="1055"/>
      <c r="FVO241" s="1054"/>
      <c r="FVP241" s="1055"/>
      <c r="FVQ241" s="1054"/>
      <c r="FVR241" s="1055"/>
      <c r="FVS241" s="1054"/>
      <c r="FVT241" s="1055"/>
      <c r="FVU241" s="1054"/>
      <c r="FVV241" s="1055"/>
      <c r="FVW241" s="1054"/>
      <c r="FVX241" s="1055"/>
      <c r="FVY241" s="1054"/>
      <c r="FVZ241" s="1055"/>
      <c r="FWA241" s="1054"/>
      <c r="FWB241" s="1055"/>
      <c r="FWC241" s="1054"/>
      <c r="FWD241" s="1055"/>
      <c r="FWE241" s="1054"/>
      <c r="FWF241" s="1055"/>
      <c r="FWG241" s="1054"/>
      <c r="FWH241" s="1055"/>
      <c r="FWI241" s="1054"/>
      <c r="FWJ241" s="1055"/>
      <c r="FWK241" s="1054"/>
      <c r="FWL241" s="1055"/>
      <c r="FWM241" s="1054"/>
      <c r="FWN241" s="1055"/>
      <c r="FWO241" s="1054"/>
      <c r="FWP241" s="1055"/>
      <c r="FWQ241" s="1054"/>
      <c r="FWR241" s="1055"/>
      <c r="FWS241" s="1054"/>
      <c r="FWT241" s="1055"/>
      <c r="FWU241" s="1054"/>
      <c r="FWV241" s="1055"/>
      <c r="FWW241" s="1054"/>
      <c r="FWX241" s="1055"/>
      <c r="FWY241" s="1054"/>
      <c r="FWZ241" s="1055"/>
      <c r="FXA241" s="1054"/>
      <c r="FXB241" s="1055"/>
      <c r="FXC241" s="1054"/>
      <c r="FXD241" s="1055"/>
      <c r="FXE241" s="1054"/>
      <c r="FXF241" s="1055"/>
      <c r="FXG241" s="1054"/>
      <c r="FXH241" s="1055"/>
      <c r="FXI241" s="1054"/>
      <c r="FXJ241" s="1055"/>
      <c r="FXK241" s="1054"/>
      <c r="FXL241" s="1055"/>
      <c r="FXM241" s="1054"/>
      <c r="FXN241" s="1055"/>
      <c r="FXO241" s="1054"/>
      <c r="FXP241" s="1055"/>
      <c r="FXQ241" s="1054"/>
      <c r="FXR241" s="1055"/>
      <c r="FXS241" s="1054"/>
      <c r="FXT241" s="1055"/>
      <c r="FXU241" s="1054"/>
      <c r="FXV241" s="1055"/>
      <c r="FXW241" s="1054"/>
      <c r="FXX241" s="1055"/>
      <c r="FXY241" s="1054"/>
      <c r="FXZ241" s="1055"/>
      <c r="FYA241" s="1054"/>
      <c r="FYB241" s="1055"/>
      <c r="FYC241" s="1054"/>
      <c r="FYD241" s="1055"/>
      <c r="FYE241" s="1054"/>
      <c r="FYF241" s="1055"/>
      <c r="FYG241" s="1054"/>
      <c r="FYH241" s="1055"/>
      <c r="FYI241" s="1054"/>
      <c r="FYJ241" s="1055"/>
      <c r="FYK241" s="1054"/>
      <c r="FYL241" s="1055"/>
      <c r="FYM241" s="1054"/>
      <c r="FYN241" s="1055"/>
      <c r="FYO241" s="1054"/>
      <c r="FYP241" s="1055"/>
      <c r="FYQ241" s="1054"/>
      <c r="FYR241" s="1055"/>
      <c r="FYS241" s="1054"/>
      <c r="FYT241" s="1055"/>
      <c r="FYU241" s="1054"/>
      <c r="FYV241" s="1055"/>
      <c r="FYW241" s="1054"/>
      <c r="FYX241" s="1055"/>
      <c r="FYY241" s="1054"/>
      <c r="FYZ241" s="1055"/>
      <c r="FZA241" s="1054"/>
      <c r="FZB241" s="1055"/>
      <c r="FZC241" s="1054"/>
      <c r="FZD241" s="1055"/>
      <c r="FZE241" s="1054"/>
      <c r="FZF241" s="1055"/>
      <c r="FZG241" s="1054"/>
      <c r="FZH241" s="1055"/>
      <c r="FZI241" s="1054"/>
      <c r="FZJ241" s="1055"/>
      <c r="FZK241" s="1054"/>
      <c r="FZL241" s="1055"/>
      <c r="FZM241" s="1054"/>
      <c r="FZN241" s="1055"/>
      <c r="FZO241" s="1054"/>
      <c r="FZP241" s="1055"/>
      <c r="FZQ241" s="1054"/>
      <c r="FZR241" s="1055"/>
      <c r="FZS241" s="1054"/>
      <c r="FZT241" s="1055"/>
      <c r="FZU241" s="1054"/>
      <c r="FZV241" s="1055"/>
      <c r="FZW241" s="1054"/>
      <c r="FZX241" s="1055"/>
      <c r="FZY241" s="1054"/>
      <c r="FZZ241" s="1055"/>
      <c r="GAA241" s="1054"/>
      <c r="GAB241" s="1055"/>
      <c r="GAC241" s="1054"/>
      <c r="GAD241" s="1055"/>
      <c r="GAE241" s="1054"/>
      <c r="GAF241" s="1055"/>
      <c r="GAG241" s="1054"/>
      <c r="GAH241" s="1055"/>
      <c r="GAI241" s="1054"/>
      <c r="GAJ241" s="1055"/>
      <c r="GAK241" s="1054"/>
      <c r="GAL241" s="1055"/>
      <c r="GAM241" s="1054"/>
      <c r="GAN241" s="1055"/>
      <c r="GAO241" s="1054"/>
      <c r="GAP241" s="1055"/>
      <c r="GAQ241" s="1054"/>
      <c r="GAR241" s="1055"/>
      <c r="GAS241" s="1054"/>
      <c r="GAT241" s="1055"/>
      <c r="GAU241" s="1054"/>
      <c r="GAV241" s="1055"/>
      <c r="GAW241" s="1054"/>
      <c r="GAX241" s="1055"/>
      <c r="GAY241" s="1054"/>
      <c r="GAZ241" s="1055"/>
      <c r="GBA241" s="1054"/>
      <c r="GBB241" s="1055"/>
      <c r="GBC241" s="1054"/>
      <c r="GBD241" s="1055"/>
      <c r="GBE241" s="1054"/>
      <c r="GBF241" s="1055"/>
      <c r="GBG241" s="1054"/>
      <c r="GBH241" s="1055"/>
      <c r="GBI241" s="1054"/>
      <c r="GBJ241" s="1055"/>
      <c r="GBK241" s="1054"/>
      <c r="GBL241" s="1055"/>
      <c r="GBM241" s="1054"/>
      <c r="GBN241" s="1055"/>
      <c r="GBO241" s="1054"/>
      <c r="GBP241" s="1055"/>
      <c r="GBQ241" s="1054"/>
      <c r="GBR241" s="1055"/>
      <c r="GBS241" s="1054"/>
      <c r="GBT241" s="1055"/>
      <c r="GBU241" s="1054"/>
      <c r="GBV241" s="1055"/>
      <c r="GBW241" s="1054"/>
      <c r="GBX241" s="1055"/>
      <c r="GBY241" s="1054"/>
      <c r="GBZ241" s="1055"/>
      <c r="GCA241" s="1054"/>
      <c r="GCB241" s="1055"/>
      <c r="GCC241" s="1054"/>
      <c r="GCD241" s="1055"/>
      <c r="GCE241" s="1054"/>
      <c r="GCF241" s="1055"/>
      <c r="GCG241" s="1054"/>
      <c r="GCH241" s="1055"/>
      <c r="GCI241" s="1054"/>
      <c r="GCJ241" s="1055"/>
      <c r="GCK241" s="1054"/>
      <c r="GCL241" s="1055"/>
      <c r="GCM241" s="1054"/>
      <c r="GCN241" s="1055"/>
      <c r="GCO241" s="1054"/>
      <c r="GCP241" s="1055"/>
      <c r="GCQ241" s="1054"/>
      <c r="GCR241" s="1055"/>
      <c r="GCS241" s="1054"/>
      <c r="GCT241" s="1055"/>
      <c r="GCU241" s="1054"/>
      <c r="GCV241" s="1055"/>
      <c r="GCW241" s="1054"/>
      <c r="GCX241" s="1055"/>
      <c r="GCY241" s="1054"/>
      <c r="GCZ241" s="1055"/>
      <c r="GDA241" s="1054"/>
      <c r="GDB241" s="1055"/>
      <c r="GDC241" s="1054"/>
      <c r="GDD241" s="1055"/>
      <c r="GDE241" s="1054"/>
      <c r="GDF241" s="1055"/>
      <c r="GDG241" s="1054"/>
      <c r="GDH241" s="1055"/>
      <c r="GDI241" s="1054"/>
      <c r="GDJ241" s="1055"/>
      <c r="GDK241" s="1054"/>
      <c r="GDL241" s="1055"/>
      <c r="GDM241" s="1054"/>
      <c r="GDN241" s="1055"/>
      <c r="GDO241" s="1054"/>
      <c r="GDP241" s="1055"/>
      <c r="GDQ241" s="1054"/>
      <c r="GDR241" s="1055"/>
      <c r="GDS241" s="1054"/>
      <c r="GDT241" s="1055"/>
      <c r="GDU241" s="1054"/>
      <c r="GDV241" s="1055"/>
      <c r="GDW241" s="1054"/>
      <c r="GDX241" s="1055"/>
      <c r="GDY241" s="1054"/>
      <c r="GDZ241" s="1055"/>
      <c r="GEA241" s="1054"/>
      <c r="GEB241" s="1055"/>
      <c r="GEC241" s="1054"/>
      <c r="GED241" s="1055"/>
      <c r="GEE241" s="1054"/>
      <c r="GEF241" s="1055"/>
      <c r="GEG241" s="1054"/>
      <c r="GEH241" s="1055"/>
      <c r="GEI241" s="1054"/>
      <c r="GEJ241" s="1055"/>
      <c r="GEK241" s="1054"/>
      <c r="GEL241" s="1055"/>
      <c r="GEM241" s="1054"/>
      <c r="GEN241" s="1055"/>
      <c r="GEO241" s="1054"/>
      <c r="GEP241" s="1055"/>
      <c r="GEQ241" s="1054"/>
      <c r="GER241" s="1055"/>
      <c r="GES241" s="1054"/>
      <c r="GET241" s="1055"/>
      <c r="GEU241" s="1054"/>
      <c r="GEV241" s="1055"/>
      <c r="GEW241" s="1054"/>
      <c r="GEX241" s="1055"/>
      <c r="GEY241" s="1054"/>
      <c r="GEZ241" s="1055"/>
      <c r="GFA241" s="1054"/>
      <c r="GFB241" s="1055"/>
      <c r="GFC241" s="1054"/>
      <c r="GFD241" s="1055"/>
      <c r="GFE241" s="1054"/>
      <c r="GFF241" s="1055"/>
      <c r="GFG241" s="1054"/>
      <c r="GFH241" s="1055"/>
      <c r="GFI241" s="1054"/>
      <c r="GFJ241" s="1055"/>
      <c r="GFK241" s="1054"/>
      <c r="GFL241" s="1055"/>
      <c r="GFM241" s="1054"/>
      <c r="GFN241" s="1055"/>
      <c r="GFO241" s="1054"/>
      <c r="GFP241" s="1055"/>
      <c r="GFQ241" s="1054"/>
      <c r="GFR241" s="1055"/>
      <c r="GFS241" s="1054"/>
      <c r="GFT241" s="1055"/>
      <c r="GFU241" s="1054"/>
      <c r="GFV241" s="1055"/>
      <c r="GFW241" s="1054"/>
      <c r="GFX241" s="1055"/>
      <c r="GFY241" s="1054"/>
      <c r="GFZ241" s="1055"/>
      <c r="GGA241" s="1054"/>
      <c r="GGB241" s="1055"/>
      <c r="GGC241" s="1054"/>
      <c r="GGD241" s="1055"/>
      <c r="GGE241" s="1054"/>
      <c r="GGF241" s="1055"/>
      <c r="GGG241" s="1054"/>
      <c r="GGH241" s="1055"/>
      <c r="GGI241" s="1054"/>
      <c r="GGJ241" s="1055"/>
      <c r="GGK241" s="1054"/>
      <c r="GGL241" s="1055"/>
      <c r="GGM241" s="1054"/>
      <c r="GGN241" s="1055"/>
      <c r="GGO241" s="1054"/>
      <c r="GGP241" s="1055"/>
      <c r="GGQ241" s="1054"/>
      <c r="GGR241" s="1055"/>
      <c r="GGS241" s="1054"/>
      <c r="GGT241" s="1055"/>
      <c r="GGU241" s="1054"/>
      <c r="GGV241" s="1055"/>
      <c r="GGW241" s="1054"/>
      <c r="GGX241" s="1055"/>
      <c r="GGY241" s="1054"/>
      <c r="GGZ241" s="1055"/>
      <c r="GHA241" s="1054"/>
      <c r="GHB241" s="1055"/>
      <c r="GHC241" s="1054"/>
      <c r="GHD241" s="1055"/>
      <c r="GHE241" s="1054"/>
      <c r="GHF241" s="1055"/>
      <c r="GHG241" s="1054"/>
      <c r="GHH241" s="1055"/>
      <c r="GHI241" s="1054"/>
      <c r="GHJ241" s="1055"/>
      <c r="GHK241" s="1054"/>
      <c r="GHL241" s="1055"/>
      <c r="GHM241" s="1054"/>
      <c r="GHN241" s="1055"/>
      <c r="GHO241" s="1054"/>
      <c r="GHP241" s="1055"/>
      <c r="GHQ241" s="1054"/>
      <c r="GHR241" s="1055"/>
      <c r="GHS241" s="1054"/>
      <c r="GHT241" s="1055"/>
      <c r="GHU241" s="1054"/>
      <c r="GHV241" s="1055"/>
      <c r="GHW241" s="1054"/>
      <c r="GHX241" s="1055"/>
      <c r="GHY241" s="1054"/>
      <c r="GHZ241" s="1055"/>
      <c r="GIA241" s="1054"/>
      <c r="GIB241" s="1055"/>
      <c r="GIC241" s="1054"/>
      <c r="GID241" s="1055"/>
      <c r="GIE241" s="1054"/>
      <c r="GIF241" s="1055"/>
      <c r="GIG241" s="1054"/>
      <c r="GIH241" s="1055"/>
      <c r="GII241" s="1054"/>
      <c r="GIJ241" s="1055"/>
      <c r="GIK241" s="1054"/>
      <c r="GIL241" s="1055"/>
      <c r="GIM241" s="1054"/>
      <c r="GIN241" s="1055"/>
      <c r="GIO241" s="1054"/>
      <c r="GIP241" s="1055"/>
      <c r="GIQ241" s="1054"/>
      <c r="GIR241" s="1055"/>
      <c r="GIS241" s="1054"/>
      <c r="GIT241" s="1055"/>
      <c r="GIU241" s="1054"/>
      <c r="GIV241" s="1055"/>
      <c r="GIW241" s="1054"/>
      <c r="GIX241" s="1055"/>
      <c r="GIY241" s="1054"/>
      <c r="GIZ241" s="1055"/>
      <c r="GJA241" s="1054"/>
      <c r="GJB241" s="1055"/>
      <c r="GJC241" s="1054"/>
      <c r="GJD241" s="1055"/>
      <c r="GJE241" s="1054"/>
      <c r="GJF241" s="1055"/>
      <c r="GJG241" s="1054"/>
      <c r="GJH241" s="1055"/>
      <c r="GJI241" s="1054"/>
      <c r="GJJ241" s="1055"/>
      <c r="GJK241" s="1054"/>
      <c r="GJL241" s="1055"/>
      <c r="GJM241" s="1054"/>
      <c r="GJN241" s="1055"/>
      <c r="GJO241" s="1054"/>
      <c r="GJP241" s="1055"/>
      <c r="GJQ241" s="1054"/>
      <c r="GJR241" s="1055"/>
      <c r="GJS241" s="1054"/>
      <c r="GJT241" s="1055"/>
      <c r="GJU241" s="1054"/>
      <c r="GJV241" s="1055"/>
      <c r="GJW241" s="1054"/>
      <c r="GJX241" s="1055"/>
      <c r="GJY241" s="1054"/>
      <c r="GJZ241" s="1055"/>
      <c r="GKA241" s="1054"/>
      <c r="GKB241" s="1055"/>
      <c r="GKC241" s="1054"/>
      <c r="GKD241" s="1055"/>
      <c r="GKE241" s="1054"/>
      <c r="GKF241" s="1055"/>
      <c r="GKG241" s="1054"/>
      <c r="GKH241" s="1055"/>
      <c r="GKI241" s="1054"/>
      <c r="GKJ241" s="1055"/>
      <c r="GKK241" s="1054"/>
      <c r="GKL241" s="1055"/>
      <c r="GKM241" s="1054"/>
      <c r="GKN241" s="1055"/>
      <c r="GKO241" s="1054"/>
      <c r="GKP241" s="1055"/>
      <c r="GKQ241" s="1054"/>
      <c r="GKR241" s="1055"/>
      <c r="GKS241" s="1054"/>
      <c r="GKT241" s="1055"/>
      <c r="GKU241" s="1054"/>
      <c r="GKV241" s="1055"/>
      <c r="GKW241" s="1054"/>
      <c r="GKX241" s="1055"/>
      <c r="GKY241" s="1054"/>
      <c r="GKZ241" s="1055"/>
      <c r="GLA241" s="1054"/>
      <c r="GLB241" s="1055"/>
      <c r="GLC241" s="1054"/>
      <c r="GLD241" s="1055"/>
      <c r="GLE241" s="1054"/>
      <c r="GLF241" s="1055"/>
      <c r="GLG241" s="1054"/>
      <c r="GLH241" s="1055"/>
      <c r="GLI241" s="1054"/>
      <c r="GLJ241" s="1055"/>
      <c r="GLK241" s="1054"/>
      <c r="GLL241" s="1055"/>
      <c r="GLM241" s="1054"/>
      <c r="GLN241" s="1055"/>
      <c r="GLO241" s="1054"/>
      <c r="GLP241" s="1055"/>
      <c r="GLQ241" s="1054"/>
      <c r="GLR241" s="1055"/>
      <c r="GLS241" s="1054"/>
      <c r="GLT241" s="1055"/>
      <c r="GLU241" s="1054"/>
      <c r="GLV241" s="1055"/>
      <c r="GLW241" s="1054"/>
      <c r="GLX241" s="1055"/>
      <c r="GLY241" s="1054"/>
      <c r="GLZ241" s="1055"/>
      <c r="GMA241" s="1054"/>
      <c r="GMB241" s="1055"/>
      <c r="GMC241" s="1054"/>
      <c r="GMD241" s="1055"/>
      <c r="GME241" s="1054"/>
      <c r="GMF241" s="1055"/>
      <c r="GMG241" s="1054"/>
      <c r="GMH241" s="1055"/>
      <c r="GMI241" s="1054"/>
      <c r="GMJ241" s="1055"/>
      <c r="GMK241" s="1054"/>
      <c r="GML241" s="1055"/>
      <c r="GMM241" s="1054"/>
      <c r="GMN241" s="1055"/>
      <c r="GMO241" s="1054"/>
      <c r="GMP241" s="1055"/>
      <c r="GMQ241" s="1054"/>
      <c r="GMR241" s="1055"/>
      <c r="GMS241" s="1054"/>
      <c r="GMT241" s="1055"/>
      <c r="GMU241" s="1054"/>
      <c r="GMV241" s="1055"/>
      <c r="GMW241" s="1054"/>
      <c r="GMX241" s="1055"/>
      <c r="GMY241" s="1054"/>
      <c r="GMZ241" s="1055"/>
      <c r="GNA241" s="1054"/>
      <c r="GNB241" s="1055"/>
      <c r="GNC241" s="1054"/>
      <c r="GND241" s="1055"/>
      <c r="GNE241" s="1054"/>
      <c r="GNF241" s="1055"/>
      <c r="GNG241" s="1054"/>
      <c r="GNH241" s="1055"/>
      <c r="GNI241" s="1054"/>
      <c r="GNJ241" s="1055"/>
      <c r="GNK241" s="1054"/>
      <c r="GNL241" s="1055"/>
      <c r="GNM241" s="1054"/>
      <c r="GNN241" s="1055"/>
      <c r="GNO241" s="1054"/>
      <c r="GNP241" s="1055"/>
      <c r="GNQ241" s="1054"/>
      <c r="GNR241" s="1055"/>
      <c r="GNS241" s="1054"/>
      <c r="GNT241" s="1055"/>
      <c r="GNU241" s="1054"/>
      <c r="GNV241" s="1055"/>
      <c r="GNW241" s="1054"/>
      <c r="GNX241" s="1055"/>
      <c r="GNY241" s="1054"/>
      <c r="GNZ241" s="1055"/>
      <c r="GOA241" s="1054"/>
      <c r="GOB241" s="1055"/>
      <c r="GOC241" s="1054"/>
      <c r="GOD241" s="1055"/>
      <c r="GOE241" s="1054"/>
      <c r="GOF241" s="1055"/>
      <c r="GOG241" s="1054"/>
      <c r="GOH241" s="1055"/>
      <c r="GOI241" s="1054"/>
      <c r="GOJ241" s="1055"/>
      <c r="GOK241" s="1054"/>
      <c r="GOL241" s="1055"/>
      <c r="GOM241" s="1054"/>
      <c r="GON241" s="1055"/>
      <c r="GOO241" s="1054"/>
      <c r="GOP241" s="1055"/>
      <c r="GOQ241" s="1054"/>
      <c r="GOR241" s="1055"/>
      <c r="GOS241" s="1054"/>
      <c r="GOT241" s="1055"/>
      <c r="GOU241" s="1054"/>
      <c r="GOV241" s="1055"/>
      <c r="GOW241" s="1054"/>
      <c r="GOX241" s="1055"/>
      <c r="GOY241" s="1054"/>
      <c r="GOZ241" s="1055"/>
      <c r="GPA241" s="1054"/>
      <c r="GPB241" s="1055"/>
      <c r="GPC241" s="1054"/>
      <c r="GPD241" s="1055"/>
      <c r="GPE241" s="1054"/>
      <c r="GPF241" s="1055"/>
      <c r="GPG241" s="1054"/>
      <c r="GPH241" s="1055"/>
      <c r="GPI241" s="1054"/>
      <c r="GPJ241" s="1055"/>
      <c r="GPK241" s="1054"/>
      <c r="GPL241" s="1055"/>
      <c r="GPM241" s="1054"/>
      <c r="GPN241" s="1055"/>
      <c r="GPO241" s="1054"/>
      <c r="GPP241" s="1055"/>
      <c r="GPQ241" s="1054"/>
      <c r="GPR241" s="1055"/>
      <c r="GPS241" s="1054"/>
      <c r="GPT241" s="1055"/>
      <c r="GPU241" s="1054"/>
      <c r="GPV241" s="1055"/>
      <c r="GPW241" s="1054"/>
      <c r="GPX241" s="1055"/>
      <c r="GPY241" s="1054"/>
      <c r="GPZ241" s="1055"/>
      <c r="GQA241" s="1054"/>
      <c r="GQB241" s="1055"/>
      <c r="GQC241" s="1054"/>
      <c r="GQD241" s="1055"/>
      <c r="GQE241" s="1054"/>
      <c r="GQF241" s="1055"/>
      <c r="GQG241" s="1054"/>
      <c r="GQH241" s="1055"/>
      <c r="GQI241" s="1054"/>
      <c r="GQJ241" s="1055"/>
      <c r="GQK241" s="1054"/>
      <c r="GQL241" s="1055"/>
      <c r="GQM241" s="1054"/>
      <c r="GQN241" s="1055"/>
      <c r="GQO241" s="1054"/>
      <c r="GQP241" s="1055"/>
      <c r="GQQ241" s="1054"/>
      <c r="GQR241" s="1055"/>
      <c r="GQS241" s="1054"/>
      <c r="GQT241" s="1055"/>
      <c r="GQU241" s="1054"/>
      <c r="GQV241" s="1055"/>
      <c r="GQW241" s="1054"/>
      <c r="GQX241" s="1055"/>
      <c r="GQY241" s="1054"/>
      <c r="GQZ241" s="1055"/>
      <c r="GRA241" s="1054"/>
      <c r="GRB241" s="1055"/>
      <c r="GRC241" s="1054"/>
      <c r="GRD241" s="1055"/>
      <c r="GRE241" s="1054"/>
      <c r="GRF241" s="1055"/>
      <c r="GRG241" s="1054"/>
      <c r="GRH241" s="1055"/>
      <c r="GRI241" s="1054"/>
      <c r="GRJ241" s="1055"/>
      <c r="GRK241" s="1054"/>
      <c r="GRL241" s="1055"/>
      <c r="GRM241" s="1054"/>
      <c r="GRN241" s="1055"/>
      <c r="GRO241" s="1054"/>
      <c r="GRP241" s="1055"/>
      <c r="GRQ241" s="1054"/>
      <c r="GRR241" s="1055"/>
      <c r="GRS241" s="1054"/>
      <c r="GRT241" s="1055"/>
      <c r="GRU241" s="1054"/>
      <c r="GRV241" s="1055"/>
      <c r="GRW241" s="1054"/>
      <c r="GRX241" s="1055"/>
      <c r="GRY241" s="1054"/>
      <c r="GRZ241" s="1055"/>
      <c r="GSA241" s="1054"/>
      <c r="GSB241" s="1055"/>
      <c r="GSC241" s="1054"/>
      <c r="GSD241" s="1055"/>
      <c r="GSE241" s="1054"/>
      <c r="GSF241" s="1055"/>
      <c r="GSG241" s="1054"/>
      <c r="GSH241" s="1055"/>
      <c r="GSI241" s="1054"/>
      <c r="GSJ241" s="1055"/>
      <c r="GSK241" s="1054"/>
      <c r="GSL241" s="1055"/>
      <c r="GSM241" s="1054"/>
      <c r="GSN241" s="1055"/>
      <c r="GSO241" s="1054"/>
      <c r="GSP241" s="1055"/>
      <c r="GSQ241" s="1054"/>
      <c r="GSR241" s="1055"/>
      <c r="GSS241" s="1054"/>
      <c r="GST241" s="1055"/>
      <c r="GSU241" s="1054"/>
      <c r="GSV241" s="1055"/>
      <c r="GSW241" s="1054"/>
      <c r="GSX241" s="1055"/>
      <c r="GSY241" s="1054"/>
      <c r="GSZ241" s="1055"/>
      <c r="GTA241" s="1054"/>
      <c r="GTB241" s="1055"/>
      <c r="GTC241" s="1054"/>
      <c r="GTD241" s="1055"/>
      <c r="GTE241" s="1054"/>
      <c r="GTF241" s="1055"/>
      <c r="GTG241" s="1054"/>
      <c r="GTH241" s="1055"/>
      <c r="GTI241" s="1054"/>
      <c r="GTJ241" s="1055"/>
      <c r="GTK241" s="1054"/>
      <c r="GTL241" s="1055"/>
      <c r="GTM241" s="1054"/>
      <c r="GTN241" s="1055"/>
      <c r="GTO241" s="1054"/>
      <c r="GTP241" s="1055"/>
      <c r="GTQ241" s="1054"/>
      <c r="GTR241" s="1055"/>
      <c r="GTS241" s="1054"/>
      <c r="GTT241" s="1055"/>
      <c r="GTU241" s="1054"/>
      <c r="GTV241" s="1055"/>
      <c r="GTW241" s="1054"/>
      <c r="GTX241" s="1055"/>
      <c r="GTY241" s="1054"/>
      <c r="GTZ241" s="1055"/>
      <c r="GUA241" s="1054"/>
      <c r="GUB241" s="1055"/>
      <c r="GUC241" s="1054"/>
      <c r="GUD241" s="1055"/>
      <c r="GUE241" s="1054"/>
      <c r="GUF241" s="1055"/>
      <c r="GUG241" s="1054"/>
      <c r="GUH241" s="1055"/>
      <c r="GUI241" s="1054"/>
      <c r="GUJ241" s="1055"/>
      <c r="GUK241" s="1054"/>
      <c r="GUL241" s="1055"/>
      <c r="GUM241" s="1054"/>
      <c r="GUN241" s="1055"/>
      <c r="GUO241" s="1054"/>
      <c r="GUP241" s="1055"/>
      <c r="GUQ241" s="1054"/>
      <c r="GUR241" s="1055"/>
      <c r="GUS241" s="1054"/>
      <c r="GUT241" s="1055"/>
      <c r="GUU241" s="1054"/>
      <c r="GUV241" s="1055"/>
      <c r="GUW241" s="1054"/>
      <c r="GUX241" s="1055"/>
      <c r="GUY241" s="1054"/>
      <c r="GUZ241" s="1055"/>
      <c r="GVA241" s="1054"/>
      <c r="GVB241" s="1055"/>
      <c r="GVC241" s="1054"/>
      <c r="GVD241" s="1055"/>
      <c r="GVE241" s="1054"/>
      <c r="GVF241" s="1055"/>
      <c r="GVG241" s="1054"/>
      <c r="GVH241" s="1055"/>
      <c r="GVI241" s="1054"/>
      <c r="GVJ241" s="1055"/>
      <c r="GVK241" s="1054"/>
      <c r="GVL241" s="1055"/>
      <c r="GVM241" s="1054"/>
      <c r="GVN241" s="1055"/>
      <c r="GVO241" s="1054"/>
      <c r="GVP241" s="1055"/>
      <c r="GVQ241" s="1054"/>
      <c r="GVR241" s="1055"/>
      <c r="GVS241" s="1054"/>
      <c r="GVT241" s="1055"/>
      <c r="GVU241" s="1054"/>
      <c r="GVV241" s="1055"/>
      <c r="GVW241" s="1054"/>
      <c r="GVX241" s="1055"/>
      <c r="GVY241" s="1054"/>
      <c r="GVZ241" s="1055"/>
      <c r="GWA241" s="1054"/>
      <c r="GWB241" s="1055"/>
      <c r="GWC241" s="1054"/>
      <c r="GWD241" s="1055"/>
      <c r="GWE241" s="1054"/>
      <c r="GWF241" s="1055"/>
      <c r="GWG241" s="1054"/>
      <c r="GWH241" s="1055"/>
      <c r="GWI241" s="1054"/>
      <c r="GWJ241" s="1055"/>
      <c r="GWK241" s="1054"/>
      <c r="GWL241" s="1055"/>
      <c r="GWM241" s="1054"/>
      <c r="GWN241" s="1055"/>
      <c r="GWO241" s="1054"/>
      <c r="GWP241" s="1055"/>
      <c r="GWQ241" s="1054"/>
      <c r="GWR241" s="1055"/>
      <c r="GWS241" s="1054"/>
      <c r="GWT241" s="1055"/>
      <c r="GWU241" s="1054"/>
      <c r="GWV241" s="1055"/>
      <c r="GWW241" s="1054"/>
      <c r="GWX241" s="1055"/>
      <c r="GWY241" s="1054"/>
      <c r="GWZ241" s="1055"/>
      <c r="GXA241" s="1054"/>
      <c r="GXB241" s="1055"/>
      <c r="GXC241" s="1054"/>
      <c r="GXD241" s="1055"/>
      <c r="GXE241" s="1054"/>
      <c r="GXF241" s="1055"/>
      <c r="GXG241" s="1054"/>
      <c r="GXH241" s="1055"/>
      <c r="GXI241" s="1054"/>
      <c r="GXJ241" s="1055"/>
      <c r="GXK241" s="1054"/>
      <c r="GXL241" s="1055"/>
      <c r="GXM241" s="1054"/>
      <c r="GXN241" s="1055"/>
      <c r="GXO241" s="1054"/>
      <c r="GXP241" s="1055"/>
      <c r="GXQ241" s="1054"/>
      <c r="GXR241" s="1055"/>
      <c r="GXS241" s="1054"/>
      <c r="GXT241" s="1055"/>
      <c r="GXU241" s="1054"/>
      <c r="GXV241" s="1055"/>
      <c r="GXW241" s="1054"/>
      <c r="GXX241" s="1055"/>
      <c r="GXY241" s="1054"/>
      <c r="GXZ241" s="1055"/>
      <c r="GYA241" s="1054"/>
      <c r="GYB241" s="1055"/>
      <c r="GYC241" s="1054"/>
      <c r="GYD241" s="1055"/>
      <c r="GYE241" s="1054"/>
      <c r="GYF241" s="1055"/>
      <c r="GYG241" s="1054"/>
      <c r="GYH241" s="1055"/>
      <c r="GYI241" s="1054"/>
      <c r="GYJ241" s="1055"/>
      <c r="GYK241" s="1054"/>
      <c r="GYL241" s="1055"/>
      <c r="GYM241" s="1054"/>
      <c r="GYN241" s="1055"/>
      <c r="GYO241" s="1054"/>
      <c r="GYP241" s="1055"/>
      <c r="GYQ241" s="1054"/>
      <c r="GYR241" s="1055"/>
      <c r="GYS241" s="1054"/>
      <c r="GYT241" s="1055"/>
      <c r="GYU241" s="1054"/>
      <c r="GYV241" s="1055"/>
      <c r="GYW241" s="1054"/>
      <c r="GYX241" s="1055"/>
      <c r="GYY241" s="1054"/>
      <c r="GYZ241" s="1055"/>
      <c r="GZA241" s="1054"/>
      <c r="GZB241" s="1055"/>
      <c r="GZC241" s="1054"/>
      <c r="GZD241" s="1055"/>
      <c r="GZE241" s="1054"/>
      <c r="GZF241" s="1055"/>
      <c r="GZG241" s="1054"/>
      <c r="GZH241" s="1055"/>
      <c r="GZI241" s="1054"/>
      <c r="GZJ241" s="1055"/>
      <c r="GZK241" s="1054"/>
      <c r="GZL241" s="1055"/>
      <c r="GZM241" s="1054"/>
      <c r="GZN241" s="1055"/>
      <c r="GZO241" s="1054"/>
      <c r="GZP241" s="1055"/>
      <c r="GZQ241" s="1054"/>
      <c r="GZR241" s="1055"/>
      <c r="GZS241" s="1054"/>
      <c r="GZT241" s="1055"/>
      <c r="GZU241" s="1054"/>
      <c r="GZV241" s="1055"/>
      <c r="GZW241" s="1054"/>
      <c r="GZX241" s="1055"/>
      <c r="GZY241" s="1054"/>
      <c r="GZZ241" s="1055"/>
      <c r="HAA241" s="1054"/>
      <c r="HAB241" s="1055"/>
      <c r="HAC241" s="1054"/>
      <c r="HAD241" s="1055"/>
      <c r="HAE241" s="1054"/>
      <c r="HAF241" s="1055"/>
      <c r="HAG241" s="1054"/>
      <c r="HAH241" s="1055"/>
      <c r="HAI241" s="1054"/>
      <c r="HAJ241" s="1055"/>
      <c r="HAK241" s="1054"/>
      <c r="HAL241" s="1055"/>
      <c r="HAM241" s="1054"/>
      <c r="HAN241" s="1055"/>
      <c r="HAO241" s="1054"/>
      <c r="HAP241" s="1055"/>
      <c r="HAQ241" s="1054"/>
      <c r="HAR241" s="1055"/>
      <c r="HAS241" s="1054"/>
      <c r="HAT241" s="1055"/>
      <c r="HAU241" s="1054"/>
      <c r="HAV241" s="1055"/>
      <c r="HAW241" s="1054"/>
      <c r="HAX241" s="1055"/>
      <c r="HAY241" s="1054"/>
      <c r="HAZ241" s="1055"/>
      <c r="HBA241" s="1054"/>
      <c r="HBB241" s="1055"/>
      <c r="HBC241" s="1054"/>
      <c r="HBD241" s="1055"/>
      <c r="HBE241" s="1054"/>
      <c r="HBF241" s="1055"/>
      <c r="HBG241" s="1054"/>
      <c r="HBH241" s="1055"/>
      <c r="HBI241" s="1054"/>
      <c r="HBJ241" s="1055"/>
      <c r="HBK241" s="1054"/>
      <c r="HBL241" s="1055"/>
      <c r="HBM241" s="1054"/>
      <c r="HBN241" s="1055"/>
      <c r="HBO241" s="1054"/>
      <c r="HBP241" s="1055"/>
      <c r="HBQ241" s="1054"/>
      <c r="HBR241" s="1055"/>
      <c r="HBS241" s="1054"/>
      <c r="HBT241" s="1055"/>
      <c r="HBU241" s="1054"/>
      <c r="HBV241" s="1055"/>
      <c r="HBW241" s="1054"/>
      <c r="HBX241" s="1055"/>
      <c r="HBY241" s="1054"/>
      <c r="HBZ241" s="1055"/>
      <c r="HCA241" s="1054"/>
      <c r="HCB241" s="1055"/>
      <c r="HCC241" s="1054"/>
      <c r="HCD241" s="1055"/>
      <c r="HCE241" s="1054"/>
      <c r="HCF241" s="1055"/>
      <c r="HCG241" s="1054"/>
      <c r="HCH241" s="1055"/>
      <c r="HCI241" s="1054"/>
      <c r="HCJ241" s="1055"/>
      <c r="HCK241" s="1054"/>
      <c r="HCL241" s="1055"/>
      <c r="HCM241" s="1054"/>
      <c r="HCN241" s="1055"/>
      <c r="HCO241" s="1054"/>
      <c r="HCP241" s="1055"/>
      <c r="HCQ241" s="1054"/>
      <c r="HCR241" s="1055"/>
      <c r="HCS241" s="1054"/>
      <c r="HCT241" s="1055"/>
      <c r="HCU241" s="1054"/>
      <c r="HCV241" s="1055"/>
      <c r="HCW241" s="1054"/>
      <c r="HCX241" s="1055"/>
      <c r="HCY241" s="1054"/>
      <c r="HCZ241" s="1055"/>
      <c r="HDA241" s="1054"/>
      <c r="HDB241" s="1055"/>
      <c r="HDC241" s="1054"/>
      <c r="HDD241" s="1055"/>
      <c r="HDE241" s="1054"/>
      <c r="HDF241" s="1055"/>
      <c r="HDG241" s="1054"/>
      <c r="HDH241" s="1055"/>
      <c r="HDI241" s="1054"/>
      <c r="HDJ241" s="1055"/>
      <c r="HDK241" s="1054"/>
      <c r="HDL241" s="1055"/>
      <c r="HDM241" s="1054"/>
      <c r="HDN241" s="1055"/>
      <c r="HDO241" s="1054"/>
      <c r="HDP241" s="1055"/>
      <c r="HDQ241" s="1054"/>
      <c r="HDR241" s="1055"/>
      <c r="HDS241" s="1054"/>
      <c r="HDT241" s="1055"/>
      <c r="HDU241" s="1054"/>
      <c r="HDV241" s="1055"/>
      <c r="HDW241" s="1054"/>
      <c r="HDX241" s="1055"/>
      <c r="HDY241" s="1054"/>
      <c r="HDZ241" s="1055"/>
      <c r="HEA241" s="1054"/>
      <c r="HEB241" s="1055"/>
      <c r="HEC241" s="1054"/>
      <c r="HED241" s="1055"/>
      <c r="HEE241" s="1054"/>
      <c r="HEF241" s="1055"/>
      <c r="HEG241" s="1054"/>
      <c r="HEH241" s="1055"/>
      <c r="HEI241" s="1054"/>
      <c r="HEJ241" s="1055"/>
      <c r="HEK241" s="1054"/>
      <c r="HEL241" s="1055"/>
      <c r="HEM241" s="1054"/>
      <c r="HEN241" s="1055"/>
      <c r="HEO241" s="1054"/>
      <c r="HEP241" s="1055"/>
      <c r="HEQ241" s="1054"/>
      <c r="HER241" s="1055"/>
      <c r="HES241" s="1054"/>
      <c r="HET241" s="1055"/>
      <c r="HEU241" s="1054"/>
      <c r="HEV241" s="1055"/>
      <c r="HEW241" s="1054"/>
      <c r="HEX241" s="1055"/>
      <c r="HEY241" s="1054"/>
      <c r="HEZ241" s="1055"/>
      <c r="HFA241" s="1054"/>
      <c r="HFB241" s="1055"/>
      <c r="HFC241" s="1054"/>
      <c r="HFD241" s="1055"/>
      <c r="HFE241" s="1054"/>
      <c r="HFF241" s="1055"/>
      <c r="HFG241" s="1054"/>
      <c r="HFH241" s="1055"/>
      <c r="HFI241" s="1054"/>
      <c r="HFJ241" s="1055"/>
      <c r="HFK241" s="1054"/>
      <c r="HFL241" s="1055"/>
      <c r="HFM241" s="1054"/>
      <c r="HFN241" s="1055"/>
      <c r="HFO241" s="1054"/>
      <c r="HFP241" s="1055"/>
      <c r="HFQ241" s="1054"/>
      <c r="HFR241" s="1055"/>
      <c r="HFS241" s="1054"/>
      <c r="HFT241" s="1055"/>
      <c r="HFU241" s="1054"/>
      <c r="HFV241" s="1055"/>
      <c r="HFW241" s="1054"/>
      <c r="HFX241" s="1055"/>
      <c r="HFY241" s="1054"/>
      <c r="HFZ241" s="1055"/>
      <c r="HGA241" s="1054"/>
      <c r="HGB241" s="1055"/>
      <c r="HGC241" s="1054"/>
      <c r="HGD241" s="1055"/>
      <c r="HGE241" s="1054"/>
      <c r="HGF241" s="1055"/>
      <c r="HGG241" s="1054"/>
      <c r="HGH241" s="1055"/>
      <c r="HGI241" s="1054"/>
      <c r="HGJ241" s="1055"/>
      <c r="HGK241" s="1054"/>
      <c r="HGL241" s="1055"/>
      <c r="HGM241" s="1054"/>
      <c r="HGN241" s="1055"/>
      <c r="HGO241" s="1054"/>
      <c r="HGP241" s="1055"/>
      <c r="HGQ241" s="1054"/>
      <c r="HGR241" s="1055"/>
      <c r="HGS241" s="1054"/>
      <c r="HGT241" s="1055"/>
      <c r="HGU241" s="1054"/>
      <c r="HGV241" s="1055"/>
      <c r="HGW241" s="1054"/>
      <c r="HGX241" s="1055"/>
      <c r="HGY241" s="1054"/>
      <c r="HGZ241" s="1055"/>
      <c r="HHA241" s="1054"/>
      <c r="HHB241" s="1055"/>
      <c r="HHC241" s="1054"/>
      <c r="HHD241" s="1055"/>
      <c r="HHE241" s="1054"/>
      <c r="HHF241" s="1055"/>
      <c r="HHG241" s="1054"/>
      <c r="HHH241" s="1055"/>
      <c r="HHI241" s="1054"/>
      <c r="HHJ241" s="1055"/>
      <c r="HHK241" s="1054"/>
      <c r="HHL241" s="1055"/>
      <c r="HHM241" s="1054"/>
      <c r="HHN241" s="1055"/>
      <c r="HHO241" s="1054"/>
      <c r="HHP241" s="1055"/>
      <c r="HHQ241" s="1054"/>
      <c r="HHR241" s="1055"/>
      <c r="HHS241" s="1054"/>
      <c r="HHT241" s="1055"/>
      <c r="HHU241" s="1054"/>
      <c r="HHV241" s="1055"/>
      <c r="HHW241" s="1054"/>
      <c r="HHX241" s="1055"/>
      <c r="HHY241" s="1054"/>
      <c r="HHZ241" s="1055"/>
      <c r="HIA241" s="1054"/>
      <c r="HIB241" s="1055"/>
      <c r="HIC241" s="1054"/>
      <c r="HID241" s="1055"/>
      <c r="HIE241" s="1054"/>
      <c r="HIF241" s="1055"/>
      <c r="HIG241" s="1054"/>
      <c r="HIH241" s="1055"/>
      <c r="HII241" s="1054"/>
      <c r="HIJ241" s="1055"/>
      <c r="HIK241" s="1054"/>
      <c r="HIL241" s="1055"/>
      <c r="HIM241" s="1054"/>
      <c r="HIN241" s="1055"/>
      <c r="HIO241" s="1054"/>
      <c r="HIP241" s="1055"/>
      <c r="HIQ241" s="1054"/>
      <c r="HIR241" s="1055"/>
      <c r="HIS241" s="1054"/>
      <c r="HIT241" s="1055"/>
      <c r="HIU241" s="1054"/>
      <c r="HIV241" s="1055"/>
      <c r="HIW241" s="1054"/>
      <c r="HIX241" s="1055"/>
      <c r="HIY241" s="1054"/>
      <c r="HIZ241" s="1055"/>
      <c r="HJA241" s="1054"/>
      <c r="HJB241" s="1055"/>
      <c r="HJC241" s="1054"/>
      <c r="HJD241" s="1055"/>
      <c r="HJE241" s="1054"/>
      <c r="HJF241" s="1055"/>
      <c r="HJG241" s="1054"/>
      <c r="HJH241" s="1055"/>
      <c r="HJI241" s="1054"/>
      <c r="HJJ241" s="1055"/>
      <c r="HJK241" s="1054"/>
      <c r="HJL241" s="1055"/>
      <c r="HJM241" s="1054"/>
      <c r="HJN241" s="1055"/>
      <c r="HJO241" s="1054"/>
      <c r="HJP241" s="1055"/>
      <c r="HJQ241" s="1054"/>
      <c r="HJR241" s="1055"/>
      <c r="HJS241" s="1054"/>
      <c r="HJT241" s="1055"/>
      <c r="HJU241" s="1054"/>
      <c r="HJV241" s="1055"/>
      <c r="HJW241" s="1054"/>
      <c r="HJX241" s="1055"/>
      <c r="HJY241" s="1054"/>
      <c r="HJZ241" s="1055"/>
      <c r="HKA241" s="1054"/>
      <c r="HKB241" s="1055"/>
      <c r="HKC241" s="1054"/>
      <c r="HKD241" s="1055"/>
      <c r="HKE241" s="1054"/>
      <c r="HKF241" s="1055"/>
      <c r="HKG241" s="1054"/>
      <c r="HKH241" s="1055"/>
      <c r="HKI241" s="1054"/>
      <c r="HKJ241" s="1055"/>
      <c r="HKK241" s="1054"/>
      <c r="HKL241" s="1055"/>
      <c r="HKM241" s="1054"/>
      <c r="HKN241" s="1055"/>
      <c r="HKO241" s="1054"/>
      <c r="HKP241" s="1055"/>
      <c r="HKQ241" s="1054"/>
      <c r="HKR241" s="1055"/>
      <c r="HKS241" s="1054"/>
      <c r="HKT241" s="1055"/>
      <c r="HKU241" s="1054"/>
      <c r="HKV241" s="1055"/>
      <c r="HKW241" s="1054"/>
      <c r="HKX241" s="1055"/>
      <c r="HKY241" s="1054"/>
      <c r="HKZ241" s="1055"/>
      <c r="HLA241" s="1054"/>
      <c r="HLB241" s="1055"/>
      <c r="HLC241" s="1054"/>
      <c r="HLD241" s="1055"/>
      <c r="HLE241" s="1054"/>
      <c r="HLF241" s="1055"/>
      <c r="HLG241" s="1054"/>
      <c r="HLH241" s="1055"/>
      <c r="HLI241" s="1054"/>
      <c r="HLJ241" s="1055"/>
      <c r="HLK241" s="1054"/>
      <c r="HLL241" s="1055"/>
      <c r="HLM241" s="1054"/>
      <c r="HLN241" s="1055"/>
      <c r="HLO241" s="1054"/>
      <c r="HLP241" s="1055"/>
      <c r="HLQ241" s="1054"/>
      <c r="HLR241" s="1055"/>
      <c r="HLS241" s="1054"/>
      <c r="HLT241" s="1055"/>
      <c r="HLU241" s="1054"/>
      <c r="HLV241" s="1055"/>
      <c r="HLW241" s="1054"/>
      <c r="HLX241" s="1055"/>
      <c r="HLY241" s="1054"/>
      <c r="HLZ241" s="1055"/>
      <c r="HMA241" s="1054"/>
      <c r="HMB241" s="1055"/>
      <c r="HMC241" s="1054"/>
      <c r="HMD241" s="1055"/>
      <c r="HME241" s="1054"/>
      <c r="HMF241" s="1055"/>
      <c r="HMG241" s="1054"/>
      <c r="HMH241" s="1055"/>
      <c r="HMI241" s="1054"/>
      <c r="HMJ241" s="1055"/>
      <c r="HMK241" s="1054"/>
      <c r="HML241" s="1055"/>
      <c r="HMM241" s="1054"/>
      <c r="HMN241" s="1055"/>
      <c r="HMO241" s="1054"/>
      <c r="HMP241" s="1055"/>
      <c r="HMQ241" s="1054"/>
      <c r="HMR241" s="1055"/>
      <c r="HMS241" s="1054"/>
      <c r="HMT241" s="1055"/>
      <c r="HMU241" s="1054"/>
      <c r="HMV241" s="1055"/>
      <c r="HMW241" s="1054"/>
      <c r="HMX241" s="1055"/>
      <c r="HMY241" s="1054"/>
      <c r="HMZ241" s="1055"/>
      <c r="HNA241" s="1054"/>
      <c r="HNB241" s="1055"/>
      <c r="HNC241" s="1054"/>
      <c r="HND241" s="1055"/>
      <c r="HNE241" s="1054"/>
      <c r="HNF241" s="1055"/>
      <c r="HNG241" s="1054"/>
      <c r="HNH241" s="1055"/>
      <c r="HNI241" s="1054"/>
      <c r="HNJ241" s="1055"/>
      <c r="HNK241" s="1054"/>
      <c r="HNL241" s="1055"/>
      <c r="HNM241" s="1054"/>
      <c r="HNN241" s="1055"/>
      <c r="HNO241" s="1054"/>
      <c r="HNP241" s="1055"/>
      <c r="HNQ241" s="1054"/>
      <c r="HNR241" s="1055"/>
      <c r="HNS241" s="1054"/>
      <c r="HNT241" s="1055"/>
      <c r="HNU241" s="1054"/>
      <c r="HNV241" s="1055"/>
      <c r="HNW241" s="1054"/>
      <c r="HNX241" s="1055"/>
      <c r="HNY241" s="1054"/>
      <c r="HNZ241" s="1055"/>
      <c r="HOA241" s="1054"/>
      <c r="HOB241" s="1055"/>
      <c r="HOC241" s="1054"/>
      <c r="HOD241" s="1055"/>
      <c r="HOE241" s="1054"/>
      <c r="HOF241" s="1055"/>
      <c r="HOG241" s="1054"/>
      <c r="HOH241" s="1055"/>
      <c r="HOI241" s="1054"/>
      <c r="HOJ241" s="1055"/>
      <c r="HOK241" s="1054"/>
      <c r="HOL241" s="1055"/>
      <c r="HOM241" s="1054"/>
      <c r="HON241" s="1055"/>
      <c r="HOO241" s="1054"/>
      <c r="HOP241" s="1055"/>
      <c r="HOQ241" s="1054"/>
      <c r="HOR241" s="1055"/>
      <c r="HOS241" s="1054"/>
      <c r="HOT241" s="1055"/>
      <c r="HOU241" s="1054"/>
      <c r="HOV241" s="1055"/>
      <c r="HOW241" s="1054"/>
      <c r="HOX241" s="1055"/>
      <c r="HOY241" s="1054"/>
      <c r="HOZ241" s="1055"/>
      <c r="HPA241" s="1054"/>
      <c r="HPB241" s="1055"/>
      <c r="HPC241" s="1054"/>
      <c r="HPD241" s="1055"/>
      <c r="HPE241" s="1054"/>
      <c r="HPF241" s="1055"/>
      <c r="HPG241" s="1054"/>
      <c r="HPH241" s="1055"/>
      <c r="HPI241" s="1054"/>
      <c r="HPJ241" s="1055"/>
      <c r="HPK241" s="1054"/>
      <c r="HPL241" s="1055"/>
      <c r="HPM241" s="1054"/>
      <c r="HPN241" s="1055"/>
      <c r="HPO241" s="1054"/>
      <c r="HPP241" s="1055"/>
      <c r="HPQ241" s="1054"/>
      <c r="HPR241" s="1055"/>
      <c r="HPS241" s="1054"/>
      <c r="HPT241" s="1055"/>
      <c r="HPU241" s="1054"/>
      <c r="HPV241" s="1055"/>
      <c r="HPW241" s="1054"/>
      <c r="HPX241" s="1055"/>
      <c r="HPY241" s="1054"/>
      <c r="HPZ241" s="1055"/>
      <c r="HQA241" s="1054"/>
      <c r="HQB241" s="1055"/>
      <c r="HQC241" s="1054"/>
      <c r="HQD241" s="1055"/>
      <c r="HQE241" s="1054"/>
      <c r="HQF241" s="1055"/>
      <c r="HQG241" s="1054"/>
      <c r="HQH241" s="1055"/>
      <c r="HQI241" s="1054"/>
      <c r="HQJ241" s="1055"/>
      <c r="HQK241" s="1054"/>
      <c r="HQL241" s="1055"/>
      <c r="HQM241" s="1054"/>
      <c r="HQN241" s="1055"/>
      <c r="HQO241" s="1054"/>
      <c r="HQP241" s="1055"/>
      <c r="HQQ241" s="1054"/>
      <c r="HQR241" s="1055"/>
      <c r="HQS241" s="1054"/>
      <c r="HQT241" s="1055"/>
      <c r="HQU241" s="1054"/>
      <c r="HQV241" s="1055"/>
      <c r="HQW241" s="1054"/>
      <c r="HQX241" s="1055"/>
      <c r="HQY241" s="1054"/>
      <c r="HQZ241" s="1055"/>
      <c r="HRA241" s="1054"/>
      <c r="HRB241" s="1055"/>
      <c r="HRC241" s="1054"/>
      <c r="HRD241" s="1055"/>
      <c r="HRE241" s="1054"/>
      <c r="HRF241" s="1055"/>
      <c r="HRG241" s="1054"/>
      <c r="HRH241" s="1055"/>
      <c r="HRI241" s="1054"/>
      <c r="HRJ241" s="1055"/>
      <c r="HRK241" s="1054"/>
      <c r="HRL241" s="1055"/>
      <c r="HRM241" s="1054"/>
      <c r="HRN241" s="1055"/>
      <c r="HRO241" s="1054"/>
      <c r="HRP241" s="1055"/>
      <c r="HRQ241" s="1054"/>
      <c r="HRR241" s="1055"/>
      <c r="HRS241" s="1054"/>
      <c r="HRT241" s="1055"/>
      <c r="HRU241" s="1054"/>
      <c r="HRV241" s="1055"/>
      <c r="HRW241" s="1054"/>
      <c r="HRX241" s="1055"/>
      <c r="HRY241" s="1054"/>
      <c r="HRZ241" s="1055"/>
      <c r="HSA241" s="1054"/>
      <c r="HSB241" s="1055"/>
      <c r="HSC241" s="1054"/>
      <c r="HSD241" s="1055"/>
      <c r="HSE241" s="1054"/>
      <c r="HSF241" s="1055"/>
      <c r="HSG241" s="1054"/>
      <c r="HSH241" s="1055"/>
      <c r="HSI241" s="1054"/>
      <c r="HSJ241" s="1055"/>
      <c r="HSK241" s="1054"/>
      <c r="HSL241" s="1055"/>
      <c r="HSM241" s="1054"/>
      <c r="HSN241" s="1055"/>
      <c r="HSO241" s="1054"/>
      <c r="HSP241" s="1055"/>
      <c r="HSQ241" s="1054"/>
      <c r="HSR241" s="1055"/>
      <c r="HSS241" s="1054"/>
      <c r="HST241" s="1055"/>
      <c r="HSU241" s="1054"/>
      <c r="HSV241" s="1055"/>
      <c r="HSW241" s="1054"/>
      <c r="HSX241" s="1055"/>
      <c r="HSY241" s="1054"/>
      <c r="HSZ241" s="1055"/>
      <c r="HTA241" s="1054"/>
      <c r="HTB241" s="1055"/>
      <c r="HTC241" s="1054"/>
      <c r="HTD241" s="1055"/>
      <c r="HTE241" s="1054"/>
      <c r="HTF241" s="1055"/>
      <c r="HTG241" s="1054"/>
      <c r="HTH241" s="1055"/>
      <c r="HTI241" s="1054"/>
      <c r="HTJ241" s="1055"/>
      <c r="HTK241" s="1054"/>
      <c r="HTL241" s="1055"/>
      <c r="HTM241" s="1054"/>
      <c r="HTN241" s="1055"/>
      <c r="HTO241" s="1054"/>
      <c r="HTP241" s="1055"/>
      <c r="HTQ241" s="1054"/>
      <c r="HTR241" s="1055"/>
      <c r="HTS241" s="1054"/>
      <c r="HTT241" s="1055"/>
      <c r="HTU241" s="1054"/>
      <c r="HTV241" s="1055"/>
      <c r="HTW241" s="1054"/>
      <c r="HTX241" s="1055"/>
      <c r="HTY241" s="1054"/>
      <c r="HTZ241" s="1055"/>
      <c r="HUA241" s="1054"/>
      <c r="HUB241" s="1055"/>
      <c r="HUC241" s="1054"/>
      <c r="HUD241" s="1055"/>
      <c r="HUE241" s="1054"/>
      <c r="HUF241" s="1055"/>
      <c r="HUG241" s="1054"/>
      <c r="HUH241" s="1055"/>
      <c r="HUI241" s="1054"/>
      <c r="HUJ241" s="1055"/>
      <c r="HUK241" s="1054"/>
      <c r="HUL241" s="1055"/>
      <c r="HUM241" s="1054"/>
      <c r="HUN241" s="1055"/>
      <c r="HUO241" s="1054"/>
      <c r="HUP241" s="1055"/>
      <c r="HUQ241" s="1054"/>
      <c r="HUR241" s="1055"/>
      <c r="HUS241" s="1054"/>
      <c r="HUT241" s="1055"/>
      <c r="HUU241" s="1054"/>
      <c r="HUV241" s="1055"/>
      <c r="HUW241" s="1054"/>
      <c r="HUX241" s="1055"/>
      <c r="HUY241" s="1054"/>
      <c r="HUZ241" s="1055"/>
      <c r="HVA241" s="1054"/>
      <c r="HVB241" s="1055"/>
      <c r="HVC241" s="1054"/>
      <c r="HVD241" s="1055"/>
      <c r="HVE241" s="1054"/>
      <c r="HVF241" s="1055"/>
      <c r="HVG241" s="1054"/>
      <c r="HVH241" s="1055"/>
      <c r="HVI241" s="1054"/>
      <c r="HVJ241" s="1055"/>
      <c r="HVK241" s="1054"/>
      <c r="HVL241" s="1055"/>
      <c r="HVM241" s="1054"/>
      <c r="HVN241" s="1055"/>
      <c r="HVO241" s="1054"/>
      <c r="HVP241" s="1055"/>
      <c r="HVQ241" s="1054"/>
      <c r="HVR241" s="1055"/>
      <c r="HVS241" s="1054"/>
      <c r="HVT241" s="1055"/>
      <c r="HVU241" s="1054"/>
      <c r="HVV241" s="1055"/>
      <c r="HVW241" s="1054"/>
      <c r="HVX241" s="1055"/>
      <c r="HVY241" s="1054"/>
      <c r="HVZ241" s="1055"/>
      <c r="HWA241" s="1054"/>
      <c r="HWB241" s="1055"/>
      <c r="HWC241" s="1054"/>
      <c r="HWD241" s="1055"/>
      <c r="HWE241" s="1054"/>
      <c r="HWF241" s="1055"/>
      <c r="HWG241" s="1054"/>
      <c r="HWH241" s="1055"/>
      <c r="HWI241" s="1054"/>
      <c r="HWJ241" s="1055"/>
      <c r="HWK241" s="1054"/>
      <c r="HWL241" s="1055"/>
      <c r="HWM241" s="1054"/>
      <c r="HWN241" s="1055"/>
      <c r="HWO241" s="1054"/>
      <c r="HWP241" s="1055"/>
      <c r="HWQ241" s="1054"/>
      <c r="HWR241" s="1055"/>
      <c r="HWS241" s="1054"/>
      <c r="HWT241" s="1055"/>
      <c r="HWU241" s="1054"/>
      <c r="HWV241" s="1055"/>
      <c r="HWW241" s="1054"/>
      <c r="HWX241" s="1055"/>
      <c r="HWY241" s="1054"/>
      <c r="HWZ241" s="1055"/>
      <c r="HXA241" s="1054"/>
      <c r="HXB241" s="1055"/>
      <c r="HXC241" s="1054"/>
      <c r="HXD241" s="1055"/>
      <c r="HXE241" s="1054"/>
      <c r="HXF241" s="1055"/>
      <c r="HXG241" s="1054"/>
      <c r="HXH241" s="1055"/>
      <c r="HXI241" s="1054"/>
      <c r="HXJ241" s="1055"/>
      <c r="HXK241" s="1054"/>
      <c r="HXL241" s="1055"/>
      <c r="HXM241" s="1054"/>
      <c r="HXN241" s="1055"/>
      <c r="HXO241" s="1054"/>
      <c r="HXP241" s="1055"/>
      <c r="HXQ241" s="1054"/>
      <c r="HXR241" s="1055"/>
      <c r="HXS241" s="1054"/>
      <c r="HXT241" s="1055"/>
      <c r="HXU241" s="1054"/>
      <c r="HXV241" s="1055"/>
      <c r="HXW241" s="1054"/>
      <c r="HXX241" s="1055"/>
      <c r="HXY241" s="1054"/>
      <c r="HXZ241" s="1055"/>
      <c r="HYA241" s="1054"/>
      <c r="HYB241" s="1055"/>
      <c r="HYC241" s="1054"/>
      <c r="HYD241" s="1055"/>
      <c r="HYE241" s="1054"/>
      <c r="HYF241" s="1055"/>
      <c r="HYG241" s="1054"/>
      <c r="HYH241" s="1055"/>
      <c r="HYI241" s="1054"/>
      <c r="HYJ241" s="1055"/>
      <c r="HYK241" s="1054"/>
      <c r="HYL241" s="1055"/>
      <c r="HYM241" s="1054"/>
      <c r="HYN241" s="1055"/>
      <c r="HYO241" s="1054"/>
      <c r="HYP241" s="1055"/>
      <c r="HYQ241" s="1054"/>
      <c r="HYR241" s="1055"/>
      <c r="HYS241" s="1054"/>
      <c r="HYT241" s="1055"/>
      <c r="HYU241" s="1054"/>
      <c r="HYV241" s="1055"/>
      <c r="HYW241" s="1054"/>
      <c r="HYX241" s="1055"/>
      <c r="HYY241" s="1054"/>
      <c r="HYZ241" s="1055"/>
      <c r="HZA241" s="1054"/>
      <c r="HZB241" s="1055"/>
      <c r="HZC241" s="1054"/>
      <c r="HZD241" s="1055"/>
      <c r="HZE241" s="1054"/>
      <c r="HZF241" s="1055"/>
      <c r="HZG241" s="1054"/>
      <c r="HZH241" s="1055"/>
      <c r="HZI241" s="1054"/>
      <c r="HZJ241" s="1055"/>
      <c r="HZK241" s="1054"/>
      <c r="HZL241" s="1055"/>
      <c r="HZM241" s="1054"/>
      <c r="HZN241" s="1055"/>
      <c r="HZO241" s="1054"/>
      <c r="HZP241" s="1055"/>
      <c r="HZQ241" s="1054"/>
      <c r="HZR241" s="1055"/>
      <c r="HZS241" s="1054"/>
      <c r="HZT241" s="1055"/>
      <c r="HZU241" s="1054"/>
      <c r="HZV241" s="1055"/>
      <c r="HZW241" s="1054"/>
      <c r="HZX241" s="1055"/>
      <c r="HZY241" s="1054"/>
      <c r="HZZ241" s="1055"/>
      <c r="IAA241" s="1054"/>
      <c r="IAB241" s="1055"/>
      <c r="IAC241" s="1054"/>
      <c r="IAD241" s="1055"/>
      <c r="IAE241" s="1054"/>
      <c r="IAF241" s="1055"/>
      <c r="IAG241" s="1054"/>
      <c r="IAH241" s="1055"/>
      <c r="IAI241" s="1054"/>
      <c r="IAJ241" s="1055"/>
      <c r="IAK241" s="1054"/>
      <c r="IAL241" s="1055"/>
      <c r="IAM241" s="1054"/>
      <c r="IAN241" s="1055"/>
      <c r="IAO241" s="1054"/>
      <c r="IAP241" s="1055"/>
      <c r="IAQ241" s="1054"/>
      <c r="IAR241" s="1055"/>
      <c r="IAS241" s="1054"/>
      <c r="IAT241" s="1055"/>
      <c r="IAU241" s="1054"/>
      <c r="IAV241" s="1055"/>
      <c r="IAW241" s="1054"/>
      <c r="IAX241" s="1055"/>
      <c r="IAY241" s="1054"/>
      <c r="IAZ241" s="1055"/>
      <c r="IBA241" s="1054"/>
      <c r="IBB241" s="1055"/>
      <c r="IBC241" s="1054"/>
      <c r="IBD241" s="1055"/>
      <c r="IBE241" s="1054"/>
      <c r="IBF241" s="1055"/>
      <c r="IBG241" s="1054"/>
      <c r="IBH241" s="1055"/>
      <c r="IBI241" s="1054"/>
      <c r="IBJ241" s="1055"/>
      <c r="IBK241" s="1054"/>
      <c r="IBL241" s="1055"/>
      <c r="IBM241" s="1054"/>
      <c r="IBN241" s="1055"/>
      <c r="IBO241" s="1054"/>
      <c r="IBP241" s="1055"/>
      <c r="IBQ241" s="1054"/>
      <c r="IBR241" s="1055"/>
      <c r="IBS241" s="1054"/>
      <c r="IBT241" s="1055"/>
      <c r="IBU241" s="1054"/>
      <c r="IBV241" s="1055"/>
      <c r="IBW241" s="1054"/>
      <c r="IBX241" s="1055"/>
      <c r="IBY241" s="1054"/>
      <c r="IBZ241" s="1055"/>
      <c r="ICA241" s="1054"/>
      <c r="ICB241" s="1055"/>
      <c r="ICC241" s="1054"/>
      <c r="ICD241" s="1055"/>
      <c r="ICE241" s="1054"/>
      <c r="ICF241" s="1055"/>
      <c r="ICG241" s="1054"/>
      <c r="ICH241" s="1055"/>
      <c r="ICI241" s="1054"/>
      <c r="ICJ241" s="1055"/>
      <c r="ICK241" s="1054"/>
      <c r="ICL241" s="1055"/>
      <c r="ICM241" s="1054"/>
      <c r="ICN241" s="1055"/>
      <c r="ICO241" s="1054"/>
      <c r="ICP241" s="1055"/>
      <c r="ICQ241" s="1054"/>
      <c r="ICR241" s="1055"/>
      <c r="ICS241" s="1054"/>
      <c r="ICT241" s="1055"/>
      <c r="ICU241" s="1054"/>
      <c r="ICV241" s="1055"/>
      <c r="ICW241" s="1054"/>
      <c r="ICX241" s="1055"/>
      <c r="ICY241" s="1054"/>
      <c r="ICZ241" s="1055"/>
      <c r="IDA241" s="1054"/>
      <c r="IDB241" s="1055"/>
      <c r="IDC241" s="1054"/>
      <c r="IDD241" s="1055"/>
      <c r="IDE241" s="1054"/>
      <c r="IDF241" s="1055"/>
      <c r="IDG241" s="1054"/>
      <c r="IDH241" s="1055"/>
      <c r="IDI241" s="1054"/>
      <c r="IDJ241" s="1055"/>
      <c r="IDK241" s="1054"/>
      <c r="IDL241" s="1055"/>
      <c r="IDM241" s="1054"/>
      <c r="IDN241" s="1055"/>
      <c r="IDO241" s="1054"/>
      <c r="IDP241" s="1055"/>
      <c r="IDQ241" s="1054"/>
      <c r="IDR241" s="1055"/>
      <c r="IDS241" s="1054"/>
      <c r="IDT241" s="1055"/>
      <c r="IDU241" s="1054"/>
      <c r="IDV241" s="1055"/>
      <c r="IDW241" s="1054"/>
      <c r="IDX241" s="1055"/>
      <c r="IDY241" s="1054"/>
      <c r="IDZ241" s="1055"/>
      <c r="IEA241" s="1054"/>
      <c r="IEB241" s="1055"/>
      <c r="IEC241" s="1054"/>
      <c r="IED241" s="1055"/>
      <c r="IEE241" s="1054"/>
      <c r="IEF241" s="1055"/>
      <c r="IEG241" s="1054"/>
      <c r="IEH241" s="1055"/>
      <c r="IEI241" s="1054"/>
      <c r="IEJ241" s="1055"/>
      <c r="IEK241" s="1054"/>
      <c r="IEL241" s="1055"/>
      <c r="IEM241" s="1054"/>
      <c r="IEN241" s="1055"/>
      <c r="IEO241" s="1054"/>
      <c r="IEP241" s="1055"/>
      <c r="IEQ241" s="1054"/>
      <c r="IER241" s="1055"/>
      <c r="IES241" s="1054"/>
      <c r="IET241" s="1055"/>
      <c r="IEU241" s="1054"/>
      <c r="IEV241" s="1055"/>
      <c r="IEW241" s="1054"/>
      <c r="IEX241" s="1055"/>
      <c r="IEY241" s="1054"/>
      <c r="IEZ241" s="1055"/>
      <c r="IFA241" s="1054"/>
      <c r="IFB241" s="1055"/>
      <c r="IFC241" s="1054"/>
      <c r="IFD241" s="1055"/>
      <c r="IFE241" s="1054"/>
      <c r="IFF241" s="1055"/>
      <c r="IFG241" s="1054"/>
      <c r="IFH241" s="1055"/>
      <c r="IFI241" s="1054"/>
      <c r="IFJ241" s="1055"/>
      <c r="IFK241" s="1054"/>
      <c r="IFL241" s="1055"/>
      <c r="IFM241" s="1054"/>
      <c r="IFN241" s="1055"/>
      <c r="IFO241" s="1054"/>
      <c r="IFP241" s="1055"/>
      <c r="IFQ241" s="1054"/>
      <c r="IFR241" s="1055"/>
      <c r="IFS241" s="1054"/>
      <c r="IFT241" s="1055"/>
      <c r="IFU241" s="1054"/>
      <c r="IFV241" s="1055"/>
      <c r="IFW241" s="1054"/>
      <c r="IFX241" s="1055"/>
      <c r="IFY241" s="1054"/>
      <c r="IFZ241" s="1055"/>
      <c r="IGA241" s="1054"/>
      <c r="IGB241" s="1055"/>
      <c r="IGC241" s="1054"/>
      <c r="IGD241" s="1055"/>
      <c r="IGE241" s="1054"/>
      <c r="IGF241" s="1055"/>
      <c r="IGG241" s="1054"/>
      <c r="IGH241" s="1055"/>
      <c r="IGI241" s="1054"/>
      <c r="IGJ241" s="1055"/>
      <c r="IGK241" s="1054"/>
      <c r="IGL241" s="1055"/>
      <c r="IGM241" s="1054"/>
      <c r="IGN241" s="1055"/>
      <c r="IGO241" s="1054"/>
      <c r="IGP241" s="1055"/>
      <c r="IGQ241" s="1054"/>
      <c r="IGR241" s="1055"/>
      <c r="IGS241" s="1054"/>
      <c r="IGT241" s="1055"/>
      <c r="IGU241" s="1054"/>
      <c r="IGV241" s="1055"/>
      <c r="IGW241" s="1054"/>
      <c r="IGX241" s="1055"/>
      <c r="IGY241" s="1054"/>
      <c r="IGZ241" s="1055"/>
      <c r="IHA241" s="1054"/>
      <c r="IHB241" s="1055"/>
      <c r="IHC241" s="1054"/>
      <c r="IHD241" s="1055"/>
      <c r="IHE241" s="1054"/>
      <c r="IHF241" s="1055"/>
      <c r="IHG241" s="1054"/>
      <c r="IHH241" s="1055"/>
      <c r="IHI241" s="1054"/>
      <c r="IHJ241" s="1055"/>
      <c r="IHK241" s="1054"/>
      <c r="IHL241" s="1055"/>
      <c r="IHM241" s="1054"/>
      <c r="IHN241" s="1055"/>
      <c r="IHO241" s="1054"/>
      <c r="IHP241" s="1055"/>
      <c r="IHQ241" s="1054"/>
      <c r="IHR241" s="1055"/>
      <c r="IHS241" s="1054"/>
      <c r="IHT241" s="1055"/>
      <c r="IHU241" s="1054"/>
      <c r="IHV241" s="1055"/>
      <c r="IHW241" s="1054"/>
      <c r="IHX241" s="1055"/>
      <c r="IHY241" s="1054"/>
      <c r="IHZ241" s="1055"/>
      <c r="IIA241" s="1054"/>
      <c r="IIB241" s="1055"/>
      <c r="IIC241" s="1054"/>
      <c r="IID241" s="1055"/>
      <c r="IIE241" s="1054"/>
      <c r="IIF241" s="1055"/>
      <c r="IIG241" s="1054"/>
      <c r="IIH241" s="1055"/>
      <c r="III241" s="1054"/>
      <c r="IIJ241" s="1055"/>
      <c r="IIK241" s="1054"/>
      <c r="IIL241" s="1055"/>
      <c r="IIM241" s="1054"/>
      <c r="IIN241" s="1055"/>
      <c r="IIO241" s="1054"/>
      <c r="IIP241" s="1055"/>
      <c r="IIQ241" s="1054"/>
      <c r="IIR241" s="1055"/>
      <c r="IIS241" s="1054"/>
      <c r="IIT241" s="1055"/>
      <c r="IIU241" s="1054"/>
      <c r="IIV241" s="1055"/>
      <c r="IIW241" s="1054"/>
      <c r="IIX241" s="1055"/>
      <c r="IIY241" s="1054"/>
      <c r="IIZ241" s="1055"/>
      <c r="IJA241" s="1054"/>
      <c r="IJB241" s="1055"/>
      <c r="IJC241" s="1054"/>
      <c r="IJD241" s="1055"/>
      <c r="IJE241" s="1054"/>
      <c r="IJF241" s="1055"/>
      <c r="IJG241" s="1054"/>
      <c r="IJH241" s="1055"/>
      <c r="IJI241" s="1054"/>
      <c r="IJJ241" s="1055"/>
      <c r="IJK241" s="1054"/>
      <c r="IJL241" s="1055"/>
      <c r="IJM241" s="1054"/>
      <c r="IJN241" s="1055"/>
      <c r="IJO241" s="1054"/>
      <c r="IJP241" s="1055"/>
      <c r="IJQ241" s="1054"/>
      <c r="IJR241" s="1055"/>
      <c r="IJS241" s="1054"/>
      <c r="IJT241" s="1055"/>
      <c r="IJU241" s="1054"/>
      <c r="IJV241" s="1055"/>
      <c r="IJW241" s="1054"/>
      <c r="IJX241" s="1055"/>
      <c r="IJY241" s="1054"/>
      <c r="IJZ241" s="1055"/>
      <c r="IKA241" s="1054"/>
      <c r="IKB241" s="1055"/>
      <c r="IKC241" s="1054"/>
      <c r="IKD241" s="1055"/>
      <c r="IKE241" s="1054"/>
      <c r="IKF241" s="1055"/>
      <c r="IKG241" s="1054"/>
      <c r="IKH241" s="1055"/>
      <c r="IKI241" s="1054"/>
      <c r="IKJ241" s="1055"/>
      <c r="IKK241" s="1054"/>
      <c r="IKL241" s="1055"/>
      <c r="IKM241" s="1054"/>
      <c r="IKN241" s="1055"/>
      <c r="IKO241" s="1054"/>
      <c r="IKP241" s="1055"/>
      <c r="IKQ241" s="1054"/>
      <c r="IKR241" s="1055"/>
      <c r="IKS241" s="1054"/>
      <c r="IKT241" s="1055"/>
      <c r="IKU241" s="1054"/>
      <c r="IKV241" s="1055"/>
      <c r="IKW241" s="1054"/>
      <c r="IKX241" s="1055"/>
      <c r="IKY241" s="1054"/>
      <c r="IKZ241" s="1055"/>
      <c r="ILA241" s="1054"/>
      <c r="ILB241" s="1055"/>
      <c r="ILC241" s="1054"/>
      <c r="ILD241" s="1055"/>
      <c r="ILE241" s="1054"/>
      <c r="ILF241" s="1055"/>
      <c r="ILG241" s="1054"/>
      <c r="ILH241" s="1055"/>
      <c r="ILI241" s="1054"/>
      <c r="ILJ241" s="1055"/>
      <c r="ILK241" s="1054"/>
      <c r="ILL241" s="1055"/>
      <c r="ILM241" s="1054"/>
      <c r="ILN241" s="1055"/>
      <c r="ILO241" s="1054"/>
      <c r="ILP241" s="1055"/>
      <c r="ILQ241" s="1054"/>
      <c r="ILR241" s="1055"/>
      <c r="ILS241" s="1054"/>
      <c r="ILT241" s="1055"/>
      <c r="ILU241" s="1054"/>
      <c r="ILV241" s="1055"/>
      <c r="ILW241" s="1054"/>
      <c r="ILX241" s="1055"/>
      <c r="ILY241" s="1054"/>
      <c r="ILZ241" s="1055"/>
      <c r="IMA241" s="1054"/>
      <c r="IMB241" s="1055"/>
      <c r="IMC241" s="1054"/>
      <c r="IMD241" s="1055"/>
      <c r="IME241" s="1054"/>
      <c r="IMF241" s="1055"/>
      <c r="IMG241" s="1054"/>
      <c r="IMH241" s="1055"/>
      <c r="IMI241" s="1054"/>
      <c r="IMJ241" s="1055"/>
      <c r="IMK241" s="1054"/>
      <c r="IML241" s="1055"/>
      <c r="IMM241" s="1054"/>
      <c r="IMN241" s="1055"/>
      <c r="IMO241" s="1054"/>
      <c r="IMP241" s="1055"/>
      <c r="IMQ241" s="1054"/>
      <c r="IMR241" s="1055"/>
      <c r="IMS241" s="1054"/>
      <c r="IMT241" s="1055"/>
      <c r="IMU241" s="1054"/>
      <c r="IMV241" s="1055"/>
      <c r="IMW241" s="1054"/>
      <c r="IMX241" s="1055"/>
      <c r="IMY241" s="1054"/>
      <c r="IMZ241" s="1055"/>
      <c r="INA241" s="1054"/>
      <c r="INB241" s="1055"/>
      <c r="INC241" s="1054"/>
      <c r="IND241" s="1055"/>
      <c r="INE241" s="1054"/>
      <c r="INF241" s="1055"/>
      <c r="ING241" s="1054"/>
      <c r="INH241" s="1055"/>
      <c r="INI241" s="1054"/>
      <c r="INJ241" s="1055"/>
      <c r="INK241" s="1054"/>
      <c r="INL241" s="1055"/>
      <c r="INM241" s="1054"/>
      <c r="INN241" s="1055"/>
      <c r="INO241" s="1054"/>
      <c r="INP241" s="1055"/>
      <c r="INQ241" s="1054"/>
      <c r="INR241" s="1055"/>
      <c r="INS241" s="1054"/>
      <c r="INT241" s="1055"/>
      <c r="INU241" s="1054"/>
      <c r="INV241" s="1055"/>
      <c r="INW241" s="1054"/>
      <c r="INX241" s="1055"/>
      <c r="INY241" s="1054"/>
      <c r="INZ241" s="1055"/>
      <c r="IOA241" s="1054"/>
      <c r="IOB241" s="1055"/>
      <c r="IOC241" s="1054"/>
      <c r="IOD241" s="1055"/>
      <c r="IOE241" s="1054"/>
      <c r="IOF241" s="1055"/>
      <c r="IOG241" s="1054"/>
      <c r="IOH241" s="1055"/>
      <c r="IOI241" s="1054"/>
      <c r="IOJ241" s="1055"/>
      <c r="IOK241" s="1054"/>
      <c r="IOL241" s="1055"/>
      <c r="IOM241" s="1054"/>
      <c r="ION241" s="1055"/>
      <c r="IOO241" s="1054"/>
      <c r="IOP241" s="1055"/>
      <c r="IOQ241" s="1054"/>
      <c r="IOR241" s="1055"/>
      <c r="IOS241" s="1054"/>
      <c r="IOT241" s="1055"/>
      <c r="IOU241" s="1054"/>
      <c r="IOV241" s="1055"/>
      <c r="IOW241" s="1054"/>
      <c r="IOX241" s="1055"/>
      <c r="IOY241" s="1054"/>
      <c r="IOZ241" s="1055"/>
      <c r="IPA241" s="1054"/>
      <c r="IPB241" s="1055"/>
      <c r="IPC241" s="1054"/>
      <c r="IPD241" s="1055"/>
      <c r="IPE241" s="1054"/>
      <c r="IPF241" s="1055"/>
      <c r="IPG241" s="1054"/>
      <c r="IPH241" s="1055"/>
      <c r="IPI241" s="1054"/>
      <c r="IPJ241" s="1055"/>
      <c r="IPK241" s="1054"/>
      <c r="IPL241" s="1055"/>
      <c r="IPM241" s="1054"/>
      <c r="IPN241" s="1055"/>
      <c r="IPO241" s="1054"/>
      <c r="IPP241" s="1055"/>
      <c r="IPQ241" s="1054"/>
      <c r="IPR241" s="1055"/>
      <c r="IPS241" s="1054"/>
      <c r="IPT241" s="1055"/>
      <c r="IPU241" s="1054"/>
      <c r="IPV241" s="1055"/>
      <c r="IPW241" s="1054"/>
      <c r="IPX241" s="1055"/>
      <c r="IPY241" s="1054"/>
      <c r="IPZ241" s="1055"/>
      <c r="IQA241" s="1054"/>
      <c r="IQB241" s="1055"/>
      <c r="IQC241" s="1054"/>
      <c r="IQD241" s="1055"/>
      <c r="IQE241" s="1054"/>
      <c r="IQF241" s="1055"/>
      <c r="IQG241" s="1054"/>
      <c r="IQH241" s="1055"/>
      <c r="IQI241" s="1054"/>
      <c r="IQJ241" s="1055"/>
      <c r="IQK241" s="1054"/>
      <c r="IQL241" s="1055"/>
      <c r="IQM241" s="1054"/>
      <c r="IQN241" s="1055"/>
      <c r="IQO241" s="1054"/>
      <c r="IQP241" s="1055"/>
      <c r="IQQ241" s="1054"/>
      <c r="IQR241" s="1055"/>
      <c r="IQS241" s="1054"/>
      <c r="IQT241" s="1055"/>
      <c r="IQU241" s="1054"/>
      <c r="IQV241" s="1055"/>
      <c r="IQW241" s="1054"/>
      <c r="IQX241" s="1055"/>
      <c r="IQY241" s="1054"/>
      <c r="IQZ241" s="1055"/>
      <c r="IRA241" s="1054"/>
      <c r="IRB241" s="1055"/>
      <c r="IRC241" s="1054"/>
      <c r="IRD241" s="1055"/>
      <c r="IRE241" s="1054"/>
      <c r="IRF241" s="1055"/>
      <c r="IRG241" s="1054"/>
      <c r="IRH241" s="1055"/>
      <c r="IRI241" s="1054"/>
      <c r="IRJ241" s="1055"/>
      <c r="IRK241" s="1054"/>
      <c r="IRL241" s="1055"/>
      <c r="IRM241" s="1054"/>
      <c r="IRN241" s="1055"/>
      <c r="IRO241" s="1054"/>
      <c r="IRP241" s="1055"/>
      <c r="IRQ241" s="1054"/>
      <c r="IRR241" s="1055"/>
      <c r="IRS241" s="1054"/>
      <c r="IRT241" s="1055"/>
      <c r="IRU241" s="1054"/>
      <c r="IRV241" s="1055"/>
      <c r="IRW241" s="1054"/>
      <c r="IRX241" s="1055"/>
      <c r="IRY241" s="1054"/>
      <c r="IRZ241" s="1055"/>
      <c r="ISA241" s="1054"/>
      <c r="ISB241" s="1055"/>
      <c r="ISC241" s="1054"/>
      <c r="ISD241" s="1055"/>
      <c r="ISE241" s="1054"/>
      <c r="ISF241" s="1055"/>
      <c r="ISG241" s="1054"/>
      <c r="ISH241" s="1055"/>
      <c r="ISI241" s="1054"/>
      <c r="ISJ241" s="1055"/>
      <c r="ISK241" s="1054"/>
      <c r="ISL241" s="1055"/>
      <c r="ISM241" s="1054"/>
      <c r="ISN241" s="1055"/>
      <c r="ISO241" s="1054"/>
      <c r="ISP241" s="1055"/>
      <c r="ISQ241" s="1054"/>
      <c r="ISR241" s="1055"/>
      <c r="ISS241" s="1054"/>
      <c r="IST241" s="1055"/>
      <c r="ISU241" s="1054"/>
      <c r="ISV241" s="1055"/>
      <c r="ISW241" s="1054"/>
      <c r="ISX241" s="1055"/>
      <c r="ISY241" s="1054"/>
      <c r="ISZ241" s="1055"/>
      <c r="ITA241" s="1054"/>
      <c r="ITB241" s="1055"/>
      <c r="ITC241" s="1054"/>
      <c r="ITD241" s="1055"/>
      <c r="ITE241" s="1054"/>
      <c r="ITF241" s="1055"/>
      <c r="ITG241" s="1054"/>
      <c r="ITH241" s="1055"/>
      <c r="ITI241" s="1054"/>
      <c r="ITJ241" s="1055"/>
      <c r="ITK241" s="1054"/>
      <c r="ITL241" s="1055"/>
      <c r="ITM241" s="1054"/>
      <c r="ITN241" s="1055"/>
      <c r="ITO241" s="1054"/>
      <c r="ITP241" s="1055"/>
      <c r="ITQ241" s="1054"/>
      <c r="ITR241" s="1055"/>
      <c r="ITS241" s="1054"/>
      <c r="ITT241" s="1055"/>
      <c r="ITU241" s="1054"/>
      <c r="ITV241" s="1055"/>
      <c r="ITW241" s="1054"/>
      <c r="ITX241" s="1055"/>
      <c r="ITY241" s="1054"/>
      <c r="ITZ241" s="1055"/>
      <c r="IUA241" s="1054"/>
      <c r="IUB241" s="1055"/>
      <c r="IUC241" s="1054"/>
      <c r="IUD241" s="1055"/>
      <c r="IUE241" s="1054"/>
      <c r="IUF241" s="1055"/>
      <c r="IUG241" s="1054"/>
      <c r="IUH241" s="1055"/>
      <c r="IUI241" s="1054"/>
      <c r="IUJ241" s="1055"/>
      <c r="IUK241" s="1054"/>
      <c r="IUL241" s="1055"/>
      <c r="IUM241" s="1054"/>
      <c r="IUN241" s="1055"/>
      <c r="IUO241" s="1054"/>
      <c r="IUP241" s="1055"/>
      <c r="IUQ241" s="1054"/>
      <c r="IUR241" s="1055"/>
      <c r="IUS241" s="1054"/>
      <c r="IUT241" s="1055"/>
      <c r="IUU241" s="1054"/>
      <c r="IUV241" s="1055"/>
      <c r="IUW241" s="1054"/>
      <c r="IUX241" s="1055"/>
      <c r="IUY241" s="1054"/>
      <c r="IUZ241" s="1055"/>
      <c r="IVA241" s="1054"/>
      <c r="IVB241" s="1055"/>
      <c r="IVC241" s="1054"/>
      <c r="IVD241" s="1055"/>
      <c r="IVE241" s="1054"/>
      <c r="IVF241" s="1055"/>
      <c r="IVG241" s="1054"/>
      <c r="IVH241" s="1055"/>
      <c r="IVI241" s="1054"/>
      <c r="IVJ241" s="1055"/>
      <c r="IVK241" s="1054"/>
      <c r="IVL241" s="1055"/>
      <c r="IVM241" s="1054"/>
      <c r="IVN241" s="1055"/>
      <c r="IVO241" s="1054"/>
      <c r="IVP241" s="1055"/>
      <c r="IVQ241" s="1054"/>
      <c r="IVR241" s="1055"/>
      <c r="IVS241" s="1054"/>
      <c r="IVT241" s="1055"/>
      <c r="IVU241" s="1054"/>
      <c r="IVV241" s="1055"/>
      <c r="IVW241" s="1054"/>
      <c r="IVX241" s="1055"/>
      <c r="IVY241" s="1054"/>
      <c r="IVZ241" s="1055"/>
      <c r="IWA241" s="1054"/>
      <c r="IWB241" s="1055"/>
      <c r="IWC241" s="1054"/>
      <c r="IWD241" s="1055"/>
      <c r="IWE241" s="1054"/>
      <c r="IWF241" s="1055"/>
      <c r="IWG241" s="1054"/>
      <c r="IWH241" s="1055"/>
      <c r="IWI241" s="1054"/>
      <c r="IWJ241" s="1055"/>
      <c r="IWK241" s="1054"/>
      <c r="IWL241" s="1055"/>
      <c r="IWM241" s="1054"/>
      <c r="IWN241" s="1055"/>
      <c r="IWO241" s="1054"/>
      <c r="IWP241" s="1055"/>
      <c r="IWQ241" s="1054"/>
      <c r="IWR241" s="1055"/>
      <c r="IWS241" s="1054"/>
      <c r="IWT241" s="1055"/>
      <c r="IWU241" s="1054"/>
      <c r="IWV241" s="1055"/>
      <c r="IWW241" s="1054"/>
      <c r="IWX241" s="1055"/>
      <c r="IWY241" s="1054"/>
      <c r="IWZ241" s="1055"/>
      <c r="IXA241" s="1054"/>
      <c r="IXB241" s="1055"/>
      <c r="IXC241" s="1054"/>
      <c r="IXD241" s="1055"/>
      <c r="IXE241" s="1054"/>
      <c r="IXF241" s="1055"/>
      <c r="IXG241" s="1054"/>
      <c r="IXH241" s="1055"/>
      <c r="IXI241" s="1054"/>
      <c r="IXJ241" s="1055"/>
      <c r="IXK241" s="1054"/>
      <c r="IXL241" s="1055"/>
      <c r="IXM241" s="1054"/>
      <c r="IXN241" s="1055"/>
      <c r="IXO241" s="1054"/>
      <c r="IXP241" s="1055"/>
      <c r="IXQ241" s="1054"/>
      <c r="IXR241" s="1055"/>
      <c r="IXS241" s="1054"/>
      <c r="IXT241" s="1055"/>
      <c r="IXU241" s="1054"/>
      <c r="IXV241" s="1055"/>
      <c r="IXW241" s="1054"/>
      <c r="IXX241" s="1055"/>
      <c r="IXY241" s="1054"/>
      <c r="IXZ241" s="1055"/>
      <c r="IYA241" s="1054"/>
      <c r="IYB241" s="1055"/>
      <c r="IYC241" s="1054"/>
      <c r="IYD241" s="1055"/>
      <c r="IYE241" s="1054"/>
      <c r="IYF241" s="1055"/>
      <c r="IYG241" s="1054"/>
      <c r="IYH241" s="1055"/>
      <c r="IYI241" s="1054"/>
      <c r="IYJ241" s="1055"/>
      <c r="IYK241" s="1054"/>
      <c r="IYL241" s="1055"/>
      <c r="IYM241" s="1054"/>
      <c r="IYN241" s="1055"/>
      <c r="IYO241" s="1054"/>
      <c r="IYP241" s="1055"/>
      <c r="IYQ241" s="1054"/>
      <c r="IYR241" s="1055"/>
      <c r="IYS241" s="1054"/>
      <c r="IYT241" s="1055"/>
      <c r="IYU241" s="1054"/>
      <c r="IYV241" s="1055"/>
      <c r="IYW241" s="1054"/>
      <c r="IYX241" s="1055"/>
      <c r="IYY241" s="1054"/>
      <c r="IYZ241" s="1055"/>
      <c r="IZA241" s="1054"/>
      <c r="IZB241" s="1055"/>
      <c r="IZC241" s="1054"/>
      <c r="IZD241" s="1055"/>
      <c r="IZE241" s="1054"/>
      <c r="IZF241" s="1055"/>
      <c r="IZG241" s="1054"/>
      <c r="IZH241" s="1055"/>
      <c r="IZI241" s="1054"/>
      <c r="IZJ241" s="1055"/>
      <c r="IZK241" s="1054"/>
      <c r="IZL241" s="1055"/>
      <c r="IZM241" s="1054"/>
      <c r="IZN241" s="1055"/>
      <c r="IZO241" s="1054"/>
      <c r="IZP241" s="1055"/>
      <c r="IZQ241" s="1054"/>
      <c r="IZR241" s="1055"/>
      <c r="IZS241" s="1054"/>
      <c r="IZT241" s="1055"/>
      <c r="IZU241" s="1054"/>
      <c r="IZV241" s="1055"/>
      <c r="IZW241" s="1054"/>
      <c r="IZX241" s="1055"/>
      <c r="IZY241" s="1054"/>
      <c r="IZZ241" s="1055"/>
      <c r="JAA241" s="1054"/>
      <c r="JAB241" s="1055"/>
      <c r="JAC241" s="1054"/>
      <c r="JAD241" s="1055"/>
      <c r="JAE241" s="1054"/>
      <c r="JAF241" s="1055"/>
      <c r="JAG241" s="1054"/>
      <c r="JAH241" s="1055"/>
      <c r="JAI241" s="1054"/>
      <c r="JAJ241" s="1055"/>
      <c r="JAK241" s="1054"/>
      <c r="JAL241" s="1055"/>
      <c r="JAM241" s="1054"/>
      <c r="JAN241" s="1055"/>
      <c r="JAO241" s="1054"/>
      <c r="JAP241" s="1055"/>
      <c r="JAQ241" s="1054"/>
      <c r="JAR241" s="1055"/>
      <c r="JAS241" s="1054"/>
      <c r="JAT241" s="1055"/>
      <c r="JAU241" s="1054"/>
      <c r="JAV241" s="1055"/>
      <c r="JAW241" s="1054"/>
      <c r="JAX241" s="1055"/>
      <c r="JAY241" s="1054"/>
      <c r="JAZ241" s="1055"/>
      <c r="JBA241" s="1054"/>
      <c r="JBB241" s="1055"/>
      <c r="JBC241" s="1054"/>
      <c r="JBD241" s="1055"/>
      <c r="JBE241" s="1054"/>
      <c r="JBF241" s="1055"/>
      <c r="JBG241" s="1054"/>
      <c r="JBH241" s="1055"/>
      <c r="JBI241" s="1054"/>
      <c r="JBJ241" s="1055"/>
      <c r="JBK241" s="1054"/>
      <c r="JBL241" s="1055"/>
      <c r="JBM241" s="1054"/>
      <c r="JBN241" s="1055"/>
      <c r="JBO241" s="1054"/>
      <c r="JBP241" s="1055"/>
      <c r="JBQ241" s="1054"/>
      <c r="JBR241" s="1055"/>
      <c r="JBS241" s="1054"/>
      <c r="JBT241" s="1055"/>
      <c r="JBU241" s="1054"/>
      <c r="JBV241" s="1055"/>
      <c r="JBW241" s="1054"/>
      <c r="JBX241" s="1055"/>
      <c r="JBY241" s="1054"/>
      <c r="JBZ241" s="1055"/>
      <c r="JCA241" s="1054"/>
      <c r="JCB241" s="1055"/>
      <c r="JCC241" s="1054"/>
      <c r="JCD241" s="1055"/>
      <c r="JCE241" s="1054"/>
      <c r="JCF241" s="1055"/>
      <c r="JCG241" s="1054"/>
      <c r="JCH241" s="1055"/>
      <c r="JCI241" s="1054"/>
      <c r="JCJ241" s="1055"/>
      <c r="JCK241" s="1054"/>
      <c r="JCL241" s="1055"/>
      <c r="JCM241" s="1054"/>
      <c r="JCN241" s="1055"/>
      <c r="JCO241" s="1054"/>
      <c r="JCP241" s="1055"/>
      <c r="JCQ241" s="1054"/>
      <c r="JCR241" s="1055"/>
      <c r="JCS241" s="1054"/>
      <c r="JCT241" s="1055"/>
      <c r="JCU241" s="1054"/>
      <c r="JCV241" s="1055"/>
      <c r="JCW241" s="1054"/>
      <c r="JCX241" s="1055"/>
      <c r="JCY241" s="1054"/>
      <c r="JCZ241" s="1055"/>
      <c r="JDA241" s="1054"/>
      <c r="JDB241" s="1055"/>
      <c r="JDC241" s="1054"/>
      <c r="JDD241" s="1055"/>
      <c r="JDE241" s="1054"/>
      <c r="JDF241" s="1055"/>
      <c r="JDG241" s="1054"/>
      <c r="JDH241" s="1055"/>
      <c r="JDI241" s="1054"/>
      <c r="JDJ241" s="1055"/>
      <c r="JDK241" s="1054"/>
      <c r="JDL241" s="1055"/>
      <c r="JDM241" s="1054"/>
      <c r="JDN241" s="1055"/>
      <c r="JDO241" s="1054"/>
      <c r="JDP241" s="1055"/>
      <c r="JDQ241" s="1054"/>
      <c r="JDR241" s="1055"/>
      <c r="JDS241" s="1054"/>
      <c r="JDT241" s="1055"/>
      <c r="JDU241" s="1054"/>
      <c r="JDV241" s="1055"/>
      <c r="JDW241" s="1054"/>
      <c r="JDX241" s="1055"/>
      <c r="JDY241" s="1054"/>
      <c r="JDZ241" s="1055"/>
      <c r="JEA241" s="1054"/>
      <c r="JEB241" s="1055"/>
      <c r="JEC241" s="1054"/>
      <c r="JED241" s="1055"/>
      <c r="JEE241" s="1054"/>
      <c r="JEF241" s="1055"/>
      <c r="JEG241" s="1054"/>
      <c r="JEH241" s="1055"/>
      <c r="JEI241" s="1054"/>
      <c r="JEJ241" s="1055"/>
      <c r="JEK241" s="1054"/>
      <c r="JEL241" s="1055"/>
      <c r="JEM241" s="1054"/>
      <c r="JEN241" s="1055"/>
      <c r="JEO241" s="1054"/>
      <c r="JEP241" s="1055"/>
      <c r="JEQ241" s="1054"/>
      <c r="JER241" s="1055"/>
      <c r="JES241" s="1054"/>
      <c r="JET241" s="1055"/>
      <c r="JEU241" s="1054"/>
      <c r="JEV241" s="1055"/>
      <c r="JEW241" s="1054"/>
      <c r="JEX241" s="1055"/>
      <c r="JEY241" s="1054"/>
      <c r="JEZ241" s="1055"/>
      <c r="JFA241" s="1054"/>
      <c r="JFB241" s="1055"/>
      <c r="JFC241" s="1054"/>
      <c r="JFD241" s="1055"/>
      <c r="JFE241" s="1054"/>
      <c r="JFF241" s="1055"/>
      <c r="JFG241" s="1054"/>
      <c r="JFH241" s="1055"/>
      <c r="JFI241" s="1054"/>
      <c r="JFJ241" s="1055"/>
      <c r="JFK241" s="1054"/>
      <c r="JFL241" s="1055"/>
      <c r="JFM241" s="1054"/>
      <c r="JFN241" s="1055"/>
      <c r="JFO241" s="1054"/>
      <c r="JFP241" s="1055"/>
      <c r="JFQ241" s="1054"/>
      <c r="JFR241" s="1055"/>
      <c r="JFS241" s="1054"/>
      <c r="JFT241" s="1055"/>
      <c r="JFU241" s="1054"/>
      <c r="JFV241" s="1055"/>
      <c r="JFW241" s="1054"/>
      <c r="JFX241" s="1055"/>
      <c r="JFY241" s="1054"/>
      <c r="JFZ241" s="1055"/>
      <c r="JGA241" s="1054"/>
      <c r="JGB241" s="1055"/>
      <c r="JGC241" s="1054"/>
      <c r="JGD241" s="1055"/>
      <c r="JGE241" s="1054"/>
      <c r="JGF241" s="1055"/>
      <c r="JGG241" s="1054"/>
      <c r="JGH241" s="1055"/>
      <c r="JGI241" s="1054"/>
      <c r="JGJ241" s="1055"/>
      <c r="JGK241" s="1054"/>
      <c r="JGL241" s="1055"/>
      <c r="JGM241" s="1054"/>
      <c r="JGN241" s="1055"/>
      <c r="JGO241" s="1054"/>
      <c r="JGP241" s="1055"/>
      <c r="JGQ241" s="1054"/>
      <c r="JGR241" s="1055"/>
      <c r="JGS241" s="1054"/>
      <c r="JGT241" s="1055"/>
      <c r="JGU241" s="1054"/>
      <c r="JGV241" s="1055"/>
      <c r="JGW241" s="1054"/>
      <c r="JGX241" s="1055"/>
      <c r="JGY241" s="1054"/>
      <c r="JGZ241" s="1055"/>
      <c r="JHA241" s="1054"/>
      <c r="JHB241" s="1055"/>
      <c r="JHC241" s="1054"/>
      <c r="JHD241" s="1055"/>
      <c r="JHE241" s="1054"/>
      <c r="JHF241" s="1055"/>
      <c r="JHG241" s="1054"/>
      <c r="JHH241" s="1055"/>
      <c r="JHI241" s="1054"/>
      <c r="JHJ241" s="1055"/>
      <c r="JHK241" s="1054"/>
      <c r="JHL241" s="1055"/>
      <c r="JHM241" s="1054"/>
      <c r="JHN241" s="1055"/>
      <c r="JHO241" s="1054"/>
      <c r="JHP241" s="1055"/>
      <c r="JHQ241" s="1054"/>
      <c r="JHR241" s="1055"/>
      <c r="JHS241" s="1054"/>
      <c r="JHT241" s="1055"/>
      <c r="JHU241" s="1054"/>
      <c r="JHV241" s="1055"/>
      <c r="JHW241" s="1054"/>
      <c r="JHX241" s="1055"/>
      <c r="JHY241" s="1054"/>
      <c r="JHZ241" s="1055"/>
      <c r="JIA241" s="1054"/>
      <c r="JIB241" s="1055"/>
      <c r="JIC241" s="1054"/>
      <c r="JID241" s="1055"/>
      <c r="JIE241" s="1054"/>
      <c r="JIF241" s="1055"/>
      <c r="JIG241" s="1054"/>
      <c r="JIH241" s="1055"/>
      <c r="JII241" s="1054"/>
      <c r="JIJ241" s="1055"/>
      <c r="JIK241" s="1054"/>
      <c r="JIL241" s="1055"/>
      <c r="JIM241" s="1054"/>
      <c r="JIN241" s="1055"/>
      <c r="JIO241" s="1054"/>
      <c r="JIP241" s="1055"/>
      <c r="JIQ241" s="1054"/>
      <c r="JIR241" s="1055"/>
      <c r="JIS241" s="1054"/>
      <c r="JIT241" s="1055"/>
      <c r="JIU241" s="1054"/>
      <c r="JIV241" s="1055"/>
      <c r="JIW241" s="1054"/>
      <c r="JIX241" s="1055"/>
      <c r="JIY241" s="1054"/>
      <c r="JIZ241" s="1055"/>
      <c r="JJA241" s="1054"/>
      <c r="JJB241" s="1055"/>
      <c r="JJC241" s="1054"/>
      <c r="JJD241" s="1055"/>
      <c r="JJE241" s="1054"/>
      <c r="JJF241" s="1055"/>
      <c r="JJG241" s="1054"/>
      <c r="JJH241" s="1055"/>
      <c r="JJI241" s="1054"/>
      <c r="JJJ241" s="1055"/>
      <c r="JJK241" s="1054"/>
      <c r="JJL241" s="1055"/>
      <c r="JJM241" s="1054"/>
      <c r="JJN241" s="1055"/>
      <c r="JJO241" s="1054"/>
      <c r="JJP241" s="1055"/>
      <c r="JJQ241" s="1054"/>
      <c r="JJR241" s="1055"/>
      <c r="JJS241" s="1054"/>
      <c r="JJT241" s="1055"/>
      <c r="JJU241" s="1054"/>
      <c r="JJV241" s="1055"/>
      <c r="JJW241" s="1054"/>
      <c r="JJX241" s="1055"/>
      <c r="JJY241" s="1054"/>
      <c r="JJZ241" s="1055"/>
      <c r="JKA241" s="1054"/>
      <c r="JKB241" s="1055"/>
      <c r="JKC241" s="1054"/>
      <c r="JKD241" s="1055"/>
      <c r="JKE241" s="1054"/>
      <c r="JKF241" s="1055"/>
      <c r="JKG241" s="1054"/>
      <c r="JKH241" s="1055"/>
      <c r="JKI241" s="1054"/>
      <c r="JKJ241" s="1055"/>
      <c r="JKK241" s="1054"/>
      <c r="JKL241" s="1055"/>
      <c r="JKM241" s="1054"/>
      <c r="JKN241" s="1055"/>
      <c r="JKO241" s="1054"/>
      <c r="JKP241" s="1055"/>
      <c r="JKQ241" s="1054"/>
      <c r="JKR241" s="1055"/>
      <c r="JKS241" s="1054"/>
      <c r="JKT241" s="1055"/>
      <c r="JKU241" s="1054"/>
      <c r="JKV241" s="1055"/>
      <c r="JKW241" s="1054"/>
      <c r="JKX241" s="1055"/>
      <c r="JKY241" s="1054"/>
      <c r="JKZ241" s="1055"/>
      <c r="JLA241" s="1054"/>
      <c r="JLB241" s="1055"/>
      <c r="JLC241" s="1054"/>
      <c r="JLD241" s="1055"/>
      <c r="JLE241" s="1054"/>
      <c r="JLF241" s="1055"/>
      <c r="JLG241" s="1054"/>
      <c r="JLH241" s="1055"/>
      <c r="JLI241" s="1054"/>
      <c r="JLJ241" s="1055"/>
      <c r="JLK241" s="1054"/>
      <c r="JLL241" s="1055"/>
      <c r="JLM241" s="1054"/>
      <c r="JLN241" s="1055"/>
      <c r="JLO241" s="1054"/>
      <c r="JLP241" s="1055"/>
      <c r="JLQ241" s="1054"/>
      <c r="JLR241" s="1055"/>
      <c r="JLS241" s="1054"/>
      <c r="JLT241" s="1055"/>
      <c r="JLU241" s="1054"/>
      <c r="JLV241" s="1055"/>
      <c r="JLW241" s="1054"/>
      <c r="JLX241" s="1055"/>
      <c r="JLY241" s="1054"/>
      <c r="JLZ241" s="1055"/>
      <c r="JMA241" s="1054"/>
      <c r="JMB241" s="1055"/>
      <c r="JMC241" s="1054"/>
      <c r="JMD241" s="1055"/>
      <c r="JME241" s="1054"/>
      <c r="JMF241" s="1055"/>
      <c r="JMG241" s="1054"/>
      <c r="JMH241" s="1055"/>
      <c r="JMI241" s="1054"/>
      <c r="JMJ241" s="1055"/>
      <c r="JMK241" s="1054"/>
      <c r="JML241" s="1055"/>
      <c r="JMM241" s="1054"/>
      <c r="JMN241" s="1055"/>
      <c r="JMO241" s="1054"/>
      <c r="JMP241" s="1055"/>
      <c r="JMQ241" s="1054"/>
      <c r="JMR241" s="1055"/>
      <c r="JMS241" s="1054"/>
      <c r="JMT241" s="1055"/>
      <c r="JMU241" s="1054"/>
      <c r="JMV241" s="1055"/>
      <c r="JMW241" s="1054"/>
      <c r="JMX241" s="1055"/>
      <c r="JMY241" s="1054"/>
      <c r="JMZ241" s="1055"/>
      <c r="JNA241" s="1054"/>
      <c r="JNB241" s="1055"/>
      <c r="JNC241" s="1054"/>
      <c r="JND241" s="1055"/>
      <c r="JNE241" s="1054"/>
      <c r="JNF241" s="1055"/>
      <c r="JNG241" s="1054"/>
      <c r="JNH241" s="1055"/>
      <c r="JNI241" s="1054"/>
      <c r="JNJ241" s="1055"/>
      <c r="JNK241" s="1054"/>
      <c r="JNL241" s="1055"/>
      <c r="JNM241" s="1054"/>
      <c r="JNN241" s="1055"/>
      <c r="JNO241" s="1054"/>
      <c r="JNP241" s="1055"/>
      <c r="JNQ241" s="1054"/>
      <c r="JNR241" s="1055"/>
      <c r="JNS241" s="1054"/>
      <c r="JNT241" s="1055"/>
      <c r="JNU241" s="1054"/>
      <c r="JNV241" s="1055"/>
      <c r="JNW241" s="1054"/>
      <c r="JNX241" s="1055"/>
      <c r="JNY241" s="1054"/>
      <c r="JNZ241" s="1055"/>
      <c r="JOA241" s="1054"/>
      <c r="JOB241" s="1055"/>
      <c r="JOC241" s="1054"/>
      <c r="JOD241" s="1055"/>
      <c r="JOE241" s="1054"/>
      <c r="JOF241" s="1055"/>
      <c r="JOG241" s="1054"/>
      <c r="JOH241" s="1055"/>
      <c r="JOI241" s="1054"/>
      <c r="JOJ241" s="1055"/>
      <c r="JOK241" s="1054"/>
      <c r="JOL241" s="1055"/>
      <c r="JOM241" s="1054"/>
      <c r="JON241" s="1055"/>
      <c r="JOO241" s="1054"/>
      <c r="JOP241" s="1055"/>
      <c r="JOQ241" s="1054"/>
      <c r="JOR241" s="1055"/>
      <c r="JOS241" s="1054"/>
      <c r="JOT241" s="1055"/>
      <c r="JOU241" s="1054"/>
      <c r="JOV241" s="1055"/>
      <c r="JOW241" s="1054"/>
      <c r="JOX241" s="1055"/>
      <c r="JOY241" s="1054"/>
      <c r="JOZ241" s="1055"/>
      <c r="JPA241" s="1054"/>
      <c r="JPB241" s="1055"/>
      <c r="JPC241" s="1054"/>
      <c r="JPD241" s="1055"/>
      <c r="JPE241" s="1054"/>
      <c r="JPF241" s="1055"/>
      <c r="JPG241" s="1054"/>
      <c r="JPH241" s="1055"/>
      <c r="JPI241" s="1054"/>
      <c r="JPJ241" s="1055"/>
      <c r="JPK241" s="1054"/>
      <c r="JPL241" s="1055"/>
      <c r="JPM241" s="1054"/>
      <c r="JPN241" s="1055"/>
      <c r="JPO241" s="1054"/>
      <c r="JPP241" s="1055"/>
      <c r="JPQ241" s="1054"/>
      <c r="JPR241" s="1055"/>
      <c r="JPS241" s="1054"/>
      <c r="JPT241" s="1055"/>
      <c r="JPU241" s="1054"/>
      <c r="JPV241" s="1055"/>
      <c r="JPW241" s="1054"/>
      <c r="JPX241" s="1055"/>
      <c r="JPY241" s="1054"/>
      <c r="JPZ241" s="1055"/>
      <c r="JQA241" s="1054"/>
      <c r="JQB241" s="1055"/>
      <c r="JQC241" s="1054"/>
      <c r="JQD241" s="1055"/>
      <c r="JQE241" s="1054"/>
      <c r="JQF241" s="1055"/>
      <c r="JQG241" s="1054"/>
      <c r="JQH241" s="1055"/>
      <c r="JQI241" s="1054"/>
      <c r="JQJ241" s="1055"/>
      <c r="JQK241" s="1054"/>
      <c r="JQL241" s="1055"/>
      <c r="JQM241" s="1054"/>
      <c r="JQN241" s="1055"/>
      <c r="JQO241" s="1054"/>
      <c r="JQP241" s="1055"/>
      <c r="JQQ241" s="1054"/>
      <c r="JQR241" s="1055"/>
      <c r="JQS241" s="1054"/>
      <c r="JQT241" s="1055"/>
      <c r="JQU241" s="1054"/>
      <c r="JQV241" s="1055"/>
      <c r="JQW241" s="1054"/>
      <c r="JQX241" s="1055"/>
      <c r="JQY241" s="1054"/>
      <c r="JQZ241" s="1055"/>
      <c r="JRA241" s="1054"/>
      <c r="JRB241" s="1055"/>
      <c r="JRC241" s="1054"/>
      <c r="JRD241" s="1055"/>
      <c r="JRE241" s="1054"/>
      <c r="JRF241" s="1055"/>
      <c r="JRG241" s="1054"/>
      <c r="JRH241" s="1055"/>
      <c r="JRI241" s="1054"/>
      <c r="JRJ241" s="1055"/>
      <c r="JRK241" s="1054"/>
      <c r="JRL241" s="1055"/>
      <c r="JRM241" s="1054"/>
      <c r="JRN241" s="1055"/>
      <c r="JRO241" s="1054"/>
      <c r="JRP241" s="1055"/>
      <c r="JRQ241" s="1054"/>
      <c r="JRR241" s="1055"/>
      <c r="JRS241" s="1054"/>
      <c r="JRT241" s="1055"/>
      <c r="JRU241" s="1054"/>
      <c r="JRV241" s="1055"/>
      <c r="JRW241" s="1054"/>
      <c r="JRX241" s="1055"/>
      <c r="JRY241" s="1054"/>
      <c r="JRZ241" s="1055"/>
      <c r="JSA241" s="1054"/>
      <c r="JSB241" s="1055"/>
      <c r="JSC241" s="1054"/>
      <c r="JSD241" s="1055"/>
      <c r="JSE241" s="1054"/>
      <c r="JSF241" s="1055"/>
      <c r="JSG241" s="1054"/>
      <c r="JSH241" s="1055"/>
      <c r="JSI241" s="1054"/>
      <c r="JSJ241" s="1055"/>
      <c r="JSK241" s="1054"/>
      <c r="JSL241" s="1055"/>
      <c r="JSM241" s="1054"/>
      <c r="JSN241" s="1055"/>
      <c r="JSO241" s="1054"/>
      <c r="JSP241" s="1055"/>
      <c r="JSQ241" s="1054"/>
      <c r="JSR241" s="1055"/>
      <c r="JSS241" s="1054"/>
      <c r="JST241" s="1055"/>
      <c r="JSU241" s="1054"/>
      <c r="JSV241" s="1055"/>
      <c r="JSW241" s="1054"/>
      <c r="JSX241" s="1055"/>
      <c r="JSY241" s="1054"/>
      <c r="JSZ241" s="1055"/>
      <c r="JTA241" s="1054"/>
      <c r="JTB241" s="1055"/>
      <c r="JTC241" s="1054"/>
      <c r="JTD241" s="1055"/>
      <c r="JTE241" s="1054"/>
      <c r="JTF241" s="1055"/>
      <c r="JTG241" s="1054"/>
      <c r="JTH241" s="1055"/>
      <c r="JTI241" s="1054"/>
      <c r="JTJ241" s="1055"/>
      <c r="JTK241" s="1054"/>
      <c r="JTL241" s="1055"/>
      <c r="JTM241" s="1054"/>
      <c r="JTN241" s="1055"/>
      <c r="JTO241" s="1054"/>
      <c r="JTP241" s="1055"/>
      <c r="JTQ241" s="1054"/>
      <c r="JTR241" s="1055"/>
      <c r="JTS241" s="1054"/>
      <c r="JTT241" s="1055"/>
      <c r="JTU241" s="1054"/>
      <c r="JTV241" s="1055"/>
      <c r="JTW241" s="1054"/>
      <c r="JTX241" s="1055"/>
      <c r="JTY241" s="1054"/>
      <c r="JTZ241" s="1055"/>
      <c r="JUA241" s="1054"/>
      <c r="JUB241" s="1055"/>
      <c r="JUC241" s="1054"/>
      <c r="JUD241" s="1055"/>
      <c r="JUE241" s="1054"/>
      <c r="JUF241" s="1055"/>
      <c r="JUG241" s="1054"/>
      <c r="JUH241" s="1055"/>
      <c r="JUI241" s="1054"/>
      <c r="JUJ241" s="1055"/>
      <c r="JUK241" s="1054"/>
      <c r="JUL241" s="1055"/>
      <c r="JUM241" s="1054"/>
      <c r="JUN241" s="1055"/>
      <c r="JUO241" s="1054"/>
      <c r="JUP241" s="1055"/>
      <c r="JUQ241" s="1054"/>
      <c r="JUR241" s="1055"/>
      <c r="JUS241" s="1054"/>
      <c r="JUT241" s="1055"/>
      <c r="JUU241" s="1054"/>
      <c r="JUV241" s="1055"/>
      <c r="JUW241" s="1054"/>
      <c r="JUX241" s="1055"/>
      <c r="JUY241" s="1054"/>
      <c r="JUZ241" s="1055"/>
      <c r="JVA241" s="1054"/>
      <c r="JVB241" s="1055"/>
      <c r="JVC241" s="1054"/>
      <c r="JVD241" s="1055"/>
      <c r="JVE241" s="1054"/>
      <c r="JVF241" s="1055"/>
      <c r="JVG241" s="1054"/>
      <c r="JVH241" s="1055"/>
      <c r="JVI241" s="1054"/>
      <c r="JVJ241" s="1055"/>
      <c r="JVK241" s="1054"/>
      <c r="JVL241" s="1055"/>
      <c r="JVM241" s="1054"/>
      <c r="JVN241" s="1055"/>
      <c r="JVO241" s="1054"/>
      <c r="JVP241" s="1055"/>
      <c r="JVQ241" s="1054"/>
      <c r="JVR241" s="1055"/>
      <c r="JVS241" s="1054"/>
      <c r="JVT241" s="1055"/>
      <c r="JVU241" s="1054"/>
      <c r="JVV241" s="1055"/>
      <c r="JVW241" s="1054"/>
      <c r="JVX241" s="1055"/>
      <c r="JVY241" s="1054"/>
      <c r="JVZ241" s="1055"/>
      <c r="JWA241" s="1054"/>
      <c r="JWB241" s="1055"/>
      <c r="JWC241" s="1054"/>
      <c r="JWD241" s="1055"/>
      <c r="JWE241" s="1054"/>
      <c r="JWF241" s="1055"/>
      <c r="JWG241" s="1054"/>
      <c r="JWH241" s="1055"/>
      <c r="JWI241" s="1054"/>
      <c r="JWJ241" s="1055"/>
      <c r="JWK241" s="1054"/>
      <c r="JWL241" s="1055"/>
      <c r="JWM241" s="1054"/>
      <c r="JWN241" s="1055"/>
      <c r="JWO241" s="1054"/>
      <c r="JWP241" s="1055"/>
      <c r="JWQ241" s="1054"/>
      <c r="JWR241" s="1055"/>
      <c r="JWS241" s="1054"/>
      <c r="JWT241" s="1055"/>
      <c r="JWU241" s="1054"/>
      <c r="JWV241" s="1055"/>
      <c r="JWW241" s="1054"/>
      <c r="JWX241" s="1055"/>
      <c r="JWY241" s="1054"/>
      <c r="JWZ241" s="1055"/>
      <c r="JXA241" s="1054"/>
      <c r="JXB241" s="1055"/>
      <c r="JXC241" s="1054"/>
      <c r="JXD241" s="1055"/>
      <c r="JXE241" s="1054"/>
      <c r="JXF241" s="1055"/>
      <c r="JXG241" s="1054"/>
      <c r="JXH241" s="1055"/>
      <c r="JXI241" s="1054"/>
      <c r="JXJ241" s="1055"/>
      <c r="JXK241" s="1054"/>
      <c r="JXL241" s="1055"/>
      <c r="JXM241" s="1054"/>
      <c r="JXN241" s="1055"/>
      <c r="JXO241" s="1054"/>
      <c r="JXP241" s="1055"/>
      <c r="JXQ241" s="1054"/>
      <c r="JXR241" s="1055"/>
      <c r="JXS241" s="1054"/>
      <c r="JXT241" s="1055"/>
      <c r="JXU241" s="1054"/>
      <c r="JXV241" s="1055"/>
      <c r="JXW241" s="1054"/>
      <c r="JXX241" s="1055"/>
      <c r="JXY241" s="1054"/>
      <c r="JXZ241" s="1055"/>
      <c r="JYA241" s="1054"/>
      <c r="JYB241" s="1055"/>
      <c r="JYC241" s="1054"/>
      <c r="JYD241" s="1055"/>
      <c r="JYE241" s="1054"/>
      <c r="JYF241" s="1055"/>
      <c r="JYG241" s="1054"/>
      <c r="JYH241" s="1055"/>
      <c r="JYI241" s="1054"/>
      <c r="JYJ241" s="1055"/>
      <c r="JYK241" s="1054"/>
      <c r="JYL241" s="1055"/>
      <c r="JYM241" s="1054"/>
      <c r="JYN241" s="1055"/>
      <c r="JYO241" s="1054"/>
      <c r="JYP241" s="1055"/>
      <c r="JYQ241" s="1054"/>
      <c r="JYR241" s="1055"/>
      <c r="JYS241" s="1054"/>
      <c r="JYT241" s="1055"/>
      <c r="JYU241" s="1054"/>
      <c r="JYV241" s="1055"/>
      <c r="JYW241" s="1054"/>
      <c r="JYX241" s="1055"/>
      <c r="JYY241" s="1054"/>
      <c r="JYZ241" s="1055"/>
      <c r="JZA241" s="1054"/>
      <c r="JZB241" s="1055"/>
      <c r="JZC241" s="1054"/>
      <c r="JZD241" s="1055"/>
      <c r="JZE241" s="1054"/>
      <c r="JZF241" s="1055"/>
      <c r="JZG241" s="1054"/>
      <c r="JZH241" s="1055"/>
      <c r="JZI241" s="1054"/>
      <c r="JZJ241" s="1055"/>
      <c r="JZK241" s="1054"/>
      <c r="JZL241" s="1055"/>
      <c r="JZM241" s="1054"/>
      <c r="JZN241" s="1055"/>
      <c r="JZO241" s="1054"/>
      <c r="JZP241" s="1055"/>
      <c r="JZQ241" s="1054"/>
      <c r="JZR241" s="1055"/>
      <c r="JZS241" s="1054"/>
      <c r="JZT241" s="1055"/>
      <c r="JZU241" s="1054"/>
      <c r="JZV241" s="1055"/>
      <c r="JZW241" s="1054"/>
      <c r="JZX241" s="1055"/>
      <c r="JZY241" s="1054"/>
      <c r="JZZ241" s="1055"/>
      <c r="KAA241" s="1054"/>
      <c r="KAB241" s="1055"/>
      <c r="KAC241" s="1054"/>
      <c r="KAD241" s="1055"/>
      <c r="KAE241" s="1054"/>
      <c r="KAF241" s="1055"/>
      <c r="KAG241" s="1054"/>
      <c r="KAH241" s="1055"/>
      <c r="KAI241" s="1054"/>
      <c r="KAJ241" s="1055"/>
      <c r="KAK241" s="1054"/>
      <c r="KAL241" s="1055"/>
      <c r="KAM241" s="1054"/>
      <c r="KAN241" s="1055"/>
      <c r="KAO241" s="1054"/>
      <c r="KAP241" s="1055"/>
      <c r="KAQ241" s="1054"/>
      <c r="KAR241" s="1055"/>
      <c r="KAS241" s="1054"/>
      <c r="KAT241" s="1055"/>
      <c r="KAU241" s="1054"/>
      <c r="KAV241" s="1055"/>
      <c r="KAW241" s="1054"/>
      <c r="KAX241" s="1055"/>
      <c r="KAY241" s="1054"/>
      <c r="KAZ241" s="1055"/>
      <c r="KBA241" s="1054"/>
      <c r="KBB241" s="1055"/>
      <c r="KBC241" s="1054"/>
      <c r="KBD241" s="1055"/>
      <c r="KBE241" s="1054"/>
      <c r="KBF241" s="1055"/>
      <c r="KBG241" s="1054"/>
      <c r="KBH241" s="1055"/>
      <c r="KBI241" s="1054"/>
      <c r="KBJ241" s="1055"/>
      <c r="KBK241" s="1054"/>
      <c r="KBL241" s="1055"/>
      <c r="KBM241" s="1054"/>
      <c r="KBN241" s="1055"/>
      <c r="KBO241" s="1054"/>
      <c r="KBP241" s="1055"/>
      <c r="KBQ241" s="1054"/>
      <c r="KBR241" s="1055"/>
      <c r="KBS241" s="1054"/>
      <c r="KBT241" s="1055"/>
      <c r="KBU241" s="1054"/>
      <c r="KBV241" s="1055"/>
      <c r="KBW241" s="1054"/>
      <c r="KBX241" s="1055"/>
      <c r="KBY241" s="1054"/>
      <c r="KBZ241" s="1055"/>
      <c r="KCA241" s="1054"/>
      <c r="KCB241" s="1055"/>
      <c r="KCC241" s="1054"/>
      <c r="KCD241" s="1055"/>
      <c r="KCE241" s="1054"/>
      <c r="KCF241" s="1055"/>
      <c r="KCG241" s="1054"/>
      <c r="KCH241" s="1055"/>
      <c r="KCI241" s="1054"/>
      <c r="KCJ241" s="1055"/>
      <c r="KCK241" s="1054"/>
      <c r="KCL241" s="1055"/>
      <c r="KCM241" s="1054"/>
      <c r="KCN241" s="1055"/>
      <c r="KCO241" s="1054"/>
      <c r="KCP241" s="1055"/>
      <c r="KCQ241" s="1054"/>
      <c r="KCR241" s="1055"/>
      <c r="KCS241" s="1054"/>
      <c r="KCT241" s="1055"/>
      <c r="KCU241" s="1054"/>
      <c r="KCV241" s="1055"/>
      <c r="KCW241" s="1054"/>
      <c r="KCX241" s="1055"/>
      <c r="KCY241" s="1054"/>
      <c r="KCZ241" s="1055"/>
      <c r="KDA241" s="1054"/>
      <c r="KDB241" s="1055"/>
      <c r="KDC241" s="1054"/>
      <c r="KDD241" s="1055"/>
      <c r="KDE241" s="1054"/>
      <c r="KDF241" s="1055"/>
      <c r="KDG241" s="1054"/>
      <c r="KDH241" s="1055"/>
      <c r="KDI241" s="1054"/>
      <c r="KDJ241" s="1055"/>
      <c r="KDK241" s="1054"/>
      <c r="KDL241" s="1055"/>
      <c r="KDM241" s="1054"/>
      <c r="KDN241" s="1055"/>
      <c r="KDO241" s="1054"/>
      <c r="KDP241" s="1055"/>
      <c r="KDQ241" s="1054"/>
      <c r="KDR241" s="1055"/>
      <c r="KDS241" s="1054"/>
      <c r="KDT241" s="1055"/>
      <c r="KDU241" s="1054"/>
      <c r="KDV241" s="1055"/>
      <c r="KDW241" s="1054"/>
      <c r="KDX241" s="1055"/>
      <c r="KDY241" s="1054"/>
      <c r="KDZ241" s="1055"/>
      <c r="KEA241" s="1054"/>
      <c r="KEB241" s="1055"/>
      <c r="KEC241" s="1054"/>
      <c r="KED241" s="1055"/>
      <c r="KEE241" s="1054"/>
      <c r="KEF241" s="1055"/>
      <c r="KEG241" s="1054"/>
      <c r="KEH241" s="1055"/>
      <c r="KEI241" s="1054"/>
      <c r="KEJ241" s="1055"/>
      <c r="KEK241" s="1054"/>
      <c r="KEL241" s="1055"/>
      <c r="KEM241" s="1054"/>
      <c r="KEN241" s="1055"/>
      <c r="KEO241" s="1054"/>
      <c r="KEP241" s="1055"/>
      <c r="KEQ241" s="1054"/>
      <c r="KER241" s="1055"/>
      <c r="KES241" s="1054"/>
      <c r="KET241" s="1055"/>
      <c r="KEU241" s="1054"/>
      <c r="KEV241" s="1055"/>
      <c r="KEW241" s="1054"/>
      <c r="KEX241" s="1055"/>
      <c r="KEY241" s="1054"/>
      <c r="KEZ241" s="1055"/>
      <c r="KFA241" s="1054"/>
      <c r="KFB241" s="1055"/>
      <c r="KFC241" s="1054"/>
      <c r="KFD241" s="1055"/>
      <c r="KFE241" s="1054"/>
      <c r="KFF241" s="1055"/>
      <c r="KFG241" s="1054"/>
      <c r="KFH241" s="1055"/>
      <c r="KFI241" s="1054"/>
      <c r="KFJ241" s="1055"/>
      <c r="KFK241" s="1054"/>
      <c r="KFL241" s="1055"/>
      <c r="KFM241" s="1054"/>
      <c r="KFN241" s="1055"/>
      <c r="KFO241" s="1054"/>
      <c r="KFP241" s="1055"/>
      <c r="KFQ241" s="1054"/>
      <c r="KFR241" s="1055"/>
      <c r="KFS241" s="1054"/>
      <c r="KFT241" s="1055"/>
      <c r="KFU241" s="1054"/>
      <c r="KFV241" s="1055"/>
      <c r="KFW241" s="1054"/>
      <c r="KFX241" s="1055"/>
      <c r="KFY241" s="1054"/>
      <c r="KFZ241" s="1055"/>
      <c r="KGA241" s="1054"/>
      <c r="KGB241" s="1055"/>
      <c r="KGC241" s="1054"/>
      <c r="KGD241" s="1055"/>
      <c r="KGE241" s="1054"/>
      <c r="KGF241" s="1055"/>
      <c r="KGG241" s="1054"/>
      <c r="KGH241" s="1055"/>
      <c r="KGI241" s="1054"/>
      <c r="KGJ241" s="1055"/>
      <c r="KGK241" s="1054"/>
      <c r="KGL241" s="1055"/>
      <c r="KGM241" s="1054"/>
      <c r="KGN241" s="1055"/>
      <c r="KGO241" s="1054"/>
      <c r="KGP241" s="1055"/>
      <c r="KGQ241" s="1054"/>
      <c r="KGR241" s="1055"/>
      <c r="KGS241" s="1054"/>
      <c r="KGT241" s="1055"/>
      <c r="KGU241" s="1054"/>
      <c r="KGV241" s="1055"/>
      <c r="KGW241" s="1054"/>
      <c r="KGX241" s="1055"/>
      <c r="KGY241" s="1054"/>
      <c r="KGZ241" s="1055"/>
      <c r="KHA241" s="1054"/>
      <c r="KHB241" s="1055"/>
      <c r="KHC241" s="1054"/>
      <c r="KHD241" s="1055"/>
      <c r="KHE241" s="1054"/>
      <c r="KHF241" s="1055"/>
      <c r="KHG241" s="1054"/>
      <c r="KHH241" s="1055"/>
      <c r="KHI241" s="1054"/>
      <c r="KHJ241" s="1055"/>
      <c r="KHK241" s="1054"/>
      <c r="KHL241" s="1055"/>
      <c r="KHM241" s="1054"/>
      <c r="KHN241" s="1055"/>
      <c r="KHO241" s="1054"/>
      <c r="KHP241" s="1055"/>
      <c r="KHQ241" s="1054"/>
      <c r="KHR241" s="1055"/>
      <c r="KHS241" s="1054"/>
      <c r="KHT241" s="1055"/>
      <c r="KHU241" s="1054"/>
      <c r="KHV241" s="1055"/>
      <c r="KHW241" s="1054"/>
      <c r="KHX241" s="1055"/>
      <c r="KHY241" s="1054"/>
      <c r="KHZ241" s="1055"/>
      <c r="KIA241" s="1054"/>
      <c r="KIB241" s="1055"/>
      <c r="KIC241" s="1054"/>
      <c r="KID241" s="1055"/>
      <c r="KIE241" s="1054"/>
      <c r="KIF241" s="1055"/>
      <c r="KIG241" s="1054"/>
      <c r="KIH241" s="1055"/>
      <c r="KII241" s="1054"/>
      <c r="KIJ241" s="1055"/>
      <c r="KIK241" s="1054"/>
      <c r="KIL241" s="1055"/>
      <c r="KIM241" s="1054"/>
      <c r="KIN241" s="1055"/>
      <c r="KIO241" s="1054"/>
      <c r="KIP241" s="1055"/>
      <c r="KIQ241" s="1054"/>
      <c r="KIR241" s="1055"/>
      <c r="KIS241" s="1054"/>
      <c r="KIT241" s="1055"/>
      <c r="KIU241" s="1054"/>
      <c r="KIV241" s="1055"/>
      <c r="KIW241" s="1054"/>
      <c r="KIX241" s="1055"/>
      <c r="KIY241" s="1054"/>
      <c r="KIZ241" s="1055"/>
      <c r="KJA241" s="1054"/>
      <c r="KJB241" s="1055"/>
      <c r="KJC241" s="1054"/>
      <c r="KJD241" s="1055"/>
      <c r="KJE241" s="1054"/>
      <c r="KJF241" s="1055"/>
      <c r="KJG241" s="1054"/>
      <c r="KJH241" s="1055"/>
      <c r="KJI241" s="1054"/>
      <c r="KJJ241" s="1055"/>
      <c r="KJK241" s="1054"/>
      <c r="KJL241" s="1055"/>
      <c r="KJM241" s="1054"/>
      <c r="KJN241" s="1055"/>
      <c r="KJO241" s="1054"/>
      <c r="KJP241" s="1055"/>
      <c r="KJQ241" s="1054"/>
      <c r="KJR241" s="1055"/>
      <c r="KJS241" s="1054"/>
      <c r="KJT241" s="1055"/>
      <c r="KJU241" s="1054"/>
      <c r="KJV241" s="1055"/>
      <c r="KJW241" s="1054"/>
      <c r="KJX241" s="1055"/>
      <c r="KJY241" s="1054"/>
      <c r="KJZ241" s="1055"/>
      <c r="KKA241" s="1054"/>
      <c r="KKB241" s="1055"/>
      <c r="KKC241" s="1054"/>
      <c r="KKD241" s="1055"/>
      <c r="KKE241" s="1054"/>
      <c r="KKF241" s="1055"/>
      <c r="KKG241" s="1054"/>
      <c r="KKH241" s="1055"/>
      <c r="KKI241" s="1054"/>
      <c r="KKJ241" s="1055"/>
      <c r="KKK241" s="1054"/>
      <c r="KKL241" s="1055"/>
      <c r="KKM241" s="1054"/>
      <c r="KKN241" s="1055"/>
      <c r="KKO241" s="1054"/>
      <c r="KKP241" s="1055"/>
      <c r="KKQ241" s="1054"/>
      <c r="KKR241" s="1055"/>
      <c r="KKS241" s="1054"/>
      <c r="KKT241" s="1055"/>
      <c r="KKU241" s="1054"/>
      <c r="KKV241" s="1055"/>
      <c r="KKW241" s="1054"/>
      <c r="KKX241" s="1055"/>
      <c r="KKY241" s="1054"/>
      <c r="KKZ241" s="1055"/>
      <c r="KLA241" s="1054"/>
      <c r="KLB241" s="1055"/>
      <c r="KLC241" s="1054"/>
      <c r="KLD241" s="1055"/>
      <c r="KLE241" s="1054"/>
      <c r="KLF241" s="1055"/>
      <c r="KLG241" s="1054"/>
      <c r="KLH241" s="1055"/>
      <c r="KLI241" s="1054"/>
      <c r="KLJ241" s="1055"/>
      <c r="KLK241" s="1054"/>
      <c r="KLL241" s="1055"/>
      <c r="KLM241" s="1054"/>
      <c r="KLN241" s="1055"/>
      <c r="KLO241" s="1054"/>
      <c r="KLP241" s="1055"/>
      <c r="KLQ241" s="1054"/>
      <c r="KLR241" s="1055"/>
      <c r="KLS241" s="1054"/>
      <c r="KLT241" s="1055"/>
      <c r="KLU241" s="1054"/>
      <c r="KLV241" s="1055"/>
      <c r="KLW241" s="1054"/>
      <c r="KLX241" s="1055"/>
      <c r="KLY241" s="1054"/>
      <c r="KLZ241" s="1055"/>
      <c r="KMA241" s="1054"/>
      <c r="KMB241" s="1055"/>
      <c r="KMC241" s="1054"/>
      <c r="KMD241" s="1055"/>
      <c r="KME241" s="1054"/>
      <c r="KMF241" s="1055"/>
      <c r="KMG241" s="1054"/>
      <c r="KMH241" s="1055"/>
      <c r="KMI241" s="1054"/>
      <c r="KMJ241" s="1055"/>
      <c r="KMK241" s="1054"/>
      <c r="KML241" s="1055"/>
      <c r="KMM241" s="1054"/>
      <c r="KMN241" s="1055"/>
      <c r="KMO241" s="1054"/>
      <c r="KMP241" s="1055"/>
      <c r="KMQ241" s="1054"/>
      <c r="KMR241" s="1055"/>
      <c r="KMS241" s="1054"/>
      <c r="KMT241" s="1055"/>
      <c r="KMU241" s="1054"/>
      <c r="KMV241" s="1055"/>
      <c r="KMW241" s="1054"/>
      <c r="KMX241" s="1055"/>
      <c r="KMY241" s="1054"/>
      <c r="KMZ241" s="1055"/>
      <c r="KNA241" s="1054"/>
      <c r="KNB241" s="1055"/>
      <c r="KNC241" s="1054"/>
      <c r="KND241" s="1055"/>
      <c r="KNE241" s="1054"/>
      <c r="KNF241" s="1055"/>
      <c r="KNG241" s="1054"/>
      <c r="KNH241" s="1055"/>
      <c r="KNI241" s="1054"/>
      <c r="KNJ241" s="1055"/>
      <c r="KNK241" s="1054"/>
      <c r="KNL241" s="1055"/>
      <c r="KNM241" s="1054"/>
      <c r="KNN241" s="1055"/>
      <c r="KNO241" s="1054"/>
      <c r="KNP241" s="1055"/>
      <c r="KNQ241" s="1054"/>
      <c r="KNR241" s="1055"/>
      <c r="KNS241" s="1054"/>
      <c r="KNT241" s="1055"/>
      <c r="KNU241" s="1054"/>
      <c r="KNV241" s="1055"/>
      <c r="KNW241" s="1054"/>
      <c r="KNX241" s="1055"/>
      <c r="KNY241" s="1054"/>
      <c r="KNZ241" s="1055"/>
      <c r="KOA241" s="1054"/>
      <c r="KOB241" s="1055"/>
      <c r="KOC241" s="1054"/>
      <c r="KOD241" s="1055"/>
      <c r="KOE241" s="1054"/>
      <c r="KOF241" s="1055"/>
      <c r="KOG241" s="1054"/>
      <c r="KOH241" s="1055"/>
      <c r="KOI241" s="1054"/>
      <c r="KOJ241" s="1055"/>
      <c r="KOK241" s="1054"/>
      <c r="KOL241" s="1055"/>
      <c r="KOM241" s="1054"/>
      <c r="KON241" s="1055"/>
      <c r="KOO241" s="1054"/>
      <c r="KOP241" s="1055"/>
      <c r="KOQ241" s="1054"/>
      <c r="KOR241" s="1055"/>
      <c r="KOS241" s="1054"/>
      <c r="KOT241" s="1055"/>
      <c r="KOU241" s="1054"/>
      <c r="KOV241" s="1055"/>
      <c r="KOW241" s="1054"/>
      <c r="KOX241" s="1055"/>
      <c r="KOY241" s="1054"/>
      <c r="KOZ241" s="1055"/>
      <c r="KPA241" s="1054"/>
      <c r="KPB241" s="1055"/>
      <c r="KPC241" s="1054"/>
      <c r="KPD241" s="1055"/>
      <c r="KPE241" s="1054"/>
      <c r="KPF241" s="1055"/>
      <c r="KPG241" s="1054"/>
      <c r="KPH241" s="1055"/>
      <c r="KPI241" s="1054"/>
      <c r="KPJ241" s="1055"/>
      <c r="KPK241" s="1054"/>
      <c r="KPL241" s="1055"/>
      <c r="KPM241" s="1054"/>
      <c r="KPN241" s="1055"/>
      <c r="KPO241" s="1054"/>
      <c r="KPP241" s="1055"/>
      <c r="KPQ241" s="1054"/>
      <c r="KPR241" s="1055"/>
      <c r="KPS241" s="1054"/>
      <c r="KPT241" s="1055"/>
      <c r="KPU241" s="1054"/>
      <c r="KPV241" s="1055"/>
      <c r="KPW241" s="1054"/>
      <c r="KPX241" s="1055"/>
      <c r="KPY241" s="1054"/>
      <c r="KPZ241" s="1055"/>
      <c r="KQA241" s="1054"/>
      <c r="KQB241" s="1055"/>
      <c r="KQC241" s="1054"/>
      <c r="KQD241" s="1055"/>
      <c r="KQE241" s="1054"/>
      <c r="KQF241" s="1055"/>
      <c r="KQG241" s="1054"/>
      <c r="KQH241" s="1055"/>
      <c r="KQI241" s="1054"/>
      <c r="KQJ241" s="1055"/>
      <c r="KQK241" s="1054"/>
      <c r="KQL241" s="1055"/>
      <c r="KQM241" s="1054"/>
      <c r="KQN241" s="1055"/>
      <c r="KQO241" s="1054"/>
      <c r="KQP241" s="1055"/>
      <c r="KQQ241" s="1054"/>
      <c r="KQR241" s="1055"/>
      <c r="KQS241" s="1054"/>
      <c r="KQT241" s="1055"/>
      <c r="KQU241" s="1054"/>
      <c r="KQV241" s="1055"/>
      <c r="KQW241" s="1054"/>
      <c r="KQX241" s="1055"/>
      <c r="KQY241" s="1054"/>
      <c r="KQZ241" s="1055"/>
      <c r="KRA241" s="1054"/>
      <c r="KRB241" s="1055"/>
      <c r="KRC241" s="1054"/>
      <c r="KRD241" s="1055"/>
      <c r="KRE241" s="1054"/>
      <c r="KRF241" s="1055"/>
      <c r="KRG241" s="1054"/>
      <c r="KRH241" s="1055"/>
      <c r="KRI241" s="1054"/>
      <c r="KRJ241" s="1055"/>
      <c r="KRK241" s="1054"/>
      <c r="KRL241" s="1055"/>
      <c r="KRM241" s="1054"/>
      <c r="KRN241" s="1055"/>
      <c r="KRO241" s="1054"/>
      <c r="KRP241" s="1055"/>
      <c r="KRQ241" s="1054"/>
      <c r="KRR241" s="1055"/>
      <c r="KRS241" s="1054"/>
      <c r="KRT241" s="1055"/>
      <c r="KRU241" s="1054"/>
      <c r="KRV241" s="1055"/>
      <c r="KRW241" s="1054"/>
      <c r="KRX241" s="1055"/>
      <c r="KRY241" s="1054"/>
      <c r="KRZ241" s="1055"/>
      <c r="KSA241" s="1054"/>
      <c r="KSB241" s="1055"/>
      <c r="KSC241" s="1054"/>
      <c r="KSD241" s="1055"/>
      <c r="KSE241" s="1054"/>
      <c r="KSF241" s="1055"/>
      <c r="KSG241" s="1054"/>
      <c r="KSH241" s="1055"/>
      <c r="KSI241" s="1054"/>
      <c r="KSJ241" s="1055"/>
      <c r="KSK241" s="1054"/>
      <c r="KSL241" s="1055"/>
      <c r="KSM241" s="1054"/>
      <c r="KSN241" s="1055"/>
      <c r="KSO241" s="1054"/>
      <c r="KSP241" s="1055"/>
      <c r="KSQ241" s="1054"/>
      <c r="KSR241" s="1055"/>
      <c r="KSS241" s="1054"/>
      <c r="KST241" s="1055"/>
      <c r="KSU241" s="1054"/>
      <c r="KSV241" s="1055"/>
      <c r="KSW241" s="1054"/>
      <c r="KSX241" s="1055"/>
      <c r="KSY241" s="1054"/>
      <c r="KSZ241" s="1055"/>
      <c r="KTA241" s="1054"/>
      <c r="KTB241" s="1055"/>
      <c r="KTC241" s="1054"/>
      <c r="KTD241" s="1055"/>
      <c r="KTE241" s="1054"/>
      <c r="KTF241" s="1055"/>
      <c r="KTG241" s="1054"/>
      <c r="KTH241" s="1055"/>
      <c r="KTI241" s="1054"/>
      <c r="KTJ241" s="1055"/>
      <c r="KTK241" s="1054"/>
      <c r="KTL241" s="1055"/>
      <c r="KTM241" s="1054"/>
      <c r="KTN241" s="1055"/>
      <c r="KTO241" s="1054"/>
      <c r="KTP241" s="1055"/>
      <c r="KTQ241" s="1054"/>
      <c r="KTR241" s="1055"/>
      <c r="KTS241" s="1054"/>
      <c r="KTT241" s="1055"/>
      <c r="KTU241" s="1054"/>
      <c r="KTV241" s="1055"/>
      <c r="KTW241" s="1054"/>
      <c r="KTX241" s="1055"/>
      <c r="KTY241" s="1054"/>
      <c r="KTZ241" s="1055"/>
      <c r="KUA241" s="1054"/>
      <c r="KUB241" s="1055"/>
      <c r="KUC241" s="1054"/>
      <c r="KUD241" s="1055"/>
      <c r="KUE241" s="1054"/>
      <c r="KUF241" s="1055"/>
      <c r="KUG241" s="1054"/>
      <c r="KUH241" s="1055"/>
      <c r="KUI241" s="1054"/>
      <c r="KUJ241" s="1055"/>
      <c r="KUK241" s="1054"/>
      <c r="KUL241" s="1055"/>
      <c r="KUM241" s="1054"/>
      <c r="KUN241" s="1055"/>
      <c r="KUO241" s="1054"/>
      <c r="KUP241" s="1055"/>
      <c r="KUQ241" s="1054"/>
      <c r="KUR241" s="1055"/>
      <c r="KUS241" s="1054"/>
      <c r="KUT241" s="1055"/>
      <c r="KUU241" s="1054"/>
      <c r="KUV241" s="1055"/>
      <c r="KUW241" s="1054"/>
      <c r="KUX241" s="1055"/>
      <c r="KUY241" s="1054"/>
      <c r="KUZ241" s="1055"/>
      <c r="KVA241" s="1054"/>
      <c r="KVB241" s="1055"/>
      <c r="KVC241" s="1054"/>
      <c r="KVD241" s="1055"/>
      <c r="KVE241" s="1054"/>
      <c r="KVF241" s="1055"/>
      <c r="KVG241" s="1054"/>
      <c r="KVH241" s="1055"/>
      <c r="KVI241" s="1054"/>
      <c r="KVJ241" s="1055"/>
      <c r="KVK241" s="1054"/>
      <c r="KVL241" s="1055"/>
      <c r="KVM241" s="1054"/>
      <c r="KVN241" s="1055"/>
      <c r="KVO241" s="1054"/>
      <c r="KVP241" s="1055"/>
      <c r="KVQ241" s="1054"/>
      <c r="KVR241" s="1055"/>
      <c r="KVS241" s="1054"/>
      <c r="KVT241" s="1055"/>
      <c r="KVU241" s="1054"/>
      <c r="KVV241" s="1055"/>
      <c r="KVW241" s="1054"/>
      <c r="KVX241" s="1055"/>
      <c r="KVY241" s="1054"/>
      <c r="KVZ241" s="1055"/>
      <c r="KWA241" s="1054"/>
      <c r="KWB241" s="1055"/>
      <c r="KWC241" s="1054"/>
      <c r="KWD241" s="1055"/>
      <c r="KWE241" s="1054"/>
      <c r="KWF241" s="1055"/>
      <c r="KWG241" s="1054"/>
      <c r="KWH241" s="1055"/>
      <c r="KWI241" s="1054"/>
      <c r="KWJ241" s="1055"/>
      <c r="KWK241" s="1054"/>
      <c r="KWL241" s="1055"/>
      <c r="KWM241" s="1054"/>
      <c r="KWN241" s="1055"/>
      <c r="KWO241" s="1054"/>
      <c r="KWP241" s="1055"/>
      <c r="KWQ241" s="1054"/>
      <c r="KWR241" s="1055"/>
      <c r="KWS241" s="1054"/>
      <c r="KWT241" s="1055"/>
      <c r="KWU241" s="1054"/>
      <c r="KWV241" s="1055"/>
      <c r="KWW241" s="1054"/>
      <c r="KWX241" s="1055"/>
      <c r="KWY241" s="1054"/>
      <c r="KWZ241" s="1055"/>
      <c r="KXA241" s="1054"/>
      <c r="KXB241" s="1055"/>
      <c r="KXC241" s="1054"/>
      <c r="KXD241" s="1055"/>
      <c r="KXE241" s="1054"/>
      <c r="KXF241" s="1055"/>
      <c r="KXG241" s="1054"/>
      <c r="KXH241" s="1055"/>
      <c r="KXI241" s="1054"/>
      <c r="KXJ241" s="1055"/>
      <c r="KXK241" s="1054"/>
      <c r="KXL241" s="1055"/>
      <c r="KXM241" s="1054"/>
      <c r="KXN241" s="1055"/>
      <c r="KXO241" s="1054"/>
      <c r="KXP241" s="1055"/>
      <c r="KXQ241" s="1054"/>
      <c r="KXR241" s="1055"/>
      <c r="KXS241" s="1054"/>
      <c r="KXT241" s="1055"/>
      <c r="KXU241" s="1054"/>
      <c r="KXV241" s="1055"/>
      <c r="KXW241" s="1054"/>
      <c r="KXX241" s="1055"/>
      <c r="KXY241" s="1054"/>
      <c r="KXZ241" s="1055"/>
      <c r="KYA241" s="1054"/>
      <c r="KYB241" s="1055"/>
      <c r="KYC241" s="1054"/>
      <c r="KYD241" s="1055"/>
      <c r="KYE241" s="1054"/>
      <c r="KYF241" s="1055"/>
      <c r="KYG241" s="1054"/>
      <c r="KYH241" s="1055"/>
      <c r="KYI241" s="1054"/>
      <c r="KYJ241" s="1055"/>
      <c r="KYK241" s="1054"/>
      <c r="KYL241" s="1055"/>
      <c r="KYM241" s="1054"/>
      <c r="KYN241" s="1055"/>
      <c r="KYO241" s="1054"/>
      <c r="KYP241" s="1055"/>
      <c r="KYQ241" s="1054"/>
      <c r="KYR241" s="1055"/>
      <c r="KYS241" s="1054"/>
      <c r="KYT241" s="1055"/>
      <c r="KYU241" s="1054"/>
      <c r="KYV241" s="1055"/>
      <c r="KYW241" s="1054"/>
      <c r="KYX241" s="1055"/>
      <c r="KYY241" s="1054"/>
      <c r="KYZ241" s="1055"/>
      <c r="KZA241" s="1054"/>
      <c r="KZB241" s="1055"/>
      <c r="KZC241" s="1054"/>
      <c r="KZD241" s="1055"/>
      <c r="KZE241" s="1054"/>
      <c r="KZF241" s="1055"/>
      <c r="KZG241" s="1054"/>
      <c r="KZH241" s="1055"/>
      <c r="KZI241" s="1054"/>
      <c r="KZJ241" s="1055"/>
      <c r="KZK241" s="1054"/>
      <c r="KZL241" s="1055"/>
      <c r="KZM241" s="1054"/>
      <c r="KZN241" s="1055"/>
      <c r="KZO241" s="1054"/>
      <c r="KZP241" s="1055"/>
      <c r="KZQ241" s="1054"/>
      <c r="KZR241" s="1055"/>
      <c r="KZS241" s="1054"/>
      <c r="KZT241" s="1055"/>
      <c r="KZU241" s="1054"/>
      <c r="KZV241" s="1055"/>
      <c r="KZW241" s="1054"/>
      <c r="KZX241" s="1055"/>
      <c r="KZY241" s="1054"/>
      <c r="KZZ241" s="1055"/>
      <c r="LAA241" s="1054"/>
      <c r="LAB241" s="1055"/>
      <c r="LAC241" s="1054"/>
      <c r="LAD241" s="1055"/>
      <c r="LAE241" s="1054"/>
      <c r="LAF241" s="1055"/>
      <c r="LAG241" s="1054"/>
      <c r="LAH241" s="1055"/>
      <c r="LAI241" s="1054"/>
      <c r="LAJ241" s="1055"/>
      <c r="LAK241" s="1054"/>
      <c r="LAL241" s="1055"/>
      <c r="LAM241" s="1054"/>
      <c r="LAN241" s="1055"/>
      <c r="LAO241" s="1054"/>
      <c r="LAP241" s="1055"/>
      <c r="LAQ241" s="1054"/>
      <c r="LAR241" s="1055"/>
      <c r="LAS241" s="1054"/>
      <c r="LAT241" s="1055"/>
      <c r="LAU241" s="1054"/>
      <c r="LAV241" s="1055"/>
      <c r="LAW241" s="1054"/>
      <c r="LAX241" s="1055"/>
      <c r="LAY241" s="1054"/>
      <c r="LAZ241" s="1055"/>
      <c r="LBA241" s="1054"/>
      <c r="LBB241" s="1055"/>
      <c r="LBC241" s="1054"/>
      <c r="LBD241" s="1055"/>
      <c r="LBE241" s="1054"/>
      <c r="LBF241" s="1055"/>
      <c r="LBG241" s="1054"/>
      <c r="LBH241" s="1055"/>
      <c r="LBI241" s="1054"/>
      <c r="LBJ241" s="1055"/>
      <c r="LBK241" s="1054"/>
      <c r="LBL241" s="1055"/>
      <c r="LBM241" s="1054"/>
      <c r="LBN241" s="1055"/>
      <c r="LBO241" s="1054"/>
      <c r="LBP241" s="1055"/>
      <c r="LBQ241" s="1054"/>
      <c r="LBR241" s="1055"/>
      <c r="LBS241" s="1054"/>
      <c r="LBT241" s="1055"/>
      <c r="LBU241" s="1054"/>
      <c r="LBV241" s="1055"/>
      <c r="LBW241" s="1054"/>
      <c r="LBX241" s="1055"/>
      <c r="LBY241" s="1054"/>
      <c r="LBZ241" s="1055"/>
      <c r="LCA241" s="1054"/>
      <c r="LCB241" s="1055"/>
      <c r="LCC241" s="1054"/>
      <c r="LCD241" s="1055"/>
      <c r="LCE241" s="1054"/>
      <c r="LCF241" s="1055"/>
      <c r="LCG241" s="1054"/>
      <c r="LCH241" s="1055"/>
      <c r="LCI241" s="1054"/>
      <c r="LCJ241" s="1055"/>
      <c r="LCK241" s="1054"/>
      <c r="LCL241" s="1055"/>
      <c r="LCM241" s="1054"/>
      <c r="LCN241" s="1055"/>
      <c r="LCO241" s="1054"/>
      <c r="LCP241" s="1055"/>
      <c r="LCQ241" s="1054"/>
      <c r="LCR241" s="1055"/>
      <c r="LCS241" s="1054"/>
      <c r="LCT241" s="1055"/>
      <c r="LCU241" s="1054"/>
      <c r="LCV241" s="1055"/>
      <c r="LCW241" s="1054"/>
      <c r="LCX241" s="1055"/>
      <c r="LCY241" s="1054"/>
      <c r="LCZ241" s="1055"/>
      <c r="LDA241" s="1054"/>
      <c r="LDB241" s="1055"/>
      <c r="LDC241" s="1054"/>
      <c r="LDD241" s="1055"/>
      <c r="LDE241" s="1054"/>
      <c r="LDF241" s="1055"/>
      <c r="LDG241" s="1054"/>
      <c r="LDH241" s="1055"/>
      <c r="LDI241" s="1054"/>
      <c r="LDJ241" s="1055"/>
      <c r="LDK241" s="1054"/>
      <c r="LDL241" s="1055"/>
      <c r="LDM241" s="1054"/>
      <c r="LDN241" s="1055"/>
      <c r="LDO241" s="1054"/>
      <c r="LDP241" s="1055"/>
      <c r="LDQ241" s="1054"/>
      <c r="LDR241" s="1055"/>
      <c r="LDS241" s="1054"/>
      <c r="LDT241" s="1055"/>
      <c r="LDU241" s="1054"/>
      <c r="LDV241" s="1055"/>
      <c r="LDW241" s="1054"/>
      <c r="LDX241" s="1055"/>
      <c r="LDY241" s="1054"/>
      <c r="LDZ241" s="1055"/>
      <c r="LEA241" s="1054"/>
      <c r="LEB241" s="1055"/>
      <c r="LEC241" s="1054"/>
      <c r="LED241" s="1055"/>
      <c r="LEE241" s="1054"/>
      <c r="LEF241" s="1055"/>
      <c r="LEG241" s="1054"/>
      <c r="LEH241" s="1055"/>
      <c r="LEI241" s="1054"/>
      <c r="LEJ241" s="1055"/>
      <c r="LEK241" s="1054"/>
      <c r="LEL241" s="1055"/>
      <c r="LEM241" s="1054"/>
      <c r="LEN241" s="1055"/>
      <c r="LEO241" s="1054"/>
      <c r="LEP241" s="1055"/>
      <c r="LEQ241" s="1054"/>
      <c r="LER241" s="1055"/>
      <c r="LES241" s="1054"/>
      <c r="LET241" s="1055"/>
      <c r="LEU241" s="1054"/>
      <c r="LEV241" s="1055"/>
      <c r="LEW241" s="1054"/>
      <c r="LEX241" s="1055"/>
      <c r="LEY241" s="1054"/>
      <c r="LEZ241" s="1055"/>
      <c r="LFA241" s="1054"/>
      <c r="LFB241" s="1055"/>
      <c r="LFC241" s="1054"/>
      <c r="LFD241" s="1055"/>
      <c r="LFE241" s="1054"/>
      <c r="LFF241" s="1055"/>
      <c r="LFG241" s="1054"/>
      <c r="LFH241" s="1055"/>
      <c r="LFI241" s="1054"/>
      <c r="LFJ241" s="1055"/>
      <c r="LFK241" s="1054"/>
      <c r="LFL241" s="1055"/>
      <c r="LFM241" s="1054"/>
      <c r="LFN241" s="1055"/>
      <c r="LFO241" s="1054"/>
      <c r="LFP241" s="1055"/>
      <c r="LFQ241" s="1054"/>
      <c r="LFR241" s="1055"/>
      <c r="LFS241" s="1054"/>
      <c r="LFT241" s="1055"/>
      <c r="LFU241" s="1054"/>
      <c r="LFV241" s="1055"/>
      <c r="LFW241" s="1054"/>
      <c r="LFX241" s="1055"/>
      <c r="LFY241" s="1054"/>
      <c r="LFZ241" s="1055"/>
      <c r="LGA241" s="1054"/>
      <c r="LGB241" s="1055"/>
      <c r="LGC241" s="1054"/>
      <c r="LGD241" s="1055"/>
      <c r="LGE241" s="1054"/>
      <c r="LGF241" s="1055"/>
      <c r="LGG241" s="1054"/>
      <c r="LGH241" s="1055"/>
      <c r="LGI241" s="1054"/>
      <c r="LGJ241" s="1055"/>
      <c r="LGK241" s="1054"/>
      <c r="LGL241" s="1055"/>
      <c r="LGM241" s="1054"/>
      <c r="LGN241" s="1055"/>
      <c r="LGO241" s="1054"/>
      <c r="LGP241" s="1055"/>
      <c r="LGQ241" s="1054"/>
      <c r="LGR241" s="1055"/>
      <c r="LGS241" s="1054"/>
      <c r="LGT241" s="1055"/>
      <c r="LGU241" s="1054"/>
      <c r="LGV241" s="1055"/>
      <c r="LGW241" s="1054"/>
      <c r="LGX241" s="1055"/>
      <c r="LGY241" s="1054"/>
      <c r="LGZ241" s="1055"/>
      <c r="LHA241" s="1054"/>
      <c r="LHB241" s="1055"/>
      <c r="LHC241" s="1054"/>
      <c r="LHD241" s="1055"/>
      <c r="LHE241" s="1054"/>
      <c r="LHF241" s="1055"/>
      <c r="LHG241" s="1054"/>
      <c r="LHH241" s="1055"/>
      <c r="LHI241" s="1054"/>
      <c r="LHJ241" s="1055"/>
      <c r="LHK241" s="1054"/>
      <c r="LHL241" s="1055"/>
      <c r="LHM241" s="1054"/>
      <c r="LHN241" s="1055"/>
      <c r="LHO241" s="1054"/>
      <c r="LHP241" s="1055"/>
      <c r="LHQ241" s="1054"/>
      <c r="LHR241" s="1055"/>
      <c r="LHS241" s="1054"/>
      <c r="LHT241" s="1055"/>
      <c r="LHU241" s="1054"/>
      <c r="LHV241" s="1055"/>
      <c r="LHW241" s="1054"/>
      <c r="LHX241" s="1055"/>
      <c r="LHY241" s="1054"/>
      <c r="LHZ241" s="1055"/>
      <c r="LIA241" s="1054"/>
      <c r="LIB241" s="1055"/>
      <c r="LIC241" s="1054"/>
      <c r="LID241" s="1055"/>
      <c r="LIE241" s="1054"/>
      <c r="LIF241" s="1055"/>
      <c r="LIG241" s="1054"/>
      <c r="LIH241" s="1055"/>
      <c r="LII241" s="1054"/>
      <c r="LIJ241" s="1055"/>
      <c r="LIK241" s="1054"/>
      <c r="LIL241" s="1055"/>
      <c r="LIM241" s="1054"/>
      <c r="LIN241" s="1055"/>
      <c r="LIO241" s="1054"/>
      <c r="LIP241" s="1055"/>
      <c r="LIQ241" s="1054"/>
      <c r="LIR241" s="1055"/>
      <c r="LIS241" s="1054"/>
      <c r="LIT241" s="1055"/>
      <c r="LIU241" s="1054"/>
      <c r="LIV241" s="1055"/>
      <c r="LIW241" s="1054"/>
      <c r="LIX241" s="1055"/>
      <c r="LIY241" s="1054"/>
      <c r="LIZ241" s="1055"/>
      <c r="LJA241" s="1054"/>
      <c r="LJB241" s="1055"/>
      <c r="LJC241" s="1054"/>
      <c r="LJD241" s="1055"/>
      <c r="LJE241" s="1054"/>
      <c r="LJF241" s="1055"/>
      <c r="LJG241" s="1054"/>
      <c r="LJH241" s="1055"/>
      <c r="LJI241" s="1054"/>
      <c r="LJJ241" s="1055"/>
      <c r="LJK241" s="1054"/>
      <c r="LJL241" s="1055"/>
      <c r="LJM241" s="1054"/>
      <c r="LJN241" s="1055"/>
      <c r="LJO241" s="1054"/>
      <c r="LJP241" s="1055"/>
      <c r="LJQ241" s="1054"/>
      <c r="LJR241" s="1055"/>
      <c r="LJS241" s="1054"/>
      <c r="LJT241" s="1055"/>
      <c r="LJU241" s="1054"/>
      <c r="LJV241" s="1055"/>
      <c r="LJW241" s="1054"/>
      <c r="LJX241" s="1055"/>
      <c r="LJY241" s="1054"/>
      <c r="LJZ241" s="1055"/>
      <c r="LKA241" s="1054"/>
      <c r="LKB241" s="1055"/>
      <c r="LKC241" s="1054"/>
      <c r="LKD241" s="1055"/>
      <c r="LKE241" s="1054"/>
      <c r="LKF241" s="1055"/>
      <c r="LKG241" s="1054"/>
      <c r="LKH241" s="1055"/>
      <c r="LKI241" s="1054"/>
      <c r="LKJ241" s="1055"/>
      <c r="LKK241" s="1054"/>
      <c r="LKL241" s="1055"/>
      <c r="LKM241" s="1054"/>
      <c r="LKN241" s="1055"/>
      <c r="LKO241" s="1054"/>
      <c r="LKP241" s="1055"/>
      <c r="LKQ241" s="1054"/>
      <c r="LKR241" s="1055"/>
      <c r="LKS241" s="1054"/>
      <c r="LKT241" s="1055"/>
      <c r="LKU241" s="1054"/>
      <c r="LKV241" s="1055"/>
      <c r="LKW241" s="1054"/>
      <c r="LKX241" s="1055"/>
      <c r="LKY241" s="1054"/>
      <c r="LKZ241" s="1055"/>
      <c r="LLA241" s="1054"/>
      <c r="LLB241" s="1055"/>
      <c r="LLC241" s="1054"/>
      <c r="LLD241" s="1055"/>
      <c r="LLE241" s="1054"/>
      <c r="LLF241" s="1055"/>
      <c r="LLG241" s="1054"/>
      <c r="LLH241" s="1055"/>
      <c r="LLI241" s="1054"/>
      <c r="LLJ241" s="1055"/>
      <c r="LLK241" s="1054"/>
      <c r="LLL241" s="1055"/>
      <c r="LLM241" s="1054"/>
      <c r="LLN241" s="1055"/>
      <c r="LLO241" s="1054"/>
      <c r="LLP241" s="1055"/>
      <c r="LLQ241" s="1054"/>
      <c r="LLR241" s="1055"/>
      <c r="LLS241" s="1054"/>
      <c r="LLT241" s="1055"/>
      <c r="LLU241" s="1054"/>
      <c r="LLV241" s="1055"/>
      <c r="LLW241" s="1054"/>
      <c r="LLX241" s="1055"/>
      <c r="LLY241" s="1054"/>
      <c r="LLZ241" s="1055"/>
      <c r="LMA241" s="1054"/>
      <c r="LMB241" s="1055"/>
      <c r="LMC241" s="1054"/>
      <c r="LMD241" s="1055"/>
      <c r="LME241" s="1054"/>
      <c r="LMF241" s="1055"/>
      <c r="LMG241" s="1054"/>
      <c r="LMH241" s="1055"/>
      <c r="LMI241" s="1054"/>
      <c r="LMJ241" s="1055"/>
      <c r="LMK241" s="1054"/>
      <c r="LML241" s="1055"/>
      <c r="LMM241" s="1054"/>
      <c r="LMN241" s="1055"/>
      <c r="LMO241" s="1054"/>
      <c r="LMP241" s="1055"/>
      <c r="LMQ241" s="1054"/>
      <c r="LMR241" s="1055"/>
      <c r="LMS241" s="1054"/>
      <c r="LMT241" s="1055"/>
      <c r="LMU241" s="1054"/>
      <c r="LMV241" s="1055"/>
      <c r="LMW241" s="1054"/>
      <c r="LMX241" s="1055"/>
      <c r="LMY241" s="1054"/>
      <c r="LMZ241" s="1055"/>
      <c r="LNA241" s="1054"/>
      <c r="LNB241" s="1055"/>
      <c r="LNC241" s="1054"/>
      <c r="LND241" s="1055"/>
      <c r="LNE241" s="1054"/>
      <c r="LNF241" s="1055"/>
      <c r="LNG241" s="1054"/>
      <c r="LNH241" s="1055"/>
      <c r="LNI241" s="1054"/>
      <c r="LNJ241" s="1055"/>
      <c r="LNK241" s="1054"/>
      <c r="LNL241" s="1055"/>
      <c r="LNM241" s="1054"/>
      <c r="LNN241" s="1055"/>
      <c r="LNO241" s="1054"/>
      <c r="LNP241" s="1055"/>
      <c r="LNQ241" s="1054"/>
      <c r="LNR241" s="1055"/>
      <c r="LNS241" s="1054"/>
      <c r="LNT241" s="1055"/>
      <c r="LNU241" s="1054"/>
      <c r="LNV241" s="1055"/>
      <c r="LNW241" s="1054"/>
      <c r="LNX241" s="1055"/>
      <c r="LNY241" s="1054"/>
      <c r="LNZ241" s="1055"/>
      <c r="LOA241" s="1054"/>
      <c r="LOB241" s="1055"/>
      <c r="LOC241" s="1054"/>
      <c r="LOD241" s="1055"/>
      <c r="LOE241" s="1054"/>
      <c r="LOF241" s="1055"/>
      <c r="LOG241" s="1054"/>
      <c r="LOH241" s="1055"/>
      <c r="LOI241" s="1054"/>
      <c r="LOJ241" s="1055"/>
      <c r="LOK241" s="1054"/>
      <c r="LOL241" s="1055"/>
      <c r="LOM241" s="1054"/>
      <c r="LON241" s="1055"/>
      <c r="LOO241" s="1054"/>
      <c r="LOP241" s="1055"/>
      <c r="LOQ241" s="1054"/>
      <c r="LOR241" s="1055"/>
      <c r="LOS241" s="1054"/>
      <c r="LOT241" s="1055"/>
      <c r="LOU241" s="1054"/>
      <c r="LOV241" s="1055"/>
      <c r="LOW241" s="1054"/>
      <c r="LOX241" s="1055"/>
      <c r="LOY241" s="1054"/>
      <c r="LOZ241" s="1055"/>
      <c r="LPA241" s="1054"/>
      <c r="LPB241" s="1055"/>
      <c r="LPC241" s="1054"/>
      <c r="LPD241" s="1055"/>
      <c r="LPE241" s="1054"/>
      <c r="LPF241" s="1055"/>
      <c r="LPG241" s="1054"/>
      <c r="LPH241" s="1055"/>
      <c r="LPI241" s="1054"/>
      <c r="LPJ241" s="1055"/>
      <c r="LPK241" s="1054"/>
      <c r="LPL241" s="1055"/>
      <c r="LPM241" s="1054"/>
      <c r="LPN241" s="1055"/>
      <c r="LPO241" s="1054"/>
      <c r="LPP241" s="1055"/>
      <c r="LPQ241" s="1054"/>
      <c r="LPR241" s="1055"/>
      <c r="LPS241" s="1054"/>
      <c r="LPT241" s="1055"/>
      <c r="LPU241" s="1054"/>
      <c r="LPV241" s="1055"/>
      <c r="LPW241" s="1054"/>
      <c r="LPX241" s="1055"/>
      <c r="LPY241" s="1054"/>
      <c r="LPZ241" s="1055"/>
      <c r="LQA241" s="1054"/>
      <c r="LQB241" s="1055"/>
      <c r="LQC241" s="1054"/>
      <c r="LQD241" s="1055"/>
      <c r="LQE241" s="1054"/>
      <c r="LQF241" s="1055"/>
      <c r="LQG241" s="1054"/>
      <c r="LQH241" s="1055"/>
      <c r="LQI241" s="1054"/>
      <c r="LQJ241" s="1055"/>
      <c r="LQK241" s="1054"/>
      <c r="LQL241" s="1055"/>
      <c r="LQM241" s="1054"/>
      <c r="LQN241" s="1055"/>
      <c r="LQO241" s="1054"/>
      <c r="LQP241" s="1055"/>
      <c r="LQQ241" s="1054"/>
      <c r="LQR241" s="1055"/>
      <c r="LQS241" s="1054"/>
      <c r="LQT241" s="1055"/>
      <c r="LQU241" s="1054"/>
      <c r="LQV241" s="1055"/>
      <c r="LQW241" s="1054"/>
      <c r="LQX241" s="1055"/>
      <c r="LQY241" s="1054"/>
      <c r="LQZ241" s="1055"/>
      <c r="LRA241" s="1054"/>
      <c r="LRB241" s="1055"/>
      <c r="LRC241" s="1054"/>
      <c r="LRD241" s="1055"/>
      <c r="LRE241" s="1054"/>
      <c r="LRF241" s="1055"/>
      <c r="LRG241" s="1054"/>
      <c r="LRH241" s="1055"/>
      <c r="LRI241" s="1054"/>
      <c r="LRJ241" s="1055"/>
      <c r="LRK241" s="1054"/>
      <c r="LRL241" s="1055"/>
      <c r="LRM241" s="1054"/>
      <c r="LRN241" s="1055"/>
      <c r="LRO241" s="1054"/>
      <c r="LRP241" s="1055"/>
      <c r="LRQ241" s="1054"/>
      <c r="LRR241" s="1055"/>
      <c r="LRS241" s="1054"/>
      <c r="LRT241" s="1055"/>
      <c r="LRU241" s="1054"/>
      <c r="LRV241" s="1055"/>
      <c r="LRW241" s="1054"/>
      <c r="LRX241" s="1055"/>
      <c r="LRY241" s="1054"/>
      <c r="LRZ241" s="1055"/>
      <c r="LSA241" s="1054"/>
      <c r="LSB241" s="1055"/>
      <c r="LSC241" s="1054"/>
      <c r="LSD241" s="1055"/>
      <c r="LSE241" s="1054"/>
      <c r="LSF241" s="1055"/>
      <c r="LSG241" s="1054"/>
      <c r="LSH241" s="1055"/>
      <c r="LSI241" s="1054"/>
      <c r="LSJ241" s="1055"/>
      <c r="LSK241" s="1054"/>
      <c r="LSL241" s="1055"/>
      <c r="LSM241" s="1054"/>
      <c r="LSN241" s="1055"/>
      <c r="LSO241" s="1054"/>
      <c r="LSP241" s="1055"/>
      <c r="LSQ241" s="1054"/>
      <c r="LSR241" s="1055"/>
      <c r="LSS241" s="1054"/>
      <c r="LST241" s="1055"/>
      <c r="LSU241" s="1054"/>
      <c r="LSV241" s="1055"/>
      <c r="LSW241" s="1054"/>
      <c r="LSX241" s="1055"/>
      <c r="LSY241" s="1054"/>
      <c r="LSZ241" s="1055"/>
      <c r="LTA241" s="1054"/>
      <c r="LTB241" s="1055"/>
      <c r="LTC241" s="1054"/>
      <c r="LTD241" s="1055"/>
      <c r="LTE241" s="1054"/>
      <c r="LTF241" s="1055"/>
      <c r="LTG241" s="1054"/>
      <c r="LTH241" s="1055"/>
      <c r="LTI241" s="1054"/>
      <c r="LTJ241" s="1055"/>
      <c r="LTK241" s="1054"/>
      <c r="LTL241" s="1055"/>
      <c r="LTM241" s="1054"/>
      <c r="LTN241" s="1055"/>
      <c r="LTO241" s="1054"/>
      <c r="LTP241" s="1055"/>
      <c r="LTQ241" s="1054"/>
      <c r="LTR241" s="1055"/>
      <c r="LTS241" s="1054"/>
      <c r="LTT241" s="1055"/>
      <c r="LTU241" s="1054"/>
      <c r="LTV241" s="1055"/>
      <c r="LTW241" s="1054"/>
      <c r="LTX241" s="1055"/>
      <c r="LTY241" s="1054"/>
      <c r="LTZ241" s="1055"/>
      <c r="LUA241" s="1054"/>
      <c r="LUB241" s="1055"/>
      <c r="LUC241" s="1054"/>
      <c r="LUD241" s="1055"/>
      <c r="LUE241" s="1054"/>
      <c r="LUF241" s="1055"/>
      <c r="LUG241" s="1054"/>
      <c r="LUH241" s="1055"/>
      <c r="LUI241" s="1054"/>
      <c r="LUJ241" s="1055"/>
      <c r="LUK241" s="1054"/>
      <c r="LUL241" s="1055"/>
      <c r="LUM241" s="1054"/>
      <c r="LUN241" s="1055"/>
      <c r="LUO241" s="1054"/>
      <c r="LUP241" s="1055"/>
      <c r="LUQ241" s="1054"/>
      <c r="LUR241" s="1055"/>
      <c r="LUS241" s="1054"/>
      <c r="LUT241" s="1055"/>
      <c r="LUU241" s="1054"/>
      <c r="LUV241" s="1055"/>
      <c r="LUW241" s="1054"/>
      <c r="LUX241" s="1055"/>
      <c r="LUY241" s="1054"/>
      <c r="LUZ241" s="1055"/>
      <c r="LVA241" s="1054"/>
      <c r="LVB241" s="1055"/>
      <c r="LVC241" s="1054"/>
      <c r="LVD241" s="1055"/>
      <c r="LVE241" s="1054"/>
      <c r="LVF241" s="1055"/>
      <c r="LVG241" s="1054"/>
      <c r="LVH241" s="1055"/>
      <c r="LVI241" s="1054"/>
      <c r="LVJ241" s="1055"/>
      <c r="LVK241" s="1054"/>
      <c r="LVL241" s="1055"/>
      <c r="LVM241" s="1054"/>
      <c r="LVN241" s="1055"/>
      <c r="LVO241" s="1054"/>
      <c r="LVP241" s="1055"/>
      <c r="LVQ241" s="1054"/>
      <c r="LVR241" s="1055"/>
      <c r="LVS241" s="1054"/>
      <c r="LVT241" s="1055"/>
      <c r="LVU241" s="1054"/>
      <c r="LVV241" s="1055"/>
      <c r="LVW241" s="1054"/>
      <c r="LVX241" s="1055"/>
      <c r="LVY241" s="1054"/>
      <c r="LVZ241" s="1055"/>
      <c r="LWA241" s="1054"/>
      <c r="LWB241" s="1055"/>
      <c r="LWC241" s="1054"/>
      <c r="LWD241" s="1055"/>
      <c r="LWE241" s="1054"/>
      <c r="LWF241" s="1055"/>
      <c r="LWG241" s="1054"/>
      <c r="LWH241" s="1055"/>
      <c r="LWI241" s="1054"/>
      <c r="LWJ241" s="1055"/>
      <c r="LWK241" s="1054"/>
      <c r="LWL241" s="1055"/>
      <c r="LWM241" s="1054"/>
      <c r="LWN241" s="1055"/>
      <c r="LWO241" s="1054"/>
      <c r="LWP241" s="1055"/>
      <c r="LWQ241" s="1054"/>
      <c r="LWR241" s="1055"/>
      <c r="LWS241" s="1054"/>
      <c r="LWT241" s="1055"/>
      <c r="LWU241" s="1054"/>
      <c r="LWV241" s="1055"/>
      <c r="LWW241" s="1054"/>
      <c r="LWX241" s="1055"/>
      <c r="LWY241" s="1054"/>
      <c r="LWZ241" s="1055"/>
      <c r="LXA241" s="1054"/>
      <c r="LXB241" s="1055"/>
      <c r="LXC241" s="1054"/>
      <c r="LXD241" s="1055"/>
      <c r="LXE241" s="1054"/>
      <c r="LXF241" s="1055"/>
      <c r="LXG241" s="1054"/>
      <c r="LXH241" s="1055"/>
      <c r="LXI241" s="1054"/>
      <c r="LXJ241" s="1055"/>
      <c r="LXK241" s="1054"/>
      <c r="LXL241" s="1055"/>
      <c r="LXM241" s="1054"/>
      <c r="LXN241" s="1055"/>
      <c r="LXO241" s="1054"/>
      <c r="LXP241" s="1055"/>
      <c r="LXQ241" s="1054"/>
      <c r="LXR241" s="1055"/>
      <c r="LXS241" s="1054"/>
      <c r="LXT241" s="1055"/>
      <c r="LXU241" s="1054"/>
      <c r="LXV241" s="1055"/>
      <c r="LXW241" s="1054"/>
      <c r="LXX241" s="1055"/>
      <c r="LXY241" s="1054"/>
      <c r="LXZ241" s="1055"/>
      <c r="LYA241" s="1054"/>
      <c r="LYB241" s="1055"/>
      <c r="LYC241" s="1054"/>
      <c r="LYD241" s="1055"/>
      <c r="LYE241" s="1054"/>
      <c r="LYF241" s="1055"/>
      <c r="LYG241" s="1054"/>
      <c r="LYH241" s="1055"/>
      <c r="LYI241" s="1054"/>
      <c r="LYJ241" s="1055"/>
      <c r="LYK241" s="1054"/>
      <c r="LYL241" s="1055"/>
      <c r="LYM241" s="1054"/>
      <c r="LYN241" s="1055"/>
      <c r="LYO241" s="1054"/>
      <c r="LYP241" s="1055"/>
      <c r="LYQ241" s="1054"/>
      <c r="LYR241" s="1055"/>
      <c r="LYS241" s="1054"/>
      <c r="LYT241" s="1055"/>
      <c r="LYU241" s="1054"/>
      <c r="LYV241" s="1055"/>
      <c r="LYW241" s="1054"/>
      <c r="LYX241" s="1055"/>
      <c r="LYY241" s="1054"/>
      <c r="LYZ241" s="1055"/>
      <c r="LZA241" s="1054"/>
      <c r="LZB241" s="1055"/>
      <c r="LZC241" s="1054"/>
      <c r="LZD241" s="1055"/>
      <c r="LZE241" s="1054"/>
      <c r="LZF241" s="1055"/>
      <c r="LZG241" s="1054"/>
      <c r="LZH241" s="1055"/>
      <c r="LZI241" s="1054"/>
      <c r="LZJ241" s="1055"/>
      <c r="LZK241" s="1054"/>
      <c r="LZL241" s="1055"/>
      <c r="LZM241" s="1054"/>
      <c r="LZN241" s="1055"/>
      <c r="LZO241" s="1054"/>
      <c r="LZP241" s="1055"/>
      <c r="LZQ241" s="1054"/>
      <c r="LZR241" s="1055"/>
      <c r="LZS241" s="1054"/>
      <c r="LZT241" s="1055"/>
      <c r="LZU241" s="1054"/>
      <c r="LZV241" s="1055"/>
      <c r="LZW241" s="1054"/>
      <c r="LZX241" s="1055"/>
      <c r="LZY241" s="1054"/>
      <c r="LZZ241" s="1055"/>
      <c r="MAA241" s="1054"/>
      <c r="MAB241" s="1055"/>
      <c r="MAC241" s="1054"/>
      <c r="MAD241" s="1055"/>
      <c r="MAE241" s="1054"/>
      <c r="MAF241" s="1055"/>
      <c r="MAG241" s="1054"/>
      <c r="MAH241" s="1055"/>
      <c r="MAI241" s="1054"/>
      <c r="MAJ241" s="1055"/>
      <c r="MAK241" s="1054"/>
      <c r="MAL241" s="1055"/>
      <c r="MAM241" s="1054"/>
      <c r="MAN241" s="1055"/>
      <c r="MAO241" s="1054"/>
      <c r="MAP241" s="1055"/>
      <c r="MAQ241" s="1054"/>
      <c r="MAR241" s="1055"/>
      <c r="MAS241" s="1054"/>
      <c r="MAT241" s="1055"/>
      <c r="MAU241" s="1054"/>
      <c r="MAV241" s="1055"/>
      <c r="MAW241" s="1054"/>
      <c r="MAX241" s="1055"/>
      <c r="MAY241" s="1054"/>
      <c r="MAZ241" s="1055"/>
      <c r="MBA241" s="1054"/>
      <c r="MBB241" s="1055"/>
      <c r="MBC241" s="1054"/>
      <c r="MBD241" s="1055"/>
      <c r="MBE241" s="1054"/>
      <c r="MBF241" s="1055"/>
      <c r="MBG241" s="1054"/>
      <c r="MBH241" s="1055"/>
      <c r="MBI241" s="1054"/>
      <c r="MBJ241" s="1055"/>
      <c r="MBK241" s="1054"/>
      <c r="MBL241" s="1055"/>
      <c r="MBM241" s="1054"/>
      <c r="MBN241" s="1055"/>
      <c r="MBO241" s="1054"/>
      <c r="MBP241" s="1055"/>
      <c r="MBQ241" s="1054"/>
      <c r="MBR241" s="1055"/>
      <c r="MBS241" s="1054"/>
      <c r="MBT241" s="1055"/>
      <c r="MBU241" s="1054"/>
      <c r="MBV241" s="1055"/>
      <c r="MBW241" s="1054"/>
      <c r="MBX241" s="1055"/>
      <c r="MBY241" s="1054"/>
      <c r="MBZ241" s="1055"/>
      <c r="MCA241" s="1054"/>
      <c r="MCB241" s="1055"/>
      <c r="MCC241" s="1054"/>
      <c r="MCD241" s="1055"/>
      <c r="MCE241" s="1054"/>
      <c r="MCF241" s="1055"/>
      <c r="MCG241" s="1054"/>
      <c r="MCH241" s="1055"/>
      <c r="MCI241" s="1054"/>
      <c r="MCJ241" s="1055"/>
      <c r="MCK241" s="1054"/>
      <c r="MCL241" s="1055"/>
      <c r="MCM241" s="1054"/>
      <c r="MCN241" s="1055"/>
      <c r="MCO241" s="1054"/>
      <c r="MCP241" s="1055"/>
      <c r="MCQ241" s="1054"/>
      <c r="MCR241" s="1055"/>
      <c r="MCS241" s="1054"/>
      <c r="MCT241" s="1055"/>
      <c r="MCU241" s="1054"/>
      <c r="MCV241" s="1055"/>
      <c r="MCW241" s="1054"/>
      <c r="MCX241" s="1055"/>
      <c r="MCY241" s="1054"/>
      <c r="MCZ241" s="1055"/>
      <c r="MDA241" s="1054"/>
      <c r="MDB241" s="1055"/>
      <c r="MDC241" s="1054"/>
      <c r="MDD241" s="1055"/>
      <c r="MDE241" s="1054"/>
      <c r="MDF241" s="1055"/>
      <c r="MDG241" s="1054"/>
      <c r="MDH241" s="1055"/>
      <c r="MDI241" s="1054"/>
      <c r="MDJ241" s="1055"/>
      <c r="MDK241" s="1054"/>
      <c r="MDL241" s="1055"/>
      <c r="MDM241" s="1054"/>
      <c r="MDN241" s="1055"/>
      <c r="MDO241" s="1054"/>
      <c r="MDP241" s="1055"/>
      <c r="MDQ241" s="1054"/>
      <c r="MDR241" s="1055"/>
      <c r="MDS241" s="1054"/>
      <c r="MDT241" s="1055"/>
      <c r="MDU241" s="1054"/>
      <c r="MDV241" s="1055"/>
      <c r="MDW241" s="1054"/>
      <c r="MDX241" s="1055"/>
      <c r="MDY241" s="1054"/>
      <c r="MDZ241" s="1055"/>
      <c r="MEA241" s="1054"/>
      <c r="MEB241" s="1055"/>
      <c r="MEC241" s="1054"/>
      <c r="MED241" s="1055"/>
      <c r="MEE241" s="1054"/>
      <c r="MEF241" s="1055"/>
      <c r="MEG241" s="1054"/>
      <c r="MEH241" s="1055"/>
      <c r="MEI241" s="1054"/>
      <c r="MEJ241" s="1055"/>
      <c r="MEK241" s="1054"/>
      <c r="MEL241" s="1055"/>
      <c r="MEM241" s="1054"/>
      <c r="MEN241" s="1055"/>
      <c r="MEO241" s="1054"/>
      <c r="MEP241" s="1055"/>
      <c r="MEQ241" s="1054"/>
      <c r="MER241" s="1055"/>
      <c r="MES241" s="1054"/>
      <c r="MET241" s="1055"/>
      <c r="MEU241" s="1054"/>
      <c r="MEV241" s="1055"/>
      <c r="MEW241" s="1054"/>
      <c r="MEX241" s="1055"/>
      <c r="MEY241" s="1054"/>
      <c r="MEZ241" s="1055"/>
      <c r="MFA241" s="1054"/>
      <c r="MFB241" s="1055"/>
      <c r="MFC241" s="1054"/>
      <c r="MFD241" s="1055"/>
      <c r="MFE241" s="1054"/>
      <c r="MFF241" s="1055"/>
      <c r="MFG241" s="1054"/>
      <c r="MFH241" s="1055"/>
      <c r="MFI241" s="1054"/>
      <c r="MFJ241" s="1055"/>
      <c r="MFK241" s="1054"/>
      <c r="MFL241" s="1055"/>
      <c r="MFM241" s="1054"/>
      <c r="MFN241" s="1055"/>
      <c r="MFO241" s="1054"/>
      <c r="MFP241" s="1055"/>
      <c r="MFQ241" s="1054"/>
      <c r="MFR241" s="1055"/>
      <c r="MFS241" s="1054"/>
      <c r="MFT241" s="1055"/>
      <c r="MFU241" s="1054"/>
      <c r="MFV241" s="1055"/>
      <c r="MFW241" s="1054"/>
      <c r="MFX241" s="1055"/>
      <c r="MFY241" s="1054"/>
      <c r="MFZ241" s="1055"/>
      <c r="MGA241" s="1054"/>
      <c r="MGB241" s="1055"/>
      <c r="MGC241" s="1054"/>
      <c r="MGD241" s="1055"/>
      <c r="MGE241" s="1054"/>
      <c r="MGF241" s="1055"/>
      <c r="MGG241" s="1054"/>
      <c r="MGH241" s="1055"/>
      <c r="MGI241" s="1054"/>
      <c r="MGJ241" s="1055"/>
      <c r="MGK241" s="1054"/>
      <c r="MGL241" s="1055"/>
      <c r="MGM241" s="1054"/>
      <c r="MGN241" s="1055"/>
      <c r="MGO241" s="1054"/>
      <c r="MGP241" s="1055"/>
      <c r="MGQ241" s="1054"/>
      <c r="MGR241" s="1055"/>
      <c r="MGS241" s="1054"/>
      <c r="MGT241" s="1055"/>
      <c r="MGU241" s="1054"/>
      <c r="MGV241" s="1055"/>
      <c r="MGW241" s="1054"/>
      <c r="MGX241" s="1055"/>
      <c r="MGY241" s="1054"/>
      <c r="MGZ241" s="1055"/>
      <c r="MHA241" s="1054"/>
      <c r="MHB241" s="1055"/>
      <c r="MHC241" s="1054"/>
      <c r="MHD241" s="1055"/>
      <c r="MHE241" s="1054"/>
      <c r="MHF241" s="1055"/>
      <c r="MHG241" s="1054"/>
      <c r="MHH241" s="1055"/>
      <c r="MHI241" s="1054"/>
      <c r="MHJ241" s="1055"/>
      <c r="MHK241" s="1054"/>
      <c r="MHL241" s="1055"/>
      <c r="MHM241" s="1054"/>
      <c r="MHN241" s="1055"/>
      <c r="MHO241" s="1054"/>
      <c r="MHP241" s="1055"/>
      <c r="MHQ241" s="1054"/>
      <c r="MHR241" s="1055"/>
      <c r="MHS241" s="1054"/>
      <c r="MHT241" s="1055"/>
      <c r="MHU241" s="1054"/>
      <c r="MHV241" s="1055"/>
      <c r="MHW241" s="1054"/>
      <c r="MHX241" s="1055"/>
      <c r="MHY241" s="1054"/>
      <c r="MHZ241" s="1055"/>
      <c r="MIA241" s="1054"/>
      <c r="MIB241" s="1055"/>
      <c r="MIC241" s="1054"/>
      <c r="MID241" s="1055"/>
      <c r="MIE241" s="1054"/>
      <c r="MIF241" s="1055"/>
      <c r="MIG241" s="1054"/>
      <c r="MIH241" s="1055"/>
      <c r="MII241" s="1054"/>
      <c r="MIJ241" s="1055"/>
      <c r="MIK241" s="1054"/>
      <c r="MIL241" s="1055"/>
      <c r="MIM241" s="1054"/>
      <c r="MIN241" s="1055"/>
      <c r="MIO241" s="1054"/>
      <c r="MIP241" s="1055"/>
      <c r="MIQ241" s="1054"/>
      <c r="MIR241" s="1055"/>
      <c r="MIS241" s="1054"/>
      <c r="MIT241" s="1055"/>
      <c r="MIU241" s="1054"/>
      <c r="MIV241" s="1055"/>
      <c r="MIW241" s="1054"/>
      <c r="MIX241" s="1055"/>
      <c r="MIY241" s="1054"/>
      <c r="MIZ241" s="1055"/>
      <c r="MJA241" s="1054"/>
      <c r="MJB241" s="1055"/>
      <c r="MJC241" s="1054"/>
      <c r="MJD241" s="1055"/>
      <c r="MJE241" s="1054"/>
      <c r="MJF241" s="1055"/>
      <c r="MJG241" s="1054"/>
      <c r="MJH241" s="1055"/>
      <c r="MJI241" s="1054"/>
      <c r="MJJ241" s="1055"/>
      <c r="MJK241" s="1054"/>
      <c r="MJL241" s="1055"/>
      <c r="MJM241" s="1054"/>
      <c r="MJN241" s="1055"/>
      <c r="MJO241" s="1054"/>
      <c r="MJP241" s="1055"/>
      <c r="MJQ241" s="1054"/>
      <c r="MJR241" s="1055"/>
      <c r="MJS241" s="1054"/>
      <c r="MJT241" s="1055"/>
      <c r="MJU241" s="1054"/>
      <c r="MJV241" s="1055"/>
      <c r="MJW241" s="1054"/>
      <c r="MJX241" s="1055"/>
      <c r="MJY241" s="1054"/>
      <c r="MJZ241" s="1055"/>
      <c r="MKA241" s="1054"/>
      <c r="MKB241" s="1055"/>
      <c r="MKC241" s="1054"/>
      <c r="MKD241" s="1055"/>
      <c r="MKE241" s="1054"/>
      <c r="MKF241" s="1055"/>
      <c r="MKG241" s="1054"/>
      <c r="MKH241" s="1055"/>
      <c r="MKI241" s="1054"/>
      <c r="MKJ241" s="1055"/>
      <c r="MKK241" s="1054"/>
      <c r="MKL241" s="1055"/>
      <c r="MKM241" s="1054"/>
      <c r="MKN241" s="1055"/>
      <c r="MKO241" s="1054"/>
      <c r="MKP241" s="1055"/>
      <c r="MKQ241" s="1054"/>
      <c r="MKR241" s="1055"/>
      <c r="MKS241" s="1054"/>
      <c r="MKT241" s="1055"/>
      <c r="MKU241" s="1054"/>
      <c r="MKV241" s="1055"/>
      <c r="MKW241" s="1054"/>
      <c r="MKX241" s="1055"/>
      <c r="MKY241" s="1054"/>
      <c r="MKZ241" s="1055"/>
      <c r="MLA241" s="1054"/>
      <c r="MLB241" s="1055"/>
      <c r="MLC241" s="1054"/>
      <c r="MLD241" s="1055"/>
      <c r="MLE241" s="1054"/>
      <c r="MLF241" s="1055"/>
      <c r="MLG241" s="1054"/>
      <c r="MLH241" s="1055"/>
      <c r="MLI241" s="1054"/>
      <c r="MLJ241" s="1055"/>
      <c r="MLK241" s="1054"/>
      <c r="MLL241" s="1055"/>
      <c r="MLM241" s="1054"/>
      <c r="MLN241" s="1055"/>
      <c r="MLO241" s="1054"/>
      <c r="MLP241" s="1055"/>
      <c r="MLQ241" s="1054"/>
      <c r="MLR241" s="1055"/>
      <c r="MLS241" s="1054"/>
      <c r="MLT241" s="1055"/>
      <c r="MLU241" s="1054"/>
      <c r="MLV241" s="1055"/>
      <c r="MLW241" s="1054"/>
      <c r="MLX241" s="1055"/>
      <c r="MLY241" s="1054"/>
      <c r="MLZ241" s="1055"/>
      <c r="MMA241" s="1054"/>
      <c r="MMB241" s="1055"/>
      <c r="MMC241" s="1054"/>
      <c r="MMD241" s="1055"/>
      <c r="MME241" s="1054"/>
      <c r="MMF241" s="1055"/>
      <c r="MMG241" s="1054"/>
      <c r="MMH241" s="1055"/>
      <c r="MMI241" s="1054"/>
      <c r="MMJ241" s="1055"/>
      <c r="MMK241" s="1054"/>
      <c r="MML241" s="1055"/>
      <c r="MMM241" s="1054"/>
      <c r="MMN241" s="1055"/>
      <c r="MMO241" s="1054"/>
      <c r="MMP241" s="1055"/>
      <c r="MMQ241" s="1054"/>
      <c r="MMR241" s="1055"/>
      <c r="MMS241" s="1054"/>
      <c r="MMT241" s="1055"/>
      <c r="MMU241" s="1054"/>
      <c r="MMV241" s="1055"/>
      <c r="MMW241" s="1054"/>
      <c r="MMX241" s="1055"/>
      <c r="MMY241" s="1054"/>
      <c r="MMZ241" s="1055"/>
      <c r="MNA241" s="1054"/>
      <c r="MNB241" s="1055"/>
      <c r="MNC241" s="1054"/>
      <c r="MND241" s="1055"/>
      <c r="MNE241" s="1054"/>
      <c r="MNF241" s="1055"/>
      <c r="MNG241" s="1054"/>
      <c r="MNH241" s="1055"/>
      <c r="MNI241" s="1054"/>
      <c r="MNJ241" s="1055"/>
      <c r="MNK241" s="1054"/>
      <c r="MNL241" s="1055"/>
      <c r="MNM241" s="1054"/>
      <c r="MNN241" s="1055"/>
      <c r="MNO241" s="1054"/>
      <c r="MNP241" s="1055"/>
      <c r="MNQ241" s="1054"/>
      <c r="MNR241" s="1055"/>
      <c r="MNS241" s="1054"/>
      <c r="MNT241" s="1055"/>
      <c r="MNU241" s="1054"/>
      <c r="MNV241" s="1055"/>
      <c r="MNW241" s="1054"/>
      <c r="MNX241" s="1055"/>
      <c r="MNY241" s="1054"/>
      <c r="MNZ241" s="1055"/>
      <c r="MOA241" s="1054"/>
      <c r="MOB241" s="1055"/>
      <c r="MOC241" s="1054"/>
      <c r="MOD241" s="1055"/>
      <c r="MOE241" s="1054"/>
      <c r="MOF241" s="1055"/>
      <c r="MOG241" s="1054"/>
      <c r="MOH241" s="1055"/>
      <c r="MOI241" s="1054"/>
      <c r="MOJ241" s="1055"/>
      <c r="MOK241" s="1054"/>
      <c r="MOL241" s="1055"/>
      <c r="MOM241" s="1054"/>
      <c r="MON241" s="1055"/>
      <c r="MOO241" s="1054"/>
      <c r="MOP241" s="1055"/>
      <c r="MOQ241" s="1054"/>
      <c r="MOR241" s="1055"/>
      <c r="MOS241" s="1054"/>
      <c r="MOT241" s="1055"/>
      <c r="MOU241" s="1054"/>
      <c r="MOV241" s="1055"/>
      <c r="MOW241" s="1054"/>
      <c r="MOX241" s="1055"/>
      <c r="MOY241" s="1054"/>
      <c r="MOZ241" s="1055"/>
      <c r="MPA241" s="1054"/>
      <c r="MPB241" s="1055"/>
      <c r="MPC241" s="1054"/>
      <c r="MPD241" s="1055"/>
      <c r="MPE241" s="1054"/>
      <c r="MPF241" s="1055"/>
      <c r="MPG241" s="1054"/>
      <c r="MPH241" s="1055"/>
      <c r="MPI241" s="1054"/>
      <c r="MPJ241" s="1055"/>
      <c r="MPK241" s="1054"/>
      <c r="MPL241" s="1055"/>
      <c r="MPM241" s="1054"/>
      <c r="MPN241" s="1055"/>
      <c r="MPO241" s="1054"/>
      <c r="MPP241" s="1055"/>
      <c r="MPQ241" s="1054"/>
      <c r="MPR241" s="1055"/>
      <c r="MPS241" s="1054"/>
      <c r="MPT241" s="1055"/>
      <c r="MPU241" s="1054"/>
      <c r="MPV241" s="1055"/>
      <c r="MPW241" s="1054"/>
      <c r="MPX241" s="1055"/>
      <c r="MPY241" s="1054"/>
      <c r="MPZ241" s="1055"/>
      <c r="MQA241" s="1054"/>
      <c r="MQB241" s="1055"/>
      <c r="MQC241" s="1054"/>
      <c r="MQD241" s="1055"/>
      <c r="MQE241" s="1054"/>
      <c r="MQF241" s="1055"/>
      <c r="MQG241" s="1054"/>
      <c r="MQH241" s="1055"/>
      <c r="MQI241" s="1054"/>
      <c r="MQJ241" s="1055"/>
      <c r="MQK241" s="1054"/>
      <c r="MQL241" s="1055"/>
      <c r="MQM241" s="1054"/>
      <c r="MQN241" s="1055"/>
      <c r="MQO241" s="1054"/>
      <c r="MQP241" s="1055"/>
      <c r="MQQ241" s="1054"/>
      <c r="MQR241" s="1055"/>
      <c r="MQS241" s="1054"/>
      <c r="MQT241" s="1055"/>
      <c r="MQU241" s="1054"/>
      <c r="MQV241" s="1055"/>
      <c r="MQW241" s="1054"/>
      <c r="MQX241" s="1055"/>
      <c r="MQY241" s="1054"/>
      <c r="MQZ241" s="1055"/>
      <c r="MRA241" s="1054"/>
      <c r="MRB241" s="1055"/>
      <c r="MRC241" s="1054"/>
      <c r="MRD241" s="1055"/>
      <c r="MRE241" s="1054"/>
      <c r="MRF241" s="1055"/>
      <c r="MRG241" s="1054"/>
      <c r="MRH241" s="1055"/>
      <c r="MRI241" s="1054"/>
      <c r="MRJ241" s="1055"/>
      <c r="MRK241" s="1054"/>
      <c r="MRL241" s="1055"/>
      <c r="MRM241" s="1054"/>
      <c r="MRN241" s="1055"/>
      <c r="MRO241" s="1054"/>
      <c r="MRP241" s="1055"/>
      <c r="MRQ241" s="1054"/>
      <c r="MRR241" s="1055"/>
      <c r="MRS241" s="1054"/>
      <c r="MRT241" s="1055"/>
      <c r="MRU241" s="1054"/>
      <c r="MRV241" s="1055"/>
      <c r="MRW241" s="1054"/>
      <c r="MRX241" s="1055"/>
      <c r="MRY241" s="1054"/>
      <c r="MRZ241" s="1055"/>
      <c r="MSA241" s="1054"/>
      <c r="MSB241" s="1055"/>
      <c r="MSC241" s="1054"/>
      <c r="MSD241" s="1055"/>
      <c r="MSE241" s="1054"/>
      <c r="MSF241" s="1055"/>
      <c r="MSG241" s="1054"/>
      <c r="MSH241" s="1055"/>
      <c r="MSI241" s="1054"/>
      <c r="MSJ241" s="1055"/>
      <c r="MSK241" s="1054"/>
      <c r="MSL241" s="1055"/>
      <c r="MSM241" s="1054"/>
      <c r="MSN241" s="1055"/>
      <c r="MSO241" s="1054"/>
      <c r="MSP241" s="1055"/>
      <c r="MSQ241" s="1054"/>
      <c r="MSR241" s="1055"/>
      <c r="MSS241" s="1054"/>
      <c r="MST241" s="1055"/>
      <c r="MSU241" s="1054"/>
      <c r="MSV241" s="1055"/>
      <c r="MSW241" s="1054"/>
      <c r="MSX241" s="1055"/>
      <c r="MSY241" s="1054"/>
      <c r="MSZ241" s="1055"/>
      <c r="MTA241" s="1054"/>
      <c r="MTB241" s="1055"/>
      <c r="MTC241" s="1054"/>
      <c r="MTD241" s="1055"/>
      <c r="MTE241" s="1054"/>
      <c r="MTF241" s="1055"/>
      <c r="MTG241" s="1054"/>
      <c r="MTH241" s="1055"/>
      <c r="MTI241" s="1054"/>
      <c r="MTJ241" s="1055"/>
      <c r="MTK241" s="1054"/>
      <c r="MTL241" s="1055"/>
      <c r="MTM241" s="1054"/>
      <c r="MTN241" s="1055"/>
      <c r="MTO241" s="1054"/>
      <c r="MTP241" s="1055"/>
      <c r="MTQ241" s="1054"/>
      <c r="MTR241" s="1055"/>
      <c r="MTS241" s="1054"/>
      <c r="MTT241" s="1055"/>
      <c r="MTU241" s="1054"/>
      <c r="MTV241" s="1055"/>
      <c r="MTW241" s="1054"/>
      <c r="MTX241" s="1055"/>
      <c r="MTY241" s="1054"/>
      <c r="MTZ241" s="1055"/>
      <c r="MUA241" s="1054"/>
      <c r="MUB241" s="1055"/>
      <c r="MUC241" s="1054"/>
      <c r="MUD241" s="1055"/>
      <c r="MUE241" s="1054"/>
      <c r="MUF241" s="1055"/>
      <c r="MUG241" s="1054"/>
      <c r="MUH241" s="1055"/>
      <c r="MUI241" s="1054"/>
      <c r="MUJ241" s="1055"/>
      <c r="MUK241" s="1054"/>
      <c r="MUL241" s="1055"/>
      <c r="MUM241" s="1054"/>
      <c r="MUN241" s="1055"/>
      <c r="MUO241" s="1054"/>
      <c r="MUP241" s="1055"/>
      <c r="MUQ241" s="1054"/>
      <c r="MUR241" s="1055"/>
      <c r="MUS241" s="1054"/>
      <c r="MUT241" s="1055"/>
      <c r="MUU241" s="1054"/>
      <c r="MUV241" s="1055"/>
      <c r="MUW241" s="1054"/>
      <c r="MUX241" s="1055"/>
      <c r="MUY241" s="1054"/>
      <c r="MUZ241" s="1055"/>
      <c r="MVA241" s="1054"/>
      <c r="MVB241" s="1055"/>
      <c r="MVC241" s="1054"/>
      <c r="MVD241" s="1055"/>
      <c r="MVE241" s="1054"/>
      <c r="MVF241" s="1055"/>
      <c r="MVG241" s="1054"/>
      <c r="MVH241" s="1055"/>
      <c r="MVI241" s="1054"/>
      <c r="MVJ241" s="1055"/>
      <c r="MVK241" s="1054"/>
      <c r="MVL241" s="1055"/>
      <c r="MVM241" s="1054"/>
      <c r="MVN241" s="1055"/>
      <c r="MVO241" s="1054"/>
      <c r="MVP241" s="1055"/>
      <c r="MVQ241" s="1054"/>
      <c r="MVR241" s="1055"/>
      <c r="MVS241" s="1054"/>
      <c r="MVT241" s="1055"/>
      <c r="MVU241" s="1054"/>
      <c r="MVV241" s="1055"/>
      <c r="MVW241" s="1054"/>
      <c r="MVX241" s="1055"/>
      <c r="MVY241" s="1054"/>
      <c r="MVZ241" s="1055"/>
      <c r="MWA241" s="1054"/>
      <c r="MWB241" s="1055"/>
      <c r="MWC241" s="1054"/>
      <c r="MWD241" s="1055"/>
      <c r="MWE241" s="1054"/>
      <c r="MWF241" s="1055"/>
      <c r="MWG241" s="1054"/>
      <c r="MWH241" s="1055"/>
      <c r="MWI241" s="1054"/>
      <c r="MWJ241" s="1055"/>
      <c r="MWK241" s="1054"/>
      <c r="MWL241" s="1055"/>
      <c r="MWM241" s="1054"/>
      <c r="MWN241" s="1055"/>
      <c r="MWO241" s="1054"/>
      <c r="MWP241" s="1055"/>
      <c r="MWQ241" s="1054"/>
      <c r="MWR241" s="1055"/>
      <c r="MWS241" s="1054"/>
      <c r="MWT241" s="1055"/>
      <c r="MWU241" s="1054"/>
      <c r="MWV241" s="1055"/>
      <c r="MWW241" s="1054"/>
      <c r="MWX241" s="1055"/>
      <c r="MWY241" s="1054"/>
      <c r="MWZ241" s="1055"/>
      <c r="MXA241" s="1054"/>
      <c r="MXB241" s="1055"/>
      <c r="MXC241" s="1054"/>
      <c r="MXD241" s="1055"/>
      <c r="MXE241" s="1054"/>
      <c r="MXF241" s="1055"/>
      <c r="MXG241" s="1054"/>
      <c r="MXH241" s="1055"/>
      <c r="MXI241" s="1054"/>
      <c r="MXJ241" s="1055"/>
      <c r="MXK241" s="1054"/>
      <c r="MXL241" s="1055"/>
      <c r="MXM241" s="1054"/>
      <c r="MXN241" s="1055"/>
      <c r="MXO241" s="1054"/>
      <c r="MXP241" s="1055"/>
      <c r="MXQ241" s="1054"/>
      <c r="MXR241" s="1055"/>
      <c r="MXS241" s="1054"/>
      <c r="MXT241" s="1055"/>
      <c r="MXU241" s="1054"/>
      <c r="MXV241" s="1055"/>
      <c r="MXW241" s="1054"/>
      <c r="MXX241" s="1055"/>
      <c r="MXY241" s="1054"/>
      <c r="MXZ241" s="1055"/>
      <c r="MYA241" s="1054"/>
      <c r="MYB241" s="1055"/>
      <c r="MYC241" s="1054"/>
      <c r="MYD241" s="1055"/>
      <c r="MYE241" s="1054"/>
      <c r="MYF241" s="1055"/>
      <c r="MYG241" s="1054"/>
      <c r="MYH241" s="1055"/>
      <c r="MYI241" s="1054"/>
      <c r="MYJ241" s="1055"/>
      <c r="MYK241" s="1054"/>
      <c r="MYL241" s="1055"/>
      <c r="MYM241" s="1054"/>
      <c r="MYN241" s="1055"/>
      <c r="MYO241" s="1054"/>
      <c r="MYP241" s="1055"/>
      <c r="MYQ241" s="1054"/>
      <c r="MYR241" s="1055"/>
      <c r="MYS241" s="1054"/>
      <c r="MYT241" s="1055"/>
      <c r="MYU241" s="1054"/>
      <c r="MYV241" s="1055"/>
      <c r="MYW241" s="1054"/>
      <c r="MYX241" s="1055"/>
      <c r="MYY241" s="1054"/>
      <c r="MYZ241" s="1055"/>
      <c r="MZA241" s="1054"/>
      <c r="MZB241" s="1055"/>
      <c r="MZC241" s="1054"/>
      <c r="MZD241" s="1055"/>
      <c r="MZE241" s="1054"/>
      <c r="MZF241" s="1055"/>
      <c r="MZG241" s="1054"/>
      <c r="MZH241" s="1055"/>
      <c r="MZI241" s="1054"/>
      <c r="MZJ241" s="1055"/>
      <c r="MZK241" s="1054"/>
      <c r="MZL241" s="1055"/>
      <c r="MZM241" s="1054"/>
      <c r="MZN241" s="1055"/>
      <c r="MZO241" s="1054"/>
      <c r="MZP241" s="1055"/>
      <c r="MZQ241" s="1054"/>
      <c r="MZR241" s="1055"/>
      <c r="MZS241" s="1054"/>
      <c r="MZT241" s="1055"/>
      <c r="MZU241" s="1054"/>
      <c r="MZV241" s="1055"/>
      <c r="MZW241" s="1054"/>
      <c r="MZX241" s="1055"/>
      <c r="MZY241" s="1054"/>
      <c r="MZZ241" s="1055"/>
      <c r="NAA241" s="1054"/>
      <c r="NAB241" s="1055"/>
      <c r="NAC241" s="1054"/>
      <c r="NAD241" s="1055"/>
      <c r="NAE241" s="1054"/>
      <c r="NAF241" s="1055"/>
      <c r="NAG241" s="1054"/>
      <c r="NAH241" s="1055"/>
      <c r="NAI241" s="1054"/>
      <c r="NAJ241" s="1055"/>
      <c r="NAK241" s="1054"/>
      <c r="NAL241" s="1055"/>
      <c r="NAM241" s="1054"/>
      <c r="NAN241" s="1055"/>
      <c r="NAO241" s="1054"/>
      <c r="NAP241" s="1055"/>
      <c r="NAQ241" s="1054"/>
      <c r="NAR241" s="1055"/>
      <c r="NAS241" s="1054"/>
      <c r="NAT241" s="1055"/>
      <c r="NAU241" s="1054"/>
      <c r="NAV241" s="1055"/>
      <c r="NAW241" s="1054"/>
      <c r="NAX241" s="1055"/>
      <c r="NAY241" s="1054"/>
      <c r="NAZ241" s="1055"/>
      <c r="NBA241" s="1054"/>
      <c r="NBB241" s="1055"/>
      <c r="NBC241" s="1054"/>
      <c r="NBD241" s="1055"/>
      <c r="NBE241" s="1054"/>
      <c r="NBF241" s="1055"/>
      <c r="NBG241" s="1054"/>
      <c r="NBH241" s="1055"/>
      <c r="NBI241" s="1054"/>
      <c r="NBJ241" s="1055"/>
      <c r="NBK241" s="1054"/>
      <c r="NBL241" s="1055"/>
      <c r="NBM241" s="1054"/>
      <c r="NBN241" s="1055"/>
      <c r="NBO241" s="1054"/>
      <c r="NBP241" s="1055"/>
      <c r="NBQ241" s="1054"/>
      <c r="NBR241" s="1055"/>
      <c r="NBS241" s="1054"/>
      <c r="NBT241" s="1055"/>
      <c r="NBU241" s="1054"/>
      <c r="NBV241" s="1055"/>
      <c r="NBW241" s="1054"/>
      <c r="NBX241" s="1055"/>
      <c r="NBY241" s="1054"/>
      <c r="NBZ241" s="1055"/>
      <c r="NCA241" s="1054"/>
      <c r="NCB241" s="1055"/>
      <c r="NCC241" s="1054"/>
      <c r="NCD241" s="1055"/>
      <c r="NCE241" s="1054"/>
      <c r="NCF241" s="1055"/>
      <c r="NCG241" s="1054"/>
      <c r="NCH241" s="1055"/>
      <c r="NCI241" s="1054"/>
      <c r="NCJ241" s="1055"/>
      <c r="NCK241" s="1054"/>
      <c r="NCL241" s="1055"/>
      <c r="NCM241" s="1054"/>
      <c r="NCN241" s="1055"/>
      <c r="NCO241" s="1054"/>
      <c r="NCP241" s="1055"/>
      <c r="NCQ241" s="1054"/>
      <c r="NCR241" s="1055"/>
      <c r="NCS241" s="1054"/>
      <c r="NCT241" s="1055"/>
      <c r="NCU241" s="1054"/>
      <c r="NCV241" s="1055"/>
      <c r="NCW241" s="1054"/>
      <c r="NCX241" s="1055"/>
      <c r="NCY241" s="1054"/>
      <c r="NCZ241" s="1055"/>
      <c r="NDA241" s="1054"/>
      <c r="NDB241" s="1055"/>
      <c r="NDC241" s="1054"/>
      <c r="NDD241" s="1055"/>
      <c r="NDE241" s="1054"/>
      <c r="NDF241" s="1055"/>
      <c r="NDG241" s="1054"/>
      <c r="NDH241" s="1055"/>
      <c r="NDI241" s="1054"/>
      <c r="NDJ241" s="1055"/>
      <c r="NDK241" s="1054"/>
      <c r="NDL241" s="1055"/>
      <c r="NDM241" s="1054"/>
      <c r="NDN241" s="1055"/>
      <c r="NDO241" s="1054"/>
      <c r="NDP241" s="1055"/>
      <c r="NDQ241" s="1054"/>
      <c r="NDR241" s="1055"/>
      <c r="NDS241" s="1054"/>
      <c r="NDT241" s="1055"/>
      <c r="NDU241" s="1054"/>
      <c r="NDV241" s="1055"/>
      <c r="NDW241" s="1054"/>
      <c r="NDX241" s="1055"/>
      <c r="NDY241" s="1054"/>
      <c r="NDZ241" s="1055"/>
      <c r="NEA241" s="1054"/>
      <c r="NEB241" s="1055"/>
      <c r="NEC241" s="1054"/>
      <c r="NED241" s="1055"/>
      <c r="NEE241" s="1054"/>
      <c r="NEF241" s="1055"/>
      <c r="NEG241" s="1054"/>
      <c r="NEH241" s="1055"/>
      <c r="NEI241" s="1054"/>
      <c r="NEJ241" s="1055"/>
      <c r="NEK241" s="1054"/>
      <c r="NEL241" s="1055"/>
      <c r="NEM241" s="1054"/>
      <c r="NEN241" s="1055"/>
      <c r="NEO241" s="1054"/>
      <c r="NEP241" s="1055"/>
      <c r="NEQ241" s="1054"/>
      <c r="NER241" s="1055"/>
      <c r="NES241" s="1054"/>
      <c r="NET241" s="1055"/>
      <c r="NEU241" s="1054"/>
      <c r="NEV241" s="1055"/>
      <c r="NEW241" s="1054"/>
      <c r="NEX241" s="1055"/>
      <c r="NEY241" s="1054"/>
      <c r="NEZ241" s="1055"/>
      <c r="NFA241" s="1054"/>
      <c r="NFB241" s="1055"/>
      <c r="NFC241" s="1054"/>
      <c r="NFD241" s="1055"/>
      <c r="NFE241" s="1054"/>
      <c r="NFF241" s="1055"/>
      <c r="NFG241" s="1054"/>
      <c r="NFH241" s="1055"/>
      <c r="NFI241" s="1054"/>
      <c r="NFJ241" s="1055"/>
      <c r="NFK241" s="1054"/>
      <c r="NFL241" s="1055"/>
      <c r="NFM241" s="1054"/>
      <c r="NFN241" s="1055"/>
      <c r="NFO241" s="1054"/>
      <c r="NFP241" s="1055"/>
      <c r="NFQ241" s="1054"/>
      <c r="NFR241" s="1055"/>
      <c r="NFS241" s="1054"/>
      <c r="NFT241" s="1055"/>
      <c r="NFU241" s="1054"/>
      <c r="NFV241" s="1055"/>
      <c r="NFW241" s="1054"/>
      <c r="NFX241" s="1055"/>
      <c r="NFY241" s="1054"/>
      <c r="NFZ241" s="1055"/>
      <c r="NGA241" s="1054"/>
      <c r="NGB241" s="1055"/>
      <c r="NGC241" s="1054"/>
      <c r="NGD241" s="1055"/>
      <c r="NGE241" s="1054"/>
      <c r="NGF241" s="1055"/>
      <c r="NGG241" s="1054"/>
      <c r="NGH241" s="1055"/>
      <c r="NGI241" s="1054"/>
      <c r="NGJ241" s="1055"/>
      <c r="NGK241" s="1054"/>
      <c r="NGL241" s="1055"/>
      <c r="NGM241" s="1054"/>
      <c r="NGN241" s="1055"/>
      <c r="NGO241" s="1054"/>
      <c r="NGP241" s="1055"/>
      <c r="NGQ241" s="1054"/>
      <c r="NGR241" s="1055"/>
      <c r="NGS241" s="1054"/>
      <c r="NGT241" s="1055"/>
      <c r="NGU241" s="1054"/>
      <c r="NGV241" s="1055"/>
      <c r="NGW241" s="1054"/>
      <c r="NGX241" s="1055"/>
      <c r="NGY241" s="1054"/>
      <c r="NGZ241" s="1055"/>
      <c r="NHA241" s="1054"/>
      <c r="NHB241" s="1055"/>
      <c r="NHC241" s="1054"/>
      <c r="NHD241" s="1055"/>
      <c r="NHE241" s="1054"/>
      <c r="NHF241" s="1055"/>
      <c r="NHG241" s="1054"/>
      <c r="NHH241" s="1055"/>
      <c r="NHI241" s="1054"/>
      <c r="NHJ241" s="1055"/>
      <c r="NHK241" s="1054"/>
      <c r="NHL241" s="1055"/>
      <c r="NHM241" s="1054"/>
      <c r="NHN241" s="1055"/>
      <c r="NHO241" s="1054"/>
      <c r="NHP241" s="1055"/>
      <c r="NHQ241" s="1054"/>
      <c r="NHR241" s="1055"/>
      <c r="NHS241" s="1054"/>
      <c r="NHT241" s="1055"/>
      <c r="NHU241" s="1054"/>
      <c r="NHV241" s="1055"/>
      <c r="NHW241" s="1054"/>
      <c r="NHX241" s="1055"/>
      <c r="NHY241" s="1054"/>
      <c r="NHZ241" s="1055"/>
      <c r="NIA241" s="1054"/>
      <c r="NIB241" s="1055"/>
      <c r="NIC241" s="1054"/>
      <c r="NID241" s="1055"/>
      <c r="NIE241" s="1054"/>
      <c r="NIF241" s="1055"/>
      <c r="NIG241" s="1054"/>
      <c r="NIH241" s="1055"/>
      <c r="NII241" s="1054"/>
      <c r="NIJ241" s="1055"/>
      <c r="NIK241" s="1054"/>
      <c r="NIL241" s="1055"/>
      <c r="NIM241" s="1054"/>
      <c r="NIN241" s="1055"/>
      <c r="NIO241" s="1054"/>
      <c r="NIP241" s="1055"/>
      <c r="NIQ241" s="1054"/>
      <c r="NIR241" s="1055"/>
      <c r="NIS241" s="1054"/>
      <c r="NIT241" s="1055"/>
      <c r="NIU241" s="1054"/>
      <c r="NIV241" s="1055"/>
      <c r="NIW241" s="1054"/>
      <c r="NIX241" s="1055"/>
      <c r="NIY241" s="1054"/>
      <c r="NIZ241" s="1055"/>
      <c r="NJA241" s="1054"/>
      <c r="NJB241" s="1055"/>
      <c r="NJC241" s="1054"/>
      <c r="NJD241" s="1055"/>
      <c r="NJE241" s="1054"/>
      <c r="NJF241" s="1055"/>
      <c r="NJG241" s="1054"/>
      <c r="NJH241" s="1055"/>
      <c r="NJI241" s="1054"/>
      <c r="NJJ241" s="1055"/>
      <c r="NJK241" s="1054"/>
      <c r="NJL241" s="1055"/>
      <c r="NJM241" s="1054"/>
      <c r="NJN241" s="1055"/>
      <c r="NJO241" s="1054"/>
      <c r="NJP241" s="1055"/>
      <c r="NJQ241" s="1054"/>
      <c r="NJR241" s="1055"/>
      <c r="NJS241" s="1054"/>
      <c r="NJT241" s="1055"/>
      <c r="NJU241" s="1054"/>
      <c r="NJV241" s="1055"/>
      <c r="NJW241" s="1054"/>
      <c r="NJX241" s="1055"/>
      <c r="NJY241" s="1054"/>
      <c r="NJZ241" s="1055"/>
      <c r="NKA241" s="1054"/>
      <c r="NKB241" s="1055"/>
      <c r="NKC241" s="1054"/>
      <c r="NKD241" s="1055"/>
      <c r="NKE241" s="1054"/>
      <c r="NKF241" s="1055"/>
      <c r="NKG241" s="1054"/>
      <c r="NKH241" s="1055"/>
      <c r="NKI241" s="1054"/>
      <c r="NKJ241" s="1055"/>
      <c r="NKK241" s="1054"/>
      <c r="NKL241" s="1055"/>
      <c r="NKM241" s="1054"/>
      <c r="NKN241" s="1055"/>
      <c r="NKO241" s="1054"/>
      <c r="NKP241" s="1055"/>
      <c r="NKQ241" s="1054"/>
      <c r="NKR241" s="1055"/>
      <c r="NKS241" s="1054"/>
      <c r="NKT241" s="1055"/>
      <c r="NKU241" s="1054"/>
      <c r="NKV241" s="1055"/>
      <c r="NKW241" s="1054"/>
      <c r="NKX241" s="1055"/>
      <c r="NKY241" s="1054"/>
      <c r="NKZ241" s="1055"/>
      <c r="NLA241" s="1054"/>
      <c r="NLB241" s="1055"/>
      <c r="NLC241" s="1054"/>
      <c r="NLD241" s="1055"/>
      <c r="NLE241" s="1054"/>
      <c r="NLF241" s="1055"/>
      <c r="NLG241" s="1054"/>
      <c r="NLH241" s="1055"/>
      <c r="NLI241" s="1054"/>
      <c r="NLJ241" s="1055"/>
      <c r="NLK241" s="1054"/>
      <c r="NLL241" s="1055"/>
      <c r="NLM241" s="1054"/>
      <c r="NLN241" s="1055"/>
      <c r="NLO241" s="1054"/>
      <c r="NLP241" s="1055"/>
      <c r="NLQ241" s="1054"/>
      <c r="NLR241" s="1055"/>
      <c r="NLS241" s="1054"/>
      <c r="NLT241" s="1055"/>
      <c r="NLU241" s="1054"/>
      <c r="NLV241" s="1055"/>
      <c r="NLW241" s="1054"/>
      <c r="NLX241" s="1055"/>
      <c r="NLY241" s="1054"/>
      <c r="NLZ241" s="1055"/>
      <c r="NMA241" s="1054"/>
      <c r="NMB241" s="1055"/>
      <c r="NMC241" s="1054"/>
      <c r="NMD241" s="1055"/>
      <c r="NME241" s="1054"/>
      <c r="NMF241" s="1055"/>
      <c r="NMG241" s="1054"/>
      <c r="NMH241" s="1055"/>
      <c r="NMI241" s="1054"/>
      <c r="NMJ241" s="1055"/>
      <c r="NMK241" s="1054"/>
      <c r="NML241" s="1055"/>
      <c r="NMM241" s="1054"/>
      <c r="NMN241" s="1055"/>
      <c r="NMO241" s="1054"/>
      <c r="NMP241" s="1055"/>
      <c r="NMQ241" s="1054"/>
      <c r="NMR241" s="1055"/>
      <c r="NMS241" s="1054"/>
      <c r="NMT241" s="1055"/>
      <c r="NMU241" s="1054"/>
      <c r="NMV241" s="1055"/>
      <c r="NMW241" s="1054"/>
      <c r="NMX241" s="1055"/>
      <c r="NMY241" s="1054"/>
      <c r="NMZ241" s="1055"/>
      <c r="NNA241" s="1054"/>
      <c r="NNB241" s="1055"/>
      <c r="NNC241" s="1054"/>
      <c r="NND241" s="1055"/>
      <c r="NNE241" s="1054"/>
      <c r="NNF241" s="1055"/>
      <c r="NNG241" s="1054"/>
      <c r="NNH241" s="1055"/>
      <c r="NNI241" s="1054"/>
      <c r="NNJ241" s="1055"/>
      <c r="NNK241" s="1054"/>
      <c r="NNL241" s="1055"/>
      <c r="NNM241" s="1054"/>
      <c r="NNN241" s="1055"/>
      <c r="NNO241" s="1054"/>
      <c r="NNP241" s="1055"/>
      <c r="NNQ241" s="1054"/>
      <c r="NNR241" s="1055"/>
      <c r="NNS241" s="1054"/>
      <c r="NNT241" s="1055"/>
      <c r="NNU241" s="1054"/>
      <c r="NNV241" s="1055"/>
      <c r="NNW241" s="1054"/>
      <c r="NNX241" s="1055"/>
      <c r="NNY241" s="1054"/>
      <c r="NNZ241" s="1055"/>
      <c r="NOA241" s="1054"/>
      <c r="NOB241" s="1055"/>
      <c r="NOC241" s="1054"/>
      <c r="NOD241" s="1055"/>
      <c r="NOE241" s="1054"/>
      <c r="NOF241" s="1055"/>
      <c r="NOG241" s="1054"/>
      <c r="NOH241" s="1055"/>
      <c r="NOI241" s="1054"/>
      <c r="NOJ241" s="1055"/>
      <c r="NOK241" s="1054"/>
      <c r="NOL241" s="1055"/>
      <c r="NOM241" s="1054"/>
      <c r="NON241" s="1055"/>
      <c r="NOO241" s="1054"/>
      <c r="NOP241" s="1055"/>
      <c r="NOQ241" s="1054"/>
      <c r="NOR241" s="1055"/>
      <c r="NOS241" s="1054"/>
      <c r="NOT241" s="1055"/>
      <c r="NOU241" s="1054"/>
      <c r="NOV241" s="1055"/>
      <c r="NOW241" s="1054"/>
      <c r="NOX241" s="1055"/>
      <c r="NOY241" s="1054"/>
      <c r="NOZ241" s="1055"/>
      <c r="NPA241" s="1054"/>
      <c r="NPB241" s="1055"/>
      <c r="NPC241" s="1054"/>
      <c r="NPD241" s="1055"/>
      <c r="NPE241" s="1054"/>
      <c r="NPF241" s="1055"/>
      <c r="NPG241" s="1054"/>
      <c r="NPH241" s="1055"/>
      <c r="NPI241" s="1054"/>
      <c r="NPJ241" s="1055"/>
      <c r="NPK241" s="1054"/>
      <c r="NPL241" s="1055"/>
      <c r="NPM241" s="1054"/>
      <c r="NPN241" s="1055"/>
      <c r="NPO241" s="1054"/>
      <c r="NPP241" s="1055"/>
      <c r="NPQ241" s="1054"/>
      <c r="NPR241" s="1055"/>
      <c r="NPS241" s="1054"/>
      <c r="NPT241" s="1055"/>
      <c r="NPU241" s="1054"/>
      <c r="NPV241" s="1055"/>
      <c r="NPW241" s="1054"/>
      <c r="NPX241" s="1055"/>
      <c r="NPY241" s="1054"/>
      <c r="NPZ241" s="1055"/>
      <c r="NQA241" s="1054"/>
      <c r="NQB241" s="1055"/>
      <c r="NQC241" s="1054"/>
      <c r="NQD241" s="1055"/>
      <c r="NQE241" s="1054"/>
      <c r="NQF241" s="1055"/>
      <c r="NQG241" s="1054"/>
      <c r="NQH241" s="1055"/>
      <c r="NQI241" s="1054"/>
      <c r="NQJ241" s="1055"/>
      <c r="NQK241" s="1054"/>
      <c r="NQL241" s="1055"/>
      <c r="NQM241" s="1054"/>
      <c r="NQN241" s="1055"/>
      <c r="NQO241" s="1054"/>
      <c r="NQP241" s="1055"/>
      <c r="NQQ241" s="1054"/>
      <c r="NQR241" s="1055"/>
      <c r="NQS241" s="1054"/>
      <c r="NQT241" s="1055"/>
      <c r="NQU241" s="1054"/>
      <c r="NQV241" s="1055"/>
      <c r="NQW241" s="1054"/>
      <c r="NQX241" s="1055"/>
      <c r="NQY241" s="1054"/>
      <c r="NQZ241" s="1055"/>
      <c r="NRA241" s="1054"/>
      <c r="NRB241" s="1055"/>
      <c r="NRC241" s="1054"/>
      <c r="NRD241" s="1055"/>
      <c r="NRE241" s="1054"/>
      <c r="NRF241" s="1055"/>
      <c r="NRG241" s="1054"/>
      <c r="NRH241" s="1055"/>
      <c r="NRI241" s="1054"/>
      <c r="NRJ241" s="1055"/>
      <c r="NRK241" s="1054"/>
      <c r="NRL241" s="1055"/>
      <c r="NRM241" s="1054"/>
      <c r="NRN241" s="1055"/>
      <c r="NRO241" s="1054"/>
      <c r="NRP241" s="1055"/>
      <c r="NRQ241" s="1054"/>
      <c r="NRR241" s="1055"/>
      <c r="NRS241" s="1054"/>
      <c r="NRT241" s="1055"/>
      <c r="NRU241" s="1054"/>
      <c r="NRV241" s="1055"/>
      <c r="NRW241" s="1054"/>
      <c r="NRX241" s="1055"/>
      <c r="NRY241" s="1054"/>
      <c r="NRZ241" s="1055"/>
      <c r="NSA241" s="1054"/>
      <c r="NSB241" s="1055"/>
      <c r="NSC241" s="1054"/>
      <c r="NSD241" s="1055"/>
      <c r="NSE241" s="1054"/>
      <c r="NSF241" s="1055"/>
      <c r="NSG241" s="1054"/>
      <c r="NSH241" s="1055"/>
      <c r="NSI241" s="1054"/>
      <c r="NSJ241" s="1055"/>
      <c r="NSK241" s="1054"/>
      <c r="NSL241" s="1055"/>
      <c r="NSM241" s="1054"/>
      <c r="NSN241" s="1055"/>
      <c r="NSO241" s="1054"/>
      <c r="NSP241" s="1055"/>
      <c r="NSQ241" s="1054"/>
      <c r="NSR241" s="1055"/>
      <c r="NSS241" s="1054"/>
      <c r="NST241" s="1055"/>
      <c r="NSU241" s="1054"/>
      <c r="NSV241" s="1055"/>
      <c r="NSW241" s="1054"/>
      <c r="NSX241" s="1055"/>
      <c r="NSY241" s="1054"/>
      <c r="NSZ241" s="1055"/>
      <c r="NTA241" s="1054"/>
      <c r="NTB241" s="1055"/>
      <c r="NTC241" s="1054"/>
      <c r="NTD241" s="1055"/>
      <c r="NTE241" s="1054"/>
      <c r="NTF241" s="1055"/>
      <c r="NTG241" s="1054"/>
      <c r="NTH241" s="1055"/>
      <c r="NTI241" s="1054"/>
      <c r="NTJ241" s="1055"/>
      <c r="NTK241" s="1054"/>
      <c r="NTL241" s="1055"/>
      <c r="NTM241" s="1054"/>
      <c r="NTN241" s="1055"/>
      <c r="NTO241" s="1054"/>
      <c r="NTP241" s="1055"/>
      <c r="NTQ241" s="1054"/>
      <c r="NTR241" s="1055"/>
      <c r="NTS241" s="1054"/>
      <c r="NTT241" s="1055"/>
      <c r="NTU241" s="1054"/>
      <c r="NTV241" s="1055"/>
      <c r="NTW241" s="1054"/>
      <c r="NTX241" s="1055"/>
      <c r="NTY241" s="1054"/>
      <c r="NTZ241" s="1055"/>
      <c r="NUA241" s="1054"/>
      <c r="NUB241" s="1055"/>
      <c r="NUC241" s="1054"/>
      <c r="NUD241" s="1055"/>
      <c r="NUE241" s="1054"/>
      <c r="NUF241" s="1055"/>
      <c r="NUG241" s="1054"/>
      <c r="NUH241" s="1055"/>
      <c r="NUI241" s="1054"/>
      <c r="NUJ241" s="1055"/>
      <c r="NUK241" s="1054"/>
      <c r="NUL241" s="1055"/>
      <c r="NUM241" s="1054"/>
      <c r="NUN241" s="1055"/>
      <c r="NUO241" s="1054"/>
      <c r="NUP241" s="1055"/>
      <c r="NUQ241" s="1054"/>
      <c r="NUR241" s="1055"/>
      <c r="NUS241" s="1054"/>
      <c r="NUT241" s="1055"/>
      <c r="NUU241" s="1054"/>
      <c r="NUV241" s="1055"/>
      <c r="NUW241" s="1054"/>
      <c r="NUX241" s="1055"/>
      <c r="NUY241" s="1054"/>
      <c r="NUZ241" s="1055"/>
      <c r="NVA241" s="1054"/>
      <c r="NVB241" s="1055"/>
      <c r="NVC241" s="1054"/>
      <c r="NVD241" s="1055"/>
      <c r="NVE241" s="1054"/>
      <c r="NVF241" s="1055"/>
      <c r="NVG241" s="1054"/>
      <c r="NVH241" s="1055"/>
      <c r="NVI241" s="1054"/>
      <c r="NVJ241" s="1055"/>
      <c r="NVK241" s="1054"/>
      <c r="NVL241" s="1055"/>
      <c r="NVM241" s="1054"/>
      <c r="NVN241" s="1055"/>
      <c r="NVO241" s="1054"/>
      <c r="NVP241" s="1055"/>
      <c r="NVQ241" s="1054"/>
      <c r="NVR241" s="1055"/>
      <c r="NVS241" s="1054"/>
      <c r="NVT241" s="1055"/>
      <c r="NVU241" s="1054"/>
      <c r="NVV241" s="1055"/>
      <c r="NVW241" s="1054"/>
      <c r="NVX241" s="1055"/>
      <c r="NVY241" s="1054"/>
      <c r="NVZ241" s="1055"/>
      <c r="NWA241" s="1054"/>
      <c r="NWB241" s="1055"/>
      <c r="NWC241" s="1054"/>
      <c r="NWD241" s="1055"/>
      <c r="NWE241" s="1054"/>
      <c r="NWF241" s="1055"/>
      <c r="NWG241" s="1054"/>
      <c r="NWH241" s="1055"/>
      <c r="NWI241" s="1054"/>
      <c r="NWJ241" s="1055"/>
      <c r="NWK241" s="1054"/>
      <c r="NWL241" s="1055"/>
      <c r="NWM241" s="1054"/>
      <c r="NWN241" s="1055"/>
      <c r="NWO241" s="1054"/>
      <c r="NWP241" s="1055"/>
      <c r="NWQ241" s="1054"/>
      <c r="NWR241" s="1055"/>
      <c r="NWS241" s="1054"/>
      <c r="NWT241" s="1055"/>
      <c r="NWU241" s="1054"/>
      <c r="NWV241" s="1055"/>
      <c r="NWW241" s="1054"/>
      <c r="NWX241" s="1055"/>
      <c r="NWY241" s="1054"/>
      <c r="NWZ241" s="1055"/>
      <c r="NXA241" s="1054"/>
      <c r="NXB241" s="1055"/>
      <c r="NXC241" s="1054"/>
      <c r="NXD241" s="1055"/>
      <c r="NXE241" s="1054"/>
      <c r="NXF241" s="1055"/>
      <c r="NXG241" s="1054"/>
      <c r="NXH241" s="1055"/>
      <c r="NXI241" s="1054"/>
      <c r="NXJ241" s="1055"/>
      <c r="NXK241" s="1054"/>
      <c r="NXL241" s="1055"/>
      <c r="NXM241" s="1054"/>
      <c r="NXN241" s="1055"/>
      <c r="NXO241" s="1054"/>
      <c r="NXP241" s="1055"/>
      <c r="NXQ241" s="1054"/>
      <c r="NXR241" s="1055"/>
      <c r="NXS241" s="1054"/>
      <c r="NXT241" s="1055"/>
      <c r="NXU241" s="1054"/>
      <c r="NXV241" s="1055"/>
      <c r="NXW241" s="1054"/>
      <c r="NXX241" s="1055"/>
      <c r="NXY241" s="1054"/>
      <c r="NXZ241" s="1055"/>
      <c r="NYA241" s="1054"/>
      <c r="NYB241" s="1055"/>
      <c r="NYC241" s="1054"/>
      <c r="NYD241" s="1055"/>
      <c r="NYE241" s="1054"/>
      <c r="NYF241" s="1055"/>
      <c r="NYG241" s="1054"/>
      <c r="NYH241" s="1055"/>
      <c r="NYI241" s="1054"/>
      <c r="NYJ241" s="1055"/>
      <c r="NYK241" s="1054"/>
      <c r="NYL241" s="1055"/>
      <c r="NYM241" s="1054"/>
      <c r="NYN241" s="1055"/>
      <c r="NYO241" s="1054"/>
      <c r="NYP241" s="1055"/>
      <c r="NYQ241" s="1054"/>
      <c r="NYR241" s="1055"/>
      <c r="NYS241" s="1054"/>
      <c r="NYT241" s="1055"/>
      <c r="NYU241" s="1054"/>
      <c r="NYV241" s="1055"/>
      <c r="NYW241" s="1054"/>
      <c r="NYX241" s="1055"/>
      <c r="NYY241" s="1054"/>
      <c r="NYZ241" s="1055"/>
      <c r="NZA241" s="1054"/>
      <c r="NZB241" s="1055"/>
      <c r="NZC241" s="1054"/>
      <c r="NZD241" s="1055"/>
      <c r="NZE241" s="1054"/>
      <c r="NZF241" s="1055"/>
      <c r="NZG241" s="1054"/>
      <c r="NZH241" s="1055"/>
      <c r="NZI241" s="1054"/>
      <c r="NZJ241" s="1055"/>
      <c r="NZK241" s="1054"/>
      <c r="NZL241" s="1055"/>
      <c r="NZM241" s="1054"/>
      <c r="NZN241" s="1055"/>
      <c r="NZO241" s="1054"/>
      <c r="NZP241" s="1055"/>
      <c r="NZQ241" s="1054"/>
      <c r="NZR241" s="1055"/>
      <c r="NZS241" s="1054"/>
      <c r="NZT241" s="1055"/>
      <c r="NZU241" s="1054"/>
      <c r="NZV241" s="1055"/>
      <c r="NZW241" s="1054"/>
      <c r="NZX241" s="1055"/>
      <c r="NZY241" s="1054"/>
      <c r="NZZ241" s="1055"/>
      <c r="OAA241" s="1054"/>
      <c r="OAB241" s="1055"/>
      <c r="OAC241" s="1054"/>
      <c r="OAD241" s="1055"/>
      <c r="OAE241" s="1054"/>
      <c r="OAF241" s="1055"/>
      <c r="OAG241" s="1054"/>
      <c r="OAH241" s="1055"/>
      <c r="OAI241" s="1054"/>
      <c r="OAJ241" s="1055"/>
      <c r="OAK241" s="1054"/>
      <c r="OAL241" s="1055"/>
      <c r="OAM241" s="1054"/>
      <c r="OAN241" s="1055"/>
      <c r="OAO241" s="1054"/>
      <c r="OAP241" s="1055"/>
      <c r="OAQ241" s="1054"/>
      <c r="OAR241" s="1055"/>
      <c r="OAS241" s="1054"/>
      <c r="OAT241" s="1055"/>
      <c r="OAU241" s="1054"/>
      <c r="OAV241" s="1055"/>
      <c r="OAW241" s="1054"/>
      <c r="OAX241" s="1055"/>
      <c r="OAY241" s="1054"/>
      <c r="OAZ241" s="1055"/>
      <c r="OBA241" s="1054"/>
      <c r="OBB241" s="1055"/>
      <c r="OBC241" s="1054"/>
      <c r="OBD241" s="1055"/>
      <c r="OBE241" s="1054"/>
      <c r="OBF241" s="1055"/>
      <c r="OBG241" s="1054"/>
      <c r="OBH241" s="1055"/>
      <c r="OBI241" s="1054"/>
      <c r="OBJ241" s="1055"/>
      <c r="OBK241" s="1054"/>
      <c r="OBL241" s="1055"/>
      <c r="OBM241" s="1054"/>
      <c r="OBN241" s="1055"/>
      <c r="OBO241" s="1054"/>
      <c r="OBP241" s="1055"/>
      <c r="OBQ241" s="1054"/>
      <c r="OBR241" s="1055"/>
      <c r="OBS241" s="1054"/>
      <c r="OBT241" s="1055"/>
      <c r="OBU241" s="1054"/>
      <c r="OBV241" s="1055"/>
      <c r="OBW241" s="1054"/>
      <c r="OBX241" s="1055"/>
      <c r="OBY241" s="1054"/>
      <c r="OBZ241" s="1055"/>
      <c r="OCA241" s="1054"/>
      <c r="OCB241" s="1055"/>
      <c r="OCC241" s="1054"/>
      <c r="OCD241" s="1055"/>
      <c r="OCE241" s="1054"/>
      <c r="OCF241" s="1055"/>
      <c r="OCG241" s="1054"/>
      <c r="OCH241" s="1055"/>
      <c r="OCI241" s="1054"/>
      <c r="OCJ241" s="1055"/>
      <c r="OCK241" s="1054"/>
      <c r="OCL241" s="1055"/>
      <c r="OCM241" s="1054"/>
      <c r="OCN241" s="1055"/>
      <c r="OCO241" s="1054"/>
      <c r="OCP241" s="1055"/>
      <c r="OCQ241" s="1054"/>
      <c r="OCR241" s="1055"/>
      <c r="OCS241" s="1054"/>
      <c r="OCT241" s="1055"/>
      <c r="OCU241" s="1054"/>
      <c r="OCV241" s="1055"/>
      <c r="OCW241" s="1054"/>
      <c r="OCX241" s="1055"/>
      <c r="OCY241" s="1054"/>
      <c r="OCZ241" s="1055"/>
      <c r="ODA241" s="1054"/>
      <c r="ODB241" s="1055"/>
      <c r="ODC241" s="1054"/>
      <c r="ODD241" s="1055"/>
      <c r="ODE241" s="1054"/>
      <c r="ODF241" s="1055"/>
      <c r="ODG241" s="1054"/>
      <c r="ODH241" s="1055"/>
      <c r="ODI241" s="1054"/>
      <c r="ODJ241" s="1055"/>
      <c r="ODK241" s="1054"/>
      <c r="ODL241" s="1055"/>
      <c r="ODM241" s="1054"/>
      <c r="ODN241" s="1055"/>
      <c r="ODO241" s="1054"/>
      <c r="ODP241" s="1055"/>
      <c r="ODQ241" s="1054"/>
      <c r="ODR241" s="1055"/>
      <c r="ODS241" s="1054"/>
      <c r="ODT241" s="1055"/>
      <c r="ODU241" s="1054"/>
      <c r="ODV241" s="1055"/>
      <c r="ODW241" s="1054"/>
      <c r="ODX241" s="1055"/>
      <c r="ODY241" s="1054"/>
      <c r="ODZ241" s="1055"/>
      <c r="OEA241" s="1054"/>
      <c r="OEB241" s="1055"/>
      <c r="OEC241" s="1054"/>
      <c r="OED241" s="1055"/>
      <c r="OEE241" s="1054"/>
      <c r="OEF241" s="1055"/>
      <c r="OEG241" s="1054"/>
      <c r="OEH241" s="1055"/>
      <c r="OEI241" s="1054"/>
      <c r="OEJ241" s="1055"/>
      <c r="OEK241" s="1054"/>
      <c r="OEL241" s="1055"/>
      <c r="OEM241" s="1054"/>
      <c r="OEN241" s="1055"/>
      <c r="OEO241" s="1054"/>
      <c r="OEP241" s="1055"/>
      <c r="OEQ241" s="1054"/>
      <c r="OER241" s="1055"/>
      <c r="OES241" s="1054"/>
      <c r="OET241" s="1055"/>
      <c r="OEU241" s="1054"/>
      <c r="OEV241" s="1055"/>
      <c r="OEW241" s="1054"/>
      <c r="OEX241" s="1055"/>
      <c r="OEY241" s="1054"/>
      <c r="OEZ241" s="1055"/>
      <c r="OFA241" s="1054"/>
      <c r="OFB241" s="1055"/>
      <c r="OFC241" s="1054"/>
      <c r="OFD241" s="1055"/>
      <c r="OFE241" s="1054"/>
      <c r="OFF241" s="1055"/>
      <c r="OFG241" s="1054"/>
      <c r="OFH241" s="1055"/>
      <c r="OFI241" s="1054"/>
      <c r="OFJ241" s="1055"/>
      <c r="OFK241" s="1054"/>
      <c r="OFL241" s="1055"/>
      <c r="OFM241" s="1054"/>
      <c r="OFN241" s="1055"/>
      <c r="OFO241" s="1054"/>
      <c r="OFP241" s="1055"/>
      <c r="OFQ241" s="1054"/>
      <c r="OFR241" s="1055"/>
      <c r="OFS241" s="1054"/>
      <c r="OFT241" s="1055"/>
      <c r="OFU241" s="1054"/>
      <c r="OFV241" s="1055"/>
      <c r="OFW241" s="1054"/>
      <c r="OFX241" s="1055"/>
      <c r="OFY241" s="1054"/>
      <c r="OFZ241" s="1055"/>
      <c r="OGA241" s="1054"/>
      <c r="OGB241" s="1055"/>
      <c r="OGC241" s="1054"/>
      <c r="OGD241" s="1055"/>
      <c r="OGE241" s="1054"/>
      <c r="OGF241" s="1055"/>
      <c r="OGG241" s="1054"/>
      <c r="OGH241" s="1055"/>
      <c r="OGI241" s="1054"/>
      <c r="OGJ241" s="1055"/>
      <c r="OGK241" s="1054"/>
      <c r="OGL241" s="1055"/>
      <c r="OGM241" s="1054"/>
      <c r="OGN241" s="1055"/>
      <c r="OGO241" s="1054"/>
      <c r="OGP241" s="1055"/>
      <c r="OGQ241" s="1054"/>
      <c r="OGR241" s="1055"/>
      <c r="OGS241" s="1054"/>
      <c r="OGT241" s="1055"/>
      <c r="OGU241" s="1054"/>
      <c r="OGV241" s="1055"/>
      <c r="OGW241" s="1054"/>
      <c r="OGX241" s="1055"/>
      <c r="OGY241" s="1054"/>
      <c r="OGZ241" s="1055"/>
      <c r="OHA241" s="1054"/>
      <c r="OHB241" s="1055"/>
      <c r="OHC241" s="1054"/>
      <c r="OHD241" s="1055"/>
      <c r="OHE241" s="1054"/>
      <c r="OHF241" s="1055"/>
      <c r="OHG241" s="1054"/>
      <c r="OHH241" s="1055"/>
      <c r="OHI241" s="1054"/>
      <c r="OHJ241" s="1055"/>
      <c r="OHK241" s="1054"/>
      <c r="OHL241" s="1055"/>
      <c r="OHM241" s="1054"/>
      <c r="OHN241" s="1055"/>
      <c r="OHO241" s="1054"/>
      <c r="OHP241" s="1055"/>
      <c r="OHQ241" s="1054"/>
      <c r="OHR241" s="1055"/>
      <c r="OHS241" s="1054"/>
      <c r="OHT241" s="1055"/>
      <c r="OHU241" s="1054"/>
      <c r="OHV241" s="1055"/>
      <c r="OHW241" s="1054"/>
      <c r="OHX241" s="1055"/>
      <c r="OHY241" s="1054"/>
      <c r="OHZ241" s="1055"/>
      <c r="OIA241" s="1054"/>
      <c r="OIB241" s="1055"/>
      <c r="OIC241" s="1054"/>
      <c r="OID241" s="1055"/>
      <c r="OIE241" s="1054"/>
      <c r="OIF241" s="1055"/>
      <c r="OIG241" s="1054"/>
      <c r="OIH241" s="1055"/>
      <c r="OII241" s="1054"/>
      <c r="OIJ241" s="1055"/>
      <c r="OIK241" s="1054"/>
      <c r="OIL241" s="1055"/>
      <c r="OIM241" s="1054"/>
      <c r="OIN241" s="1055"/>
      <c r="OIO241" s="1054"/>
      <c r="OIP241" s="1055"/>
      <c r="OIQ241" s="1054"/>
      <c r="OIR241" s="1055"/>
      <c r="OIS241" s="1054"/>
      <c r="OIT241" s="1055"/>
      <c r="OIU241" s="1054"/>
      <c r="OIV241" s="1055"/>
      <c r="OIW241" s="1054"/>
      <c r="OIX241" s="1055"/>
      <c r="OIY241" s="1054"/>
      <c r="OIZ241" s="1055"/>
      <c r="OJA241" s="1054"/>
      <c r="OJB241" s="1055"/>
      <c r="OJC241" s="1054"/>
      <c r="OJD241" s="1055"/>
      <c r="OJE241" s="1054"/>
      <c r="OJF241" s="1055"/>
      <c r="OJG241" s="1054"/>
      <c r="OJH241" s="1055"/>
      <c r="OJI241" s="1054"/>
      <c r="OJJ241" s="1055"/>
      <c r="OJK241" s="1054"/>
      <c r="OJL241" s="1055"/>
      <c r="OJM241" s="1054"/>
      <c r="OJN241" s="1055"/>
      <c r="OJO241" s="1054"/>
      <c r="OJP241" s="1055"/>
      <c r="OJQ241" s="1054"/>
      <c r="OJR241" s="1055"/>
      <c r="OJS241" s="1054"/>
      <c r="OJT241" s="1055"/>
      <c r="OJU241" s="1054"/>
      <c r="OJV241" s="1055"/>
      <c r="OJW241" s="1054"/>
      <c r="OJX241" s="1055"/>
      <c r="OJY241" s="1054"/>
      <c r="OJZ241" s="1055"/>
      <c r="OKA241" s="1054"/>
      <c r="OKB241" s="1055"/>
      <c r="OKC241" s="1054"/>
      <c r="OKD241" s="1055"/>
      <c r="OKE241" s="1054"/>
      <c r="OKF241" s="1055"/>
      <c r="OKG241" s="1054"/>
      <c r="OKH241" s="1055"/>
      <c r="OKI241" s="1054"/>
      <c r="OKJ241" s="1055"/>
      <c r="OKK241" s="1054"/>
      <c r="OKL241" s="1055"/>
      <c r="OKM241" s="1054"/>
      <c r="OKN241" s="1055"/>
      <c r="OKO241" s="1054"/>
      <c r="OKP241" s="1055"/>
      <c r="OKQ241" s="1054"/>
      <c r="OKR241" s="1055"/>
      <c r="OKS241" s="1054"/>
      <c r="OKT241" s="1055"/>
      <c r="OKU241" s="1054"/>
      <c r="OKV241" s="1055"/>
      <c r="OKW241" s="1054"/>
      <c r="OKX241" s="1055"/>
      <c r="OKY241" s="1054"/>
      <c r="OKZ241" s="1055"/>
      <c r="OLA241" s="1054"/>
      <c r="OLB241" s="1055"/>
      <c r="OLC241" s="1054"/>
      <c r="OLD241" s="1055"/>
      <c r="OLE241" s="1054"/>
      <c r="OLF241" s="1055"/>
      <c r="OLG241" s="1054"/>
      <c r="OLH241" s="1055"/>
      <c r="OLI241" s="1054"/>
      <c r="OLJ241" s="1055"/>
      <c r="OLK241" s="1054"/>
      <c r="OLL241" s="1055"/>
      <c r="OLM241" s="1054"/>
      <c r="OLN241" s="1055"/>
      <c r="OLO241" s="1054"/>
      <c r="OLP241" s="1055"/>
      <c r="OLQ241" s="1054"/>
      <c r="OLR241" s="1055"/>
      <c r="OLS241" s="1054"/>
      <c r="OLT241" s="1055"/>
      <c r="OLU241" s="1054"/>
      <c r="OLV241" s="1055"/>
      <c r="OLW241" s="1054"/>
      <c r="OLX241" s="1055"/>
      <c r="OLY241" s="1054"/>
      <c r="OLZ241" s="1055"/>
      <c r="OMA241" s="1054"/>
      <c r="OMB241" s="1055"/>
      <c r="OMC241" s="1054"/>
      <c r="OMD241" s="1055"/>
      <c r="OME241" s="1054"/>
      <c r="OMF241" s="1055"/>
      <c r="OMG241" s="1054"/>
      <c r="OMH241" s="1055"/>
      <c r="OMI241" s="1054"/>
      <c r="OMJ241" s="1055"/>
      <c r="OMK241" s="1054"/>
      <c r="OML241" s="1055"/>
      <c r="OMM241" s="1054"/>
      <c r="OMN241" s="1055"/>
      <c r="OMO241" s="1054"/>
      <c r="OMP241" s="1055"/>
      <c r="OMQ241" s="1054"/>
      <c r="OMR241" s="1055"/>
      <c r="OMS241" s="1054"/>
      <c r="OMT241" s="1055"/>
      <c r="OMU241" s="1054"/>
      <c r="OMV241" s="1055"/>
      <c r="OMW241" s="1054"/>
      <c r="OMX241" s="1055"/>
      <c r="OMY241" s="1054"/>
      <c r="OMZ241" s="1055"/>
      <c r="ONA241" s="1054"/>
      <c r="ONB241" s="1055"/>
      <c r="ONC241" s="1054"/>
      <c r="OND241" s="1055"/>
      <c r="ONE241" s="1054"/>
      <c r="ONF241" s="1055"/>
      <c r="ONG241" s="1054"/>
      <c r="ONH241" s="1055"/>
      <c r="ONI241" s="1054"/>
      <c r="ONJ241" s="1055"/>
      <c r="ONK241" s="1054"/>
      <c r="ONL241" s="1055"/>
      <c r="ONM241" s="1054"/>
      <c r="ONN241" s="1055"/>
      <c r="ONO241" s="1054"/>
      <c r="ONP241" s="1055"/>
      <c r="ONQ241" s="1054"/>
      <c r="ONR241" s="1055"/>
      <c r="ONS241" s="1054"/>
      <c r="ONT241" s="1055"/>
      <c r="ONU241" s="1054"/>
      <c r="ONV241" s="1055"/>
      <c r="ONW241" s="1054"/>
      <c r="ONX241" s="1055"/>
      <c r="ONY241" s="1054"/>
      <c r="ONZ241" s="1055"/>
      <c r="OOA241" s="1054"/>
      <c r="OOB241" s="1055"/>
      <c r="OOC241" s="1054"/>
      <c r="OOD241" s="1055"/>
      <c r="OOE241" s="1054"/>
      <c r="OOF241" s="1055"/>
      <c r="OOG241" s="1054"/>
      <c r="OOH241" s="1055"/>
      <c r="OOI241" s="1054"/>
      <c r="OOJ241" s="1055"/>
      <c r="OOK241" s="1054"/>
      <c r="OOL241" s="1055"/>
      <c r="OOM241" s="1054"/>
      <c r="OON241" s="1055"/>
      <c r="OOO241" s="1054"/>
      <c r="OOP241" s="1055"/>
      <c r="OOQ241" s="1054"/>
      <c r="OOR241" s="1055"/>
      <c r="OOS241" s="1054"/>
      <c r="OOT241" s="1055"/>
      <c r="OOU241" s="1054"/>
      <c r="OOV241" s="1055"/>
      <c r="OOW241" s="1054"/>
      <c r="OOX241" s="1055"/>
      <c r="OOY241" s="1054"/>
      <c r="OOZ241" s="1055"/>
      <c r="OPA241" s="1054"/>
      <c r="OPB241" s="1055"/>
      <c r="OPC241" s="1054"/>
      <c r="OPD241" s="1055"/>
      <c r="OPE241" s="1054"/>
      <c r="OPF241" s="1055"/>
      <c r="OPG241" s="1054"/>
      <c r="OPH241" s="1055"/>
      <c r="OPI241" s="1054"/>
      <c r="OPJ241" s="1055"/>
      <c r="OPK241" s="1054"/>
      <c r="OPL241" s="1055"/>
      <c r="OPM241" s="1054"/>
      <c r="OPN241" s="1055"/>
      <c r="OPO241" s="1054"/>
      <c r="OPP241" s="1055"/>
      <c r="OPQ241" s="1054"/>
      <c r="OPR241" s="1055"/>
      <c r="OPS241" s="1054"/>
      <c r="OPT241" s="1055"/>
      <c r="OPU241" s="1054"/>
      <c r="OPV241" s="1055"/>
      <c r="OPW241" s="1054"/>
      <c r="OPX241" s="1055"/>
      <c r="OPY241" s="1054"/>
      <c r="OPZ241" s="1055"/>
      <c r="OQA241" s="1054"/>
      <c r="OQB241" s="1055"/>
      <c r="OQC241" s="1054"/>
      <c r="OQD241" s="1055"/>
      <c r="OQE241" s="1054"/>
      <c r="OQF241" s="1055"/>
      <c r="OQG241" s="1054"/>
      <c r="OQH241" s="1055"/>
      <c r="OQI241" s="1054"/>
      <c r="OQJ241" s="1055"/>
      <c r="OQK241" s="1054"/>
      <c r="OQL241" s="1055"/>
      <c r="OQM241" s="1054"/>
      <c r="OQN241" s="1055"/>
      <c r="OQO241" s="1054"/>
      <c r="OQP241" s="1055"/>
      <c r="OQQ241" s="1054"/>
      <c r="OQR241" s="1055"/>
      <c r="OQS241" s="1054"/>
      <c r="OQT241" s="1055"/>
      <c r="OQU241" s="1054"/>
      <c r="OQV241" s="1055"/>
      <c r="OQW241" s="1054"/>
      <c r="OQX241" s="1055"/>
      <c r="OQY241" s="1054"/>
      <c r="OQZ241" s="1055"/>
      <c r="ORA241" s="1054"/>
      <c r="ORB241" s="1055"/>
      <c r="ORC241" s="1054"/>
      <c r="ORD241" s="1055"/>
      <c r="ORE241" s="1054"/>
      <c r="ORF241" s="1055"/>
      <c r="ORG241" s="1054"/>
      <c r="ORH241" s="1055"/>
      <c r="ORI241" s="1054"/>
      <c r="ORJ241" s="1055"/>
      <c r="ORK241" s="1054"/>
      <c r="ORL241" s="1055"/>
      <c r="ORM241" s="1054"/>
      <c r="ORN241" s="1055"/>
      <c r="ORO241" s="1054"/>
      <c r="ORP241" s="1055"/>
      <c r="ORQ241" s="1054"/>
      <c r="ORR241" s="1055"/>
      <c r="ORS241" s="1054"/>
      <c r="ORT241" s="1055"/>
      <c r="ORU241" s="1054"/>
      <c r="ORV241" s="1055"/>
      <c r="ORW241" s="1054"/>
      <c r="ORX241" s="1055"/>
      <c r="ORY241" s="1054"/>
      <c r="ORZ241" s="1055"/>
      <c r="OSA241" s="1054"/>
      <c r="OSB241" s="1055"/>
      <c r="OSC241" s="1054"/>
      <c r="OSD241" s="1055"/>
      <c r="OSE241" s="1054"/>
      <c r="OSF241" s="1055"/>
      <c r="OSG241" s="1054"/>
      <c r="OSH241" s="1055"/>
      <c r="OSI241" s="1054"/>
      <c r="OSJ241" s="1055"/>
      <c r="OSK241" s="1054"/>
      <c r="OSL241" s="1055"/>
      <c r="OSM241" s="1054"/>
      <c r="OSN241" s="1055"/>
      <c r="OSO241" s="1054"/>
      <c r="OSP241" s="1055"/>
      <c r="OSQ241" s="1054"/>
      <c r="OSR241" s="1055"/>
      <c r="OSS241" s="1054"/>
      <c r="OST241" s="1055"/>
      <c r="OSU241" s="1054"/>
      <c r="OSV241" s="1055"/>
      <c r="OSW241" s="1054"/>
      <c r="OSX241" s="1055"/>
      <c r="OSY241" s="1054"/>
      <c r="OSZ241" s="1055"/>
      <c r="OTA241" s="1054"/>
      <c r="OTB241" s="1055"/>
      <c r="OTC241" s="1054"/>
      <c r="OTD241" s="1055"/>
      <c r="OTE241" s="1054"/>
      <c r="OTF241" s="1055"/>
      <c r="OTG241" s="1054"/>
      <c r="OTH241" s="1055"/>
      <c r="OTI241" s="1054"/>
      <c r="OTJ241" s="1055"/>
      <c r="OTK241" s="1054"/>
      <c r="OTL241" s="1055"/>
      <c r="OTM241" s="1054"/>
      <c r="OTN241" s="1055"/>
      <c r="OTO241" s="1054"/>
      <c r="OTP241" s="1055"/>
      <c r="OTQ241" s="1054"/>
      <c r="OTR241" s="1055"/>
      <c r="OTS241" s="1054"/>
      <c r="OTT241" s="1055"/>
      <c r="OTU241" s="1054"/>
      <c r="OTV241" s="1055"/>
      <c r="OTW241" s="1054"/>
      <c r="OTX241" s="1055"/>
      <c r="OTY241" s="1054"/>
      <c r="OTZ241" s="1055"/>
      <c r="OUA241" s="1054"/>
      <c r="OUB241" s="1055"/>
      <c r="OUC241" s="1054"/>
      <c r="OUD241" s="1055"/>
      <c r="OUE241" s="1054"/>
      <c r="OUF241" s="1055"/>
      <c r="OUG241" s="1054"/>
      <c r="OUH241" s="1055"/>
      <c r="OUI241" s="1054"/>
      <c r="OUJ241" s="1055"/>
      <c r="OUK241" s="1054"/>
      <c r="OUL241" s="1055"/>
      <c r="OUM241" s="1054"/>
      <c r="OUN241" s="1055"/>
      <c r="OUO241" s="1054"/>
      <c r="OUP241" s="1055"/>
      <c r="OUQ241" s="1054"/>
      <c r="OUR241" s="1055"/>
      <c r="OUS241" s="1054"/>
      <c r="OUT241" s="1055"/>
      <c r="OUU241" s="1054"/>
      <c r="OUV241" s="1055"/>
      <c r="OUW241" s="1054"/>
      <c r="OUX241" s="1055"/>
      <c r="OUY241" s="1054"/>
      <c r="OUZ241" s="1055"/>
      <c r="OVA241" s="1054"/>
      <c r="OVB241" s="1055"/>
      <c r="OVC241" s="1054"/>
      <c r="OVD241" s="1055"/>
      <c r="OVE241" s="1054"/>
      <c r="OVF241" s="1055"/>
      <c r="OVG241" s="1054"/>
      <c r="OVH241" s="1055"/>
      <c r="OVI241" s="1054"/>
      <c r="OVJ241" s="1055"/>
      <c r="OVK241" s="1054"/>
      <c r="OVL241" s="1055"/>
      <c r="OVM241" s="1054"/>
      <c r="OVN241" s="1055"/>
      <c r="OVO241" s="1054"/>
      <c r="OVP241" s="1055"/>
      <c r="OVQ241" s="1054"/>
      <c r="OVR241" s="1055"/>
      <c r="OVS241" s="1054"/>
      <c r="OVT241" s="1055"/>
      <c r="OVU241" s="1054"/>
      <c r="OVV241" s="1055"/>
      <c r="OVW241" s="1054"/>
      <c r="OVX241" s="1055"/>
      <c r="OVY241" s="1054"/>
      <c r="OVZ241" s="1055"/>
      <c r="OWA241" s="1054"/>
      <c r="OWB241" s="1055"/>
      <c r="OWC241" s="1054"/>
      <c r="OWD241" s="1055"/>
      <c r="OWE241" s="1054"/>
      <c r="OWF241" s="1055"/>
      <c r="OWG241" s="1054"/>
      <c r="OWH241" s="1055"/>
      <c r="OWI241" s="1054"/>
      <c r="OWJ241" s="1055"/>
      <c r="OWK241" s="1054"/>
      <c r="OWL241" s="1055"/>
      <c r="OWM241" s="1054"/>
      <c r="OWN241" s="1055"/>
      <c r="OWO241" s="1054"/>
      <c r="OWP241" s="1055"/>
      <c r="OWQ241" s="1054"/>
      <c r="OWR241" s="1055"/>
      <c r="OWS241" s="1054"/>
      <c r="OWT241" s="1055"/>
      <c r="OWU241" s="1054"/>
      <c r="OWV241" s="1055"/>
      <c r="OWW241" s="1054"/>
      <c r="OWX241" s="1055"/>
      <c r="OWY241" s="1054"/>
      <c r="OWZ241" s="1055"/>
      <c r="OXA241" s="1054"/>
      <c r="OXB241" s="1055"/>
      <c r="OXC241" s="1054"/>
      <c r="OXD241" s="1055"/>
      <c r="OXE241" s="1054"/>
      <c r="OXF241" s="1055"/>
      <c r="OXG241" s="1054"/>
      <c r="OXH241" s="1055"/>
      <c r="OXI241" s="1054"/>
      <c r="OXJ241" s="1055"/>
      <c r="OXK241" s="1054"/>
      <c r="OXL241" s="1055"/>
      <c r="OXM241" s="1054"/>
      <c r="OXN241" s="1055"/>
      <c r="OXO241" s="1054"/>
      <c r="OXP241" s="1055"/>
      <c r="OXQ241" s="1054"/>
      <c r="OXR241" s="1055"/>
      <c r="OXS241" s="1054"/>
      <c r="OXT241" s="1055"/>
      <c r="OXU241" s="1054"/>
      <c r="OXV241" s="1055"/>
      <c r="OXW241" s="1054"/>
      <c r="OXX241" s="1055"/>
      <c r="OXY241" s="1054"/>
      <c r="OXZ241" s="1055"/>
      <c r="OYA241" s="1054"/>
      <c r="OYB241" s="1055"/>
      <c r="OYC241" s="1054"/>
      <c r="OYD241" s="1055"/>
      <c r="OYE241" s="1054"/>
      <c r="OYF241" s="1055"/>
      <c r="OYG241" s="1054"/>
      <c r="OYH241" s="1055"/>
      <c r="OYI241" s="1054"/>
      <c r="OYJ241" s="1055"/>
      <c r="OYK241" s="1054"/>
      <c r="OYL241" s="1055"/>
      <c r="OYM241" s="1054"/>
      <c r="OYN241" s="1055"/>
      <c r="OYO241" s="1054"/>
      <c r="OYP241" s="1055"/>
      <c r="OYQ241" s="1054"/>
      <c r="OYR241" s="1055"/>
      <c r="OYS241" s="1054"/>
      <c r="OYT241" s="1055"/>
      <c r="OYU241" s="1054"/>
      <c r="OYV241" s="1055"/>
      <c r="OYW241" s="1054"/>
      <c r="OYX241" s="1055"/>
      <c r="OYY241" s="1054"/>
      <c r="OYZ241" s="1055"/>
      <c r="OZA241" s="1054"/>
      <c r="OZB241" s="1055"/>
      <c r="OZC241" s="1054"/>
      <c r="OZD241" s="1055"/>
      <c r="OZE241" s="1054"/>
      <c r="OZF241" s="1055"/>
      <c r="OZG241" s="1054"/>
      <c r="OZH241" s="1055"/>
      <c r="OZI241" s="1054"/>
      <c r="OZJ241" s="1055"/>
      <c r="OZK241" s="1054"/>
      <c r="OZL241" s="1055"/>
      <c r="OZM241" s="1054"/>
      <c r="OZN241" s="1055"/>
      <c r="OZO241" s="1054"/>
      <c r="OZP241" s="1055"/>
      <c r="OZQ241" s="1054"/>
      <c r="OZR241" s="1055"/>
      <c r="OZS241" s="1054"/>
      <c r="OZT241" s="1055"/>
      <c r="OZU241" s="1054"/>
      <c r="OZV241" s="1055"/>
      <c r="OZW241" s="1054"/>
      <c r="OZX241" s="1055"/>
      <c r="OZY241" s="1054"/>
      <c r="OZZ241" s="1055"/>
      <c r="PAA241" s="1054"/>
      <c r="PAB241" s="1055"/>
      <c r="PAC241" s="1054"/>
      <c r="PAD241" s="1055"/>
      <c r="PAE241" s="1054"/>
      <c r="PAF241" s="1055"/>
      <c r="PAG241" s="1054"/>
      <c r="PAH241" s="1055"/>
      <c r="PAI241" s="1054"/>
      <c r="PAJ241" s="1055"/>
      <c r="PAK241" s="1054"/>
      <c r="PAL241" s="1055"/>
      <c r="PAM241" s="1054"/>
      <c r="PAN241" s="1055"/>
      <c r="PAO241" s="1054"/>
      <c r="PAP241" s="1055"/>
      <c r="PAQ241" s="1054"/>
      <c r="PAR241" s="1055"/>
      <c r="PAS241" s="1054"/>
      <c r="PAT241" s="1055"/>
      <c r="PAU241" s="1054"/>
      <c r="PAV241" s="1055"/>
      <c r="PAW241" s="1054"/>
      <c r="PAX241" s="1055"/>
      <c r="PAY241" s="1054"/>
      <c r="PAZ241" s="1055"/>
      <c r="PBA241" s="1054"/>
      <c r="PBB241" s="1055"/>
      <c r="PBC241" s="1054"/>
      <c r="PBD241" s="1055"/>
      <c r="PBE241" s="1054"/>
      <c r="PBF241" s="1055"/>
      <c r="PBG241" s="1054"/>
      <c r="PBH241" s="1055"/>
      <c r="PBI241" s="1054"/>
      <c r="PBJ241" s="1055"/>
      <c r="PBK241" s="1054"/>
      <c r="PBL241" s="1055"/>
      <c r="PBM241" s="1054"/>
      <c r="PBN241" s="1055"/>
      <c r="PBO241" s="1054"/>
      <c r="PBP241" s="1055"/>
      <c r="PBQ241" s="1054"/>
      <c r="PBR241" s="1055"/>
      <c r="PBS241" s="1054"/>
      <c r="PBT241" s="1055"/>
      <c r="PBU241" s="1054"/>
      <c r="PBV241" s="1055"/>
      <c r="PBW241" s="1054"/>
      <c r="PBX241" s="1055"/>
      <c r="PBY241" s="1054"/>
      <c r="PBZ241" s="1055"/>
      <c r="PCA241" s="1054"/>
      <c r="PCB241" s="1055"/>
      <c r="PCC241" s="1054"/>
      <c r="PCD241" s="1055"/>
      <c r="PCE241" s="1054"/>
      <c r="PCF241" s="1055"/>
      <c r="PCG241" s="1054"/>
      <c r="PCH241" s="1055"/>
      <c r="PCI241" s="1054"/>
      <c r="PCJ241" s="1055"/>
      <c r="PCK241" s="1054"/>
      <c r="PCL241" s="1055"/>
      <c r="PCM241" s="1054"/>
      <c r="PCN241" s="1055"/>
      <c r="PCO241" s="1054"/>
      <c r="PCP241" s="1055"/>
      <c r="PCQ241" s="1054"/>
      <c r="PCR241" s="1055"/>
      <c r="PCS241" s="1054"/>
      <c r="PCT241" s="1055"/>
      <c r="PCU241" s="1054"/>
      <c r="PCV241" s="1055"/>
      <c r="PCW241" s="1054"/>
      <c r="PCX241" s="1055"/>
      <c r="PCY241" s="1054"/>
      <c r="PCZ241" s="1055"/>
      <c r="PDA241" s="1054"/>
      <c r="PDB241" s="1055"/>
      <c r="PDC241" s="1054"/>
      <c r="PDD241" s="1055"/>
      <c r="PDE241" s="1054"/>
      <c r="PDF241" s="1055"/>
      <c r="PDG241" s="1054"/>
      <c r="PDH241" s="1055"/>
      <c r="PDI241" s="1054"/>
      <c r="PDJ241" s="1055"/>
      <c r="PDK241" s="1054"/>
      <c r="PDL241" s="1055"/>
      <c r="PDM241" s="1054"/>
      <c r="PDN241" s="1055"/>
      <c r="PDO241" s="1054"/>
      <c r="PDP241" s="1055"/>
      <c r="PDQ241" s="1054"/>
      <c r="PDR241" s="1055"/>
      <c r="PDS241" s="1054"/>
      <c r="PDT241" s="1055"/>
      <c r="PDU241" s="1054"/>
      <c r="PDV241" s="1055"/>
      <c r="PDW241" s="1054"/>
      <c r="PDX241" s="1055"/>
      <c r="PDY241" s="1054"/>
      <c r="PDZ241" s="1055"/>
      <c r="PEA241" s="1054"/>
      <c r="PEB241" s="1055"/>
      <c r="PEC241" s="1054"/>
      <c r="PED241" s="1055"/>
      <c r="PEE241" s="1054"/>
      <c r="PEF241" s="1055"/>
      <c r="PEG241" s="1054"/>
      <c r="PEH241" s="1055"/>
      <c r="PEI241" s="1054"/>
      <c r="PEJ241" s="1055"/>
      <c r="PEK241" s="1054"/>
      <c r="PEL241" s="1055"/>
      <c r="PEM241" s="1054"/>
      <c r="PEN241" s="1055"/>
      <c r="PEO241" s="1054"/>
      <c r="PEP241" s="1055"/>
      <c r="PEQ241" s="1054"/>
      <c r="PER241" s="1055"/>
      <c r="PES241" s="1054"/>
      <c r="PET241" s="1055"/>
      <c r="PEU241" s="1054"/>
      <c r="PEV241" s="1055"/>
      <c r="PEW241" s="1054"/>
      <c r="PEX241" s="1055"/>
      <c r="PEY241" s="1054"/>
      <c r="PEZ241" s="1055"/>
      <c r="PFA241" s="1054"/>
      <c r="PFB241" s="1055"/>
      <c r="PFC241" s="1054"/>
      <c r="PFD241" s="1055"/>
      <c r="PFE241" s="1054"/>
      <c r="PFF241" s="1055"/>
      <c r="PFG241" s="1054"/>
      <c r="PFH241" s="1055"/>
      <c r="PFI241" s="1054"/>
      <c r="PFJ241" s="1055"/>
      <c r="PFK241" s="1054"/>
      <c r="PFL241" s="1055"/>
      <c r="PFM241" s="1054"/>
      <c r="PFN241" s="1055"/>
      <c r="PFO241" s="1054"/>
      <c r="PFP241" s="1055"/>
      <c r="PFQ241" s="1054"/>
      <c r="PFR241" s="1055"/>
      <c r="PFS241" s="1054"/>
      <c r="PFT241" s="1055"/>
      <c r="PFU241" s="1054"/>
      <c r="PFV241" s="1055"/>
      <c r="PFW241" s="1054"/>
      <c r="PFX241" s="1055"/>
      <c r="PFY241" s="1054"/>
      <c r="PFZ241" s="1055"/>
      <c r="PGA241" s="1054"/>
      <c r="PGB241" s="1055"/>
      <c r="PGC241" s="1054"/>
      <c r="PGD241" s="1055"/>
      <c r="PGE241" s="1054"/>
      <c r="PGF241" s="1055"/>
      <c r="PGG241" s="1054"/>
      <c r="PGH241" s="1055"/>
      <c r="PGI241" s="1054"/>
      <c r="PGJ241" s="1055"/>
      <c r="PGK241" s="1054"/>
      <c r="PGL241" s="1055"/>
      <c r="PGM241" s="1054"/>
      <c r="PGN241" s="1055"/>
      <c r="PGO241" s="1054"/>
      <c r="PGP241" s="1055"/>
      <c r="PGQ241" s="1054"/>
      <c r="PGR241" s="1055"/>
      <c r="PGS241" s="1054"/>
      <c r="PGT241" s="1055"/>
      <c r="PGU241" s="1054"/>
      <c r="PGV241" s="1055"/>
      <c r="PGW241" s="1054"/>
      <c r="PGX241" s="1055"/>
      <c r="PGY241" s="1054"/>
      <c r="PGZ241" s="1055"/>
      <c r="PHA241" s="1054"/>
      <c r="PHB241" s="1055"/>
      <c r="PHC241" s="1054"/>
      <c r="PHD241" s="1055"/>
      <c r="PHE241" s="1054"/>
      <c r="PHF241" s="1055"/>
      <c r="PHG241" s="1054"/>
      <c r="PHH241" s="1055"/>
      <c r="PHI241" s="1054"/>
      <c r="PHJ241" s="1055"/>
      <c r="PHK241" s="1054"/>
      <c r="PHL241" s="1055"/>
      <c r="PHM241" s="1054"/>
      <c r="PHN241" s="1055"/>
      <c r="PHO241" s="1054"/>
      <c r="PHP241" s="1055"/>
      <c r="PHQ241" s="1054"/>
      <c r="PHR241" s="1055"/>
      <c r="PHS241" s="1054"/>
      <c r="PHT241" s="1055"/>
      <c r="PHU241" s="1054"/>
      <c r="PHV241" s="1055"/>
      <c r="PHW241" s="1054"/>
      <c r="PHX241" s="1055"/>
      <c r="PHY241" s="1054"/>
      <c r="PHZ241" s="1055"/>
      <c r="PIA241" s="1054"/>
      <c r="PIB241" s="1055"/>
      <c r="PIC241" s="1054"/>
      <c r="PID241" s="1055"/>
      <c r="PIE241" s="1054"/>
      <c r="PIF241" s="1055"/>
      <c r="PIG241" s="1054"/>
      <c r="PIH241" s="1055"/>
      <c r="PII241" s="1054"/>
      <c r="PIJ241" s="1055"/>
      <c r="PIK241" s="1054"/>
      <c r="PIL241" s="1055"/>
      <c r="PIM241" s="1054"/>
      <c r="PIN241" s="1055"/>
      <c r="PIO241" s="1054"/>
      <c r="PIP241" s="1055"/>
      <c r="PIQ241" s="1054"/>
      <c r="PIR241" s="1055"/>
      <c r="PIS241" s="1054"/>
      <c r="PIT241" s="1055"/>
      <c r="PIU241" s="1054"/>
      <c r="PIV241" s="1055"/>
      <c r="PIW241" s="1054"/>
      <c r="PIX241" s="1055"/>
      <c r="PIY241" s="1054"/>
      <c r="PIZ241" s="1055"/>
      <c r="PJA241" s="1054"/>
      <c r="PJB241" s="1055"/>
      <c r="PJC241" s="1054"/>
      <c r="PJD241" s="1055"/>
      <c r="PJE241" s="1054"/>
      <c r="PJF241" s="1055"/>
      <c r="PJG241" s="1054"/>
      <c r="PJH241" s="1055"/>
      <c r="PJI241" s="1054"/>
      <c r="PJJ241" s="1055"/>
      <c r="PJK241" s="1054"/>
      <c r="PJL241" s="1055"/>
      <c r="PJM241" s="1054"/>
      <c r="PJN241" s="1055"/>
      <c r="PJO241" s="1054"/>
      <c r="PJP241" s="1055"/>
      <c r="PJQ241" s="1054"/>
      <c r="PJR241" s="1055"/>
      <c r="PJS241" s="1054"/>
      <c r="PJT241" s="1055"/>
      <c r="PJU241" s="1054"/>
      <c r="PJV241" s="1055"/>
      <c r="PJW241" s="1054"/>
      <c r="PJX241" s="1055"/>
      <c r="PJY241" s="1054"/>
      <c r="PJZ241" s="1055"/>
      <c r="PKA241" s="1054"/>
      <c r="PKB241" s="1055"/>
      <c r="PKC241" s="1054"/>
      <c r="PKD241" s="1055"/>
      <c r="PKE241" s="1054"/>
      <c r="PKF241" s="1055"/>
      <c r="PKG241" s="1054"/>
      <c r="PKH241" s="1055"/>
      <c r="PKI241" s="1054"/>
      <c r="PKJ241" s="1055"/>
      <c r="PKK241" s="1054"/>
      <c r="PKL241" s="1055"/>
      <c r="PKM241" s="1054"/>
      <c r="PKN241" s="1055"/>
      <c r="PKO241" s="1054"/>
      <c r="PKP241" s="1055"/>
      <c r="PKQ241" s="1054"/>
      <c r="PKR241" s="1055"/>
      <c r="PKS241" s="1054"/>
      <c r="PKT241" s="1055"/>
      <c r="PKU241" s="1054"/>
      <c r="PKV241" s="1055"/>
      <c r="PKW241" s="1054"/>
      <c r="PKX241" s="1055"/>
      <c r="PKY241" s="1054"/>
      <c r="PKZ241" s="1055"/>
      <c r="PLA241" s="1054"/>
      <c r="PLB241" s="1055"/>
      <c r="PLC241" s="1054"/>
      <c r="PLD241" s="1055"/>
      <c r="PLE241" s="1054"/>
      <c r="PLF241" s="1055"/>
      <c r="PLG241" s="1054"/>
      <c r="PLH241" s="1055"/>
      <c r="PLI241" s="1054"/>
      <c r="PLJ241" s="1055"/>
      <c r="PLK241" s="1054"/>
      <c r="PLL241" s="1055"/>
      <c r="PLM241" s="1054"/>
      <c r="PLN241" s="1055"/>
      <c r="PLO241" s="1054"/>
      <c r="PLP241" s="1055"/>
      <c r="PLQ241" s="1054"/>
      <c r="PLR241" s="1055"/>
      <c r="PLS241" s="1054"/>
      <c r="PLT241" s="1055"/>
      <c r="PLU241" s="1054"/>
      <c r="PLV241" s="1055"/>
      <c r="PLW241" s="1054"/>
      <c r="PLX241" s="1055"/>
      <c r="PLY241" s="1054"/>
      <c r="PLZ241" s="1055"/>
      <c r="PMA241" s="1054"/>
      <c r="PMB241" s="1055"/>
      <c r="PMC241" s="1054"/>
      <c r="PMD241" s="1055"/>
      <c r="PME241" s="1054"/>
      <c r="PMF241" s="1055"/>
      <c r="PMG241" s="1054"/>
      <c r="PMH241" s="1055"/>
      <c r="PMI241" s="1054"/>
      <c r="PMJ241" s="1055"/>
      <c r="PMK241" s="1054"/>
      <c r="PML241" s="1055"/>
      <c r="PMM241" s="1054"/>
      <c r="PMN241" s="1055"/>
      <c r="PMO241" s="1054"/>
      <c r="PMP241" s="1055"/>
      <c r="PMQ241" s="1054"/>
      <c r="PMR241" s="1055"/>
      <c r="PMS241" s="1054"/>
      <c r="PMT241" s="1055"/>
      <c r="PMU241" s="1054"/>
      <c r="PMV241" s="1055"/>
      <c r="PMW241" s="1054"/>
      <c r="PMX241" s="1055"/>
      <c r="PMY241" s="1054"/>
      <c r="PMZ241" s="1055"/>
      <c r="PNA241" s="1054"/>
      <c r="PNB241" s="1055"/>
      <c r="PNC241" s="1054"/>
      <c r="PND241" s="1055"/>
      <c r="PNE241" s="1054"/>
      <c r="PNF241" s="1055"/>
      <c r="PNG241" s="1054"/>
      <c r="PNH241" s="1055"/>
      <c r="PNI241" s="1054"/>
      <c r="PNJ241" s="1055"/>
      <c r="PNK241" s="1054"/>
      <c r="PNL241" s="1055"/>
      <c r="PNM241" s="1054"/>
      <c r="PNN241" s="1055"/>
      <c r="PNO241" s="1054"/>
      <c r="PNP241" s="1055"/>
      <c r="PNQ241" s="1054"/>
      <c r="PNR241" s="1055"/>
      <c r="PNS241" s="1054"/>
      <c r="PNT241" s="1055"/>
      <c r="PNU241" s="1054"/>
      <c r="PNV241" s="1055"/>
      <c r="PNW241" s="1054"/>
      <c r="PNX241" s="1055"/>
      <c r="PNY241" s="1054"/>
      <c r="PNZ241" s="1055"/>
      <c r="POA241" s="1054"/>
      <c r="POB241" s="1055"/>
      <c r="POC241" s="1054"/>
      <c r="POD241" s="1055"/>
      <c r="POE241" s="1054"/>
      <c r="POF241" s="1055"/>
      <c r="POG241" s="1054"/>
      <c r="POH241" s="1055"/>
      <c r="POI241" s="1054"/>
      <c r="POJ241" s="1055"/>
      <c r="POK241" s="1054"/>
      <c r="POL241" s="1055"/>
      <c r="POM241" s="1054"/>
      <c r="PON241" s="1055"/>
      <c r="POO241" s="1054"/>
      <c r="POP241" s="1055"/>
      <c r="POQ241" s="1054"/>
      <c r="POR241" s="1055"/>
      <c r="POS241" s="1054"/>
      <c r="POT241" s="1055"/>
      <c r="POU241" s="1054"/>
      <c r="POV241" s="1055"/>
      <c r="POW241" s="1054"/>
      <c r="POX241" s="1055"/>
      <c r="POY241" s="1054"/>
      <c r="POZ241" s="1055"/>
      <c r="PPA241" s="1054"/>
      <c r="PPB241" s="1055"/>
      <c r="PPC241" s="1054"/>
      <c r="PPD241" s="1055"/>
      <c r="PPE241" s="1054"/>
      <c r="PPF241" s="1055"/>
      <c r="PPG241" s="1054"/>
      <c r="PPH241" s="1055"/>
      <c r="PPI241" s="1054"/>
      <c r="PPJ241" s="1055"/>
      <c r="PPK241" s="1054"/>
      <c r="PPL241" s="1055"/>
      <c r="PPM241" s="1054"/>
      <c r="PPN241" s="1055"/>
      <c r="PPO241" s="1054"/>
      <c r="PPP241" s="1055"/>
      <c r="PPQ241" s="1054"/>
      <c r="PPR241" s="1055"/>
      <c r="PPS241" s="1054"/>
      <c r="PPT241" s="1055"/>
      <c r="PPU241" s="1054"/>
      <c r="PPV241" s="1055"/>
      <c r="PPW241" s="1054"/>
      <c r="PPX241" s="1055"/>
      <c r="PPY241" s="1054"/>
      <c r="PPZ241" s="1055"/>
      <c r="PQA241" s="1054"/>
      <c r="PQB241" s="1055"/>
      <c r="PQC241" s="1054"/>
      <c r="PQD241" s="1055"/>
      <c r="PQE241" s="1054"/>
      <c r="PQF241" s="1055"/>
      <c r="PQG241" s="1054"/>
      <c r="PQH241" s="1055"/>
      <c r="PQI241" s="1054"/>
      <c r="PQJ241" s="1055"/>
      <c r="PQK241" s="1054"/>
      <c r="PQL241" s="1055"/>
      <c r="PQM241" s="1054"/>
      <c r="PQN241" s="1055"/>
      <c r="PQO241" s="1054"/>
      <c r="PQP241" s="1055"/>
      <c r="PQQ241" s="1054"/>
      <c r="PQR241" s="1055"/>
      <c r="PQS241" s="1054"/>
      <c r="PQT241" s="1055"/>
      <c r="PQU241" s="1054"/>
      <c r="PQV241" s="1055"/>
      <c r="PQW241" s="1054"/>
      <c r="PQX241" s="1055"/>
      <c r="PQY241" s="1054"/>
      <c r="PQZ241" s="1055"/>
      <c r="PRA241" s="1054"/>
      <c r="PRB241" s="1055"/>
      <c r="PRC241" s="1054"/>
      <c r="PRD241" s="1055"/>
      <c r="PRE241" s="1054"/>
      <c r="PRF241" s="1055"/>
      <c r="PRG241" s="1054"/>
      <c r="PRH241" s="1055"/>
      <c r="PRI241" s="1054"/>
      <c r="PRJ241" s="1055"/>
      <c r="PRK241" s="1054"/>
      <c r="PRL241" s="1055"/>
      <c r="PRM241" s="1054"/>
      <c r="PRN241" s="1055"/>
      <c r="PRO241" s="1054"/>
      <c r="PRP241" s="1055"/>
      <c r="PRQ241" s="1054"/>
      <c r="PRR241" s="1055"/>
      <c r="PRS241" s="1054"/>
      <c r="PRT241" s="1055"/>
      <c r="PRU241" s="1054"/>
      <c r="PRV241" s="1055"/>
      <c r="PRW241" s="1054"/>
      <c r="PRX241" s="1055"/>
      <c r="PRY241" s="1054"/>
      <c r="PRZ241" s="1055"/>
      <c r="PSA241" s="1054"/>
      <c r="PSB241" s="1055"/>
      <c r="PSC241" s="1054"/>
      <c r="PSD241" s="1055"/>
      <c r="PSE241" s="1054"/>
      <c r="PSF241" s="1055"/>
      <c r="PSG241" s="1054"/>
      <c r="PSH241" s="1055"/>
      <c r="PSI241" s="1054"/>
      <c r="PSJ241" s="1055"/>
      <c r="PSK241" s="1054"/>
      <c r="PSL241" s="1055"/>
      <c r="PSM241" s="1054"/>
      <c r="PSN241" s="1055"/>
      <c r="PSO241" s="1054"/>
      <c r="PSP241" s="1055"/>
      <c r="PSQ241" s="1054"/>
      <c r="PSR241" s="1055"/>
      <c r="PSS241" s="1054"/>
      <c r="PST241" s="1055"/>
      <c r="PSU241" s="1054"/>
      <c r="PSV241" s="1055"/>
      <c r="PSW241" s="1054"/>
      <c r="PSX241" s="1055"/>
      <c r="PSY241" s="1054"/>
      <c r="PSZ241" s="1055"/>
      <c r="PTA241" s="1054"/>
      <c r="PTB241" s="1055"/>
      <c r="PTC241" s="1054"/>
      <c r="PTD241" s="1055"/>
      <c r="PTE241" s="1054"/>
      <c r="PTF241" s="1055"/>
      <c r="PTG241" s="1054"/>
      <c r="PTH241" s="1055"/>
      <c r="PTI241" s="1054"/>
      <c r="PTJ241" s="1055"/>
      <c r="PTK241" s="1054"/>
      <c r="PTL241" s="1055"/>
      <c r="PTM241" s="1054"/>
      <c r="PTN241" s="1055"/>
      <c r="PTO241" s="1054"/>
      <c r="PTP241" s="1055"/>
      <c r="PTQ241" s="1054"/>
      <c r="PTR241" s="1055"/>
      <c r="PTS241" s="1054"/>
      <c r="PTT241" s="1055"/>
      <c r="PTU241" s="1054"/>
      <c r="PTV241" s="1055"/>
      <c r="PTW241" s="1054"/>
      <c r="PTX241" s="1055"/>
      <c r="PTY241" s="1054"/>
      <c r="PTZ241" s="1055"/>
      <c r="PUA241" s="1054"/>
      <c r="PUB241" s="1055"/>
      <c r="PUC241" s="1054"/>
      <c r="PUD241" s="1055"/>
      <c r="PUE241" s="1054"/>
      <c r="PUF241" s="1055"/>
      <c r="PUG241" s="1054"/>
      <c r="PUH241" s="1055"/>
      <c r="PUI241" s="1054"/>
      <c r="PUJ241" s="1055"/>
      <c r="PUK241" s="1054"/>
      <c r="PUL241" s="1055"/>
      <c r="PUM241" s="1054"/>
      <c r="PUN241" s="1055"/>
      <c r="PUO241" s="1054"/>
      <c r="PUP241" s="1055"/>
      <c r="PUQ241" s="1054"/>
      <c r="PUR241" s="1055"/>
      <c r="PUS241" s="1054"/>
      <c r="PUT241" s="1055"/>
      <c r="PUU241" s="1054"/>
      <c r="PUV241" s="1055"/>
      <c r="PUW241" s="1054"/>
      <c r="PUX241" s="1055"/>
      <c r="PUY241" s="1054"/>
      <c r="PUZ241" s="1055"/>
      <c r="PVA241" s="1054"/>
      <c r="PVB241" s="1055"/>
      <c r="PVC241" s="1054"/>
      <c r="PVD241" s="1055"/>
      <c r="PVE241" s="1054"/>
      <c r="PVF241" s="1055"/>
      <c r="PVG241" s="1054"/>
      <c r="PVH241" s="1055"/>
      <c r="PVI241" s="1054"/>
      <c r="PVJ241" s="1055"/>
      <c r="PVK241" s="1054"/>
      <c r="PVL241" s="1055"/>
      <c r="PVM241" s="1054"/>
      <c r="PVN241" s="1055"/>
      <c r="PVO241" s="1054"/>
      <c r="PVP241" s="1055"/>
      <c r="PVQ241" s="1054"/>
      <c r="PVR241" s="1055"/>
      <c r="PVS241" s="1054"/>
      <c r="PVT241" s="1055"/>
      <c r="PVU241" s="1054"/>
      <c r="PVV241" s="1055"/>
      <c r="PVW241" s="1054"/>
      <c r="PVX241" s="1055"/>
      <c r="PVY241" s="1054"/>
      <c r="PVZ241" s="1055"/>
      <c r="PWA241" s="1054"/>
      <c r="PWB241" s="1055"/>
      <c r="PWC241" s="1054"/>
      <c r="PWD241" s="1055"/>
      <c r="PWE241" s="1054"/>
      <c r="PWF241" s="1055"/>
      <c r="PWG241" s="1054"/>
      <c r="PWH241" s="1055"/>
      <c r="PWI241" s="1054"/>
      <c r="PWJ241" s="1055"/>
      <c r="PWK241" s="1054"/>
      <c r="PWL241" s="1055"/>
      <c r="PWM241" s="1054"/>
      <c r="PWN241" s="1055"/>
      <c r="PWO241" s="1054"/>
      <c r="PWP241" s="1055"/>
      <c r="PWQ241" s="1054"/>
      <c r="PWR241" s="1055"/>
      <c r="PWS241" s="1054"/>
      <c r="PWT241" s="1055"/>
      <c r="PWU241" s="1054"/>
      <c r="PWV241" s="1055"/>
      <c r="PWW241" s="1054"/>
      <c r="PWX241" s="1055"/>
      <c r="PWY241" s="1054"/>
      <c r="PWZ241" s="1055"/>
      <c r="PXA241" s="1054"/>
      <c r="PXB241" s="1055"/>
      <c r="PXC241" s="1054"/>
      <c r="PXD241" s="1055"/>
      <c r="PXE241" s="1054"/>
      <c r="PXF241" s="1055"/>
      <c r="PXG241" s="1054"/>
      <c r="PXH241" s="1055"/>
      <c r="PXI241" s="1054"/>
      <c r="PXJ241" s="1055"/>
      <c r="PXK241" s="1054"/>
      <c r="PXL241" s="1055"/>
      <c r="PXM241" s="1054"/>
      <c r="PXN241" s="1055"/>
      <c r="PXO241" s="1054"/>
      <c r="PXP241" s="1055"/>
      <c r="PXQ241" s="1054"/>
      <c r="PXR241" s="1055"/>
      <c r="PXS241" s="1054"/>
      <c r="PXT241" s="1055"/>
      <c r="PXU241" s="1054"/>
      <c r="PXV241" s="1055"/>
      <c r="PXW241" s="1054"/>
      <c r="PXX241" s="1055"/>
      <c r="PXY241" s="1054"/>
      <c r="PXZ241" s="1055"/>
      <c r="PYA241" s="1054"/>
      <c r="PYB241" s="1055"/>
      <c r="PYC241" s="1054"/>
      <c r="PYD241" s="1055"/>
      <c r="PYE241" s="1054"/>
      <c r="PYF241" s="1055"/>
      <c r="PYG241" s="1054"/>
      <c r="PYH241" s="1055"/>
      <c r="PYI241" s="1054"/>
      <c r="PYJ241" s="1055"/>
      <c r="PYK241" s="1054"/>
      <c r="PYL241" s="1055"/>
      <c r="PYM241" s="1054"/>
      <c r="PYN241" s="1055"/>
      <c r="PYO241" s="1054"/>
      <c r="PYP241" s="1055"/>
      <c r="PYQ241" s="1054"/>
      <c r="PYR241" s="1055"/>
      <c r="PYS241" s="1054"/>
      <c r="PYT241" s="1055"/>
      <c r="PYU241" s="1054"/>
      <c r="PYV241" s="1055"/>
      <c r="PYW241" s="1054"/>
      <c r="PYX241" s="1055"/>
      <c r="PYY241" s="1054"/>
      <c r="PYZ241" s="1055"/>
      <c r="PZA241" s="1054"/>
      <c r="PZB241" s="1055"/>
      <c r="PZC241" s="1054"/>
      <c r="PZD241" s="1055"/>
      <c r="PZE241" s="1054"/>
      <c r="PZF241" s="1055"/>
      <c r="PZG241" s="1054"/>
      <c r="PZH241" s="1055"/>
      <c r="PZI241" s="1054"/>
      <c r="PZJ241" s="1055"/>
      <c r="PZK241" s="1054"/>
      <c r="PZL241" s="1055"/>
      <c r="PZM241" s="1054"/>
      <c r="PZN241" s="1055"/>
      <c r="PZO241" s="1054"/>
      <c r="PZP241" s="1055"/>
      <c r="PZQ241" s="1054"/>
      <c r="PZR241" s="1055"/>
      <c r="PZS241" s="1054"/>
      <c r="PZT241" s="1055"/>
      <c r="PZU241" s="1054"/>
      <c r="PZV241" s="1055"/>
      <c r="PZW241" s="1054"/>
      <c r="PZX241" s="1055"/>
      <c r="PZY241" s="1054"/>
      <c r="PZZ241" s="1055"/>
      <c r="QAA241" s="1054"/>
      <c r="QAB241" s="1055"/>
      <c r="QAC241" s="1054"/>
      <c r="QAD241" s="1055"/>
      <c r="QAE241" s="1054"/>
      <c r="QAF241" s="1055"/>
      <c r="QAG241" s="1054"/>
      <c r="QAH241" s="1055"/>
      <c r="QAI241" s="1054"/>
      <c r="QAJ241" s="1055"/>
      <c r="QAK241" s="1054"/>
      <c r="QAL241" s="1055"/>
      <c r="QAM241" s="1054"/>
      <c r="QAN241" s="1055"/>
      <c r="QAO241" s="1054"/>
      <c r="QAP241" s="1055"/>
      <c r="QAQ241" s="1054"/>
      <c r="QAR241" s="1055"/>
      <c r="QAS241" s="1054"/>
      <c r="QAT241" s="1055"/>
      <c r="QAU241" s="1054"/>
      <c r="QAV241" s="1055"/>
      <c r="QAW241" s="1054"/>
      <c r="QAX241" s="1055"/>
      <c r="QAY241" s="1054"/>
      <c r="QAZ241" s="1055"/>
      <c r="QBA241" s="1054"/>
      <c r="QBB241" s="1055"/>
      <c r="QBC241" s="1054"/>
      <c r="QBD241" s="1055"/>
      <c r="QBE241" s="1054"/>
      <c r="QBF241" s="1055"/>
      <c r="QBG241" s="1054"/>
      <c r="QBH241" s="1055"/>
      <c r="QBI241" s="1054"/>
      <c r="QBJ241" s="1055"/>
      <c r="QBK241" s="1054"/>
      <c r="QBL241" s="1055"/>
      <c r="QBM241" s="1054"/>
      <c r="QBN241" s="1055"/>
      <c r="QBO241" s="1054"/>
      <c r="QBP241" s="1055"/>
      <c r="QBQ241" s="1054"/>
      <c r="QBR241" s="1055"/>
      <c r="QBS241" s="1054"/>
      <c r="QBT241" s="1055"/>
      <c r="QBU241" s="1054"/>
      <c r="QBV241" s="1055"/>
      <c r="QBW241" s="1054"/>
      <c r="QBX241" s="1055"/>
      <c r="QBY241" s="1054"/>
      <c r="QBZ241" s="1055"/>
      <c r="QCA241" s="1054"/>
      <c r="QCB241" s="1055"/>
      <c r="QCC241" s="1054"/>
      <c r="QCD241" s="1055"/>
      <c r="QCE241" s="1054"/>
      <c r="QCF241" s="1055"/>
      <c r="QCG241" s="1054"/>
      <c r="QCH241" s="1055"/>
      <c r="QCI241" s="1054"/>
      <c r="QCJ241" s="1055"/>
      <c r="QCK241" s="1054"/>
      <c r="QCL241" s="1055"/>
      <c r="QCM241" s="1054"/>
      <c r="QCN241" s="1055"/>
      <c r="QCO241" s="1054"/>
      <c r="QCP241" s="1055"/>
      <c r="QCQ241" s="1054"/>
      <c r="QCR241" s="1055"/>
      <c r="QCS241" s="1054"/>
      <c r="QCT241" s="1055"/>
      <c r="QCU241" s="1054"/>
      <c r="QCV241" s="1055"/>
      <c r="QCW241" s="1054"/>
      <c r="QCX241" s="1055"/>
      <c r="QCY241" s="1054"/>
      <c r="QCZ241" s="1055"/>
      <c r="QDA241" s="1054"/>
      <c r="QDB241" s="1055"/>
      <c r="QDC241" s="1054"/>
      <c r="QDD241" s="1055"/>
      <c r="QDE241" s="1054"/>
      <c r="QDF241" s="1055"/>
      <c r="QDG241" s="1054"/>
      <c r="QDH241" s="1055"/>
      <c r="QDI241" s="1054"/>
      <c r="QDJ241" s="1055"/>
      <c r="QDK241" s="1054"/>
      <c r="QDL241" s="1055"/>
      <c r="QDM241" s="1054"/>
      <c r="QDN241" s="1055"/>
      <c r="QDO241" s="1054"/>
      <c r="QDP241" s="1055"/>
      <c r="QDQ241" s="1054"/>
      <c r="QDR241" s="1055"/>
      <c r="QDS241" s="1054"/>
      <c r="QDT241" s="1055"/>
      <c r="QDU241" s="1054"/>
      <c r="QDV241" s="1055"/>
      <c r="QDW241" s="1054"/>
      <c r="QDX241" s="1055"/>
      <c r="QDY241" s="1054"/>
      <c r="QDZ241" s="1055"/>
      <c r="QEA241" s="1054"/>
      <c r="QEB241" s="1055"/>
      <c r="QEC241" s="1054"/>
      <c r="QED241" s="1055"/>
      <c r="QEE241" s="1054"/>
      <c r="QEF241" s="1055"/>
      <c r="QEG241" s="1054"/>
      <c r="QEH241" s="1055"/>
      <c r="QEI241" s="1054"/>
      <c r="QEJ241" s="1055"/>
      <c r="QEK241" s="1054"/>
      <c r="QEL241" s="1055"/>
      <c r="QEM241" s="1054"/>
      <c r="QEN241" s="1055"/>
      <c r="QEO241" s="1054"/>
      <c r="QEP241" s="1055"/>
      <c r="QEQ241" s="1054"/>
      <c r="QER241" s="1055"/>
      <c r="QES241" s="1054"/>
      <c r="QET241" s="1055"/>
      <c r="QEU241" s="1054"/>
      <c r="QEV241" s="1055"/>
      <c r="QEW241" s="1054"/>
      <c r="QEX241" s="1055"/>
      <c r="QEY241" s="1054"/>
      <c r="QEZ241" s="1055"/>
      <c r="QFA241" s="1054"/>
      <c r="QFB241" s="1055"/>
      <c r="QFC241" s="1054"/>
      <c r="QFD241" s="1055"/>
      <c r="QFE241" s="1054"/>
      <c r="QFF241" s="1055"/>
      <c r="QFG241" s="1054"/>
      <c r="QFH241" s="1055"/>
      <c r="QFI241" s="1054"/>
      <c r="QFJ241" s="1055"/>
      <c r="QFK241" s="1054"/>
      <c r="QFL241" s="1055"/>
      <c r="QFM241" s="1054"/>
      <c r="QFN241" s="1055"/>
      <c r="QFO241" s="1054"/>
      <c r="QFP241" s="1055"/>
      <c r="QFQ241" s="1054"/>
      <c r="QFR241" s="1055"/>
      <c r="QFS241" s="1054"/>
      <c r="QFT241" s="1055"/>
      <c r="QFU241" s="1054"/>
      <c r="QFV241" s="1055"/>
      <c r="QFW241" s="1054"/>
      <c r="QFX241" s="1055"/>
      <c r="QFY241" s="1054"/>
      <c r="QFZ241" s="1055"/>
      <c r="QGA241" s="1054"/>
      <c r="QGB241" s="1055"/>
      <c r="QGC241" s="1054"/>
      <c r="QGD241" s="1055"/>
      <c r="QGE241" s="1054"/>
      <c r="QGF241" s="1055"/>
      <c r="QGG241" s="1054"/>
      <c r="QGH241" s="1055"/>
      <c r="QGI241" s="1054"/>
      <c r="QGJ241" s="1055"/>
      <c r="QGK241" s="1054"/>
      <c r="QGL241" s="1055"/>
      <c r="QGM241" s="1054"/>
      <c r="QGN241" s="1055"/>
      <c r="QGO241" s="1054"/>
      <c r="QGP241" s="1055"/>
      <c r="QGQ241" s="1054"/>
      <c r="QGR241" s="1055"/>
      <c r="QGS241" s="1054"/>
      <c r="QGT241" s="1055"/>
      <c r="QGU241" s="1054"/>
      <c r="QGV241" s="1055"/>
      <c r="QGW241" s="1054"/>
      <c r="QGX241" s="1055"/>
      <c r="QGY241" s="1054"/>
      <c r="QGZ241" s="1055"/>
      <c r="QHA241" s="1054"/>
      <c r="QHB241" s="1055"/>
      <c r="QHC241" s="1054"/>
      <c r="QHD241" s="1055"/>
      <c r="QHE241" s="1054"/>
      <c r="QHF241" s="1055"/>
      <c r="QHG241" s="1054"/>
      <c r="QHH241" s="1055"/>
      <c r="QHI241" s="1054"/>
      <c r="QHJ241" s="1055"/>
      <c r="QHK241" s="1054"/>
      <c r="QHL241" s="1055"/>
      <c r="QHM241" s="1054"/>
      <c r="QHN241" s="1055"/>
      <c r="QHO241" s="1054"/>
      <c r="QHP241" s="1055"/>
      <c r="QHQ241" s="1054"/>
      <c r="QHR241" s="1055"/>
      <c r="QHS241" s="1054"/>
      <c r="QHT241" s="1055"/>
      <c r="QHU241" s="1054"/>
      <c r="QHV241" s="1055"/>
      <c r="QHW241" s="1054"/>
      <c r="QHX241" s="1055"/>
      <c r="QHY241" s="1054"/>
      <c r="QHZ241" s="1055"/>
      <c r="QIA241" s="1054"/>
      <c r="QIB241" s="1055"/>
      <c r="QIC241" s="1054"/>
      <c r="QID241" s="1055"/>
      <c r="QIE241" s="1054"/>
      <c r="QIF241" s="1055"/>
      <c r="QIG241" s="1054"/>
      <c r="QIH241" s="1055"/>
      <c r="QII241" s="1054"/>
      <c r="QIJ241" s="1055"/>
      <c r="QIK241" s="1054"/>
      <c r="QIL241" s="1055"/>
      <c r="QIM241" s="1054"/>
      <c r="QIN241" s="1055"/>
      <c r="QIO241" s="1054"/>
      <c r="QIP241" s="1055"/>
      <c r="QIQ241" s="1054"/>
      <c r="QIR241" s="1055"/>
      <c r="QIS241" s="1054"/>
      <c r="QIT241" s="1055"/>
      <c r="QIU241" s="1054"/>
      <c r="QIV241" s="1055"/>
      <c r="QIW241" s="1054"/>
      <c r="QIX241" s="1055"/>
      <c r="QIY241" s="1054"/>
      <c r="QIZ241" s="1055"/>
      <c r="QJA241" s="1054"/>
      <c r="QJB241" s="1055"/>
      <c r="QJC241" s="1054"/>
      <c r="QJD241" s="1055"/>
      <c r="QJE241" s="1054"/>
      <c r="QJF241" s="1055"/>
      <c r="QJG241" s="1054"/>
      <c r="QJH241" s="1055"/>
      <c r="QJI241" s="1054"/>
      <c r="QJJ241" s="1055"/>
      <c r="QJK241" s="1054"/>
      <c r="QJL241" s="1055"/>
      <c r="QJM241" s="1054"/>
      <c r="QJN241" s="1055"/>
      <c r="QJO241" s="1054"/>
      <c r="QJP241" s="1055"/>
      <c r="QJQ241" s="1054"/>
      <c r="QJR241" s="1055"/>
      <c r="QJS241" s="1054"/>
      <c r="QJT241" s="1055"/>
      <c r="QJU241" s="1054"/>
      <c r="QJV241" s="1055"/>
      <c r="QJW241" s="1054"/>
      <c r="QJX241" s="1055"/>
      <c r="QJY241" s="1054"/>
      <c r="QJZ241" s="1055"/>
      <c r="QKA241" s="1054"/>
      <c r="QKB241" s="1055"/>
      <c r="QKC241" s="1054"/>
      <c r="QKD241" s="1055"/>
      <c r="QKE241" s="1054"/>
      <c r="QKF241" s="1055"/>
      <c r="QKG241" s="1054"/>
      <c r="QKH241" s="1055"/>
      <c r="QKI241" s="1054"/>
      <c r="QKJ241" s="1055"/>
      <c r="QKK241" s="1054"/>
      <c r="QKL241" s="1055"/>
      <c r="QKM241" s="1054"/>
      <c r="QKN241" s="1055"/>
      <c r="QKO241" s="1054"/>
      <c r="QKP241" s="1055"/>
      <c r="QKQ241" s="1054"/>
      <c r="QKR241" s="1055"/>
      <c r="QKS241" s="1054"/>
      <c r="QKT241" s="1055"/>
      <c r="QKU241" s="1054"/>
      <c r="QKV241" s="1055"/>
      <c r="QKW241" s="1054"/>
      <c r="QKX241" s="1055"/>
      <c r="QKY241" s="1054"/>
      <c r="QKZ241" s="1055"/>
      <c r="QLA241" s="1054"/>
      <c r="QLB241" s="1055"/>
      <c r="QLC241" s="1054"/>
      <c r="QLD241" s="1055"/>
      <c r="QLE241" s="1054"/>
      <c r="QLF241" s="1055"/>
      <c r="QLG241" s="1054"/>
      <c r="QLH241" s="1055"/>
      <c r="QLI241" s="1054"/>
      <c r="QLJ241" s="1055"/>
      <c r="QLK241" s="1054"/>
      <c r="QLL241" s="1055"/>
      <c r="QLM241" s="1054"/>
      <c r="QLN241" s="1055"/>
      <c r="QLO241" s="1054"/>
      <c r="QLP241" s="1055"/>
      <c r="QLQ241" s="1054"/>
      <c r="QLR241" s="1055"/>
      <c r="QLS241" s="1054"/>
      <c r="QLT241" s="1055"/>
      <c r="QLU241" s="1054"/>
      <c r="QLV241" s="1055"/>
      <c r="QLW241" s="1054"/>
      <c r="QLX241" s="1055"/>
      <c r="QLY241" s="1054"/>
      <c r="QLZ241" s="1055"/>
      <c r="QMA241" s="1054"/>
      <c r="QMB241" s="1055"/>
      <c r="QMC241" s="1054"/>
      <c r="QMD241" s="1055"/>
      <c r="QME241" s="1054"/>
      <c r="QMF241" s="1055"/>
      <c r="QMG241" s="1054"/>
      <c r="QMH241" s="1055"/>
      <c r="QMI241" s="1054"/>
      <c r="QMJ241" s="1055"/>
      <c r="QMK241" s="1054"/>
      <c r="QML241" s="1055"/>
      <c r="QMM241" s="1054"/>
      <c r="QMN241" s="1055"/>
      <c r="QMO241" s="1054"/>
      <c r="QMP241" s="1055"/>
      <c r="QMQ241" s="1054"/>
      <c r="QMR241" s="1055"/>
      <c r="QMS241" s="1054"/>
      <c r="QMT241" s="1055"/>
      <c r="QMU241" s="1054"/>
      <c r="QMV241" s="1055"/>
      <c r="QMW241" s="1054"/>
      <c r="QMX241" s="1055"/>
      <c r="QMY241" s="1054"/>
      <c r="QMZ241" s="1055"/>
      <c r="QNA241" s="1054"/>
      <c r="QNB241" s="1055"/>
      <c r="QNC241" s="1054"/>
      <c r="QND241" s="1055"/>
      <c r="QNE241" s="1054"/>
      <c r="QNF241" s="1055"/>
      <c r="QNG241" s="1054"/>
      <c r="QNH241" s="1055"/>
      <c r="QNI241" s="1054"/>
      <c r="QNJ241" s="1055"/>
      <c r="QNK241" s="1054"/>
      <c r="QNL241" s="1055"/>
      <c r="QNM241" s="1054"/>
      <c r="QNN241" s="1055"/>
      <c r="QNO241" s="1054"/>
      <c r="QNP241" s="1055"/>
      <c r="QNQ241" s="1054"/>
      <c r="QNR241" s="1055"/>
      <c r="QNS241" s="1054"/>
      <c r="QNT241" s="1055"/>
      <c r="QNU241" s="1054"/>
      <c r="QNV241" s="1055"/>
      <c r="QNW241" s="1054"/>
      <c r="QNX241" s="1055"/>
      <c r="QNY241" s="1054"/>
      <c r="QNZ241" s="1055"/>
      <c r="QOA241" s="1054"/>
      <c r="QOB241" s="1055"/>
      <c r="QOC241" s="1054"/>
      <c r="QOD241" s="1055"/>
      <c r="QOE241" s="1054"/>
      <c r="QOF241" s="1055"/>
      <c r="QOG241" s="1054"/>
      <c r="QOH241" s="1055"/>
      <c r="QOI241" s="1054"/>
      <c r="QOJ241" s="1055"/>
      <c r="QOK241" s="1054"/>
      <c r="QOL241" s="1055"/>
      <c r="QOM241" s="1054"/>
      <c r="QON241" s="1055"/>
      <c r="QOO241" s="1054"/>
      <c r="QOP241" s="1055"/>
      <c r="QOQ241" s="1054"/>
      <c r="QOR241" s="1055"/>
      <c r="QOS241" s="1054"/>
      <c r="QOT241" s="1055"/>
      <c r="QOU241" s="1054"/>
      <c r="QOV241" s="1055"/>
      <c r="QOW241" s="1054"/>
      <c r="QOX241" s="1055"/>
      <c r="QOY241" s="1054"/>
      <c r="QOZ241" s="1055"/>
      <c r="QPA241" s="1054"/>
      <c r="QPB241" s="1055"/>
      <c r="QPC241" s="1054"/>
      <c r="QPD241" s="1055"/>
      <c r="QPE241" s="1054"/>
      <c r="QPF241" s="1055"/>
      <c r="QPG241" s="1054"/>
      <c r="QPH241" s="1055"/>
      <c r="QPI241" s="1054"/>
      <c r="QPJ241" s="1055"/>
      <c r="QPK241" s="1054"/>
      <c r="QPL241" s="1055"/>
      <c r="QPM241" s="1054"/>
      <c r="QPN241" s="1055"/>
      <c r="QPO241" s="1054"/>
      <c r="QPP241" s="1055"/>
      <c r="QPQ241" s="1054"/>
      <c r="QPR241" s="1055"/>
      <c r="QPS241" s="1054"/>
      <c r="QPT241" s="1055"/>
      <c r="QPU241" s="1054"/>
      <c r="QPV241" s="1055"/>
      <c r="QPW241" s="1054"/>
      <c r="QPX241" s="1055"/>
      <c r="QPY241" s="1054"/>
      <c r="QPZ241" s="1055"/>
      <c r="QQA241" s="1054"/>
      <c r="QQB241" s="1055"/>
      <c r="QQC241" s="1054"/>
      <c r="QQD241" s="1055"/>
      <c r="QQE241" s="1054"/>
      <c r="QQF241" s="1055"/>
      <c r="QQG241" s="1054"/>
      <c r="QQH241" s="1055"/>
      <c r="QQI241" s="1054"/>
      <c r="QQJ241" s="1055"/>
      <c r="QQK241" s="1054"/>
      <c r="QQL241" s="1055"/>
      <c r="QQM241" s="1054"/>
      <c r="QQN241" s="1055"/>
      <c r="QQO241" s="1054"/>
      <c r="QQP241" s="1055"/>
      <c r="QQQ241" s="1054"/>
      <c r="QQR241" s="1055"/>
      <c r="QQS241" s="1054"/>
      <c r="QQT241" s="1055"/>
      <c r="QQU241" s="1054"/>
      <c r="QQV241" s="1055"/>
      <c r="QQW241" s="1054"/>
      <c r="QQX241" s="1055"/>
      <c r="QQY241" s="1054"/>
      <c r="QQZ241" s="1055"/>
      <c r="QRA241" s="1054"/>
      <c r="QRB241" s="1055"/>
      <c r="QRC241" s="1054"/>
      <c r="QRD241" s="1055"/>
      <c r="QRE241" s="1054"/>
      <c r="QRF241" s="1055"/>
      <c r="QRG241" s="1054"/>
      <c r="QRH241" s="1055"/>
      <c r="QRI241" s="1054"/>
      <c r="QRJ241" s="1055"/>
      <c r="QRK241" s="1054"/>
      <c r="QRL241" s="1055"/>
      <c r="QRM241" s="1054"/>
      <c r="QRN241" s="1055"/>
      <c r="QRO241" s="1054"/>
      <c r="QRP241" s="1055"/>
      <c r="QRQ241" s="1054"/>
      <c r="QRR241" s="1055"/>
      <c r="QRS241" s="1054"/>
      <c r="QRT241" s="1055"/>
      <c r="QRU241" s="1054"/>
      <c r="QRV241" s="1055"/>
      <c r="QRW241" s="1054"/>
      <c r="QRX241" s="1055"/>
      <c r="QRY241" s="1054"/>
      <c r="QRZ241" s="1055"/>
      <c r="QSA241" s="1054"/>
      <c r="QSB241" s="1055"/>
      <c r="QSC241" s="1054"/>
      <c r="QSD241" s="1055"/>
      <c r="QSE241" s="1054"/>
      <c r="QSF241" s="1055"/>
      <c r="QSG241" s="1054"/>
      <c r="QSH241" s="1055"/>
      <c r="QSI241" s="1054"/>
      <c r="QSJ241" s="1055"/>
      <c r="QSK241" s="1054"/>
      <c r="QSL241" s="1055"/>
      <c r="QSM241" s="1054"/>
      <c r="QSN241" s="1055"/>
      <c r="QSO241" s="1054"/>
      <c r="QSP241" s="1055"/>
      <c r="QSQ241" s="1054"/>
      <c r="QSR241" s="1055"/>
      <c r="QSS241" s="1054"/>
      <c r="QST241" s="1055"/>
      <c r="QSU241" s="1054"/>
      <c r="QSV241" s="1055"/>
      <c r="QSW241" s="1054"/>
      <c r="QSX241" s="1055"/>
      <c r="QSY241" s="1054"/>
      <c r="QSZ241" s="1055"/>
      <c r="QTA241" s="1054"/>
      <c r="QTB241" s="1055"/>
      <c r="QTC241" s="1054"/>
      <c r="QTD241" s="1055"/>
      <c r="QTE241" s="1054"/>
      <c r="QTF241" s="1055"/>
      <c r="QTG241" s="1054"/>
      <c r="QTH241" s="1055"/>
      <c r="QTI241" s="1054"/>
      <c r="QTJ241" s="1055"/>
      <c r="QTK241" s="1054"/>
      <c r="QTL241" s="1055"/>
      <c r="QTM241" s="1054"/>
      <c r="QTN241" s="1055"/>
      <c r="QTO241" s="1054"/>
      <c r="QTP241" s="1055"/>
      <c r="QTQ241" s="1054"/>
      <c r="QTR241" s="1055"/>
      <c r="QTS241" s="1054"/>
      <c r="QTT241" s="1055"/>
      <c r="QTU241" s="1054"/>
      <c r="QTV241" s="1055"/>
      <c r="QTW241" s="1054"/>
      <c r="QTX241" s="1055"/>
      <c r="QTY241" s="1054"/>
      <c r="QTZ241" s="1055"/>
      <c r="QUA241" s="1054"/>
      <c r="QUB241" s="1055"/>
      <c r="QUC241" s="1054"/>
      <c r="QUD241" s="1055"/>
      <c r="QUE241" s="1054"/>
      <c r="QUF241" s="1055"/>
      <c r="QUG241" s="1054"/>
      <c r="QUH241" s="1055"/>
      <c r="QUI241" s="1054"/>
      <c r="QUJ241" s="1055"/>
      <c r="QUK241" s="1054"/>
      <c r="QUL241" s="1055"/>
      <c r="QUM241" s="1054"/>
      <c r="QUN241" s="1055"/>
      <c r="QUO241" s="1054"/>
      <c r="QUP241" s="1055"/>
      <c r="QUQ241" s="1054"/>
      <c r="QUR241" s="1055"/>
      <c r="QUS241" s="1054"/>
      <c r="QUT241" s="1055"/>
      <c r="QUU241" s="1054"/>
      <c r="QUV241" s="1055"/>
      <c r="QUW241" s="1054"/>
      <c r="QUX241" s="1055"/>
      <c r="QUY241" s="1054"/>
      <c r="QUZ241" s="1055"/>
      <c r="QVA241" s="1054"/>
      <c r="QVB241" s="1055"/>
      <c r="QVC241" s="1054"/>
      <c r="QVD241" s="1055"/>
      <c r="QVE241" s="1054"/>
      <c r="QVF241" s="1055"/>
      <c r="QVG241" s="1054"/>
      <c r="QVH241" s="1055"/>
      <c r="QVI241" s="1054"/>
      <c r="QVJ241" s="1055"/>
      <c r="QVK241" s="1054"/>
      <c r="QVL241" s="1055"/>
      <c r="QVM241" s="1054"/>
      <c r="QVN241" s="1055"/>
      <c r="QVO241" s="1054"/>
      <c r="QVP241" s="1055"/>
      <c r="QVQ241" s="1054"/>
      <c r="QVR241" s="1055"/>
      <c r="QVS241" s="1054"/>
      <c r="QVT241" s="1055"/>
      <c r="QVU241" s="1054"/>
      <c r="QVV241" s="1055"/>
      <c r="QVW241" s="1054"/>
      <c r="QVX241" s="1055"/>
      <c r="QVY241" s="1054"/>
      <c r="QVZ241" s="1055"/>
      <c r="QWA241" s="1054"/>
      <c r="QWB241" s="1055"/>
      <c r="QWC241" s="1054"/>
      <c r="QWD241" s="1055"/>
      <c r="QWE241" s="1054"/>
      <c r="QWF241" s="1055"/>
      <c r="QWG241" s="1054"/>
      <c r="QWH241" s="1055"/>
      <c r="QWI241" s="1054"/>
      <c r="QWJ241" s="1055"/>
      <c r="QWK241" s="1054"/>
      <c r="QWL241" s="1055"/>
      <c r="QWM241" s="1054"/>
      <c r="QWN241" s="1055"/>
      <c r="QWO241" s="1054"/>
      <c r="QWP241" s="1055"/>
      <c r="QWQ241" s="1054"/>
      <c r="QWR241" s="1055"/>
      <c r="QWS241" s="1054"/>
      <c r="QWT241" s="1055"/>
      <c r="QWU241" s="1054"/>
      <c r="QWV241" s="1055"/>
      <c r="QWW241" s="1054"/>
      <c r="QWX241" s="1055"/>
      <c r="QWY241" s="1054"/>
      <c r="QWZ241" s="1055"/>
      <c r="QXA241" s="1054"/>
      <c r="QXB241" s="1055"/>
      <c r="QXC241" s="1054"/>
      <c r="QXD241" s="1055"/>
      <c r="QXE241" s="1054"/>
      <c r="QXF241" s="1055"/>
      <c r="QXG241" s="1054"/>
      <c r="QXH241" s="1055"/>
      <c r="QXI241" s="1054"/>
      <c r="QXJ241" s="1055"/>
      <c r="QXK241" s="1054"/>
      <c r="QXL241" s="1055"/>
      <c r="QXM241" s="1054"/>
      <c r="QXN241" s="1055"/>
      <c r="QXO241" s="1054"/>
      <c r="QXP241" s="1055"/>
      <c r="QXQ241" s="1054"/>
      <c r="QXR241" s="1055"/>
      <c r="QXS241" s="1054"/>
      <c r="QXT241" s="1055"/>
      <c r="QXU241" s="1054"/>
      <c r="QXV241" s="1055"/>
      <c r="QXW241" s="1054"/>
      <c r="QXX241" s="1055"/>
      <c r="QXY241" s="1054"/>
      <c r="QXZ241" s="1055"/>
      <c r="QYA241" s="1054"/>
      <c r="QYB241" s="1055"/>
      <c r="QYC241" s="1054"/>
      <c r="QYD241" s="1055"/>
      <c r="QYE241" s="1054"/>
      <c r="QYF241" s="1055"/>
      <c r="QYG241" s="1054"/>
      <c r="QYH241" s="1055"/>
      <c r="QYI241" s="1054"/>
      <c r="QYJ241" s="1055"/>
      <c r="QYK241" s="1054"/>
      <c r="QYL241" s="1055"/>
      <c r="QYM241" s="1054"/>
      <c r="QYN241" s="1055"/>
      <c r="QYO241" s="1054"/>
      <c r="QYP241" s="1055"/>
      <c r="QYQ241" s="1054"/>
      <c r="QYR241" s="1055"/>
      <c r="QYS241" s="1054"/>
      <c r="QYT241" s="1055"/>
      <c r="QYU241" s="1054"/>
      <c r="QYV241" s="1055"/>
      <c r="QYW241" s="1054"/>
      <c r="QYX241" s="1055"/>
      <c r="QYY241" s="1054"/>
      <c r="QYZ241" s="1055"/>
      <c r="QZA241" s="1054"/>
      <c r="QZB241" s="1055"/>
      <c r="QZC241" s="1054"/>
      <c r="QZD241" s="1055"/>
      <c r="QZE241" s="1054"/>
      <c r="QZF241" s="1055"/>
      <c r="QZG241" s="1054"/>
      <c r="QZH241" s="1055"/>
      <c r="QZI241" s="1054"/>
      <c r="QZJ241" s="1055"/>
      <c r="QZK241" s="1054"/>
      <c r="QZL241" s="1055"/>
      <c r="QZM241" s="1054"/>
      <c r="QZN241" s="1055"/>
      <c r="QZO241" s="1054"/>
      <c r="QZP241" s="1055"/>
      <c r="QZQ241" s="1054"/>
      <c r="QZR241" s="1055"/>
      <c r="QZS241" s="1054"/>
      <c r="QZT241" s="1055"/>
      <c r="QZU241" s="1054"/>
      <c r="QZV241" s="1055"/>
      <c r="QZW241" s="1054"/>
      <c r="QZX241" s="1055"/>
      <c r="QZY241" s="1054"/>
      <c r="QZZ241" s="1055"/>
      <c r="RAA241" s="1054"/>
      <c r="RAB241" s="1055"/>
      <c r="RAC241" s="1054"/>
      <c r="RAD241" s="1055"/>
      <c r="RAE241" s="1054"/>
      <c r="RAF241" s="1055"/>
      <c r="RAG241" s="1054"/>
      <c r="RAH241" s="1055"/>
      <c r="RAI241" s="1054"/>
      <c r="RAJ241" s="1055"/>
      <c r="RAK241" s="1054"/>
      <c r="RAL241" s="1055"/>
      <c r="RAM241" s="1054"/>
      <c r="RAN241" s="1055"/>
      <c r="RAO241" s="1054"/>
      <c r="RAP241" s="1055"/>
      <c r="RAQ241" s="1054"/>
      <c r="RAR241" s="1055"/>
      <c r="RAS241" s="1054"/>
      <c r="RAT241" s="1055"/>
      <c r="RAU241" s="1054"/>
      <c r="RAV241" s="1055"/>
      <c r="RAW241" s="1054"/>
      <c r="RAX241" s="1055"/>
      <c r="RAY241" s="1054"/>
      <c r="RAZ241" s="1055"/>
      <c r="RBA241" s="1054"/>
      <c r="RBB241" s="1055"/>
      <c r="RBC241" s="1054"/>
      <c r="RBD241" s="1055"/>
      <c r="RBE241" s="1054"/>
      <c r="RBF241" s="1055"/>
      <c r="RBG241" s="1054"/>
      <c r="RBH241" s="1055"/>
      <c r="RBI241" s="1054"/>
      <c r="RBJ241" s="1055"/>
      <c r="RBK241" s="1054"/>
      <c r="RBL241" s="1055"/>
      <c r="RBM241" s="1054"/>
      <c r="RBN241" s="1055"/>
      <c r="RBO241" s="1054"/>
      <c r="RBP241" s="1055"/>
      <c r="RBQ241" s="1054"/>
      <c r="RBR241" s="1055"/>
      <c r="RBS241" s="1054"/>
      <c r="RBT241" s="1055"/>
      <c r="RBU241" s="1054"/>
      <c r="RBV241" s="1055"/>
      <c r="RBW241" s="1054"/>
      <c r="RBX241" s="1055"/>
      <c r="RBY241" s="1054"/>
      <c r="RBZ241" s="1055"/>
      <c r="RCA241" s="1054"/>
      <c r="RCB241" s="1055"/>
      <c r="RCC241" s="1054"/>
      <c r="RCD241" s="1055"/>
      <c r="RCE241" s="1054"/>
      <c r="RCF241" s="1055"/>
      <c r="RCG241" s="1054"/>
      <c r="RCH241" s="1055"/>
      <c r="RCI241" s="1054"/>
      <c r="RCJ241" s="1055"/>
      <c r="RCK241" s="1054"/>
      <c r="RCL241" s="1055"/>
      <c r="RCM241" s="1054"/>
      <c r="RCN241" s="1055"/>
      <c r="RCO241" s="1054"/>
      <c r="RCP241" s="1055"/>
      <c r="RCQ241" s="1054"/>
      <c r="RCR241" s="1055"/>
      <c r="RCS241" s="1054"/>
      <c r="RCT241" s="1055"/>
      <c r="RCU241" s="1054"/>
      <c r="RCV241" s="1055"/>
      <c r="RCW241" s="1054"/>
      <c r="RCX241" s="1055"/>
      <c r="RCY241" s="1054"/>
      <c r="RCZ241" s="1055"/>
      <c r="RDA241" s="1054"/>
      <c r="RDB241" s="1055"/>
      <c r="RDC241" s="1054"/>
      <c r="RDD241" s="1055"/>
      <c r="RDE241" s="1054"/>
      <c r="RDF241" s="1055"/>
      <c r="RDG241" s="1054"/>
      <c r="RDH241" s="1055"/>
      <c r="RDI241" s="1054"/>
      <c r="RDJ241" s="1055"/>
      <c r="RDK241" s="1054"/>
      <c r="RDL241" s="1055"/>
      <c r="RDM241" s="1054"/>
      <c r="RDN241" s="1055"/>
      <c r="RDO241" s="1054"/>
      <c r="RDP241" s="1055"/>
      <c r="RDQ241" s="1054"/>
      <c r="RDR241" s="1055"/>
      <c r="RDS241" s="1054"/>
      <c r="RDT241" s="1055"/>
      <c r="RDU241" s="1054"/>
      <c r="RDV241" s="1055"/>
      <c r="RDW241" s="1054"/>
      <c r="RDX241" s="1055"/>
      <c r="RDY241" s="1054"/>
      <c r="RDZ241" s="1055"/>
      <c r="REA241" s="1054"/>
      <c r="REB241" s="1055"/>
      <c r="REC241" s="1054"/>
      <c r="RED241" s="1055"/>
      <c r="REE241" s="1054"/>
      <c r="REF241" s="1055"/>
      <c r="REG241" s="1054"/>
      <c r="REH241" s="1055"/>
      <c r="REI241" s="1054"/>
      <c r="REJ241" s="1055"/>
      <c r="REK241" s="1054"/>
      <c r="REL241" s="1055"/>
      <c r="REM241" s="1054"/>
      <c r="REN241" s="1055"/>
      <c r="REO241" s="1054"/>
      <c r="REP241" s="1055"/>
      <c r="REQ241" s="1054"/>
      <c r="RER241" s="1055"/>
      <c r="RES241" s="1054"/>
      <c r="RET241" s="1055"/>
      <c r="REU241" s="1054"/>
      <c r="REV241" s="1055"/>
      <c r="REW241" s="1054"/>
      <c r="REX241" s="1055"/>
      <c r="REY241" s="1054"/>
      <c r="REZ241" s="1055"/>
      <c r="RFA241" s="1054"/>
      <c r="RFB241" s="1055"/>
      <c r="RFC241" s="1054"/>
      <c r="RFD241" s="1055"/>
      <c r="RFE241" s="1054"/>
      <c r="RFF241" s="1055"/>
      <c r="RFG241" s="1054"/>
      <c r="RFH241" s="1055"/>
      <c r="RFI241" s="1054"/>
      <c r="RFJ241" s="1055"/>
      <c r="RFK241" s="1054"/>
      <c r="RFL241" s="1055"/>
      <c r="RFM241" s="1054"/>
      <c r="RFN241" s="1055"/>
      <c r="RFO241" s="1054"/>
      <c r="RFP241" s="1055"/>
      <c r="RFQ241" s="1054"/>
      <c r="RFR241" s="1055"/>
      <c r="RFS241" s="1054"/>
      <c r="RFT241" s="1055"/>
      <c r="RFU241" s="1054"/>
      <c r="RFV241" s="1055"/>
      <c r="RFW241" s="1054"/>
      <c r="RFX241" s="1055"/>
      <c r="RFY241" s="1054"/>
      <c r="RFZ241" s="1055"/>
      <c r="RGA241" s="1054"/>
      <c r="RGB241" s="1055"/>
      <c r="RGC241" s="1054"/>
      <c r="RGD241" s="1055"/>
      <c r="RGE241" s="1054"/>
      <c r="RGF241" s="1055"/>
      <c r="RGG241" s="1054"/>
      <c r="RGH241" s="1055"/>
      <c r="RGI241" s="1054"/>
      <c r="RGJ241" s="1055"/>
      <c r="RGK241" s="1054"/>
      <c r="RGL241" s="1055"/>
      <c r="RGM241" s="1054"/>
      <c r="RGN241" s="1055"/>
      <c r="RGO241" s="1054"/>
      <c r="RGP241" s="1055"/>
      <c r="RGQ241" s="1054"/>
      <c r="RGR241" s="1055"/>
      <c r="RGS241" s="1054"/>
      <c r="RGT241" s="1055"/>
      <c r="RGU241" s="1054"/>
      <c r="RGV241" s="1055"/>
      <c r="RGW241" s="1054"/>
      <c r="RGX241" s="1055"/>
      <c r="RGY241" s="1054"/>
      <c r="RGZ241" s="1055"/>
      <c r="RHA241" s="1054"/>
      <c r="RHB241" s="1055"/>
      <c r="RHC241" s="1054"/>
      <c r="RHD241" s="1055"/>
      <c r="RHE241" s="1054"/>
      <c r="RHF241" s="1055"/>
      <c r="RHG241" s="1054"/>
      <c r="RHH241" s="1055"/>
      <c r="RHI241" s="1054"/>
      <c r="RHJ241" s="1055"/>
      <c r="RHK241" s="1054"/>
      <c r="RHL241" s="1055"/>
      <c r="RHM241" s="1054"/>
      <c r="RHN241" s="1055"/>
      <c r="RHO241" s="1054"/>
      <c r="RHP241" s="1055"/>
      <c r="RHQ241" s="1054"/>
      <c r="RHR241" s="1055"/>
      <c r="RHS241" s="1054"/>
      <c r="RHT241" s="1055"/>
      <c r="RHU241" s="1054"/>
      <c r="RHV241" s="1055"/>
      <c r="RHW241" s="1054"/>
      <c r="RHX241" s="1055"/>
      <c r="RHY241" s="1054"/>
      <c r="RHZ241" s="1055"/>
      <c r="RIA241" s="1054"/>
      <c r="RIB241" s="1055"/>
      <c r="RIC241" s="1054"/>
      <c r="RID241" s="1055"/>
      <c r="RIE241" s="1054"/>
      <c r="RIF241" s="1055"/>
      <c r="RIG241" s="1054"/>
      <c r="RIH241" s="1055"/>
      <c r="RII241" s="1054"/>
      <c r="RIJ241" s="1055"/>
      <c r="RIK241" s="1054"/>
      <c r="RIL241" s="1055"/>
      <c r="RIM241" s="1054"/>
      <c r="RIN241" s="1055"/>
      <c r="RIO241" s="1054"/>
      <c r="RIP241" s="1055"/>
      <c r="RIQ241" s="1054"/>
      <c r="RIR241" s="1055"/>
      <c r="RIS241" s="1054"/>
      <c r="RIT241" s="1055"/>
      <c r="RIU241" s="1054"/>
      <c r="RIV241" s="1055"/>
      <c r="RIW241" s="1054"/>
      <c r="RIX241" s="1055"/>
      <c r="RIY241" s="1054"/>
      <c r="RIZ241" s="1055"/>
      <c r="RJA241" s="1054"/>
      <c r="RJB241" s="1055"/>
      <c r="RJC241" s="1054"/>
      <c r="RJD241" s="1055"/>
      <c r="RJE241" s="1054"/>
      <c r="RJF241" s="1055"/>
      <c r="RJG241" s="1054"/>
      <c r="RJH241" s="1055"/>
      <c r="RJI241" s="1054"/>
      <c r="RJJ241" s="1055"/>
      <c r="RJK241" s="1054"/>
      <c r="RJL241" s="1055"/>
      <c r="RJM241" s="1054"/>
      <c r="RJN241" s="1055"/>
      <c r="RJO241" s="1054"/>
      <c r="RJP241" s="1055"/>
      <c r="RJQ241" s="1054"/>
      <c r="RJR241" s="1055"/>
      <c r="RJS241" s="1054"/>
      <c r="RJT241" s="1055"/>
      <c r="RJU241" s="1054"/>
      <c r="RJV241" s="1055"/>
      <c r="RJW241" s="1054"/>
      <c r="RJX241" s="1055"/>
      <c r="RJY241" s="1054"/>
      <c r="RJZ241" s="1055"/>
      <c r="RKA241" s="1054"/>
      <c r="RKB241" s="1055"/>
      <c r="RKC241" s="1054"/>
      <c r="RKD241" s="1055"/>
      <c r="RKE241" s="1054"/>
      <c r="RKF241" s="1055"/>
      <c r="RKG241" s="1054"/>
      <c r="RKH241" s="1055"/>
      <c r="RKI241" s="1054"/>
      <c r="RKJ241" s="1055"/>
      <c r="RKK241" s="1054"/>
      <c r="RKL241" s="1055"/>
      <c r="RKM241" s="1054"/>
      <c r="RKN241" s="1055"/>
      <c r="RKO241" s="1054"/>
      <c r="RKP241" s="1055"/>
      <c r="RKQ241" s="1054"/>
      <c r="RKR241" s="1055"/>
      <c r="RKS241" s="1054"/>
      <c r="RKT241" s="1055"/>
      <c r="RKU241" s="1054"/>
      <c r="RKV241" s="1055"/>
      <c r="RKW241" s="1054"/>
      <c r="RKX241" s="1055"/>
      <c r="RKY241" s="1054"/>
      <c r="RKZ241" s="1055"/>
      <c r="RLA241" s="1054"/>
      <c r="RLB241" s="1055"/>
      <c r="RLC241" s="1054"/>
      <c r="RLD241" s="1055"/>
      <c r="RLE241" s="1054"/>
      <c r="RLF241" s="1055"/>
      <c r="RLG241" s="1054"/>
      <c r="RLH241" s="1055"/>
      <c r="RLI241" s="1054"/>
      <c r="RLJ241" s="1055"/>
      <c r="RLK241" s="1054"/>
      <c r="RLL241" s="1055"/>
      <c r="RLM241" s="1054"/>
      <c r="RLN241" s="1055"/>
      <c r="RLO241" s="1054"/>
      <c r="RLP241" s="1055"/>
      <c r="RLQ241" s="1054"/>
      <c r="RLR241" s="1055"/>
      <c r="RLS241" s="1054"/>
      <c r="RLT241" s="1055"/>
      <c r="RLU241" s="1054"/>
      <c r="RLV241" s="1055"/>
      <c r="RLW241" s="1054"/>
      <c r="RLX241" s="1055"/>
      <c r="RLY241" s="1054"/>
      <c r="RLZ241" s="1055"/>
      <c r="RMA241" s="1054"/>
      <c r="RMB241" s="1055"/>
      <c r="RMC241" s="1054"/>
      <c r="RMD241" s="1055"/>
      <c r="RME241" s="1054"/>
      <c r="RMF241" s="1055"/>
      <c r="RMG241" s="1054"/>
      <c r="RMH241" s="1055"/>
      <c r="RMI241" s="1054"/>
      <c r="RMJ241" s="1055"/>
      <c r="RMK241" s="1054"/>
      <c r="RML241" s="1055"/>
      <c r="RMM241" s="1054"/>
      <c r="RMN241" s="1055"/>
      <c r="RMO241" s="1054"/>
      <c r="RMP241" s="1055"/>
      <c r="RMQ241" s="1054"/>
      <c r="RMR241" s="1055"/>
      <c r="RMS241" s="1054"/>
      <c r="RMT241" s="1055"/>
      <c r="RMU241" s="1054"/>
      <c r="RMV241" s="1055"/>
      <c r="RMW241" s="1054"/>
      <c r="RMX241" s="1055"/>
      <c r="RMY241" s="1054"/>
      <c r="RMZ241" s="1055"/>
      <c r="RNA241" s="1054"/>
      <c r="RNB241" s="1055"/>
      <c r="RNC241" s="1054"/>
      <c r="RND241" s="1055"/>
      <c r="RNE241" s="1054"/>
      <c r="RNF241" s="1055"/>
      <c r="RNG241" s="1054"/>
      <c r="RNH241" s="1055"/>
      <c r="RNI241" s="1054"/>
      <c r="RNJ241" s="1055"/>
      <c r="RNK241" s="1054"/>
      <c r="RNL241" s="1055"/>
      <c r="RNM241" s="1054"/>
      <c r="RNN241" s="1055"/>
      <c r="RNO241" s="1054"/>
      <c r="RNP241" s="1055"/>
      <c r="RNQ241" s="1054"/>
      <c r="RNR241" s="1055"/>
      <c r="RNS241" s="1054"/>
      <c r="RNT241" s="1055"/>
      <c r="RNU241" s="1054"/>
      <c r="RNV241" s="1055"/>
      <c r="RNW241" s="1054"/>
      <c r="RNX241" s="1055"/>
      <c r="RNY241" s="1054"/>
      <c r="RNZ241" s="1055"/>
      <c r="ROA241" s="1054"/>
      <c r="ROB241" s="1055"/>
      <c r="ROC241" s="1054"/>
      <c r="ROD241" s="1055"/>
      <c r="ROE241" s="1054"/>
      <c r="ROF241" s="1055"/>
      <c r="ROG241" s="1054"/>
      <c r="ROH241" s="1055"/>
      <c r="ROI241" s="1054"/>
      <c r="ROJ241" s="1055"/>
      <c r="ROK241" s="1054"/>
      <c r="ROL241" s="1055"/>
      <c r="ROM241" s="1054"/>
      <c r="RON241" s="1055"/>
      <c r="ROO241" s="1054"/>
      <c r="ROP241" s="1055"/>
      <c r="ROQ241" s="1054"/>
      <c r="ROR241" s="1055"/>
      <c r="ROS241" s="1054"/>
      <c r="ROT241" s="1055"/>
      <c r="ROU241" s="1054"/>
      <c r="ROV241" s="1055"/>
      <c r="ROW241" s="1054"/>
      <c r="ROX241" s="1055"/>
      <c r="ROY241" s="1054"/>
      <c r="ROZ241" s="1055"/>
      <c r="RPA241" s="1054"/>
      <c r="RPB241" s="1055"/>
      <c r="RPC241" s="1054"/>
      <c r="RPD241" s="1055"/>
      <c r="RPE241" s="1054"/>
      <c r="RPF241" s="1055"/>
      <c r="RPG241" s="1054"/>
      <c r="RPH241" s="1055"/>
      <c r="RPI241" s="1054"/>
      <c r="RPJ241" s="1055"/>
      <c r="RPK241" s="1054"/>
      <c r="RPL241" s="1055"/>
      <c r="RPM241" s="1054"/>
      <c r="RPN241" s="1055"/>
      <c r="RPO241" s="1054"/>
      <c r="RPP241" s="1055"/>
      <c r="RPQ241" s="1054"/>
      <c r="RPR241" s="1055"/>
      <c r="RPS241" s="1054"/>
      <c r="RPT241" s="1055"/>
      <c r="RPU241" s="1054"/>
      <c r="RPV241" s="1055"/>
      <c r="RPW241" s="1054"/>
      <c r="RPX241" s="1055"/>
      <c r="RPY241" s="1054"/>
      <c r="RPZ241" s="1055"/>
      <c r="RQA241" s="1054"/>
      <c r="RQB241" s="1055"/>
      <c r="RQC241" s="1054"/>
      <c r="RQD241" s="1055"/>
      <c r="RQE241" s="1054"/>
      <c r="RQF241" s="1055"/>
      <c r="RQG241" s="1054"/>
      <c r="RQH241" s="1055"/>
      <c r="RQI241" s="1054"/>
      <c r="RQJ241" s="1055"/>
      <c r="RQK241" s="1054"/>
      <c r="RQL241" s="1055"/>
      <c r="RQM241" s="1054"/>
      <c r="RQN241" s="1055"/>
      <c r="RQO241" s="1054"/>
      <c r="RQP241" s="1055"/>
      <c r="RQQ241" s="1054"/>
      <c r="RQR241" s="1055"/>
      <c r="RQS241" s="1054"/>
      <c r="RQT241" s="1055"/>
      <c r="RQU241" s="1054"/>
      <c r="RQV241" s="1055"/>
      <c r="RQW241" s="1054"/>
      <c r="RQX241" s="1055"/>
      <c r="RQY241" s="1054"/>
      <c r="RQZ241" s="1055"/>
      <c r="RRA241" s="1054"/>
      <c r="RRB241" s="1055"/>
      <c r="RRC241" s="1054"/>
      <c r="RRD241" s="1055"/>
      <c r="RRE241" s="1054"/>
      <c r="RRF241" s="1055"/>
      <c r="RRG241" s="1054"/>
      <c r="RRH241" s="1055"/>
      <c r="RRI241" s="1054"/>
      <c r="RRJ241" s="1055"/>
      <c r="RRK241" s="1054"/>
      <c r="RRL241" s="1055"/>
      <c r="RRM241" s="1054"/>
      <c r="RRN241" s="1055"/>
      <c r="RRO241" s="1054"/>
      <c r="RRP241" s="1055"/>
      <c r="RRQ241" s="1054"/>
      <c r="RRR241" s="1055"/>
      <c r="RRS241" s="1054"/>
      <c r="RRT241" s="1055"/>
      <c r="RRU241" s="1054"/>
      <c r="RRV241" s="1055"/>
      <c r="RRW241" s="1054"/>
      <c r="RRX241" s="1055"/>
      <c r="RRY241" s="1054"/>
      <c r="RRZ241" s="1055"/>
      <c r="RSA241" s="1054"/>
      <c r="RSB241" s="1055"/>
      <c r="RSC241" s="1054"/>
      <c r="RSD241" s="1055"/>
      <c r="RSE241" s="1054"/>
      <c r="RSF241" s="1055"/>
      <c r="RSG241" s="1054"/>
      <c r="RSH241" s="1055"/>
      <c r="RSI241" s="1054"/>
      <c r="RSJ241" s="1055"/>
      <c r="RSK241" s="1054"/>
      <c r="RSL241" s="1055"/>
      <c r="RSM241" s="1054"/>
      <c r="RSN241" s="1055"/>
      <c r="RSO241" s="1054"/>
      <c r="RSP241" s="1055"/>
      <c r="RSQ241" s="1054"/>
      <c r="RSR241" s="1055"/>
      <c r="RSS241" s="1054"/>
      <c r="RST241" s="1055"/>
      <c r="RSU241" s="1054"/>
      <c r="RSV241" s="1055"/>
      <c r="RSW241" s="1054"/>
      <c r="RSX241" s="1055"/>
      <c r="RSY241" s="1054"/>
      <c r="RSZ241" s="1055"/>
      <c r="RTA241" s="1054"/>
      <c r="RTB241" s="1055"/>
      <c r="RTC241" s="1054"/>
      <c r="RTD241" s="1055"/>
      <c r="RTE241" s="1054"/>
      <c r="RTF241" s="1055"/>
      <c r="RTG241" s="1054"/>
      <c r="RTH241" s="1055"/>
      <c r="RTI241" s="1054"/>
      <c r="RTJ241" s="1055"/>
      <c r="RTK241" s="1054"/>
      <c r="RTL241" s="1055"/>
      <c r="RTM241" s="1054"/>
      <c r="RTN241" s="1055"/>
      <c r="RTO241" s="1054"/>
      <c r="RTP241" s="1055"/>
      <c r="RTQ241" s="1054"/>
      <c r="RTR241" s="1055"/>
      <c r="RTS241" s="1054"/>
      <c r="RTT241" s="1055"/>
      <c r="RTU241" s="1054"/>
      <c r="RTV241" s="1055"/>
      <c r="RTW241" s="1054"/>
      <c r="RTX241" s="1055"/>
      <c r="RTY241" s="1054"/>
      <c r="RTZ241" s="1055"/>
      <c r="RUA241" s="1054"/>
      <c r="RUB241" s="1055"/>
      <c r="RUC241" s="1054"/>
      <c r="RUD241" s="1055"/>
      <c r="RUE241" s="1054"/>
      <c r="RUF241" s="1055"/>
      <c r="RUG241" s="1054"/>
      <c r="RUH241" s="1055"/>
      <c r="RUI241" s="1054"/>
      <c r="RUJ241" s="1055"/>
      <c r="RUK241" s="1054"/>
      <c r="RUL241" s="1055"/>
      <c r="RUM241" s="1054"/>
      <c r="RUN241" s="1055"/>
      <c r="RUO241" s="1054"/>
      <c r="RUP241" s="1055"/>
      <c r="RUQ241" s="1054"/>
      <c r="RUR241" s="1055"/>
      <c r="RUS241" s="1054"/>
      <c r="RUT241" s="1055"/>
      <c r="RUU241" s="1054"/>
      <c r="RUV241" s="1055"/>
      <c r="RUW241" s="1054"/>
      <c r="RUX241" s="1055"/>
      <c r="RUY241" s="1054"/>
      <c r="RUZ241" s="1055"/>
      <c r="RVA241" s="1054"/>
      <c r="RVB241" s="1055"/>
      <c r="RVC241" s="1054"/>
      <c r="RVD241" s="1055"/>
      <c r="RVE241" s="1054"/>
      <c r="RVF241" s="1055"/>
      <c r="RVG241" s="1054"/>
      <c r="RVH241" s="1055"/>
      <c r="RVI241" s="1054"/>
      <c r="RVJ241" s="1055"/>
      <c r="RVK241" s="1054"/>
      <c r="RVL241" s="1055"/>
      <c r="RVM241" s="1054"/>
      <c r="RVN241" s="1055"/>
      <c r="RVO241" s="1054"/>
      <c r="RVP241" s="1055"/>
      <c r="RVQ241" s="1054"/>
      <c r="RVR241" s="1055"/>
      <c r="RVS241" s="1054"/>
      <c r="RVT241" s="1055"/>
      <c r="RVU241" s="1054"/>
      <c r="RVV241" s="1055"/>
      <c r="RVW241" s="1054"/>
      <c r="RVX241" s="1055"/>
      <c r="RVY241" s="1054"/>
      <c r="RVZ241" s="1055"/>
      <c r="RWA241" s="1054"/>
      <c r="RWB241" s="1055"/>
      <c r="RWC241" s="1054"/>
      <c r="RWD241" s="1055"/>
      <c r="RWE241" s="1054"/>
      <c r="RWF241" s="1055"/>
      <c r="RWG241" s="1054"/>
      <c r="RWH241" s="1055"/>
      <c r="RWI241" s="1054"/>
      <c r="RWJ241" s="1055"/>
      <c r="RWK241" s="1054"/>
      <c r="RWL241" s="1055"/>
      <c r="RWM241" s="1054"/>
      <c r="RWN241" s="1055"/>
      <c r="RWO241" s="1054"/>
      <c r="RWP241" s="1055"/>
      <c r="RWQ241" s="1054"/>
      <c r="RWR241" s="1055"/>
      <c r="RWS241" s="1054"/>
      <c r="RWT241" s="1055"/>
      <c r="RWU241" s="1054"/>
      <c r="RWV241" s="1055"/>
      <c r="RWW241" s="1054"/>
      <c r="RWX241" s="1055"/>
      <c r="RWY241" s="1054"/>
      <c r="RWZ241" s="1055"/>
      <c r="RXA241" s="1054"/>
      <c r="RXB241" s="1055"/>
      <c r="RXC241" s="1054"/>
      <c r="RXD241" s="1055"/>
      <c r="RXE241" s="1054"/>
      <c r="RXF241" s="1055"/>
      <c r="RXG241" s="1054"/>
      <c r="RXH241" s="1055"/>
      <c r="RXI241" s="1054"/>
      <c r="RXJ241" s="1055"/>
      <c r="RXK241" s="1054"/>
      <c r="RXL241" s="1055"/>
      <c r="RXM241" s="1054"/>
      <c r="RXN241" s="1055"/>
      <c r="RXO241" s="1054"/>
      <c r="RXP241" s="1055"/>
      <c r="RXQ241" s="1054"/>
      <c r="RXR241" s="1055"/>
      <c r="RXS241" s="1054"/>
      <c r="RXT241" s="1055"/>
      <c r="RXU241" s="1054"/>
      <c r="RXV241" s="1055"/>
      <c r="RXW241" s="1054"/>
      <c r="RXX241" s="1055"/>
      <c r="RXY241" s="1054"/>
      <c r="RXZ241" s="1055"/>
      <c r="RYA241" s="1054"/>
      <c r="RYB241" s="1055"/>
      <c r="RYC241" s="1054"/>
      <c r="RYD241" s="1055"/>
      <c r="RYE241" s="1054"/>
      <c r="RYF241" s="1055"/>
      <c r="RYG241" s="1054"/>
      <c r="RYH241" s="1055"/>
      <c r="RYI241" s="1054"/>
      <c r="RYJ241" s="1055"/>
      <c r="RYK241" s="1054"/>
      <c r="RYL241" s="1055"/>
      <c r="RYM241" s="1054"/>
      <c r="RYN241" s="1055"/>
      <c r="RYO241" s="1054"/>
      <c r="RYP241" s="1055"/>
      <c r="RYQ241" s="1054"/>
      <c r="RYR241" s="1055"/>
      <c r="RYS241" s="1054"/>
      <c r="RYT241" s="1055"/>
      <c r="RYU241" s="1054"/>
      <c r="RYV241" s="1055"/>
      <c r="RYW241" s="1054"/>
      <c r="RYX241" s="1055"/>
      <c r="RYY241" s="1054"/>
      <c r="RYZ241" s="1055"/>
      <c r="RZA241" s="1054"/>
      <c r="RZB241" s="1055"/>
      <c r="RZC241" s="1054"/>
      <c r="RZD241" s="1055"/>
      <c r="RZE241" s="1054"/>
      <c r="RZF241" s="1055"/>
      <c r="RZG241" s="1054"/>
      <c r="RZH241" s="1055"/>
      <c r="RZI241" s="1054"/>
      <c r="RZJ241" s="1055"/>
      <c r="RZK241" s="1054"/>
      <c r="RZL241" s="1055"/>
      <c r="RZM241" s="1054"/>
      <c r="RZN241" s="1055"/>
      <c r="RZO241" s="1054"/>
      <c r="RZP241" s="1055"/>
      <c r="RZQ241" s="1054"/>
      <c r="RZR241" s="1055"/>
      <c r="RZS241" s="1054"/>
      <c r="RZT241" s="1055"/>
      <c r="RZU241" s="1054"/>
      <c r="RZV241" s="1055"/>
      <c r="RZW241" s="1054"/>
      <c r="RZX241" s="1055"/>
      <c r="RZY241" s="1054"/>
      <c r="RZZ241" s="1055"/>
      <c r="SAA241" s="1054"/>
      <c r="SAB241" s="1055"/>
      <c r="SAC241" s="1054"/>
      <c r="SAD241" s="1055"/>
      <c r="SAE241" s="1054"/>
      <c r="SAF241" s="1055"/>
      <c r="SAG241" s="1054"/>
      <c r="SAH241" s="1055"/>
      <c r="SAI241" s="1054"/>
      <c r="SAJ241" s="1055"/>
      <c r="SAK241" s="1054"/>
      <c r="SAL241" s="1055"/>
      <c r="SAM241" s="1054"/>
      <c r="SAN241" s="1055"/>
      <c r="SAO241" s="1054"/>
      <c r="SAP241" s="1055"/>
      <c r="SAQ241" s="1054"/>
      <c r="SAR241" s="1055"/>
      <c r="SAS241" s="1054"/>
      <c r="SAT241" s="1055"/>
      <c r="SAU241" s="1054"/>
      <c r="SAV241" s="1055"/>
      <c r="SAW241" s="1054"/>
      <c r="SAX241" s="1055"/>
      <c r="SAY241" s="1054"/>
      <c r="SAZ241" s="1055"/>
      <c r="SBA241" s="1054"/>
      <c r="SBB241" s="1055"/>
      <c r="SBC241" s="1054"/>
      <c r="SBD241" s="1055"/>
      <c r="SBE241" s="1054"/>
      <c r="SBF241" s="1055"/>
      <c r="SBG241" s="1054"/>
      <c r="SBH241" s="1055"/>
      <c r="SBI241" s="1054"/>
      <c r="SBJ241" s="1055"/>
      <c r="SBK241" s="1054"/>
      <c r="SBL241" s="1055"/>
      <c r="SBM241" s="1054"/>
      <c r="SBN241" s="1055"/>
      <c r="SBO241" s="1054"/>
      <c r="SBP241" s="1055"/>
      <c r="SBQ241" s="1054"/>
      <c r="SBR241" s="1055"/>
      <c r="SBS241" s="1054"/>
      <c r="SBT241" s="1055"/>
      <c r="SBU241" s="1054"/>
      <c r="SBV241" s="1055"/>
      <c r="SBW241" s="1054"/>
      <c r="SBX241" s="1055"/>
      <c r="SBY241" s="1054"/>
      <c r="SBZ241" s="1055"/>
      <c r="SCA241" s="1054"/>
      <c r="SCB241" s="1055"/>
      <c r="SCC241" s="1054"/>
      <c r="SCD241" s="1055"/>
      <c r="SCE241" s="1054"/>
      <c r="SCF241" s="1055"/>
      <c r="SCG241" s="1054"/>
      <c r="SCH241" s="1055"/>
      <c r="SCI241" s="1054"/>
      <c r="SCJ241" s="1055"/>
      <c r="SCK241" s="1054"/>
      <c r="SCL241" s="1055"/>
      <c r="SCM241" s="1054"/>
      <c r="SCN241" s="1055"/>
      <c r="SCO241" s="1054"/>
      <c r="SCP241" s="1055"/>
      <c r="SCQ241" s="1054"/>
      <c r="SCR241" s="1055"/>
      <c r="SCS241" s="1054"/>
      <c r="SCT241" s="1055"/>
      <c r="SCU241" s="1054"/>
      <c r="SCV241" s="1055"/>
      <c r="SCW241" s="1054"/>
      <c r="SCX241" s="1055"/>
      <c r="SCY241" s="1054"/>
      <c r="SCZ241" s="1055"/>
      <c r="SDA241" s="1054"/>
      <c r="SDB241" s="1055"/>
      <c r="SDC241" s="1054"/>
      <c r="SDD241" s="1055"/>
      <c r="SDE241" s="1054"/>
      <c r="SDF241" s="1055"/>
      <c r="SDG241" s="1054"/>
      <c r="SDH241" s="1055"/>
      <c r="SDI241" s="1054"/>
      <c r="SDJ241" s="1055"/>
      <c r="SDK241" s="1054"/>
      <c r="SDL241" s="1055"/>
      <c r="SDM241" s="1054"/>
      <c r="SDN241" s="1055"/>
      <c r="SDO241" s="1054"/>
      <c r="SDP241" s="1055"/>
      <c r="SDQ241" s="1054"/>
      <c r="SDR241" s="1055"/>
      <c r="SDS241" s="1054"/>
      <c r="SDT241" s="1055"/>
      <c r="SDU241" s="1054"/>
      <c r="SDV241" s="1055"/>
      <c r="SDW241" s="1054"/>
      <c r="SDX241" s="1055"/>
      <c r="SDY241" s="1054"/>
      <c r="SDZ241" s="1055"/>
      <c r="SEA241" s="1054"/>
      <c r="SEB241" s="1055"/>
      <c r="SEC241" s="1054"/>
      <c r="SED241" s="1055"/>
      <c r="SEE241" s="1054"/>
      <c r="SEF241" s="1055"/>
      <c r="SEG241" s="1054"/>
      <c r="SEH241" s="1055"/>
      <c r="SEI241" s="1054"/>
      <c r="SEJ241" s="1055"/>
      <c r="SEK241" s="1054"/>
      <c r="SEL241" s="1055"/>
      <c r="SEM241" s="1054"/>
      <c r="SEN241" s="1055"/>
      <c r="SEO241" s="1054"/>
      <c r="SEP241" s="1055"/>
      <c r="SEQ241" s="1054"/>
      <c r="SER241" s="1055"/>
      <c r="SES241" s="1054"/>
      <c r="SET241" s="1055"/>
      <c r="SEU241" s="1054"/>
      <c r="SEV241" s="1055"/>
      <c r="SEW241" s="1054"/>
      <c r="SEX241" s="1055"/>
      <c r="SEY241" s="1054"/>
      <c r="SEZ241" s="1055"/>
      <c r="SFA241" s="1054"/>
      <c r="SFB241" s="1055"/>
      <c r="SFC241" s="1054"/>
      <c r="SFD241" s="1055"/>
      <c r="SFE241" s="1054"/>
      <c r="SFF241" s="1055"/>
      <c r="SFG241" s="1054"/>
      <c r="SFH241" s="1055"/>
      <c r="SFI241" s="1054"/>
      <c r="SFJ241" s="1055"/>
      <c r="SFK241" s="1054"/>
      <c r="SFL241" s="1055"/>
      <c r="SFM241" s="1054"/>
      <c r="SFN241" s="1055"/>
      <c r="SFO241" s="1054"/>
      <c r="SFP241" s="1055"/>
      <c r="SFQ241" s="1054"/>
      <c r="SFR241" s="1055"/>
      <c r="SFS241" s="1054"/>
      <c r="SFT241" s="1055"/>
      <c r="SFU241" s="1054"/>
      <c r="SFV241" s="1055"/>
      <c r="SFW241" s="1054"/>
      <c r="SFX241" s="1055"/>
      <c r="SFY241" s="1054"/>
      <c r="SFZ241" s="1055"/>
      <c r="SGA241" s="1054"/>
      <c r="SGB241" s="1055"/>
      <c r="SGC241" s="1054"/>
      <c r="SGD241" s="1055"/>
      <c r="SGE241" s="1054"/>
      <c r="SGF241" s="1055"/>
      <c r="SGG241" s="1054"/>
      <c r="SGH241" s="1055"/>
      <c r="SGI241" s="1054"/>
      <c r="SGJ241" s="1055"/>
      <c r="SGK241" s="1054"/>
      <c r="SGL241" s="1055"/>
      <c r="SGM241" s="1054"/>
      <c r="SGN241" s="1055"/>
      <c r="SGO241" s="1054"/>
      <c r="SGP241" s="1055"/>
      <c r="SGQ241" s="1054"/>
      <c r="SGR241" s="1055"/>
      <c r="SGS241" s="1054"/>
      <c r="SGT241" s="1055"/>
      <c r="SGU241" s="1054"/>
      <c r="SGV241" s="1055"/>
      <c r="SGW241" s="1054"/>
      <c r="SGX241" s="1055"/>
      <c r="SGY241" s="1054"/>
      <c r="SGZ241" s="1055"/>
      <c r="SHA241" s="1054"/>
      <c r="SHB241" s="1055"/>
      <c r="SHC241" s="1054"/>
      <c r="SHD241" s="1055"/>
      <c r="SHE241" s="1054"/>
      <c r="SHF241" s="1055"/>
      <c r="SHG241" s="1054"/>
      <c r="SHH241" s="1055"/>
      <c r="SHI241" s="1054"/>
      <c r="SHJ241" s="1055"/>
      <c r="SHK241" s="1054"/>
      <c r="SHL241" s="1055"/>
      <c r="SHM241" s="1054"/>
      <c r="SHN241" s="1055"/>
      <c r="SHO241" s="1054"/>
      <c r="SHP241" s="1055"/>
      <c r="SHQ241" s="1054"/>
      <c r="SHR241" s="1055"/>
      <c r="SHS241" s="1054"/>
      <c r="SHT241" s="1055"/>
      <c r="SHU241" s="1054"/>
      <c r="SHV241" s="1055"/>
      <c r="SHW241" s="1054"/>
      <c r="SHX241" s="1055"/>
      <c r="SHY241" s="1054"/>
      <c r="SHZ241" s="1055"/>
      <c r="SIA241" s="1054"/>
      <c r="SIB241" s="1055"/>
      <c r="SIC241" s="1054"/>
      <c r="SID241" s="1055"/>
      <c r="SIE241" s="1054"/>
      <c r="SIF241" s="1055"/>
      <c r="SIG241" s="1054"/>
      <c r="SIH241" s="1055"/>
      <c r="SII241" s="1054"/>
      <c r="SIJ241" s="1055"/>
      <c r="SIK241" s="1054"/>
      <c r="SIL241" s="1055"/>
      <c r="SIM241" s="1054"/>
      <c r="SIN241" s="1055"/>
      <c r="SIO241" s="1054"/>
      <c r="SIP241" s="1055"/>
      <c r="SIQ241" s="1054"/>
      <c r="SIR241" s="1055"/>
      <c r="SIS241" s="1054"/>
      <c r="SIT241" s="1055"/>
      <c r="SIU241" s="1054"/>
      <c r="SIV241" s="1055"/>
      <c r="SIW241" s="1054"/>
      <c r="SIX241" s="1055"/>
      <c r="SIY241" s="1054"/>
      <c r="SIZ241" s="1055"/>
      <c r="SJA241" s="1054"/>
      <c r="SJB241" s="1055"/>
      <c r="SJC241" s="1054"/>
      <c r="SJD241" s="1055"/>
      <c r="SJE241" s="1054"/>
      <c r="SJF241" s="1055"/>
      <c r="SJG241" s="1054"/>
      <c r="SJH241" s="1055"/>
      <c r="SJI241" s="1054"/>
      <c r="SJJ241" s="1055"/>
      <c r="SJK241" s="1054"/>
      <c r="SJL241" s="1055"/>
      <c r="SJM241" s="1054"/>
      <c r="SJN241" s="1055"/>
      <c r="SJO241" s="1054"/>
      <c r="SJP241" s="1055"/>
      <c r="SJQ241" s="1054"/>
      <c r="SJR241" s="1055"/>
      <c r="SJS241" s="1054"/>
      <c r="SJT241" s="1055"/>
      <c r="SJU241" s="1054"/>
      <c r="SJV241" s="1055"/>
      <c r="SJW241" s="1054"/>
      <c r="SJX241" s="1055"/>
      <c r="SJY241" s="1054"/>
      <c r="SJZ241" s="1055"/>
      <c r="SKA241" s="1054"/>
      <c r="SKB241" s="1055"/>
      <c r="SKC241" s="1054"/>
      <c r="SKD241" s="1055"/>
      <c r="SKE241" s="1054"/>
      <c r="SKF241" s="1055"/>
      <c r="SKG241" s="1054"/>
      <c r="SKH241" s="1055"/>
      <c r="SKI241" s="1054"/>
      <c r="SKJ241" s="1055"/>
      <c r="SKK241" s="1054"/>
      <c r="SKL241" s="1055"/>
      <c r="SKM241" s="1054"/>
      <c r="SKN241" s="1055"/>
      <c r="SKO241" s="1054"/>
      <c r="SKP241" s="1055"/>
      <c r="SKQ241" s="1054"/>
      <c r="SKR241" s="1055"/>
      <c r="SKS241" s="1054"/>
      <c r="SKT241" s="1055"/>
      <c r="SKU241" s="1054"/>
      <c r="SKV241" s="1055"/>
      <c r="SKW241" s="1054"/>
      <c r="SKX241" s="1055"/>
      <c r="SKY241" s="1054"/>
      <c r="SKZ241" s="1055"/>
      <c r="SLA241" s="1054"/>
      <c r="SLB241" s="1055"/>
      <c r="SLC241" s="1054"/>
      <c r="SLD241" s="1055"/>
      <c r="SLE241" s="1054"/>
      <c r="SLF241" s="1055"/>
      <c r="SLG241" s="1054"/>
      <c r="SLH241" s="1055"/>
      <c r="SLI241" s="1054"/>
      <c r="SLJ241" s="1055"/>
      <c r="SLK241" s="1054"/>
      <c r="SLL241" s="1055"/>
      <c r="SLM241" s="1054"/>
      <c r="SLN241" s="1055"/>
      <c r="SLO241" s="1054"/>
      <c r="SLP241" s="1055"/>
      <c r="SLQ241" s="1054"/>
      <c r="SLR241" s="1055"/>
      <c r="SLS241" s="1054"/>
      <c r="SLT241" s="1055"/>
      <c r="SLU241" s="1054"/>
      <c r="SLV241" s="1055"/>
      <c r="SLW241" s="1054"/>
      <c r="SLX241" s="1055"/>
      <c r="SLY241" s="1054"/>
      <c r="SLZ241" s="1055"/>
      <c r="SMA241" s="1054"/>
      <c r="SMB241" s="1055"/>
      <c r="SMC241" s="1054"/>
      <c r="SMD241" s="1055"/>
      <c r="SME241" s="1054"/>
      <c r="SMF241" s="1055"/>
      <c r="SMG241" s="1054"/>
      <c r="SMH241" s="1055"/>
      <c r="SMI241" s="1054"/>
      <c r="SMJ241" s="1055"/>
      <c r="SMK241" s="1054"/>
      <c r="SML241" s="1055"/>
      <c r="SMM241" s="1054"/>
      <c r="SMN241" s="1055"/>
      <c r="SMO241" s="1054"/>
      <c r="SMP241" s="1055"/>
      <c r="SMQ241" s="1054"/>
      <c r="SMR241" s="1055"/>
      <c r="SMS241" s="1054"/>
      <c r="SMT241" s="1055"/>
      <c r="SMU241" s="1054"/>
      <c r="SMV241" s="1055"/>
      <c r="SMW241" s="1054"/>
      <c r="SMX241" s="1055"/>
      <c r="SMY241" s="1054"/>
      <c r="SMZ241" s="1055"/>
      <c r="SNA241" s="1054"/>
      <c r="SNB241" s="1055"/>
      <c r="SNC241" s="1054"/>
      <c r="SND241" s="1055"/>
      <c r="SNE241" s="1054"/>
      <c r="SNF241" s="1055"/>
      <c r="SNG241" s="1054"/>
      <c r="SNH241" s="1055"/>
      <c r="SNI241" s="1054"/>
      <c r="SNJ241" s="1055"/>
      <c r="SNK241" s="1054"/>
      <c r="SNL241" s="1055"/>
      <c r="SNM241" s="1054"/>
      <c r="SNN241" s="1055"/>
      <c r="SNO241" s="1054"/>
      <c r="SNP241" s="1055"/>
      <c r="SNQ241" s="1054"/>
      <c r="SNR241" s="1055"/>
      <c r="SNS241" s="1054"/>
      <c r="SNT241" s="1055"/>
      <c r="SNU241" s="1054"/>
      <c r="SNV241" s="1055"/>
      <c r="SNW241" s="1054"/>
      <c r="SNX241" s="1055"/>
      <c r="SNY241" s="1054"/>
      <c r="SNZ241" s="1055"/>
      <c r="SOA241" s="1054"/>
      <c r="SOB241" s="1055"/>
      <c r="SOC241" s="1054"/>
      <c r="SOD241" s="1055"/>
      <c r="SOE241" s="1054"/>
      <c r="SOF241" s="1055"/>
      <c r="SOG241" s="1054"/>
      <c r="SOH241" s="1055"/>
      <c r="SOI241" s="1054"/>
      <c r="SOJ241" s="1055"/>
      <c r="SOK241" s="1054"/>
      <c r="SOL241" s="1055"/>
      <c r="SOM241" s="1054"/>
      <c r="SON241" s="1055"/>
      <c r="SOO241" s="1054"/>
      <c r="SOP241" s="1055"/>
      <c r="SOQ241" s="1054"/>
      <c r="SOR241" s="1055"/>
      <c r="SOS241" s="1054"/>
      <c r="SOT241" s="1055"/>
      <c r="SOU241" s="1054"/>
      <c r="SOV241" s="1055"/>
      <c r="SOW241" s="1054"/>
      <c r="SOX241" s="1055"/>
      <c r="SOY241" s="1054"/>
      <c r="SOZ241" s="1055"/>
      <c r="SPA241" s="1054"/>
      <c r="SPB241" s="1055"/>
      <c r="SPC241" s="1054"/>
      <c r="SPD241" s="1055"/>
      <c r="SPE241" s="1054"/>
      <c r="SPF241" s="1055"/>
      <c r="SPG241" s="1054"/>
      <c r="SPH241" s="1055"/>
      <c r="SPI241" s="1054"/>
      <c r="SPJ241" s="1055"/>
      <c r="SPK241" s="1054"/>
      <c r="SPL241" s="1055"/>
      <c r="SPM241" s="1054"/>
      <c r="SPN241" s="1055"/>
      <c r="SPO241" s="1054"/>
      <c r="SPP241" s="1055"/>
      <c r="SPQ241" s="1054"/>
      <c r="SPR241" s="1055"/>
      <c r="SPS241" s="1054"/>
      <c r="SPT241" s="1055"/>
      <c r="SPU241" s="1054"/>
      <c r="SPV241" s="1055"/>
      <c r="SPW241" s="1054"/>
      <c r="SPX241" s="1055"/>
      <c r="SPY241" s="1054"/>
      <c r="SPZ241" s="1055"/>
      <c r="SQA241" s="1054"/>
      <c r="SQB241" s="1055"/>
      <c r="SQC241" s="1054"/>
      <c r="SQD241" s="1055"/>
      <c r="SQE241" s="1054"/>
      <c r="SQF241" s="1055"/>
      <c r="SQG241" s="1054"/>
      <c r="SQH241" s="1055"/>
      <c r="SQI241" s="1054"/>
      <c r="SQJ241" s="1055"/>
      <c r="SQK241" s="1054"/>
      <c r="SQL241" s="1055"/>
      <c r="SQM241" s="1054"/>
      <c r="SQN241" s="1055"/>
      <c r="SQO241" s="1054"/>
      <c r="SQP241" s="1055"/>
      <c r="SQQ241" s="1054"/>
      <c r="SQR241" s="1055"/>
      <c r="SQS241" s="1054"/>
      <c r="SQT241" s="1055"/>
      <c r="SQU241" s="1054"/>
      <c r="SQV241" s="1055"/>
      <c r="SQW241" s="1054"/>
      <c r="SQX241" s="1055"/>
      <c r="SQY241" s="1054"/>
      <c r="SQZ241" s="1055"/>
      <c r="SRA241" s="1054"/>
      <c r="SRB241" s="1055"/>
      <c r="SRC241" s="1054"/>
      <c r="SRD241" s="1055"/>
      <c r="SRE241" s="1054"/>
      <c r="SRF241" s="1055"/>
      <c r="SRG241" s="1054"/>
      <c r="SRH241" s="1055"/>
      <c r="SRI241" s="1054"/>
      <c r="SRJ241" s="1055"/>
      <c r="SRK241" s="1054"/>
      <c r="SRL241" s="1055"/>
      <c r="SRM241" s="1054"/>
      <c r="SRN241" s="1055"/>
      <c r="SRO241" s="1054"/>
      <c r="SRP241" s="1055"/>
      <c r="SRQ241" s="1054"/>
      <c r="SRR241" s="1055"/>
      <c r="SRS241" s="1054"/>
      <c r="SRT241" s="1055"/>
      <c r="SRU241" s="1054"/>
      <c r="SRV241" s="1055"/>
      <c r="SRW241" s="1054"/>
      <c r="SRX241" s="1055"/>
      <c r="SRY241" s="1054"/>
      <c r="SRZ241" s="1055"/>
      <c r="SSA241" s="1054"/>
      <c r="SSB241" s="1055"/>
      <c r="SSC241" s="1054"/>
      <c r="SSD241" s="1055"/>
      <c r="SSE241" s="1054"/>
      <c r="SSF241" s="1055"/>
      <c r="SSG241" s="1054"/>
      <c r="SSH241" s="1055"/>
      <c r="SSI241" s="1054"/>
      <c r="SSJ241" s="1055"/>
      <c r="SSK241" s="1054"/>
      <c r="SSL241" s="1055"/>
      <c r="SSM241" s="1054"/>
      <c r="SSN241" s="1055"/>
      <c r="SSO241" s="1054"/>
      <c r="SSP241" s="1055"/>
      <c r="SSQ241" s="1054"/>
      <c r="SSR241" s="1055"/>
      <c r="SSS241" s="1054"/>
      <c r="SST241" s="1055"/>
      <c r="SSU241" s="1054"/>
      <c r="SSV241" s="1055"/>
      <c r="SSW241" s="1054"/>
      <c r="SSX241" s="1055"/>
      <c r="SSY241" s="1054"/>
      <c r="SSZ241" s="1055"/>
      <c r="STA241" s="1054"/>
      <c r="STB241" s="1055"/>
      <c r="STC241" s="1054"/>
      <c r="STD241" s="1055"/>
      <c r="STE241" s="1054"/>
      <c r="STF241" s="1055"/>
      <c r="STG241" s="1054"/>
      <c r="STH241" s="1055"/>
      <c r="STI241" s="1054"/>
      <c r="STJ241" s="1055"/>
      <c r="STK241" s="1054"/>
      <c r="STL241" s="1055"/>
      <c r="STM241" s="1054"/>
      <c r="STN241" s="1055"/>
      <c r="STO241" s="1054"/>
      <c r="STP241" s="1055"/>
      <c r="STQ241" s="1054"/>
      <c r="STR241" s="1055"/>
      <c r="STS241" s="1054"/>
      <c r="STT241" s="1055"/>
      <c r="STU241" s="1054"/>
      <c r="STV241" s="1055"/>
      <c r="STW241" s="1054"/>
      <c r="STX241" s="1055"/>
      <c r="STY241" s="1054"/>
      <c r="STZ241" s="1055"/>
      <c r="SUA241" s="1054"/>
      <c r="SUB241" s="1055"/>
      <c r="SUC241" s="1054"/>
      <c r="SUD241" s="1055"/>
      <c r="SUE241" s="1054"/>
      <c r="SUF241" s="1055"/>
      <c r="SUG241" s="1054"/>
      <c r="SUH241" s="1055"/>
      <c r="SUI241" s="1054"/>
      <c r="SUJ241" s="1055"/>
      <c r="SUK241" s="1054"/>
      <c r="SUL241" s="1055"/>
      <c r="SUM241" s="1054"/>
      <c r="SUN241" s="1055"/>
      <c r="SUO241" s="1054"/>
      <c r="SUP241" s="1055"/>
      <c r="SUQ241" s="1054"/>
      <c r="SUR241" s="1055"/>
      <c r="SUS241" s="1054"/>
      <c r="SUT241" s="1055"/>
      <c r="SUU241" s="1054"/>
      <c r="SUV241" s="1055"/>
      <c r="SUW241" s="1054"/>
      <c r="SUX241" s="1055"/>
      <c r="SUY241" s="1054"/>
      <c r="SUZ241" s="1055"/>
      <c r="SVA241" s="1054"/>
      <c r="SVB241" s="1055"/>
      <c r="SVC241" s="1054"/>
      <c r="SVD241" s="1055"/>
      <c r="SVE241" s="1054"/>
      <c r="SVF241" s="1055"/>
      <c r="SVG241" s="1054"/>
      <c r="SVH241" s="1055"/>
      <c r="SVI241" s="1054"/>
      <c r="SVJ241" s="1055"/>
      <c r="SVK241" s="1054"/>
      <c r="SVL241" s="1055"/>
      <c r="SVM241" s="1054"/>
      <c r="SVN241" s="1055"/>
      <c r="SVO241" s="1054"/>
      <c r="SVP241" s="1055"/>
      <c r="SVQ241" s="1054"/>
      <c r="SVR241" s="1055"/>
      <c r="SVS241" s="1054"/>
      <c r="SVT241" s="1055"/>
      <c r="SVU241" s="1054"/>
      <c r="SVV241" s="1055"/>
      <c r="SVW241" s="1054"/>
      <c r="SVX241" s="1055"/>
      <c r="SVY241" s="1054"/>
      <c r="SVZ241" s="1055"/>
      <c r="SWA241" s="1054"/>
      <c r="SWB241" s="1055"/>
      <c r="SWC241" s="1054"/>
      <c r="SWD241" s="1055"/>
      <c r="SWE241" s="1054"/>
      <c r="SWF241" s="1055"/>
      <c r="SWG241" s="1054"/>
      <c r="SWH241" s="1055"/>
      <c r="SWI241" s="1054"/>
      <c r="SWJ241" s="1055"/>
      <c r="SWK241" s="1054"/>
      <c r="SWL241" s="1055"/>
      <c r="SWM241" s="1054"/>
      <c r="SWN241" s="1055"/>
      <c r="SWO241" s="1054"/>
      <c r="SWP241" s="1055"/>
      <c r="SWQ241" s="1054"/>
      <c r="SWR241" s="1055"/>
      <c r="SWS241" s="1054"/>
      <c r="SWT241" s="1055"/>
      <c r="SWU241" s="1054"/>
      <c r="SWV241" s="1055"/>
      <c r="SWW241" s="1054"/>
      <c r="SWX241" s="1055"/>
      <c r="SWY241" s="1054"/>
      <c r="SWZ241" s="1055"/>
      <c r="SXA241" s="1054"/>
      <c r="SXB241" s="1055"/>
      <c r="SXC241" s="1054"/>
      <c r="SXD241" s="1055"/>
      <c r="SXE241" s="1054"/>
      <c r="SXF241" s="1055"/>
      <c r="SXG241" s="1054"/>
      <c r="SXH241" s="1055"/>
      <c r="SXI241" s="1054"/>
      <c r="SXJ241" s="1055"/>
      <c r="SXK241" s="1054"/>
      <c r="SXL241" s="1055"/>
      <c r="SXM241" s="1054"/>
      <c r="SXN241" s="1055"/>
      <c r="SXO241" s="1054"/>
      <c r="SXP241" s="1055"/>
      <c r="SXQ241" s="1054"/>
      <c r="SXR241" s="1055"/>
      <c r="SXS241" s="1054"/>
      <c r="SXT241" s="1055"/>
      <c r="SXU241" s="1054"/>
      <c r="SXV241" s="1055"/>
      <c r="SXW241" s="1054"/>
      <c r="SXX241" s="1055"/>
      <c r="SXY241" s="1054"/>
      <c r="SXZ241" s="1055"/>
      <c r="SYA241" s="1054"/>
      <c r="SYB241" s="1055"/>
      <c r="SYC241" s="1054"/>
      <c r="SYD241" s="1055"/>
      <c r="SYE241" s="1054"/>
      <c r="SYF241" s="1055"/>
      <c r="SYG241" s="1054"/>
      <c r="SYH241" s="1055"/>
      <c r="SYI241" s="1054"/>
      <c r="SYJ241" s="1055"/>
      <c r="SYK241" s="1054"/>
      <c r="SYL241" s="1055"/>
      <c r="SYM241" s="1054"/>
      <c r="SYN241" s="1055"/>
      <c r="SYO241" s="1054"/>
      <c r="SYP241" s="1055"/>
      <c r="SYQ241" s="1054"/>
      <c r="SYR241" s="1055"/>
      <c r="SYS241" s="1054"/>
      <c r="SYT241" s="1055"/>
      <c r="SYU241" s="1054"/>
      <c r="SYV241" s="1055"/>
      <c r="SYW241" s="1054"/>
      <c r="SYX241" s="1055"/>
      <c r="SYY241" s="1054"/>
      <c r="SYZ241" s="1055"/>
      <c r="SZA241" s="1054"/>
      <c r="SZB241" s="1055"/>
      <c r="SZC241" s="1054"/>
      <c r="SZD241" s="1055"/>
      <c r="SZE241" s="1054"/>
      <c r="SZF241" s="1055"/>
      <c r="SZG241" s="1054"/>
      <c r="SZH241" s="1055"/>
      <c r="SZI241" s="1054"/>
      <c r="SZJ241" s="1055"/>
      <c r="SZK241" s="1054"/>
      <c r="SZL241" s="1055"/>
      <c r="SZM241" s="1054"/>
      <c r="SZN241" s="1055"/>
      <c r="SZO241" s="1054"/>
      <c r="SZP241" s="1055"/>
      <c r="SZQ241" s="1054"/>
      <c r="SZR241" s="1055"/>
      <c r="SZS241" s="1054"/>
      <c r="SZT241" s="1055"/>
      <c r="SZU241" s="1054"/>
      <c r="SZV241" s="1055"/>
      <c r="SZW241" s="1054"/>
      <c r="SZX241" s="1055"/>
      <c r="SZY241" s="1054"/>
      <c r="SZZ241" s="1055"/>
      <c r="TAA241" s="1054"/>
      <c r="TAB241" s="1055"/>
      <c r="TAC241" s="1054"/>
      <c r="TAD241" s="1055"/>
      <c r="TAE241" s="1054"/>
      <c r="TAF241" s="1055"/>
      <c r="TAG241" s="1054"/>
      <c r="TAH241" s="1055"/>
      <c r="TAI241" s="1054"/>
      <c r="TAJ241" s="1055"/>
      <c r="TAK241" s="1054"/>
      <c r="TAL241" s="1055"/>
      <c r="TAM241" s="1054"/>
      <c r="TAN241" s="1055"/>
      <c r="TAO241" s="1054"/>
      <c r="TAP241" s="1055"/>
      <c r="TAQ241" s="1054"/>
      <c r="TAR241" s="1055"/>
      <c r="TAS241" s="1054"/>
      <c r="TAT241" s="1055"/>
      <c r="TAU241" s="1054"/>
      <c r="TAV241" s="1055"/>
      <c r="TAW241" s="1054"/>
      <c r="TAX241" s="1055"/>
      <c r="TAY241" s="1054"/>
      <c r="TAZ241" s="1055"/>
      <c r="TBA241" s="1054"/>
      <c r="TBB241" s="1055"/>
      <c r="TBC241" s="1054"/>
      <c r="TBD241" s="1055"/>
      <c r="TBE241" s="1054"/>
      <c r="TBF241" s="1055"/>
      <c r="TBG241" s="1054"/>
      <c r="TBH241" s="1055"/>
      <c r="TBI241" s="1054"/>
      <c r="TBJ241" s="1055"/>
      <c r="TBK241" s="1054"/>
      <c r="TBL241" s="1055"/>
      <c r="TBM241" s="1054"/>
      <c r="TBN241" s="1055"/>
      <c r="TBO241" s="1054"/>
      <c r="TBP241" s="1055"/>
      <c r="TBQ241" s="1054"/>
      <c r="TBR241" s="1055"/>
      <c r="TBS241" s="1054"/>
      <c r="TBT241" s="1055"/>
      <c r="TBU241" s="1054"/>
      <c r="TBV241" s="1055"/>
      <c r="TBW241" s="1054"/>
      <c r="TBX241" s="1055"/>
      <c r="TBY241" s="1054"/>
      <c r="TBZ241" s="1055"/>
      <c r="TCA241" s="1054"/>
      <c r="TCB241" s="1055"/>
      <c r="TCC241" s="1054"/>
      <c r="TCD241" s="1055"/>
      <c r="TCE241" s="1054"/>
      <c r="TCF241" s="1055"/>
      <c r="TCG241" s="1054"/>
      <c r="TCH241" s="1055"/>
      <c r="TCI241" s="1054"/>
      <c r="TCJ241" s="1055"/>
      <c r="TCK241" s="1054"/>
      <c r="TCL241" s="1055"/>
      <c r="TCM241" s="1054"/>
      <c r="TCN241" s="1055"/>
      <c r="TCO241" s="1054"/>
      <c r="TCP241" s="1055"/>
      <c r="TCQ241" s="1054"/>
      <c r="TCR241" s="1055"/>
      <c r="TCS241" s="1054"/>
      <c r="TCT241" s="1055"/>
      <c r="TCU241" s="1054"/>
      <c r="TCV241" s="1055"/>
      <c r="TCW241" s="1054"/>
      <c r="TCX241" s="1055"/>
      <c r="TCY241" s="1054"/>
      <c r="TCZ241" s="1055"/>
      <c r="TDA241" s="1054"/>
      <c r="TDB241" s="1055"/>
      <c r="TDC241" s="1054"/>
      <c r="TDD241" s="1055"/>
      <c r="TDE241" s="1054"/>
      <c r="TDF241" s="1055"/>
      <c r="TDG241" s="1054"/>
      <c r="TDH241" s="1055"/>
      <c r="TDI241" s="1054"/>
      <c r="TDJ241" s="1055"/>
      <c r="TDK241" s="1054"/>
      <c r="TDL241" s="1055"/>
      <c r="TDM241" s="1054"/>
      <c r="TDN241" s="1055"/>
      <c r="TDO241" s="1054"/>
      <c r="TDP241" s="1055"/>
      <c r="TDQ241" s="1054"/>
      <c r="TDR241" s="1055"/>
      <c r="TDS241" s="1054"/>
      <c r="TDT241" s="1055"/>
      <c r="TDU241" s="1054"/>
      <c r="TDV241" s="1055"/>
      <c r="TDW241" s="1054"/>
      <c r="TDX241" s="1055"/>
      <c r="TDY241" s="1054"/>
      <c r="TDZ241" s="1055"/>
      <c r="TEA241" s="1054"/>
      <c r="TEB241" s="1055"/>
      <c r="TEC241" s="1054"/>
      <c r="TED241" s="1055"/>
      <c r="TEE241" s="1054"/>
      <c r="TEF241" s="1055"/>
      <c r="TEG241" s="1054"/>
      <c r="TEH241" s="1055"/>
      <c r="TEI241" s="1054"/>
      <c r="TEJ241" s="1055"/>
      <c r="TEK241" s="1054"/>
      <c r="TEL241" s="1055"/>
      <c r="TEM241" s="1054"/>
      <c r="TEN241" s="1055"/>
      <c r="TEO241" s="1054"/>
      <c r="TEP241" s="1055"/>
      <c r="TEQ241" s="1054"/>
      <c r="TER241" s="1055"/>
      <c r="TES241" s="1054"/>
      <c r="TET241" s="1055"/>
      <c r="TEU241" s="1054"/>
      <c r="TEV241" s="1055"/>
      <c r="TEW241" s="1054"/>
      <c r="TEX241" s="1055"/>
      <c r="TEY241" s="1054"/>
      <c r="TEZ241" s="1055"/>
      <c r="TFA241" s="1054"/>
      <c r="TFB241" s="1055"/>
      <c r="TFC241" s="1054"/>
      <c r="TFD241" s="1055"/>
      <c r="TFE241" s="1054"/>
      <c r="TFF241" s="1055"/>
      <c r="TFG241" s="1054"/>
      <c r="TFH241" s="1055"/>
      <c r="TFI241" s="1054"/>
      <c r="TFJ241" s="1055"/>
      <c r="TFK241" s="1054"/>
      <c r="TFL241" s="1055"/>
      <c r="TFM241" s="1054"/>
      <c r="TFN241" s="1055"/>
      <c r="TFO241" s="1054"/>
      <c r="TFP241" s="1055"/>
      <c r="TFQ241" s="1054"/>
      <c r="TFR241" s="1055"/>
      <c r="TFS241" s="1054"/>
      <c r="TFT241" s="1055"/>
      <c r="TFU241" s="1054"/>
      <c r="TFV241" s="1055"/>
      <c r="TFW241" s="1054"/>
      <c r="TFX241" s="1055"/>
      <c r="TFY241" s="1054"/>
      <c r="TFZ241" s="1055"/>
      <c r="TGA241" s="1054"/>
      <c r="TGB241" s="1055"/>
      <c r="TGC241" s="1054"/>
      <c r="TGD241" s="1055"/>
      <c r="TGE241" s="1054"/>
      <c r="TGF241" s="1055"/>
      <c r="TGG241" s="1054"/>
      <c r="TGH241" s="1055"/>
      <c r="TGI241" s="1054"/>
      <c r="TGJ241" s="1055"/>
      <c r="TGK241" s="1054"/>
      <c r="TGL241" s="1055"/>
      <c r="TGM241" s="1054"/>
      <c r="TGN241" s="1055"/>
      <c r="TGO241" s="1054"/>
      <c r="TGP241" s="1055"/>
      <c r="TGQ241" s="1054"/>
      <c r="TGR241" s="1055"/>
      <c r="TGS241" s="1054"/>
      <c r="TGT241" s="1055"/>
      <c r="TGU241" s="1054"/>
      <c r="TGV241" s="1055"/>
      <c r="TGW241" s="1054"/>
      <c r="TGX241" s="1055"/>
      <c r="TGY241" s="1054"/>
      <c r="TGZ241" s="1055"/>
      <c r="THA241" s="1054"/>
      <c r="THB241" s="1055"/>
      <c r="THC241" s="1054"/>
      <c r="THD241" s="1055"/>
      <c r="THE241" s="1054"/>
      <c r="THF241" s="1055"/>
      <c r="THG241" s="1054"/>
      <c r="THH241" s="1055"/>
      <c r="THI241" s="1054"/>
      <c r="THJ241" s="1055"/>
      <c r="THK241" s="1054"/>
      <c r="THL241" s="1055"/>
      <c r="THM241" s="1054"/>
      <c r="THN241" s="1055"/>
      <c r="THO241" s="1054"/>
      <c r="THP241" s="1055"/>
      <c r="THQ241" s="1054"/>
      <c r="THR241" s="1055"/>
      <c r="THS241" s="1054"/>
      <c r="THT241" s="1055"/>
      <c r="THU241" s="1054"/>
      <c r="THV241" s="1055"/>
      <c r="THW241" s="1054"/>
      <c r="THX241" s="1055"/>
      <c r="THY241" s="1054"/>
      <c r="THZ241" s="1055"/>
      <c r="TIA241" s="1054"/>
      <c r="TIB241" s="1055"/>
      <c r="TIC241" s="1054"/>
      <c r="TID241" s="1055"/>
      <c r="TIE241" s="1054"/>
      <c r="TIF241" s="1055"/>
      <c r="TIG241" s="1054"/>
      <c r="TIH241" s="1055"/>
      <c r="TII241" s="1054"/>
      <c r="TIJ241" s="1055"/>
      <c r="TIK241" s="1054"/>
      <c r="TIL241" s="1055"/>
      <c r="TIM241" s="1054"/>
      <c r="TIN241" s="1055"/>
      <c r="TIO241" s="1054"/>
      <c r="TIP241" s="1055"/>
      <c r="TIQ241" s="1054"/>
      <c r="TIR241" s="1055"/>
      <c r="TIS241" s="1054"/>
      <c r="TIT241" s="1055"/>
      <c r="TIU241" s="1054"/>
      <c r="TIV241" s="1055"/>
      <c r="TIW241" s="1054"/>
      <c r="TIX241" s="1055"/>
      <c r="TIY241" s="1054"/>
      <c r="TIZ241" s="1055"/>
      <c r="TJA241" s="1054"/>
      <c r="TJB241" s="1055"/>
      <c r="TJC241" s="1054"/>
      <c r="TJD241" s="1055"/>
      <c r="TJE241" s="1054"/>
      <c r="TJF241" s="1055"/>
      <c r="TJG241" s="1054"/>
      <c r="TJH241" s="1055"/>
      <c r="TJI241" s="1054"/>
      <c r="TJJ241" s="1055"/>
      <c r="TJK241" s="1054"/>
      <c r="TJL241" s="1055"/>
      <c r="TJM241" s="1054"/>
      <c r="TJN241" s="1055"/>
      <c r="TJO241" s="1054"/>
      <c r="TJP241" s="1055"/>
      <c r="TJQ241" s="1054"/>
      <c r="TJR241" s="1055"/>
      <c r="TJS241" s="1054"/>
      <c r="TJT241" s="1055"/>
      <c r="TJU241" s="1054"/>
      <c r="TJV241" s="1055"/>
      <c r="TJW241" s="1054"/>
      <c r="TJX241" s="1055"/>
      <c r="TJY241" s="1054"/>
      <c r="TJZ241" s="1055"/>
      <c r="TKA241" s="1054"/>
      <c r="TKB241" s="1055"/>
      <c r="TKC241" s="1054"/>
      <c r="TKD241" s="1055"/>
      <c r="TKE241" s="1054"/>
      <c r="TKF241" s="1055"/>
      <c r="TKG241" s="1054"/>
      <c r="TKH241" s="1055"/>
      <c r="TKI241" s="1054"/>
      <c r="TKJ241" s="1055"/>
      <c r="TKK241" s="1054"/>
      <c r="TKL241" s="1055"/>
      <c r="TKM241" s="1054"/>
      <c r="TKN241" s="1055"/>
      <c r="TKO241" s="1054"/>
      <c r="TKP241" s="1055"/>
      <c r="TKQ241" s="1054"/>
      <c r="TKR241" s="1055"/>
      <c r="TKS241" s="1054"/>
      <c r="TKT241" s="1055"/>
      <c r="TKU241" s="1054"/>
      <c r="TKV241" s="1055"/>
      <c r="TKW241" s="1054"/>
      <c r="TKX241" s="1055"/>
      <c r="TKY241" s="1054"/>
      <c r="TKZ241" s="1055"/>
      <c r="TLA241" s="1054"/>
      <c r="TLB241" s="1055"/>
      <c r="TLC241" s="1054"/>
      <c r="TLD241" s="1055"/>
      <c r="TLE241" s="1054"/>
      <c r="TLF241" s="1055"/>
      <c r="TLG241" s="1054"/>
      <c r="TLH241" s="1055"/>
      <c r="TLI241" s="1054"/>
      <c r="TLJ241" s="1055"/>
      <c r="TLK241" s="1054"/>
      <c r="TLL241" s="1055"/>
      <c r="TLM241" s="1054"/>
      <c r="TLN241" s="1055"/>
      <c r="TLO241" s="1054"/>
      <c r="TLP241" s="1055"/>
      <c r="TLQ241" s="1054"/>
      <c r="TLR241" s="1055"/>
      <c r="TLS241" s="1054"/>
      <c r="TLT241" s="1055"/>
      <c r="TLU241" s="1054"/>
      <c r="TLV241" s="1055"/>
      <c r="TLW241" s="1054"/>
      <c r="TLX241" s="1055"/>
      <c r="TLY241" s="1054"/>
      <c r="TLZ241" s="1055"/>
      <c r="TMA241" s="1054"/>
      <c r="TMB241" s="1055"/>
      <c r="TMC241" s="1054"/>
      <c r="TMD241" s="1055"/>
      <c r="TME241" s="1054"/>
      <c r="TMF241" s="1055"/>
      <c r="TMG241" s="1054"/>
      <c r="TMH241" s="1055"/>
      <c r="TMI241" s="1054"/>
      <c r="TMJ241" s="1055"/>
      <c r="TMK241" s="1054"/>
      <c r="TML241" s="1055"/>
      <c r="TMM241" s="1054"/>
      <c r="TMN241" s="1055"/>
      <c r="TMO241" s="1054"/>
      <c r="TMP241" s="1055"/>
      <c r="TMQ241" s="1054"/>
      <c r="TMR241" s="1055"/>
      <c r="TMS241" s="1054"/>
      <c r="TMT241" s="1055"/>
      <c r="TMU241" s="1054"/>
      <c r="TMV241" s="1055"/>
      <c r="TMW241" s="1054"/>
      <c r="TMX241" s="1055"/>
      <c r="TMY241" s="1054"/>
      <c r="TMZ241" s="1055"/>
      <c r="TNA241" s="1054"/>
      <c r="TNB241" s="1055"/>
      <c r="TNC241" s="1054"/>
      <c r="TND241" s="1055"/>
      <c r="TNE241" s="1054"/>
      <c r="TNF241" s="1055"/>
      <c r="TNG241" s="1054"/>
      <c r="TNH241" s="1055"/>
      <c r="TNI241" s="1054"/>
      <c r="TNJ241" s="1055"/>
      <c r="TNK241" s="1054"/>
      <c r="TNL241" s="1055"/>
      <c r="TNM241" s="1054"/>
      <c r="TNN241" s="1055"/>
      <c r="TNO241" s="1054"/>
      <c r="TNP241" s="1055"/>
      <c r="TNQ241" s="1054"/>
      <c r="TNR241" s="1055"/>
      <c r="TNS241" s="1054"/>
      <c r="TNT241" s="1055"/>
      <c r="TNU241" s="1054"/>
      <c r="TNV241" s="1055"/>
      <c r="TNW241" s="1054"/>
      <c r="TNX241" s="1055"/>
      <c r="TNY241" s="1054"/>
      <c r="TNZ241" s="1055"/>
      <c r="TOA241" s="1054"/>
      <c r="TOB241" s="1055"/>
      <c r="TOC241" s="1054"/>
      <c r="TOD241" s="1055"/>
      <c r="TOE241" s="1054"/>
      <c r="TOF241" s="1055"/>
      <c r="TOG241" s="1054"/>
      <c r="TOH241" s="1055"/>
      <c r="TOI241" s="1054"/>
      <c r="TOJ241" s="1055"/>
      <c r="TOK241" s="1054"/>
      <c r="TOL241" s="1055"/>
      <c r="TOM241" s="1054"/>
      <c r="TON241" s="1055"/>
      <c r="TOO241" s="1054"/>
      <c r="TOP241" s="1055"/>
      <c r="TOQ241" s="1054"/>
      <c r="TOR241" s="1055"/>
      <c r="TOS241" s="1054"/>
      <c r="TOT241" s="1055"/>
      <c r="TOU241" s="1054"/>
      <c r="TOV241" s="1055"/>
      <c r="TOW241" s="1054"/>
      <c r="TOX241" s="1055"/>
      <c r="TOY241" s="1054"/>
      <c r="TOZ241" s="1055"/>
      <c r="TPA241" s="1054"/>
      <c r="TPB241" s="1055"/>
      <c r="TPC241" s="1054"/>
      <c r="TPD241" s="1055"/>
      <c r="TPE241" s="1054"/>
      <c r="TPF241" s="1055"/>
      <c r="TPG241" s="1054"/>
      <c r="TPH241" s="1055"/>
      <c r="TPI241" s="1054"/>
      <c r="TPJ241" s="1055"/>
      <c r="TPK241" s="1054"/>
      <c r="TPL241" s="1055"/>
      <c r="TPM241" s="1054"/>
      <c r="TPN241" s="1055"/>
      <c r="TPO241" s="1054"/>
      <c r="TPP241" s="1055"/>
      <c r="TPQ241" s="1054"/>
      <c r="TPR241" s="1055"/>
      <c r="TPS241" s="1054"/>
      <c r="TPT241" s="1055"/>
      <c r="TPU241" s="1054"/>
      <c r="TPV241" s="1055"/>
      <c r="TPW241" s="1054"/>
      <c r="TPX241" s="1055"/>
      <c r="TPY241" s="1054"/>
      <c r="TPZ241" s="1055"/>
      <c r="TQA241" s="1054"/>
      <c r="TQB241" s="1055"/>
      <c r="TQC241" s="1054"/>
      <c r="TQD241" s="1055"/>
      <c r="TQE241" s="1054"/>
      <c r="TQF241" s="1055"/>
      <c r="TQG241" s="1054"/>
      <c r="TQH241" s="1055"/>
      <c r="TQI241" s="1054"/>
      <c r="TQJ241" s="1055"/>
      <c r="TQK241" s="1054"/>
      <c r="TQL241" s="1055"/>
      <c r="TQM241" s="1054"/>
      <c r="TQN241" s="1055"/>
      <c r="TQO241" s="1054"/>
      <c r="TQP241" s="1055"/>
      <c r="TQQ241" s="1054"/>
      <c r="TQR241" s="1055"/>
      <c r="TQS241" s="1054"/>
      <c r="TQT241" s="1055"/>
      <c r="TQU241" s="1054"/>
      <c r="TQV241" s="1055"/>
      <c r="TQW241" s="1054"/>
      <c r="TQX241" s="1055"/>
      <c r="TQY241" s="1054"/>
      <c r="TQZ241" s="1055"/>
      <c r="TRA241" s="1054"/>
      <c r="TRB241" s="1055"/>
      <c r="TRC241" s="1054"/>
      <c r="TRD241" s="1055"/>
      <c r="TRE241" s="1054"/>
      <c r="TRF241" s="1055"/>
      <c r="TRG241" s="1054"/>
      <c r="TRH241" s="1055"/>
      <c r="TRI241" s="1054"/>
      <c r="TRJ241" s="1055"/>
      <c r="TRK241" s="1054"/>
      <c r="TRL241" s="1055"/>
      <c r="TRM241" s="1054"/>
      <c r="TRN241" s="1055"/>
      <c r="TRO241" s="1054"/>
      <c r="TRP241" s="1055"/>
      <c r="TRQ241" s="1054"/>
      <c r="TRR241" s="1055"/>
      <c r="TRS241" s="1054"/>
      <c r="TRT241" s="1055"/>
      <c r="TRU241" s="1054"/>
      <c r="TRV241" s="1055"/>
      <c r="TRW241" s="1054"/>
      <c r="TRX241" s="1055"/>
      <c r="TRY241" s="1054"/>
      <c r="TRZ241" s="1055"/>
      <c r="TSA241" s="1054"/>
      <c r="TSB241" s="1055"/>
      <c r="TSC241" s="1054"/>
      <c r="TSD241" s="1055"/>
      <c r="TSE241" s="1054"/>
      <c r="TSF241" s="1055"/>
      <c r="TSG241" s="1054"/>
      <c r="TSH241" s="1055"/>
      <c r="TSI241" s="1054"/>
      <c r="TSJ241" s="1055"/>
      <c r="TSK241" s="1054"/>
      <c r="TSL241" s="1055"/>
      <c r="TSM241" s="1054"/>
      <c r="TSN241" s="1055"/>
      <c r="TSO241" s="1054"/>
      <c r="TSP241" s="1055"/>
      <c r="TSQ241" s="1054"/>
      <c r="TSR241" s="1055"/>
      <c r="TSS241" s="1054"/>
      <c r="TST241" s="1055"/>
      <c r="TSU241" s="1054"/>
      <c r="TSV241" s="1055"/>
      <c r="TSW241" s="1054"/>
      <c r="TSX241" s="1055"/>
      <c r="TSY241" s="1054"/>
      <c r="TSZ241" s="1055"/>
      <c r="TTA241" s="1054"/>
      <c r="TTB241" s="1055"/>
      <c r="TTC241" s="1054"/>
      <c r="TTD241" s="1055"/>
      <c r="TTE241" s="1054"/>
      <c r="TTF241" s="1055"/>
      <c r="TTG241" s="1054"/>
      <c r="TTH241" s="1055"/>
      <c r="TTI241" s="1054"/>
      <c r="TTJ241" s="1055"/>
      <c r="TTK241" s="1054"/>
      <c r="TTL241" s="1055"/>
      <c r="TTM241" s="1054"/>
      <c r="TTN241" s="1055"/>
      <c r="TTO241" s="1054"/>
      <c r="TTP241" s="1055"/>
      <c r="TTQ241" s="1054"/>
      <c r="TTR241" s="1055"/>
      <c r="TTS241" s="1054"/>
      <c r="TTT241" s="1055"/>
      <c r="TTU241" s="1054"/>
      <c r="TTV241" s="1055"/>
      <c r="TTW241" s="1054"/>
      <c r="TTX241" s="1055"/>
      <c r="TTY241" s="1054"/>
      <c r="TTZ241" s="1055"/>
      <c r="TUA241" s="1054"/>
      <c r="TUB241" s="1055"/>
      <c r="TUC241" s="1054"/>
      <c r="TUD241" s="1055"/>
      <c r="TUE241" s="1054"/>
      <c r="TUF241" s="1055"/>
      <c r="TUG241" s="1054"/>
      <c r="TUH241" s="1055"/>
      <c r="TUI241" s="1054"/>
      <c r="TUJ241" s="1055"/>
      <c r="TUK241" s="1054"/>
      <c r="TUL241" s="1055"/>
      <c r="TUM241" s="1054"/>
      <c r="TUN241" s="1055"/>
      <c r="TUO241" s="1054"/>
      <c r="TUP241" s="1055"/>
      <c r="TUQ241" s="1054"/>
      <c r="TUR241" s="1055"/>
      <c r="TUS241" s="1054"/>
      <c r="TUT241" s="1055"/>
      <c r="TUU241" s="1054"/>
      <c r="TUV241" s="1055"/>
      <c r="TUW241" s="1054"/>
      <c r="TUX241" s="1055"/>
      <c r="TUY241" s="1054"/>
      <c r="TUZ241" s="1055"/>
      <c r="TVA241" s="1054"/>
      <c r="TVB241" s="1055"/>
      <c r="TVC241" s="1054"/>
      <c r="TVD241" s="1055"/>
      <c r="TVE241" s="1054"/>
      <c r="TVF241" s="1055"/>
      <c r="TVG241" s="1054"/>
      <c r="TVH241" s="1055"/>
      <c r="TVI241" s="1054"/>
      <c r="TVJ241" s="1055"/>
      <c r="TVK241" s="1054"/>
      <c r="TVL241" s="1055"/>
      <c r="TVM241" s="1054"/>
      <c r="TVN241" s="1055"/>
      <c r="TVO241" s="1054"/>
      <c r="TVP241" s="1055"/>
      <c r="TVQ241" s="1054"/>
      <c r="TVR241" s="1055"/>
      <c r="TVS241" s="1054"/>
      <c r="TVT241" s="1055"/>
      <c r="TVU241" s="1054"/>
      <c r="TVV241" s="1055"/>
      <c r="TVW241" s="1054"/>
      <c r="TVX241" s="1055"/>
      <c r="TVY241" s="1054"/>
      <c r="TVZ241" s="1055"/>
      <c r="TWA241" s="1054"/>
      <c r="TWB241" s="1055"/>
      <c r="TWC241" s="1054"/>
      <c r="TWD241" s="1055"/>
      <c r="TWE241" s="1054"/>
      <c r="TWF241" s="1055"/>
      <c r="TWG241" s="1054"/>
      <c r="TWH241" s="1055"/>
      <c r="TWI241" s="1054"/>
      <c r="TWJ241" s="1055"/>
      <c r="TWK241" s="1054"/>
      <c r="TWL241" s="1055"/>
      <c r="TWM241" s="1054"/>
      <c r="TWN241" s="1055"/>
      <c r="TWO241" s="1054"/>
      <c r="TWP241" s="1055"/>
      <c r="TWQ241" s="1054"/>
      <c r="TWR241" s="1055"/>
      <c r="TWS241" s="1054"/>
      <c r="TWT241" s="1055"/>
      <c r="TWU241" s="1054"/>
      <c r="TWV241" s="1055"/>
      <c r="TWW241" s="1054"/>
      <c r="TWX241" s="1055"/>
      <c r="TWY241" s="1054"/>
      <c r="TWZ241" s="1055"/>
      <c r="TXA241" s="1054"/>
      <c r="TXB241" s="1055"/>
      <c r="TXC241" s="1054"/>
      <c r="TXD241" s="1055"/>
      <c r="TXE241" s="1054"/>
      <c r="TXF241" s="1055"/>
      <c r="TXG241" s="1054"/>
      <c r="TXH241" s="1055"/>
      <c r="TXI241" s="1054"/>
      <c r="TXJ241" s="1055"/>
      <c r="TXK241" s="1054"/>
      <c r="TXL241" s="1055"/>
      <c r="TXM241" s="1054"/>
      <c r="TXN241" s="1055"/>
      <c r="TXO241" s="1054"/>
      <c r="TXP241" s="1055"/>
      <c r="TXQ241" s="1054"/>
      <c r="TXR241" s="1055"/>
      <c r="TXS241" s="1054"/>
      <c r="TXT241" s="1055"/>
      <c r="TXU241" s="1054"/>
      <c r="TXV241" s="1055"/>
      <c r="TXW241" s="1054"/>
      <c r="TXX241" s="1055"/>
      <c r="TXY241" s="1054"/>
      <c r="TXZ241" s="1055"/>
      <c r="TYA241" s="1054"/>
      <c r="TYB241" s="1055"/>
      <c r="TYC241" s="1054"/>
      <c r="TYD241" s="1055"/>
      <c r="TYE241" s="1054"/>
      <c r="TYF241" s="1055"/>
      <c r="TYG241" s="1054"/>
      <c r="TYH241" s="1055"/>
      <c r="TYI241" s="1054"/>
      <c r="TYJ241" s="1055"/>
      <c r="TYK241" s="1054"/>
      <c r="TYL241" s="1055"/>
      <c r="TYM241" s="1054"/>
      <c r="TYN241" s="1055"/>
      <c r="TYO241" s="1054"/>
      <c r="TYP241" s="1055"/>
      <c r="TYQ241" s="1054"/>
      <c r="TYR241" s="1055"/>
      <c r="TYS241" s="1054"/>
      <c r="TYT241" s="1055"/>
      <c r="TYU241" s="1054"/>
      <c r="TYV241" s="1055"/>
      <c r="TYW241" s="1054"/>
      <c r="TYX241" s="1055"/>
      <c r="TYY241" s="1054"/>
      <c r="TYZ241" s="1055"/>
      <c r="TZA241" s="1054"/>
      <c r="TZB241" s="1055"/>
      <c r="TZC241" s="1054"/>
      <c r="TZD241" s="1055"/>
      <c r="TZE241" s="1054"/>
      <c r="TZF241" s="1055"/>
      <c r="TZG241" s="1054"/>
      <c r="TZH241" s="1055"/>
      <c r="TZI241" s="1054"/>
      <c r="TZJ241" s="1055"/>
      <c r="TZK241" s="1054"/>
      <c r="TZL241" s="1055"/>
      <c r="TZM241" s="1054"/>
      <c r="TZN241" s="1055"/>
      <c r="TZO241" s="1054"/>
      <c r="TZP241" s="1055"/>
      <c r="TZQ241" s="1054"/>
      <c r="TZR241" s="1055"/>
      <c r="TZS241" s="1054"/>
      <c r="TZT241" s="1055"/>
      <c r="TZU241" s="1054"/>
      <c r="TZV241" s="1055"/>
      <c r="TZW241" s="1054"/>
      <c r="TZX241" s="1055"/>
      <c r="TZY241" s="1054"/>
      <c r="TZZ241" s="1055"/>
      <c r="UAA241" s="1054"/>
      <c r="UAB241" s="1055"/>
      <c r="UAC241" s="1054"/>
      <c r="UAD241" s="1055"/>
      <c r="UAE241" s="1054"/>
      <c r="UAF241" s="1055"/>
      <c r="UAG241" s="1054"/>
      <c r="UAH241" s="1055"/>
      <c r="UAI241" s="1054"/>
      <c r="UAJ241" s="1055"/>
      <c r="UAK241" s="1054"/>
      <c r="UAL241" s="1055"/>
      <c r="UAM241" s="1054"/>
      <c r="UAN241" s="1055"/>
      <c r="UAO241" s="1054"/>
      <c r="UAP241" s="1055"/>
      <c r="UAQ241" s="1054"/>
      <c r="UAR241" s="1055"/>
      <c r="UAS241" s="1054"/>
      <c r="UAT241" s="1055"/>
      <c r="UAU241" s="1054"/>
      <c r="UAV241" s="1055"/>
      <c r="UAW241" s="1054"/>
      <c r="UAX241" s="1055"/>
      <c r="UAY241" s="1054"/>
      <c r="UAZ241" s="1055"/>
      <c r="UBA241" s="1054"/>
      <c r="UBB241" s="1055"/>
      <c r="UBC241" s="1054"/>
      <c r="UBD241" s="1055"/>
      <c r="UBE241" s="1054"/>
      <c r="UBF241" s="1055"/>
      <c r="UBG241" s="1054"/>
      <c r="UBH241" s="1055"/>
      <c r="UBI241" s="1054"/>
      <c r="UBJ241" s="1055"/>
      <c r="UBK241" s="1054"/>
      <c r="UBL241" s="1055"/>
      <c r="UBM241" s="1054"/>
      <c r="UBN241" s="1055"/>
      <c r="UBO241" s="1054"/>
      <c r="UBP241" s="1055"/>
      <c r="UBQ241" s="1054"/>
      <c r="UBR241" s="1055"/>
      <c r="UBS241" s="1054"/>
      <c r="UBT241" s="1055"/>
      <c r="UBU241" s="1054"/>
      <c r="UBV241" s="1055"/>
      <c r="UBW241" s="1054"/>
      <c r="UBX241" s="1055"/>
      <c r="UBY241" s="1054"/>
      <c r="UBZ241" s="1055"/>
      <c r="UCA241" s="1054"/>
      <c r="UCB241" s="1055"/>
      <c r="UCC241" s="1054"/>
      <c r="UCD241" s="1055"/>
      <c r="UCE241" s="1054"/>
      <c r="UCF241" s="1055"/>
      <c r="UCG241" s="1054"/>
      <c r="UCH241" s="1055"/>
      <c r="UCI241" s="1054"/>
      <c r="UCJ241" s="1055"/>
      <c r="UCK241" s="1054"/>
      <c r="UCL241" s="1055"/>
      <c r="UCM241" s="1054"/>
      <c r="UCN241" s="1055"/>
      <c r="UCO241" s="1054"/>
      <c r="UCP241" s="1055"/>
      <c r="UCQ241" s="1054"/>
      <c r="UCR241" s="1055"/>
      <c r="UCS241" s="1054"/>
      <c r="UCT241" s="1055"/>
      <c r="UCU241" s="1054"/>
      <c r="UCV241" s="1055"/>
      <c r="UCW241" s="1054"/>
      <c r="UCX241" s="1055"/>
      <c r="UCY241" s="1054"/>
      <c r="UCZ241" s="1055"/>
      <c r="UDA241" s="1054"/>
      <c r="UDB241" s="1055"/>
      <c r="UDC241" s="1054"/>
      <c r="UDD241" s="1055"/>
      <c r="UDE241" s="1054"/>
      <c r="UDF241" s="1055"/>
      <c r="UDG241" s="1054"/>
      <c r="UDH241" s="1055"/>
      <c r="UDI241" s="1054"/>
      <c r="UDJ241" s="1055"/>
      <c r="UDK241" s="1054"/>
      <c r="UDL241" s="1055"/>
      <c r="UDM241" s="1054"/>
      <c r="UDN241" s="1055"/>
      <c r="UDO241" s="1054"/>
      <c r="UDP241" s="1055"/>
      <c r="UDQ241" s="1054"/>
      <c r="UDR241" s="1055"/>
      <c r="UDS241" s="1054"/>
      <c r="UDT241" s="1055"/>
      <c r="UDU241" s="1054"/>
      <c r="UDV241" s="1055"/>
      <c r="UDW241" s="1054"/>
      <c r="UDX241" s="1055"/>
      <c r="UDY241" s="1054"/>
      <c r="UDZ241" s="1055"/>
      <c r="UEA241" s="1054"/>
      <c r="UEB241" s="1055"/>
      <c r="UEC241" s="1054"/>
      <c r="UED241" s="1055"/>
      <c r="UEE241" s="1054"/>
      <c r="UEF241" s="1055"/>
      <c r="UEG241" s="1054"/>
      <c r="UEH241" s="1055"/>
      <c r="UEI241" s="1054"/>
      <c r="UEJ241" s="1055"/>
      <c r="UEK241" s="1054"/>
      <c r="UEL241" s="1055"/>
      <c r="UEM241" s="1054"/>
      <c r="UEN241" s="1055"/>
      <c r="UEO241" s="1054"/>
      <c r="UEP241" s="1055"/>
      <c r="UEQ241" s="1054"/>
      <c r="UER241" s="1055"/>
      <c r="UES241" s="1054"/>
      <c r="UET241" s="1055"/>
      <c r="UEU241" s="1054"/>
      <c r="UEV241" s="1055"/>
      <c r="UEW241" s="1054"/>
      <c r="UEX241" s="1055"/>
      <c r="UEY241" s="1054"/>
      <c r="UEZ241" s="1055"/>
      <c r="UFA241" s="1054"/>
      <c r="UFB241" s="1055"/>
      <c r="UFC241" s="1054"/>
      <c r="UFD241" s="1055"/>
      <c r="UFE241" s="1054"/>
      <c r="UFF241" s="1055"/>
      <c r="UFG241" s="1054"/>
      <c r="UFH241" s="1055"/>
      <c r="UFI241" s="1054"/>
      <c r="UFJ241" s="1055"/>
      <c r="UFK241" s="1054"/>
      <c r="UFL241" s="1055"/>
      <c r="UFM241" s="1054"/>
      <c r="UFN241" s="1055"/>
      <c r="UFO241" s="1054"/>
      <c r="UFP241" s="1055"/>
      <c r="UFQ241" s="1054"/>
      <c r="UFR241" s="1055"/>
      <c r="UFS241" s="1054"/>
      <c r="UFT241" s="1055"/>
      <c r="UFU241" s="1054"/>
      <c r="UFV241" s="1055"/>
      <c r="UFW241" s="1054"/>
      <c r="UFX241" s="1055"/>
      <c r="UFY241" s="1054"/>
      <c r="UFZ241" s="1055"/>
      <c r="UGA241" s="1054"/>
      <c r="UGB241" s="1055"/>
      <c r="UGC241" s="1054"/>
      <c r="UGD241" s="1055"/>
      <c r="UGE241" s="1054"/>
      <c r="UGF241" s="1055"/>
      <c r="UGG241" s="1054"/>
      <c r="UGH241" s="1055"/>
      <c r="UGI241" s="1054"/>
      <c r="UGJ241" s="1055"/>
      <c r="UGK241" s="1054"/>
      <c r="UGL241" s="1055"/>
      <c r="UGM241" s="1054"/>
      <c r="UGN241" s="1055"/>
      <c r="UGO241" s="1054"/>
      <c r="UGP241" s="1055"/>
      <c r="UGQ241" s="1054"/>
      <c r="UGR241" s="1055"/>
      <c r="UGS241" s="1054"/>
      <c r="UGT241" s="1055"/>
      <c r="UGU241" s="1054"/>
      <c r="UGV241" s="1055"/>
      <c r="UGW241" s="1054"/>
      <c r="UGX241" s="1055"/>
      <c r="UGY241" s="1054"/>
      <c r="UGZ241" s="1055"/>
      <c r="UHA241" s="1054"/>
      <c r="UHB241" s="1055"/>
      <c r="UHC241" s="1054"/>
      <c r="UHD241" s="1055"/>
      <c r="UHE241" s="1054"/>
      <c r="UHF241" s="1055"/>
      <c r="UHG241" s="1054"/>
      <c r="UHH241" s="1055"/>
      <c r="UHI241" s="1054"/>
      <c r="UHJ241" s="1055"/>
      <c r="UHK241" s="1054"/>
      <c r="UHL241" s="1055"/>
      <c r="UHM241" s="1054"/>
      <c r="UHN241" s="1055"/>
      <c r="UHO241" s="1054"/>
      <c r="UHP241" s="1055"/>
      <c r="UHQ241" s="1054"/>
      <c r="UHR241" s="1055"/>
      <c r="UHS241" s="1054"/>
      <c r="UHT241" s="1055"/>
      <c r="UHU241" s="1054"/>
      <c r="UHV241" s="1055"/>
      <c r="UHW241" s="1054"/>
      <c r="UHX241" s="1055"/>
      <c r="UHY241" s="1054"/>
      <c r="UHZ241" s="1055"/>
      <c r="UIA241" s="1054"/>
      <c r="UIB241" s="1055"/>
      <c r="UIC241" s="1054"/>
      <c r="UID241" s="1055"/>
      <c r="UIE241" s="1054"/>
      <c r="UIF241" s="1055"/>
      <c r="UIG241" s="1054"/>
      <c r="UIH241" s="1055"/>
      <c r="UII241" s="1054"/>
      <c r="UIJ241" s="1055"/>
      <c r="UIK241" s="1054"/>
      <c r="UIL241" s="1055"/>
      <c r="UIM241" s="1054"/>
      <c r="UIN241" s="1055"/>
      <c r="UIO241" s="1054"/>
      <c r="UIP241" s="1055"/>
      <c r="UIQ241" s="1054"/>
      <c r="UIR241" s="1055"/>
      <c r="UIS241" s="1054"/>
      <c r="UIT241" s="1055"/>
      <c r="UIU241" s="1054"/>
      <c r="UIV241" s="1055"/>
      <c r="UIW241" s="1054"/>
      <c r="UIX241" s="1055"/>
      <c r="UIY241" s="1054"/>
      <c r="UIZ241" s="1055"/>
      <c r="UJA241" s="1054"/>
      <c r="UJB241" s="1055"/>
      <c r="UJC241" s="1054"/>
      <c r="UJD241" s="1055"/>
      <c r="UJE241" s="1054"/>
      <c r="UJF241" s="1055"/>
      <c r="UJG241" s="1054"/>
      <c r="UJH241" s="1055"/>
      <c r="UJI241" s="1054"/>
      <c r="UJJ241" s="1055"/>
      <c r="UJK241" s="1054"/>
      <c r="UJL241" s="1055"/>
      <c r="UJM241" s="1054"/>
      <c r="UJN241" s="1055"/>
      <c r="UJO241" s="1054"/>
      <c r="UJP241" s="1055"/>
      <c r="UJQ241" s="1054"/>
      <c r="UJR241" s="1055"/>
      <c r="UJS241" s="1054"/>
      <c r="UJT241" s="1055"/>
      <c r="UJU241" s="1054"/>
      <c r="UJV241" s="1055"/>
      <c r="UJW241" s="1054"/>
      <c r="UJX241" s="1055"/>
      <c r="UJY241" s="1054"/>
      <c r="UJZ241" s="1055"/>
      <c r="UKA241" s="1054"/>
      <c r="UKB241" s="1055"/>
      <c r="UKC241" s="1054"/>
      <c r="UKD241" s="1055"/>
      <c r="UKE241" s="1054"/>
      <c r="UKF241" s="1055"/>
      <c r="UKG241" s="1054"/>
      <c r="UKH241" s="1055"/>
      <c r="UKI241" s="1054"/>
      <c r="UKJ241" s="1055"/>
      <c r="UKK241" s="1054"/>
      <c r="UKL241" s="1055"/>
      <c r="UKM241" s="1054"/>
      <c r="UKN241" s="1055"/>
      <c r="UKO241" s="1054"/>
      <c r="UKP241" s="1055"/>
      <c r="UKQ241" s="1054"/>
      <c r="UKR241" s="1055"/>
      <c r="UKS241" s="1054"/>
      <c r="UKT241" s="1055"/>
      <c r="UKU241" s="1054"/>
      <c r="UKV241" s="1055"/>
      <c r="UKW241" s="1054"/>
      <c r="UKX241" s="1055"/>
      <c r="UKY241" s="1054"/>
      <c r="UKZ241" s="1055"/>
      <c r="ULA241" s="1054"/>
      <c r="ULB241" s="1055"/>
      <c r="ULC241" s="1054"/>
      <c r="ULD241" s="1055"/>
      <c r="ULE241" s="1054"/>
      <c r="ULF241" s="1055"/>
      <c r="ULG241" s="1054"/>
      <c r="ULH241" s="1055"/>
      <c r="ULI241" s="1054"/>
      <c r="ULJ241" s="1055"/>
      <c r="ULK241" s="1054"/>
      <c r="ULL241" s="1055"/>
      <c r="ULM241" s="1054"/>
      <c r="ULN241" s="1055"/>
      <c r="ULO241" s="1054"/>
      <c r="ULP241" s="1055"/>
      <c r="ULQ241" s="1054"/>
      <c r="ULR241" s="1055"/>
      <c r="ULS241" s="1054"/>
      <c r="ULT241" s="1055"/>
      <c r="ULU241" s="1054"/>
      <c r="ULV241" s="1055"/>
      <c r="ULW241" s="1054"/>
      <c r="ULX241" s="1055"/>
      <c r="ULY241" s="1054"/>
      <c r="ULZ241" s="1055"/>
      <c r="UMA241" s="1054"/>
      <c r="UMB241" s="1055"/>
      <c r="UMC241" s="1054"/>
      <c r="UMD241" s="1055"/>
      <c r="UME241" s="1054"/>
      <c r="UMF241" s="1055"/>
      <c r="UMG241" s="1054"/>
      <c r="UMH241" s="1055"/>
      <c r="UMI241" s="1054"/>
      <c r="UMJ241" s="1055"/>
      <c r="UMK241" s="1054"/>
      <c r="UML241" s="1055"/>
      <c r="UMM241" s="1054"/>
      <c r="UMN241" s="1055"/>
      <c r="UMO241" s="1054"/>
      <c r="UMP241" s="1055"/>
      <c r="UMQ241" s="1054"/>
      <c r="UMR241" s="1055"/>
      <c r="UMS241" s="1054"/>
      <c r="UMT241" s="1055"/>
      <c r="UMU241" s="1054"/>
      <c r="UMV241" s="1055"/>
      <c r="UMW241" s="1054"/>
      <c r="UMX241" s="1055"/>
      <c r="UMY241" s="1054"/>
      <c r="UMZ241" s="1055"/>
      <c r="UNA241" s="1054"/>
      <c r="UNB241" s="1055"/>
      <c r="UNC241" s="1054"/>
      <c r="UND241" s="1055"/>
      <c r="UNE241" s="1054"/>
      <c r="UNF241" s="1055"/>
      <c r="UNG241" s="1054"/>
      <c r="UNH241" s="1055"/>
      <c r="UNI241" s="1054"/>
      <c r="UNJ241" s="1055"/>
      <c r="UNK241" s="1054"/>
      <c r="UNL241" s="1055"/>
      <c r="UNM241" s="1054"/>
      <c r="UNN241" s="1055"/>
      <c r="UNO241" s="1054"/>
      <c r="UNP241" s="1055"/>
      <c r="UNQ241" s="1054"/>
      <c r="UNR241" s="1055"/>
      <c r="UNS241" s="1054"/>
      <c r="UNT241" s="1055"/>
      <c r="UNU241" s="1054"/>
      <c r="UNV241" s="1055"/>
      <c r="UNW241" s="1054"/>
      <c r="UNX241" s="1055"/>
      <c r="UNY241" s="1054"/>
      <c r="UNZ241" s="1055"/>
      <c r="UOA241" s="1054"/>
      <c r="UOB241" s="1055"/>
      <c r="UOC241" s="1054"/>
      <c r="UOD241" s="1055"/>
      <c r="UOE241" s="1054"/>
      <c r="UOF241" s="1055"/>
      <c r="UOG241" s="1054"/>
      <c r="UOH241" s="1055"/>
      <c r="UOI241" s="1054"/>
      <c r="UOJ241" s="1055"/>
      <c r="UOK241" s="1054"/>
      <c r="UOL241" s="1055"/>
      <c r="UOM241" s="1054"/>
      <c r="UON241" s="1055"/>
      <c r="UOO241" s="1054"/>
      <c r="UOP241" s="1055"/>
      <c r="UOQ241" s="1054"/>
      <c r="UOR241" s="1055"/>
      <c r="UOS241" s="1054"/>
      <c r="UOT241" s="1055"/>
      <c r="UOU241" s="1054"/>
      <c r="UOV241" s="1055"/>
      <c r="UOW241" s="1054"/>
      <c r="UOX241" s="1055"/>
      <c r="UOY241" s="1054"/>
      <c r="UOZ241" s="1055"/>
      <c r="UPA241" s="1054"/>
      <c r="UPB241" s="1055"/>
      <c r="UPC241" s="1054"/>
      <c r="UPD241" s="1055"/>
      <c r="UPE241" s="1054"/>
      <c r="UPF241" s="1055"/>
      <c r="UPG241" s="1054"/>
      <c r="UPH241" s="1055"/>
      <c r="UPI241" s="1054"/>
      <c r="UPJ241" s="1055"/>
      <c r="UPK241" s="1054"/>
      <c r="UPL241" s="1055"/>
      <c r="UPM241" s="1054"/>
      <c r="UPN241" s="1055"/>
      <c r="UPO241" s="1054"/>
      <c r="UPP241" s="1055"/>
      <c r="UPQ241" s="1054"/>
      <c r="UPR241" s="1055"/>
      <c r="UPS241" s="1054"/>
      <c r="UPT241" s="1055"/>
      <c r="UPU241" s="1054"/>
      <c r="UPV241" s="1055"/>
      <c r="UPW241" s="1054"/>
      <c r="UPX241" s="1055"/>
      <c r="UPY241" s="1054"/>
      <c r="UPZ241" s="1055"/>
      <c r="UQA241" s="1054"/>
      <c r="UQB241" s="1055"/>
      <c r="UQC241" s="1054"/>
      <c r="UQD241" s="1055"/>
      <c r="UQE241" s="1054"/>
      <c r="UQF241" s="1055"/>
      <c r="UQG241" s="1054"/>
      <c r="UQH241" s="1055"/>
      <c r="UQI241" s="1054"/>
      <c r="UQJ241" s="1055"/>
      <c r="UQK241" s="1054"/>
      <c r="UQL241" s="1055"/>
      <c r="UQM241" s="1054"/>
      <c r="UQN241" s="1055"/>
      <c r="UQO241" s="1054"/>
      <c r="UQP241" s="1055"/>
      <c r="UQQ241" s="1054"/>
      <c r="UQR241" s="1055"/>
      <c r="UQS241" s="1054"/>
      <c r="UQT241" s="1055"/>
      <c r="UQU241" s="1054"/>
      <c r="UQV241" s="1055"/>
      <c r="UQW241" s="1054"/>
      <c r="UQX241" s="1055"/>
      <c r="UQY241" s="1054"/>
      <c r="UQZ241" s="1055"/>
      <c r="URA241" s="1054"/>
      <c r="URB241" s="1055"/>
      <c r="URC241" s="1054"/>
      <c r="URD241" s="1055"/>
      <c r="URE241" s="1054"/>
      <c r="URF241" s="1055"/>
      <c r="URG241" s="1054"/>
      <c r="URH241" s="1055"/>
      <c r="URI241" s="1054"/>
      <c r="URJ241" s="1055"/>
      <c r="URK241" s="1054"/>
      <c r="URL241" s="1055"/>
      <c r="URM241" s="1054"/>
      <c r="URN241" s="1055"/>
      <c r="URO241" s="1054"/>
      <c r="URP241" s="1055"/>
      <c r="URQ241" s="1054"/>
      <c r="URR241" s="1055"/>
      <c r="URS241" s="1054"/>
      <c r="URT241" s="1055"/>
      <c r="URU241" s="1054"/>
      <c r="URV241" s="1055"/>
      <c r="URW241" s="1054"/>
      <c r="URX241" s="1055"/>
      <c r="URY241" s="1054"/>
      <c r="URZ241" s="1055"/>
      <c r="USA241" s="1054"/>
      <c r="USB241" s="1055"/>
      <c r="USC241" s="1054"/>
      <c r="USD241" s="1055"/>
      <c r="USE241" s="1054"/>
      <c r="USF241" s="1055"/>
      <c r="USG241" s="1054"/>
      <c r="USH241" s="1055"/>
      <c r="USI241" s="1054"/>
      <c r="USJ241" s="1055"/>
      <c r="USK241" s="1054"/>
      <c r="USL241" s="1055"/>
      <c r="USM241" s="1054"/>
      <c r="USN241" s="1055"/>
      <c r="USO241" s="1054"/>
      <c r="USP241" s="1055"/>
      <c r="USQ241" s="1054"/>
      <c r="USR241" s="1055"/>
      <c r="USS241" s="1054"/>
      <c r="UST241" s="1055"/>
      <c r="USU241" s="1054"/>
      <c r="USV241" s="1055"/>
      <c r="USW241" s="1054"/>
      <c r="USX241" s="1055"/>
      <c r="USY241" s="1054"/>
      <c r="USZ241" s="1055"/>
      <c r="UTA241" s="1054"/>
      <c r="UTB241" s="1055"/>
      <c r="UTC241" s="1054"/>
      <c r="UTD241" s="1055"/>
      <c r="UTE241" s="1054"/>
      <c r="UTF241" s="1055"/>
      <c r="UTG241" s="1054"/>
      <c r="UTH241" s="1055"/>
      <c r="UTI241" s="1054"/>
      <c r="UTJ241" s="1055"/>
      <c r="UTK241" s="1054"/>
      <c r="UTL241" s="1055"/>
      <c r="UTM241" s="1054"/>
      <c r="UTN241" s="1055"/>
      <c r="UTO241" s="1054"/>
      <c r="UTP241" s="1055"/>
      <c r="UTQ241" s="1054"/>
      <c r="UTR241" s="1055"/>
      <c r="UTS241" s="1054"/>
      <c r="UTT241" s="1055"/>
      <c r="UTU241" s="1054"/>
      <c r="UTV241" s="1055"/>
      <c r="UTW241" s="1054"/>
      <c r="UTX241" s="1055"/>
      <c r="UTY241" s="1054"/>
      <c r="UTZ241" s="1055"/>
      <c r="UUA241" s="1054"/>
      <c r="UUB241" s="1055"/>
      <c r="UUC241" s="1054"/>
      <c r="UUD241" s="1055"/>
      <c r="UUE241" s="1054"/>
      <c r="UUF241" s="1055"/>
      <c r="UUG241" s="1054"/>
      <c r="UUH241" s="1055"/>
      <c r="UUI241" s="1054"/>
      <c r="UUJ241" s="1055"/>
      <c r="UUK241" s="1054"/>
      <c r="UUL241" s="1055"/>
      <c r="UUM241" s="1054"/>
      <c r="UUN241" s="1055"/>
      <c r="UUO241" s="1054"/>
      <c r="UUP241" s="1055"/>
      <c r="UUQ241" s="1054"/>
      <c r="UUR241" s="1055"/>
      <c r="UUS241" s="1054"/>
      <c r="UUT241" s="1055"/>
      <c r="UUU241" s="1054"/>
      <c r="UUV241" s="1055"/>
      <c r="UUW241" s="1054"/>
      <c r="UUX241" s="1055"/>
      <c r="UUY241" s="1054"/>
      <c r="UUZ241" s="1055"/>
      <c r="UVA241" s="1054"/>
      <c r="UVB241" s="1055"/>
      <c r="UVC241" s="1054"/>
      <c r="UVD241" s="1055"/>
      <c r="UVE241" s="1054"/>
      <c r="UVF241" s="1055"/>
      <c r="UVG241" s="1054"/>
      <c r="UVH241" s="1055"/>
      <c r="UVI241" s="1054"/>
      <c r="UVJ241" s="1055"/>
      <c r="UVK241" s="1054"/>
      <c r="UVL241" s="1055"/>
      <c r="UVM241" s="1054"/>
      <c r="UVN241" s="1055"/>
      <c r="UVO241" s="1054"/>
      <c r="UVP241" s="1055"/>
      <c r="UVQ241" s="1054"/>
      <c r="UVR241" s="1055"/>
      <c r="UVS241" s="1054"/>
      <c r="UVT241" s="1055"/>
      <c r="UVU241" s="1054"/>
      <c r="UVV241" s="1055"/>
      <c r="UVW241" s="1054"/>
      <c r="UVX241" s="1055"/>
      <c r="UVY241" s="1054"/>
      <c r="UVZ241" s="1055"/>
      <c r="UWA241" s="1054"/>
      <c r="UWB241" s="1055"/>
      <c r="UWC241" s="1054"/>
      <c r="UWD241" s="1055"/>
      <c r="UWE241" s="1054"/>
      <c r="UWF241" s="1055"/>
      <c r="UWG241" s="1054"/>
      <c r="UWH241" s="1055"/>
      <c r="UWI241" s="1054"/>
      <c r="UWJ241" s="1055"/>
      <c r="UWK241" s="1054"/>
      <c r="UWL241" s="1055"/>
      <c r="UWM241" s="1054"/>
      <c r="UWN241" s="1055"/>
      <c r="UWO241" s="1054"/>
      <c r="UWP241" s="1055"/>
      <c r="UWQ241" s="1054"/>
      <c r="UWR241" s="1055"/>
      <c r="UWS241" s="1054"/>
      <c r="UWT241" s="1055"/>
      <c r="UWU241" s="1054"/>
      <c r="UWV241" s="1055"/>
      <c r="UWW241" s="1054"/>
      <c r="UWX241" s="1055"/>
      <c r="UWY241" s="1054"/>
      <c r="UWZ241" s="1055"/>
      <c r="UXA241" s="1054"/>
      <c r="UXB241" s="1055"/>
      <c r="UXC241" s="1054"/>
      <c r="UXD241" s="1055"/>
      <c r="UXE241" s="1054"/>
      <c r="UXF241" s="1055"/>
      <c r="UXG241" s="1054"/>
      <c r="UXH241" s="1055"/>
      <c r="UXI241" s="1054"/>
      <c r="UXJ241" s="1055"/>
      <c r="UXK241" s="1054"/>
      <c r="UXL241" s="1055"/>
      <c r="UXM241" s="1054"/>
      <c r="UXN241" s="1055"/>
      <c r="UXO241" s="1054"/>
      <c r="UXP241" s="1055"/>
      <c r="UXQ241" s="1054"/>
      <c r="UXR241" s="1055"/>
      <c r="UXS241" s="1054"/>
      <c r="UXT241" s="1055"/>
      <c r="UXU241" s="1054"/>
      <c r="UXV241" s="1055"/>
      <c r="UXW241" s="1054"/>
      <c r="UXX241" s="1055"/>
      <c r="UXY241" s="1054"/>
      <c r="UXZ241" s="1055"/>
      <c r="UYA241" s="1054"/>
      <c r="UYB241" s="1055"/>
      <c r="UYC241" s="1054"/>
      <c r="UYD241" s="1055"/>
      <c r="UYE241" s="1054"/>
      <c r="UYF241" s="1055"/>
      <c r="UYG241" s="1054"/>
      <c r="UYH241" s="1055"/>
      <c r="UYI241" s="1054"/>
      <c r="UYJ241" s="1055"/>
      <c r="UYK241" s="1054"/>
      <c r="UYL241" s="1055"/>
      <c r="UYM241" s="1054"/>
      <c r="UYN241" s="1055"/>
      <c r="UYO241" s="1054"/>
      <c r="UYP241" s="1055"/>
      <c r="UYQ241" s="1054"/>
      <c r="UYR241" s="1055"/>
      <c r="UYS241" s="1054"/>
      <c r="UYT241" s="1055"/>
      <c r="UYU241" s="1054"/>
      <c r="UYV241" s="1055"/>
      <c r="UYW241" s="1054"/>
      <c r="UYX241" s="1055"/>
      <c r="UYY241" s="1054"/>
      <c r="UYZ241" s="1055"/>
      <c r="UZA241" s="1054"/>
      <c r="UZB241" s="1055"/>
      <c r="UZC241" s="1054"/>
      <c r="UZD241" s="1055"/>
      <c r="UZE241" s="1054"/>
      <c r="UZF241" s="1055"/>
      <c r="UZG241" s="1054"/>
      <c r="UZH241" s="1055"/>
      <c r="UZI241" s="1054"/>
      <c r="UZJ241" s="1055"/>
      <c r="UZK241" s="1054"/>
      <c r="UZL241" s="1055"/>
      <c r="UZM241" s="1054"/>
      <c r="UZN241" s="1055"/>
      <c r="UZO241" s="1054"/>
      <c r="UZP241" s="1055"/>
      <c r="UZQ241" s="1054"/>
      <c r="UZR241" s="1055"/>
      <c r="UZS241" s="1054"/>
      <c r="UZT241" s="1055"/>
      <c r="UZU241" s="1054"/>
      <c r="UZV241" s="1055"/>
      <c r="UZW241" s="1054"/>
      <c r="UZX241" s="1055"/>
      <c r="UZY241" s="1054"/>
      <c r="UZZ241" s="1055"/>
      <c r="VAA241" s="1054"/>
      <c r="VAB241" s="1055"/>
      <c r="VAC241" s="1054"/>
      <c r="VAD241" s="1055"/>
      <c r="VAE241" s="1054"/>
      <c r="VAF241" s="1055"/>
      <c r="VAG241" s="1054"/>
      <c r="VAH241" s="1055"/>
      <c r="VAI241" s="1054"/>
      <c r="VAJ241" s="1055"/>
      <c r="VAK241" s="1054"/>
      <c r="VAL241" s="1055"/>
      <c r="VAM241" s="1054"/>
      <c r="VAN241" s="1055"/>
      <c r="VAO241" s="1054"/>
      <c r="VAP241" s="1055"/>
      <c r="VAQ241" s="1054"/>
      <c r="VAR241" s="1055"/>
      <c r="VAS241" s="1054"/>
      <c r="VAT241" s="1055"/>
      <c r="VAU241" s="1054"/>
      <c r="VAV241" s="1055"/>
      <c r="VAW241" s="1054"/>
      <c r="VAX241" s="1055"/>
      <c r="VAY241" s="1054"/>
      <c r="VAZ241" s="1055"/>
      <c r="VBA241" s="1054"/>
      <c r="VBB241" s="1055"/>
      <c r="VBC241" s="1054"/>
      <c r="VBD241" s="1055"/>
      <c r="VBE241" s="1054"/>
      <c r="VBF241" s="1055"/>
      <c r="VBG241" s="1054"/>
      <c r="VBH241" s="1055"/>
      <c r="VBI241" s="1054"/>
      <c r="VBJ241" s="1055"/>
      <c r="VBK241" s="1054"/>
      <c r="VBL241" s="1055"/>
      <c r="VBM241" s="1054"/>
      <c r="VBN241" s="1055"/>
      <c r="VBO241" s="1054"/>
      <c r="VBP241" s="1055"/>
      <c r="VBQ241" s="1054"/>
      <c r="VBR241" s="1055"/>
      <c r="VBS241" s="1054"/>
      <c r="VBT241" s="1055"/>
      <c r="VBU241" s="1054"/>
      <c r="VBV241" s="1055"/>
      <c r="VBW241" s="1054"/>
      <c r="VBX241" s="1055"/>
      <c r="VBY241" s="1054"/>
      <c r="VBZ241" s="1055"/>
      <c r="VCA241" s="1054"/>
      <c r="VCB241" s="1055"/>
      <c r="VCC241" s="1054"/>
      <c r="VCD241" s="1055"/>
      <c r="VCE241" s="1054"/>
      <c r="VCF241" s="1055"/>
      <c r="VCG241" s="1054"/>
      <c r="VCH241" s="1055"/>
      <c r="VCI241" s="1054"/>
      <c r="VCJ241" s="1055"/>
      <c r="VCK241" s="1054"/>
      <c r="VCL241" s="1055"/>
      <c r="VCM241" s="1054"/>
      <c r="VCN241" s="1055"/>
      <c r="VCO241" s="1054"/>
      <c r="VCP241" s="1055"/>
      <c r="VCQ241" s="1054"/>
      <c r="VCR241" s="1055"/>
      <c r="VCS241" s="1054"/>
      <c r="VCT241" s="1055"/>
      <c r="VCU241" s="1054"/>
      <c r="VCV241" s="1055"/>
      <c r="VCW241" s="1054"/>
      <c r="VCX241" s="1055"/>
      <c r="VCY241" s="1054"/>
      <c r="VCZ241" s="1055"/>
      <c r="VDA241" s="1054"/>
      <c r="VDB241" s="1055"/>
      <c r="VDC241" s="1054"/>
      <c r="VDD241" s="1055"/>
      <c r="VDE241" s="1054"/>
      <c r="VDF241" s="1055"/>
      <c r="VDG241" s="1054"/>
      <c r="VDH241" s="1055"/>
      <c r="VDI241" s="1054"/>
      <c r="VDJ241" s="1055"/>
      <c r="VDK241" s="1054"/>
      <c r="VDL241" s="1055"/>
      <c r="VDM241" s="1054"/>
      <c r="VDN241" s="1055"/>
      <c r="VDO241" s="1054"/>
      <c r="VDP241" s="1055"/>
      <c r="VDQ241" s="1054"/>
      <c r="VDR241" s="1055"/>
      <c r="VDS241" s="1054"/>
      <c r="VDT241" s="1055"/>
      <c r="VDU241" s="1054"/>
      <c r="VDV241" s="1055"/>
      <c r="VDW241" s="1054"/>
      <c r="VDX241" s="1055"/>
      <c r="VDY241" s="1054"/>
      <c r="VDZ241" s="1055"/>
      <c r="VEA241" s="1054"/>
      <c r="VEB241" s="1055"/>
      <c r="VEC241" s="1054"/>
      <c r="VED241" s="1055"/>
      <c r="VEE241" s="1054"/>
      <c r="VEF241" s="1055"/>
      <c r="VEG241" s="1054"/>
      <c r="VEH241" s="1055"/>
      <c r="VEI241" s="1054"/>
      <c r="VEJ241" s="1055"/>
      <c r="VEK241" s="1054"/>
      <c r="VEL241" s="1055"/>
      <c r="VEM241" s="1054"/>
      <c r="VEN241" s="1055"/>
      <c r="VEO241" s="1054"/>
      <c r="VEP241" s="1055"/>
      <c r="VEQ241" s="1054"/>
      <c r="VER241" s="1055"/>
      <c r="VES241" s="1054"/>
      <c r="VET241" s="1055"/>
      <c r="VEU241" s="1054"/>
      <c r="VEV241" s="1055"/>
      <c r="VEW241" s="1054"/>
      <c r="VEX241" s="1055"/>
      <c r="VEY241" s="1054"/>
      <c r="VEZ241" s="1055"/>
      <c r="VFA241" s="1054"/>
      <c r="VFB241" s="1055"/>
      <c r="VFC241" s="1054"/>
      <c r="VFD241" s="1055"/>
      <c r="VFE241" s="1054"/>
      <c r="VFF241" s="1055"/>
      <c r="VFG241" s="1054"/>
      <c r="VFH241" s="1055"/>
      <c r="VFI241" s="1054"/>
      <c r="VFJ241" s="1055"/>
      <c r="VFK241" s="1054"/>
      <c r="VFL241" s="1055"/>
      <c r="VFM241" s="1054"/>
      <c r="VFN241" s="1055"/>
      <c r="VFO241" s="1054"/>
      <c r="VFP241" s="1055"/>
      <c r="VFQ241" s="1054"/>
      <c r="VFR241" s="1055"/>
      <c r="VFS241" s="1054"/>
      <c r="VFT241" s="1055"/>
      <c r="VFU241" s="1054"/>
      <c r="VFV241" s="1055"/>
      <c r="VFW241" s="1054"/>
      <c r="VFX241" s="1055"/>
      <c r="VFY241" s="1054"/>
      <c r="VFZ241" s="1055"/>
      <c r="VGA241" s="1054"/>
      <c r="VGB241" s="1055"/>
      <c r="VGC241" s="1054"/>
      <c r="VGD241" s="1055"/>
      <c r="VGE241" s="1054"/>
      <c r="VGF241" s="1055"/>
      <c r="VGG241" s="1054"/>
      <c r="VGH241" s="1055"/>
      <c r="VGI241" s="1054"/>
      <c r="VGJ241" s="1055"/>
      <c r="VGK241" s="1054"/>
      <c r="VGL241" s="1055"/>
      <c r="VGM241" s="1054"/>
      <c r="VGN241" s="1055"/>
      <c r="VGO241" s="1054"/>
      <c r="VGP241" s="1055"/>
      <c r="VGQ241" s="1054"/>
      <c r="VGR241" s="1055"/>
      <c r="VGS241" s="1054"/>
      <c r="VGT241" s="1055"/>
      <c r="VGU241" s="1054"/>
      <c r="VGV241" s="1055"/>
      <c r="VGW241" s="1054"/>
      <c r="VGX241" s="1055"/>
      <c r="VGY241" s="1054"/>
      <c r="VGZ241" s="1055"/>
      <c r="VHA241" s="1054"/>
      <c r="VHB241" s="1055"/>
      <c r="VHC241" s="1054"/>
      <c r="VHD241" s="1055"/>
      <c r="VHE241" s="1054"/>
      <c r="VHF241" s="1055"/>
      <c r="VHG241" s="1054"/>
      <c r="VHH241" s="1055"/>
      <c r="VHI241" s="1054"/>
      <c r="VHJ241" s="1055"/>
      <c r="VHK241" s="1054"/>
      <c r="VHL241" s="1055"/>
      <c r="VHM241" s="1054"/>
      <c r="VHN241" s="1055"/>
      <c r="VHO241" s="1054"/>
      <c r="VHP241" s="1055"/>
      <c r="VHQ241" s="1054"/>
      <c r="VHR241" s="1055"/>
      <c r="VHS241" s="1054"/>
      <c r="VHT241" s="1055"/>
      <c r="VHU241" s="1054"/>
      <c r="VHV241" s="1055"/>
      <c r="VHW241" s="1054"/>
      <c r="VHX241" s="1055"/>
      <c r="VHY241" s="1054"/>
      <c r="VHZ241" s="1055"/>
      <c r="VIA241" s="1054"/>
      <c r="VIB241" s="1055"/>
      <c r="VIC241" s="1054"/>
      <c r="VID241" s="1055"/>
      <c r="VIE241" s="1054"/>
      <c r="VIF241" s="1055"/>
      <c r="VIG241" s="1054"/>
      <c r="VIH241" s="1055"/>
      <c r="VII241" s="1054"/>
      <c r="VIJ241" s="1055"/>
      <c r="VIK241" s="1054"/>
      <c r="VIL241" s="1055"/>
      <c r="VIM241" s="1054"/>
      <c r="VIN241" s="1055"/>
      <c r="VIO241" s="1054"/>
      <c r="VIP241" s="1055"/>
      <c r="VIQ241" s="1054"/>
      <c r="VIR241" s="1055"/>
      <c r="VIS241" s="1054"/>
      <c r="VIT241" s="1055"/>
      <c r="VIU241" s="1054"/>
      <c r="VIV241" s="1055"/>
      <c r="VIW241" s="1054"/>
      <c r="VIX241" s="1055"/>
      <c r="VIY241" s="1054"/>
      <c r="VIZ241" s="1055"/>
      <c r="VJA241" s="1054"/>
      <c r="VJB241" s="1055"/>
      <c r="VJC241" s="1054"/>
      <c r="VJD241" s="1055"/>
      <c r="VJE241" s="1054"/>
      <c r="VJF241" s="1055"/>
      <c r="VJG241" s="1054"/>
      <c r="VJH241" s="1055"/>
      <c r="VJI241" s="1054"/>
      <c r="VJJ241" s="1055"/>
      <c r="VJK241" s="1054"/>
      <c r="VJL241" s="1055"/>
      <c r="VJM241" s="1054"/>
      <c r="VJN241" s="1055"/>
      <c r="VJO241" s="1054"/>
      <c r="VJP241" s="1055"/>
      <c r="VJQ241" s="1054"/>
      <c r="VJR241" s="1055"/>
      <c r="VJS241" s="1054"/>
      <c r="VJT241" s="1055"/>
      <c r="VJU241" s="1054"/>
      <c r="VJV241" s="1055"/>
      <c r="VJW241" s="1054"/>
      <c r="VJX241" s="1055"/>
      <c r="VJY241" s="1054"/>
      <c r="VJZ241" s="1055"/>
      <c r="VKA241" s="1054"/>
      <c r="VKB241" s="1055"/>
      <c r="VKC241" s="1054"/>
      <c r="VKD241" s="1055"/>
      <c r="VKE241" s="1054"/>
      <c r="VKF241" s="1055"/>
      <c r="VKG241" s="1054"/>
      <c r="VKH241" s="1055"/>
      <c r="VKI241" s="1054"/>
      <c r="VKJ241" s="1055"/>
      <c r="VKK241" s="1054"/>
      <c r="VKL241" s="1055"/>
      <c r="VKM241" s="1054"/>
      <c r="VKN241" s="1055"/>
      <c r="VKO241" s="1054"/>
      <c r="VKP241" s="1055"/>
      <c r="VKQ241" s="1054"/>
      <c r="VKR241" s="1055"/>
      <c r="VKS241" s="1054"/>
      <c r="VKT241" s="1055"/>
      <c r="VKU241" s="1054"/>
      <c r="VKV241" s="1055"/>
      <c r="VKW241" s="1054"/>
      <c r="VKX241" s="1055"/>
      <c r="VKY241" s="1054"/>
      <c r="VKZ241" s="1055"/>
      <c r="VLA241" s="1054"/>
      <c r="VLB241" s="1055"/>
      <c r="VLC241" s="1054"/>
      <c r="VLD241" s="1055"/>
      <c r="VLE241" s="1054"/>
      <c r="VLF241" s="1055"/>
      <c r="VLG241" s="1054"/>
      <c r="VLH241" s="1055"/>
      <c r="VLI241" s="1054"/>
      <c r="VLJ241" s="1055"/>
      <c r="VLK241" s="1054"/>
      <c r="VLL241" s="1055"/>
      <c r="VLM241" s="1054"/>
      <c r="VLN241" s="1055"/>
      <c r="VLO241" s="1054"/>
      <c r="VLP241" s="1055"/>
      <c r="VLQ241" s="1054"/>
      <c r="VLR241" s="1055"/>
      <c r="VLS241" s="1054"/>
      <c r="VLT241" s="1055"/>
      <c r="VLU241" s="1054"/>
      <c r="VLV241" s="1055"/>
      <c r="VLW241" s="1054"/>
      <c r="VLX241" s="1055"/>
      <c r="VLY241" s="1054"/>
      <c r="VLZ241" s="1055"/>
      <c r="VMA241" s="1054"/>
      <c r="VMB241" s="1055"/>
      <c r="VMC241" s="1054"/>
      <c r="VMD241" s="1055"/>
      <c r="VME241" s="1054"/>
      <c r="VMF241" s="1055"/>
      <c r="VMG241" s="1054"/>
      <c r="VMH241" s="1055"/>
      <c r="VMI241" s="1054"/>
      <c r="VMJ241" s="1055"/>
      <c r="VMK241" s="1054"/>
      <c r="VML241" s="1055"/>
      <c r="VMM241" s="1054"/>
      <c r="VMN241" s="1055"/>
      <c r="VMO241" s="1054"/>
      <c r="VMP241" s="1055"/>
      <c r="VMQ241" s="1054"/>
      <c r="VMR241" s="1055"/>
      <c r="VMS241" s="1054"/>
      <c r="VMT241" s="1055"/>
      <c r="VMU241" s="1054"/>
      <c r="VMV241" s="1055"/>
      <c r="VMW241" s="1054"/>
      <c r="VMX241" s="1055"/>
      <c r="VMY241" s="1054"/>
      <c r="VMZ241" s="1055"/>
      <c r="VNA241" s="1054"/>
      <c r="VNB241" s="1055"/>
      <c r="VNC241" s="1054"/>
      <c r="VND241" s="1055"/>
      <c r="VNE241" s="1054"/>
      <c r="VNF241" s="1055"/>
      <c r="VNG241" s="1054"/>
      <c r="VNH241" s="1055"/>
      <c r="VNI241" s="1054"/>
      <c r="VNJ241" s="1055"/>
      <c r="VNK241" s="1054"/>
      <c r="VNL241" s="1055"/>
      <c r="VNM241" s="1054"/>
      <c r="VNN241" s="1055"/>
      <c r="VNO241" s="1054"/>
      <c r="VNP241" s="1055"/>
      <c r="VNQ241" s="1054"/>
      <c r="VNR241" s="1055"/>
      <c r="VNS241" s="1054"/>
      <c r="VNT241" s="1055"/>
      <c r="VNU241" s="1054"/>
      <c r="VNV241" s="1055"/>
      <c r="VNW241" s="1054"/>
      <c r="VNX241" s="1055"/>
      <c r="VNY241" s="1054"/>
      <c r="VNZ241" s="1055"/>
      <c r="VOA241" s="1054"/>
      <c r="VOB241" s="1055"/>
      <c r="VOC241" s="1054"/>
      <c r="VOD241" s="1055"/>
      <c r="VOE241" s="1054"/>
      <c r="VOF241" s="1055"/>
      <c r="VOG241" s="1054"/>
      <c r="VOH241" s="1055"/>
      <c r="VOI241" s="1054"/>
      <c r="VOJ241" s="1055"/>
      <c r="VOK241" s="1054"/>
      <c r="VOL241" s="1055"/>
      <c r="VOM241" s="1054"/>
      <c r="VON241" s="1055"/>
      <c r="VOO241" s="1054"/>
      <c r="VOP241" s="1055"/>
      <c r="VOQ241" s="1054"/>
      <c r="VOR241" s="1055"/>
      <c r="VOS241" s="1054"/>
      <c r="VOT241" s="1055"/>
      <c r="VOU241" s="1054"/>
      <c r="VOV241" s="1055"/>
      <c r="VOW241" s="1054"/>
      <c r="VOX241" s="1055"/>
      <c r="VOY241" s="1054"/>
      <c r="VOZ241" s="1055"/>
      <c r="VPA241" s="1054"/>
      <c r="VPB241" s="1055"/>
      <c r="VPC241" s="1054"/>
      <c r="VPD241" s="1055"/>
      <c r="VPE241" s="1054"/>
      <c r="VPF241" s="1055"/>
      <c r="VPG241" s="1054"/>
      <c r="VPH241" s="1055"/>
      <c r="VPI241" s="1054"/>
      <c r="VPJ241" s="1055"/>
      <c r="VPK241" s="1054"/>
      <c r="VPL241" s="1055"/>
      <c r="VPM241" s="1054"/>
      <c r="VPN241" s="1055"/>
      <c r="VPO241" s="1054"/>
      <c r="VPP241" s="1055"/>
      <c r="VPQ241" s="1054"/>
      <c r="VPR241" s="1055"/>
      <c r="VPS241" s="1054"/>
      <c r="VPT241" s="1055"/>
      <c r="VPU241" s="1054"/>
      <c r="VPV241" s="1055"/>
      <c r="VPW241" s="1054"/>
      <c r="VPX241" s="1055"/>
      <c r="VPY241" s="1054"/>
      <c r="VPZ241" s="1055"/>
      <c r="VQA241" s="1054"/>
      <c r="VQB241" s="1055"/>
      <c r="VQC241" s="1054"/>
      <c r="VQD241" s="1055"/>
      <c r="VQE241" s="1054"/>
      <c r="VQF241" s="1055"/>
      <c r="VQG241" s="1054"/>
      <c r="VQH241" s="1055"/>
      <c r="VQI241" s="1054"/>
      <c r="VQJ241" s="1055"/>
      <c r="VQK241" s="1054"/>
      <c r="VQL241" s="1055"/>
      <c r="VQM241" s="1054"/>
      <c r="VQN241" s="1055"/>
      <c r="VQO241" s="1054"/>
      <c r="VQP241" s="1055"/>
      <c r="VQQ241" s="1054"/>
      <c r="VQR241" s="1055"/>
      <c r="VQS241" s="1054"/>
      <c r="VQT241" s="1055"/>
      <c r="VQU241" s="1054"/>
      <c r="VQV241" s="1055"/>
      <c r="VQW241" s="1054"/>
      <c r="VQX241" s="1055"/>
      <c r="VQY241" s="1054"/>
      <c r="VQZ241" s="1055"/>
      <c r="VRA241" s="1054"/>
      <c r="VRB241" s="1055"/>
      <c r="VRC241" s="1054"/>
      <c r="VRD241" s="1055"/>
      <c r="VRE241" s="1054"/>
      <c r="VRF241" s="1055"/>
      <c r="VRG241" s="1054"/>
      <c r="VRH241" s="1055"/>
      <c r="VRI241" s="1054"/>
      <c r="VRJ241" s="1055"/>
      <c r="VRK241" s="1054"/>
      <c r="VRL241" s="1055"/>
      <c r="VRM241" s="1054"/>
      <c r="VRN241" s="1055"/>
      <c r="VRO241" s="1054"/>
      <c r="VRP241" s="1055"/>
      <c r="VRQ241" s="1054"/>
      <c r="VRR241" s="1055"/>
      <c r="VRS241" s="1054"/>
      <c r="VRT241" s="1055"/>
      <c r="VRU241" s="1054"/>
      <c r="VRV241" s="1055"/>
      <c r="VRW241" s="1054"/>
      <c r="VRX241" s="1055"/>
      <c r="VRY241" s="1054"/>
      <c r="VRZ241" s="1055"/>
      <c r="VSA241" s="1054"/>
      <c r="VSB241" s="1055"/>
      <c r="VSC241" s="1054"/>
      <c r="VSD241" s="1055"/>
      <c r="VSE241" s="1054"/>
      <c r="VSF241" s="1055"/>
      <c r="VSG241" s="1054"/>
      <c r="VSH241" s="1055"/>
      <c r="VSI241" s="1054"/>
      <c r="VSJ241" s="1055"/>
      <c r="VSK241" s="1054"/>
      <c r="VSL241" s="1055"/>
      <c r="VSM241" s="1054"/>
      <c r="VSN241" s="1055"/>
      <c r="VSO241" s="1054"/>
      <c r="VSP241" s="1055"/>
      <c r="VSQ241" s="1054"/>
      <c r="VSR241" s="1055"/>
      <c r="VSS241" s="1054"/>
      <c r="VST241" s="1055"/>
      <c r="VSU241" s="1054"/>
      <c r="VSV241" s="1055"/>
      <c r="VSW241" s="1054"/>
      <c r="VSX241" s="1055"/>
      <c r="VSY241" s="1054"/>
      <c r="VSZ241" s="1055"/>
      <c r="VTA241" s="1054"/>
      <c r="VTB241" s="1055"/>
      <c r="VTC241" s="1054"/>
      <c r="VTD241" s="1055"/>
      <c r="VTE241" s="1054"/>
      <c r="VTF241" s="1055"/>
      <c r="VTG241" s="1054"/>
      <c r="VTH241" s="1055"/>
      <c r="VTI241" s="1054"/>
      <c r="VTJ241" s="1055"/>
      <c r="VTK241" s="1054"/>
      <c r="VTL241" s="1055"/>
      <c r="VTM241" s="1054"/>
      <c r="VTN241" s="1055"/>
      <c r="VTO241" s="1054"/>
      <c r="VTP241" s="1055"/>
      <c r="VTQ241" s="1054"/>
      <c r="VTR241" s="1055"/>
      <c r="VTS241" s="1054"/>
      <c r="VTT241" s="1055"/>
      <c r="VTU241" s="1054"/>
      <c r="VTV241" s="1055"/>
      <c r="VTW241" s="1054"/>
      <c r="VTX241" s="1055"/>
      <c r="VTY241" s="1054"/>
      <c r="VTZ241" s="1055"/>
      <c r="VUA241" s="1054"/>
      <c r="VUB241" s="1055"/>
      <c r="VUC241" s="1054"/>
      <c r="VUD241" s="1055"/>
      <c r="VUE241" s="1054"/>
      <c r="VUF241" s="1055"/>
      <c r="VUG241" s="1054"/>
      <c r="VUH241" s="1055"/>
      <c r="VUI241" s="1054"/>
      <c r="VUJ241" s="1055"/>
      <c r="VUK241" s="1054"/>
      <c r="VUL241" s="1055"/>
      <c r="VUM241" s="1054"/>
      <c r="VUN241" s="1055"/>
      <c r="VUO241" s="1054"/>
      <c r="VUP241" s="1055"/>
      <c r="VUQ241" s="1054"/>
      <c r="VUR241" s="1055"/>
      <c r="VUS241" s="1054"/>
      <c r="VUT241" s="1055"/>
      <c r="VUU241" s="1054"/>
      <c r="VUV241" s="1055"/>
      <c r="VUW241" s="1054"/>
      <c r="VUX241" s="1055"/>
      <c r="VUY241" s="1054"/>
      <c r="VUZ241" s="1055"/>
      <c r="VVA241" s="1054"/>
      <c r="VVB241" s="1055"/>
      <c r="VVC241" s="1054"/>
      <c r="VVD241" s="1055"/>
      <c r="VVE241" s="1054"/>
      <c r="VVF241" s="1055"/>
      <c r="VVG241" s="1054"/>
      <c r="VVH241" s="1055"/>
      <c r="VVI241" s="1054"/>
      <c r="VVJ241" s="1055"/>
      <c r="VVK241" s="1054"/>
      <c r="VVL241" s="1055"/>
      <c r="VVM241" s="1054"/>
      <c r="VVN241" s="1055"/>
      <c r="VVO241" s="1054"/>
      <c r="VVP241" s="1055"/>
      <c r="VVQ241" s="1054"/>
      <c r="VVR241" s="1055"/>
      <c r="VVS241" s="1054"/>
      <c r="VVT241" s="1055"/>
      <c r="VVU241" s="1054"/>
      <c r="VVV241" s="1055"/>
      <c r="VVW241" s="1054"/>
      <c r="VVX241" s="1055"/>
      <c r="VVY241" s="1054"/>
      <c r="VVZ241" s="1055"/>
      <c r="VWA241" s="1054"/>
      <c r="VWB241" s="1055"/>
      <c r="VWC241" s="1054"/>
      <c r="VWD241" s="1055"/>
      <c r="VWE241" s="1054"/>
      <c r="VWF241" s="1055"/>
      <c r="VWG241" s="1054"/>
      <c r="VWH241" s="1055"/>
      <c r="VWI241" s="1054"/>
      <c r="VWJ241" s="1055"/>
      <c r="VWK241" s="1054"/>
      <c r="VWL241" s="1055"/>
      <c r="VWM241" s="1054"/>
      <c r="VWN241" s="1055"/>
      <c r="VWO241" s="1054"/>
      <c r="VWP241" s="1055"/>
      <c r="VWQ241" s="1054"/>
      <c r="VWR241" s="1055"/>
      <c r="VWS241" s="1054"/>
      <c r="VWT241" s="1055"/>
      <c r="VWU241" s="1054"/>
      <c r="VWV241" s="1055"/>
      <c r="VWW241" s="1054"/>
      <c r="VWX241" s="1055"/>
      <c r="VWY241" s="1054"/>
      <c r="VWZ241" s="1055"/>
      <c r="VXA241" s="1054"/>
      <c r="VXB241" s="1055"/>
      <c r="VXC241" s="1054"/>
      <c r="VXD241" s="1055"/>
      <c r="VXE241" s="1054"/>
      <c r="VXF241" s="1055"/>
      <c r="VXG241" s="1054"/>
      <c r="VXH241" s="1055"/>
      <c r="VXI241" s="1054"/>
      <c r="VXJ241" s="1055"/>
      <c r="VXK241" s="1054"/>
      <c r="VXL241" s="1055"/>
      <c r="VXM241" s="1054"/>
      <c r="VXN241" s="1055"/>
      <c r="VXO241" s="1054"/>
      <c r="VXP241" s="1055"/>
      <c r="VXQ241" s="1054"/>
      <c r="VXR241" s="1055"/>
      <c r="VXS241" s="1054"/>
      <c r="VXT241" s="1055"/>
      <c r="VXU241" s="1054"/>
      <c r="VXV241" s="1055"/>
      <c r="VXW241" s="1054"/>
      <c r="VXX241" s="1055"/>
      <c r="VXY241" s="1054"/>
      <c r="VXZ241" s="1055"/>
      <c r="VYA241" s="1054"/>
      <c r="VYB241" s="1055"/>
      <c r="VYC241" s="1054"/>
      <c r="VYD241" s="1055"/>
      <c r="VYE241" s="1054"/>
      <c r="VYF241" s="1055"/>
      <c r="VYG241" s="1054"/>
      <c r="VYH241" s="1055"/>
      <c r="VYI241" s="1054"/>
      <c r="VYJ241" s="1055"/>
      <c r="VYK241" s="1054"/>
      <c r="VYL241" s="1055"/>
      <c r="VYM241" s="1054"/>
      <c r="VYN241" s="1055"/>
      <c r="VYO241" s="1054"/>
      <c r="VYP241" s="1055"/>
      <c r="VYQ241" s="1054"/>
      <c r="VYR241" s="1055"/>
      <c r="VYS241" s="1054"/>
      <c r="VYT241" s="1055"/>
      <c r="VYU241" s="1054"/>
      <c r="VYV241" s="1055"/>
      <c r="VYW241" s="1054"/>
      <c r="VYX241" s="1055"/>
      <c r="VYY241" s="1054"/>
      <c r="VYZ241" s="1055"/>
      <c r="VZA241" s="1054"/>
      <c r="VZB241" s="1055"/>
      <c r="VZC241" s="1054"/>
      <c r="VZD241" s="1055"/>
      <c r="VZE241" s="1054"/>
      <c r="VZF241" s="1055"/>
      <c r="VZG241" s="1054"/>
      <c r="VZH241" s="1055"/>
      <c r="VZI241" s="1054"/>
      <c r="VZJ241" s="1055"/>
      <c r="VZK241" s="1054"/>
      <c r="VZL241" s="1055"/>
      <c r="VZM241" s="1054"/>
      <c r="VZN241" s="1055"/>
      <c r="VZO241" s="1054"/>
      <c r="VZP241" s="1055"/>
      <c r="VZQ241" s="1054"/>
      <c r="VZR241" s="1055"/>
      <c r="VZS241" s="1054"/>
      <c r="VZT241" s="1055"/>
      <c r="VZU241" s="1054"/>
      <c r="VZV241" s="1055"/>
      <c r="VZW241" s="1054"/>
      <c r="VZX241" s="1055"/>
      <c r="VZY241" s="1054"/>
      <c r="VZZ241" s="1055"/>
      <c r="WAA241" s="1054"/>
      <c r="WAB241" s="1055"/>
      <c r="WAC241" s="1054"/>
      <c r="WAD241" s="1055"/>
      <c r="WAE241" s="1054"/>
      <c r="WAF241" s="1055"/>
      <c r="WAG241" s="1054"/>
      <c r="WAH241" s="1055"/>
      <c r="WAI241" s="1054"/>
      <c r="WAJ241" s="1055"/>
      <c r="WAK241" s="1054"/>
      <c r="WAL241" s="1055"/>
      <c r="WAM241" s="1054"/>
      <c r="WAN241" s="1055"/>
      <c r="WAO241" s="1054"/>
      <c r="WAP241" s="1055"/>
      <c r="WAQ241" s="1054"/>
      <c r="WAR241" s="1055"/>
      <c r="WAS241" s="1054"/>
      <c r="WAT241" s="1055"/>
      <c r="WAU241" s="1054"/>
      <c r="WAV241" s="1055"/>
      <c r="WAW241" s="1054"/>
      <c r="WAX241" s="1055"/>
      <c r="WAY241" s="1054"/>
      <c r="WAZ241" s="1055"/>
      <c r="WBA241" s="1054"/>
      <c r="WBB241" s="1055"/>
      <c r="WBC241" s="1054"/>
      <c r="WBD241" s="1055"/>
      <c r="WBE241" s="1054"/>
      <c r="WBF241" s="1055"/>
      <c r="WBG241" s="1054"/>
      <c r="WBH241" s="1055"/>
      <c r="WBI241" s="1054"/>
      <c r="WBJ241" s="1055"/>
      <c r="WBK241" s="1054"/>
      <c r="WBL241" s="1055"/>
      <c r="WBM241" s="1054"/>
      <c r="WBN241" s="1055"/>
      <c r="WBO241" s="1054"/>
      <c r="WBP241" s="1055"/>
      <c r="WBQ241" s="1054"/>
      <c r="WBR241" s="1055"/>
      <c r="WBS241" s="1054"/>
      <c r="WBT241" s="1055"/>
      <c r="WBU241" s="1054"/>
      <c r="WBV241" s="1055"/>
      <c r="WBW241" s="1054"/>
      <c r="WBX241" s="1055"/>
      <c r="WBY241" s="1054"/>
      <c r="WBZ241" s="1055"/>
      <c r="WCA241" s="1054"/>
      <c r="WCB241" s="1055"/>
      <c r="WCC241" s="1054"/>
      <c r="WCD241" s="1055"/>
      <c r="WCE241" s="1054"/>
      <c r="WCF241" s="1055"/>
      <c r="WCG241" s="1054"/>
      <c r="WCH241" s="1055"/>
      <c r="WCI241" s="1054"/>
      <c r="WCJ241" s="1055"/>
      <c r="WCK241" s="1054"/>
      <c r="WCL241" s="1055"/>
      <c r="WCM241" s="1054"/>
      <c r="WCN241" s="1055"/>
      <c r="WCO241" s="1054"/>
      <c r="WCP241" s="1055"/>
      <c r="WCQ241" s="1054"/>
      <c r="WCR241" s="1055"/>
      <c r="WCS241" s="1054"/>
      <c r="WCT241" s="1055"/>
      <c r="WCU241" s="1054"/>
      <c r="WCV241" s="1055"/>
      <c r="WCW241" s="1054"/>
      <c r="WCX241" s="1055"/>
      <c r="WCY241" s="1054"/>
      <c r="WCZ241" s="1055"/>
      <c r="WDA241" s="1054"/>
      <c r="WDB241" s="1055"/>
      <c r="WDC241" s="1054"/>
      <c r="WDD241" s="1055"/>
      <c r="WDE241" s="1054"/>
      <c r="WDF241" s="1055"/>
      <c r="WDG241" s="1054"/>
      <c r="WDH241" s="1055"/>
      <c r="WDI241" s="1054"/>
      <c r="WDJ241" s="1055"/>
      <c r="WDK241" s="1054"/>
      <c r="WDL241" s="1055"/>
      <c r="WDM241" s="1054"/>
      <c r="WDN241" s="1055"/>
      <c r="WDO241" s="1054"/>
      <c r="WDP241" s="1055"/>
      <c r="WDQ241" s="1054"/>
      <c r="WDR241" s="1055"/>
      <c r="WDS241" s="1054"/>
      <c r="WDT241" s="1055"/>
      <c r="WDU241" s="1054"/>
      <c r="WDV241" s="1055"/>
      <c r="WDW241" s="1054"/>
      <c r="WDX241" s="1055"/>
      <c r="WDY241" s="1054"/>
      <c r="WDZ241" s="1055"/>
      <c r="WEA241" s="1054"/>
      <c r="WEB241" s="1055"/>
      <c r="WEC241" s="1054"/>
      <c r="WED241" s="1055"/>
      <c r="WEE241" s="1054"/>
      <c r="WEF241" s="1055"/>
      <c r="WEG241" s="1054"/>
      <c r="WEH241" s="1055"/>
      <c r="WEI241" s="1054"/>
      <c r="WEJ241" s="1055"/>
      <c r="WEK241" s="1054"/>
      <c r="WEL241" s="1055"/>
      <c r="WEM241" s="1054"/>
      <c r="WEN241" s="1055"/>
      <c r="WEO241" s="1054"/>
      <c r="WEP241" s="1055"/>
      <c r="WEQ241" s="1054"/>
      <c r="WER241" s="1055"/>
      <c r="WES241" s="1054"/>
      <c r="WET241" s="1055"/>
      <c r="WEU241" s="1054"/>
      <c r="WEV241" s="1055"/>
      <c r="WEW241" s="1054"/>
      <c r="WEX241" s="1055"/>
      <c r="WEY241" s="1054"/>
      <c r="WEZ241" s="1055"/>
      <c r="WFA241" s="1054"/>
      <c r="WFB241" s="1055"/>
      <c r="WFC241" s="1054"/>
      <c r="WFD241" s="1055"/>
      <c r="WFE241" s="1054"/>
      <c r="WFF241" s="1055"/>
      <c r="WFG241" s="1054"/>
      <c r="WFH241" s="1055"/>
      <c r="WFI241" s="1054"/>
      <c r="WFJ241" s="1055"/>
      <c r="WFK241" s="1054"/>
      <c r="WFL241" s="1055"/>
      <c r="WFM241" s="1054"/>
      <c r="WFN241" s="1055"/>
      <c r="WFO241" s="1054"/>
      <c r="WFP241" s="1055"/>
      <c r="WFQ241" s="1054"/>
      <c r="WFR241" s="1055"/>
      <c r="WFS241" s="1054"/>
      <c r="WFT241" s="1055"/>
      <c r="WFU241" s="1054"/>
      <c r="WFV241" s="1055"/>
      <c r="WFW241" s="1054"/>
      <c r="WFX241" s="1055"/>
      <c r="WFY241" s="1054"/>
      <c r="WFZ241" s="1055"/>
      <c r="WGA241" s="1054"/>
      <c r="WGB241" s="1055"/>
      <c r="WGC241" s="1054"/>
      <c r="WGD241" s="1055"/>
      <c r="WGE241" s="1054"/>
      <c r="WGF241" s="1055"/>
      <c r="WGG241" s="1054"/>
      <c r="WGH241" s="1055"/>
      <c r="WGI241" s="1054"/>
      <c r="WGJ241" s="1055"/>
      <c r="WGK241" s="1054"/>
      <c r="WGL241" s="1055"/>
      <c r="WGM241" s="1054"/>
      <c r="WGN241" s="1055"/>
      <c r="WGO241" s="1054"/>
      <c r="WGP241" s="1055"/>
      <c r="WGQ241" s="1054"/>
      <c r="WGR241" s="1055"/>
      <c r="WGS241" s="1054"/>
      <c r="WGT241" s="1055"/>
      <c r="WGU241" s="1054"/>
      <c r="WGV241" s="1055"/>
      <c r="WGW241" s="1054"/>
      <c r="WGX241" s="1055"/>
      <c r="WGY241" s="1054"/>
      <c r="WGZ241" s="1055"/>
      <c r="WHA241" s="1054"/>
      <c r="WHB241" s="1055"/>
      <c r="WHC241" s="1054"/>
      <c r="WHD241" s="1055"/>
      <c r="WHE241" s="1054"/>
      <c r="WHF241" s="1055"/>
      <c r="WHG241" s="1054"/>
      <c r="WHH241" s="1055"/>
      <c r="WHI241" s="1054"/>
      <c r="WHJ241" s="1055"/>
      <c r="WHK241" s="1054"/>
      <c r="WHL241" s="1055"/>
      <c r="WHM241" s="1054"/>
      <c r="WHN241" s="1055"/>
      <c r="WHO241" s="1054"/>
      <c r="WHP241" s="1055"/>
      <c r="WHQ241" s="1054"/>
      <c r="WHR241" s="1055"/>
      <c r="WHS241" s="1054"/>
      <c r="WHT241" s="1055"/>
      <c r="WHU241" s="1054"/>
      <c r="WHV241" s="1055"/>
      <c r="WHW241" s="1054"/>
      <c r="WHX241" s="1055"/>
      <c r="WHY241" s="1054"/>
      <c r="WHZ241" s="1055"/>
      <c r="WIA241" s="1054"/>
      <c r="WIB241" s="1055"/>
      <c r="WIC241" s="1054"/>
      <c r="WID241" s="1055"/>
      <c r="WIE241" s="1054"/>
      <c r="WIF241" s="1055"/>
      <c r="WIG241" s="1054"/>
      <c r="WIH241" s="1055"/>
      <c r="WII241" s="1054"/>
      <c r="WIJ241" s="1055"/>
      <c r="WIK241" s="1054"/>
      <c r="WIL241" s="1055"/>
      <c r="WIM241" s="1054"/>
      <c r="WIN241" s="1055"/>
      <c r="WIO241" s="1054"/>
      <c r="WIP241" s="1055"/>
      <c r="WIQ241" s="1054"/>
      <c r="WIR241" s="1055"/>
      <c r="WIS241" s="1054"/>
      <c r="WIT241" s="1055"/>
      <c r="WIU241" s="1054"/>
      <c r="WIV241" s="1055"/>
      <c r="WIW241" s="1054"/>
      <c r="WIX241" s="1055"/>
      <c r="WIY241" s="1054"/>
      <c r="WIZ241" s="1055"/>
      <c r="WJA241" s="1054"/>
      <c r="WJB241" s="1055"/>
      <c r="WJC241" s="1054"/>
      <c r="WJD241" s="1055"/>
      <c r="WJE241" s="1054"/>
      <c r="WJF241" s="1055"/>
      <c r="WJG241" s="1054"/>
      <c r="WJH241" s="1055"/>
      <c r="WJI241" s="1054"/>
      <c r="WJJ241" s="1055"/>
      <c r="WJK241" s="1054"/>
      <c r="WJL241" s="1055"/>
      <c r="WJM241" s="1054"/>
      <c r="WJN241" s="1055"/>
      <c r="WJO241" s="1054"/>
      <c r="WJP241" s="1055"/>
      <c r="WJQ241" s="1054"/>
      <c r="WJR241" s="1055"/>
      <c r="WJS241" s="1054"/>
      <c r="WJT241" s="1055"/>
      <c r="WJU241" s="1054"/>
      <c r="WJV241" s="1055"/>
      <c r="WJW241" s="1054"/>
      <c r="WJX241" s="1055"/>
      <c r="WJY241" s="1054"/>
      <c r="WJZ241" s="1055"/>
      <c r="WKA241" s="1054"/>
      <c r="WKB241" s="1055"/>
      <c r="WKC241" s="1054"/>
      <c r="WKD241" s="1055"/>
      <c r="WKE241" s="1054"/>
      <c r="WKF241" s="1055"/>
      <c r="WKG241" s="1054"/>
      <c r="WKH241" s="1055"/>
      <c r="WKI241" s="1054"/>
      <c r="WKJ241" s="1055"/>
      <c r="WKK241" s="1054"/>
      <c r="WKL241" s="1055"/>
      <c r="WKM241" s="1054"/>
      <c r="WKN241" s="1055"/>
      <c r="WKO241" s="1054"/>
      <c r="WKP241" s="1055"/>
      <c r="WKQ241" s="1054"/>
      <c r="WKR241" s="1055"/>
      <c r="WKS241" s="1054"/>
      <c r="WKT241" s="1055"/>
      <c r="WKU241" s="1054"/>
      <c r="WKV241" s="1055"/>
      <c r="WKW241" s="1054"/>
      <c r="WKX241" s="1055"/>
      <c r="WKY241" s="1054"/>
      <c r="WKZ241" s="1055"/>
      <c r="WLA241" s="1054"/>
      <c r="WLB241" s="1055"/>
      <c r="WLC241" s="1054"/>
      <c r="WLD241" s="1055"/>
      <c r="WLE241" s="1054"/>
      <c r="WLF241" s="1055"/>
      <c r="WLG241" s="1054"/>
      <c r="WLH241" s="1055"/>
      <c r="WLI241" s="1054"/>
      <c r="WLJ241" s="1055"/>
      <c r="WLK241" s="1054"/>
      <c r="WLL241" s="1055"/>
      <c r="WLM241" s="1054"/>
      <c r="WLN241" s="1055"/>
      <c r="WLO241" s="1054"/>
      <c r="WLP241" s="1055"/>
      <c r="WLQ241" s="1054"/>
      <c r="WLR241" s="1055"/>
      <c r="WLS241" s="1054"/>
      <c r="WLT241" s="1055"/>
      <c r="WLU241" s="1054"/>
      <c r="WLV241" s="1055"/>
      <c r="WLW241" s="1054"/>
      <c r="WLX241" s="1055"/>
      <c r="WLY241" s="1054"/>
      <c r="WLZ241" s="1055"/>
      <c r="WMA241" s="1054"/>
      <c r="WMB241" s="1055"/>
      <c r="WMC241" s="1054"/>
      <c r="WMD241" s="1055"/>
      <c r="WME241" s="1054"/>
      <c r="WMF241" s="1055"/>
      <c r="WMG241" s="1054"/>
      <c r="WMH241" s="1055"/>
      <c r="WMI241" s="1054"/>
      <c r="WMJ241" s="1055"/>
      <c r="WMK241" s="1054"/>
      <c r="WML241" s="1055"/>
      <c r="WMM241" s="1054"/>
      <c r="WMN241" s="1055"/>
      <c r="WMO241" s="1054"/>
      <c r="WMP241" s="1055"/>
      <c r="WMQ241" s="1054"/>
      <c r="WMR241" s="1055"/>
      <c r="WMS241" s="1054"/>
      <c r="WMT241" s="1055"/>
      <c r="WMU241" s="1054"/>
      <c r="WMV241" s="1055"/>
      <c r="WMW241" s="1054"/>
      <c r="WMX241" s="1055"/>
      <c r="WMY241" s="1054"/>
      <c r="WMZ241" s="1055"/>
      <c r="WNA241" s="1054"/>
      <c r="WNB241" s="1055"/>
      <c r="WNC241" s="1054"/>
      <c r="WND241" s="1055"/>
      <c r="WNE241" s="1054"/>
      <c r="WNF241" s="1055"/>
      <c r="WNG241" s="1054"/>
      <c r="WNH241" s="1055"/>
      <c r="WNI241" s="1054"/>
      <c r="WNJ241" s="1055"/>
      <c r="WNK241" s="1054"/>
      <c r="WNL241" s="1055"/>
      <c r="WNM241" s="1054"/>
      <c r="WNN241" s="1055"/>
      <c r="WNO241" s="1054"/>
      <c r="WNP241" s="1055"/>
      <c r="WNQ241" s="1054"/>
      <c r="WNR241" s="1055"/>
      <c r="WNS241" s="1054"/>
      <c r="WNT241" s="1055"/>
      <c r="WNU241" s="1054"/>
      <c r="WNV241" s="1055"/>
      <c r="WNW241" s="1054"/>
      <c r="WNX241" s="1055"/>
      <c r="WNY241" s="1054"/>
      <c r="WNZ241" s="1055"/>
      <c r="WOA241" s="1054"/>
      <c r="WOB241" s="1055"/>
      <c r="WOC241" s="1054"/>
      <c r="WOD241" s="1055"/>
      <c r="WOE241" s="1054"/>
      <c r="WOF241" s="1055"/>
      <c r="WOG241" s="1054"/>
      <c r="WOH241" s="1055"/>
      <c r="WOI241" s="1054"/>
      <c r="WOJ241" s="1055"/>
      <c r="WOK241" s="1054"/>
      <c r="WOL241" s="1055"/>
      <c r="WOM241" s="1054"/>
      <c r="WON241" s="1055"/>
      <c r="WOO241" s="1054"/>
      <c r="WOP241" s="1055"/>
      <c r="WOQ241" s="1054"/>
      <c r="WOR241" s="1055"/>
      <c r="WOS241" s="1054"/>
      <c r="WOT241" s="1055"/>
      <c r="WOU241" s="1054"/>
      <c r="WOV241" s="1055"/>
      <c r="WOW241" s="1054"/>
      <c r="WOX241" s="1055"/>
      <c r="WOY241" s="1054"/>
      <c r="WOZ241" s="1055"/>
      <c r="WPA241" s="1054"/>
      <c r="WPB241" s="1055"/>
      <c r="WPC241" s="1054"/>
      <c r="WPD241" s="1055"/>
      <c r="WPE241" s="1054"/>
      <c r="WPF241" s="1055"/>
      <c r="WPG241" s="1054"/>
      <c r="WPH241" s="1055"/>
      <c r="WPI241" s="1054"/>
      <c r="WPJ241" s="1055"/>
      <c r="WPK241" s="1054"/>
      <c r="WPL241" s="1055"/>
      <c r="WPM241" s="1054"/>
      <c r="WPN241" s="1055"/>
      <c r="WPO241" s="1054"/>
      <c r="WPP241" s="1055"/>
      <c r="WPQ241" s="1054"/>
      <c r="WPR241" s="1055"/>
      <c r="WPS241" s="1054"/>
      <c r="WPT241" s="1055"/>
      <c r="WPU241" s="1054"/>
      <c r="WPV241" s="1055"/>
      <c r="WPW241" s="1054"/>
      <c r="WPX241" s="1055"/>
      <c r="WPY241" s="1054"/>
      <c r="WPZ241" s="1055"/>
      <c r="WQA241" s="1054"/>
      <c r="WQB241" s="1055"/>
      <c r="WQC241" s="1054"/>
      <c r="WQD241" s="1055"/>
      <c r="WQE241" s="1054"/>
      <c r="WQF241" s="1055"/>
      <c r="WQG241" s="1054"/>
      <c r="WQH241" s="1055"/>
      <c r="WQI241" s="1054"/>
      <c r="WQJ241" s="1055"/>
      <c r="WQK241" s="1054"/>
      <c r="WQL241" s="1055"/>
      <c r="WQM241" s="1054"/>
      <c r="WQN241" s="1055"/>
      <c r="WQO241" s="1054"/>
      <c r="WQP241" s="1055"/>
      <c r="WQQ241" s="1054"/>
      <c r="WQR241" s="1055"/>
      <c r="WQS241" s="1054"/>
      <c r="WQT241" s="1055"/>
      <c r="WQU241" s="1054"/>
      <c r="WQV241" s="1055"/>
      <c r="WQW241" s="1054"/>
      <c r="WQX241" s="1055"/>
      <c r="WQY241" s="1054"/>
      <c r="WQZ241" s="1055"/>
      <c r="WRA241" s="1054"/>
      <c r="WRB241" s="1055"/>
      <c r="WRC241" s="1054"/>
      <c r="WRD241" s="1055"/>
      <c r="WRE241" s="1054"/>
      <c r="WRF241" s="1055"/>
      <c r="WRG241" s="1054"/>
      <c r="WRH241" s="1055"/>
      <c r="WRI241" s="1054"/>
      <c r="WRJ241" s="1055"/>
      <c r="WRK241" s="1054"/>
      <c r="WRL241" s="1055"/>
      <c r="WRM241" s="1054"/>
      <c r="WRN241" s="1055"/>
      <c r="WRO241" s="1054"/>
      <c r="WRP241" s="1055"/>
      <c r="WRQ241" s="1054"/>
      <c r="WRR241" s="1055"/>
      <c r="WRS241" s="1054"/>
      <c r="WRT241" s="1055"/>
      <c r="WRU241" s="1054"/>
      <c r="WRV241" s="1055"/>
      <c r="WRW241" s="1054"/>
      <c r="WRX241" s="1055"/>
      <c r="WRY241" s="1054"/>
      <c r="WRZ241" s="1055"/>
      <c r="WSA241" s="1054"/>
      <c r="WSB241" s="1055"/>
      <c r="WSC241" s="1054"/>
      <c r="WSD241" s="1055"/>
      <c r="WSE241" s="1054"/>
      <c r="WSF241" s="1055"/>
      <c r="WSG241" s="1054"/>
      <c r="WSH241" s="1055"/>
      <c r="WSI241" s="1054"/>
      <c r="WSJ241" s="1055"/>
      <c r="WSK241" s="1054"/>
      <c r="WSL241" s="1055"/>
      <c r="WSM241" s="1054"/>
      <c r="WSN241" s="1055"/>
      <c r="WSO241" s="1054"/>
      <c r="WSP241" s="1055"/>
      <c r="WSQ241" s="1054"/>
      <c r="WSR241" s="1055"/>
      <c r="WSS241" s="1054"/>
      <c r="WST241" s="1055"/>
      <c r="WSU241" s="1054"/>
      <c r="WSV241" s="1055"/>
      <c r="WSW241" s="1054"/>
      <c r="WSX241" s="1055"/>
      <c r="WSY241" s="1054"/>
      <c r="WSZ241" s="1055"/>
      <c r="WTA241" s="1054"/>
      <c r="WTB241" s="1055"/>
      <c r="WTC241" s="1054"/>
      <c r="WTD241" s="1055"/>
      <c r="WTE241" s="1054"/>
      <c r="WTF241" s="1055"/>
      <c r="WTG241" s="1054"/>
      <c r="WTH241" s="1055"/>
      <c r="WTI241" s="1054"/>
      <c r="WTJ241" s="1055"/>
      <c r="WTK241" s="1054"/>
      <c r="WTL241" s="1055"/>
      <c r="WTM241" s="1054"/>
      <c r="WTN241" s="1055"/>
      <c r="WTO241" s="1054"/>
      <c r="WTP241" s="1055"/>
      <c r="WTQ241" s="1054"/>
      <c r="WTR241" s="1055"/>
      <c r="WTS241" s="1054"/>
      <c r="WTT241" s="1055"/>
      <c r="WTU241" s="1054"/>
      <c r="WTV241" s="1055"/>
      <c r="WTW241" s="1054"/>
      <c r="WTX241" s="1055"/>
      <c r="WTY241" s="1054"/>
      <c r="WTZ241" s="1055"/>
      <c r="WUA241" s="1054"/>
      <c r="WUB241" s="1055"/>
      <c r="WUC241" s="1054"/>
      <c r="WUD241" s="1055"/>
      <c r="WUE241" s="1054"/>
      <c r="WUF241" s="1055"/>
      <c r="WUG241" s="1054"/>
      <c r="WUH241" s="1055"/>
      <c r="WUI241" s="1054"/>
      <c r="WUJ241" s="1055"/>
      <c r="WUK241" s="1054"/>
      <c r="WUL241" s="1055"/>
      <c r="WUM241" s="1054"/>
      <c r="WUN241" s="1055"/>
      <c r="WUO241" s="1054"/>
      <c r="WUP241" s="1055"/>
      <c r="WUQ241" s="1054"/>
      <c r="WUR241" s="1055"/>
      <c r="WUS241" s="1054"/>
      <c r="WUT241" s="1055"/>
      <c r="WUU241" s="1054"/>
      <c r="WUV241" s="1055"/>
      <c r="WUW241" s="1054"/>
      <c r="WUX241" s="1055"/>
      <c r="WUY241" s="1054"/>
      <c r="WUZ241" s="1055"/>
      <c r="WVA241" s="1054"/>
      <c r="WVB241" s="1055"/>
      <c r="WVC241" s="1054"/>
      <c r="WVD241" s="1055"/>
      <c r="WVE241" s="1054"/>
      <c r="WVF241" s="1055"/>
      <c r="WVG241" s="1054"/>
      <c r="WVH241" s="1055"/>
      <c r="WVI241" s="1054"/>
      <c r="WVJ241" s="1055"/>
      <c r="WVK241" s="1054"/>
      <c r="WVL241" s="1055"/>
      <c r="WVM241" s="1054"/>
      <c r="WVN241" s="1055"/>
      <c r="WVO241" s="1054"/>
      <c r="WVP241" s="1055"/>
      <c r="WVQ241" s="1054"/>
      <c r="WVR241" s="1055"/>
      <c r="WVS241" s="1054"/>
      <c r="WVT241" s="1055"/>
      <c r="WVU241" s="1054"/>
      <c r="WVV241" s="1055"/>
      <c r="WVW241" s="1054"/>
      <c r="WVX241" s="1055"/>
      <c r="WVY241" s="1054"/>
      <c r="WVZ241" s="1055"/>
      <c r="WWA241" s="1054"/>
      <c r="WWB241" s="1055"/>
      <c r="WWC241" s="1054"/>
      <c r="WWD241" s="1055"/>
      <c r="WWE241" s="1054"/>
      <c r="WWF241" s="1055"/>
      <c r="WWG241" s="1054"/>
      <c r="WWH241" s="1055"/>
      <c r="WWI241" s="1054"/>
      <c r="WWJ241" s="1055"/>
      <c r="WWK241" s="1054"/>
      <c r="WWL241" s="1055"/>
      <c r="WWM241" s="1054"/>
      <c r="WWN241" s="1055"/>
      <c r="WWO241" s="1054"/>
      <c r="WWP241" s="1055"/>
      <c r="WWQ241" s="1054"/>
      <c r="WWR241" s="1055"/>
      <c r="WWS241" s="1054"/>
      <c r="WWT241" s="1055"/>
      <c r="WWU241" s="1054"/>
      <c r="WWV241" s="1055"/>
      <c r="WWW241" s="1054"/>
      <c r="WWX241" s="1055"/>
      <c r="WWY241" s="1054"/>
      <c r="WWZ241" s="1055"/>
      <c r="WXA241" s="1054"/>
      <c r="WXB241" s="1055"/>
      <c r="WXC241" s="1054"/>
      <c r="WXD241" s="1055"/>
      <c r="WXE241" s="1054"/>
      <c r="WXF241" s="1055"/>
      <c r="WXG241" s="1054"/>
      <c r="WXH241" s="1055"/>
      <c r="WXI241" s="1054"/>
      <c r="WXJ241" s="1055"/>
      <c r="WXK241" s="1054"/>
      <c r="WXL241" s="1055"/>
      <c r="WXM241" s="1054"/>
      <c r="WXN241" s="1055"/>
      <c r="WXO241" s="1054"/>
      <c r="WXP241" s="1055"/>
      <c r="WXQ241" s="1054"/>
      <c r="WXR241" s="1055"/>
      <c r="WXS241" s="1054"/>
      <c r="WXT241" s="1055"/>
      <c r="WXU241" s="1054"/>
      <c r="WXV241" s="1055"/>
      <c r="WXW241" s="1054"/>
      <c r="WXX241" s="1055"/>
      <c r="WXY241" s="1054"/>
      <c r="WXZ241" s="1055"/>
      <c r="WYA241" s="1054"/>
      <c r="WYB241" s="1055"/>
      <c r="WYC241" s="1054"/>
      <c r="WYD241" s="1055"/>
      <c r="WYE241" s="1054"/>
      <c r="WYF241" s="1055"/>
      <c r="WYG241" s="1054"/>
      <c r="WYH241" s="1055"/>
      <c r="WYI241" s="1054"/>
      <c r="WYJ241" s="1055"/>
      <c r="WYK241" s="1054"/>
      <c r="WYL241" s="1055"/>
      <c r="WYM241" s="1054"/>
      <c r="WYN241" s="1055"/>
      <c r="WYO241" s="1054"/>
      <c r="WYP241" s="1055"/>
      <c r="WYQ241" s="1054"/>
      <c r="WYR241" s="1055"/>
      <c r="WYS241" s="1054"/>
      <c r="WYT241" s="1055"/>
      <c r="WYU241" s="1054"/>
      <c r="WYV241" s="1055"/>
      <c r="WYW241" s="1054"/>
      <c r="WYX241" s="1055"/>
      <c r="WYY241" s="1054"/>
      <c r="WYZ241" s="1055"/>
      <c r="WZA241" s="1054"/>
      <c r="WZB241" s="1055"/>
      <c r="WZC241" s="1054"/>
      <c r="WZD241" s="1055"/>
      <c r="WZE241" s="1054"/>
      <c r="WZF241" s="1055"/>
      <c r="WZG241" s="1054"/>
      <c r="WZH241" s="1055"/>
      <c r="WZI241" s="1054"/>
      <c r="WZJ241" s="1055"/>
      <c r="WZK241" s="1054"/>
      <c r="WZL241" s="1055"/>
      <c r="WZM241" s="1054"/>
      <c r="WZN241" s="1055"/>
      <c r="WZO241" s="1054"/>
      <c r="WZP241" s="1055"/>
      <c r="WZQ241" s="1054"/>
      <c r="WZR241" s="1055"/>
      <c r="WZS241" s="1054"/>
      <c r="WZT241" s="1055"/>
      <c r="WZU241" s="1054"/>
      <c r="WZV241" s="1055"/>
      <c r="WZW241" s="1054"/>
      <c r="WZX241" s="1055"/>
      <c r="WZY241" s="1054"/>
      <c r="WZZ241" s="1055"/>
      <c r="XAA241" s="1054"/>
      <c r="XAB241" s="1055"/>
      <c r="XAC241" s="1054"/>
      <c r="XAD241" s="1055"/>
      <c r="XAE241" s="1054"/>
      <c r="XAF241" s="1055"/>
      <c r="XAG241" s="1054"/>
      <c r="XAH241" s="1055"/>
      <c r="XAI241" s="1054"/>
      <c r="XAJ241" s="1055"/>
      <c r="XAK241" s="1054"/>
      <c r="XAL241" s="1055"/>
      <c r="XAM241" s="1054"/>
      <c r="XAN241" s="1055"/>
      <c r="XAO241" s="1054"/>
      <c r="XAP241" s="1055"/>
      <c r="XAQ241" s="1054"/>
      <c r="XAR241" s="1055"/>
      <c r="XAS241" s="1054"/>
      <c r="XAT241" s="1055"/>
      <c r="XAU241" s="1054"/>
      <c r="XAV241" s="1055"/>
      <c r="XAW241" s="1054"/>
      <c r="XAX241" s="1055"/>
      <c r="XAY241" s="1054"/>
      <c r="XAZ241" s="1055"/>
      <c r="XBA241" s="1054"/>
      <c r="XBB241" s="1055"/>
      <c r="XBC241" s="1054"/>
      <c r="XBD241" s="1055"/>
      <c r="XBE241" s="1054"/>
      <c r="XBF241" s="1055"/>
      <c r="XBG241" s="1054"/>
      <c r="XBH241" s="1055"/>
      <c r="XBI241" s="1054"/>
      <c r="XBJ241" s="1055"/>
      <c r="XBK241" s="1054"/>
      <c r="XBL241" s="1055"/>
      <c r="XBM241" s="1054"/>
      <c r="XBN241" s="1055"/>
      <c r="XBO241" s="1054"/>
      <c r="XBP241" s="1055"/>
      <c r="XBQ241" s="1054"/>
      <c r="XBR241" s="1055"/>
      <c r="XBS241" s="1054"/>
      <c r="XBT241" s="1055"/>
      <c r="XBU241" s="1054"/>
      <c r="XBV241" s="1055"/>
      <c r="XBW241" s="1054"/>
      <c r="XBX241" s="1055"/>
      <c r="XBY241" s="1054"/>
      <c r="XBZ241" s="1055"/>
      <c r="XCA241" s="1054"/>
      <c r="XCB241" s="1055"/>
      <c r="XCC241" s="1054"/>
      <c r="XCD241" s="1055"/>
      <c r="XCE241" s="1054"/>
      <c r="XCF241" s="1055"/>
      <c r="XCG241" s="1054"/>
      <c r="XCH241" s="1055"/>
      <c r="XCI241" s="1054"/>
      <c r="XCJ241" s="1055"/>
      <c r="XCK241" s="1054"/>
      <c r="XCL241" s="1055"/>
      <c r="XCM241" s="1054"/>
      <c r="XCN241" s="1055"/>
      <c r="XCO241" s="1054"/>
      <c r="XCP241" s="1055"/>
      <c r="XCQ241" s="1054"/>
      <c r="XCR241" s="1055"/>
      <c r="XCS241" s="1054"/>
      <c r="XCT241" s="1055"/>
      <c r="XCU241" s="1054"/>
      <c r="XCV241" s="1055"/>
      <c r="XCW241" s="1054"/>
      <c r="XCX241" s="1055"/>
      <c r="XCY241" s="1054"/>
      <c r="XCZ241" s="1055"/>
      <c r="XDA241" s="1054"/>
      <c r="XDB241" s="1055"/>
      <c r="XDC241" s="1054"/>
      <c r="XDD241" s="1055"/>
      <c r="XDE241" s="1054"/>
      <c r="XDF241" s="1055"/>
      <c r="XDG241" s="1054"/>
      <c r="XDH241" s="1055"/>
      <c r="XDI241" s="1054"/>
      <c r="XDJ241" s="1055"/>
      <c r="XDK241" s="1054"/>
      <c r="XDL241" s="1055"/>
      <c r="XDM241" s="1054"/>
      <c r="XDN241" s="1055"/>
      <c r="XDO241" s="1054"/>
      <c r="XDP241" s="1055"/>
      <c r="XDQ241" s="1054"/>
      <c r="XDR241" s="1055"/>
      <c r="XDS241" s="1054"/>
      <c r="XDT241" s="1055"/>
      <c r="XDU241" s="1054"/>
      <c r="XDV241" s="1055"/>
      <c r="XDW241" s="1054"/>
      <c r="XDX241" s="1055"/>
      <c r="XDY241" s="1054"/>
      <c r="XDZ241" s="1055"/>
      <c r="XEA241" s="1054"/>
      <c r="XEB241" s="1055"/>
      <c r="XEC241" s="1054"/>
      <c r="XED241" s="1055"/>
      <c r="XEE241" s="1054"/>
      <c r="XEF241" s="1055"/>
      <c r="XEG241" s="1054"/>
      <c r="XEH241" s="1055"/>
      <c r="XEI241" s="1054"/>
      <c r="XEJ241" s="1055"/>
      <c r="XEK241" s="1054"/>
      <c r="XEL241" s="1055"/>
      <c r="XEM241" s="1054"/>
      <c r="XEN241" s="1055"/>
      <c r="XEO241" s="1054"/>
      <c r="XEP241" s="1055"/>
      <c r="XEQ241" s="1054"/>
      <c r="XER241" s="1055"/>
      <c r="XES241" s="1054"/>
      <c r="XET241" s="1055"/>
      <c r="XEU241" s="1054"/>
      <c r="XEV241" s="1055"/>
      <c r="XEW241" s="1054"/>
      <c r="XEX241" s="1055"/>
      <c r="XEY241" s="1054"/>
      <c r="XEZ241" s="1055"/>
      <c r="XFA241" s="1054"/>
      <c r="XFB241" s="1055"/>
      <c r="XFC241" s="1054"/>
      <c r="XFD241" s="1055"/>
    </row>
    <row r="242" spans="1:16384" x14ac:dyDescent="0.25">
      <c r="A242" s="1071">
        <v>92511</v>
      </c>
      <c r="B242" s="1071" t="s">
        <v>2809</v>
      </c>
      <c r="C242" s="1095">
        <v>1640990.82</v>
      </c>
    </row>
    <row r="243" spans="1:16384" x14ac:dyDescent="0.25">
      <c r="A243" s="1071">
        <v>92513</v>
      </c>
      <c r="B243" s="1071" t="s">
        <v>2810</v>
      </c>
      <c r="C243" s="1095">
        <v>1761601.36</v>
      </c>
    </row>
    <row r="244" spans="1:16384" x14ac:dyDescent="0.25">
      <c r="A244" s="1071">
        <v>92521</v>
      </c>
      <c r="B244" s="1071" t="s">
        <v>2811</v>
      </c>
      <c r="C244" s="1095">
        <v>40372.620000000003</v>
      </c>
    </row>
    <row r="245" spans="1:16384" x14ac:dyDescent="0.25">
      <c r="A245" s="1071">
        <v>92531</v>
      </c>
      <c r="B245" s="1071" t="s">
        <v>2812</v>
      </c>
      <c r="C245" s="1095">
        <v>370926.78</v>
      </c>
    </row>
    <row r="246" spans="1:16384" x14ac:dyDescent="0.25">
      <c r="A246" s="1071">
        <v>92541</v>
      </c>
      <c r="B246" s="1071" t="s">
        <v>2813</v>
      </c>
      <c r="C246" s="1095">
        <v>60143.35</v>
      </c>
    </row>
    <row r="247" spans="1:16384" x14ac:dyDescent="0.25">
      <c r="A247" s="1071">
        <v>92551</v>
      </c>
      <c r="B247" s="1071" t="s">
        <v>2814</v>
      </c>
      <c r="C247" s="1095">
        <v>21253.67</v>
      </c>
    </row>
    <row r="248" spans="1:16384" x14ac:dyDescent="0.25">
      <c r="A248" s="1071">
        <v>92561</v>
      </c>
      <c r="B248" s="1071" t="s">
        <v>2815</v>
      </c>
      <c r="C248" s="1095">
        <v>11018.5</v>
      </c>
    </row>
    <row r="249" spans="1:16384" x14ac:dyDescent="0.25">
      <c r="A249" s="1071">
        <v>92571</v>
      </c>
      <c r="B249" s="1071" t="s">
        <v>2816</v>
      </c>
      <c r="C249" s="1095">
        <v>7102.1</v>
      </c>
    </row>
    <row r="250" spans="1:16384" x14ac:dyDescent="0.25">
      <c r="A250" s="1071">
        <v>92601</v>
      </c>
      <c r="B250" s="1071" t="s">
        <v>2817</v>
      </c>
      <c r="C250" s="1095">
        <v>6697593.5300000003</v>
      </c>
    </row>
    <row r="251" spans="1:16384" x14ac:dyDescent="0.25">
      <c r="A251" s="1071">
        <v>92602</v>
      </c>
      <c r="B251" s="1071" t="s">
        <v>2818</v>
      </c>
      <c r="C251" s="1095">
        <v>2450.3200000000002</v>
      </c>
    </row>
    <row r="252" spans="1:16384" x14ac:dyDescent="0.25">
      <c r="A252" s="1071">
        <v>92604</v>
      </c>
      <c r="B252" s="1071" t="s">
        <v>2819</v>
      </c>
      <c r="C252" s="1095">
        <v>193974.42</v>
      </c>
    </row>
    <row r="253" spans="1:16384" x14ac:dyDescent="0.25">
      <c r="A253" s="1071">
        <v>92607</v>
      </c>
      <c r="B253" s="1071" t="s">
        <v>2820</v>
      </c>
      <c r="C253" s="1095">
        <v>40699.43</v>
      </c>
    </row>
    <row r="254" spans="1:16384" x14ac:dyDescent="0.25">
      <c r="A254" s="1071">
        <v>92611</v>
      </c>
      <c r="B254" s="1071" t="s">
        <v>2822</v>
      </c>
      <c r="C254" s="1095">
        <v>5875981.5</v>
      </c>
    </row>
    <row r="255" spans="1:16384" x14ac:dyDescent="0.25">
      <c r="A255" s="1071">
        <v>92613</v>
      </c>
      <c r="B255" s="1071" t="s">
        <v>2823</v>
      </c>
      <c r="C255" s="1095">
        <v>139518.66</v>
      </c>
    </row>
    <row r="256" spans="1:16384" x14ac:dyDescent="0.25">
      <c r="A256" s="1071">
        <v>92614</v>
      </c>
      <c r="B256" s="1071" t="s">
        <v>2824</v>
      </c>
      <c r="C256" s="1095">
        <v>4938040.5999999996</v>
      </c>
    </row>
    <row r="257" spans="1:3" x14ac:dyDescent="0.25">
      <c r="A257" s="1071">
        <v>92621</v>
      </c>
      <c r="B257" s="1071" t="s">
        <v>2825</v>
      </c>
      <c r="C257" s="1095">
        <v>13553.42</v>
      </c>
    </row>
    <row r="258" spans="1:3" x14ac:dyDescent="0.25">
      <c r="A258" s="1071">
        <v>92631</v>
      </c>
      <c r="B258" s="1071" t="s">
        <v>2826</v>
      </c>
      <c r="C258" s="1095">
        <v>416152.81</v>
      </c>
    </row>
    <row r="259" spans="1:3" x14ac:dyDescent="0.25">
      <c r="A259" s="1071">
        <v>92641</v>
      </c>
      <c r="B259" s="1071" t="s">
        <v>2827</v>
      </c>
      <c r="C259" s="1095">
        <v>6991.68</v>
      </c>
    </row>
    <row r="260" spans="1:3" x14ac:dyDescent="0.25">
      <c r="A260" s="1071">
        <v>92651</v>
      </c>
      <c r="B260" s="1071" t="s">
        <v>2828</v>
      </c>
      <c r="C260" s="1095">
        <v>2540.58</v>
      </c>
    </row>
    <row r="261" spans="1:3" x14ac:dyDescent="0.25">
      <c r="A261" s="1071">
        <v>92661</v>
      </c>
      <c r="B261" s="1071" t="s">
        <v>2829</v>
      </c>
      <c r="C261" s="1095">
        <v>546521.55000000005</v>
      </c>
    </row>
    <row r="262" spans="1:3" x14ac:dyDescent="0.25">
      <c r="A262" s="1071">
        <v>92671</v>
      </c>
      <c r="B262" s="1071" t="s">
        <v>2830</v>
      </c>
      <c r="C262" s="1095">
        <v>5417.05</v>
      </c>
    </row>
    <row r="263" spans="1:3" x14ac:dyDescent="0.25">
      <c r="A263" s="1071">
        <v>92681</v>
      </c>
      <c r="B263" s="1071" t="s">
        <v>2831</v>
      </c>
      <c r="C263" s="1095">
        <v>12159.02</v>
      </c>
    </row>
    <row r="264" spans="1:3" x14ac:dyDescent="0.25">
      <c r="A264" s="1071">
        <v>92701</v>
      </c>
      <c r="B264" s="1071" t="s">
        <v>2832</v>
      </c>
      <c r="C264" s="1095">
        <v>1394893.77</v>
      </c>
    </row>
    <row r="265" spans="1:3" x14ac:dyDescent="0.25">
      <c r="A265" s="1071">
        <v>92704</v>
      </c>
      <c r="B265" s="1071" t="s">
        <v>2833</v>
      </c>
      <c r="C265" s="1095">
        <v>19607.259999999998</v>
      </c>
    </row>
    <row r="266" spans="1:3" x14ac:dyDescent="0.25">
      <c r="A266" s="1071">
        <v>92801</v>
      </c>
      <c r="B266" s="1071" t="s">
        <v>2834</v>
      </c>
      <c r="C266" s="1095">
        <v>2645230.56</v>
      </c>
    </row>
    <row r="267" spans="1:3" x14ac:dyDescent="0.25">
      <c r="A267" s="1071">
        <v>92802</v>
      </c>
      <c r="B267" s="1071" t="s">
        <v>2835</v>
      </c>
      <c r="C267" s="1095">
        <v>57706.16</v>
      </c>
    </row>
    <row r="268" spans="1:3" x14ac:dyDescent="0.25">
      <c r="A268" s="1071">
        <v>92804</v>
      </c>
      <c r="B268" s="1071" t="s">
        <v>2836</v>
      </c>
      <c r="C268" s="1095">
        <v>66559.11</v>
      </c>
    </row>
    <row r="269" spans="1:3" x14ac:dyDescent="0.25">
      <c r="A269" s="1071">
        <v>92811</v>
      </c>
      <c r="B269" s="1071" t="s">
        <v>2837</v>
      </c>
      <c r="C269" s="1095">
        <v>479568.67</v>
      </c>
    </row>
    <row r="270" spans="1:3" x14ac:dyDescent="0.25">
      <c r="A270" s="1071">
        <v>92821</v>
      </c>
      <c r="B270" s="1071" t="s">
        <v>2838</v>
      </c>
      <c r="C270" s="1095">
        <v>501804.14</v>
      </c>
    </row>
    <row r="271" spans="1:3" x14ac:dyDescent="0.25">
      <c r="A271" s="1071">
        <v>92831</v>
      </c>
      <c r="B271" s="1071" t="s">
        <v>2839</v>
      </c>
      <c r="C271" s="1095">
        <v>134107.66</v>
      </c>
    </row>
    <row r="272" spans="1:3" x14ac:dyDescent="0.25">
      <c r="A272" s="1071">
        <v>92841</v>
      </c>
      <c r="B272" s="1071" t="s">
        <v>2840</v>
      </c>
      <c r="C272" s="1095">
        <v>125072.28</v>
      </c>
    </row>
    <row r="273" spans="1:3" x14ac:dyDescent="0.25">
      <c r="A273" s="1071">
        <v>92851</v>
      </c>
      <c r="B273" s="1071" t="s">
        <v>2841</v>
      </c>
      <c r="C273" s="1095">
        <v>192126.16</v>
      </c>
    </row>
    <row r="274" spans="1:3" x14ac:dyDescent="0.25">
      <c r="A274" s="1071">
        <v>92861</v>
      </c>
      <c r="B274" s="1071" t="s">
        <v>2842</v>
      </c>
      <c r="C274" s="1095">
        <v>135764.57</v>
      </c>
    </row>
    <row r="275" spans="1:3" x14ac:dyDescent="0.25">
      <c r="A275" s="1071">
        <v>92901</v>
      </c>
      <c r="B275" s="1071" t="s">
        <v>2843</v>
      </c>
      <c r="C275" s="1095">
        <v>2725234.28</v>
      </c>
    </row>
    <row r="276" spans="1:3" x14ac:dyDescent="0.25">
      <c r="A276" s="1071">
        <v>92911</v>
      </c>
      <c r="B276" s="1071" t="s">
        <v>2844</v>
      </c>
      <c r="C276" s="1095">
        <v>988074.59</v>
      </c>
    </row>
    <row r="277" spans="1:3" x14ac:dyDescent="0.25">
      <c r="A277" s="1071">
        <v>92913</v>
      </c>
      <c r="B277" s="1071" t="s">
        <v>2845</v>
      </c>
      <c r="C277" s="1095">
        <v>56980.31</v>
      </c>
    </row>
    <row r="278" spans="1:3" x14ac:dyDescent="0.25">
      <c r="A278" s="1071">
        <v>92914</v>
      </c>
      <c r="B278" s="1071" t="s">
        <v>3583</v>
      </c>
      <c r="C278" s="1095">
        <v>14201.86</v>
      </c>
    </row>
    <row r="279" spans="1:3" x14ac:dyDescent="0.25">
      <c r="A279" s="1071">
        <v>92917</v>
      </c>
      <c r="B279" s="1071" t="s">
        <v>2846</v>
      </c>
      <c r="C279" s="1095">
        <v>16093.97</v>
      </c>
    </row>
    <row r="280" spans="1:3" x14ac:dyDescent="0.25">
      <c r="A280" s="1071">
        <v>92921</v>
      </c>
      <c r="B280" s="1071" t="s">
        <v>2847</v>
      </c>
      <c r="C280" s="1095">
        <v>47485.89</v>
      </c>
    </row>
    <row r="281" spans="1:3" x14ac:dyDescent="0.25">
      <c r="A281" s="1071">
        <v>92931</v>
      </c>
      <c r="B281" s="1071" t="s">
        <v>2848</v>
      </c>
      <c r="C281" s="1095">
        <v>1185078.8799999999</v>
      </c>
    </row>
    <row r="282" spans="1:3" x14ac:dyDescent="0.25">
      <c r="A282" s="1071">
        <v>92941</v>
      </c>
      <c r="B282" s="1071" t="s">
        <v>1445</v>
      </c>
      <c r="C282" s="1095">
        <v>5800.37</v>
      </c>
    </row>
    <row r="283" spans="1:3" x14ac:dyDescent="0.25">
      <c r="A283" s="1071">
        <v>93001</v>
      </c>
      <c r="B283" s="1071" t="s">
        <v>2849</v>
      </c>
      <c r="C283" s="1095">
        <v>1079124.3999999999</v>
      </c>
    </row>
    <row r="284" spans="1:3" x14ac:dyDescent="0.25">
      <c r="A284" s="1071">
        <v>93009</v>
      </c>
      <c r="B284" s="1071" t="s">
        <v>2850</v>
      </c>
      <c r="C284" s="1095">
        <v>5770.45</v>
      </c>
    </row>
    <row r="285" spans="1:3" s="1071" customFormat="1" x14ac:dyDescent="0.25">
      <c r="A285" s="1071">
        <v>93011</v>
      </c>
      <c r="B285" s="1071" t="s">
        <v>2851</v>
      </c>
      <c r="C285" s="1095">
        <v>154957.62</v>
      </c>
    </row>
    <row r="286" spans="1:3" x14ac:dyDescent="0.25">
      <c r="A286" s="1071">
        <v>93021</v>
      </c>
      <c r="B286" s="1071" t="s">
        <v>2852</v>
      </c>
      <c r="C286" s="1095">
        <v>13963.15</v>
      </c>
    </row>
    <row r="287" spans="1:3" x14ac:dyDescent="0.25">
      <c r="A287" s="1071">
        <v>93027</v>
      </c>
      <c r="B287" s="1071" t="s">
        <v>2853</v>
      </c>
      <c r="C287" s="1095">
        <v>6210.89</v>
      </c>
    </row>
    <row r="288" spans="1:3" x14ac:dyDescent="0.25">
      <c r="A288" s="1071">
        <v>93031</v>
      </c>
      <c r="B288" s="1071" t="s">
        <v>2854</v>
      </c>
      <c r="C288" s="1095">
        <v>23728.55</v>
      </c>
    </row>
    <row r="289" spans="1:3" x14ac:dyDescent="0.25">
      <c r="A289" s="1071">
        <v>93101</v>
      </c>
      <c r="B289" s="1071" t="s">
        <v>2855</v>
      </c>
      <c r="C289" s="1095">
        <v>1558580.7</v>
      </c>
    </row>
    <row r="290" spans="1:3" x14ac:dyDescent="0.25">
      <c r="A290" s="1071">
        <v>93103</v>
      </c>
      <c r="B290" s="1071" t="s">
        <v>2123</v>
      </c>
      <c r="C290" s="1095">
        <v>6012.16</v>
      </c>
    </row>
    <row r="291" spans="1:3" x14ac:dyDescent="0.25">
      <c r="A291" s="1071">
        <v>93108</v>
      </c>
      <c r="B291" s="1071" t="s">
        <v>2856</v>
      </c>
      <c r="C291" s="1095">
        <v>1177629.3799999999</v>
      </c>
    </row>
    <row r="292" spans="1:3" x14ac:dyDescent="0.25">
      <c r="A292" s="1071">
        <v>93111</v>
      </c>
      <c r="B292" s="1071" t="s">
        <v>2857</v>
      </c>
      <c r="C292" s="1095">
        <v>28174.57</v>
      </c>
    </row>
    <row r="293" spans="1:3" x14ac:dyDescent="0.25">
      <c r="A293" s="1071">
        <v>93121</v>
      </c>
      <c r="B293" s="1071" t="s">
        <v>2858</v>
      </c>
      <c r="C293" s="1095">
        <v>31032.58</v>
      </c>
    </row>
    <row r="294" spans="1:3" x14ac:dyDescent="0.25">
      <c r="A294" s="1071">
        <v>93127</v>
      </c>
      <c r="B294" s="1071" t="s">
        <v>2859</v>
      </c>
      <c r="C294" s="1095">
        <v>3229.76</v>
      </c>
    </row>
    <row r="295" spans="1:3" x14ac:dyDescent="0.25">
      <c r="A295" s="1071">
        <v>93131</v>
      </c>
      <c r="B295" s="1071" t="s">
        <v>2860</v>
      </c>
      <c r="C295" s="1095">
        <v>93827.23</v>
      </c>
    </row>
    <row r="296" spans="1:3" x14ac:dyDescent="0.25">
      <c r="A296" s="1071">
        <v>93137</v>
      </c>
      <c r="B296" s="1071" t="s">
        <v>2861</v>
      </c>
      <c r="C296" s="1095">
        <v>2953.43</v>
      </c>
    </row>
    <row r="297" spans="1:3" x14ac:dyDescent="0.25">
      <c r="A297" s="1071">
        <v>93141</v>
      </c>
      <c r="B297" s="1071" t="s">
        <v>2862</v>
      </c>
      <c r="C297" s="1095">
        <v>16087.87</v>
      </c>
    </row>
    <row r="298" spans="1:3" x14ac:dyDescent="0.25">
      <c r="A298" s="1071">
        <v>93151</v>
      </c>
      <c r="B298" s="1071" t="s">
        <v>2863</v>
      </c>
      <c r="C298" s="1095">
        <v>160775.82</v>
      </c>
    </row>
    <row r="299" spans="1:3" x14ac:dyDescent="0.25">
      <c r="A299" s="1071">
        <v>93157</v>
      </c>
      <c r="B299" s="1071" t="s">
        <v>2864</v>
      </c>
      <c r="C299" s="1095">
        <v>6823.32</v>
      </c>
    </row>
    <row r="300" spans="1:3" x14ac:dyDescent="0.25">
      <c r="A300" s="1071">
        <v>93161</v>
      </c>
      <c r="B300" s="1071" t="s">
        <v>2865</v>
      </c>
      <c r="C300" s="1095">
        <v>51773.47</v>
      </c>
    </row>
    <row r="301" spans="1:3" x14ac:dyDescent="0.25">
      <c r="A301" s="1071">
        <v>93171</v>
      </c>
      <c r="B301" s="1071" t="s">
        <v>2866</v>
      </c>
      <c r="C301" s="1095">
        <v>2322.04</v>
      </c>
    </row>
    <row r="302" spans="1:3" x14ac:dyDescent="0.25">
      <c r="A302" s="1071">
        <v>93181</v>
      </c>
      <c r="B302" s="1071" t="s">
        <v>2867</v>
      </c>
      <c r="C302" s="1095">
        <v>5787.31</v>
      </c>
    </row>
    <row r="303" spans="1:3" x14ac:dyDescent="0.25">
      <c r="A303" s="1071">
        <v>93191</v>
      </c>
      <c r="B303" s="1071" t="s">
        <v>2868</v>
      </c>
      <c r="C303" s="1095">
        <v>16585.349999999999</v>
      </c>
    </row>
    <row r="304" spans="1:3" x14ac:dyDescent="0.25">
      <c r="A304" s="1071">
        <v>93201</v>
      </c>
      <c r="B304" s="1071" t="s">
        <v>2869</v>
      </c>
      <c r="C304" s="1095">
        <v>7788677.8200000003</v>
      </c>
    </row>
    <row r="305" spans="1:3" x14ac:dyDescent="0.25">
      <c r="A305" s="1071">
        <v>93204</v>
      </c>
      <c r="B305" s="1071" t="s">
        <v>2871</v>
      </c>
      <c r="C305" s="1095">
        <v>169803.69</v>
      </c>
    </row>
    <row r="306" spans="1:3" x14ac:dyDescent="0.25">
      <c r="A306" s="1071">
        <v>93209</v>
      </c>
      <c r="B306" s="1071" t="s">
        <v>2872</v>
      </c>
      <c r="C306" s="1095">
        <v>2328064.71</v>
      </c>
    </row>
    <row r="307" spans="1:3" x14ac:dyDescent="0.25">
      <c r="A307" s="1071">
        <v>93211</v>
      </c>
      <c r="B307" s="1071" t="s">
        <v>2873</v>
      </c>
      <c r="C307" s="1095">
        <v>10204404.300000001</v>
      </c>
    </row>
    <row r="308" spans="1:3" x14ac:dyDescent="0.25">
      <c r="A308" s="1071">
        <v>93212</v>
      </c>
      <c r="B308" s="1071" t="s">
        <v>2874</v>
      </c>
      <c r="C308" s="1095">
        <v>244862.24</v>
      </c>
    </row>
    <row r="309" spans="1:3" x14ac:dyDescent="0.25">
      <c r="A309" s="1071">
        <v>93219</v>
      </c>
      <c r="B309" s="1071" t="s">
        <v>2875</v>
      </c>
      <c r="C309" s="1095">
        <v>129471.25</v>
      </c>
    </row>
    <row r="310" spans="1:3" x14ac:dyDescent="0.25">
      <c r="A310" s="1071">
        <v>93301</v>
      </c>
      <c r="B310" s="1071" t="s">
        <v>2876</v>
      </c>
      <c r="C310" s="1095">
        <v>1097553.08</v>
      </c>
    </row>
    <row r="311" spans="1:3" x14ac:dyDescent="0.25">
      <c r="A311" s="1071">
        <v>93304</v>
      </c>
      <c r="B311" s="1071" t="s">
        <v>2877</v>
      </c>
      <c r="C311" s="1095">
        <v>20870.68</v>
      </c>
    </row>
    <row r="312" spans="1:3" x14ac:dyDescent="0.25">
      <c r="A312" s="1071">
        <v>93305</v>
      </c>
      <c r="B312" s="1071" t="s">
        <v>2878</v>
      </c>
      <c r="C312" s="1095">
        <v>20942.88</v>
      </c>
    </row>
    <row r="313" spans="1:3" x14ac:dyDescent="0.25">
      <c r="A313" s="1071">
        <v>93309</v>
      </c>
      <c r="B313" s="1071" t="s">
        <v>2879</v>
      </c>
      <c r="C313" s="1095">
        <v>99537.62</v>
      </c>
    </row>
    <row r="314" spans="1:3" x14ac:dyDescent="0.25">
      <c r="A314" s="1071">
        <v>93311</v>
      </c>
      <c r="B314" s="1071" t="s">
        <v>2880</v>
      </c>
      <c r="C314" s="1095">
        <v>566417.26</v>
      </c>
    </row>
    <row r="315" spans="1:3" x14ac:dyDescent="0.25">
      <c r="A315" s="1071">
        <v>93317</v>
      </c>
      <c r="B315" s="1071" t="s">
        <v>2881</v>
      </c>
      <c r="C315" s="1095">
        <v>21797.59</v>
      </c>
    </row>
    <row r="316" spans="1:3" x14ac:dyDescent="0.25">
      <c r="A316" s="1071">
        <v>93321</v>
      </c>
      <c r="B316" s="1071" t="s">
        <v>2882</v>
      </c>
      <c r="C316" s="1095">
        <v>3382414.96</v>
      </c>
    </row>
    <row r="317" spans="1:3" x14ac:dyDescent="0.25">
      <c r="A317" s="1071">
        <v>93323</v>
      </c>
      <c r="B317" s="1071" t="s">
        <v>2883</v>
      </c>
      <c r="C317" s="1095">
        <v>9435.43</v>
      </c>
    </row>
    <row r="318" spans="1:3" x14ac:dyDescent="0.25">
      <c r="A318" s="1071">
        <v>93331</v>
      </c>
      <c r="B318" s="1071" t="s">
        <v>2884</v>
      </c>
      <c r="C318" s="1095">
        <v>65250.99</v>
      </c>
    </row>
    <row r="319" spans="1:3" x14ac:dyDescent="0.25">
      <c r="A319" s="1071">
        <v>93333</v>
      </c>
      <c r="B319" s="1071" t="s">
        <v>2885</v>
      </c>
      <c r="C319" s="1095">
        <v>102856.65</v>
      </c>
    </row>
    <row r="320" spans="1:3" x14ac:dyDescent="0.25">
      <c r="A320" s="1071">
        <v>93341</v>
      </c>
      <c r="B320" s="1071" t="s">
        <v>2886</v>
      </c>
      <c r="C320" s="1095">
        <v>14255.5</v>
      </c>
    </row>
    <row r="321" spans="1:3" x14ac:dyDescent="0.25">
      <c r="A321" s="1071">
        <v>93351</v>
      </c>
      <c r="B321" s="1071" t="s">
        <v>2887</v>
      </c>
      <c r="C321" s="1095">
        <v>9872.36</v>
      </c>
    </row>
    <row r="322" spans="1:3" x14ac:dyDescent="0.25">
      <c r="A322" s="1071">
        <v>93401</v>
      </c>
      <c r="B322" s="1071" t="s">
        <v>2888</v>
      </c>
      <c r="C322" s="1095">
        <v>6853482.3899999997</v>
      </c>
    </row>
    <row r="323" spans="1:3" x14ac:dyDescent="0.25">
      <c r="A323" s="1071">
        <v>93402</v>
      </c>
      <c r="B323" s="1071" t="s">
        <v>2889</v>
      </c>
      <c r="C323" s="1095">
        <v>39484.559999999998</v>
      </c>
    </row>
    <row r="324" spans="1:3" x14ac:dyDescent="0.25">
      <c r="A324" s="1071">
        <v>93406</v>
      </c>
      <c r="B324" s="1071" t="s">
        <v>2890</v>
      </c>
      <c r="C324" s="1095">
        <v>258772.74</v>
      </c>
    </row>
    <row r="325" spans="1:3" x14ac:dyDescent="0.25">
      <c r="A325" s="1071">
        <v>93411</v>
      </c>
      <c r="B325" s="1071" t="s">
        <v>2892</v>
      </c>
      <c r="C325" s="1095">
        <v>8965258.6500000004</v>
      </c>
    </row>
    <row r="326" spans="1:3" x14ac:dyDescent="0.25">
      <c r="A326" s="1071">
        <v>93413</v>
      </c>
      <c r="B326" s="1071" t="s">
        <v>2893</v>
      </c>
      <c r="C326" s="1095">
        <v>379792.76</v>
      </c>
    </row>
    <row r="327" spans="1:3" x14ac:dyDescent="0.25">
      <c r="A327" s="1071">
        <v>93417</v>
      </c>
      <c r="B327" s="1071" t="s">
        <v>2894</v>
      </c>
      <c r="C327" s="1095">
        <v>186966.17</v>
      </c>
    </row>
    <row r="328" spans="1:3" x14ac:dyDescent="0.25">
      <c r="A328" s="1071">
        <v>93421</v>
      </c>
      <c r="B328" s="1071" t="s">
        <v>2895</v>
      </c>
      <c r="C328" s="1095">
        <v>954135.29</v>
      </c>
    </row>
    <row r="329" spans="1:3" x14ac:dyDescent="0.25">
      <c r="A329" s="1071">
        <v>93431</v>
      </c>
      <c r="B329" s="1071" t="s">
        <v>2896</v>
      </c>
      <c r="C329" s="1095">
        <v>68106.5</v>
      </c>
    </row>
    <row r="330" spans="1:3" x14ac:dyDescent="0.25">
      <c r="A330" s="1071">
        <v>93441</v>
      </c>
      <c r="B330" s="1071" t="s">
        <v>2897</v>
      </c>
      <c r="C330" s="1095">
        <v>78286.12</v>
      </c>
    </row>
    <row r="331" spans="1:3" x14ac:dyDescent="0.25">
      <c r="A331" s="1071">
        <v>93442</v>
      </c>
      <c r="B331" s="1071" t="s">
        <v>2898</v>
      </c>
      <c r="C331" s="1095">
        <v>65679.22</v>
      </c>
    </row>
    <row r="332" spans="1:3" x14ac:dyDescent="0.25">
      <c r="A332" s="1071">
        <v>93451</v>
      </c>
      <c r="B332" s="1071" t="s">
        <v>2899</v>
      </c>
      <c r="C332" s="1095">
        <v>45716</v>
      </c>
    </row>
    <row r="333" spans="1:3" x14ac:dyDescent="0.25">
      <c r="A333" s="1071">
        <v>93461</v>
      </c>
      <c r="B333" s="1071" t="s">
        <v>2900</v>
      </c>
      <c r="C333" s="1095">
        <v>8763.84</v>
      </c>
    </row>
    <row r="334" spans="1:3" x14ac:dyDescent="0.25">
      <c r="A334" s="1071">
        <v>93471</v>
      </c>
      <c r="B334" s="1071" t="s">
        <v>2901</v>
      </c>
      <c r="C334" s="1095">
        <v>8892.32</v>
      </c>
    </row>
    <row r="335" spans="1:3" x14ac:dyDescent="0.25">
      <c r="A335" s="1071">
        <v>93501</v>
      </c>
      <c r="B335" s="1071" t="s">
        <v>2902</v>
      </c>
      <c r="C335" s="1095">
        <v>1804126.77</v>
      </c>
    </row>
    <row r="336" spans="1:3" x14ac:dyDescent="0.25">
      <c r="A336" s="1071">
        <v>93511</v>
      </c>
      <c r="B336" s="1071" t="s">
        <v>2903</v>
      </c>
      <c r="C336" s="1095">
        <v>50009.62</v>
      </c>
    </row>
    <row r="337" spans="1:3" x14ac:dyDescent="0.25">
      <c r="A337" s="1071">
        <v>93517</v>
      </c>
      <c r="B337" s="1071" t="s">
        <v>2904</v>
      </c>
      <c r="C337" s="1095">
        <v>4538.6400000000003</v>
      </c>
    </row>
    <row r="338" spans="1:3" x14ac:dyDescent="0.25">
      <c r="A338" s="1071">
        <v>93521</v>
      </c>
      <c r="B338" s="1071" t="s">
        <v>2905</v>
      </c>
      <c r="C338" s="1095">
        <v>223246.95</v>
      </c>
    </row>
    <row r="339" spans="1:3" x14ac:dyDescent="0.25">
      <c r="A339" s="1071">
        <v>93527</v>
      </c>
      <c r="B339" s="1071" t="s">
        <v>2906</v>
      </c>
      <c r="C339" s="1095">
        <v>11035.7</v>
      </c>
    </row>
    <row r="340" spans="1:3" x14ac:dyDescent="0.25">
      <c r="A340" s="1071">
        <v>93531</v>
      </c>
      <c r="B340" s="1071" t="s">
        <v>2907</v>
      </c>
      <c r="C340" s="1095">
        <v>11788.28</v>
      </c>
    </row>
    <row r="341" spans="1:3" x14ac:dyDescent="0.25">
      <c r="A341" s="1071">
        <v>93537</v>
      </c>
      <c r="B341" s="1071" t="s">
        <v>2908</v>
      </c>
      <c r="C341" s="1095">
        <v>4241.51</v>
      </c>
    </row>
    <row r="342" spans="1:3" x14ac:dyDescent="0.25">
      <c r="A342" s="1071">
        <v>93541</v>
      </c>
      <c r="B342" s="1071" t="s">
        <v>2909</v>
      </c>
      <c r="C342" s="1095">
        <v>52146.46</v>
      </c>
    </row>
    <row r="343" spans="1:3" x14ac:dyDescent="0.25">
      <c r="A343" s="1071">
        <v>93601</v>
      </c>
      <c r="B343" s="1071" t="s">
        <v>2910</v>
      </c>
      <c r="C343" s="1095">
        <v>5558464.96</v>
      </c>
    </row>
    <row r="344" spans="1:3" x14ac:dyDescent="0.25">
      <c r="A344" s="1071">
        <v>93602</v>
      </c>
      <c r="B344" s="1071" t="s">
        <v>2911</v>
      </c>
      <c r="C344" s="1095">
        <v>91453.95</v>
      </c>
    </row>
    <row r="345" spans="1:3" x14ac:dyDescent="0.25">
      <c r="A345" s="1071">
        <v>93604</v>
      </c>
      <c r="B345" s="1071" t="s">
        <v>4137</v>
      </c>
      <c r="C345" s="1095">
        <v>16372.45</v>
      </c>
    </row>
    <row r="346" spans="1:3" x14ac:dyDescent="0.25">
      <c r="A346" s="1071">
        <v>93609</v>
      </c>
      <c r="B346" s="1071" t="s">
        <v>2912</v>
      </c>
      <c r="C346" s="1095">
        <v>1828677.91</v>
      </c>
    </row>
    <row r="347" spans="1:3" x14ac:dyDescent="0.25">
      <c r="A347" s="1071">
        <v>93610</v>
      </c>
      <c r="B347" s="1071" t="s">
        <v>2913</v>
      </c>
      <c r="C347" s="1095">
        <v>6459.07</v>
      </c>
    </row>
    <row r="348" spans="1:3" x14ac:dyDescent="0.25">
      <c r="A348" s="1071">
        <v>93611</v>
      </c>
      <c r="B348" s="1071" t="s">
        <v>2914</v>
      </c>
      <c r="C348" s="1095">
        <v>3375519.62</v>
      </c>
    </row>
    <row r="349" spans="1:3" x14ac:dyDescent="0.25">
      <c r="A349" s="1071">
        <v>93617</v>
      </c>
      <c r="B349" s="1071" t="s">
        <v>2915</v>
      </c>
      <c r="C349" s="1095">
        <v>53912.52</v>
      </c>
    </row>
    <row r="350" spans="1:3" x14ac:dyDescent="0.25">
      <c r="A350" s="1071">
        <v>93618</v>
      </c>
      <c r="B350" s="1071" t="s">
        <v>2916</v>
      </c>
      <c r="C350" s="1095">
        <v>25051.18</v>
      </c>
    </row>
    <row r="351" spans="1:3" x14ac:dyDescent="0.25">
      <c r="A351" s="1071">
        <v>93621</v>
      </c>
      <c r="B351" s="1071" t="s">
        <v>2917</v>
      </c>
      <c r="C351" s="1095">
        <v>458650.9</v>
      </c>
    </row>
    <row r="352" spans="1:3" x14ac:dyDescent="0.25">
      <c r="A352" s="1071">
        <v>93623</v>
      </c>
      <c r="B352" s="1071" t="s">
        <v>2918</v>
      </c>
      <c r="C352" s="1095">
        <v>8365.67</v>
      </c>
    </row>
    <row r="353" spans="1:3" x14ac:dyDescent="0.25">
      <c r="A353" s="1071">
        <v>93631</v>
      </c>
      <c r="B353" s="1071" t="s">
        <v>2919</v>
      </c>
      <c r="C353" s="1095">
        <v>105757.28</v>
      </c>
    </row>
    <row r="354" spans="1:3" x14ac:dyDescent="0.25">
      <c r="A354" s="1071">
        <v>93641</v>
      </c>
      <c r="B354" s="1071" t="s">
        <v>2920</v>
      </c>
      <c r="C354" s="1095">
        <v>208215.98</v>
      </c>
    </row>
    <row r="355" spans="1:3" x14ac:dyDescent="0.25">
      <c r="A355" s="1071">
        <v>93647</v>
      </c>
      <c r="B355" s="1071" t="s">
        <v>2921</v>
      </c>
      <c r="C355" s="1095">
        <v>9827.48</v>
      </c>
    </row>
    <row r="356" spans="1:3" x14ac:dyDescent="0.25">
      <c r="A356" s="1071">
        <v>93651</v>
      </c>
      <c r="B356" s="1071" t="s">
        <v>2922</v>
      </c>
      <c r="C356" s="1095">
        <v>203987.42</v>
      </c>
    </row>
    <row r="357" spans="1:3" x14ac:dyDescent="0.25">
      <c r="A357" s="1071">
        <v>93661</v>
      </c>
      <c r="B357" s="1071" t="s">
        <v>2923</v>
      </c>
      <c r="C357" s="1095">
        <v>66947.61</v>
      </c>
    </row>
    <row r="358" spans="1:3" x14ac:dyDescent="0.25">
      <c r="A358" s="1071">
        <v>93671</v>
      </c>
      <c r="B358" s="1071" t="s">
        <v>2924</v>
      </c>
      <c r="C358" s="1095">
        <v>187843.31</v>
      </c>
    </row>
    <row r="359" spans="1:3" x14ac:dyDescent="0.25">
      <c r="A359" s="1071">
        <v>93681</v>
      </c>
      <c r="B359" s="1071" t="s">
        <v>2925</v>
      </c>
      <c r="C359" s="1095">
        <v>59051.14</v>
      </c>
    </row>
    <row r="360" spans="1:3" x14ac:dyDescent="0.25">
      <c r="A360" s="1071">
        <v>93691</v>
      </c>
      <c r="B360" s="1071" t="s">
        <v>2926</v>
      </c>
      <c r="C360" s="1095">
        <v>498869.79</v>
      </c>
    </row>
    <row r="361" spans="1:3" x14ac:dyDescent="0.25">
      <c r="A361" s="1071">
        <v>93701</v>
      </c>
      <c r="B361" s="1071" t="s">
        <v>3584</v>
      </c>
      <c r="C361" s="1095">
        <v>219010.73</v>
      </c>
    </row>
    <row r="362" spans="1:3" x14ac:dyDescent="0.25">
      <c r="A362" s="1071">
        <v>93704</v>
      </c>
      <c r="B362" s="1071" t="s">
        <v>2928</v>
      </c>
      <c r="C362" s="1095">
        <v>2030.16</v>
      </c>
    </row>
    <row r="363" spans="1:3" x14ac:dyDescent="0.25">
      <c r="A363" s="1071">
        <v>93801</v>
      </c>
      <c r="B363" s="1071" t="s">
        <v>2929</v>
      </c>
      <c r="C363" s="1095">
        <v>205695.24</v>
      </c>
    </row>
    <row r="364" spans="1:3" x14ac:dyDescent="0.25">
      <c r="A364" s="1071">
        <v>93803</v>
      </c>
      <c r="B364" s="1071" t="s">
        <v>2930</v>
      </c>
      <c r="C364" s="1095">
        <v>48471.5</v>
      </c>
    </row>
    <row r="365" spans="1:3" x14ac:dyDescent="0.25">
      <c r="A365" s="1071">
        <v>93806</v>
      </c>
      <c r="B365" s="1071" t="s">
        <v>2931</v>
      </c>
      <c r="C365" s="1095">
        <v>42552.42</v>
      </c>
    </row>
    <row r="366" spans="1:3" x14ac:dyDescent="0.25">
      <c r="A366" s="1071">
        <v>93821</v>
      </c>
      <c r="B366" s="1071" t="s">
        <v>2932</v>
      </c>
      <c r="C366" s="1095">
        <v>54684.81</v>
      </c>
    </row>
    <row r="367" spans="1:3" x14ac:dyDescent="0.25">
      <c r="A367" s="1071">
        <v>93901</v>
      </c>
      <c r="B367" s="1071" t="s">
        <v>2933</v>
      </c>
      <c r="C367" s="1095">
        <v>959406.95</v>
      </c>
    </row>
    <row r="368" spans="1:3" x14ac:dyDescent="0.25">
      <c r="A368" s="1071">
        <v>93904</v>
      </c>
      <c r="B368" s="1071" t="s">
        <v>2934</v>
      </c>
      <c r="C368" s="1095">
        <v>20649.14</v>
      </c>
    </row>
    <row r="369" spans="1:3" x14ac:dyDescent="0.25">
      <c r="A369" s="1071">
        <v>93906</v>
      </c>
      <c r="B369" s="1071" t="s">
        <v>2935</v>
      </c>
      <c r="C369" s="1095">
        <v>1531380.48</v>
      </c>
    </row>
    <row r="370" spans="1:3" x14ac:dyDescent="0.25">
      <c r="A370" s="1071">
        <v>93908</v>
      </c>
      <c r="B370" s="1071" t="s">
        <v>3585</v>
      </c>
      <c r="C370" s="1095">
        <v>243682.52</v>
      </c>
    </row>
    <row r="371" spans="1:3" x14ac:dyDescent="0.25">
      <c r="A371" s="1071">
        <v>93910</v>
      </c>
      <c r="B371" s="1071" t="s">
        <v>2937</v>
      </c>
      <c r="C371" s="1095">
        <v>124943.65</v>
      </c>
    </row>
    <row r="372" spans="1:3" x14ac:dyDescent="0.25">
      <c r="A372" s="1071">
        <v>93911</v>
      </c>
      <c r="B372" s="1071" t="s">
        <v>2938</v>
      </c>
      <c r="C372" s="1095">
        <v>321853.03999999998</v>
      </c>
    </row>
    <row r="373" spans="1:3" x14ac:dyDescent="0.25">
      <c r="A373" s="1071">
        <v>93913</v>
      </c>
      <c r="B373" s="1071" t="s">
        <v>2939</v>
      </c>
      <c r="C373" s="1095">
        <v>32427.7</v>
      </c>
    </row>
    <row r="374" spans="1:3" x14ac:dyDescent="0.25">
      <c r="A374" s="1071">
        <v>93914</v>
      </c>
      <c r="B374" s="1071" t="s">
        <v>2940</v>
      </c>
      <c r="C374" s="1095">
        <v>6762.08</v>
      </c>
    </row>
    <row r="375" spans="1:3" x14ac:dyDescent="0.25">
      <c r="A375" s="1071">
        <v>93921</v>
      </c>
      <c r="B375" s="1071" t="s">
        <v>2941</v>
      </c>
      <c r="C375" s="1095">
        <v>137542.51999999999</v>
      </c>
    </row>
    <row r="376" spans="1:3" x14ac:dyDescent="0.25">
      <c r="A376" s="1071">
        <v>93931</v>
      </c>
      <c r="B376" s="1071" t="s">
        <v>2942</v>
      </c>
      <c r="C376" s="1095">
        <v>238501.86</v>
      </c>
    </row>
    <row r="377" spans="1:3" x14ac:dyDescent="0.25">
      <c r="A377" s="1071">
        <v>94001</v>
      </c>
      <c r="B377" s="1071" t="s">
        <v>2943</v>
      </c>
      <c r="C377" s="1095">
        <v>461320.33</v>
      </c>
    </row>
    <row r="378" spans="1:3" x14ac:dyDescent="0.25">
      <c r="A378" s="1071">
        <v>94002</v>
      </c>
      <c r="B378" s="1071" t="s">
        <v>2944</v>
      </c>
      <c r="C378" s="1095">
        <v>4785.87</v>
      </c>
    </row>
    <row r="379" spans="1:3" x14ac:dyDescent="0.25">
      <c r="A379" s="1071">
        <v>94004</v>
      </c>
      <c r="B379" s="1071" t="s">
        <v>2945</v>
      </c>
      <c r="C379" s="1095">
        <v>4601.3500000000004</v>
      </c>
    </row>
    <row r="380" spans="1:3" x14ac:dyDescent="0.25">
      <c r="A380" s="1071">
        <v>94005</v>
      </c>
      <c r="B380" s="1071" t="s">
        <v>2946</v>
      </c>
      <c r="C380" s="1095">
        <v>2452.52</v>
      </c>
    </row>
    <row r="381" spans="1:3" x14ac:dyDescent="0.25">
      <c r="A381" s="1071">
        <v>94011</v>
      </c>
      <c r="B381" s="1071" t="s">
        <v>2947</v>
      </c>
      <c r="C381" s="1095">
        <v>11857.95</v>
      </c>
    </row>
    <row r="382" spans="1:3" x14ac:dyDescent="0.25">
      <c r="A382" s="1071">
        <v>94021</v>
      </c>
      <c r="B382" s="1071" t="s">
        <v>2948</v>
      </c>
      <c r="C382" s="1095">
        <v>48100.27</v>
      </c>
    </row>
    <row r="383" spans="1:3" x14ac:dyDescent="0.25">
      <c r="A383" s="1071">
        <v>94031</v>
      </c>
      <c r="B383" s="1071" t="s">
        <v>2949</v>
      </c>
      <c r="C383" s="1095">
        <v>7086.72</v>
      </c>
    </row>
    <row r="384" spans="1:3" x14ac:dyDescent="0.25">
      <c r="A384" s="1071">
        <v>94101</v>
      </c>
      <c r="B384" s="1071" t="s">
        <v>2950</v>
      </c>
      <c r="C384" s="1095">
        <v>9082874.8599999994</v>
      </c>
    </row>
    <row r="385" spans="1:3" x14ac:dyDescent="0.25">
      <c r="A385" s="1071">
        <v>94102</v>
      </c>
      <c r="B385" s="1071" t="s">
        <v>2951</v>
      </c>
      <c r="C385" s="1095">
        <v>109831.08</v>
      </c>
    </row>
    <row r="386" spans="1:3" x14ac:dyDescent="0.25">
      <c r="A386" s="1071">
        <v>94108</v>
      </c>
      <c r="B386" s="1071" t="s">
        <v>2952</v>
      </c>
      <c r="C386" s="1095">
        <v>141635.35999999999</v>
      </c>
    </row>
    <row r="387" spans="1:3" x14ac:dyDescent="0.25">
      <c r="A387" s="1071">
        <v>94109</v>
      </c>
      <c r="B387" s="1071" t="s">
        <v>2953</v>
      </c>
      <c r="C387" s="1095">
        <v>34308.53</v>
      </c>
    </row>
    <row r="388" spans="1:3" x14ac:dyDescent="0.25">
      <c r="A388" s="1071">
        <v>94111</v>
      </c>
      <c r="B388" s="1071" t="s">
        <v>2954</v>
      </c>
      <c r="C388" s="1095">
        <v>12055216.26</v>
      </c>
    </row>
    <row r="389" spans="1:3" x14ac:dyDescent="0.25">
      <c r="A389" s="1071">
        <v>94112</v>
      </c>
      <c r="B389" s="1071" t="s">
        <v>2955</v>
      </c>
      <c r="C389" s="1095">
        <v>76727.23</v>
      </c>
    </row>
    <row r="390" spans="1:3" x14ac:dyDescent="0.25">
      <c r="A390" s="1071">
        <v>94117</v>
      </c>
      <c r="B390" s="1071" t="s">
        <v>2956</v>
      </c>
      <c r="C390" s="1095">
        <v>182766.8</v>
      </c>
    </row>
    <row r="391" spans="1:3" x14ac:dyDescent="0.25">
      <c r="A391" s="1071">
        <v>94118</v>
      </c>
      <c r="B391" s="1071" t="s">
        <v>2957</v>
      </c>
      <c r="C391" s="1095">
        <v>64547.74</v>
      </c>
    </row>
    <row r="392" spans="1:3" x14ac:dyDescent="0.25">
      <c r="A392" s="1071">
        <v>94121</v>
      </c>
      <c r="B392" s="1071" t="s">
        <v>2958</v>
      </c>
      <c r="C392" s="1095">
        <v>5648220.7400000002</v>
      </c>
    </row>
    <row r="393" spans="1:3" x14ac:dyDescent="0.25">
      <c r="A393" s="1071">
        <v>94127</v>
      </c>
      <c r="B393" s="1071" t="s">
        <v>2959</v>
      </c>
      <c r="C393" s="1095">
        <v>77193.210000000006</v>
      </c>
    </row>
    <row r="394" spans="1:3" x14ac:dyDescent="0.25">
      <c r="A394" s="1071">
        <v>94131</v>
      </c>
      <c r="B394" s="1071" t="s">
        <v>2960</v>
      </c>
      <c r="C394" s="1095">
        <v>104615.2</v>
      </c>
    </row>
    <row r="395" spans="1:3" x14ac:dyDescent="0.25">
      <c r="A395" s="1071">
        <v>94151</v>
      </c>
      <c r="B395" s="1071" t="s">
        <v>2961</v>
      </c>
      <c r="C395" s="1095">
        <v>198961.68</v>
      </c>
    </row>
    <row r="396" spans="1:3" x14ac:dyDescent="0.25">
      <c r="A396" s="1071">
        <v>94157</v>
      </c>
      <c r="B396" s="1071" t="s">
        <v>2962</v>
      </c>
      <c r="C396" s="1095">
        <v>5164.3100000000004</v>
      </c>
    </row>
    <row r="397" spans="1:3" x14ac:dyDescent="0.25">
      <c r="A397" s="1071">
        <v>94161</v>
      </c>
      <c r="B397" s="1071" t="s">
        <v>2963</v>
      </c>
      <c r="C397" s="1095">
        <v>22912.52</v>
      </c>
    </row>
    <row r="398" spans="1:3" x14ac:dyDescent="0.25">
      <c r="A398" s="1071">
        <v>94168</v>
      </c>
      <c r="B398" s="1071" t="s">
        <v>2964</v>
      </c>
      <c r="C398" s="1095">
        <v>22540.27</v>
      </c>
    </row>
    <row r="399" spans="1:3" x14ac:dyDescent="0.25">
      <c r="A399" s="1071">
        <v>94171</v>
      </c>
      <c r="B399" s="1071" t="s">
        <v>2965</v>
      </c>
      <c r="C399" s="1095">
        <v>32386.33</v>
      </c>
    </row>
    <row r="400" spans="1:3" x14ac:dyDescent="0.25">
      <c r="A400" s="1071">
        <v>94172</v>
      </c>
      <c r="B400" s="1071" t="s">
        <v>2966</v>
      </c>
      <c r="C400" s="1095">
        <v>104259.5</v>
      </c>
    </row>
    <row r="401" spans="1:3" x14ac:dyDescent="0.25">
      <c r="A401" s="1071">
        <v>94201</v>
      </c>
      <c r="B401" s="1071" t="s">
        <v>2967</v>
      </c>
      <c r="C401" s="1095">
        <v>1635512.15</v>
      </c>
    </row>
    <row r="402" spans="1:3" x14ac:dyDescent="0.25">
      <c r="A402" s="1071">
        <v>94204</v>
      </c>
      <c r="B402" s="1071" t="s">
        <v>2968</v>
      </c>
      <c r="C402" s="1095">
        <v>18471.009999999998</v>
      </c>
    </row>
    <row r="403" spans="1:3" x14ac:dyDescent="0.25">
      <c r="A403" s="1071">
        <v>94205</v>
      </c>
      <c r="B403" s="1071" t="s">
        <v>2969</v>
      </c>
      <c r="C403" s="1095">
        <v>11769.76</v>
      </c>
    </row>
    <row r="404" spans="1:3" x14ac:dyDescent="0.25">
      <c r="A404" s="1071">
        <v>94209</v>
      </c>
      <c r="B404" s="1071" t="s">
        <v>2970</v>
      </c>
      <c r="C404" s="1095">
        <v>156050.97</v>
      </c>
    </row>
    <row r="405" spans="1:3" x14ac:dyDescent="0.25">
      <c r="A405" s="1071">
        <v>94211</v>
      </c>
      <c r="B405" s="1071" t="s">
        <v>2971</v>
      </c>
      <c r="C405" s="1095">
        <v>63943.5</v>
      </c>
    </row>
    <row r="406" spans="1:3" x14ac:dyDescent="0.25">
      <c r="A406" s="1071">
        <v>94221</v>
      </c>
      <c r="B406" s="1071" t="s">
        <v>2972</v>
      </c>
      <c r="C406" s="1095">
        <v>486207.1</v>
      </c>
    </row>
    <row r="407" spans="1:3" x14ac:dyDescent="0.25">
      <c r="A407" s="1071">
        <v>94231</v>
      </c>
      <c r="B407" s="1071" t="s">
        <v>2973</v>
      </c>
      <c r="C407" s="1095">
        <v>89897.25</v>
      </c>
    </row>
    <row r="408" spans="1:3" x14ac:dyDescent="0.25">
      <c r="A408" s="1071">
        <v>94241</v>
      </c>
      <c r="B408" s="1071" t="s">
        <v>2974</v>
      </c>
      <c r="C408" s="1095">
        <v>55125.919999999998</v>
      </c>
    </row>
    <row r="409" spans="1:3" x14ac:dyDescent="0.25">
      <c r="A409" s="1071">
        <v>94251</v>
      </c>
      <c r="B409" s="1071" t="s">
        <v>2975</v>
      </c>
      <c r="C409" s="1095">
        <v>9677.59</v>
      </c>
    </row>
    <row r="410" spans="1:3" x14ac:dyDescent="0.25">
      <c r="A410" s="1071">
        <v>94261</v>
      </c>
      <c r="B410" s="1071" t="s">
        <v>2976</v>
      </c>
      <c r="C410" s="1095">
        <v>19409.43</v>
      </c>
    </row>
    <row r="411" spans="1:3" x14ac:dyDescent="0.25">
      <c r="A411" s="1071">
        <v>94301</v>
      </c>
      <c r="B411" s="1071" t="s">
        <v>2977</v>
      </c>
      <c r="C411" s="1095">
        <v>3065671.05</v>
      </c>
    </row>
    <row r="412" spans="1:3" x14ac:dyDescent="0.25">
      <c r="A412" s="1071">
        <v>94311</v>
      </c>
      <c r="B412" s="1071" t="s">
        <v>2978</v>
      </c>
      <c r="C412" s="1095">
        <v>371563.2</v>
      </c>
    </row>
    <row r="413" spans="1:3" x14ac:dyDescent="0.25">
      <c r="A413" s="1071">
        <v>94313</v>
      </c>
      <c r="B413" s="1071" t="s">
        <v>2979</v>
      </c>
      <c r="C413" s="1095">
        <v>14194.6</v>
      </c>
    </row>
    <row r="414" spans="1:3" x14ac:dyDescent="0.25">
      <c r="A414" s="1071">
        <v>94317</v>
      </c>
      <c r="B414" s="1071" t="s">
        <v>2980</v>
      </c>
      <c r="C414" s="1095">
        <v>10719.35</v>
      </c>
    </row>
    <row r="415" spans="1:3" x14ac:dyDescent="0.25">
      <c r="A415" s="1071">
        <v>94321</v>
      </c>
      <c r="B415" s="1071" t="s">
        <v>2981</v>
      </c>
      <c r="C415" s="1095">
        <v>120686.37</v>
      </c>
    </row>
    <row r="416" spans="1:3" x14ac:dyDescent="0.25">
      <c r="A416" s="1071">
        <v>94331</v>
      </c>
      <c r="B416" s="1071" t="s">
        <v>2982</v>
      </c>
      <c r="C416" s="1095">
        <v>79182.12</v>
      </c>
    </row>
    <row r="417" spans="1:3" x14ac:dyDescent="0.25">
      <c r="A417" s="1071">
        <v>94341</v>
      </c>
      <c r="B417" s="1071" t="s">
        <v>2983</v>
      </c>
      <c r="C417" s="1095">
        <v>38623.660000000003</v>
      </c>
    </row>
    <row r="418" spans="1:3" x14ac:dyDescent="0.25">
      <c r="A418" s="1071">
        <v>94347</v>
      </c>
      <c r="B418" s="1071" t="s">
        <v>2984</v>
      </c>
      <c r="C418" s="1095">
        <v>6483.89</v>
      </c>
    </row>
    <row r="419" spans="1:3" x14ac:dyDescent="0.25">
      <c r="A419" s="1071">
        <v>94351</v>
      </c>
      <c r="B419" s="1071" t="s">
        <v>2985</v>
      </c>
      <c r="C419" s="1095">
        <v>111785.13</v>
      </c>
    </row>
    <row r="420" spans="1:3" x14ac:dyDescent="0.25">
      <c r="A420" s="1071">
        <v>94401</v>
      </c>
      <c r="B420" s="1071" t="s">
        <v>3586</v>
      </c>
      <c r="C420" s="1095">
        <v>1613627.2</v>
      </c>
    </row>
    <row r="421" spans="1:3" x14ac:dyDescent="0.25">
      <c r="A421" s="1071">
        <v>94403</v>
      </c>
      <c r="B421" s="1071" t="s">
        <v>3587</v>
      </c>
      <c r="C421" s="1095">
        <v>16659.03</v>
      </c>
    </row>
    <row r="422" spans="1:3" x14ac:dyDescent="0.25">
      <c r="A422" s="1071">
        <v>94408</v>
      </c>
      <c r="B422" s="1071" t="s">
        <v>2988</v>
      </c>
      <c r="C422" s="1095">
        <v>17934.95</v>
      </c>
    </row>
    <row r="423" spans="1:3" x14ac:dyDescent="0.25">
      <c r="A423" s="1071">
        <v>94411</v>
      </c>
      <c r="B423" s="1071" t="s">
        <v>2989</v>
      </c>
      <c r="C423" s="1095">
        <v>585990.54</v>
      </c>
    </row>
    <row r="424" spans="1:3" x14ac:dyDescent="0.25">
      <c r="A424" s="1071">
        <v>94412</v>
      </c>
      <c r="B424" s="1071" t="s">
        <v>2990</v>
      </c>
      <c r="C424" s="1095">
        <v>14142.96</v>
      </c>
    </row>
    <row r="425" spans="1:3" x14ac:dyDescent="0.25">
      <c r="A425" s="1071">
        <v>94421</v>
      </c>
      <c r="B425" s="1071" t="s">
        <v>2991</v>
      </c>
      <c r="C425" s="1095">
        <v>77726.42</v>
      </c>
    </row>
    <row r="426" spans="1:3" x14ac:dyDescent="0.25">
      <c r="A426" s="1071">
        <v>94427</v>
      </c>
      <c r="B426" s="1071" t="s">
        <v>2992</v>
      </c>
      <c r="C426" s="1095">
        <v>10757.71</v>
      </c>
    </row>
    <row r="427" spans="1:3" x14ac:dyDescent="0.25">
      <c r="A427" s="1071">
        <v>94428</v>
      </c>
      <c r="B427" s="1071" t="s">
        <v>2993</v>
      </c>
      <c r="C427" s="1095">
        <v>36851.620000000003</v>
      </c>
    </row>
    <row r="428" spans="1:3" x14ac:dyDescent="0.25">
      <c r="A428" s="1071">
        <v>94431</v>
      </c>
      <c r="B428" s="1071" t="s">
        <v>2994</v>
      </c>
      <c r="C428" s="1095">
        <v>304045.34999999998</v>
      </c>
    </row>
    <row r="429" spans="1:3" x14ac:dyDescent="0.25">
      <c r="A429" s="1071">
        <v>94437</v>
      </c>
      <c r="B429" s="1071" t="s">
        <v>2995</v>
      </c>
      <c r="C429" s="1095">
        <v>13413.12</v>
      </c>
    </row>
    <row r="430" spans="1:3" x14ac:dyDescent="0.25">
      <c r="A430" s="1071">
        <v>94501</v>
      </c>
      <c r="B430" s="1071" t="s">
        <v>2996</v>
      </c>
      <c r="C430" s="1095">
        <v>2853870.53</v>
      </c>
    </row>
    <row r="431" spans="1:3" x14ac:dyDescent="0.25">
      <c r="A431" s="1071">
        <v>94511</v>
      </c>
      <c r="B431" s="1071" t="s">
        <v>2997</v>
      </c>
      <c r="C431" s="1095">
        <v>890338.96</v>
      </c>
    </row>
    <row r="432" spans="1:3" x14ac:dyDescent="0.25">
      <c r="A432" s="1071">
        <v>94517</v>
      </c>
      <c r="B432" s="1071" t="s">
        <v>2999</v>
      </c>
      <c r="C432" s="1095">
        <v>31791.79</v>
      </c>
    </row>
    <row r="433" spans="1:3" x14ac:dyDescent="0.25">
      <c r="A433" s="1071">
        <v>94521</v>
      </c>
      <c r="B433" s="1071" t="s">
        <v>3000</v>
      </c>
      <c r="C433" s="1095">
        <v>64723.5</v>
      </c>
    </row>
    <row r="434" spans="1:3" x14ac:dyDescent="0.25">
      <c r="A434" s="1071">
        <v>94527</v>
      </c>
      <c r="B434" s="1071" t="s">
        <v>3001</v>
      </c>
      <c r="C434" s="1095">
        <v>2986.99</v>
      </c>
    </row>
    <row r="435" spans="1:3" x14ac:dyDescent="0.25">
      <c r="A435" s="1071">
        <v>94531</v>
      </c>
      <c r="B435" s="1071" t="s">
        <v>3002</v>
      </c>
      <c r="C435" s="1095">
        <v>12698.63</v>
      </c>
    </row>
    <row r="436" spans="1:3" x14ac:dyDescent="0.25">
      <c r="A436" s="1071">
        <v>94532</v>
      </c>
      <c r="B436" s="1071" t="s">
        <v>3003</v>
      </c>
      <c r="C436" s="1095">
        <v>48849.31</v>
      </c>
    </row>
    <row r="437" spans="1:3" x14ac:dyDescent="0.25">
      <c r="A437" s="1071">
        <v>94541</v>
      </c>
      <c r="B437" s="1071" t="s">
        <v>3004</v>
      </c>
      <c r="C437" s="1095">
        <v>129411.98</v>
      </c>
    </row>
    <row r="438" spans="1:3" x14ac:dyDescent="0.25">
      <c r="A438" s="1071">
        <v>94547</v>
      </c>
      <c r="B438" s="1071" t="s">
        <v>3005</v>
      </c>
      <c r="C438" s="1095">
        <v>9094.68</v>
      </c>
    </row>
    <row r="439" spans="1:3" x14ac:dyDescent="0.25">
      <c r="A439" s="1071">
        <v>94551</v>
      </c>
      <c r="B439" s="1071" t="s">
        <v>3006</v>
      </c>
      <c r="C439" s="1095">
        <v>25718.1</v>
      </c>
    </row>
    <row r="440" spans="1:3" x14ac:dyDescent="0.25">
      <c r="A440" s="1071">
        <v>94601</v>
      </c>
      <c r="B440" s="1071" t="s">
        <v>3007</v>
      </c>
      <c r="C440" s="1095">
        <v>537000.54</v>
      </c>
    </row>
    <row r="441" spans="1:3" x14ac:dyDescent="0.25">
      <c r="A441" s="1071">
        <v>94604</v>
      </c>
      <c r="B441" s="1071" t="s">
        <v>3008</v>
      </c>
      <c r="C441" s="1095">
        <v>14502</v>
      </c>
    </row>
    <row r="442" spans="1:3" x14ac:dyDescent="0.25">
      <c r="A442" s="1071">
        <v>94606</v>
      </c>
      <c r="B442" s="1071" t="s">
        <v>3009</v>
      </c>
      <c r="C442" s="1095">
        <v>102034.16</v>
      </c>
    </row>
    <row r="443" spans="1:3" x14ac:dyDescent="0.25">
      <c r="A443" s="1071">
        <v>94611</v>
      </c>
      <c r="B443" s="1071" t="s">
        <v>3010</v>
      </c>
      <c r="C443" s="1095">
        <v>187145.62</v>
      </c>
    </row>
    <row r="444" spans="1:3" x14ac:dyDescent="0.25">
      <c r="A444" s="1071">
        <v>94621</v>
      </c>
      <c r="B444" s="1071" t="s">
        <v>3011</v>
      </c>
      <c r="C444" s="1095">
        <v>69631.41</v>
      </c>
    </row>
    <row r="445" spans="1:3" x14ac:dyDescent="0.25">
      <c r="A445" s="1071">
        <v>94631</v>
      </c>
      <c r="B445" s="1071" t="s">
        <v>3012</v>
      </c>
      <c r="C445" s="1095">
        <v>20549.580000000002</v>
      </c>
    </row>
    <row r="446" spans="1:3" x14ac:dyDescent="0.25">
      <c r="A446" s="1071">
        <v>94641</v>
      </c>
      <c r="B446" s="1071" t="s">
        <v>3013</v>
      </c>
      <c r="C446" s="1095">
        <v>4762.91</v>
      </c>
    </row>
    <row r="447" spans="1:3" x14ac:dyDescent="0.25">
      <c r="A447" s="1071">
        <v>94701</v>
      </c>
      <c r="B447" s="1071" t="s">
        <v>3014</v>
      </c>
      <c r="C447" s="1095">
        <v>1155891.8400000001</v>
      </c>
    </row>
    <row r="448" spans="1:3" x14ac:dyDescent="0.25">
      <c r="A448" s="1071">
        <v>94704</v>
      </c>
      <c r="B448" s="1071" t="s">
        <v>3015</v>
      </c>
      <c r="C448" s="1095">
        <v>8058.28</v>
      </c>
    </row>
    <row r="449" spans="1:3" x14ac:dyDescent="0.25">
      <c r="A449" s="1071">
        <v>94711</v>
      </c>
      <c r="B449" s="1071" t="s">
        <v>3016</v>
      </c>
      <c r="C449" s="1095">
        <v>168065.41</v>
      </c>
    </row>
    <row r="450" spans="1:3" x14ac:dyDescent="0.25">
      <c r="A450" s="1071">
        <v>94801</v>
      </c>
      <c r="B450" s="1071" t="s">
        <v>3017</v>
      </c>
      <c r="C450" s="1095">
        <v>345761.46</v>
      </c>
    </row>
    <row r="451" spans="1:3" x14ac:dyDescent="0.25">
      <c r="A451" s="1071">
        <v>94804</v>
      </c>
      <c r="B451" s="1071" t="s">
        <v>3018</v>
      </c>
      <c r="C451" s="1095">
        <v>2753.83</v>
      </c>
    </row>
    <row r="452" spans="1:3" x14ac:dyDescent="0.25">
      <c r="A452" s="1071">
        <v>94812</v>
      </c>
      <c r="B452" s="1071" t="s">
        <v>3019</v>
      </c>
      <c r="C452" s="1095">
        <v>20766.419999999998</v>
      </c>
    </row>
    <row r="453" spans="1:3" x14ac:dyDescent="0.25">
      <c r="A453" s="1071">
        <v>94901</v>
      </c>
      <c r="B453" s="1071" t="s">
        <v>3020</v>
      </c>
      <c r="C453" s="1095">
        <v>3458043.82</v>
      </c>
    </row>
    <row r="454" spans="1:3" x14ac:dyDescent="0.25">
      <c r="A454" s="1071">
        <v>94908</v>
      </c>
      <c r="B454" s="1071" t="s">
        <v>3021</v>
      </c>
      <c r="C454" s="1095">
        <v>3618.63</v>
      </c>
    </row>
    <row r="455" spans="1:3" x14ac:dyDescent="0.25">
      <c r="A455" s="1071">
        <v>94911</v>
      </c>
      <c r="B455" s="1071" t="s">
        <v>3022</v>
      </c>
      <c r="C455" s="1095">
        <v>1437336.82</v>
      </c>
    </row>
    <row r="456" spans="1:3" x14ac:dyDescent="0.25">
      <c r="A456" s="1071">
        <v>94917</v>
      </c>
      <c r="B456" s="1071" t="s">
        <v>3023</v>
      </c>
      <c r="C456" s="1095">
        <v>27816</v>
      </c>
    </row>
    <row r="457" spans="1:3" x14ac:dyDescent="0.25">
      <c r="A457" s="1071">
        <v>94921</v>
      </c>
      <c r="B457" s="1071" t="s">
        <v>3024</v>
      </c>
      <c r="C457" s="1095">
        <v>1763659.66</v>
      </c>
    </row>
    <row r="458" spans="1:3" x14ac:dyDescent="0.25">
      <c r="A458" s="1071">
        <v>94923</v>
      </c>
      <c r="B458" s="1071" t="s">
        <v>3025</v>
      </c>
      <c r="C458" s="1095">
        <v>15966.15</v>
      </c>
    </row>
    <row r="459" spans="1:3" x14ac:dyDescent="0.25">
      <c r="A459" s="1071">
        <v>94927</v>
      </c>
      <c r="B459" s="1071" t="s">
        <v>3026</v>
      </c>
      <c r="C459" s="1095">
        <v>20061.34</v>
      </c>
    </row>
    <row r="460" spans="1:3" x14ac:dyDescent="0.25">
      <c r="A460" s="1071">
        <v>94931</v>
      </c>
      <c r="B460" s="1071" t="s">
        <v>3027</v>
      </c>
      <c r="C460" s="1095">
        <v>101032.52</v>
      </c>
    </row>
    <row r="461" spans="1:3" x14ac:dyDescent="0.25">
      <c r="A461" s="1071">
        <v>94937</v>
      </c>
      <c r="B461" s="1071" t="s">
        <v>4876</v>
      </c>
      <c r="C461" s="1095">
        <v>1620.49</v>
      </c>
    </row>
    <row r="462" spans="1:3" x14ac:dyDescent="0.25">
      <c r="A462" s="1071">
        <v>94941</v>
      </c>
      <c r="B462" s="1071" t="s">
        <v>3028</v>
      </c>
      <c r="C462" s="1095">
        <v>248810.82</v>
      </c>
    </row>
    <row r="463" spans="1:3" x14ac:dyDescent="0.25">
      <c r="A463" s="1071">
        <v>94947</v>
      </c>
      <c r="B463" s="1071" t="s">
        <v>4177</v>
      </c>
      <c r="C463" s="1095">
        <v>1125.18</v>
      </c>
    </row>
    <row r="464" spans="1:3" x14ac:dyDescent="0.25">
      <c r="A464" s="1071">
        <v>95001</v>
      </c>
      <c r="B464" s="1071" t="s">
        <v>3029</v>
      </c>
      <c r="C464" s="1095">
        <v>1230480.6499999999</v>
      </c>
    </row>
    <row r="465" spans="1:3" x14ac:dyDescent="0.25">
      <c r="A465" s="1071">
        <v>95002</v>
      </c>
      <c r="B465" s="1071" t="s">
        <v>3030</v>
      </c>
      <c r="C465" s="1095">
        <v>106939.05</v>
      </c>
    </row>
    <row r="466" spans="1:3" x14ac:dyDescent="0.25">
      <c r="A466" s="1071">
        <v>95005</v>
      </c>
      <c r="B466" s="1071" t="s">
        <v>3031</v>
      </c>
      <c r="C466" s="1095">
        <v>115399.53</v>
      </c>
    </row>
    <row r="467" spans="1:3" x14ac:dyDescent="0.25">
      <c r="A467" s="1071">
        <v>95008</v>
      </c>
      <c r="B467" s="1071" t="s">
        <v>3032</v>
      </c>
      <c r="C467" s="1095">
        <v>68090.84</v>
      </c>
    </row>
    <row r="468" spans="1:3" x14ac:dyDescent="0.25">
      <c r="A468" s="1071">
        <v>95009</v>
      </c>
      <c r="B468" s="1071" t="s">
        <v>3588</v>
      </c>
      <c r="C468" s="1095">
        <v>2002290.14</v>
      </c>
    </row>
    <row r="469" spans="1:3" x14ac:dyDescent="0.25">
      <c r="A469" s="1071">
        <v>95011</v>
      </c>
      <c r="B469" s="1071" t="s">
        <v>3034</v>
      </c>
      <c r="C469" s="1095">
        <v>89092.71</v>
      </c>
    </row>
    <row r="470" spans="1:3" x14ac:dyDescent="0.25">
      <c r="A470" s="1071">
        <v>95017</v>
      </c>
      <c r="B470" s="1071" t="s">
        <v>3035</v>
      </c>
      <c r="C470" s="1095">
        <v>17647.990000000002</v>
      </c>
    </row>
    <row r="471" spans="1:3" x14ac:dyDescent="0.25">
      <c r="A471" s="1071">
        <v>95101</v>
      </c>
      <c r="B471" s="1071" t="s">
        <v>3036</v>
      </c>
      <c r="C471" s="1095">
        <v>3950764.86</v>
      </c>
    </row>
    <row r="472" spans="1:3" x14ac:dyDescent="0.25">
      <c r="A472" s="1071">
        <v>95103</v>
      </c>
      <c r="B472" s="1071" t="s">
        <v>3037</v>
      </c>
      <c r="C472" s="1095">
        <v>30191.26</v>
      </c>
    </row>
    <row r="473" spans="1:3" x14ac:dyDescent="0.25">
      <c r="A473" s="1071">
        <v>95104</v>
      </c>
      <c r="B473" s="1071" t="s">
        <v>3038</v>
      </c>
      <c r="C473" s="1095">
        <v>61268.85</v>
      </c>
    </row>
    <row r="474" spans="1:3" x14ac:dyDescent="0.25">
      <c r="A474" s="1071">
        <v>95105</v>
      </c>
      <c r="B474" s="1071" t="s">
        <v>3039</v>
      </c>
      <c r="C474" s="1095">
        <v>35729.96</v>
      </c>
    </row>
    <row r="475" spans="1:3" x14ac:dyDescent="0.25">
      <c r="A475" s="1071">
        <v>95106</v>
      </c>
      <c r="B475" s="1071" t="s">
        <v>3040</v>
      </c>
      <c r="C475" s="1095">
        <v>8073.19</v>
      </c>
    </row>
    <row r="476" spans="1:3" x14ac:dyDescent="0.25">
      <c r="A476" s="1071">
        <v>95110</v>
      </c>
      <c r="B476" s="1071" t="s">
        <v>3041</v>
      </c>
      <c r="C476" s="1095">
        <v>1943181.54</v>
      </c>
    </row>
    <row r="477" spans="1:3" x14ac:dyDescent="0.25">
      <c r="A477" s="1071">
        <v>95111</v>
      </c>
      <c r="B477" s="1071" t="s">
        <v>3042</v>
      </c>
      <c r="C477" s="1095">
        <v>496429.25</v>
      </c>
    </row>
    <row r="478" spans="1:3" x14ac:dyDescent="0.25">
      <c r="A478" s="1071">
        <v>95113</v>
      </c>
      <c r="B478" s="1071" t="s">
        <v>3043</v>
      </c>
      <c r="C478" s="1095">
        <v>74446.759999999995</v>
      </c>
    </row>
    <row r="479" spans="1:3" x14ac:dyDescent="0.25">
      <c r="A479" s="1071">
        <v>95121</v>
      </c>
      <c r="B479" s="1071" t="s">
        <v>3044</v>
      </c>
      <c r="C479" s="1095">
        <v>242310.35</v>
      </c>
    </row>
    <row r="480" spans="1:3" x14ac:dyDescent="0.25">
      <c r="A480" s="1071">
        <v>95122</v>
      </c>
      <c r="B480" s="1071" t="s">
        <v>3045</v>
      </c>
      <c r="C480" s="1095">
        <v>4596.54</v>
      </c>
    </row>
    <row r="481" spans="1:3" x14ac:dyDescent="0.25">
      <c r="A481" s="1071">
        <v>95123</v>
      </c>
      <c r="B481" s="1071" t="s">
        <v>3046</v>
      </c>
      <c r="C481" s="1095">
        <v>29610.61</v>
      </c>
    </row>
    <row r="482" spans="1:3" x14ac:dyDescent="0.25">
      <c r="A482" s="1071">
        <v>95131</v>
      </c>
      <c r="B482" s="1071" t="s">
        <v>3047</v>
      </c>
      <c r="C482" s="1095">
        <v>811028.86</v>
      </c>
    </row>
    <row r="483" spans="1:3" x14ac:dyDescent="0.25">
      <c r="A483" s="1071">
        <v>95141</v>
      </c>
      <c r="B483" s="1071" t="s">
        <v>3048</v>
      </c>
      <c r="C483" s="1095">
        <v>148359.60999999999</v>
      </c>
    </row>
    <row r="484" spans="1:3" x14ac:dyDescent="0.25">
      <c r="A484" s="1071">
        <v>95151</v>
      </c>
      <c r="B484" s="1071" t="s">
        <v>3049</v>
      </c>
      <c r="C484" s="1095">
        <v>51039.87</v>
      </c>
    </row>
    <row r="485" spans="1:3" x14ac:dyDescent="0.25">
      <c r="A485" s="1071">
        <v>95161</v>
      </c>
      <c r="B485" s="1071" t="s">
        <v>3050</v>
      </c>
      <c r="C485" s="1095">
        <v>41171.79</v>
      </c>
    </row>
    <row r="486" spans="1:3" x14ac:dyDescent="0.25">
      <c r="A486" s="1071">
        <v>95171</v>
      </c>
      <c r="B486" s="1071" t="s">
        <v>3051</v>
      </c>
      <c r="C486" s="1095">
        <v>47352.800000000003</v>
      </c>
    </row>
    <row r="487" spans="1:3" x14ac:dyDescent="0.25">
      <c r="A487" s="1071">
        <v>95181</v>
      </c>
      <c r="B487" s="1071" t="s">
        <v>3052</v>
      </c>
      <c r="C487" s="1095">
        <v>32737.29</v>
      </c>
    </row>
    <row r="488" spans="1:3" x14ac:dyDescent="0.25">
      <c r="A488" s="1071">
        <v>95191</v>
      </c>
      <c r="B488" s="1071" t="s">
        <v>3053</v>
      </c>
      <c r="C488" s="1095">
        <v>35124.83</v>
      </c>
    </row>
    <row r="489" spans="1:3" x14ac:dyDescent="0.25">
      <c r="A489" s="1071">
        <v>95201</v>
      </c>
      <c r="B489" s="1071" t="s">
        <v>3054</v>
      </c>
      <c r="C489" s="1095">
        <v>324382.05</v>
      </c>
    </row>
    <row r="490" spans="1:3" x14ac:dyDescent="0.25">
      <c r="A490" s="1071">
        <v>95204</v>
      </c>
      <c r="B490" s="1071" t="s">
        <v>3055</v>
      </c>
      <c r="C490" s="1095">
        <v>6627.08</v>
      </c>
    </row>
    <row r="491" spans="1:3" x14ac:dyDescent="0.25">
      <c r="A491" s="1071">
        <v>95205</v>
      </c>
      <c r="B491" s="1071" t="s">
        <v>3056</v>
      </c>
      <c r="C491" s="1095">
        <v>2149.2399999999998</v>
      </c>
    </row>
    <row r="492" spans="1:3" x14ac:dyDescent="0.25">
      <c r="A492" s="1071">
        <v>95211</v>
      </c>
      <c r="B492" s="1071" t="s">
        <v>3057</v>
      </c>
      <c r="C492" s="1095">
        <v>3345.46</v>
      </c>
    </row>
    <row r="493" spans="1:3" x14ac:dyDescent="0.25">
      <c r="A493" s="1071">
        <v>95221</v>
      </c>
      <c r="B493" s="1071" t="s">
        <v>3058</v>
      </c>
      <c r="C493" s="1095">
        <v>24433.53</v>
      </c>
    </row>
    <row r="494" spans="1:3" x14ac:dyDescent="0.25">
      <c r="A494" s="1071">
        <v>95301</v>
      </c>
      <c r="B494" s="1071" t="s">
        <v>3059</v>
      </c>
      <c r="C494" s="1095">
        <v>1161384.1100000001</v>
      </c>
    </row>
    <row r="495" spans="1:3" x14ac:dyDescent="0.25">
      <c r="A495" s="1071">
        <v>95311</v>
      </c>
      <c r="B495" s="1071" t="s">
        <v>3060</v>
      </c>
      <c r="C495" s="1095">
        <v>1353611.39</v>
      </c>
    </row>
    <row r="496" spans="1:3" x14ac:dyDescent="0.25">
      <c r="A496" s="1071">
        <v>95317</v>
      </c>
      <c r="B496" s="1071" t="s">
        <v>3061</v>
      </c>
      <c r="C496" s="1095">
        <v>27496.49</v>
      </c>
    </row>
    <row r="497" spans="1:3" x14ac:dyDescent="0.25">
      <c r="A497" s="1071">
        <v>95321</v>
      </c>
      <c r="B497" s="1071" t="s">
        <v>3062</v>
      </c>
      <c r="C497" s="1095">
        <v>27476.22</v>
      </c>
    </row>
    <row r="498" spans="1:3" x14ac:dyDescent="0.25">
      <c r="A498" s="1071">
        <v>95401</v>
      </c>
      <c r="B498" s="1071" t="s">
        <v>3063</v>
      </c>
      <c r="C498" s="1095">
        <v>1369020.65</v>
      </c>
    </row>
    <row r="499" spans="1:3" x14ac:dyDescent="0.25">
      <c r="A499" s="1071">
        <v>95404</v>
      </c>
      <c r="B499" s="1071" t="s">
        <v>3064</v>
      </c>
      <c r="C499" s="1095">
        <v>23078.97</v>
      </c>
    </row>
    <row r="500" spans="1:3" x14ac:dyDescent="0.25">
      <c r="A500" s="1071">
        <v>95405</v>
      </c>
      <c r="B500" s="1071" t="s">
        <v>3065</v>
      </c>
      <c r="C500" s="1095">
        <v>19532.45</v>
      </c>
    </row>
    <row r="501" spans="1:3" x14ac:dyDescent="0.25">
      <c r="A501" s="1071">
        <v>95411</v>
      </c>
      <c r="B501" s="1071" t="s">
        <v>3066</v>
      </c>
      <c r="C501" s="1095">
        <v>1098228.3799999999</v>
      </c>
    </row>
    <row r="502" spans="1:3" x14ac:dyDescent="0.25">
      <c r="A502" s="1071">
        <v>95413</v>
      </c>
      <c r="B502" s="1071" t="s">
        <v>3068</v>
      </c>
      <c r="C502" s="1095">
        <v>130765.98</v>
      </c>
    </row>
    <row r="503" spans="1:3" x14ac:dyDescent="0.25">
      <c r="A503" s="1071">
        <v>95415</v>
      </c>
      <c r="B503" s="1071" t="s">
        <v>3069</v>
      </c>
      <c r="C503" s="1095">
        <v>31391.19</v>
      </c>
    </row>
    <row r="504" spans="1:3" x14ac:dyDescent="0.25">
      <c r="A504" s="1071">
        <v>95421</v>
      </c>
      <c r="B504" s="1071" t="s">
        <v>3070</v>
      </c>
      <c r="C504" s="1095">
        <v>19590.32</v>
      </c>
    </row>
    <row r="505" spans="1:3" x14ac:dyDescent="0.25">
      <c r="A505" s="1071">
        <v>95431</v>
      </c>
      <c r="B505" s="1071" t="s">
        <v>3071</v>
      </c>
      <c r="C505" s="1095">
        <v>66123.850000000006</v>
      </c>
    </row>
    <row r="506" spans="1:3" x14ac:dyDescent="0.25">
      <c r="A506" s="1071">
        <v>95501</v>
      </c>
      <c r="B506" s="1071" t="s">
        <v>3072</v>
      </c>
      <c r="C506" s="1095">
        <v>2309249.29</v>
      </c>
    </row>
    <row r="507" spans="1:3" x14ac:dyDescent="0.25">
      <c r="A507" s="1071">
        <v>95504</v>
      </c>
      <c r="B507" s="1071" t="s">
        <v>3073</v>
      </c>
      <c r="C507" s="1095">
        <v>10287.07</v>
      </c>
    </row>
    <row r="508" spans="1:3" x14ac:dyDescent="0.25">
      <c r="A508" s="1071">
        <v>95511</v>
      </c>
      <c r="B508" s="1071" t="s">
        <v>3074</v>
      </c>
      <c r="C508" s="1095">
        <v>509340.02</v>
      </c>
    </row>
    <row r="509" spans="1:3" x14ac:dyDescent="0.25">
      <c r="A509" s="1071">
        <v>95513</v>
      </c>
      <c r="B509" s="1071" t="s">
        <v>3075</v>
      </c>
      <c r="C509" s="1095">
        <v>34360.18</v>
      </c>
    </row>
    <row r="510" spans="1:3" x14ac:dyDescent="0.25">
      <c r="A510" s="1071">
        <v>95517</v>
      </c>
      <c r="B510" s="1071" t="s">
        <v>3076</v>
      </c>
      <c r="C510" s="1095">
        <v>11099.99</v>
      </c>
    </row>
    <row r="511" spans="1:3" x14ac:dyDescent="0.25">
      <c r="A511" s="1071">
        <v>95601</v>
      </c>
      <c r="B511" s="1071" t="s">
        <v>3077</v>
      </c>
      <c r="C511" s="1095">
        <v>1263012.71</v>
      </c>
    </row>
    <row r="512" spans="1:3" x14ac:dyDescent="0.25">
      <c r="A512" s="1071">
        <v>95611</v>
      </c>
      <c r="B512" s="1071" t="s">
        <v>3078</v>
      </c>
      <c r="C512" s="1095">
        <v>204619.09</v>
      </c>
    </row>
    <row r="513" spans="1:3" x14ac:dyDescent="0.25">
      <c r="A513" s="1071">
        <v>95617</v>
      </c>
      <c r="B513" s="1071" t="s">
        <v>3079</v>
      </c>
      <c r="C513" s="1095">
        <v>8730.31</v>
      </c>
    </row>
    <row r="514" spans="1:3" x14ac:dyDescent="0.25">
      <c r="A514" s="1071">
        <v>95621</v>
      </c>
      <c r="B514" s="1071" t="s">
        <v>3080</v>
      </c>
      <c r="C514" s="1095">
        <v>260138.02</v>
      </c>
    </row>
    <row r="515" spans="1:3" x14ac:dyDescent="0.25">
      <c r="A515" s="1071">
        <v>95701</v>
      </c>
      <c r="B515" s="1071" t="s">
        <v>3081</v>
      </c>
      <c r="C515" s="1095">
        <v>604598.17000000004</v>
      </c>
    </row>
    <row r="516" spans="1:3" x14ac:dyDescent="0.25">
      <c r="A516" s="1071">
        <v>95711</v>
      </c>
      <c r="B516" s="1071" t="s">
        <v>3082</v>
      </c>
      <c r="C516" s="1095">
        <v>60575.8</v>
      </c>
    </row>
    <row r="517" spans="1:3" x14ac:dyDescent="0.25">
      <c r="A517" s="1071">
        <v>95721</v>
      </c>
      <c r="B517" s="1071" t="s">
        <v>3083</v>
      </c>
      <c r="C517" s="1095">
        <v>31048.06</v>
      </c>
    </row>
    <row r="518" spans="1:3" x14ac:dyDescent="0.25">
      <c r="A518" s="1071">
        <v>95733</v>
      </c>
      <c r="B518" s="1071" t="s">
        <v>3084</v>
      </c>
      <c r="C518" s="1095">
        <v>7565.12</v>
      </c>
    </row>
    <row r="519" spans="1:3" x14ac:dyDescent="0.25">
      <c r="A519" s="1071">
        <v>95801</v>
      </c>
      <c r="B519" s="1071" t="s">
        <v>3085</v>
      </c>
      <c r="C519" s="1095">
        <v>492639.1</v>
      </c>
    </row>
    <row r="520" spans="1:3" x14ac:dyDescent="0.25">
      <c r="A520" s="1071">
        <v>95802</v>
      </c>
      <c r="B520" s="1071" t="s">
        <v>3086</v>
      </c>
      <c r="C520" s="1095">
        <v>5777.09</v>
      </c>
    </row>
    <row r="521" spans="1:3" x14ac:dyDescent="0.25">
      <c r="A521" s="1071">
        <v>95804</v>
      </c>
      <c r="B521" s="1071" t="s">
        <v>3087</v>
      </c>
      <c r="C521" s="1095">
        <v>7856.59</v>
      </c>
    </row>
    <row r="522" spans="1:3" x14ac:dyDescent="0.25">
      <c r="A522" s="1071">
        <v>95811</v>
      </c>
      <c r="B522" s="1071" t="s">
        <v>3088</v>
      </c>
      <c r="C522" s="1095">
        <v>262611.96000000002</v>
      </c>
    </row>
    <row r="523" spans="1:3" x14ac:dyDescent="0.25">
      <c r="A523" s="1071">
        <v>95813</v>
      </c>
      <c r="B523" s="1071" t="s">
        <v>3089</v>
      </c>
      <c r="C523" s="1095">
        <v>71429.14</v>
      </c>
    </row>
    <row r="524" spans="1:3" x14ac:dyDescent="0.25">
      <c r="A524" s="1071">
        <v>95821</v>
      </c>
      <c r="B524" s="1071" t="s">
        <v>3090</v>
      </c>
      <c r="C524" s="1095">
        <v>2011.84</v>
      </c>
    </row>
    <row r="525" spans="1:3" x14ac:dyDescent="0.25">
      <c r="A525" s="1071">
        <v>95831</v>
      </c>
      <c r="B525" s="1071" t="s">
        <v>3091</v>
      </c>
      <c r="C525" s="1095">
        <v>20645.45</v>
      </c>
    </row>
    <row r="526" spans="1:3" x14ac:dyDescent="0.25">
      <c r="A526" s="1071">
        <v>95841</v>
      </c>
      <c r="B526" s="1071" t="s">
        <v>3092</v>
      </c>
      <c r="C526" s="1095">
        <v>12838.9</v>
      </c>
    </row>
    <row r="527" spans="1:3" x14ac:dyDescent="0.25">
      <c r="A527" s="1071">
        <v>95851</v>
      </c>
      <c r="B527" s="1071" t="s">
        <v>3093</v>
      </c>
      <c r="C527" s="1095">
        <v>142997.09</v>
      </c>
    </row>
    <row r="528" spans="1:3" x14ac:dyDescent="0.25">
      <c r="A528" s="1071">
        <v>95853</v>
      </c>
      <c r="B528" s="1071" t="s">
        <v>3094</v>
      </c>
      <c r="C528" s="1095">
        <v>15957</v>
      </c>
    </row>
    <row r="529" spans="1:3" x14ac:dyDescent="0.25">
      <c r="A529" s="1071">
        <v>95901</v>
      </c>
      <c r="B529" s="1071" t="s">
        <v>3095</v>
      </c>
      <c r="C529" s="1095">
        <v>894780.33</v>
      </c>
    </row>
    <row r="530" spans="1:3" x14ac:dyDescent="0.25">
      <c r="A530" s="1071">
        <v>95908</v>
      </c>
      <c r="B530" s="1071" t="s">
        <v>3096</v>
      </c>
      <c r="C530" s="1095">
        <v>26699.759999999998</v>
      </c>
    </row>
    <row r="531" spans="1:3" x14ac:dyDescent="0.25">
      <c r="A531" s="1071">
        <v>95911</v>
      </c>
      <c r="B531" s="1071" t="s">
        <v>3097</v>
      </c>
      <c r="C531" s="1095">
        <v>256697.64</v>
      </c>
    </row>
    <row r="532" spans="1:3" x14ac:dyDescent="0.25">
      <c r="A532" s="1071">
        <v>95917</v>
      </c>
      <c r="B532" s="1071" t="s">
        <v>3098</v>
      </c>
      <c r="C532" s="1095">
        <v>11591.12</v>
      </c>
    </row>
    <row r="533" spans="1:3" x14ac:dyDescent="0.25">
      <c r="A533" s="1071">
        <v>95921</v>
      </c>
      <c r="B533" s="1071" t="s">
        <v>3099</v>
      </c>
      <c r="C533" s="1095">
        <v>25012.86</v>
      </c>
    </row>
    <row r="534" spans="1:3" x14ac:dyDescent="0.25">
      <c r="A534" s="1071">
        <v>96001</v>
      </c>
      <c r="B534" s="1071" t="s">
        <v>3100</v>
      </c>
      <c r="C534" s="1095">
        <v>21493968.41</v>
      </c>
    </row>
    <row r="535" spans="1:3" x14ac:dyDescent="0.25">
      <c r="A535" s="1071">
        <v>96003</v>
      </c>
      <c r="B535" s="1071" t="s">
        <v>3101</v>
      </c>
      <c r="C535" s="1095">
        <v>717558.55</v>
      </c>
    </row>
    <row r="536" spans="1:3" x14ac:dyDescent="0.25">
      <c r="A536" s="1071">
        <v>96004</v>
      </c>
      <c r="B536" s="1071" t="s">
        <v>3102</v>
      </c>
      <c r="C536" s="1095">
        <v>500331.48</v>
      </c>
    </row>
    <row r="537" spans="1:3" x14ac:dyDescent="0.25">
      <c r="A537" s="1071">
        <v>96005</v>
      </c>
      <c r="B537" s="1071" t="s">
        <v>3103</v>
      </c>
      <c r="C537" s="1095">
        <v>1319874.8400000001</v>
      </c>
    </row>
    <row r="538" spans="1:3" x14ac:dyDescent="0.25">
      <c r="A538" s="1071">
        <v>96008</v>
      </c>
      <c r="B538" s="1071" t="s">
        <v>3104</v>
      </c>
      <c r="C538" s="1095">
        <v>2319759.66</v>
      </c>
    </row>
    <row r="539" spans="1:3" x14ac:dyDescent="0.25">
      <c r="A539" s="1071">
        <v>96009</v>
      </c>
      <c r="B539" s="1071" t="s">
        <v>3105</v>
      </c>
      <c r="C539" s="1095">
        <v>213205.54</v>
      </c>
    </row>
    <row r="540" spans="1:3" x14ac:dyDescent="0.25">
      <c r="A540" s="1071">
        <v>96011</v>
      </c>
      <c r="B540" s="1071" t="s">
        <v>3106</v>
      </c>
      <c r="C540" s="1095">
        <v>30490654.809999999</v>
      </c>
    </row>
    <row r="541" spans="1:3" x14ac:dyDescent="0.25">
      <c r="A541" s="1071">
        <v>96012</v>
      </c>
      <c r="B541" s="1071" t="s">
        <v>3107</v>
      </c>
      <c r="C541" s="1095">
        <v>1227286.1100000001</v>
      </c>
    </row>
    <row r="542" spans="1:3" x14ac:dyDescent="0.25">
      <c r="A542" s="1071">
        <v>96018</v>
      </c>
      <c r="B542" s="1071" t="s">
        <v>3108</v>
      </c>
      <c r="C542" s="1095">
        <v>20816.02</v>
      </c>
    </row>
    <row r="543" spans="1:3" x14ac:dyDescent="0.25">
      <c r="A543" s="1071">
        <v>96021</v>
      </c>
      <c r="B543" s="1071" t="s">
        <v>3109</v>
      </c>
      <c r="C543" s="1095">
        <v>348072</v>
      </c>
    </row>
    <row r="544" spans="1:3" x14ac:dyDescent="0.25">
      <c r="A544" s="1071">
        <v>96031</v>
      </c>
      <c r="B544" s="1071" t="s">
        <v>3110</v>
      </c>
      <c r="C544" s="1095">
        <v>343067.94</v>
      </c>
    </row>
    <row r="545" spans="1:3" x14ac:dyDescent="0.25">
      <c r="A545" s="1071">
        <v>96041</v>
      </c>
      <c r="B545" s="1071" t="s">
        <v>3111</v>
      </c>
      <c r="C545" s="1095">
        <v>760331.49</v>
      </c>
    </row>
    <row r="546" spans="1:3" x14ac:dyDescent="0.25">
      <c r="A546" s="1071">
        <v>96051</v>
      </c>
      <c r="B546" s="1071" t="s">
        <v>3112</v>
      </c>
      <c r="C546" s="1095">
        <v>447496.18</v>
      </c>
    </row>
    <row r="547" spans="1:3" x14ac:dyDescent="0.25">
      <c r="A547" s="1071">
        <v>96061</v>
      </c>
      <c r="B547" s="1071" t="s">
        <v>3113</v>
      </c>
      <c r="C547" s="1095">
        <v>163295</v>
      </c>
    </row>
    <row r="548" spans="1:3" x14ac:dyDescent="0.25">
      <c r="A548" s="1071">
        <v>96071</v>
      </c>
      <c r="B548" s="1071" t="s">
        <v>3114</v>
      </c>
      <c r="C548" s="1095">
        <v>601187.62</v>
      </c>
    </row>
    <row r="549" spans="1:3" x14ac:dyDescent="0.25">
      <c r="A549" s="1071">
        <v>96081</v>
      </c>
      <c r="B549" s="1071" t="s">
        <v>3115</v>
      </c>
      <c r="C549" s="1095">
        <v>241286.98</v>
      </c>
    </row>
    <row r="550" spans="1:3" x14ac:dyDescent="0.25">
      <c r="A550" s="1071">
        <v>96101</v>
      </c>
      <c r="B550" s="1071" t="s">
        <v>3116</v>
      </c>
      <c r="C550" s="1095">
        <v>406062.02</v>
      </c>
    </row>
    <row r="551" spans="1:3" x14ac:dyDescent="0.25">
      <c r="A551" s="1071">
        <v>96102</v>
      </c>
      <c r="B551" s="1071" t="s">
        <v>3117</v>
      </c>
      <c r="C551" s="1095">
        <v>4192.87</v>
      </c>
    </row>
    <row r="552" spans="1:3" x14ac:dyDescent="0.25">
      <c r="A552" s="1071">
        <v>96111</v>
      </c>
      <c r="B552" s="1071" t="s">
        <v>3118</v>
      </c>
      <c r="C552" s="1095">
        <v>88704.74</v>
      </c>
    </row>
    <row r="553" spans="1:3" x14ac:dyDescent="0.25">
      <c r="A553" s="1071">
        <v>96121</v>
      </c>
      <c r="B553" s="1071" t="s">
        <v>3119</v>
      </c>
      <c r="C553" s="1095">
        <v>9550.99</v>
      </c>
    </row>
    <row r="554" spans="1:3" x14ac:dyDescent="0.25">
      <c r="A554" s="1071">
        <v>96201</v>
      </c>
      <c r="B554" s="1071" t="s">
        <v>3120</v>
      </c>
      <c r="C554" s="1095">
        <v>543344.09</v>
      </c>
    </row>
    <row r="555" spans="1:3" x14ac:dyDescent="0.25">
      <c r="A555" s="1071">
        <v>96204</v>
      </c>
      <c r="B555" s="1071" t="s">
        <v>3121</v>
      </c>
      <c r="C555" s="1095">
        <v>9259.8799999999992</v>
      </c>
    </row>
    <row r="556" spans="1:3" x14ac:dyDescent="0.25">
      <c r="A556" s="1071">
        <v>96211</v>
      </c>
      <c r="B556" s="1071" t="s">
        <v>3122</v>
      </c>
      <c r="C556" s="1095">
        <v>17551.46</v>
      </c>
    </row>
    <row r="557" spans="1:3" x14ac:dyDescent="0.25">
      <c r="A557" s="1071">
        <v>96221</v>
      </c>
      <c r="B557" s="1071" t="s">
        <v>3123</v>
      </c>
      <c r="C557" s="1095">
        <v>105993.03</v>
      </c>
    </row>
    <row r="558" spans="1:3" x14ac:dyDescent="0.25">
      <c r="A558" s="1071">
        <v>96231</v>
      </c>
      <c r="B558" s="1071" t="s">
        <v>3124</v>
      </c>
      <c r="C558" s="1095">
        <v>49677.440000000002</v>
      </c>
    </row>
    <row r="559" spans="1:3" x14ac:dyDescent="0.25">
      <c r="A559" s="1071">
        <v>96241</v>
      </c>
      <c r="B559" s="1071" t="s">
        <v>3125</v>
      </c>
      <c r="C559" s="1095">
        <v>23317.599999999999</v>
      </c>
    </row>
    <row r="560" spans="1:3" x14ac:dyDescent="0.25">
      <c r="A560" s="1071">
        <v>96251</v>
      </c>
      <c r="B560" s="1071" t="s">
        <v>3126</v>
      </c>
      <c r="C560" s="1095">
        <v>40415.919999999998</v>
      </c>
    </row>
    <row r="561" spans="1:3" x14ac:dyDescent="0.25">
      <c r="A561" s="1071">
        <v>96301</v>
      </c>
      <c r="B561" s="1071" t="s">
        <v>3127</v>
      </c>
      <c r="C561" s="1095">
        <v>2084751.76</v>
      </c>
    </row>
    <row r="562" spans="1:3" x14ac:dyDescent="0.25">
      <c r="A562" s="1071">
        <v>96302</v>
      </c>
      <c r="B562" s="1071" t="s">
        <v>3128</v>
      </c>
      <c r="C562" s="1095">
        <v>12087.69</v>
      </c>
    </row>
    <row r="563" spans="1:3" x14ac:dyDescent="0.25">
      <c r="A563" s="1071">
        <v>96304</v>
      </c>
      <c r="B563" s="1071" t="s">
        <v>3129</v>
      </c>
      <c r="C563" s="1095">
        <v>28971.4</v>
      </c>
    </row>
    <row r="564" spans="1:3" x14ac:dyDescent="0.25">
      <c r="A564" s="1071">
        <v>96305</v>
      </c>
      <c r="B564" s="1071" t="s">
        <v>3130</v>
      </c>
      <c r="C564" s="1095">
        <v>33688.550000000003</v>
      </c>
    </row>
    <row r="565" spans="1:3" x14ac:dyDescent="0.25">
      <c r="A565" s="1071">
        <v>96310</v>
      </c>
      <c r="B565" s="1071" t="s">
        <v>3131</v>
      </c>
      <c r="C565" s="1095">
        <v>29357.23</v>
      </c>
    </row>
    <row r="566" spans="1:3" x14ac:dyDescent="0.25">
      <c r="A566" s="1071">
        <v>96311</v>
      </c>
      <c r="B566" s="1071" t="s">
        <v>3132</v>
      </c>
      <c r="C566" s="1095">
        <v>609721.63</v>
      </c>
    </row>
    <row r="567" spans="1:3" x14ac:dyDescent="0.25">
      <c r="A567" s="1071">
        <v>96312</v>
      </c>
      <c r="B567" s="1071" t="s">
        <v>3133</v>
      </c>
      <c r="C567" s="1095">
        <v>3479.05</v>
      </c>
    </row>
    <row r="568" spans="1:3" x14ac:dyDescent="0.25">
      <c r="A568" s="1071">
        <v>96318</v>
      </c>
      <c r="B568" s="1071" t="s">
        <v>3134</v>
      </c>
      <c r="C568" s="1095">
        <v>1174353.58</v>
      </c>
    </row>
    <row r="569" spans="1:3" x14ac:dyDescent="0.25">
      <c r="A569" s="1071">
        <v>96321</v>
      </c>
      <c r="B569" s="1071" t="s">
        <v>3135</v>
      </c>
      <c r="C569" s="1095">
        <v>19104.939999999999</v>
      </c>
    </row>
    <row r="570" spans="1:3" x14ac:dyDescent="0.25">
      <c r="A570" s="1071">
        <v>96331</v>
      </c>
      <c r="B570" s="1071" t="s">
        <v>3136</v>
      </c>
      <c r="C570" s="1095">
        <v>302018.87</v>
      </c>
    </row>
    <row r="571" spans="1:3" x14ac:dyDescent="0.25">
      <c r="A571" s="1071">
        <v>96341</v>
      </c>
      <c r="B571" s="1071" t="s">
        <v>3137</v>
      </c>
      <c r="C571" s="1095">
        <v>41905.199999999997</v>
      </c>
    </row>
    <row r="572" spans="1:3" x14ac:dyDescent="0.25">
      <c r="A572" s="1071">
        <v>96351</v>
      </c>
      <c r="B572" s="1071" t="s">
        <v>3138</v>
      </c>
      <c r="C572" s="1095">
        <v>506250.23999999999</v>
      </c>
    </row>
    <row r="573" spans="1:3" x14ac:dyDescent="0.25">
      <c r="A573" s="1071">
        <v>96361</v>
      </c>
      <c r="B573" s="1071" t="s">
        <v>3139</v>
      </c>
      <c r="C573" s="1095">
        <v>26124</v>
      </c>
    </row>
    <row r="574" spans="1:3" x14ac:dyDescent="0.25">
      <c r="A574" s="1071">
        <v>96371</v>
      </c>
      <c r="B574" s="1071" t="s">
        <v>3140</v>
      </c>
      <c r="C574" s="1095">
        <v>71861.67</v>
      </c>
    </row>
    <row r="575" spans="1:3" x14ac:dyDescent="0.25">
      <c r="A575" s="1071">
        <v>96381</v>
      </c>
      <c r="B575" s="1071" t="s">
        <v>3141</v>
      </c>
      <c r="C575" s="1095">
        <v>16380.71</v>
      </c>
    </row>
    <row r="576" spans="1:3" x14ac:dyDescent="0.25">
      <c r="A576" s="1071">
        <v>96391</v>
      </c>
      <c r="B576" s="1071" t="s">
        <v>3142</v>
      </c>
      <c r="C576" s="1095">
        <v>82140.899999999994</v>
      </c>
    </row>
    <row r="577" spans="1:3" x14ac:dyDescent="0.25">
      <c r="A577" s="1071">
        <v>96401</v>
      </c>
      <c r="B577" s="1071" t="s">
        <v>3143</v>
      </c>
      <c r="C577" s="1095">
        <v>2141133.3199999998</v>
      </c>
    </row>
    <row r="578" spans="1:3" x14ac:dyDescent="0.25">
      <c r="A578" s="1071">
        <v>96404</v>
      </c>
      <c r="B578" s="1071" t="s">
        <v>3144</v>
      </c>
      <c r="C578" s="1095">
        <v>62860.89</v>
      </c>
    </row>
    <row r="579" spans="1:3" x14ac:dyDescent="0.25">
      <c r="A579" s="1071">
        <v>96405</v>
      </c>
      <c r="B579" s="1071" t="s">
        <v>3145</v>
      </c>
      <c r="C579" s="1095">
        <v>90010.86</v>
      </c>
    </row>
    <row r="580" spans="1:3" x14ac:dyDescent="0.25">
      <c r="A580" s="1071">
        <v>96411</v>
      </c>
      <c r="B580" s="1071" t="s">
        <v>3146</v>
      </c>
      <c r="C580" s="1095">
        <v>30766.53</v>
      </c>
    </row>
    <row r="581" spans="1:3" x14ac:dyDescent="0.25">
      <c r="A581" s="1071">
        <v>96421</v>
      </c>
      <c r="B581" s="1071" t="s">
        <v>3147</v>
      </c>
      <c r="C581" s="1095">
        <v>185496.66</v>
      </c>
    </row>
    <row r="582" spans="1:3" x14ac:dyDescent="0.25">
      <c r="A582" s="1071">
        <v>96431</v>
      </c>
      <c r="B582" s="1071" t="s">
        <v>3148</v>
      </c>
      <c r="C582" s="1095">
        <v>21848.79</v>
      </c>
    </row>
    <row r="583" spans="1:3" x14ac:dyDescent="0.25">
      <c r="A583" s="1071">
        <v>96441</v>
      </c>
      <c r="B583" s="1071" t="s">
        <v>3149</v>
      </c>
      <c r="C583" s="1095">
        <v>15351.51</v>
      </c>
    </row>
    <row r="584" spans="1:3" x14ac:dyDescent="0.25">
      <c r="A584" s="1071">
        <v>96451</v>
      </c>
      <c r="B584" s="1071" t="s">
        <v>3150</v>
      </c>
      <c r="C584" s="1095">
        <v>8535.73</v>
      </c>
    </row>
    <row r="585" spans="1:3" x14ac:dyDescent="0.25">
      <c r="A585" s="1071">
        <v>96461</v>
      </c>
      <c r="B585" s="1071" t="s">
        <v>3151</v>
      </c>
      <c r="C585" s="1095">
        <v>72030.850000000006</v>
      </c>
    </row>
    <row r="586" spans="1:3" x14ac:dyDescent="0.25">
      <c r="A586" s="1071">
        <v>96501</v>
      </c>
      <c r="B586" s="1071" t="s">
        <v>3152</v>
      </c>
      <c r="C586" s="1095">
        <v>6947458.8300000001</v>
      </c>
    </row>
    <row r="587" spans="1:3" x14ac:dyDescent="0.25">
      <c r="A587" s="1071">
        <v>96502</v>
      </c>
      <c r="B587" s="1071" t="s">
        <v>3153</v>
      </c>
      <c r="C587" s="1095">
        <v>215466.08</v>
      </c>
    </row>
    <row r="588" spans="1:3" x14ac:dyDescent="0.25">
      <c r="A588" s="1071">
        <v>96503</v>
      </c>
      <c r="B588" s="1071" t="s">
        <v>3589</v>
      </c>
      <c r="C588" s="1095">
        <v>320388.37</v>
      </c>
    </row>
    <row r="589" spans="1:3" x14ac:dyDescent="0.25">
      <c r="A589" s="1071">
        <v>96504</v>
      </c>
      <c r="B589" s="1071" t="s">
        <v>3155</v>
      </c>
      <c r="C589" s="1095">
        <v>206958.64</v>
      </c>
    </row>
    <row r="590" spans="1:3" x14ac:dyDescent="0.25">
      <c r="A590" s="1071">
        <v>96507</v>
      </c>
      <c r="B590" s="1071" t="s">
        <v>3156</v>
      </c>
      <c r="C590" s="1095">
        <v>1125154.73</v>
      </c>
    </row>
    <row r="591" spans="1:3" x14ac:dyDescent="0.25">
      <c r="A591" s="1071">
        <v>96508</v>
      </c>
      <c r="B591" s="1071" t="s">
        <v>3157</v>
      </c>
      <c r="C591" s="1095">
        <v>11724.36</v>
      </c>
    </row>
    <row r="592" spans="1:3" x14ac:dyDescent="0.25">
      <c r="A592" s="1071">
        <v>96511</v>
      </c>
      <c r="B592" s="1071" t="s">
        <v>3158</v>
      </c>
      <c r="C592" s="1095">
        <v>294294.28000000003</v>
      </c>
    </row>
    <row r="593" spans="1:3" x14ac:dyDescent="0.25">
      <c r="A593" s="1071">
        <v>96512</v>
      </c>
      <c r="B593" s="1071" t="s">
        <v>3159</v>
      </c>
      <c r="C593" s="1095">
        <v>79724.990000000005</v>
      </c>
    </row>
    <row r="594" spans="1:3" x14ac:dyDescent="0.25">
      <c r="A594" s="1097" t="s">
        <v>4082</v>
      </c>
      <c r="B594" s="1071" t="s">
        <v>4478</v>
      </c>
      <c r="C594" s="1095">
        <v>0</v>
      </c>
    </row>
    <row r="595" spans="1:3" x14ac:dyDescent="0.25">
      <c r="A595" s="1071">
        <v>96521</v>
      </c>
      <c r="B595" s="1071" t="s">
        <v>3161</v>
      </c>
      <c r="C595" s="1095">
        <v>427905.03</v>
      </c>
    </row>
    <row r="596" spans="1:3" x14ac:dyDescent="0.25">
      <c r="A596" s="1071">
        <v>96531</v>
      </c>
      <c r="B596" s="1071" t="s">
        <v>3162</v>
      </c>
      <c r="C596" s="1095">
        <v>4035511.38</v>
      </c>
    </row>
    <row r="597" spans="1:3" x14ac:dyDescent="0.25">
      <c r="A597" s="1071">
        <v>96541</v>
      </c>
      <c r="B597" s="1071" t="s">
        <v>3163</v>
      </c>
      <c r="C597" s="1095">
        <v>170179.71</v>
      </c>
    </row>
    <row r="598" spans="1:3" x14ac:dyDescent="0.25">
      <c r="A598" s="1071">
        <v>96601</v>
      </c>
      <c r="B598" s="1071" t="s">
        <v>3164</v>
      </c>
      <c r="C598" s="1095">
        <v>825607.21</v>
      </c>
    </row>
    <row r="599" spans="1:3" x14ac:dyDescent="0.25">
      <c r="A599" s="1071">
        <v>96604</v>
      </c>
      <c r="B599" s="1071" t="s">
        <v>3165</v>
      </c>
      <c r="C599" s="1095">
        <v>4896.1499999999996</v>
      </c>
    </row>
    <row r="600" spans="1:3" x14ac:dyDescent="0.25">
      <c r="A600" s="1071">
        <v>96611</v>
      </c>
      <c r="B600" s="1071" t="s">
        <v>3166</v>
      </c>
      <c r="C600" s="1095">
        <v>12911.22</v>
      </c>
    </row>
    <row r="601" spans="1:3" x14ac:dyDescent="0.25">
      <c r="A601" s="1071">
        <v>96612</v>
      </c>
      <c r="B601" s="1071" t="s">
        <v>3167</v>
      </c>
      <c r="C601" s="1095">
        <v>31707.24</v>
      </c>
    </row>
    <row r="602" spans="1:3" x14ac:dyDescent="0.25">
      <c r="A602" s="1071">
        <v>96621</v>
      </c>
      <c r="B602" s="1071" t="s">
        <v>3168</v>
      </c>
      <c r="C602" s="1095">
        <v>12605.04</v>
      </c>
    </row>
    <row r="603" spans="1:3" x14ac:dyDescent="0.25">
      <c r="A603" s="1071">
        <v>96631</v>
      </c>
      <c r="B603" s="1071" t="s">
        <v>3169</v>
      </c>
      <c r="C603" s="1095">
        <v>12532.91</v>
      </c>
    </row>
    <row r="604" spans="1:3" x14ac:dyDescent="0.25">
      <c r="A604" s="1071">
        <v>96641</v>
      </c>
      <c r="B604" s="1071" t="s">
        <v>3170</v>
      </c>
      <c r="C604" s="1095">
        <v>22010.240000000002</v>
      </c>
    </row>
    <row r="605" spans="1:3" x14ac:dyDescent="0.25">
      <c r="A605" s="1071">
        <v>96651</v>
      </c>
      <c r="B605" s="1071" t="s">
        <v>3171</v>
      </c>
      <c r="C605" s="1095">
        <v>9566.34</v>
      </c>
    </row>
    <row r="606" spans="1:3" x14ac:dyDescent="0.25">
      <c r="A606" s="1071">
        <v>96661</v>
      </c>
      <c r="B606" s="1071" t="s">
        <v>3172</v>
      </c>
      <c r="C606" s="1095">
        <v>10878.91</v>
      </c>
    </row>
    <row r="607" spans="1:3" x14ac:dyDescent="0.25">
      <c r="A607" s="1071">
        <v>96671</v>
      </c>
      <c r="B607" s="1071" t="s">
        <v>3173</v>
      </c>
      <c r="C607" s="1095">
        <v>8886.56</v>
      </c>
    </row>
    <row r="608" spans="1:3" x14ac:dyDescent="0.25">
      <c r="A608" s="1071">
        <v>96681</v>
      </c>
      <c r="B608" s="1071" t="s">
        <v>3174</v>
      </c>
      <c r="C608" s="1095">
        <v>15491.97</v>
      </c>
    </row>
    <row r="609" spans="1:3" x14ac:dyDescent="0.25">
      <c r="A609" s="1071">
        <v>96701</v>
      </c>
      <c r="B609" s="1071" t="s">
        <v>3175</v>
      </c>
      <c r="C609" s="1095">
        <v>3929619.07</v>
      </c>
    </row>
    <row r="610" spans="1:3" x14ac:dyDescent="0.25">
      <c r="A610" s="1071">
        <v>96704</v>
      </c>
      <c r="B610" s="1071" t="s">
        <v>3176</v>
      </c>
      <c r="C610" s="1095">
        <v>106960.89</v>
      </c>
    </row>
    <row r="611" spans="1:3" x14ac:dyDescent="0.25">
      <c r="A611" s="1071">
        <v>96708</v>
      </c>
      <c r="B611" s="1071" t="s">
        <v>3177</v>
      </c>
      <c r="C611" s="1095">
        <v>480567.68</v>
      </c>
    </row>
    <row r="612" spans="1:3" x14ac:dyDescent="0.25">
      <c r="A612" s="1071">
        <v>96711</v>
      </c>
      <c r="B612" s="1071" t="s">
        <v>3178</v>
      </c>
      <c r="C612" s="1095">
        <v>1894102.22</v>
      </c>
    </row>
    <row r="613" spans="1:3" x14ac:dyDescent="0.25">
      <c r="A613" s="1071">
        <v>96721</v>
      </c>
      <c r="B613" s="1071" t="s">
        <v>3179</v>
      </c>
      <c r="C613" s="1095">
        <v>104621.36</v>
      </c>
    </row>
    <row r="614" spans="1:3" x14ac:dyDescent="0.25">
      <c r="A614" s="1071">
        <v>96731</v>
      </c>
      <c r="B614" s="1071" t="s">
        <v>3180</v>
      </c>
      <c r="C614" s="1095">
        <v>80631.55</v>
      </c>
    </row>
    <row r="615" spans="1:3" x14ac:dyDescent="0.25">
      <c r="A615" s="1071">
        <v>96733</v>
      </c>
      <c r="B615" s="1071" t="s">
        <v>3181</v>
      </c>
      <c r="C615" s="1095">
        <v>4498.5200000000004</v>
      </c>
    </row>
    <row r="616" spans="1:3" x14ac:dyDescent="0.25">
      <c r="A616" s="1071">
        <v>96741</v>
      </c>
      <c r="B616" s="1071" t="s">
        <v>3182</v>
      </c>
      <c r="C616" s="1095">
        <v>44667.78</v>
      </c>
    </row>
    <row r="617" spans="1:3" x14ac:dyDescent="0.25">
      <c r="A617" s="1071">
        <v>96751</v>
      </c>
      <c r="B617" s="1071" t="s">
        <v>3183</v>
      </c>
      <c r="C617" s="1095">
        <v>119909.43</v>
      </c>
    </row>
    <row r="618" spans="1:3" x14ac:dyDescent="0.25">
      <c r="A618" s="1071">
        <v>96801</v>
      </c>
      <c r="B618" s="1071" t="s">
        <v>3184</v>
      </c>
      <c r="C618" s="1095">
        <v>3782424.64</v>
      </c>
    </row>
    <row r="619" spans="1:3" x14ac:dyDescent="0.25">
      <c r="A619" s="1071">
        <v>96804</v>
      </c>
      <c r="B619" s="1071" t="s">
        <v>3185</v>
      </c>
      <c r="C619" s="1095">
        <v>109632.67</v>
      </c>
    </row>
    <row r="620" spans="1:3" x14ac:dyDescent="0.25">
      <c r="A620" s="1071">
        <v>96808</v>
      </c>
      <c r="B620" s="1071" t="s">
        <v>3186</v>
      </c>
      <c r="C620" s="1095">
        <v>612313.68999999994</v>
      </c>
    </row>
    <row r="621" spans="1:3" x14ac:dyDescent="0.25">
      <c r="A621" s="1071">
        <v>96811</v>
      </c>
      <c r="B621" s="1071" t="s">
        <v>3187</v>
      </c>
      <c r="C621" s="1095">
        <v>2828120.43</v>
      </c>
    </row>
    <row r="622" spans="1:3" x14ac:dyDescent="0.25">
      <c r="A622" s="1071">
        <v>96821</v>
      </c>
      <c r="B622" s="1071" t="s">
        <v>3188</v>
      </c>
      <c r="C622" s="1095">
        <v>606075.74</v>
      </c>
    </row>
    <row r="623" spans="1:3" x14ac:dyDescent="0.25">
      <c r="A623" s="1071">
        <v>96831</v>
      </c>
      <c r="B623" s="1071" t="s">
        <v>3189</v>
      </c>
      <c r="C623" s="1095">
        <v>437767.04</v>
      </c>
    </row>
    <row r="624" spans="1:3" x14ac:dyDescent="0.25">
      <c r="A624" s="1071">
        <v>96901</v>
      </c>
      <c r="B624" s="1071" t="s">
        <v>3190</v>
      </c>
      <c r="C624" s="1095">
        <v>449406.94</v>
      </c>
    </row>
    <row r="625" spans="1:3" x14ac:dyDescent="0.25">
      <c r="A625" s="1071">
        <v>96911</v>
      </c>
      <c r="B625" s="1071" t="s">
        <v>3191</v>
      </c>
      <c r="C625" s="1095">
        <v>2452.13</v>
      </c>
    </row>
    <row r="626" spans="1:3" x14ac:dyDescent="0.25">
      <c r="A626" s="1071">
        <v>96912</v>
      </c>
      <c r="B626" s="1071" t="s">
        <v>3192</v>
      </c>
      <c r="C626" s="1095">
        <v>26729.279999999999</v>
      </c>
    </row>
    <row r="627" spans="1:3" x14ac:dyDescent="0.25">
      <c r="A627" s="1071">
        <v>96918</v>
      </c>
      <c r="B627" s="1071" t="s">
        <v>3193</v>
      </c>
      <c r="C627" s="1095">
        <v>16749.66</v>
      </c>
    </row>
    <row r="628" spans="1:3" x14ac:dyDescent="0.25">
      <c r="A628" s="1071">
        <v>97001</v>
      </c>
      <c r="B628" s="1071" t="s">
        <v>3194</v>
      </c>
      <c r="C628" s="1095">
        <v>742552.9</v>
      </c>
    </row>
    <row r="629" spans="1:3" x14ac:dyDescent="0.25">
      <c r="A629" s="1071">
        <v>97002</v>
      </c>
      <c r="B629" s="1071" t="s">
        <v>3195</v>
      </c>
      <c r="C629" s="1095">
        <v>185928.29</v>
      </c>
    </row>
    <row r="630" spans="1:3" x14ac:dyDescent="0.25">
      <c r="A630" s="1071">
        <v>97004</v>
      </c>
      <c r="B630" s="1071" t="s">
        <v>3196</v>
      </c>
      <c r="C630" s="1095">
        <v>8806.36</v>
      </c>
    </row>
    <row r="631" spans="1:3" x14ac:dyDescent="0.25">
      <c r="A631" s="1071">
        <v>97005</v>
      </c>
      <c r="B631" s="1071" t="s">
        <v>3197</v>
      </c>
      <c r="C631" s="1095">
        <v>14967.8</v>
      </c>
    </row>
    <row r="632" spans="1:3" x14ac:dyDescent="0.25">
      <c r="A632" s="1071">
        <v>97008</v>
      </c>
      <c r="B632" s="1071" t="s">
        <v>3198</v>
      </c>
      <c r="C632" s="1095">
        <v>139745.68</v>
      </c>
    </row>
    <row r="633" spans="1:3" x14ac:dyDescent="0.25">
      <c r="A633" s="1071">
        <v>97011</v>
      </c>
      <c r="B633" s="1071" t="s">
        <v>3200</v>
      </c>
      <c r="C633" s="1095">
        <v>918572.95</v>
      </c>
    </row>
    <row r="634" spans="1:3" x14ac:dyDescent="0.25">
      <c r="A634" s="1071">
        <v>97012</v>
      </c>
      <c r="B634" s="1071" t="s">
        <v>3201</v>
      </c>
      <c r="C634" s="1095">
        <v>18023.54</v>
      </c>
    </row>
    <row r="635" spans="1:3" x14ac:dyDescent="0.25">
      <c r="A635" s="1071">
        <v>97013</v>
      </c>
      <c r="B635" s="1071" t="s">
        <v>3202</v>
      </c>
      <c r="C635" s="1095">
        <v>11938.57</v>
      </c>
    </row>
    <row r="636" spans="1:3" x14ac:dyDescent="0.25">
      <c r="A636" s="1071">
        <v>97015</v>
      </c>
      <c r="B636" s="1071" t="s">
        <v>3203</v>
      </c>
      <c r="C636" s="1095">
        <v>25312.84</v>
      </c>
    </row>
    <row r="637" spans="1:3" x14ac:dyDescent="0.25">
      <c r="A637" s="1071">
        <v>97018</v>
      </c>
      <c r="B637" s="1071" t="s">
        <v>3204</v>
      </c>
      <c r="C637" s="1095">
        <v>8583.6</v>
      </c>
    </row>
    <row r="638" spans="1:3" x14ac:dyDescent="0.25">
      <c r="A638" s="1071">
        <v>97101</v>
      </c>
      <c r="B638" s="1071" t="s">
        <v>3205</v>
      </c>
      <c r="C638" s="1095">
        <v>1330859.4099999999</v>
      </c>
    </row>
    <row r="639" spans="1:3" x14ac:dyDescent="0.25">
      <c r="A639" s="1071">
        <v>97104</v>
      </c>
      <c r="B639" s="1071" t="s">
        <v>3206</v>
      </c>
      <c r="C639" s="1095">
        <v>32872.47</v>
      </c>
    </row>
    <row r="640" spans="1:3" x14ac:dyDescent="0.25">
      <c r="A640" s="1071">
        <v>97111</v>
      </c>
      <c r="B640" s="1071" t="s">
        <v>3207</v>
      </c>
      <c r="C640" s="1095">
        <v>129965.59</v>
      </c>
    </row>
    <row r="641" spans="1:3" x14ac:dyDescent="0.25">
      <c r="A641" s="1071">
        <v>97121</v>
      </c>
      <c r="B641" s="1071" t="s">
        <v>3208</v>
      </c>
      <c r="C641" s="1095">
        <v>76175.850000000006</v>
      </c>
    </row>
    <row r="642" spans="1:3" x14ac:dyDescent="0.25">
      <c r="A642" s="1071">
        <v>97131</v>
      </c>
      <c r="B642" s="1071" t="s">
        <v>3209</v>
      </c>
      <c r="C642" s="1095">
        <v>265411.49</v>
      </c>
    </row>
    <row r="643" spans="1:3" x14ac:dyDescent="0.25">
      <c r="A643" s="1071">
        <v>97201</v>
      </c>
      <c r="B643" s="1071" t="s">
        <v>3210</v>
      </c>
      <c r="C643" s="1095">
        <v>262236.90999999997</v>
      </c>
    </row>
    <row r="644" spans="1:3" x14ac:dyDescent="0.25">
      <c r="A644" s="1071">
        <v>97211</v>
      </c>
      <c r="B644" s="1071" t="s">
        <v>3211</v>
      </c>
      <c r="C644" s="1095">
        <v>77866.37</v>
      </c>
    </row>
    <row r="645" spans="1:3" x14ac:dyDescent="0.25">
      <c r="A645" s="1071">
        <v>97213</v>
      </c>
      <c r="B645" s="1071" t="s">
        <v>3212</v>
      </c>
      <c r="C645" s="1095">
        <v>21662.31</v>
      </c>
    </row>
    <row r="646" spans="1:3" x14ac:dyDescent="0.25">
      <c r="A646" s="1071">
        <v>97217</v>
      </c>
      <c r="B646" s="1071" t="s">
        <v>3213</v>
      </c>
      <c r="C646" s="1095">
        <v>6450.3</v>
      </c>
    </row>
    <row r="647" spans="1:3" x14ac:dyDescent="0.25">
      <c r="A647" s="1071">
        <v>97221</v>
      </c>
      <c r="B647" s="1071" t="s">
        <v>3214</v>
      </c>
      <c r="C647" s="1095">
        <v>6192.47</v>
      </c>
    </row>
    <row r="648" spans="1:3" x14ac:dyDescent="0.25">
      <c r="A648" s="1071">
        <v>97301</v>
      </c>
      <c r="B648" s="1071" t="s">
        <v>3215</v>
      </c>
      <c r="C648" s="1095">
        <v>1231027.8799999999</v>
      </c>
    </row>
    <row r="649" spans="1:3" x14ac:dyDescent="0.25">
      <c r="A649" s="1071">
        <v>97304</v>
      </c>
      <c r="B649" s="1071" t="s">
        <v>3216</v>
      </c>
      <c r="C649" s="1095">
        <v>13751.59</v>
      </c>
    </row>
    <row r="650" spans="1:3" x14ac:dyDescent="0.25">
      <c r="A650" s="1071">
        <v>97311</v>
      </c>
      <c r="B650" s="1071" t="s">
        <v>3217</v>
      </c>
      <c r="C650" s="1095">
        <v>427971.84000000003</v>
      </c>
    </row>
    <row r="651" spans="1:3" x14ac:dyDescent="0.25">
      <c r="A651" s="1071">
        <v>97401</v>
      </c>
      <c r="B651" s="1071" t="s">
        <v>3218</v>
      </c>
      <c r="C651" s="1095">
        <v>3585248.73</v>
      </c>
    </row>
    <row r="652" spans="1:3" x14ac:dyDescent="0.25">
      <c r="A652" s="1071">
        <v>97402</v>
      </c>
      <c r="B652" s="1071" t="s">
        <v>3219</v>
      </c>
      <c r="C652" s="1095">
        <v>26436.66</v>
      </c>
    </row>
    <row r="653" spans="1:3" x14ac:dyDescent="0.25">
      <c r="A653" s="1071">
        <v>97404</v>
      </c>
      <c r="B653" s="1071" t="s">
        <v>3220</v>
      </c>
      <c r="C653" s="1095">
        <v>90667.81</v>
      </c>
    </row>
    <row r="654" spans="1:3" x14ac:dyDescent="0.25">
      <c r="A654" s="1071">
        <v>97405</v>
      </c>
      <c r="B654" s="1071" t="s">
        <v>3221</v>
      </c>
      <c r="C654" s="1095">
        <v>71138.850000000006</v>
      </c>
    </row>
    <row r="655" spans="1:3" x14ac:dyDescent="0.25">
      <c r="A655" s="1071">
        <v>97408</v>
      </c>
      <c r="B655" s="1071" t="s">
        <v>3222</v>
      </c>
      <c r="C655" s="1095">
        <v>25129.97</v>
      </c>
    </row>
    <row r="656" spans="1:3" x14ac:dyDescent="0.25">
      <c r="A656" s="1071">
        <v>97411</v>
      </c>
      <c r="B656" s="1071" t="s">
        <v>3223</v>
      </c>
      <c r="C656" s="1095">
        <v>3028532.57</v>
      </c>
    </row>
    <row r="657" spans="1:3" x14ac:dyDescent="0.25">
      <c r="A657" s="1071">
        <v>97412</v>
      </c>
      <c r="B657" s="1071" t="s">
        <v>3224</v>
      </c>
      <c r="C657" s="1095">
        <v>2270407.41</v>
      </c>
    </row>
    <row r="658" spans="1:3" x14ac:dyDescent="0.25">
      <c r="A658" s="1071">
        <v>97413</v>
      </c>
      <c r="B658" s="1071" t="s">
        <v>3225</v>
      </c>
      <c r="C658" s="1095">
        <v>148219.56</v>
      </c>
    </row>
    <row r="659" spans="1:3" x14ac:dyDescent="0.25">
      <c r="A659" s="1071">
        <v>97421</v>
      </c>
      <c r="B659" s="1071" t="s">
        <v>3226</v>
      </c>
      <c r="C659" s="1095">
        <v>210610.72</v>
      </c>
    </row>
    <row r="660" spans="1:3" x14ac:dyDescent="0.25">
      <c r="A660" s="1071">
        <v>97423</v>
      </c>
      <c r="B660" s="1071" t="s">
        <v>3227</v>
      </c>
      <c r="C660" s="1095">
        <v>40514.76</v>
      </c>
    </row>
    <row r="661" spans="1:3" x14ac:dyDescent="0.25">
      <c r="A661" s="1071">
        <v>97431</v>
      </c>
      <c r="B661" s="1071" t="s">
        <v>3228</v>
      </c>
      <c r="C661" s="1095">
        <v>50715.32</v>
      </c>
    </row>
    <row r="662" spans="1:3" x14ac:dyDescent="0.25">
      <c r="A662" s="1071">
        <v>97441</v>
      </c>
      <c r="B662" s="1071" t="s">
        <v>3229</v>
      </c>
      <c r="C662" s="1095">
        <v>21551.56</v>
      </c>
    </row>
    <row r="663" spans="1:3" x14ac:dyDescent="0.25">
      <c r="A663" s="1071">
        <v>97451</v>
      </c>
      <c r="B663" s="1071" t="s">
        <v>3230</v>
      </c>
      <c r="C663" s="1095">
        <v>257107.71</v>
      </c>
    </row>
    <row r="664" spans="1:3" x14ac:dyDescent="0.25">
      <c r="A664" s="1097" t="s">
        <v>4274</v>
      </c>
      <c r="B664" s="1071" t="s">
        <v>3231</v>
      </c>
      <c r="C664" s="1095">
        <v>234518.87</v>
      </c>
    </row>
    <row r="665" spans="1:3" x14ac:dyDescent="0.25">
      <c r="A665" s="1097" t="s">
        <v>4276</v>
      </c>
      <c r="B665" s="1071" t="s">
        <v>3232</v>
      </c>
      <c r="C665" s="1095">
        <v>8702.26</v>
      </c>
    </row>
    <row r="666" spans="1:3" x14ac:dyDescent="0.25">
      <c r="A666" s="1097">
        <v>97461</v>
      </c>
      <c r="B666" s="1071" t="s">
        <v>3231</v>
      </c>
      <c r="C666" s="1095">
        <f>SUM(C664:C665)</f>
        <v>243221.13</v>
      </c>
    </row>
    <row r="667" spans="1:3" x14ac:dyDescent="0.25">
      <c r="A667" s="1071">
        <v>97471</v>
      </c>
      <c r="B667" s="1071" t="s">
        <v>3233</v>
      </c>
      <c r="C667" s="1095">
        <v>12311.93</v>
      </c>
    </row>
    <row r="668" spans="1:3" x14ac:dyDescent="0.25">
      <c r="A668" s="1071">
        <v>97481</v>
      </c>
      <c r="B668" s="1071" t="s">
        <v>3234</v>
      </c>
      <c r="C668" s="1095">
        <v>4407.68</v>
      </c>
    </row>
    <row r="669" spans="1:3" x14ac:dyDescent="0.25">
      <c r="A669" s="1071">
        <v>97501</v>
      </c>
      <c r="B669" s="1071" t="s">
        <v>3236</v>
      </c>
      <c r="C669" s="1095">
        <v>543678.36</v>
      </c>
    </row>
    <row r="670" spans="1:3" x14ac:dyDescent="0.25">
      <c r="A670" s="1071">
        <v>97511</v>
      </c>
      <c r="B670" s="1071" t="s">
        <v>3237</v>
      </c>
      <c r="C670" s="1095">
        <v>102058.77</v>
      </c>
    </row>
    <row r="671" spans="1:3" x14ac:dyDescent="0.25">
      <c r="A671" s="1071">
        <v>97521</v>
      </c>
      <c r="B671" s="1071" t="s">
        <v>3238</v>
      </c>
      <c r="C671" s="1095">
        <v>58326.6</v>
      </c>
    </row>
    <row r="672" spans="1:3" x14ac:dyDescent="0.25">
      <c r="A672" s="1071">
        <v>97527</v>
      </c>
      <c r="B672" s="1071" t="s">
        <v>3877</v>
      </c>
      <c r="C672" s="1095">
        <v>3761.73</v>
      </c>
    </row>
    <row r="673" spans="1:3" x14ac:dyDescent="0.25">
      <c r="A673" s="1071">
        <v>97531</v>
      </c>
      <c r="B673" s="1071" t="s">
        <v>3239</v>
      </c>
      <c r="C673" s="1095">
        <v>29948.85</v>
      </c>
    </row>
    <row r="674" spans="1:3" x14ac:dyDescent="0.25">
      <c r="A674" s="1071">
        <v>97601</v>
      </c>
      <c r="B674" s="1071" t="s">
        <v>3240</v>
      </c>
      <c r="C674" s="1095">
        <v>2483068.88</v>
      </c>
    </row>
    <row r="675" spans="1:3" x14ac:dyDescent="0.25">
      <c r="A675" s="1071">
        <v>97607</v>
      </c>
      <c r="B675" s="1071" t="s">
        <v>3241</v>
      </c>
      <c r="C675" s="1095">
        <v>18882.38</v>
      </c>
    </row>
    <row r="676" spans="1:3" x14ac:dyDescent="0.25">
      <c r="A676" s="1071">
        <v>97611</v>
      </c>
      <c r="B676" s="1071" t="s">
        <v>3242</v>
      </c>
      <c r="C676" s="1095">
        <v>1130810.3999999999</v>
      </c>
    </row>
    <row r="677" spans="1:3" x14ac:dyDescent="0.25">
      <c r="A677" s="1071">
        <v>97613</v>
      </c>
      <c r="B677" s="1071" t="s">
        <v>3243</v>
      </c>
      <c r="C677" s="1095">
        <v>63111.42</v>
      </c>
    </row>
    <row r="678" spans="1:3" x14ac:dyDescent="0.25">
      <c r="A678" s="1071">
        <v>97621</v>
      </c>
      <c r="B678" s="1071" t="s">
        <v>3244</v>
      </c>
      <c r="C678" s="1095">
        <v>187775.93</v>
      </c>
    </row>
    <row r="679" spans="1:3" x14ac:dyDescent="0.25">
      <c r="A679" s="1071">
        <v>97623</v>
      </c>
      <c r="B679" s="1071" t="s">
        <v>3245</v>
      </c>
      <c r="C679" s="1095">
        <v>11408.9</v>
      </c>
    </row>
    <row r="680" spans="1:3" x14ac:dyDescent="0.25">
      <c r="A680" s="1071">
        <v>97627</v>
      </c>
      <c r="B680" s="1071" t="s">
        <v>3246</v>
      </c>
      <c r="C680" s="1095">
        <v>5463.33</v>
      </c>
    </row>
    <row r="681" spans="1:3" x14ac:dyDescent="0.25">
      <c r="A681" s="1071">
        <v>97631</v>
      </c>
      <c r="B681" s="1071" t="s">
        <v>3247</v>
      </c>
      <c r="C681" s="1095">
        <v>92382.77</v>
      </c>
    </row>
    <row r="682" spans="1:3" x14ac:dyDescent="0.25">
      <c r="A682" s="1071">
        <v>97637</v>
      </c>
      <c r="B682" s="1071" t="s">
        <v>3248</v>
      </c>
      <c r="C682" s="1095">
        <v>3307.56</v>
      </c>
    </row>
    <row r="683" spans="1:3" x14ac:dyDescent="0.25">
      <c r="A683" s="1071">
        <v>97641</v>
      </c>
      <c r="B683" s="1071" t="s">
        <v>3249</v>
      </c>
      <c r="C683" s="1095">
        <v>30439.01</v>
      </c>
    </row>
    <row r="684" spans="1:3" x14ac:dyDescent="0.25">
      <c r="A684" s="1071">
        <v>97651</v>
      </c>
      <c r="B684" s="1071" t="s">
        <v>3250</v>
      </c>
      <c r="C684" s="1095">
        <v>232693.75</v>
      </c>
    </row>
    <row r="685" spans="1:3" x14ac:dyDescent="0.25">
      <c r="A685" s="1071">
        <v>97661</v>
      </c>
      <c r="B685" s="1071" t="s">
        <v>3251</v>
      </c>
      <c r="C685" s="1095">
        <v>25899.94</v>
      </c>
    </row>
    <row r="686" spans="1:3" x14ac:dyDescent="0.25">
      <c r="A686" s="1071">
        <v>97701</v>
      </c>
      <c r="B686" s="1071" t="s">
        <v>3252</v>
      </c>
      <c r="C686" s="1095">
        <v>1244784.92</v>
      </c>
    </row>
    <row r="687" spans="1:3" x14ac:dyDescent="0.25">
      <c r="A687" s="1071">
        <v>97705</v>
      </c>
      <c r="B687" s="1071" t="s">
        <v>3253</v>
      </c>
      <c r="C687" s="1095">
        <v>23599.25</v>
      </c>
    </row>
    <row r="688" spans="1:3" x14ac:dyDescent="0.25">
      <c r="A688" s="1071">
        <v>97711</v>
      </c>
      <c r="B688" s="1071" t="s">
        <v>3254</v>
      </c>
      <c r="C688" s="1095">
        <v>457009.62</v>
      </c>
    </row>
    <row r="689" spans="1:3" x14ac:dyDescent="0.25">
      <c r="A689" s="1071">
        <v>97713</v>
      </c>
      <c r="B689" s="1071" t="s">
        <v>3255</v>
      </c>
      <c r="C689" s="1095">
        <v>21943.34</v>
      </c>
    </row>
    <row r="690" spans="1:3" x14ac:dyDescent="0.25">
      <c r="A690" s="1071">
        <v>97717</v>
      </c>
      <c r="B690" s="1071" t="s">
        <v>3256</v>
      </c>
      <c r="C690" s="1095">
        <v>2473.4699999999998</v>
      </c>
    </row>
    <row r="691" spans="1:3" x14ac:dyDescent="0.25">
      <c r="A691" s="1071">
        <v>97721</v>
      </c>
      <c r="B691" s="1071" t="s">
        <v>3257</v>
      </c>
      <c r="C691" s="1095">
        <v>271324.76</v>
      </c>
    </row>
    <row r="692" spans="1:3" x14ac:dyDescent="0.25">
      <c r="A692" s="1071">
        <v>97727</v>
      </c>
      <c r="B692" s="1071" t="s">
        <v>3258</v>
      </c>
      <c r="C692" s="1095">
        <v>11178.52</v>
      </c>
    </row>
    <row r="693" spans="1:3" x14ac:dyDescent="0.25">
      <c r="A693" s="1071">
        <v>97731</v>
      </c>
      <c r="B693" s="1071" t="s">
        <v>3259</v>
      </c>
      <c r="C693" s="1095">
        <v>19915.73</v>
      </c>
    </row>
    <row r="694" spans="1:3" x14ac:dyDescent="0.25">
      <c r="A694" s="1071">
        <v>97801</v>
      </c>
      <c r="B694" s="1071" t="s">
        <v>3590</v>
      </c>
      <c r="C694" s="1095">
        <v>3252423.91</v>
      </c>
    </row>
    <row r="695" spans="1:3" x14ac:dyDescent="0.25">
      <c r="A695" s="1071">
        <v>97802</v>
      </c>
      <c r="B695" s="1071" t="s">
        <v>3261</v>
      </c>
      <c r="C695" s="1095">
        <v>84582.720000000001</v>
      </c>
    </row>
    <row r="696" spans="1:3" x14ac:dyDescent="0.25">
      <c r="A696" s="1071">
        <v>97803</v>
      </c>
      <c r="B696" s="1071" t="s">
        <v>3262</v>
      </c>
      <c r="C696" s="1095">
        <v>39273.5</v>
      </c>
    </row>
    <row r="697" spans="1:3" x14ac:dyDescent="0.25">
      <c r="A697" s="1071">
        <v>97805</v>
      </c>
      <c r="B697" s="1071" t="s">
        <v>3263</v>
      </c>
      <c r="C697" s="1095">
        <v>42170.28</v>
      </c>
    </row>
    <row r="698" spans="1:3" x14ac:dyDescent="0.25">
      <c r="A698" s="1071">
        <v>97811</v>
      </c>
      <c r="B698" s="1071" t="s">
        <v>3264</v>
      </c>
      <c r="C698" s="1095">
        <v>1170323.8600000001</v>
      </c>
    </row>
    <row r="699" spans="1:3" x14ac:dyDescent="0.25">
      <c r="A699" s="1071">
        <v>97817</v>
      </c>
      <c r="B699" s="1071" t="s">
        <v>3265</v>
      </c>
      <c r="C699" s="1095">
        <v>13790.33</v>
      </c>
    </row>
    <row r="700" spans="1:3" x14ac:dyDescent="0.25">
      <c r="A700" s="1071">
        <v>97818</v>
      </c>
      <c r="B700" s="1071" t="s">
        <v>3266</v>
      </c>
      <c r="C700" s="1095">
        <v>10225.219999999999</v>
      </c>
    </row>
    <row r="701" spans="1:3" x14ac:dyDescent="0.25">
      <c r="A701" s="1071">
        <v>97821</v>
      </c>
      <c r="B701" s="1071" t="s">
        <v>3267</v>
      </c>
      <c r="C701" s="1095">
        <v>68059.789999999994</v>
      </c>
    </row>
    <row r="702" spans="1:3" x14ac:dyDescent="0.25">
      <c r="A702" s="1071">
        <v>97823</v>
      </c>
      <c r="B702" s="1071" t="s">
        <v>3268</v>
      </c>
      <c r="C702" s="1095">
        <v>11236.36</v>
      </c>
    </row>
    <row r="703" spans="1:3" x14ac:dyDescent="0.25">
      <c r="A703" s="1071">
        <v>97831</v>
      </c>
      <c r="B703" s="1071" t="s">
        <v>3269</v>
      </c>
      <c r="C703" s="1095">
        <v>86433.49</v>
      </c>
    </row>
    <row r="704" spans="1:3" x14ac:dyDescent="0.25">
      <c r="A704" s="1071">
        <v>97837</v>
      </c>
      <c r="B704" s="1071" t="s">
        <v>3270</v>
      </c>
      <c r="C704" s="1095">
        <v>7118.4</v>
      </c>
    </row>
    <row r="705" spans="1:3" x14ac:dyDescent="0.25">
      <c r="A705" s="1071">
        <v>97840</v>
      </c>
      <c r="B705" s="1071" t="s">
        <v>3271</v>
      </c>
      <c r="C705" s="1095">
        <v>115822.16</v>
      </c>
    </row>
    <row r="706" spans="1:3" x14ac:dyDescent="0.25">
      <c r="A706" s="1071">
        <v>97841</v>
      </c>
      <c r="B706" s="1071" t="s">
        <v>3272</v>
      </c>
      <c r="C706" s="1095">
        <v>6778.58</v>
      </c>
    </row>
    <row r="707" spans="1:3" x14ac:dyDescent="0.25">
      <c r="A707" s="1071">
        <v>97847</v>
      </c>
      <c r="B707" s="1071" t="s">
        <v>3273</v>
      </c>
      <c r="C707" s="1095">
        <v>2336.88</v>
      </c>
    </row>
    <row r="708" spans="1:3" x14ac:dyDescent="0.25">
      <c r="A708" s="1071">
        <v>97851</v>
      </c>
      <c r="B708" s="1071" t="s">
        <v>3274</v>
      </c>
      <c r="C708" s="1095">
        <v>115501.54</v>
      </c>
    </row>
    <row r="709" spans="1:3" x14ac:dyDescent="0.25">
      <c r="A709" s="1071">
        <v>97853</v>
      </c>
      <c r="B709" s="1071" t="s">
        <v>3275</v>
      </c>
      <c r="C709" s="1095">
        <v>40633.69</v>
      </c>
    </row>
    <row r="710" spans="1:3" x14ac:dyDescent="0.25">
      <c r="A710" s="1071">
        <v>97861</v>
      </c>
      <c r="B710" s="1071" t="s">
        <v>3276</v>
      </c>
      <c r="C710" s="1095">
        <v>26837.61</v>
      </c>
    </row>
    <row r="711" spans="1:3" x14ac:dyDescent="0.25">
      <c r="A711" s="1071">
        <v>97871</v>
      </c>
      <c r="B711" s="1071" t="s">
        <v>3277</v>
      </c>
      <c r="C711" s="1095">
        <v>295105.89</v>
      </c>
    </row>
    <row r="712" spans="1:3" x14ac:dyDescent="0.25">
      <c r="A712" s="1071">
        <v>97877</v>
      </c>
      <c r="B712" s="1071" t="s">
        <v>3278</v>
      </c>
      <c r="C712" s="1095">
        <v>2779.92</v>
      </c>
    </row>
    <row r="713" spans="1:3" x14ac:dyDescent="0.25">
      <c r="A713" s="1071">
        <v>97901</v>
      </c>
      <c r="B713" s="1071" t="s">
        <v>3279</v>
      </c>
      <c r="C713" s="1095">
        <v>2084645.48</v>
      </c>
    </row>
    <row r="714" spans="1:3" x14ac:dyDescent="0.25">
      <c r="A714" s="1071">
        <v>97911</v>
      </c>
      <c r="B714" s="1071" t="s">
        <v>3280</v>
      </c>
      <c r="C714" s="1095">
        <v>644048.35</v>
      </c>
    </row>
    <row r="715" spans="1:3" x14ac:dyDescent="0.25">
      <c r="A715" s="1071">
        <v>97913</v>
      </c>
      <c r="B715" s="1071" t="s">
        <v>3281</v>
      </c>
      <c r="C715" s="1095">
        <v>27203.83</v>
      </c>
    </row>
    <row r="716" spans="1:3" x14ac:dyDescent="0.25">
      <c r="A716" s="1071">
        <v>97917</v>
      </c>
      <c r="B716" s="1071" t="s">
        <v>3282</v>
      </c>
      <c r="C716" s="1095">
        <v>13764.36</v>
      </c>
    </row>
    <row r="717" spans="1:3" x14ac:dyDescent="0.25">
      <c r="A717" s="1071">
        <v>97921</v>
      </c>
      <c r="B717" s="1071" t="s">
        <v>3283</v>
      </c>
      <c r="C717" s="1095">
        <v>111642.37</v>
      </c>
    </row>
    <row r="718" spans="1:3" x14ac:dyDescent="0.25">
      <c r="A718" s="1071">
        <v>97931</v>
      </c>
      <c r="B718" s="1071" t="s">
        <v>3284</v>
      </c>
      <c r="C718" s="1095">
        <v>33195.64</v>
      </c>
    </row>
    <row r="719" spans="1:3" x14ac:dyDescent="0.25">
      <c r="A719" s="1071">
        <v>97941</v>
      </c>
      <c r="B719" s="1071" t="s">
        <v>3285</v>
      </c>
      <c r="C719" s="1095">
        <v>115094.14</v>
      </c>
    </row>
    <row r="720" spans="1:3" x14ac:dyDescent="0.25">
      <c r="A720" s="1071">
        <v>97947</v>
      </c>
      <c r="B720" s="1071" t="s">
        <v>3286</v>
      </c>
      <c r="C720" s="1095">
        <v>13148.63</v>
      </c>
    </row>
    <row r="721" spans="1:3" x14ac:dyDescent="0.25">
      <c r="A721" s="1071">
        <v>97948</v>
      </c>
      <c r="B721" s="1071" t="s">
        <v>3287</v>
      </c>
      <c r="C721" s="1095">
        <v>11621.97</v>
      </c>
    </row>
    <row r="722" spans="1:3" x14ac:dyDescent="0.25">
      <c r="A722" s="1071">
        <v>97951</v>
      </c>
      <c r="B722" s="1071" t="s">
        <v>3288</v>
      </c>
      <c r="C722" s="1095">
        <v>633574.65</v>
      </c>
    </row>
    <row r="723" spans="1:3" x14ac:dyDescent="0.25">
      <c r="A723" s="1071">
        <v>97957</v>
      </c>
      <c r="B723" s="1071" t="s">
        <v>3289</v>
      </c>
      <c r="C723" s="1095">
        <v>13052.77</v>
      </c>
    </row>
    <row r="724" spans="1:3" x14ac:dyDescent="0.25">
      <c r="A724" s="1071">
        <v>98001</v>
      </c>
      <c r="B724" s="1071" t="s">
        <v>3290</v>
      </c>
      <c r="C724" s="1095">
        <v>2616829.2999999998</v>
      </c>
    </row>
    <row r="725" spans="1:3" x14ac:dyDescent="0.25">
      <c r="A725" s="1071">
        <v>98002</v>
      </c>
      <c r="B725" s="1071" t="s">
        <v>3291</v>
      </c>
      <c r="C725" s="1095">
        <v>4737.4799999999996</v>
      </c>
    </row>
    <row r="726" spans="1:3" x14ac:dyDescent="0.25">
      <c r="A726" s="1071">
        <v>98003</v>
      </c>
      <c r="B726" s="1071" t="s">
        <v>3292</v>
      </c>
      <c r="C726" s="1095">
        <v>72872.41</v>
      </c>
    </row>
    <row r="727" spans="1:3" x14ac:dyDescent="0.25">
      <c r="A727" s="1071">
        <v>98004</v>
      </c>
      <c r="B727" s="1071" t="s">
        <v>3293</v>
      </c>
      <c r="C727" s="1095">
        <v>81879.759999999995</v>
      </c>
    </row>
    <row r="728" spans="1:3" x14ac:dyDescent="0.25">
      <c r="A728" s="1071">
        <v>98008</v>
      </c>
      <c r="B728" s="1071" t="s">
        <v>3294</v>
      </c>
      <c r="C728" s="1095">
        <v>3731.25</v>
      </c>
    </row>
    <row r="729" spans="1:3" x14ac:dyDescent="0.25">
      <c r="A729" s="1071">
        <v>98011</v>
      </c>
      <c r="B729" s="1071" t="s">
        <v>3295</v>
      </c>
      <c r="C729" s="1095">
        <v>1591661.3</v>
      </c>
    </row>
    <row r="730" spans="1:3" x14ac:dyDescent="0.25">
      <c r="A730" s="1071">
        <v>98013</v>
      </c>
      <c r="B730" s="1071" t="s">
        <v>3296</v>
      </c>
      <c r="C730" s="1095">
        <v>141746.74</v>
      </c>
    </row>
    <row r="731" spans="1:3" x14ac:dyDescent="0.25">
      <c r="A731" s="1071">
        <v>98021</v>
      </c>
      <c r="B731" s="1071" t="s">
        <v>3297</v>
      </c>
      <c r="C731" s="1095">
        <v>27245.13</v>
      </c>
    </row>
    <row r="732" spans="1:3" x14ac:dyDescent="0.25">
      <c r="A732" s="1071">
        <v>98023</v>
      </c>
      <c r="B732" s="1071" t="s">
        <v>3298</v>
      </c>
      <c r="C732" s="1095">
        <v>7199.78</v>
      </c>
    </row>
    <row r="733" spans="1:3" x14ac:dyDescent="0.25">
      <c r="A733" s="1071">
        <v>98031</v>
      </c>
      <c r="B733" s="1071" t="s">
        <v>3299</v>
      </c>
      <c r="C733" s="1095">
        <v>74400.47</v>
      </c>
    </row>
    <row r="734" spans="1:3" x14ac:dyDescent="0.25">
      <c r="A734" s="1071">
        <v>98041</v>
      </c>
      <c r="B734" s="1071" t="s">
        <v>3300</v>
      </c>
      <c r="C734" s="1095">
        <v>95602.72</v>
      </c>
    </row>
    <row r="735" spans="1:3" x14ac:dyDescent="0.25">
      <c r="A735" s="1071">
        <v>98051</v>
      </c>
      <c r="B735" s="1071" t="s">
        <v>3301</v>
      </c>
      <c r="C735" s="1095">
        <v>141617.46</v>
      </c>
    </row>
    <row r="736" spans="1:3" x14ac:dyDescent="0.25">
      <c r="A736" s="1071">
        <v>98061</v>
      </c>
      <c r="B736" s="1071" t="s">
        <v>3302</v>
      </c>
      <c r="C736" s="1095">
        <v>55302.94</v>
      </c>
    </row>
    <row r="737" spans="1:3" x14ac:dyDescent="0.25">
      <c r="A737" s="1071">
        <v>98071</v>
      </c>
      <c r="B737" s="1071" t="s">
        <v>3303</v>
      </c>
      <c r="C737" s="1095">
        <v>30464.18</v>
      </c>
    </row>
    <row r="738" spans="1:3" x14ac:dyDescent="0.25">
      <c r="A738" s="1071">
        <v>98081</v>
      </c>
      <c r="B738" s="1071" t="s">
        <v>3304</v>
      </c>
      <c r="C738" s="1095">
        <v>8013.51</v>
      </c>
    </row>
    <row r="739" spans="1:3" x14ac:dyDescent="0.25">
      <c r="A739" s="1071">
        <v>98091</v>
      </c>
      <c r="B739" s="1071" t="s">
        <v>3305</v>
      </c>
      <c r="C739" s="1095">
        <v>27903.11</v>
      </c>
    </row>
    <row r="740" spans="1:3" x14ac:dyDescent="0.25">
      <c r="A740" s="1071">
        <v>98101</v>
      </c>
      <c r="B740" s="1071" t="s">
        <v>3306</v>
      </c>
      <c r="C740" s="1095">
        <v>1264504.67</v>
      </c>
    </row>
    <row r="741" spans="1:3" x14ac:dyDescent="0.25">
      <c r="A741" s="1071">
        <v>98102</v>
      </c>
      <c r="B741" s="1071" t="s">
        <v>3307</v>
      </c>
      <c r="C741" s="1095">
        <v>75316.100000000006</v>
      </c>
    </row>
    <row r="742" spans="1:3" x14ac:dyDescent="0.25">
      <c r="A742" s="1071">
        <v>98103</v>
      </c>
      <c r="B742" s="1071" t="s">
        <v>3308</v>
      </c>
      <c r="C742" s="1095">
        <v>250406.86</v>
      </c>
    </row>
    <row r="743" spans="1:3" x14ac:dyDescent="0.25">
      <c r="A743" s="1071">
        <v>98107</v>
      </c>
      <c r="B743" s="1071" t="s">
        <v>3309</v>
      </c>
      <c r="C743" s="1095">
        <v>9422.6299999999992</v>
      </c>
    </row>
    <row r="744" spans="1:3" x14ac:dyDescent="0.25">
      <c r="A744" s="1071">
        <v>98109</v>
      </c>
      <c r="B744" s="1071" t="s">
        <v>3310</v>
      </c>
      <c r="C744" s="1095">
        <v>83279.89</v>
      </c>
    </row>
    <row r="745" spans="1:3" x14ac:dyDescent="0.25">
      <c r="A745" s="1071">
        <v>98111</v>
      </c>
      <c r="B745" s="1071" t="s">
        <v>3311</v>
      </c>
      <c r="C745" s="1095">
        <v>454903.8</v>
      </c>
    </row>
    <row r="746" spans="1:3" x14ac:dyDescent="0.25">
      <c r="A746" s="1071">
        <v>98113</v>
      </c>
      <c r="B746" s="1071" t="s">
        <v>3312</v>
      </c>
      <c r="C746" s="1095">
        <v>25001.439999999999</v>
      </c>
    </row>
    <row r="747" spans="1:3" x14ac:dyDescent="0.25">
      <c r="A747" s="1071">
        <v>98121</v>
      </c>
      <c r="B747" s="1071" t="s">
        <v>3313</v>
      </c>
      <c r="C747" s="1095">
        <v>95547.88</v>
      </c>
    </row>
    <row r="748" spans="1:3" x14ac:dyDescent="0.25">
      <c r="A748" s="1071">
        <v>98131</v>
      </c>
      <c r="B748" s="1071" t="s">
        <v>3314</v>
      </c>
      <c r="C748" s="1095">
        <v>119074.04</v>
      </c>
    </row>
    <row r="749" spans="1:3" x14ac:dyDescent="0.25">
      <c r="A749" s="1071">
        <v>98141</v>
      </c>
      <c r="B749" s="1071" t="s">
        <v>3315</v>
      </c>
      <c r="C749" s="1095">
        <v>135297.06</v>
      </c>
    </row>
    <row r="750" spans="1:3" x14ac:dyDescent="0.25">
      <c r="A750" s="1071">
        <v>98147</v>
      </c>
      <c r="B750" s="1071" t="s">
        <v>3316</v>
      </c>
      <c r="C750" s="1095">
        <v>10696.96</v>
      </c>
    </row>
    <row r="751" spans="1:3" x14ac:dyDescent="0.25">
      <c r="A751" s="1071">
        <v>98161</v>
      </c>
      <c r="B751" s="1071" t="s">
        <v>3317</v>
      </c>
      <c r="C751" s="1095">
        <v>5373.22</v>
      </c>
    </row>
    <row r="752" spans="1:3" x14ac:dyDescent="0.25">
      <c r="A752" s="1071">
        <v>98201</v>
      </c>
      <c r="B752" s="1071" t="s">
        <v>3318</v>
      </c>
      <c r="C752" s="1095">
        <v>1507010.88</v>
      </c>
    </row>
    <row r="753" spans="1:3" x14ac:dyDescent="0.25">
      <c r="A753" s="1071">
        <v>98205</v>
      </c>
      <c r="B753" s="1071" t="s">
        <v>3319</v>
      </c>
      <c r="C753" s="1095">
        <v>21656.19</v>
      </c>
    </row>
    <row r="754" spans="1:3" x14ac:dyDescent="0.25">
      <c r="A754" s="1071">
        <v>98211</v>
      </c>
      <c r="B754" s="1071" t="s">
        <v>3320</v>
      </c>
      <c r="C754" s="1095">
        <v>397199.49</v>
      </c>
    </row>
    <row r="755" spans="1:3" x14ac:dyDescent="0.25">
      <c r="A755" s="1071">
        <v>98218</v>
      </c>
      <c r="B755" s="1071" t="s">
        <v>3321</v>
      </c>
      <c r="C755" s="1095">
        <v>8526.1</v>
      </c>
    </row>
    <row r="756" spans="1:3" x14ac:dyDescent="0.25">
      <c r="A756" s="1071">
        <v>98221</v>
      </c>
      <c r="B756" s="1071" t="s">
        <v>3322</v>
      </c>
      <c r="C756" s="1095">
        <v>11112.23</v>
      </c>
    </row>
    <row r="757" spans="1:3" x14ac:dyDescent="0.25">
      <c r="A757" s="1071">
        <v>98231</v>
      </c>
      <c r="B757" s="1071" t="s">
        <v>3323</v>
      </c>
      <c r="C757" s="1095">
        <v>16564.939999999999</v>
      </c>
    </row>
    <row r="758" spans="1:3" x14ac:dyDescent="0.25">
      <c r="A758" s="1071">
        <v>98237</v>
      </c>
      <c r="B758" s="1071" t="s">
        <v>3324</v>
      </c>
      <c r="C758" s="1095">
        <v>3817.74</v>
      </c>
    </row>
    <row r="759" spans="1:3" x14ac:dyDescent="0.25">
      <c r="A759" s="1071">
        <v>98241</v>
      </c>
      <c r="B759" s="1071" t="s">
        <v>3325</v>
      </c>
      <c r="C759" s="1095">
        <v>7467.94</v>
      </c>
    </row>
    <row r="760" spans="1:3" x14ac:dyDescent="0.25">
      <c r="A760" s="1071">
        <v>98251</v>
      </c>
      <c r="B760" s="1071" t="s">
        <v>3326</v>
      </c>
      <c r="C760" s="1095">
        <v>2395.2399999999998</v>
      </c>
    </row>
    <row r="761" spans="1:3" x14ac:dyDescent="0.25">
      <c r="A761" s="1071">
        <v>98261</v>
      </c>
      <c r="B761" s="1071" t="s">
        <v>3327</v>
      </c>
      <c r="C761" s="1095">
        <v>19407.86</v>
      </c>
    </row>
    <row r="762" spans="1:3" x14ac:dyDescent="0.25">
      <c r="A762" s="1071">
        <v>98271</v>
      </c>
      <c r="B762" s="1071" t="s">
        <v>3328</v>
      </c>
      <c r="C762" s="1095">
        <v>3923.2</v>
      </c>
    </row>
    <row r="763" spans="1:3" x14ac:dyDescent="0.25">
      <c r="A763" s="1071">
        <v>98301</v>
      </c>
      <c r="B763" s="1071" t="s">
        <v>3329</v>
      </c>
      <c r="C763" s="1095">
        <v>898600.6</v>
      </c>
    </row>
    <row r="764" spans="1:3" x14ac:dyDescent="0.25">
      <c r="A764" s="1071">
        <v>98304</v>
      </c>
      <c r="B764" s="1071" t="s">
        <v>3330</v>
      </c>
      <c r="C764" s="1095">
        <v>13953.18</v>
      </c>
    </row>
    <row r="765" spans="1:3" x14ac:dyDescent="0.25">
      <c r="A765" s="1071">
        <v>98308</v>
      </c>
      <c r="B765" s="1071" t="s">
        <v>3331</v>
      </c>
      <c r="C765" s="1095">
        <v>16525.68</v>
      </c>
    </row>
    <row r="766" spans="1:3" x14ac:dyDescent="0.25">
      <c r="A766" s="1071">
        <v>98311</v>
      </c>
      <c r="B766" s="1071" t="s">
        <v>3332</v>
      </c>
      <c r="C766" s="1095">
        <v>482185.97</v>
      </c>
    </row>
    <row r="767" spans="1:3" x14ac:dyDescent="0.25">
      <c r="A767" s="1071">
        <v>98313</v>
      </c>
      <c r="B767" s="1071" t="s">
        <v>3333</v>
      </c>
      <c r="C767" s="1095">
        <v>272640.74</v>
      </c>
    </row>
    <row r="768" spans="1:3" x14ac:dyDescent="0.25">
      <c r="A768" s="1071">
        <v>98321</v>
      </c>
      <c r="B768" s="1071" t="s">
        <v>3334</v>
      </c>
      <c r="C768" s="1095">
        <v>10544.29</v>
      </c>
    </row>
    <row r="769" spans="1:3" x14ac:dyDescent="0.25">
      <c r="A769" s="1071">
        <v>98331</v>
      </c>
      <c r="B769" s="1071" t="s">
        <v>3335</v>
      </c>
      <c r="C769" s="1095">
        <v>6678.17</v>
      </c>
    </row>
    <row r="770" spans="1:3" x14ac:dyDescent="0.25">
      <c r="A770" s="1071">
        <v>98401</v>
      </c>
      <c r="B770" s="1071" t="s">
        <v>3336</v>
      </c>
      <c r="C770" s="1095">
        <v>1479388.47</v>
      </c>
    </row>
    <row r="771" spans="1:3" x14ac:dyDescent="0.25">
      <c r="A771" s="1071">
        <v>98404</v>
      </c>
      <c r="B771" s="1071" t="s">
        <v>3591</v>
      </c>
      <c r="C771" s="1095">
        <v>8376.92</v>
      </c>
    </row>
    <row r="772" spans="1:3" x14ac:dyDescent="0.25">
      <c r="A772" s="1071">
        <v>98411</v>
      </c>
      <c r="B772" s="1071" t="s">
        <v>3337</v>
      </c>
      <c r="C772" s="1095">
        <v>907144.49</v>
      </c>
    </row>
    <row r="773" spans="1:3" x14ac:dyDescent="0.25">
      <c r="A773" s="1071">
        <v>98414</v>
      </c>
      <c r="B773" s="1071" t="s">
        <v>2576</v>
      </c>
      <c r="C773" s="1095">
        <v>18061.77</v>
      </c>
    </row>
    <row r="774" spans="1:3" x14ac:dyDescent="0.25">
      <c r="A774" s="1071">
        <v>98417</v>
      </c>
      <c r="B774" s="1071" t="s">
        <v>3338</v>
      </c>
      <c r="C774" s="1095">
        <v>15438.2</v>
      </c>
    </row>
    <row r="775" spans="1:3" x14ac:dyDescent="0.25">
      <c r="A775" s="1071">
        <v>98421</v>
      </c>
      <c r="B775" s="1071" t="s">
        <v>3339</v>
      </c>
      <c r="C775" s="1095">
        <v>50452.71</v>
      </c>
    </row>
    <row r="776" spans="1:3" x14ac:dyDescent="0.25">
      <c r="A776" s="1071">
        <v>98427</v>
      </c>
      <c r="B776" s="1071" t="s">
        <v>3340</v>
      </c>
      <c r="C776" s="1095">
        <v>3303.88</v>
      </c>
    </row>
    <row r="777" spans="1:3" x14ac:dyDescent="0.25">
      <c r="A777" s="1071">
        <v>98431</v>
      </c>
      <c r="B777" s="1071" t="s">
        <v>3341</v>
      </c>
      <c r="C777" s="1095">
        <v>82786.559999999998</v>
      </c>
    </row>
    <row r="778" spans="1:3" x14ac:dyDescent="0.25">
      <c r="A778" s="1071">
        <v>98441</v>
      </c>
      <c r="B778" s="1071" t="s">
        <v>3342</v>
      </c>
      <c r="C778" s="1095">
        <v>44922.59</v>
      </c>
    </row>
    <row r="779" spans="1:3" x14ac:dyDescent="0.25">
      <c r="A779" s="1071">
        <v>98451</v>
      </c>
      <c r="B779" s="1071" t="s">
        <v>3343</v>
      </c>
      <c r="C779" s="1095">
        <v>26696.44</v>
      </c>
    </row>
    <row r="780" spans="1:3" x14ac:dyDescent="0.25">
      <c r="A780" s="1071">
        <v>98471</v>
      </c>
      <c r="B780" s="1071" t="s">
        <v>3878</v>
      </c>
      <c r="C780" s="1095">
        <v>3934.46</v>
      </c>
    </row>
    <row r="781" spans="1:3" x14ac:dyDescent="0.25">
      <c r="A781" s="1071">
        <v>98481</v>
      </c>
      <c r="B781" s="1071" t="s">
        <v>3344</v>
      </c>
      <c r="C781" s="1095">
        <v>30725.66</v>
      </c>
    </row>
    <row r="782" spans="1:3" x14ac:dyDescent="0.25">
      <c r="A782" s="1071">
        <v>98501</v>
      </c>
      <c r="B782" s="1071" t="s">
        <v>3345</v>
      </c>
      <c r="C782" s="1095">
        <v>837926.02</v>
      </c>
    </row>
    <row r="783" spans="1:3" x14ac:dyDescent="0.25">
      <c r="A783" s="1071">
        <v>98511</v>
      </c>
      <c r="B783" s="1071" t="s">
        <v>3346</v>
      </c>
      <c r="C783" s="1095">
        <v>23329.99</v>
      </c>
    </row>
    <row r="784" spans="1:3" x14ac:dyDescent="0.25">
      <c r="A784" s="1071">
        <v>98517</v>
      </c>
      <c r="B784" s="1071" t="s">
        <v>3347</v>
      </c>
      <c r="C784" s="1095">
        <v>3273.82</v>
      </c>
    </row>
    <row r="785" spans="1:3" x14ac:dyDescent="0.25">
      <c r="A785" s="1071">
        <v>98521</v>
      </c>
      <c r="B785" s="1071" t="s">
        <v>3348</v>
      </c>
      <c r="C785" s="1095">
        <v>295494.87</v>
      </c>
    </row>
    <row r="786" spans="1:3" x14ac:dyDescent="0.25">
      <c r="A786" s="1071">
        <v>98601</v>
      </c>
      <c r="B786" s="1071" t="s">
        <v>3349</v>
      </c>
      <c r="C786" s="1095">
        <v>1634846.49</v>
      </c>
    </row>
    <row r="787" spans="1:3" x14ac:dyDescent="0.25">
      <c r="A787" s="1071">
        <v>98604</v>
      </c>
      <c r="B787" s="1071" t="s">
        <v>3350</v>
      </c>
      <c r="C787" s="1095">
        <v>7854.38</v>
      </c>
    </row>
    <row r="788" spans="1:3" x14ac:dyDescent="0.25">
      <c r="A788" s="1071">
        <v>98607</v>
      </c>
      <c r="B788" s="1071" t="s">
        <v>3351</v>
      </c>
      <c r="C788" s="1095">
        <v>4218.6099999999997</v>
      </c>
    </row>
    <row r="789" spans="1:3" x14ac:dyDescent="0.25">
      <c r="A789" s="1071">
        <v>98608</v>
      </c>
      <c r="B789" s="1071" t="s">
        <v>3352</v>
      </c>
      <c r="C789" s="1095">
        <v>25288.2</v>
      </c>
    </row>
    <row r="790" spans="1:3" x14ac:dyDescent="0.25">
      <c r="A790" s="1071">
        <v>98611</v>
      </c>
      <c r="B790" s="1071" t="s">
        <v>3353</v>
      </c>
      <c r="C790" s="1095">
        <v>57797.36</v>
      </c>
    </row>
    <row r="791" spans="1:3" x14ac:dyDescent="0.25">
      <c r="A791" s="1071">
        <v>98621</v>
      </c>
      <c r="B791" s="1071" t="s">
        <v>3354</v>
      </c>
      <c r="C791" s="1095">
        <v>62283.9</v>
      </c>
    </row>
    <row r="792" spans="1:3" x14ac:dyDescent="0.25">
      <c r="A792" s="1071">
        <v>98627</v>
      </c>
      <c r="B792" s="1071" t="s">
        <v>3355</v>
      </c>
      <c r="C792" s="1095">
        <v>3575.57</v>
      </c>
    </row>
    <row r="793" spans="1:3" x14ac:dyDescent="0.25">
      <c r="A793" s="1071">
        <v>98631</v>
      </c>
      <c r="B793" s="1071" t="s">
        <v>3356</v>
      </c>
      <c r="C793" s="1095">
        <v>508131.29</v>
      </c>
    </row>
    <row r="794" spans="1:3" x14ac:dyDescent="0.25">
      <c r="A794" s="1071">
        <v>98637</v>
      </c>
      <c r="B794" s="1071" t="s">
        <v>3357</v>
      </c>
      <c r="C794" s="1095">
        <v>16672.61</v>
      </c>
    </row>
    <row r="795" spans="1:3" x14ac:dyDescent="0.25">
      <c r="A795" s="1071">
        <v>98641</v>
      </c>
      <c r="B795" s="1071" t="s">
        <v>3358</v>
      </c>
      <c r="C795" s="1095">
        <v>148772.99</v>
      </c>
    </row>
    <row r="796" spans="1:3" x14ac:dyDescent="0.25">
      <c r="A796" s="1097" t="s">
        <v>4331</v>
      </c>
      <c r="B796" s="1071" t="s">
        <v>3359</v>
      </c>
      <c r="C796" s="1095">
        <v>0</v>
      </c>
    </row>
    <row r="797" spans="1:3" x14ac:dyDescent="0.25">
      <c r="A797" s="1071">
        <v>98701</v>
      </c>
      <c r="B797" s="1071" t="s">
        <v>3360</v>
      </c>
      <c r="C797" s="1095">
        <v>523932.85</v>
      </c>
    </row>
    <row r="798" spans="1:3" x14ac:dyDescent="0.25">
      <c r="A798" s="1071">
        <v>98711</v>
      </c>
      <c r="B798" s="1071" t="s">
        <v>3361</v>
      </c>
      <c r="C798" s="1095">
        <v>71577.820000000007</v>
      </c>
    </row>
    <row r="799" spans="1:3" x14ac:dyDescent="0.25">
      <c r="A799" s="1071">
        <v>98717</v>
      </c>
      <c r="B799" s="1071" t="s">
        <v>3362</v>
      </c>
      <c r="C799" s="1095">
        <v>8771.7099999999991</v>
      </c>
    </row>
    <row r="800" spans="1:3" x14ac:dyDescent="0.25">
      <c r="A800" s="1071">
        <v>98801</v>
      </c>
      <c r="B800" s="1071" t="s">
        <v>3363</v>
      </c>
      <c r="C800" s="1095">
        <v>1082761.1000000001</v>
      </c>
    </row>
    <row r="801" spans="1:3" x14ac:dyDescent="0.25">
      <c r="A801" s="1071">
        <v>98811</v>
      </c>
      <c r="B801" s="1071" t="s">
        <v>3364</v>
      </c>
      <c r="C801" s="1095">
        <v>335491.15000000002</v>
      </c>
    </row>
    <row r="802" spans="1:3" x14ac:dyDescent="0.25">
      <c r="A802" s="1071">
        <v>98817</v>
      </c>
      <c r="B802" s="1071" t="s">
        <v>3365</v>
      </c>
      <c r="C802" s="1095">
        <v>14010.05</v>
      </c>
    </row>
    <row r="803" spans="1:3" x14ac:dyDescent="0.25">
      <c r="A803" s="1071">
        <v>98901</v>
      </c>
      <c r="B803" s="1071" t="s">
        <v>3366</v>
      </c>
      <c r="C803" s="1095">
        <v>163215.01999999999</v>
      </c>
    </row>
    <row r="804" spans="1:3" x14ac:dyDescent="0.25">
      <c r="A804" s="1071">
        <v>98904</v>
      </c>
      <c r="B804" s="1071" t="s">
        <v>3367</v>
      </c>
      <c r="C804" s="1095">
        <v>1642.56</v>
      </c>
    </row>
    <row r="805" spans="1:3" x14ac:dyDescent="0.25">
      <c r="A805" s="1071">
        <v>98911</v>
      </c>
      <c r="B805" s="1071" t="s">
        <v>3368</v>
      </c>
      <c r="C805" s="1095">
        <v>20020.240000000002</v>
      </c>
    </row>
    <row r="806" spans="1:3" x14ac:dyDescent="0.25">
      <c r="A806" s="1071">
        <v>99001</v>
      </c>
      <c r="B806" s="1071" t="s">
        <v>3369</v>
      </c>
      <c r="C806" s="1095">
        <v>3958566.49</v>
      </c>
    </row>
    <row r="807" spans="1:3" x14ac:dyDescent="0.25">
      <c r="A807" s="1071">
        <v>99011</v>
      </c>
      <c r="B807" s="1071" t="s">
        <v>3370</v>
      </c>
      <c r="C807" s="1095">
        <v>1899632.22</v>
      </c>
    </row>
    <row r="808" spans="1:3" x14ac:dyDescent="0.25">
      <c r="A808" s="1071">
        <v>99013</v>
      </c>
      <c r="B808" s="1071" t="s">
        <v>3371</v>
      </c>
      <c r="C808" s="1095">
        <v>28477.32</v>
      </c>
    </row>
    <row r="809" spans="1:3" x14ac:dyDescent="0.25">
      <c r="A809" s="1071">
        <v>99014</v>
      </c>
      <c r="B809" s="1071" t="s">
        <v>3372</v>
      </c>
      <c r="C809" s="1095">
        <v>11820.69</v>
      </c>
    </row>
    <row r="810" spans="1:3" x14ac:dyDescent="0.25">
      <c r="A810" s="1071">
        <v>99017</v>
      </c>
      <c r="B810" s="1071" t="s">
        <v>3373</v>
      </c>
      <c r="C810" s="1095">
        <v>23294.35</v>
      </c>
    </row>
    <row r="811" spans="1:3" x14ac:dyDescent="0.25">
      <c r="A811" s="1071">
        <v>99021</v>
      </c>
      <c r="B811" s="1071" t="s">
        <v>3374</v>
      </c>
      <c r="C811" s="1095">
        <v>66405.3</v>
      </c>
    </row>
    <row r="812" spans="1:3" x14ac:dyDescent="0.25">
      <c r="A812" s="1071">
        <v>99022</v>
      </c>
      <c r="B812" s="1071" t="s">
        <v>1970</v>
      </c>
      <c r="C812" s="1095">
        <v>11974.44</v>
      </c>
    </row>
    <row r="813" spans="1:3" x14ac:dyDescent="0.25">
      <c r="A813" s="1071">
        <v>99031</v>
      </c>
      <c r="B813" s="1071" t="s">
        <v>3375</v>
      </c>
      <c r="C813" s="1095">
        <v>59595.82</v>
      </c>
    </row>
    <row r="814" spans="1:3" x14ac:dyDescent="0.25">
      <c r="A814" s="1071">
        <v>99041</v>
      </c>
      <c r="B814" s="1071" t="s">
        <v>3376</v>
      </c>
      <c r="C814" s="1095">
        <v>282617.76</v>
      </c>
    </row>
    <row r="815" spans="1:3" x14ac:dyDescent="0.25">
      <c r="A815" s="1071">
        <v>99047</v>
      </c>
      <c r="B815" s="1071" t="s">
        <v>3377</v>
      </c>
      <c r="C815" s="1095">
        <v>9763.7000000000007</v>
      </c>
    </row>
    <row r="816" spans="1:3" x14ac:dyDescent="0.25">
      <c r="A816" s="1071">
        <v>99051</v>
      </c>
      <c r="B816" s="1071" t="s">
        <v>3378</v>
      </c>
      <c r="C816" s="1095">
        <v>158783.9</v>
      </c>
    </row>
    <row r="817" spans="1:3" x14ac:dyDescent="0.25">
      <c r="A817" s="1071">
        <v>99061</v>
      </c>
      <c r="B817" s="1071" t="s">
        <v>3379</v>
      </c>
      <c r="C817" s="1095">
        <v>8410.99</v>
      </c>
    </row>
    <row r="818" spans="1:3" x14ac:dyDescent="0.25">
      <c r="A818" s="1071">
        <v>99071</v>
      </c>
      <c r="B818" s="1071" t="s">
        <v>3380</v>
      </c>
      <c r="C818" s="1095">
        <v>13710.69</v>
      </c>
    </row>
    <row r="819" spans="1:3" x14ac:dyDescent="0.25">
      <c r="A819" s="1071">
        <v>99081</v>
      </c>
      <c r="B819" s="1071" t="s">
        <v>3381</v>
      </c>
      <c r="C819" s="1095">
        <v>9239.99</v>
      </c>
    </row>
    <row r="820" spans="1:3" x14ac:dyDescent="0.25">
      <c r="A820" s="1071">
        <v>99091</v>
      </c>
      <c r="B820" s="1071" t="s">
        <v>3382</v>
      </c>
      <c r="C820" s="1095">
        <v>4994.4399999999996</v>
      </c>
    </row>
    <row r="821" spans="1:3" x14ac:dyDescent="0.25">
      <c r="A821" s="1071">
        <v>99101</v>
      </c>
      <c r="B821" s="1071" t="s">
        <v>3383</v>
      </c>
      <c r="C821" s="1095">
        <v>1006565.27</v>
      </c>
    </row>
    <row r="822" spans="1:3" x14ac:dyDescent="0.25">
      <c r="A822" s="1071">
        <v>99104</v>
      </c>
      <c r="B822" s="1071" t="s">
        <v>3384</v>
      </c>
      <c r="C822" s="1095">
        <v>25543.919999999998</v>
      </c>
    </row>
    <row r="823" spans="1:3" x14ac:dyDescent="0.25">
      <c r="A823" s="1071">
        <v>99109</v>
      </c>
      <c r="B823" s="1071" t="s">
        <v>3385</v>
      </c>
      <c r="C823" s="1095">
        <v>58597.74</v>
      </c>
    </row>
    <row r="824" spans="1:3" x14ac:dyDescent="0.25">
      <c r="A824" s="1071">
        <v>99110</v>
      </c>
      <c r="B824" s="1071" t="s">
        <v>3386</v>
      </c>
      <c r="C824" s="1095">
        <v>123992.65</v>
      </c>
    </row>
    <row r="825" spans="1:3" x14ac:dyDescent="0.25">
      <c r="A825" s="1071">
        <v>99111</v>
      </c>
      <c r="B825" s="1071" t="s">
        <v>3387</v>
      </c>
      <c r="C825" s="1095">
        <v>587063.1</v>
      </c>
    </row>
    <row r="826" spans="1:3" x14ac:dyDescent="0.25">
      <c r="A826" s="1071">
        <v>99201</v>
      </c>
      <c r="B826" s="1071" t="s">
        <v>3388</v>
      </c>
      <c r="C826" s="1095">
        <v>16630537.85</v>
      </c>
    </row>
    <row r="827" spans="1:3" x14ac:dyDescent="0.25">
      <c r="A827" s="1071">
        <v>99202</v>
      </c>
      <c r="B827" s="1071" t="s">
        <v>3389</v>
      </c>
      <c r="C827" s="1095">
        <v>1207449.74</v>
      </c>
    </row>
    <row r="828" spans="1:3" x14ac:dyDescent="0.25">
      <c r="A828" s="1071">
        <v>99203</v>
      </c>
      <c r="B828" s="1071" t="s">
        <v>3390</v>
      </c>
      <c r="C828" s="1095">
        <v>138128.78</v>
      </c>
    </row>
    <row r="829" spans="1:3" x14ac:dyDescent="0.25">
      <c r="A829" s="1071">
        <v>99204</v>
      </c>
      <c r="B829" s="1071" t="s">
        <v>3391</v>
      </c>
      <c r="C829" s="1095">
        <v>441547.84</v>
      </c>
    </row>
    <row r="830" spans="1:3" x14ac:dyDescent="0.25">
      <c r="A830" s="1071">
        <v>99206</v>
      </c>
      <c r="B830" s="1071" t="s">
        <v>3392</v>
      </c>
      <c r="C830" s="1095">
        <v>1331612.92</v>
      </c>
    </row>
    <row r="831" spans="1:3" x14ac:dyDescent="0.25">
      <c r="A831" s="1071">
        <v>99207</v>
      </c>
      <c r="B831" s="1071" t="s">
        <v>3592</v>
      </c>
      <c r="C831" s="1095">
        <v>177544.7</v>
      </c>
    </row>
    <row r="832" spans="1:3" x14ac:dyDescent="0.25">
      <c r="A832" s="1071">
        <v>99208</v>
      </c>
      <c r="B832" s="1071" t="s">
        <v>3394</v>
      </c>
      <c r="C832" s="1095">
        <v>97509.21</v>
      </c>
    </row>
    <row r="833" spans="1:3" x14ac:dyDescent="0.25">
      <c r="A833" s="1071">
        <v>99210</v>
      </c>
      <c r="B833" s="1071" t="s">
        <v>3395</v>
      </c>
      <c r="C833" s="1095">
        <v>867924.78</v>
      </c>
    </row>
    <row r="834" spans="1:3" x14ac:dyDescent="0.25">
      <c r="A834" s="1071">
        <v>99211</v>
      </c>
      <c r="B834" s="1071" t="s">
        <v>3396</v>
      </c>
      <c r="C834" s="1095">
        <v>18340588.710000001</v>
      </c>
    </row>
    <row r="835" spans="1:3" x14ac:dyDescent="0.25">
      <c r="A835" s="1071">
        <v>99212</v>
      </c>
      <c r="B835" s="1071" t="s">
        <v>3397</v>
      </c>
      <c r="C835" s="1095">
        <v>32043.03</v>
      </c>
    </row>
    <row r="836" spans="1:3" x14ac:dyDescent="0.25">
      <c r="A836" s="1071">
        <v>99213</v>
      </c>
      <c r="B836" s="1071" t="s">
        <v>3398</v>
      </c>
      <c r="C836" s="1095">
        <v>380592.3</v>
      </c>
    </row>
    <row r="837" spans="1:3" x14ac:dyDescent="0.25">
      <c r="A837" s="1071">
        <v>99218</v>
      </c>
      <c r="B837" s="1071" t="s">
        <v>3399</v>
      </c>
      <c r="C837" s="1095">
        <v>1674667.37</v>
      </c>
    </row>
    <row r="838" spans="1:3" x14ac:dyDescent="0.25">
      <c r="A838" s="1071">
        <v>99221</v>
      </c>
      <c r="B838" s="1071" t="s">
        <v>3400</v>
      </c>
      <c r="C838" s="1095">
        <v>6080354.96</v>
      </c>
    </row>
    <row r="839" spans="1:3" x14ac:dyDescent="0.25">
      <c r="A839" s="1071">
        <v>99222</v>
      </c>
      <c r="B839" s="1071" t="s">
        <v>3401</v>
      </c>
      <c r="C839" s="1095">
        <v>16571.34</v>
      </c>
    </row>
    <row r="840" spans="1:3" x14ac:dyDescent="0.25">
      <c r="A840" s="1071">
        <v>99231</v>
      </c>
      <c r="B840" s="1071" t="s">
        <v>3402</v>
      </c>
      <c r="C840" s="1095">
        <v>170674.7</v>
      </c>
    </row>
    <row r="841" spans="1:3" x14ac:dyDescent="0.25">
      <c r="A841" s="1071">
        <v>99241</v>
      </c>
      <c r="B841" s="1071" t="s">
        <v>3403</v>
      </c>
      <c r="C841" s="1095">
        <v>256913.26</v>
      </c>
    </row>
    <row r="842" spans="1:3" x14ac:dyDescent="0.25">
      <c r="A842" s="1071">
        <v>99251</v>
      </c>
      <c r="B842" s="1071" t="s">
        <v>3404</v>
      </c>
      <c r="C842" s="1095">
        <v>772183.6</v>
      </c>
    </row>
    <row r="843" spans="1:3" x14ac:dyDescent="0.25">
      <c r="A843" s="1071">
        <v>99252</v>
      </c>
      <c r="B843" s="1071" t="s">
        <v>3405</v>
      </c>
      <c r="C843" s="1095">
        <v>237606.74</v>
      </c>
    </row>
    <row r="844" spans="1:3" x14ac:dyDescent="0.25">
      <c r="A844" s="1071">
        <v>99261</v>
      </c>
      <c r="B844" s="1071" t="s">
        <v>3406</v>
      </c>
      <c r="C844" s="1095">
        <v>905361.5</v>
      </c>
    </row>
    <row r="845" spans="1:3" x14ac:dyDescent="0.25">
      <c r="A845" s="1071">
        <v>99271</v>
      </c>
      <c r="B845" s="1071" t="s">
        <v>3407</v>
      </c>
      <c r="C845" s="1095">
        <v>1965196.73</v>
      </c>
    </row>
    <row r="846" spans="1:3" x14ac:dyDescent="0.25">
      <c r="A846" s="1071">
        <v>99281</v>
      </c>
      <c r="B846" s="1071" t="s">
        <v>3408</v>
      </c>
      <c r="C846" s="1095">
        <v>1110975.83</v>
      </c>
    </row>
    <row r="847" spans="1:3" x14ac:dyDescent="0.25">
      <c r="A847" s="1071">
        <v>99291</v>
      </c>
      <c r="B847" s="1071" t="s">
        <v>3409</v>
      </c>
      <c r="C847" s="1095">
        <v>339511.85</v>
      </c>
    </row>
    <row r="848" spans="1:3" x14ac:dyDescent="0.25">
      <c r="A848" s="1071">
        <v>99301</v>
      </c>
      <c r="B848" s="1071" t="s">
        <v>3410</v>
      </c>
      <c r="C848" s="1095">
        <v>823901.37</v>
      </c>
    </row>
    <row r="849" spans="1:3" x14ac:dyDescent="0.25">
      <c r="A849" s="1071">
        <v>99304</v>
      </c>
      <c r="B849" s="1071" t="s">
        <v>3411</v>
      </c>
      <c r="C849" s="1095">
        <v>8236.34</v>
      </c>
    </row>
    <row r="850" spans="1:3" x14ac:dyDescent="0.25">
      <c r="A850" s="1071">
        <v>99311</v>
      </c>
      <c r="B850" s="1071" t="s">
        <v>3412</v>
      </c>
      <c r="C850" s="1095">
        <v>29080.85</v>
      </c>
    </row>
    <row r="851" spans="1:3" x14ac:dyDescent="0.25">
      <c r="A851" s="1071">
        <v>99321</v>
      </c>
      <c r="B851" s="1071" t="s">
        <v>3413</v>
      </c>
      <c r="C851" s="1095">
        <v>95723.9</v>
      </c>
    </row>
    <row r="852" spans="1:3" x14ac:dyDescent="0.25">
      <c r="A852" s="1071">
        <v>99401</v>
      </c>
      <c r="B852" s="1071" t="s">
        <v>3414</v>
      </c>
      <c r="C852" s="1095">
        <v>413423.39</v>
      </c>
    </row>
    <row r="853" spans="1:3" x14ac:dyDescent="0.25">
      <c r="A853" s="1071">
        <v>99404</v>
      </c>
      <c r="B853" s="1071" t="s">
        <v>3415</v>
      </c>
      <c r="C853" s="1095">
        <v>5670.57</v>
      </c>
    </row>
    <row r="854" spans="1:3" x14ac:dyDescent="0.25">
      <c r="A854" s="1071">
        <v>99405</v>
      </c>
      <c r="B854" s="1071" t="s">
        <v>3416</v>
      </c>
      <c r="C854" s="1095">
        <v>37755.47</v>
      </c>
    </row>
    <row r="855" spans="1:3" x14ac:dyDescent="0.25">
      <c r="A855" s="1071">
        <v>99411</v>
      </c>
      <c r="B855" s="1071" t="s">
        <v>3417</v>
      </c>
      <c r="C855" s="1095">
        <v>87340.43</v>
      </c>
    </row>
    <row r="856" spans="1:3" x14ac:dyDescent="0.25">
      <c r="A856" s="1071">
        <v>99413</v>
      </c>
      <c r="B856" s="1071" t="s">
        <v>3418</v>
      </c>
      <c r="C856" s="1095">
        <v>15517.46</v>
      </c>
    </row>
    <row r="857" spans="1:3" x14ac:dyDescent="0.25">
      <c r="A857" s="1071">
        <v>99421</v>
      </c>
      <c r="B857" s="1071" t="s">
        <v>3419</v>
      </c>
      <c r="C857" s="1095">
        <v>5425.83</v>
      </c>
    </row>
    <row r="858" spans="1:3" x14ac:dyDescent="0.25">
      <c r="A858" s="1071">
        <v>99431</v>
      </c>
      <c r="B858" s="1071" t="s">
        <v>3420</v>
      </c>
      <c r="C858" s="1095">
        <v>8235.16</v>
      </c>
    </row>
    <row r="859" spans="1:3" x14ac:dyDescent="0.25">
      <c r="A859" s="1071">
        <v>99501</v>
      </c>
      <c r="B859" s="1071" t="s">
        <v>3421</v>
      </c>
      <c r="C859" s="1095">
        <v>860942.17</v>
      </c>
    </row>
    <row r="860" spans="1:3" x14ac:dyDescent="0.25">
      <c r="A860" s="1071">
        <v>99502</v>
      </c>
      <c r="B860" s="1071" t="s">
        <v>3422</v>
      </c>
      <c r="C860" s="1095">
        <v>70621.81</v>
      </c>
    </row>
    <row r="861" spans="1:3" x14ac:dyDescent="0.25">
      <c r="A861" s="1071">
        <v>99508</v>
      </c>
      <c r="B861" s="1071" t="s">
        <v>3423</v>
      </c>
      <c r="C861" s="1095">
        <v>10663.91</v>
      </c>
    </row>
    <row r="862" spans="1:3" x14ac:dyDescent="0.25">
      <c r="A862" s="1071">
        <v>99509</v>
      </c>
      <c r="B862" s="1071" t="s">
        <v>3424</v>
      </c>
      <c r="C862" s="1095">
        <v>12210.75</v>
      </c>
    </row>
    <row r="863" spans="1:3" x14ac:dyDescent="0.25">
      <c r="A863" s="1071">
        <v>99511</v>
      </c>
      <c r="B863" s="1071" t="s">
        <v>3425</v>
      </c>
      <c r="C863" s="1095">
        <v>608442.87</v>
      </c>
    </row>
    <row r="864" spans="1:3" x14ac:dyDescent="0.25">
      <c r="A864" s="1071">
        <v>99521</v>
      </c>
      <c r="B864" s="1071" t="s">
        <v>3426</v>
      </c>
      <c r="C864" s="1095">
        <v>207271.34</v>
      </c>
    </row>
    <row r="865" spans="1:3" x14ac:dyDescent="0.25">
      <c r="A865" s="1071">
        <v>99527</v>
      </c>
      <c r="B865" s="1071" t="s">
        <v>3427</v>
      </c>
      <c r="C865" s="1095">
        <v>6662.99</v>
      </c>
    </row>
    <row r="866" spans="1:3" x14ac:dyDescent="0.25">
      <c r="A866" s="1071">
        <v>99531</v>
      </c>
      <c r="B866" s="1071" t="s">
        <v>3428</v>
      </c>
      <c r="C866" s="1095">
        <v>76574.2</v>
      </c>
    </row>
    <row r="867" spans="1:3" x14ac:dyDescent="0.25">
      <c r="A867" s="1071">
        <v>99601</v>
      </c>
      <c r="B867" s="1071" t="s">
        <v>3429</v>
      </c>
      <c r="C867" s="1095">
        <v>2762866.06</v>
      </c>
    </row>
    <row r="868" spans="1:3" x14ac:dyDescent="0.25">
      <c r="A868" s="1071">
        <v>99602</v>
      </c>
      <c r="B868" s="1071" t="s">
        <v>3430</v>
      </c>
      <c r="C868" s="1095">
        <v>30210.42</v>
      </c>
    </row>
    <row r="869" spans="1:3" x14ac:dyDescent="0.25">
      <c r="A869" s="1071">
        <v>99603</v>
      </c>
      <c r="B869" s="1071" t="s">
        <v>3431</v>
      </c>
      <c r="C869" s="1095">
        <v>95619.12</v>
      </c>
    </row>
    <row r="870" spans="1:3" x14ac:dyDescent="0.25">
      <c r="A870" s="1071">
        <v>99604</v>
      </c>
      <c r="B870" s="1071" t="s">
        <v>3432</v>
      </c>
      <c r="C870" s="1095">
        <v>60989.77</v>
      </c>
    </row>
    <row r="871" spans="1:3" x14ac:dyDescent="0.25">
      <c r="A871" s="1071">
        <v>99609</v>
      </c>
      <c r="B871" s="1071" t="s">
        <v>3433</v>
      </c>
      <c r="C871" s="1095">
        <v>10625.98</v>
      </c>
    </row>
    <row r="872" spans="1:3" x14ac:dyDescent="0.25">
      <c r="A872" s="1071">
        <v>99610</v>
      </c>
      <c r="B872" s="1071" t="s">
        <v>3434</v>
      </c>
      <c r="C872" s="1095">
        <v>91548.23</v>
      </c>
    </row>
    <row r="873" spans="1:3" x14ac:dyDescent="0.25">
      <c r="A873" s="1071">
        <v>99611</v>
      </c>
      <c r="B873" s="1071" t="s">
        <v>3435</v>
      </c>
      <c r="C873" s="1095">
        <v>1569191.05</v>
      </c>
    </row>
    <row r="874" spans="1:3" x14ac:dyDescent="0.25">
      <c r="A874" s="1071">
        <v>99613</v>
      </c>
      <c r="B874" s="1071" t="s">
        <v>3436</v>
      </c>
      <c r="C874" s="1095">
        <v>343923.36</v>
      </c>
    </row>
    <row r="875" spans="1:3" x14ac:dyDescent="0.25">
      <c r="A875" s="1071">
        <v>99621</v>
      </c>
      <c r="B875" s="1071" t="s">
        <v>3437</v>
      </c>
      <c r="C875" s="1095">
        <v>177823.09</v>
      </c>
    </row>
    <row r="876" spans="1:3" x14ac:dyDescent="0.25">
      <c r="A876" s="1071">
        <v>99623</v>
      </c>
      <c r="B876" s="1071" t="s">
        <v>3438</v>
      </c>
      <c r="C876" s="1095">
        <v>9487.02</v>
      </c>
    </row>
    <row r="877" spans="1:3" x14ac:dyDescent="0.25">
      <c r="A877" s="1071">
        <v>99631</v>
      </c>
      <c r="B877" s="1071" t="s">
        <v>3439</v>
      </c>
      <c r="C877" s="1095">
        <v>51697.48</v>
      </c>
    </row>
    <row r="878" spans="1:3" x14ac:dyDescent="0.25">
      <c r="A878" s="1071">
        <v>99651</v>
      </c>
      <c r="B878" s="1071" t="s">
        <v>3440</v>
      </c>
      <c r="C878" s="1095">
        <v>29238.94</v>
      </c>
    </row>
    <row r="879" spans="1:3" x14ac:dyDescent="0.25">
      <c r="A879" s="1071">
        <v>99661</v>
      </c>
      <c r="B879" s="1071" t="s">
        <v>3441</v>
      </c>
      <c r="C879" s="1095">
        <v>43148.81</v>
      </c>
    </row>
    <row r="880" spans="1:3" x14ac:dyDescent="0.25">
      <c r="A880" s="1071">
        <v>99701</v>
      </c>
      <c r="B880" s="1071" t="s">
        <v>3442</v>
      </c>
      <c r="C880" s="1095">
        <v>1391279.5</v>
      </c>
    </row>
    <row r="881" spans="1:3" x14ac:dyDescent="0.25">
      <c r="A881" s="1071">
        <v>99705</v>
      </c>
      <c r="B881" s="1071" t="s">
        <v>3443</v>
      </c>
      <c r="C881" s="1095">
        <v>93269.38</v>
      </c>
    </row>
    <row r="882" spans="1:3" x14ac:dyDescent="0.25">
      <c r="A882" s="1071">
        <v>99711</v>
      </c>
      <c r="B882" s="1071" t="s">
        <v>3444</v>
      </c>
      <c r="C882" s="1095">
        <v>225681.88</v>
      </c>
    </row>
    <row r="883" spans="1:3" x14ac:dyDescent="0.25">
      <c r="A883" s="1071">
        <v>99717</v>
      </c>
      <c r="B883" s="1071" t="s">
        <v>3445</v>
      </c>
      <c r="C883" s="1095">
        <v>8973.93</v>
      </c>
    </row>
    <row r="884" spans="1:3" x14ac:dyDescent="0.25">
      <c r="A884" s="1071">
        <v>99721</v>
      </c>
      <c r="B884" s="1071" t="s">
        <v>3446</v>
      </c>
      <c r="C884" s="1095">
        <v>270994.73</v>
      </c>
    </row>
    <row r="885" spans="1:3" x14ac:dyDescent="0.25">
      <c r="A885" s="1071">
        <v>99727</v>
      </c>
      <c r="B885" s="1071" t="s">
        <v>3447</v>
      </c>
      <c r="C885" s="1095">
        <v>49308.21</v>
      </c>
    </row>
    <row r="886" spans="1:3" x14ac:dyDescent="0.25">
      <c r="A886" s="1071">
        <v>99801</v>
      </c>
      <c r="B886" s="1071" t="s">
        <v>3448</v>
      </c>
      <c r="C886" s="1095">
        <v>2325185.9300000002</v>
      </c>
    </row>
    <row r="887" spans="1:3" x14ac:dyDescent="0.25">
      <c r="A887" s="1071">
        <v>99802</v>
      </c>
      <c r="B887" s="1071" t="s">
        <v>3449</v>
      </c>
      <c r="C887" s="1095">
        <v>6755.72</v>
      </c>
    </row>
    <row r="888" spans="1:3" x14ac:dyDescent="0.25">
      <c r="A888" s="1071">
        <v>99804</v>
      </c>
      <c r="B888" s="1071" t="s">
        <v>3450</v>
      </c>
      <c r="C888" s="1095">
        <v>47970.47</v>
      </c>
    </row>
    <row r="889" spans="1:3" x14ac:dyDescent="0.25">
      <c r="A889" s="1071">
        <v>99811</v>
      </c>
      <c r="B889" s="1071" t="s">
        <v>3451</v>
      </c>
      <c r="C889" s="1095">
        <v>3068778.47</v>
      </c>
    </row>
    <row r="890" spans="1:3" x14ac:dyDescent="0.25">
      <c r="A890" s="1071">
        <v>99812</v>
      </c>
      <c r="B890" s="1071" t="s">
        <v>3452</v>
      </c>
      <c r="C890" s="1095">
        <v>21421.98</v>
      </c>
    </row>
    <row r="891" spans="1:3" x14ac:dyDescent="0.25">
      <c r="A891" s="1071">
        <v>99818</v>
      </c>
      <c r="B891" s="1071" t="s">
        <v>3453</v>
      </c>
      <c r="C891" s="1095">
        <v>13445.47</v>
      </c>
    </row>
    <row r="892" spans="1:3" x14ac:dyDescent="0.25">
      <c r="A892" s="1071">
        <v>99821</v>
      </c>
      <c r="B892" s="1071" t="s">
        <v>3454</v>
      </c>
      <c r="C892" s="1095">
        <v>50520.73</v>
      </c>
    </row>
    <row r="893" spans="1:3" x14ac:dyDescent="0.25">
      <c r="A893" s="1071">
        <v>99831</v>
      </c>
      <c r="B893" s="1071" t="s">
        <v>3455</v>
      </c>
      <c r="C893" s="1095">
        <v>27477.87</v>
      </c>
    </row>
    <row r="894" spans="1:3" x14ac:dyDescent="0.25">
      <c r="A894" s="1071">
        <v>99841</v>
      </c>
      <c r="B894" s="1071" t="s">
        <v>3456</v>
      </c>
      <c r="C894" s="1095">
        <v>17368.88</v>
      </c>
    </row>
    <row r="895" spans="1:3" x14ac:dyDescent="0.25">
      <c r="A895" s="1071">
        <v>99851</v>
      </c>
      <c r="B895" s="1071" t="s">
        <v>3457</v>
      </c>
      <c r="C895" s="1095">
        <v>8025.38</v>
      </c>
    </row>
    <row r="896" spans="1:3" x14ac:dyDescent="0.25">
      <c r="A896" s="1071">
        <v>99901</v>
      </c>
      <c r="B896" s="1071" t="s">
        <v>3458</v>
      </c>
      <c r="C896" s="1095">
        <v>758558.05</v>
      </c>
    </row>
    <row r="897" spans="1:6" x14ac:dyDescent="0.25">
      <c r="A897" s="1071">
        <v>99911</v>
      </c>
      <c r="B897" s="1071" t="s">
        <v>3459</v>
      </c>
      <c r="C897" s="1095">
        <v>126859.94</v>
      </c>
    </row>
    <row r="898" spans="1:6" x14ac:dyDescent="0.25">
      <c r="A898" s="1071">
        <v>99921</v>
      </c>
      <c r="B898" s="1071" t="s">
        <v>3460</v>
      </c>
      <c r="C898" s="1095">
        <v>60518.37</v>
      </c>
    </row>
    <row r="899" spans="1:6" x14ac:dyDescent="0.25">
      <c r="A899" s="1071">
        <v>99931</v>
      </c>
      <c r="B899" s="1071" t="s">
        <v>3461</v>
      </c>
      <c r="C899" s="1095">
        <v>9991.64</v>
      </c>
    </row>
    <row r="900" spans="1:6" x14ac:dyDescent="0.25">
      <c r="A900" s="1071">
        <v>99941</v>
      </c>
      <c r="B900" s="1071" t="s">
        <v>3462</v>
      </c>
      <c r="C900" s="1095">
        <v>34874.080000000002</v>
      </c>
    </row>
    <row r="901" spans="1:6" x14ac:dyDescent="0.25">
      <c r="A901" s="1071">
        <v>99991</v>
      </c>
      <c r="B901" s="1071" t="s">
        <v>3463</v>
      </c>
      <c r="C901" s="1098">
        <v>256527.41</v>
      </c>
    </row>
    <row r="902" spans="1:6" x14ac:dyDescent="0.25">
      <c r="A902" s="1071">
        <v>99999</v>
      </c>
      <c r="B902" s="1071" t="s">
        <v>3464</v>
      </c>
      <c r="C902" s="1095">
        <v>529104.24</v>
      </c>
      <c r="F902" s="1095"/>
    </row>
    <row r="903" spans="1:6" s="1071" customFormat="1" x14ac:dyDescent="0.25">
      <c r="A903" s="1097" t="s">
        <v>2553</v>
      </c>
      <c r="B903" s="1071" t="s">
        <v>4873</v>
      </c>
      <c r="C903" s="1095">
        <v>154957.62</v>
      </c>
    </row>
    <row r="904" spans="1:6" ht="15.75" thickBot="1" x14ac:dyDescent="0.3">
      <c r="C904" s="1099">
        <f>SUM(C3:C902)-SUM(C664,C665)</f>
        <v>489372689.06999999</v>
      </c>
    </row>
    <row r="905" spans="1:6" ht="15.75" thickTop="1" x14ac:dyDescent="0.25"/>
    <row r="906" spans="1:6" x14ac:dyDescent="0.25">
      <c r="A906" s="1071" t="s">
        <v>4877</v>
      </c>
    </row>
    <row r="907" spans="1:6" x14ac:dyDescent="0.25">
      <c r="A907" s="1071">
        <v>91119</v>
      </c>
      <c r="B907" s="1071" t="s">
        <v>1279</v>
      </c>
      <c r="C907" s="1095">
        <v>0</v>
      </c>
    </row>
    <row r="908" spans="1:6" x14ac:dyDescent="0.25">
      <c r="A908" s="1071">
        <v>92414</v>
      </c>
      <c r="B908" s="1071" t="s">
        <v>4430</v>
      </c>
      <c r="C908" s="1095">
        <v>0</v>
      </c>
    </row>
    <row r="909" spans="1:6" x14ac:dyDescent="0.25">
      <c r="A909" s="1071">
        <v>92608</v>
      </c>
      <c r="B909" s="1071" t="s">
        <v>2821</v>
      </c>
      <c r="C909" s="1095">
        <v>0</v>
      </c>
    </row>
    <row r="910" spans="1:6" x14ac:dyDescent="0.25">
      <c r="A910" s="1071">
        <v>93408</v>
      </c>
      <c r="B910" s="1071" t="s">
        <v>2891</v>
      </c>
      <c r="C910" s="1095">
        <v>0</v>
      </c>
    </row>
    <row r="911" spans="1:6" x14ac:dyDescent="0.25">
      <c r="A911" s="1071">
        <v>94402</v>
      </c>
      <c r="B911" s="1071" t="s">
        <v>2987</v>
      </c>
      <c r="C911" s="1095">
        <v>0</v>
      </c>
    </row>
    <row r="912" spans="1:6" x14ac:dyDescent="0.25">
      <c r="A912" s="1071">
        <v>95412</v>
      </c>
      <c r="B912" s="1071" t="s">
        <v>3067</v>
      </c>
      <c r="C912" s="1095">
        <v>0</v>
      </c>
    </row>
    <row r="913" spans="1:16384" x14ac:dyDescent="0.25">
      <c r="A913" s="1071">
        <v>93202</v>
      </c>
      <c r="B913" s="1071" t="s">
        <v>2870</v>
      </c>
      <c r="C913" s="1095">
        <v>0</v>
      </c>
    </row>
    <row r="914" spans="1:16384" s="1071" customFormat="1" x14ac:dyDescent="0.25">
      <c r="A914" s="1071">
        <v>93677</v>
      </c>
      <c r="B914" s="1071" t="s">
        <v>1522</v>
      </c>
      <c r="C914" s="1095">
        <v>0</v>
      </c>
      <c r="E914" s="1091"/>
      <c r="F914" s="1091"/>
      <c r="G914" s="1091"/>
      <c r="H914" s="1091"/>
      <c r="I914" s="1091"/>
      <c r="J914" s="1091"/>
      <c r="K914" s="1091"/>
      <c r="L914" s="1091"/>
      <c r="M914" s="1091"/>
      <c r="N914" s="1091"/>
      <c r="O914" s="1091"/>
      <c r="P914" s="1091"/>
      <c r="Q914" s="1091"/>
      <c r="R914" s="1091"/>
      <c r="S914" s="1091"/>
      <c r="T914" s="1091"/>
      <c r="U914" s="1091"/>
      <c r="V914" s="1091"/>
      <c r="W914" s="1091"/>
      <c r="X914" s="1091"/>
      <c r="Y914" s="1091"/>
      <c r="Z914" s="1091"/>
      <c r="AA914" s="1091"/>
      <c r="AB914" s="1091"/>
      <c r="AC914" s="1091"/>
      <c r="AD914" s="1091"/>
      <c r="AE914" s="1091"/>
      <c r="AF914" s="1091"/>
      <c r="AG914" s="1091"/>
      <c r="AH914" s="1091"/>
      <c r="AI914" s="1091"/>
      <c r="AJ914" s="1091"/>
      <c r="AK914" s="1091"/>
      <c r="AL914" s="1091"/>
      <c r="AM914" s="1091"/>
      <c r="AN914" s="1091"/>
      <c r="AO914" s="1091"/>
      <c r="AP914" s="1091"/>
      <c r="AQ914" s="1091"/>
      <c r="AR914" s="1091"/>
      <c r="AS914" s="1091"/>
      <c r="AT914" s="1091"/>
      <c r="AU914" s="1091"/>
      <c r="AV914" s="1091"/>
      <c r="AW914" s="1091"/>
      <c r="AX914" s="1091"/>
      <c r="AY914" s="1091"/>
      <c r="AZ914" s="1091"/>
      <c r="BA914" s="1091"/>
      <c r="BB914" s="1091"/>
      <c r="BC914" s="1091"/>
      <c r="BD914" s="1091"/>
      <c r="BE914" s="1091"/>
      <c r="BF914" s="1091"/>
      <c r="BG914" s="1091"/>
      <c r="BH914" s="1091"/>
      <c r="BI914" s="1091"/>
      <c r="BJ914" s="1091"/>
      <c r="BK914" s="1091"/>
      <c r="BL914" s="1091"/>
      <c r="BM914" s="1091"/>
      <c r="BN914" s="1091"/>
      <c r="BO914" s="1091"/>
      <c r="BP914" s="1091"/>
      <c r="BQ914" s="1091"/>
      <c r="BR914" s="1091"/>
      <c r="BS914" s="1091"/>
      <c r="BT914" s="1091"/>
      <c r="BU914" s="1091"/>
      <c r="BV914" s="1091"/>
      <c r="BW914" s="1091"/>
      <c r="BX914" s="1091"/>
      <c r="BY914" s="1091"/>
      <c r="BZ914" s="1091"/>
      <c r="CA914" s="1091"/>
      <c r="CB914" s="1091"/>
      <c r="CC914" s="1091"/>
      <c r="CD914" s="1091"/>
      <c r="CE914" s="1091"/>
      <c r="CF914" s="1091"/>
      <c r="CG914" s="1091"/>
      <c r="CH914" s="1091"/>
      <c r="CI914" s="1091"/>
      <c r="CJ914" s="1091"/>
      <c r="CK914" s="1091"/>
      <c r="CL914" s="1091"/>
      <c r="CM914" s="1091"/>
      <c r="CN914" s="1091"/>
      <c r="CO914" s="1091"/>
      <c r="CP914" s="1091"/>
      <c r="CQ914" s="1091"/>
      <c r="CR914" s="1091"/>
      <c r="CS914" s="1091"/>
      <c r="CT914" s="1091"/>
      <c r="CU914" s="1091"/>
      <c r="CV914" s="1091"/>
      <c r="CW914" s="1091"/>
      <c r="CX914" s="1091"/>
      <c r="CY914" s="1091"/>
      <c r="CZ914" s="1091"/>
      <c r="DA914" s="1091"/>
      <c r="DB914" s="1091"/>
      <c r="DC914" s="1091"/>
      <c r="DD914" s="1091"/>
      <c r="DE914" s="1091"/>
      <c r="DF914" s="1091"/>
      <c r="DG914" s="1091"/>
      <c r="DH914" s="1091"/>
      <c r="DI914" s="1091"/>
      <c r="DJ914" s="1091"/>
      <c r="DK914" s="1091"/>
      <c r="DL914" s="1091"/>
      <c r="DM914" s="1091"/>
      <c r="DN914" s="1091"/>
      <c r="DO914" s="1091"/>
      <c r="DP914" s="1091"/>
      <c r="DQ914" s="1091"/>
      <c r="DR914" s="1091"/>
      <c r="DS914" s="1091"/>
      <c r="DT914" s="1091"/>
      <c r="DU914" s="1091"/>
      <c r="DV914" s="1091"/>
      <c r="DW914" s="1091"/>
      <c r="DX914" s="1091"/>
      <c r="DY914" s="1091"/>
      <c r="DZ914" s="1091"/>
      <c r="EA914" s="1091"/>
      <c r="EB914" s="1091"/>
      <c r="EC914" s="1091"/>
      <c r="ED914" s="1091"/>
      <c r="EE914" s="1091"/>
      <c r="EF914" s="1091"/>
      <c r="EG914" s="1091"/>
      <c r="EH914" s="1091"/>
      <c r="EI914" s="1091"/>
      <c r="EJ914" s="1091"/>
      <c r="EK914" s="1091"/>
      <c r="EL914" s="1091"/>
      <c r="EM914" s="1091"/>
      <c r="EN914" s="1091"/>
      <c r="EO914" s="1091"/>
      <c r="EP914" s="1091"/>
      <c r="EQ914" s="1091"/>
      <c r="ER914" s="1091"/>
      <c r="ES914" s="1091"/>
      <c r="ET914" s="1091"/>
      <c r="EU914" s="1091"/>
      <c r="EV914" s="1091"/>
      <c r="EW914" s="1091"/>
      <c r="EX914" s="1091"/>
      <c r="EY914" s="1091"/>
      <c r="EZ914" s="1091"/>
      <c r="FA914" s="1091"/>
      <c r="FB914" s="1091"/>
      <c r="FC914" s="1091"/>
      <c r="FD914" s="1091"/>
      <c r="FE914" s="1091"/>
      <c r="FF914" s="1091"/>
      <c r="FG914" s="1091"/>
      <c r="FH914" s="1091"/>
      <c r="FI914" s="1091"/>
      <c r="FJ914" s="1091"/>
      <c r="FK914" s="1091"/>
      <c r="FL914" s="1091"/>
      <c r="FM914" s="1091"/>
      <c r="FN914" s="1091"/>
      <c r="FO914" s="1091"/>
      <c r="FP914" s="1091"/>
      <c r="FQ914" s="1091"/>
      <c r="FR914" s="1091"/>
      <c r="FS914" s="1091"/>
      <c r="FT914" s="1091"/>
      <c r="FU914" s="1091"/>
      <c r="FV914" s="1091"/>
      <c r="FW914" s="1091"/>
      <c r="FX914" s="1091"/>
      <c r="FY914" s="1091"/>
      <c r="FZ914" s="1091"/>
      <c r="GA914" s="1091"/>
      <c r="GB914" s="1091"/>
      <c r="GC914" s="1091"/>
      <c r="GD914" s="1091"/>
      <c r="GE914" s="1091"/>
      <c r="GF914" s="1091"/>
      <c r="GG914" s="1091"/>
      <c r="GH914" s="1091"/>
      <c r="GI914" s="1091"/>
      <c r="GJ914" s="1091"/>
      <c r="GK914" s="1091"/>
      <c r="GL914" s="1091"/>
      <c r="GM914" s="1091"/>
      <c r="GN914" s="1091"/>
      <c r="GO914" s="1091"/>
      <c r="GP914" s="1091"/>
      <c r="GQ914" s="1091"/>
      <c r="GR914" s="1091"/>
      <c r="GS914" s="1091"/>
      <c r="GT914" s="1091"/>
      <c r="GU914" s="1091"/>
      <c r="GV914" s="1091"/>
      <c r="GW914" s="1091"/>
      <c r="GX914" s="1091"/>
      <c r="GY914" s="1091"/>
      <c r="GZ914" s="1091"/>
      <c r="HA914" s="1091"/>
      <c r="HB914" s="1091"/>
      <c r="HC914" s="1091"/>
      <c r="HD914" s="1091"/>
      <c r="HE914" s="1091"/>
      <c r="HF914" s="1091"/>
      <c r="HG914" s="1091"/>
      <c r="HH914" s="1091"/>
      <c r="HI914" s="1091"/>
      <c r="HJ914" s="1091"/>
      <c r="HK914" s="1091"/>
      <c r="HL914" s="1091"/>
      <c r="HM914" s="1091"/>
      <c r="HN914" s="1091"/>
      <c r="HO914" s="1091"/>
      <c r="HP914" s="1091"/>
      <c r="HQ914" s="1091"/>
      <c r="HR914" s="1091"/>
      <c r="HS914" s="1091"/>
      <c r="HT914" s="1091"/>
      <c r="HU914" s="1091"/>
      <c r="HV914" s="1091"/>
      <c r="HW914" s="1091"/>
      <c r="HX914" s="1091"/>
      <c r="HY914" s="1091"/>
      <c r="HZ914" s="1091"/>
      <c r="IA914" s="1091"/>
      <c r="IB914" s="1091"/>
      <c r="IC914" s="1091"/>
      <c r="ID914" s="1091"/>
      <c r="IE914" s="1091"/>
      <c r="IF914" s="1091"/>
      <c r="IG914" s="1091"/>
      <c r="IH914" s="1091"/>
      <c r="II914" s="1091"/>
      <c r="IJ914" s="1091"/>
      <c r="IK914" s="1091"/>
      <c r="IL914" s="1091"/>
      <c r="IM914" s="1091"/>
      <c r="IN914" s="1091"/>
      <c r="IO914" s="1091"/>
      <c r="IP914" s="1091"/>
      <c r="IQ914" s="1091"/>
      <c r="IR914" s="1091"/>
      <c r="IS914" s="1091"/>
      <c r="IT914" s="1091"/>
      <c r="IU914" s="1091"/>
      <c r="IV914" s="1091"/>
      <c r="IW914" s="1091"/>
      <c r="IX914" s="1091"/>
      <c r="IY914" s="1091"/>
      <c r="IZ914" s="1091"/>
      <c r="JA914" s="1091"/>
      <c r="JB914" s="1091"/>
      <c r="JC914" s="1091"/>
      <c r="JD914" s="1091"/>
      <c r="JE914" s="1091"/>
      <c r="JF914" s="1091"/>
      <c r="JG914" s="1091"/>
      <c r="JH914" s="1091"/>
      <c r="JI914" s="1091"/>
      <c r="JJ914" s="1091"/>
      <c r="JK914" s="1091"/>
      <c r="JL914" s="1091"/>
      <c r="JM914" s="1091"/>
      <c r="JN914" s="1091"/>
      <c r="JO914" s="1091"/>
      <c r="JP914" s="1091"/>
      <c r="JQ914" s="1091"/>
      <c r="JR914" s="1091"/>
      <c r="JS914" s="1091"/>
      <c r="JT914" s="1091"/>
      <c r="JU914" s="1091"/>
      <c r="JV914" s="1091"/>
      <c r="JW914" s="1091"/>
      <c r="JX914" s="1091"/>
      <c r="JY914" s="1091"/>
      <c r="JZ914" s="1091"/>
      <c r="KA914" s="1091"/>
      <c r="KB914" s="1091"/>
      <c r="KC914" s="1091"/>
      <c r="KD914" s="1091"/>
      <c r="KE914" s="1091"/>
      <c r="KF914" s="1091"/>
      <c r="KG914" s="1091"/>
      <c r="KH914" s="1091"/>
      <c r="KI914" s="1091"/>
      <c r="KJ914" s="1091"/>
      <c r="KK914" s="1091"/>
      <c r="KL914" s="1091"/>
      <c r="KM914" s="1091"/>
      <c r="KN914" s="1091"/>
      <c r="KO914" s="1091"/>
      <c r="KP914" s="1091"/>
      <c r="KQ914" s="1091"/>
      <c r="KR914" s="1091"/>
      <c r="KS914" s="1091"/>
      <c r="KT914" s="1091"/>
      <c r="KU914" s="1091"/>
      <c r="KV914" s="1091"/>
      <c r="KW914" s="1091"/>
      <c r="KX914" s="1091"/>
      <c r="KY914" s="1091"/>
      <c r="KZ914" s="1091"/>
      <c r="LA914" s="1091"/>
      <c r="LB914" s="1091"/>
      <c r="LC914" s="1091"/>
      <c r="LD914" s="1091"/>
      <c r="LE914" s="1091"/>
      <c r="LF914" s="1091"/>
      <c r="LG914" s="1091"/>
      <c r="LH914" s="1091"/>
      <c r="LI914" s="1091"/>
      <c r="LJ914" s="1091"/>
      <c r="LK914" s="1091"/>
      <c r="LL914" s="1091"/>
      <c r="LM914" s="1091"/>
      <c r="LN914" s="1091"/>
      <c r="LO914" s="1091"/>
      <c r="LP914" s="1091"/>
      <c r="LQ914" s="1091"/>
      <c r="LR914" s="1091"/>
      <c r="LS914" s="1091"/>
      <c r="LT914" s="1091"/>
      <c r="LU914" s="1091"/>
      <c r="LV914" s="1091"/>
      <c r="LW914" s="1091"/>
      <c r="LX914" s="1091"/>
      <c r="LY914" s="1091"/>
      <c r="LZ914" s="1091"/>
      <c r="MA914" s="1091"/>
      <c r="MB914" s="1091"/>
      <c r="MC914" s="1091"/>
      <c r="MD914" s="1091"/>
      <c r="ME914" s="1091"/>
      <c r="MF914" s="1091"/>
      <c r="MG914" s="1091"/>
      <c r="MH914" s="1091"/>
      <c r="MI914" s="1091"/>
      <c r="MJ914" s="1091"/>
      <c r="MK914" s="1091"/>
      <c r="ML914" s="1091"/>
      <c r="MM914" s="1091"/>
      <c r="MN914" s="1091"/>
      <c r="MO914" s="1091"/>
      <c r="MP914" s="1091"/>
      <c r="MQ914" s="1091"/>
      <c r="MR914" s="1091"/>
      <c r="MS914" s="1091"/>
      <c r="MT914" s="1091"/>
      <c r="MU914" s="1091"/>
      <c r="MV914" s="1091"/>
      <c r="MW914" s="1091"/>
      <c r="MX914" s="1091"/>
      <c r="MY914" s="1091"/>
      <c r="MZ914" s="1091"/>
      <c r="NA914" s="1091"/>
      <c r="NB914" s="1091"/>
      <c r="NC914" s="1091"/>
      <c r="ND914" s="1091"/>
      <c r="NE914" s="1091"/>
      <c r="NF914" s="1091"/>
      <c r="NG914" s="1091"/>
      <c r="NH914" s="1091"/>
      <c r="NI914" s="1091"/>
      <c r="NJ914" s="1091"/>
      <c r="NK914" s="1091"/>
      <c r="NL914" s="1091"/>
      <c r="NM914" s="1091"/>
      <c r="NN914" s="1091"/>
      <c r="NO914" s="1091"/>
      <c r="NP914" s="1091"/>
      <c r="NQ914" s="1091"/>
      <c r="NR914" s="1091"/>
      <c r="NS914" s="1091"/>
      <c r="NT914" s="1091"/>
      <c r="NU914" s="1091"/>
      <c r="NV914" s="1091"/>
      <c r="NW914" s="1091"/>
      <c r="NX914" s="1091"/>
      <c r="NY914" s="1091"/>
      <c r="NZ914" s="1091"/>
      <c r="OA914" s="1091"/>
      <c r="OB914" s="1091"/>
      <c r="OC914" s="1091"/>
      <c r="OD914" s="1091"/>
      <c r="OE914" s="1091"/>
      <c r="OF914" s="1091"/>
      <c r="OG914" s="1091"/>
      <c r="OH914" s="1091"/>
      <c r="OI914" s="1091"/>
      <c r="OJ914" s="1091"/>
      <c r="OK914" s="1091"/>
      <c r="OL914" s="1091"/>
      <c r="OM914" s="1091"/>
      <c r="ON914" s="1091"/>
      <c r="OO914" s="1091"/>
      <c r="OP914" s="1091"/>
      <c r="OQ914" s="1091"/>
      <c r="OR914" s="1091"/>
      <c r="OS914" s="1091"/>
      <c r="OT914" s="1091"/>
      <c r="OU914" s="1091"/>
      <c r="OV914" s="1091"/>
      <c r="OW914" s="1091"/>
      <c r="OX914" s="1091"/>
      <c r="OY914" s="1091"/>
      <c r="OZ914" s="1091"/>
      <c r="PA914" s="1091"/>
      <c r="PB914" s="1091"/>
      <c r="PC914" s="1091"/>
      <c r="PD914" s="1091"/>
      <c r="PE914" s="1091"/>
      <c r="PF914" s="1091"/>
      <c r="PG914" s="1091"/>
      <c r="PH914" s="1091"/>
      <c r="PI914" s="1091"/>
      <c r="PJ914" s="1091"/>
      <c r="PK914" s="1091"/>
      <c r="PL914" s="1091"/>
      <c r="PM914" s="1091"/>
      <c r="PN914" s="1091"/>
      <c r="PO914" s="1091"/>
      <c r="PP914" s="1091"/>
      <c r="PQ914" s="1091"/>
      <c r="PR914" s="1091"/>
      <c r="PS914" s="1091"/>
      <c r="PT914" s="1091"/>
      <c r="PU914" s="1091"/>
      <c r="PV914" s="1091"/>
      <c r="PW914" s="1091"/>
      <c r="PX914" s="1091"/>
      <c r="PY914" s="1091"/>
      <c r="PZ914" s="1091"/>
      <c r="QA914" s="1091"/>
      <c r="QB914" s="1091"/>
      <c r="QC914" s="1091"/>
      <c r="QD914" s="1091"/>
      <c r="QE914" s="1091"/>
      <c r="QF914" s="1091"/>
      <c r="QG914" s="1091"/>
      <c r="QH914" s="1091"/>
      <c r="QI914" s="1091"/>
      <c r="QJ914" s="1091"/>
      <c r="QK914" s="1091"/>
      <c r="QL914" s="1091"/>
      <c r="QM914" s="1091"/>
      <c r="QN914" s="1091"/>
      <c r="QO914" s="1091"/>
      <c r="QP914" s="1091"/>
      <c r="QQ914" s="1091"/>
      <c r="QR914" s="1091"/>
      <c r="QS914" s="1091"/>
      <c r="QT914" s="1091"/>
      <c r="QU914" s="1091"/>
      <c r="QV914" s="1091"/>
      <c r="QW914" s="1091"/>
      <c r="QX914" s="1091"/>
      <c r="QY914" s="1091"/>
      <c r="QZ914" s="1091"/>
      <c r="RA914" s="1091"/>
      <c r="RB914" s="1091"/>
      <c r="RC914" s="1091"/>
      <c r="RD914" s="1091"/>
      <c r="RE914" s="1091"/>
      <c r="RF914" s="1091"/>
      <c r="RG914" s="1091"/>
      <c r="RH914" s="1091"/>
      <c r="RI914" s="1091"/>
      <c r="RJ914" s="1091"/>
      <c r="RK914" s="1091"/>
      <c r="RL914" s="1091"/>
      <c r="RM914" s="1091"/>
      <c r="RN914" s="1091"/>
      <c r="RO914" s="1091"/>
      <c r="RP914" s="1091"/>
      <c r="RQ914" s="1091"/>
      <c r="RR914" s="1091"/>
      <c r="RS914" s="1091"/>
      <c r="RT914" s="1091"/>
      <c r="RU914" s="1091"/>
      <c r="RV914" s="1091"/>
      <c r="RW914" s="1091"/>
      <c r="RX914" s="1091"/>
      <c r="RY914" s="1091"/>
      <c r="RZ914" s="1091"/>
      <c r="SA914" s="1091"/>
      <c r="SB914" s="1091"/>
      <c r="SC914" s="1091"/>
      <c r="SD914" s="1091"/>
      <c r="SE914" s="1091"/>
      <c r="SF914" s="1091"/>
      <c r="SG914" s="1091"/>
      <c r="SH914" s="1091"/>
      <c r="SI914" s="1091"/>
      <c r="SJ914" s="1091"/>
      <c r="SK914" s="1091"/>
      <c r="SL914" s="1091"/>
      <c r="SM914" s="1091"/>
      <c r="SN914" s="1091"/>
      <c r="SO914" s="1091"/>
      <c r="SP914" s="1091"/>
      <c r="SQ914" s="1091"/>
      <c r="SR914" s="1091"/>
      <c r="SS914" s="1091"/>
      <c r="ST914" s="1091"/>
      <c r="SU914" s="1091"/>
      <c r="SV914" s="1091"/>
      <c r="SW914" s="1091"/>
      <c r="SX914" s="1091"/>
      <c r="SY914" s="1091"/>
      <c r="SZ914" s="1091"/>
      <c r="TA914" s="1091"/>
      <c r="TB914" s="1091"/>
      <c r="TC914" s="1091"/>
      <c r="TD914" s="1091"/>
      <c r="TE914" s="1091"/>
      <c r="TF914" s="1091"/>
      <c r="TG914" s="1091"/>
      <c r="TH914" s="1091"/>
      <c r="TI914" s="1091"/>
      <c r="TJ914" s="1091"/>
      <c r="TK914" s="1091"/>
      <c r="TL914" s="1091"/>
      <c r="TM914" s="1091"/>
      <c r="TN914" s="1091"/>
      <c r="TO914" s="1091"/>
      <c r="TP914" s="1091"/>
      <c r="TQ914" s="1091"/>
      <c r="TR914" s="1091"/>
      <c r="TS914" s="1091"/>
      <c r="TT914" s="1091"/>
      <c r="TU914" s="1091"/>
      <c r="TV914" s="1091"/>
      <c r="TW914" s="1091"/>
      <c r="TX914" s="1091"/>
      <c r="TY914" s="1091"/>
      <c r="TZ914" s="1091"/>
      <c r="UA914" s="1091"/>
      <c r="UB914" s="1091"/>
      <c r="UC914" s="1091"/>
      <c r="UD914" s="1091"/>
      <c r="UE914" s="1091"/>
      <c r="UF914" s="1091"/>
      <c r="UG914" s="1091"/>
      <c r="UH914" s="1091"/>
      <c r="UI914" s="1091"/>
      <c r="UJ914" s="1091"/>
      <c r="UK914" s="1091"/>
      <c r="UL914" s="1091"/>
      <c r="UM914" s="1091"/>
      <c r="UN914" s="1091"/>
      <c r="UO914" s="1091"/>
      <c r="UP914" s="1091"/>
      <c r="UQ914" s="1091"/>
      <c r="UR914" s="1091"/>
      <c r="US914" s="1091"/>
      <c r="UT914" s="1091"/>
      <c r="UU914" s="1091"/>
      <c r="UV914" s="1091"/>
      <c r="UW914" s="1091"/>
      <c r="UX914" s="1091"/>
      <c r="UY914" s="1091"/>
      <c r="UZ914" s="1091"/>
      <c r="VA914" s="1091"/>
      <c r="VB914" s="1091"/>
      <c r="VC914" s="1091"/>
      <c r="VD914" s="1091"/>
      <c r="VE914" s="1091"/>
      <c r="VF914" s="1091"/>
      <c r="VG914" s="1091"/>
      <c r="VH914" s="1091"/>
      <c r="VI914" s="1091"/>
      <c r="VJ914" s="1091"/>
      <c r="VK914" s="1091"/>
      <c r="VL914" s="1091"/>
      <c r="VM914" s="1091"/>
      <c r="VN914" s="1091"/>
      <c r="VO914" s="1091"/>
      <c r="VP914" s="1091"/>
      <c r="VQ914" s="1091"/>
      <c r="VR914" s="1091"/>
      <c r="VS914" s="1091"/>
      <c r="VT914" s="1091"/>
      <c r="VU914" s="1091"/>
      <c r="VV914" s="1091"/>
      <c r="VW914" s="1091"/>
      <c r="VX914" s="1091"/>
      <c r="VY914" s="1091"/>
      <c r="VZ914" s="1091"/>
      <c r="WA914" s="1091"/>
      <c r="WB914" s="1091"/>
      <c r="WC914" s="1091"/>
      <c r="WD914" s="1091"/>
      <c r="WE914" s="1091"/>
      <c r="WF914" s="1091"/>
      <c r="WG914" s="1091"/>
      <c r="WH914" s="1091"/>
      <c r="WI914" s="1091"/>
      <c r="WJ914" s="1091"/>
      <c r="WK914" s="1091"/>
      <c r="WL914" s="1091"/>
      <c r="WM914" s="1091"/>
      <c r="WN914" s="1091"/>
      <c r="WO914" s="1091"/>
      <c r="WP914" s="1091"/>
      <c r="WQ914" s="1091"/>
      <c r="WR914" s="1091"/>
      <c r="WS914" s="1091"/>
      <c r="WT914" s="1091"/>
      <c r="WU914" s="1091"/>
      <c r="WV914" s="1091"/>
      <c r="WW914" s="1091"/>
      <c r="WX914" s="1091"/>
      <c r="WY914" s="1091"/>
      <c r="WZ914" s="1091"/>
      <c r="XA914" s="1091"/>
      <c r="XB914" s="1091"/>
      <c r="XC914" s="1091"/>
      <c r="XD914" s="1091"/>
      <c r="XE914" s="1091"/>
      <c r="XF914" s="1091"/>
      <c r="XG914" s="1091"/>
      <c r="XH914" s="1091"/>
      <c r="XI914" s="1091"/>
      <c r="XJ914" s="1091"/>
      <c r="XK914" s="1091"/>
      <c r="XL914" s="1091"/>
      <c r="XM914" s="1091"/>
      <c r="XN914" s="1091"/>
      <c r="XO914" s="1091"/>
      <c r="XP914" s="1091"/>
      <c r="XQ914" s="1091"/>
      <c r="XR914" s="1091"/>
      <c r="XS914" s="1091"/>
      <c r="XT914" s="1091"/>
      <c r="XU914" s="1091"/>
      <c r="XV914" s="1091"/>
      <c r="XW914" s="1091"/>
      <c r="XX914" s="1091"/>
      <c r="XY914" s="1091"/>
      <c r="XZ914" s="1091"/>
      <c r="YA914" s="1091"/>
      <c r="YB914" s="1091"/>
      <c r="YC914" s="1091"/>
      <c r="YD914" s="1091"/>
      <c r="YE914" s="1091"/>
      <c r="YF914" s="1091"/>
      <c r="YG914" s="1091"/>
      <c r="YH914" s="1091"/>
      <c r="YI914" s="1091"/>
      <c r="YJ914" s="1091"/>
      <c r="YK914" s="1091"/>
      <c r="YL914" s="1091"/>
      <c r="YM914" s="1091"/>
      <c r="YN914" s="1091"/>
      <c r="YO914" s="1091"/>
      <c r="YP914" s="1091"/>
      <c r="YQ914" s="1091"/>
      <c r="YR914" s="1091"/>
      <c r="YS914" s="1091"/>
      <c r="YT914" s="1091"/>
      <c r="YU914" s="1091"/>
      <c r="YV914" s="1091"/>
      <c r="YW914" s="1091"/>
      <c r="YX914" s="1091"/>
      <c r="YY914" s="1091"/>
      <c r="YZ914" s="1091"/>
      <c r="ZA914" s="1091"/>
      <c r="ZB914" s="1091"/>
      <c r="ZC914" s="1091"/>
      <c r="ZD914" s="1091"/>
      <c r="ZE914" s="1091"/>
      <c r="ZF914" s="1091"/>
      <c r="ZG914" s="1091"/>
      <c r="ZH914" s="1091"/>
      <c r="ZI914" s="1091"/>
      <c r="ZJ914" s="1091"/>
      <c r="ZK914" s="1091"/>
      <c r="ZL914" s="1091"/>
      <c r="ZM914" s="1091"/>
      <c r="ZN914" s="1091"/>
      <c r="ZO914" s="1091"/>
      <c r="ZP914" s="1091"/>
      <c r="ZQ914" s="1091"/>
      <c r="ZR914" s="1091"/>
      <c r="ZS914" s="1091"/>
      <c r="ZT914" s="1091"/>
      <c r="ZU914" s="1091"/>
      <c r="ZV914" s="1091"/>
      <c r="ZW914" s="1091"/>
      <c r="ZX914" s="1091"/>
      <c r="ZY914" s="1091"/>
      <c r="ZZ914" s="1091"/>
      <c r="AAA914" s="1091"/>
      <c r="AAB914" s="1091"/>
      <c r="AAC914" s="1091"/>
      <c r="AAD914" s="1091"/>
      <c r="AAE914" s="1091"/>
      <c r="AAF914" s="1091"/>
      <c r="AAG914" s="1091"/>
      <c r="AAH914" s="1091"/>
      <c r="AAI914" s="1091"/>
      <c r="AAJ914" s="1091"/>
      <c r="AAK914" s="1091"/>
      <c r="AAL914" s="1091"/>
      <c r="AAM914" s="1091"/>
      <c r="AAN914" s="1091"/>
      <c r="AAO914" s="1091"/>
      <c r="AAP914" s="1091"/>
      <c r="AAQ914" s="1091"/>
      <c r="AAR914" s="1091"/>
      <c r="AAS914" s="1091"/>
      <c r="AAT914" s="1091"/>
      <c r="AAU914" s="1091"/>
      <c r="AAV914" s="1091"/>
      <c r="AAW914" s="1091"/>
      <c r="AAX914" s="1091"/>
      <c r="AAY914" s="1091"/>
      <c r="AAZ914" s="1091"/>
      <c r="ABA914" s="1091"/>
      <c r="ABB914" s="1091"/>
      <c r="ABC914" s="1091"/>
      <c r="ABD914" s="1091"/>
      <c r="ABE914" s="1091"/>
      <c r="ABF914" s="1091"/>
      <c r="ABG914" s="1091"/>
      <c r="ABH914" s="1091"/>
      <c r="ABI914" s="1091"/>
      <c r="ABJ914" s="1091"/>
      <c r="ABK914" s="1091"/>
      <c r="ABL914" s="1091"/>
      <c r="ABM914" s="1091"/>
      <c r="ABN914" s="1091"/>
      <c r="ABO914" s="1091"/>
      <c r="ABP914" s="1091"/>
      <c r="ABQ914" s="1091"/>
      <c r="ABR914" s="1091"/>
      <c r="ABS914" s="1091"/>
      <c r="ABT914" s="1091"/>
      <c r="ABU914" s="1091"/>
      <c r="ABV914" s="1091"/>
      <c r="ABW914" s="1091"/>
      <c r="ABX914" s="1091"/>
      <c r="ABY914" s="1091"/>
      <c r="ABZ914" s="1091"/>
      <c r="ACA914" s="1091"/>
      <c r="ACB914" s="1091"/>
      <c r="ACC914" s="1091"/>
      <c r="ACD914" s="1091"/>
      <c r="ACE914" s="1091"/>
      <c r="ACF914" s="1091"/>
      <c r="ACG914" s="1091"/>
      <c r="ACH914" s="1091"/>
      <c r="ACI914" s="1091"/>
      <c r="ACJ914" s="1091"/>
      <c r="ACK914" s="1091"/>
      <c r="ACL914" s="1091"/>
      <c r="ACM914" s="1091"/>
      <c r="ACN914" s="1091"/>
      <c r="ACO914" s="1091"/>
      <c r="ACP914" s="1091"/>
      <c r="ACQ914" s="1091"/>
      <c r="ACR914" s="1091"/>
      <c r="ACS914" s="1091"/>
      <c r="ACT914" s="1091"/>
      <c r="ACU914" s="1091"/>
      <c r="ACV914" s="1091"/>
      <c r="ACW914" s="1091"/>
      <c r="ACX914" s="1091"/>
      <c r="ACY914" s="1091"/>
      <c r="ACZ914" s="1091"/>
      <c r="ADA914" s="1091"/>
      <c r="ADB914" s="1091"/>
      <c r="ADC914" s="1091"/>
      <c r="ADD914" s="1091"/>
      <c r="ADE914" s="1091"/>
      <c r="ADF914" s="1091"/>
      <c r="ADG914" s="1091"/>
      <c r="ADH914" s="1091"/>
      <c r="ADI914" s="1091"/>
      <c r="ADJ914" s="1091"/>
      <c r="ADK914" s="1091"/>
      <c r="ADL914" s="1091"/>
      <c r="ADM914" s="1091"/>
      <c r="ADN914" s="1091"/>
      <c r="ADO914" s="1091"/>
      <c r="ADP914" s="1091"/>
      <c r="ADQ914" s="1091"/>
      <c r="ADR914" s="1091"/>
      <c r="ADS914" s="1091"/>
      <c r="ADT914" s="1091"/>
      <c r="ADU914" s="1091"/>
      <c r="ADV914" s="1091"/>
      <c r="ADW914" s="1091"/>
      <c r="ADX914" s="1091"/>
      <c r="ADY914" s="1091"/>
      <c r="ADZ914" s="1091"/>
      <c r="AEA914" s="1091"/>
      <c r="AEB914" s="1091"/>
      <c r="AEC914" s="1091"/>
      <c r="AED914" s="1091"/>
      <c r="AEE914" s="1091"/>
      <c r="AEF914" s="1091"/>
      <c r="AEG914" s="1091"/>
      <c r="AEH914" s="1091"/>
      <c r="AEI914" s="1091"/>
      <c r="AEJ914" s="1091"/>
      <c r="AEK914" s="1091"/>
      <c r="AEL914" s="1091"/>
      <c r="AEM914" s="1091"/>
      <c r="AEN914" s="1091"/>
      <c r="AEO914" s="1091"/>
      <c r="AEP914" s="1091"/>
      <c r="AEQ914" s="1091"/>
      <c r="AER914" s="1091"/>
      <c r="AES914" s="1091"/>
      <c r="AET914" s="1091"/>
      <c r="AEU914" s="1091"/>
      <c r="AEV914" s="1091"/>
      <c r="AEW914" s="1091"/>
      <c r="AEX914" s="1091"/>
      <c r="AEY914" s="1091"/>
      <c r="AEZ914" s="1091"/>
      <c r="AFA914" s="1091"/>
      <c r="AFB914" s="1091"/>
      <c r="AFC914" s="1091"/>
      <c r="AFD914" s="1091"/>
      <c r="AFE914" s="1091"/>
      <c r="AFF914" s="1091"/>
      <c r="AFG914" s="1091"/>
      <c r="AFH914" s="1091"/>
      <c r="AFI914" s="1091"/>
      <c r="AFJ914" s="1091"/>
      <c r="AFK914" s="1091"/>
      <c r="AFL914" s="1091"/>
      <c r="AFM914" s="1091"/>
      <c r="AFN914" s="1091"/>
      <c r="AFO914" s="1091"/>
      <c r="AFP914" s="1091"/>
      <c r="AFQ914" s="1091"/>
      <c r="AFR914" s="1091"/>
      <c r="AFS914" s="1091"/>
      <c r="AFT914" s="1091"/>
      <c r="AFU914" s="1091"/>
      <c r="AFV914" s="1091"/>
      <c r="AFW914" s="1091"/>
      <c r="AFX914" s="1091"/>
      <c r="AFY914" s="1091"/>
      <c r="AFZ914" s="1091"/>
      <c r="AGA914" s="1091"/>
      <c r="AGB914" s="1091"/>
      <c r="AGC914" s="1091"/>
      <c r="AGD914" s="1091"/>
      <c r="AGE914" s="1091"/>
      <c r="AGF914" s="1091"/>
      <c r="AGG914" s="1091"/>
      <c r="AGH914" s="1091"/>
      <c r="AGI914" s="1091"/>
      <c r="AGJ914" s="1091"/>
      <c r="AGK914" s="1091"/>
      <c r="AGL914" s="1091"/>
      <c r="AGM914" s="1091"/>
      <c r="AGN914" s="1091"/>
      <c r="AGO914" s="1091"/>
      <c r="AGP914" s="1091"/>
      <c r="AGQ914" s="1091"/>
      <c r="AGR914" s="1091"/>
      <c r="AGS914" s="1091"/>
      <c r="AGT914" s="1091"/>
      <c r="AGU914" s="1091"/>
      <c r="AGV914" s="1091"/>
      <c r="AGW914" s="1091"/>
      <c r="AGX914" s="1091"/>
      <c r="AGY914" s="1091"/>
      <c r="AGZ914" s="1091"/>
      <c r="AHA914" s="1091"/>
      <c r="AHB914" s="1091"/>
      <c r="AHC914" s="1091"/>
      <c r="AHD914" s="1091"/>
      <c r="AHE914" s="1091"/>
      <c r="AHF914" s="1091"/>
      <c r="AHG914" s="1091"/>
      <c r="AHH914" s="1091"/>
      <c r="AHI914" s="1091"/>
      <c r="AHJ914" s="1091"/>
      <c r="AHK914" s="1091"/>
      <c r="AHL914" s="1091"/>
      <c r="AHM914" s="1091"/>
      <c r="AHN914" s="1091"/>
      <c r="AHO914" s="1091"/>
      <c r="AHP914" s="1091"/>
      <c r="AHQ914" s="1091"/>
      <c r="AHR914" s="1091"/>
      <c r="AHS914" s="1091"/>
      <c r="AHT914" s="1091"/>
      <c r="AHU914" s="1091"/>
      <c r="AHV914" s="1091"/>
      <c r="AHW914" s="1091"/>
      <c r="AHX914" s="1091"/>
      <c r="AHY914" s="1091"/>
      <c r="AHZ914" s="1091"/>
      <c r="AIA914" s="1091"/>
      <c r="AIB914" s="1091"/>
      <c r="AIC914" s="1091"/>
      <c r="AID914" s="1091"/>
      <c r="AIE914" s="1091"/>
      <c r="AIF914" s="1091"/>
      <c r="AIG914" s="1091"/>
      <c r="AIH914" s="1091"/>
      <c r="AII914" s="1091"/>
      <c r="AIJ914" s="1091"/>
      <c r="AIK914" s="1091"/>
      <c r="AIL914" s="1091"/>
      <c r="AIM914" s="1091"/>
      <c r="AIN914" s="1091"/>
      <c r="AIO914" s="1091"/>
      <c r="AIP914" s="1091"/>
      <c r="AIQ914" s="1091"/>
      <c r="AIR914" s="1091"/>
      <c r="AIS914" s="1091"/>
      <c r="AIT914" s="1091"/>
      <c r="AIU914" s="1091"/>
      <c r="AIV914" s="1091"/>
      <c r="AIW914" s="1091"/>
      <c r="AIX914" s="1091"/>
      <c r="AIY914" s="1091"/>
      <c r="AIZ914" s="1091"/>
      <c r="AJA914" s="1091"/>
      <c r="AJB914" s="1091"/>
      <c r="AJC914" s="1091"/>
      <c r="AJD914" s="1091"/>
      <c r="AJE914" s="1091"/>
      <c r="AJF914" s="1091"/>
      <c r="AJG914" s="1091"/>
      <c r="AJH914" s="1091"/>
      <c r="AJI914" s="1091"/>
      <c r="AJJ914" s="1091"/>
      <c r="AJK914" s="1091"/>
      <c r="AJL914" s="1091"/>
      <c r="AJM914" s="1091"/>
      <c r="AJN914" s="1091"/>
      <c r="AJO914" s="1091"/>
      <c r="AJP914" s="1091"/>
      <c r="AJQ914" s="1091"/>
      <c r="AJR914" s="1091"/>
      <c r="AJS914" s="1091"/>
      <c r="AJT914" s="1091"/>
      <c r="AJU914" s="1091"/>
      <c r="AJV914" s="1091"/>
      <c r="AJW914" s="1091"/>
      <c r="AJX914" s="1091"/>
      <c r="AJY914" s="1091"/>
      <c r="AJZ914" s="1091"/>
      <c r="AKA914" s="1091"/>
      <c r="AKB914" s="1091"/>
      <c r="AKC914" s="1091"/>
      <c r="AKD914" s="1091"/>
      <c r="AKE914" s="1091"/>
      <c r="AKF914" s="1091"/>
      <c r="AKG914" s="1091"/>
      <c r="AKH914" s="1091"/>
      <c r="AKI914" s="1091"/>
      <c r="AKJ914" s="1091"/>
      <c r="AKK914" s="1091"/>
      <c r="AKL914" s="1091"/>
      <c r="AKM914" s="1091"/>
      <c r="AKN914" s="1091"/>
      <c r="AKO914" s="1091"/>
      <c r="AKP914" s="1091"/>
      <c r="AKQ914" s="1091"/>
      <c r="AKR914" s="1091"/>
      <c r="AKS914" s="1091"/>
      <c r="AKT914" s="1091"/>
      <c r="AKU914" s="1091"/>
      <c r="AKV914" s="1091"/>
      <c r="AKW914" s="1091"/>
      <c r="AKX914" s="1091"/>
      <c r="AKY914" s="1091"/>
      <c r="AKZ914" s="1091"/>
      <c r="ALA914" s="1091"/>
      <c r="ALB914" s="1091"/>
      <c r="ALC914" s="1091"/>
      <c r="ALD914" s="1091"/>
      <c r="ALE914" s="1091"/>
      <c r="ALF914" s="1091"/>
      <c r="ALG914" s="1091"/>
      <c r="ALH914" s="1091"/>
      <c r="ALI914" s="1091"/>
      <c r="ALJ914" s="1091"/>
      <c r="ALK914" s="1091"/>
      <c r="ALL914" s="1091"/>
      <c r="ALM914" s="1091"/>
      <c r="ALN914" s="1091"/>
      <c r="ALO914" s="1091"/>
      <c r="ALP914" s="1091"/>
      <c r="ALQ914" s="1091"/>
      <c r="ALR914" s="1091"/>
      <c r="ALS914" s="1091"/>
      <c r="ALT914" s="1091"/>
      <c r="ALU914" s="1091"/>
      <c r="ALV914" s="1091"/>
      <c r="ALW914" s="1091"/>
      <c r="ALX914" s="1091"/>
      <c r="ALY914" s="1091"/>
      <c r="ALZ914" s="1091"/>
      <c r="AMA914" s="1091"/>
      <c r="AMB914" s="1091"/>
      <c r="AMC914" s="1091"/>
      <c r="AMD914" s="1091"/>
      <c r="AME914" s="1091"/>
      <c r="AMF914" s="1091"/>
      <c r="AMG914" s="1091"/>
      <c r="AMH914" s="1091"/>
      <c r="AMI914" s="1091"/>
      <c r="AMJ914" s="1091"/>
      <c r="AMK914" s="1091"/>
      <c r="AML914" s="1091"/>
      <c r="AMM914" s="1091"/>
      <c r="AMN914" s="1091"/>
      <c r="AMO914" s="1091"/>
      <c r="AMP914" s="1091"/>
      <c r="AMQ914" s="1091"/>
      <c r="AMR914" s="1091"/>
      <c r="AMS914" s="1091"/>
      <c r="AMT914" s="1091"/>
      <c r="AMU914" s="1091"/>
      <c r="AMV914" s="1091"/>
      <c r="AMW914" s="1091"/>
      <c r="AMX914" s="1091"/>
      <c r="AMY914" s="1091"/>
      <c r="AMZ914" s="1091"/>
      <c r="ANA914" s="1091"/>
      <c r="ANB914" s="1091"/>
      <c r="ANC914" s="1091"/>
      <c r="AND914" s="1091"/>
      <c r="ANE914" s="1091"/>
      <c r="ANF914" s="1091"/>
      <c r="ANG914" s="1091"/>
      <c r="ANH914" s="1091"/>
      <c r="ANI914" s="1091"/>
      <c r="ANJ914" s="1091"/>
      <c r="ANK914" s="1091"/>
      <c r="ANL914" s="1091"/>
      <c r="ANM914" s="1091"/>
      <c r="ANN914" s="1091"/>
      <c r="ANO914" s="1091"/>
      <c r="ANP914" s="1091"/>
      <c r="ANQ914" s="1091"/>
      <c r="ANR914" s="1091"/>
      <c r="ANS914" s="1091"/>
      <c r="ANT914" s="1091"/>
      <c r="ANU914" s="1091"/>
      <c r="ANV914" s="1091"/>
      <c r="ANW914" s="1091"/>
      <c r="ANX914" s="1091"/>
      <c r="ANY914" s="1091"/>
      <c r="ANZ914" s="1091"/>
      <c r="AOA914" s="1091"/>
      <c r="AOB914" s="1091"/>
      <c r="AOC914" s="1091"/>
      <c r="AOD914" s="1091"/>
      <c r="AOE914" s="1091"/>
      <c r="AOF914" s="1091"/>
      <c r="AOG914" s="1091"/>
      <c r="AOH914" s="1091"/>
      <c r="AOI914" s="1091"/>
      <c r="AOJ914" s="1091"/>
      <c r="AOK914" s="1091"/>
      <c r="AOL914" s="1091"/>
      <c r="AOM914" s="1091"/>
      <c r="AON914" s="1091"/>
      <c r="AOO914" s="1091"/>
      <c r="AOP914" s="1091"/>
      <c r="AOQ914" s="1091"/>
      <c r="AOR914" s="1091"/>
      <c r="AOS914" s="1091"/>
      <c r="AOT914" s="1091"/>
      <c r="AOU914" s="1091"/>
      <c r="AOV914" s="1091"/>
      <c r="AOW914" s="1091"/>
      <c r="AOX914" s="1091"/>
      <c r="AOY914" s="1091"/>
      <c r="AOZ914" s="1091"/>
      <c r="APA914" s="1091"/>
      <c r="APB914" s="1091"/>
      <c r="APC914" s="1091"/>
      <c r="APD914" s="1091"/>
      <c r="APE914" s="1091"/>
      <c r="APF914" s="1091"/>
      <c r="APG914" s="1091"/>
      <c r="APH914" s="1091"/>
      <c r="API914" s="1091"/>
      <c r="APJ914" s="1091"/>
      <c r="APK914" s="1091"/>
      <c r="APL914" s="1091"/>
      <c r="APM914" s="1091"/>
      <c r="APN914" s="1091"/>
      <c r="APO914" s="1091"/>
      <c r="APP914" s="1091"/>
      <c r="APQ914" s="1091"/>
      <c r="APR914" s="1091"/>
      <c r="APS914" s="1091"/>
      <c r="APT914" s="1091"/>
      <c r="APU914" s="1091"/>
      <c r="APV914" s="1091"/>
      <c r="APW914" s="1091"/>
      <c r="APX914" s="1091"/>
      <c r="APY914" s="1091"/>
      <c r="APZ914" s="1091"/>
      <c r="AQA914" s="1091"/>
      <c r="AQB914" s="1091"/>
      <c r="AQC914" s="1091"/>
      <c r="AQD914" s="1091"/>
      <c r="AQE914" s="1091"/>
      <c r="AQF914" s="1091"/>
      <c r="AQG914" s="1091"/>
      <c r="AQH914" s="1091"/>
      <c r="AQI914" s="1091"/>
      <c r="AQJ914" s="1091"/>
      <c r="AQK914" s="1091"/>
      <c r="AQL914" s="1091"/>
      <c r="AQM914" s="1091"/>
      <c r="AQN914" s="1091"/>
      <c r="AQO914" s="1091"/>
      <c r="AQP914" s="1091"/>
      <c r="AQQ914" s="1091"/>
      <c r="AQR914" s="1091"/>
      <c r="AQS914" s="1091"/>
      <c r="AQT914" s="1091"/>
      <c r="AQU914" s="1091"/>
      <c r="AQV914" s="1091"/>
      <c r="AQW914" s="1091"/>
      <c r="AQX914" s="1091"/>
      <c r="AQY914" s="1091"/>
      <c r="AQZ914" s="1091"/>
      <c r="ARA914" s="1091"/>
      <c r="ARB914" s="1091"/>
      <c r="ARC914" s="1091"/>
      <c r="ARD914" s="1091"/>
      <c r="ARE914" s="1091"/>
      <c r="ARF914" s="1091"/>
      <c r="ARG914" s="1091"/>
      <c r="ARH914" s="1091"/>
      <c r="ARI914" s="1091"/>
      <c r="ARJ914" s="1091"/>
      <c r="ARK914" s="1091"/>
      <c r="ARL914" s="1091"/>
      <c r="ARM914" s="1091"/>
      <c r="ARN914" s="1091"/>
      <c r="ARO914" s="1091"/>
      <c r="ARP914" s="1091"/>
      <c r="ARQ914" s="1091"/>
      <c r="ARR914" s="1091"/>
      <c r="ARS914" s="1091"/>
      <c r="ART914" s="1091"/>
      <c r="ARU914" s="1091"/>
      <c r="ARV914" s="1091"/>
      <c r="ARW914" s="1091"/>
      <c r="ARX914" s="1091"/>
      <c r="ARY914" s="1091"/>
      <c r="ARZ914" s="1091"/>
      <c r="ASA914" s="1091"/>
      <c r="ASB914" s="1091"/>
      <c r="ASC914" s="1091"/>
      <c r="ASD914" s="1091"/>
      <c r="ASE914" s="1091"/>
      <c r="ASF914" s="1091"/>
      <c r="ASG914" s="1091"/>
      <c r="ASH914" s="1091"/>
      <c r="ASI914" s="1091"/>
      <c r="ASJ914" s="1091"/>
      <c r="ASK914" s="1091"/>
      <c r="ASL914" s="1091"/>
      <c r="ASM914" s="1091"/>
      <c r="ASN914" s="1091"/>
      <c r="ASO914" s="1091"/>
      <c r="ASP914" s="1091"/>
      <c r="ASQ914" s="1091"/>
      <c r="ASR914" s="1091"/>
      <c r="ASS914" s="1091"/>
      <c r="AST914" s="1091"/>
      <c r="ASU914" s="1091"/>
      <c r="ASV914" s="1091"/>
      <c r="ASW914" s="1091"/>
      <c r="ASX914" s="1091"/>
      <c r="ASY914" s="1091"/>
      <c r="ASZ914" s="1091"/>
      <c r="ATA914" s="1091"/>
      <c r="ATB914" s="1091"/>
      <c r="ATC914" s="1091"/>
      <c r="ATD914" s="1091"/>
      <c r="ATE914" s="1091"/>
      <c r="ATF914" s="1091"/>
      <c r="ATG914" s="1091"/>
      <c r="ATH914" s="1091"/>
      <c r="ATI914" s="1091"/>
      <c r="ATJ914" s="1091"/>
      <c r="ATK914" s="1091"/>
      <c r="ATL914" s="1091"/>
      <c r="ATM914" s="1091"/>
      <c r="ATN914" s="1091"/>
      <c r="ATO914" s="1091"/>
      <c r="ATP914" s="1091"/>
      <c r="ATQ914" s="1091"/>
      <c r="ATR914" s="1091"/>
      <c r="ATS914" s="1091"/>
      <c r="ATT914" s="1091"/>
      <c r="ATU914" s="1091"/>
      <c r="ATV914" s="1091"/>
      <c r="ATW914" s="1091"/>
      <c r="ATX914" s="1091"/>
      <c r="ATY914" s="1091"/>
      <c r="ATZ914" s="1091"/>
      <c r="AUA914" s="1091"/>
      <c r="AUB914" s="1091"/>
      <c r="AUC914" s="1091"/>
      <c r="AUD914" s="1091"/>
      <c r="AUE914" s="1091"/>
      <c r="AUF914" s="1091"/>
      <c r="AUG914" s="1091"/>
      <c r="AUH914" s="1091"/>
      <c r="AUI914" s="1091"/>
      <c r="AUJ914" s="1091"/>
      <c r="AUK914" s="1091"/>
      <c r="AUL914" s="1091"/>
      <c r="AUM914" s="1091"/>
      <c r="AUN914" s="1091"/>
      <c r="AUO914" s="1091"/>
      <c r="AUP914" s="1091"/>
      <c r="AUQ914" s="1091"/>
      <c r="AUR914" s="1091"/>
      <c r="AUS914" s="1091"/>
      <c r="AUT914" s="1091"/>
      <c r="AUU914" s="1091"/>
      <c r="AUV914" s="1091"/>
      <c r="AUW914" s="1091"/>
      <c r="AUX914" s="1091"/>
      <c r="AUY914" s="1091"/>
      <c r="AUZ914" s="1091"/>
      <c r="AVA914" s="1091"/>
      <c r="AVB914" s="1091"/>
      <c r="AVC914" s="1091"/>
      <c r="AVD914" s="1091"/>
      <c r="AVE914" s="1091"/>
      <c r="AVF914" s="1091"/>
      <c r="AVG914" s="1091"/>
      <c r="AVH914" s="1091"/>
      <c r="AVI914" s="1091"/>
      <c r="AVJ914" s="1091"/>
      <c r="AVK914" s="1091"/>
      <c r="AVL914" s="1091"/>
      <c r="AVM914" s="1091"/>
      <c r="AVN914" s="1091"/>
      <c r="AVO914" s="1091"/>
      <c r="AVP914" s="1091"/>
      <c r="AVQ914" s="1091"/>
      <c r="AVR914" s="1091"/>
      <c r="AVS914" s="1091"/>
      <c r="AVT914" s="1091"/>
      <c r="AVU914" s="1091"/>
      <c r="AVV914" s="1091"/>
      <c r="AVW914" s="1091"/>
      <c r="AVX914" s="1091"/>
      <c r="AVY914" s="1091"/>
      <c r="AVZ914" s="1091"/>
      <c r="AWA914" s="1091"/>
      <c r="AWB914" s="1091"/>
      <c r="AWC914" s="1091"/>
      <c r="AWD914" s="1091"/>
      <c r="AWE914" s="1091"/>
      <c r="AWF914" s="1091"/>
      <c r="AWG914" s="1091"/>
      <c r="AWH914" s="1091"/>
      <c r="AWI914" s="1091"/>
      <c r="AWJ914" s="1091"/>
      <c r="AWK914" s="1091"/>
      <c r="AWL914" s="1091"/>
      <c r="AWM914" s="1091"/>
      <c r="AWN914" s="1091"/>
      <c r="AWO914" s="1091"/>
      <c r="AWP914" s="1091"/>
      <c r="AWQ914" s="1091"/>
      <c r="AWR914" s="1091"/>
      <c r="AWS914" s="1091"/>
      <c r="AWT914" s="1091"/>
      <c r="AWU914" s="1091"/>
      <c r="AWV914" s="1091"/>
      <c r="AWW914" s="1091"/>
      <c r="AWX914" s="1091"/>
      <c r="AWY914" s="1091"/>
      <c r="AWZ914" s="1091"/>
      <c r="AXA914" s="1091"/>
      <c r="AXB914" s="1091"/>
      <c r="AXC914" s="1091"/>
      <c r="AXD914" s="1091"/>
      <c r="AXE914" s="1091"/>
      <c r="AXF914" s="1091"/>
      <c r="AXG914" s="1091"/>
      <c r="AXH914" s="1091"/>
      <c r="AXI914" s="1091"/>
      <c r="AXJ914" s="1091"/>
      <c r="AXK914" s="1091"/>
      <c r="AXL914" s="1091"/>
      <c r="AXM914" s="1091"/>
      <c r="AXN914" s="1091"/>
      <c r="AXO914" s="1091"/>
      <c r="AXP914" s="1091"/>
      <c r="AXQ914" s="1091"/>
      <c r="AXR914" s="1091"/>
      <c r="AXS914" s="1091"/>
      <c r="AXT914" s="1091"/>
      <c r="AXU914" s="1091"/>
      <c r="AXV914" s="1091"/>
      <c r="AXW914" s="1091"/>
      <c r="AXX914" s="1091"/>
      <c r="AXY914" s="1091"/>
      <c r="AXZ914" s="1091"/>
      <c r="AYA914" s="1091"/>
      <c r="AYB914" s="1091"/>
      <c r="AYC914" s="1091"/>
      <c r="AYD914" s="1091"/>
      <c r="AYE914" s="1091"/>
      <c r="AYF914" s="1091"/>
      <c r="AYG914" s="1091"/>
      <c r="AYH914" s="1091"/>
      <c r="AYI914" s="1091"/>
      <c r="AYJ914" s="1091"/>
      <c r="AYK914" s="1091"/>
      <c r="AYL914" s="1091"/>
      <c r="AYM914" s="1091"/>
      <c r="AYN914" s="1091"/>
      <c r="AYO914" s="1091"/>
      <c r="AYP914" s="1091"/>
      <c r="AYQ914" s="1091"/>
      <c r="AYR914" s="1091"/>
      <c r="AYS914" s="1091"/>
      <c r="AYT914" s="1091"/>
      <c r="AYU914" s="1091"/>
      <c r="AYV914" s="1091"/>
      <c r="AYW914" s="1091"/>
      <c r="AYX914" s="1091"/>
      <c r="AYY914" s="1091"/>
      <c r="AYZ914" s="1091"/>
      <c r="AZA914" s="1091"/>
      <c r="AZB914" s="1091"/>
      <c r="AZC914" s="1091"/>
      <c r="AZD914" s="1091"/>
      <c r="AZE914" s="1091"/>
      <c r="AZF914" s="1091"/>
      <c r="AZG914" s="1091"/>
      <c r="AZH914" s="1091"/>
      <c r="AZI914" s="1091"/>
      <c r="AZJ914" s="1091"/>
      <c r="AZK914" s="1091"/>
      <c r="AZL914" s="1091"/>
      <c r="AZM914" s="1091"/>
      <c r="AZN914" s="1091"/>
      <c r="AZO914" s="1091"/>
      <c r="AZP914" s="1091"/>
      <c r="AZQ914" s="1091"/>
      <c r="AZR914" s="1091"/>
      <c r="AZS914" s="1091"/>
      <c r="AZT914" s="1091"/>
      <c r="AZU914" s="1091"/>
      <c r="AZV914" s="1091"/>
      <c r="AZW914" s="1091"/>
      <c r="AZX914" s="1091"/>
      <c r="AZY914" s="1091"/>
      <c r="AZZ914" s="1091"/>
      <c r="BAA914" s="1091"/>
      <c r="BAB914" s="1091"/>
      <c r="BAC914" s="1091"/>
      <c r="BAD914" s="1091"/>
      <c r="BAE914" s="1091"/>
      <c r="BAF914" s="1091"/>
      <c r="BAG914" s="1091"/>
      <c r="BAH914" s="1091"/>
      <c r="BAI914" s="1091"/>
      <c r="BAJ914" s="1091"/>
      <c r="BAK914" s="1091"/>
      <c r="BAL914" s="1091"/>
      <c r="BAM914" s="1091"/>
      <c r="BAN914" s="1091"/>
      <c r="BAO914" s="1091"/>
      <c r="BAP914" s="1091"/>
      <c r="BAQ914" s="1091"/>
      <c r="BAR914" s="1091"/>
      <c r="BAS914" s="1091"/>
      <c r="BAT914" s="1091"/>
      <c r="BAU914" s="1091"/>
      <c r="BAV914" s="1091"/>
      <c r="BAW914" s="1091"/>
      <c r="BAX914" s="1091"/>
      <c r="BAY914" s="1091"/>
      <c r="BAZ914" s="1091"/>
      <c r="BBA914" s="1091"/>
      <c r="BBB914" s="1091"/>
      <c r="BBC914" s="1091"/>
      <c r="BBD914" s="1091"/>
      <c r="BBE914" s="1091"/>
      <c r="BBF914" s="1091"/>
      <c r="BBG914" s="1091"/>
      <c r="BBH914" s="1091"/>
      <c r="BBI914" s="1091"/>
      <c r="BBJ914" s="1091"/>
      <c r="BBK914" s="1091"/>
      <c r="BBL914" s="1091"/>
      <c r="BBM914" s="1091"/>
      <c r="BBN914" s="1091"/>
      <c r="BBO914" s="1091"/>
      <c r="BBP914" s="1091"/>
      <c r="BBQ914" s="1091"/>
      <c r="BBR914" s="1091"/>
      <c r="BBS914" s="1091"/>
      <c r="BBT914" s="1091"/>
      <c r="BBU914" s="1091"/>
      <c r="BBV914" s="1091"/>
      <c r="BBW914" s="1091"/>
      <c r="BBX914" s="1091"/>
      <c r="BBY914" s="1091"/>
      <c r="BBZ914" s="1091"/>
      <c r="BCA914" s="1091"/>
      <c r="BCB914" s="1091"/>
      <c r="BCC914" s="1091"/>
      <c r="BCD914" s="1091"/>
      <c r="BCE914" s="1091"/>
      <c r="BCF914" s="1091"/>
      <c r="BCG914" s="1091"/>
      <c r="BCH914" s="1091"/>
      <c r="BCI914" s="1091"/>
      <c r="BCJ914" s="1091"/>
      <c r="BCK914" s="1091"/>
      <c r="BCL914" s="1091"/>
      <c r="BCM914" s="1091"/>
      <c r="BCN914" s="1091"/>
      <c r="BCO914" s="1091"/>
      <c r="BCP914" s="1091"/>
      <c r="BCQ914" s="1091"/>
      <c r="BCR914" s="1091"/>
      <c r="BCS914" s="1091"/>
      <c r="BCT914" s="1091"/>
      <c r="BCU914" s="1091"/>
      <c r="BCV914" s="1091"/>
      <c r="BCW914" s="1091"/>
      <c r="BCX914" s="1091"/>
      <c r="BCY914" s="1091"/>
      <c r="BCZ914" s="1091"/>
      <c r="BDA914" s="1091"/>
      <c r="BDB914" s="1091"/>
      <c r="BDC914" s="1091"/>
      <c r="BDD914" s="1091"/>
      <c r="BDE914" s="1091"/>
      <c r="BDF914" s="1091"/>
      <c r="BDG914" s="1091"/>
      <c r="BDH914" s="1091"/>
      <c r="BDI914" s="1091"/>
      <c r="BDJ914" s="1091"/>
      <c r="BDK914" s="1091"/>
      <c r="BDL914" s="1091"/>
      <c r="BDM914" s="1091"/>
      <c r="BDN914" s="1091"/>
      <c r="BDO914" s="1091"/>
      <c r="BDP914" s="1091"/>
      <c r="BDQ914" s="1091"/>
      <c r="BDR914" s="1091"/>
      <c r="BDS914" s="1091"/>
      <c r="BDT914" s="1091"/>
      <c r="BDU914" s="1091"/>
      <c r="BDV914" s="1091"/>
      <c r="BDW914" s="1091"/>
      <c r="BDX914" s="1091"/>
      <c r="BDY914" s="1091"/>
      <c r="BDZ914" s="1091"/>
      <c r="BEA914" s="1091"/>
      <c r="BEB914" s="1091"/>
      <c r="BEC914" s="1091"/>
      <c r="BED914" s="1091"/>
      <c r="BEE914" s="1091"/>
      <c r="BEF914" s="1091"/>
      <c r="BEG914" s="1091"/>
      <c r="BEH914" s="1091"/>
      <c r="BEI914" s="1091"/>
      <c r="BEJ914" s="1091"/>
      <c r="BEK914" s="1091"/>
      <c r="BEL914" s="1091"/>
      <c r="BEM914" s="1091"/>
      <c r="BEN914" s="1091"/>
      <c r="BEO914" s="1091"/>
      <c r="BEP914" s="1091"/>
      <c r="BEQ914" s="1091"/>
      <c r="BER914" s="1091"/>
      <c r="BES914" s="1091"/>
      <c r="BET914" s="1091"/>
      <c r="BEU914" s="1091"/>
      <c r="BEV914" s="1091"/>
      <c r="BEW914" s="1091"/>
      <c r="BEX914" s="1091"/>
      <c r="BEY914" s="1091"/>
      <c r="BEZ914" s="1091"/>
      <c r="BFA914" s="1091"/>
      <c r="BFB914" s="1091"/>
      <c r="BFC914" s="1091"/>
      <c r="BFD914" s="1091"/>
      <c r="BFE914" s="1091"/>
      <c r="BFF914" s="1091"/>
      <c r="BFG914" s="1091"/>
      <c r="BFH914" s="1091"/>
      <c r="BFI914" s="1091"/>
      <c r="BFJ914" s="1091"/>
      <c r="BFK914" s="1091"/>
      <c r="BFL914" s="1091"/>
      <c r="BFM914" s="1091"/>
      <c r="BFN914" s="1091"/>
      <c r="BFO914" s="1091"/>
      <c r="BFP914" s="1091"/>
      <c r="BFQ914" s="1091"/>
      <c r="BFR914" s="1091"/>
      <c r="BFS914" s="1091"/>
      <c r="BFT914" s="1091"/>
      <c r="BFU914" s="1091"/>
      <c r="BFV914" s="1091"/>
      <c r="BFW914" s="1091"/>
      <c r="BFX914" s="1091"/>
      <c r="BFY914" s="1091"/>
      <c r="BFZ914" s="1091"/>
      <c r="BGA914" s="1091"/>
      <c r="BGB914" s="1091"/>
      <c r="BGC914" s="1091"/>
      <c r="BGD914" s="1091"/>
      <c r="BGE914" s="1091"/>
      <c r="BGF914" s="1091"/>
      <c r="BGG914" s="1091"/>
      <c r="BGH914" s="1091"/>
      <c r="BGI914" s="1091"/>
      <c r="BGJ914" s="1091"/>
      <c r="BGK914" s="1091"/>
      <c r="BGL914" s="1091"/>
      <c r="BGM914" s="1091"/>
      <c r="BGN914" s="1091"/>
      <c r="BGO914" s="1091"/>
      <c r="BGP914" s="1091"/>
      <c r="BGQ914" s="1091"/>
      <c r="BGR914" s="1091"/>
      <c r="BGS914" s="1091"/>
      <c r="BGT914" s="1091"/>
      <c r="BGU914" s="1091"/>
      <c r="BGV914" s="1091"/>
      <c r="BGW914" s="1091"/>
      <c r="BGX914" s="1091"/>
      <c r="BGY914" s="1091"/>
      <c r="BGZ914" s="1091"/>
      <c r="BHA914" s="1091"/>
      <c r="BHB914" s="1091"/>
      <c r="BHC914" s="1091"/>
      <c r="BHD914" s="1091"/>
      <c r="BHE914" s="1091"/>
      <c r="BHF914" s="1091"/>
      <c r="BHG914" s="1091"/>
      <c r="BHH914" s="1091"/>
      <c r="BHI914" s="1091"/>
      <c r="BHJ914" s="1091"/>
      <c r="BHK914" s="1091"/>
      <c r="BHL914" s="1091"/>
      <c r="BHM914" s="1091"/>
      <c r="BHN914" s="1091"/>
      <c r="BHO914" s="1091"/>
      <c r="BHP914" s="1091"/>
      <c r="BHQ914" s="1091"/>
      <c r="BHR914" s="1091"/>
      <c r="BHS914" s="1091"/>
      <c r="BHT914" s="1091"/>
      <c r="BHU914" s="1091"/>
      <c r="BHV914" s="1091"/>
      <c r="BHW914" s="1091"/>
      <c r="BHX914" s="1091"/>
      <c r="BHY914" s="1091"/>
      <c r="BHZ914" s="1091"/>
      <c r="BIA914" s="1091"/>
      <c r="BIB914" s="1091"/>
      <c r="BIC914" s="1091"/>
      <c r="BID914" s="1091"/>
      <c r="BIE914" s="1091"/>
      <c r="BIF914" s="1091"/>
      <c r="BIG914" s="1091"/>
      <c r="BIH914" s="1091"/>
      <c r="BII914" s="1091"/>
      <c r="BIJ914" s="1091"/>
      <c r="BIK914" s="1091"/>
      <c r="BIL914" s="1091"/>
      <c r="BIM914" s="1091"/>
      <c r="BIN914" s="1091"/>
      <c r="BIO914" s="1091"/>
      <c r="BIP914" s="1091"/>
      <c r="BIQ914" s="1091"/>
      <c r="BIR914" s="1091"/>
      <c r="BIS914" s="1091"/>
      <c r="BIT914" s="1091"/>
      <c r="BIU914" s="1091"/>
      <c r="BIV914" s="1091"/>
      <c r="BIW914" s="1091"/>
      <c r="BIX914" s="1091"/>
      <c r="BIY914" s="1091"/>
      <c r="BIZ914" s="1091"/>
      <c r="BJA914" s="1091"/>
      <c r="BJB914" s="1091"/>
      <c r="BJC914" s="1091"/>
      <c r="BJD914" s="1091"/>
      <c r="BJE914" s="1091"/>
      <c r="BJF914" s="1091"/>
      <c r="BJG914" s="1091"/>
      <c r="BJH914" s="1091"/>
      <c r="BJI914" s="1091"/>
      <c r="BJJ914" s="1091"/>
      <c r="BJK914" s="1091"/>
      <c r="BJL914" s="1091"/>
      <c r="BJM914" s="1091"/>
      <c r="BJN914" s="1091"/>
      <c r="BJO914" s="1091"/>
      <c r="BJP914" s="1091"/>
      <c r="BJQ914" s="1091"/>
      <c r="BJR914" s="1091"/>
      <c r="BJS914" s="1091"/>
      <c r="BJT914" s="1091"/>
      <c r="BJU914" s="1091"/>
      <c r="BJV914" s="1091"/>
      <c r="BJW914" s="1091"/>
      <c r="BJX914" s="1091"/>
      <c r="BJY914" s="1091"/>
      <c r="BJZ914" s="1091"/>
      <c r="BKA914" s="1091"/>
      <c r="BKB914" s="1091"/>
      <c r="BKC914" s="1091"/>
      <c r="BKD914" s="1091"/>
      <c r="BKE914" s="1091"/>
      <c r="BKF914" s="1091"/>
      <c r="BKG914" s="1091"/>
      <c r="BKH914" s="1091"/>
      <c r="BKI914" s="1091"/>
      <c r="BKJ914" s="1091"/>
      <c r="BKK914" s="1091"/>
      <c r="BKL914" s="1091"/>
      <c r="BKM914" s="1091"/>
      <c r="BKN914" s="1091"/>
      <c r="BKO914" s="1091"/>
      <c r="BKP914" s="1091"/>
      <c r="BKQ914" s="1091"/>
      <c r="BKR914" s="1091"/>
      <c r="BKS914" s="1091"/>
      <c r="BKT914" s="1091"/>
      <c r="BKU914" s="1091"/>
      <c r="BKV914" s="1091"/>
      <c r="BKW914" s="1091"/>
      <c r="BKX914" s="1091"/>
      <c r="BKY914" s="1091"/>
      <c r="BKZ914" s="1091"/>
      <c r="BLA914" s="1091"/>
      <c r="BLB914" s="1091"/>
      <c r="BLC914" s="1091"/>
      <c r="BLD914" s="1091"/>
      <c r="BLE914" s="1091"/>
      <c r="BLF914" s="1091"/>
      <c r="BLG914" s="1091"/>
      <c r="BLH914" s="1091"/>
      <c r="BLI914" s="1091"/>
      <c r="BLJ914" s="1091"/>
      <c r="BLK914" s="1091"/>
      <c r="BLL914" s="1091"/>
      <c r="BLM914" s="1091"/>
      <c r="BLN914" s="1091"/>
      <c r="BLO914" s="1091"/>
      <c r="BLP914" s="1091"/>
      <c r="BLQ914" s="1091"/>
      <c r="BLR914" s="1091"/>
      <c r="BLS914" s="1091"/>
      <c r="BLT914" s="1091"/>
      <c r="BLU914" s="1091"/>
      <c r="BLV914" s="1091"/>
      <c r="BLW914" s="1091"/>
      <c r="BLX914" s="1091"/>
      <c r="BLY914" s="1091"/>
      <c r="BLZ914" s="1091"/>
      <c r="BMA914" s="1091"/>
      <c r="BMB914" s="1091"/>
      <c r="BMC914" s="1091"/>
      <c r="BMD914" s="1091"/>
      <c r="BME914" s="1091"/>
      <c r="BMF914" s="1091"/>
      <c r="BMG914" s="1091"/>
      <c r="BMH914" s="1091"/>
      <c r="BMI914" s="1091"/>
      <c r="BMJ914" s="1091"/>
      <c r="BMK914" s="1091"/>
      <c r="BML914" s="1091"/>
      <c r="BMM914" s="1091"/>
      <c r="BMN914" s="1091"/>
      <c r="BMO914" s="1091"/>
      <c r="BMP914" s="1091"/>
      <c r="BMQ914" s="1091"/>
      <c r="BMR914" s="1091"/>
      <c r="BMS914" s="1091"/>
      <c r="BMT914" s="1091"/>
      <c r="BMU914" s="1091"/>
      <c r="BMV914" s="1091"/>
      <c r="BMW914" s="1091"/>
      <c r="BMX914" s="1091"/>
      <c r="BMY914" s="1091"/>
      <c r="BMZ914" s="1091"/>
      <c r="BNA914" s="1091"/>
      <c r="BNB914" s="1091"/>
      <c r="BNC914" s="1091"/>
      <c r="BND914" s="1091"/>
      <c r="BNE914" s="1091"/>
      <c r="BNF914" s="1091"/>
      <c r="BNG914" s="1091"/>
      <c r="BNH914" s="1091"/>
      <c r="BNI914" s="1091"/>
      <c r="BNJ914" s="1091"/>
      <c r="BNK914" s="1091"/>
      <c r="BNL914" s="1091"/>
      <c r="BNM914" s="1091"/>
      <c r="BNN914" s="1091"/>
      <c r="BNO914" s="1091"/>
      <c r="BNP914" s="1091"/>
      <c r="BNQ914" s="1091"/>
      <c r="BNR914" s="1091"/>
      <c r="BNS914" s="1091"/>
      <c r="BNT914" s="1091"/>
      <c r="BNU914" s="1091"/>
      <c r="BNV914" s="1091"/>
      <c r="BNW914" s="1091"/>
      <c r="BNX914" s="1091"/>
      <c r="BNY914" s="1091"/>
      <c r="BNZ914" s="1091"/>
      <c r="BOA914" s="1091"/>
      <c r="BOB914" s="1091"/>
      <c r="BOC914" s="1091"/>
      <c r="BOD914" s="1091"/>
      <c r="BOE914" s="1091"/>
      <c r="BOF914" s="1091"/>
      <c r="BOG914" s="1091"/>
      <c r="BOH914" s="1091"/>
      <c r="BOI914" s="1091"/>
      <c r="BOJ914" s="1091"/>
      <c r="BOK914" s="1091"/>
      <c r="BOL914" s="1091"/>
      <c r="BOM914" s="1091"/>
      <c r="BON914" s="1091"/>
      <c r="BOO914" s="1091"/>
      <c r="BOP914" s="1091"/>
      <c r="BOQ914" s="1091"/>
      <c r="BOR914" s="1091"/>
      <c r="BOS914" s="1091"/>
      <c r="BOT914" s="1091"/>
      <c r="BOU914" s="1091"/>
      <c r="BOV914" s="1091"/>
      <c r="BOW914" s="1091"/>
      <c r="BOX914" s="1091"/>
      <c r="BOY914" s="1091"/>
      <c r="BOZ914" s="1091"/>
      <c r="BPA914" s="1091"/>
      <c r="BPB914" s="1091"/>
      <c r="BPC914" s="1091"/>
      <c r="BPD914" s="1091"/>
      <c r="BPE914" s="1091"/>
      <c r="BPF914" s="1091"/>
      <c r="BPG914" s="1091"/>
      <c r="BPH914" s="1091"/>
      <c r="BPI914" s="1091"/>
      <c r="BPJ914" s="1091"/>
      <c r="BPK914" s="1091"/>
      <c r="BPL914" s="1091"/>
      <c r="BPM914" s="1091"/>
      <c r="BPN914" s="1091"/>
      <c r="BPO914" s="1091"/>
      <c r="BPP914" s="1091"/>
      <c r="BPQ914" s="1091"/>
      <c r="BPR914" s="1091"/>
      <c r="BPS914" s="1091"/>
      <c r="BPT914" s="1091"/>
      <c r="BPU914" s="1091"/>
      <c r="BPV914" s="1091"/>
      <c r="BPW914" s="1091"/>
      <c r="BPX914" s="1091"/>
      <c r="BPY914" s="1091"/>
      <c r="BPZ914" s="1091"/>
      <c r="BQA914" s="1091"/>
      <c r="BQB914" s="1091"/>
      <c r="BQC914" s="1091"/>
      <c r="BQD914" s="1091"/>
      <c r="BQE914" s="1091"/>
      <c r="BQF914" s="1091"/>
      <c r="BQG914" s="1091"/>
      <c r="BQH914" s="1091"/>
      <c r="BQI914" s="1091"/>
      <c r="BQJ914" s="1091"/>
      <c r="BQK914" s="1091"/>
      <c r="BQL914" s="1091"/>
      <c r="BQM914" s="1091"/>
      <c r="BQN914" s="1091"/>
      <c r="BQO914" s="1091"/>
      <c r="BQP914" s="1091"/>
      <c r="BQQ914" s="1091"/>
      <c r="BQR914" s="1091"/>
      <c r="BQS914" s="1091"/>
      <c r="BQT914" s="1091"/>
      <c r="BQU914" s="1091"/>
      <c r="BQV914" s="1091"/>
      <c r="BQW914" s="1091"/>
      <c r="BQX914" s="1091"/>
      <c r="BQY914" s="1091"/>
      <c r="BQZ914" s="1091"/>
      <c r="BRA914" s="1091"/>
      <c r="BRB914" s="1091"/>
      <c r="BRC914" s="1091"/>
      <c r="BRD914" s="1091"/>
      <c r="BRE914" s="1091"/>
      <c r="BRF914" s="1091"/>
      <c r="BRG914" s="1091"/>
      <c r="BRH914" s="1091"/>
      <c r="BRI914" s="1091"/>
      <c r="BRJ914" s="1091"/>
      <c r="BRK914" s="1091"/>
      <c r="BRL914" s="1091"/>
      <c r="BRM914" s="1091"/>
      <c r="BRN914" s="1091"/>
      <c r="BRO914" s="1091"/>
      <c r="BRP914" s="1091"/>
      <c r="BRQ914" s="1091"/>
      <c r="BRR914" s="1091"/>
      <c r="BRS914" s="1091"/>
      <c r="BRT914" s="1091"/>
      <c r="BRU914" s="1091"/>
      <c r="BRV914" s="1091"/>
      <c r="BRW914" s="1091"/>
      <c r="BRX914" s="1091"/>
      <c r="BRY914" s="1091"/>
      <c r="BRZ914" s="1091"/>
      <c r="BSA914" s="1091"/>
      <c r="BSB914" s="1091"/>
      <c r="BSC914" s="1091"/>
      <c r="BSD914" s="1091"/>
      <c r="BSE914" s="1091"/>
      <c r="BSF914" s="1091"/>
      <c r="BSG914" s="1091"/>
      <c r="BSH914" s="1091"/>
      <c r="BSI914" s="1091"/>
      <c r="BSJ914" s="1091"/>
      <c r="BSK914" s="1091"/>
      <c r="BSL914" s="1091"/>
      <c r="BSM914" s="1091"/>
      <c r="BSN914" s="1091"/>
      <c r="BSO914" s="1091"/>
      <c r="BSP914" s="1091"/>
      <c r="BSQ914" s="1091"/>
      <c r="BSR914" s="1091"/>
      <c r="BSS914" s="1091"/>
      <c r="BST914" s="1091"/>
      <c r="BSU914" s="1091"/>
      <c r="BSV914" s="1091"/>
      <c r="BSW914" s="1091"/>
      <c r="BSX914" s="1091"/>
      <c r="BSY914" s="1091"/>
      <c r="BSZ914" s="1091"/>
      <c r="BTA914" s="1091"/>
      <c r="BTB914" s="1091"/>
      <c r="BTC914" s="1091"/>
      <c r="BTD914" s="1091"/>
      <c r="BTE914" s="1091"/>
      <c r="BTF914" s="1091"/>
      <c r="BTG914" s="1091"/>
      <c r="BTH914" s="1091"/>
      <c r="BTI914" s="1091"/>
      <c r="BTJ914" s="1091"/>
      <c r="BTK914" s="1091"/>
      <c r="BTL914" s="1091"/>
      <c r="BTM914" s="1091"/>
      <c r="BTN914" s="1091"/>
      <c r="BTO914" s="1091"/>
      <c r="BTP914" s="1091"/>
      <c r="BTQ914" s="1091"/>
      <c r="BTR914" s="1091"/>
      <c r="BTS914" s="1091"/>
      <c r="BTT914" s="1091"/>
      <c r="BTU914" s="1091"/>
      <c r="BTV914" s="1091"/>
      <c r="BTW914" s="1091"/>
      <c r="BTX914" s="1091"/>
      <c r="BTY914" s="1091"/>
      <c r="BTZ914" s="1091"/>
      <c r="BUA914" s="1091"/>
      <c r="BUB914" s="1091"/>
      <c r="BUC914" s="1091"/>
      <c r="BUD914" s="1091"/>
      <c r="BUE914" s="1091"/>
      <c r="BUF914" s="1091"/>
      <c r="BUG914" s="1091"/>
      <c r="BUH914" s="1091"/>
      <c r="BUI914" s="1091"/>
      <c r="BUJ914" s="1091"/>
      <c r="BUK914" s="1091"/>
      <c r="BUL914" s="1091"/>
      <c r="BUM914" s="1091"/>
      <c r="BUN914" s="1091"/>
      <c r="BUO914" s="1091"/>
      <c r="BUP914" s="1091"/>
      <c r="BUQ914" s="1091"/>
      <c r="BUR914" s="1091"/>
      <c r="BUS914" s="1091"/>
      <c r="BUT914" s="1091"/>
      <c r="BUU914" s="1091"/>
      <c r="BUV914" s="1091"/>
      <c r="BUW914" s="1091"/>
      <c r="BUX914" s="1091"/>
      <c r="BUY914" s="1091"/>
      <c r="BUZ914" s="1091"/>
      <c r="BVA914" s="1091"/>
      <c r="BVB914" s="1091"/>
      <c r="BVC914" s="1091"/>
      <c r="BVD914" s="1091"/>
      <c r="BVE914" s="1091"/>
      <c r="BVF914" s="1091"/>
      <c r="BVG914" s="1091"/>
      <c r="BVH914" s="1091"/>
      <c r="BVI914" s="1091"/>
      <c r="BVJ914" s="1091"/>
      <c r="BVK914" s="1091"/>
      <c r="BVL914" s="1091"/>
      <c r="BVM914" s="1091"/>
      <c r="BVN914" s="1091"/>
      <c r="BVO914" s="1091"/>
      <c r="BVP914" s="1091"/>
      <c r="BVQ914" s="1091"/>
      <c r="BVR914" s="1091"/>
      <c r="BVS914" s="1091"/>
      <c r="BVT914" s="1091"/>
      <c r="BVU914" s="1091"/>
      <c r="BVV914" s="1091"/>
      <c r="BVW914" s="1091"/>
      <c r="BVX914" s="1091"/>
      <c r="BVY914" s="1091"/>
      <c r="BVZ914" s="1091"/>
      <c r="BWA914" s="1091"/>
      <c r="BWB914" s="1091"/>
      <c r="BWC914" s="1091"/>
      <c r="BWD914" s="1091"/>
      <c r="BWE914" s="1091"/>
      <c r="BWF914" s="1091"/>
      <c r="BWG914" s="1091"/>
      <c r="BWH914" s="1091"/>
      <c r="BWI914" s="1091"/>
      <c r="BWJ914" s="1091"/>
      <c r="BWK914" s="1091"/>
      <c r="BWL914" s="1091"/>
      <c r="BWM914" s="1091"/>
      <c r="BWN914" s="1091"/>
      <c r="BWO914" s="1091"/>
      <c r="BWP914" s="1091"/>
      <c r="BWQ914" s="1091"/>
      <c r="BWR914" s="1091"/>
      <c r="BWS914" s="1091"/>
      <c r="BWT914" s="1091"/>
      <c r="BWU914" s="1091"/>
      <c r="BWV914" s="1091"/>
      <c r="BWW914" s="1091"/>
      <c r="BWX914" s="1091"/>
      <c r="BWY914" s="1091"/>
      <c r="BWZ914" s="1091"/>
      <c r="BXA914" s="1091"/>
      <c r="BXB914" s="1091"/>
      <c r="BXC914" s="1091"/>
      <c r="BXD914" s="1091"/>
      <c r="BXE914" s="1091"/>
      <c r="BXF914" s="1091"/>
      <c r="BXG914" s="1091"/>
      <c r="BXH914" s="1091"/>
      <c r="BXI914" s="1091"/>
      <c r="BXJ914" s="1091"/>
      <c r="BXK914" s="1091"/>
      <c r="BXL914" s="1091"/>
      <c r="BXM914" s="1091"/>
      <c r="BXN914" s="1091"/>
      <c r="BXO914" s="1091"/>
      <c r="BXP914" s="1091"/>
      <c r="BXQ914" s="1091"/>
      <c r="BXR914" s="1091"/>
      <c r="BXS914" s="1091"/>
      <c r="BXT914" s="1091"/>
      <c r="BXU914" s="1091"/>
      <c r="BXV914" s="1091"/>
      <c r="BXW914" s="1091"/>
      <c r="BXX914" s="1091"/>
      <c r="BXY914" s="1091"/>
      <c r="BXZ914" s="1091"/>
      <c r="BYA914" s="1091"/>
      <c r="BYB914" s="1091"/>
      <c r="BYC914" s="1091"/>
      <c r="BYD914" s="1091"/>
      <c r="BYE914" s="1091"/>
      <c r="BYF914" s="1091"/>
      <c r="BYG914" s="1091"/>
      <c r="BYH914" s="1091"/>
      <c r="BYI914" s="1091"/>
      <c r="BYJ914" s="1091"/>
      <c r="BYK914" s="1091"/>
      <c r="BYL914" s="1091"/>
      <c r="BYM914" s="1091"/>
      <c r="BYN914" s="1091"/>
      <c r="BYO914" s="1091"/>
      <c r="BYP914" s="1091"/>
      <c r="BYQ914" s="1091"/>
      <c r="BYR914" s="1091"/>
      <c r="BYS914" s="1091"/>
      <c r="BYT914" s="1091"/>
      <c r="BYU914" s="1091"/>
      <c r="BYV914" s="1091"/>
      <c r="BYW914" s="1091"/>
      <c r="BYX914" s="1091"/>
      <c r="BYY914" s="1091"/>
      <c r="BYZ914" s="1091"/>
      <c r="BZA914" s="1091"/>
      <c r="BZB914" s="1091"/>
      <c r="BZC914" s="1091"/>
      <c r="BZD914" s="1091"/>
      <c r="BZE914" s="1091"/>
      <c r="BZF914" s="1091"/>
      <c r="BZG914" s="1091"/>
      <c r="BZH914" s="1091"/>
      <c r="BZI914" s="1091"/>
      <c r="BZJ914" s="1091"/>
      <c r="BZK914" s="1091"/>
      <c r="BZL914" s="1091"/>
      <c r="BZM914" s="1091"/>
      <c r="BZN914" s="1091"/>
      <c r="BZO914" s="1091"/>
      <c r="BZP914" s="1091"/>
      <c r="BZQ914" s="1091"/>
      <c r="BZR914" s="1091"/>
      <c r="BZS914" s="1091"/>
      <c r="BZT914" s="1091"/>
      <c r="BZU914" s="1091"/>
      <c r="BZV914" s="1091"/>
      <c r="BZW914" s="1091"/>
      <c r="BZX914" s="1091"/>
      <c r="BZY914" s="1091"/>
      <c r="BZZ914" s="1091"/>
      <c r="CAA914" s="1091"/>
      <c r="CAB914" s="1091"/>
      <c r="CAC914" s="1091"/>
      <c r="CAD914" s="1091"/>
      <c r="CAE914" s="1091"/>
      <c r="CAF914" s="1091"/>
      <c r="CAG914" s="1091"/>
      <c r="CAH914" s="1091"/>
      <c r="CAI914" s="1091"/>
      <c r="CAJ914" s="1091"/>
      <c r="CAK914" s="1091"/>
      <c r="CAL914" s="1091"/>
      <c r="CAM914" s="1091"/>
      <c r="CAN914" s="1091"/>
      <c r="CAO914" s="1091"/>
      <c r="CAP914" s="1091"/>
      <c r="CAQ914" s="1091"/>
      <c r="CAR914" s="1091"/>
      <c r="CAS914" s="1091"/>
      <c r="CAT914" s="1091"/>
      <c r="CAU914" s="1091"/>
      <c r="CAV914" s="1091"/>
      <c r="CAW914" s="1091"/>
      <c r="CAX914" s="1091"/>
      <c r="CAY914" s="1091"/>
      <c r="CAZ914" s="1091"/>
      <c r="CBA914" s="1091"/>
      <c r="CBB914" s="1091"/>
      <c r="CBC914" s="1091"/>
      <c r="CBD914" s="1091"/>
      <c r="CBE914" s="1091"/>
      <c r="CBF914" s="1091"/>
      <c r="CBG914" s="1091"/>
      <c r="CBH914" s="1091"/>
      <c r="CBI914" s="1091"/>
      <c r="CBJ914" s="1091"/>
      <c r="CBK914" s="1091"/>
      <c r="CBL914" s="1091"/>
      <c r="CBM914" s="1091"/>
      <c r="CBN914" s="1091"/>
      <c r="CBO914" s="1091"/>
      <c r="CBP914" s="1091"/>
      <c r="CBQ914" s="1091"/>
      <c r="CBR914" s="1091"/>
      <c r="CBS914" s="1091"/>
      <c r="CBT914" s="1091"/>
      <c r="CBU914" s="1091"/>
      <c r="CBV914" s="1091"/>
      <c r="CBW914" s="1091"/>
      <c r="CBX914" s="1091"/>
      <c r="CBY914" s="1091"/>
      <c r="CBZ914" s="1091"/>
      <c r="CCA914" s="1091"/>
      <c r="CCB914" s="1091"/>
      <c r="CCC914" s="1091"/>
      <c r="CCD914" s="1091"/>
      <c r="CCE914" s="1091"/>
      <c r="CCF914" s="1091"/>
      <c r="CCG914" s="1091"/>
      <c r="CCH914" s="1091"/>
      <c r="CCI914" s="1091"/>
      <c r="CCJ914" s="1091"/>
      <c r="CCK914" s="1091"/>
      <c r="CCL914" s="1091"/>
      <c r="CCM914" s="1091"/>
      <c r="CCN914" s="1091"/>
      <c r="CCO914" s="1091"/>
      <c r="CCP914" s="1091"/>
      <c r="CCQ914" s="1091"/>
      <c r="CCR914" s="1091"/>
      <c r="CCS914" s="1091"/>
      <c r="CCT914" s="1091"/>
      <c r="CCU914" s="1091"/>
      <c r="CCV914" s="1091"/>
      <c r="CCW914" s="1091"/>
      <c r="CCX914" s="1091"/>
      <c r="CCY914" s="1091"/>
      <c r="CCZ914" s="1091"/>
      <c r="CDA914" s="1091"/>
      <c r="CDB914" s="1091"/>
      <c r="CDC914" s="1091"/>
      <c r="CDD914" s="1091"/>
      <c r="CDE914" s="1091"/>
      <c r="CDF914" s="1091"/>
      <c r="CDG914" s="1091"/>
      <c r="CDH914" s="1091"/>
      <c r="CDI914" s="1091"/>
      <c r="CDJ914" s="1091"/>
      <c r="CDK914" s="1091"/>
      <c r="CDL914" s="1091"/>
      <c r="CDM914" s="1091"/>
      <c r="CDN914" s="1091"/>
      <c r="CDO914" s="1091"/>
      <c r="CDP914" s="1091"/>
      <c r="CDQ914" s="1091"/>
      <c r="CDR914" s="1091"/>
      <c r="CDS914" s="1091"/>
      <c r="CDT914" s="1091"/>
      <c r="CDU914" s="1091"/>
      <c r="CDV914" s="1091"/>
      <c r="CDW914" s="1091"/>
      <c r="CDX914" s="1091"/>
      <c r="CDY914" s="1091"/>
      <c r="CDZ914" s="1091"/>
      <c r="CEA914" s="1091"/>
      <c r="CEB914" s="1091"/>
      <c r="CEC914" s="1091"/>
      <c r="CED914" s="1091"/>
      <c r="CEE914" s="1091"/>
      <c r="CEF914" s="1091"/>
      <c r="CEG914" s="1091"/>
      <c r="CEH914" s="1091"/>
      <c r="CEI914" s="1091"/>
      <c r="CEJ914" s="1091"/>
      <c r="CEK914" s="1091"/>
      <c r="CEL914" s="1091"/>
      <c r="CEM914" s="1091"/>
      <c r="CEN914" s="1091"/>
      <c r="CEO914" s="1091"/>
      <c r="CEP914" s="1091"/>
      <c r="CEQ914" s="1091"/>
      <c r="CER914" s="1091"/>
      <c r="CES914" s="1091"/>
      <c r="CET914" s="1091"/>
      <c r="CEU914" s="1091"/>
      <c r="CEV914" s="1091"/>
      <c r="CEW914" s="1091"/>
      <c r="CEX914" s="1091"/>
      <c r="CEY914" s="1091"/>
      <c r="CEZ914" s="1091"/>
      <c r="CFA914" s="1091"/>
      <c r="CFB914" s="1091"/>
      <c r="CFC914" s="1091"/>
      <c r="CFD914" s="1091"/>
      <c r="CFE914" s="1091"/>
      <c r="CFF914" s="1091"/>
      <c r="CFG914" s="1091"/>
      <c r="CFH914" s="1091"/>
      <c r="CFI914" s="1091"/>
      <c r="CFJ914" s="1091"/>
      <c r="CFK914" s="1091"/>
      <c r="CFL914" s="1091"/>
      <c r="CFM914" s="1091"/>
      <c r="CFN914" s="1091"/>
      <c r="CFO914" s="1091"/>
      <c r="CFP914" s="1091"/>
      <c r="CFQ914" s="1091"/>
      <c r="CFR914" s="1091"/>
      <c r="CFS914" s="1091"/>
      <c r="CFT914" s="1091"/>
      <c r="CFU914" s="1091"/>
      <c r="CFV914" s="1091"/>
      <c r="CFW914" s="1091"/>
      <c r="CFX914" s="1091"/>
      <c r="CFY914" s="1091"/>
      <c r="CFZ914" s="1091"/>
      <c r="CGA914" s="1091"/>
      <c r="CGB914" s="1091"/>
      <c r="CGC914" s="1091"/>
      <c r="CGD914" s="1091"/>
      <c r="CGE914" s="1091"/>
      <c r="CGF914" s="1091"/>
      <c r="CGG914" s="1091"/>
      <c r="CGH914" s="1091"/>
      <c r="CGI914" s="1091"/>
      <c r="CGJ914" s="1091"/>
      <c r="CGK914" s="1091"/>
      <c r="CGL914" s="1091"/>
      <c r="CGM914" s="1091"/>
      <c r="CGN914" s="1091"/>
      <c r="CGO914" s="1091"/>
      <c r="CGP914" s="1091"/>
      <c r="CGQ914" s="1091"/>
      <c r="CGR914" s="1091"/>
      <c r="CGS914" s="1091"/>
      <c r="CGT914" s="1091"/>
      <c r="CGU914" s="1091"/>
      <c r="CGV914" s="1091"/>
      <c r="CGW914" s="1091"/>
      <c r="CGX914" s="1091"/>
      <c r="CGY914" s="1091"/>
      <c r="CGZ914" s="1091"/>
      <c r="CHA914" s="1091"/>
      <c r="CHB914" s="1091"/>
      <c r="CHC914" s="1091"/>
      <c r="CHD914" s="1091"/>
      <c r="CHE914" s="1091"/>
      <c r="CHF914" s="1091"/>
      <c r="CHG914" s="1091"/>
      <c r="CHH914" s="1091"/>
      <c r="CHI914" s="1091"/>
      <c r="CHJ914" s="1091"/>
      <c r="CHK914" s="1091"/>
      <c r="CHL914" s="1091"/>
      <c r="CHM914" s="1091"/>
      <c r="CHN914" s="1091"/>
      <c r="CHO914" s="1091"/>
      <c r="CHP914" s="1091"/>
      <c r="CHQ914" s="1091"/>
      <c r="CHR914" s="1091"/>
      <c r="CHS914" s="1091"/>
      <c r="CHT914" s="1091"/>
      <c r="CHU914" s="1091"/>
      <c r="CHV914" s="1091"/>
      <c r="CHW914" s="1091"/>
      <c r="CHX914" s="1091"/>
      <c r="CHY914" s="1091"/>
      <c r="CHZ914" s="1091"/>
      <c r="CIA914" s="1091"/>
      <c r="CIB914" s="1091"/>
      <c r="CIC914" s="1091"/>
      <c r="CID914" s="1091"/>
      <c r="CIE914" s="1091"/>
      <c r="CIF914" s="1091"/>
      <c r="CIG914" s="1091"/>
      <c r="CIH914" s="1091"/>
      <c r="CII914" s="1091"/>
      <c r="CIJ914" s="1091"/>
      <c r="CIK914" s="1091"/>
      <c r="CIL914" s="1091"/>
      <c r="CIM914" s="1091"/>
      <c r="CIN914" s="1091"/>
      <c r="CIO914" s="1091"/>
      <c r="CIP914" s="1091"/>
      <c r="CIQ914" s="1091"/>
      <c r="CIR914" s="1091"/>
      <c r="CIS914" s="1091"/>
      <c r="CIT914" s="1091"/>
      <c r="CIU914" s="1091"/>
      <c r="CIV914" s="1091"/>
      <c r="CIW914" s="1091"/>
      <c r="CIX914" s="1091"/>
      <c r="CIY914" s="1091"/>
      <c r="CIZ914" s="1091"/>
      <c r="CJA914" s="1091"/>
      <c r="CJB914" s="1091"/>
      <c r="CJC914" s="1091"/>
      <c r="CJD914" s="1091"/>
      <c r="CJE914" s="1091"/>
      <c r="CJF914" s="1091"/>
      <c r="CJG914" s="1091"/>
      <c r="CJH914" s="1091"/>
      <c r="CJI914" s="1091"/>
      <c r="CJJ914" s="1091"/>
      <c r="CJK914" s="1091"/>
      <c r="CJL914" s="1091"/>
      <c r="CJM914" s="1091"/>
      <c r="CJN914" s="1091"/>
      <c r="CJO914" s="1091"/>
      <c r="CJP914" s="1091"/>
      <c r="CJQ914" s="1091"/>
      <c r="CJR914" s="1091"/>
      <c r="CJS914" s="1091"/>
      <c r="CJT914" s="1091"/>
      <c r="CJU914" s="1091"/>
      <c r="CJV914" s="1091"/>
      <c r="CJW914" s="1091"/>
      <c r="CJX914" s="1091"/>
      <c r="CJY914" s="1091"/>
      <c r="CJZ914" s="1091"/>
      <c r="CKA914" s="1091"/>
      <c r="CKB914" s="1091"/>
      <c r="CKC914" s="1091"/>
      <c r="CKD914" s="1091"/>
      <c r="CKE914" s="1091"/>
      <c r="CKF914" s="1091"/>
      <c r="CKG914" s="1091"/>
      <c r="CKH914" s="1091"/>
      <c r="CKI914" s="1091"/>
      <c r="CKJ914" s="1091"/>
      <c r="CKK914" s="1091"/>
      <c r="CKL914" s="1091"/>
      <c r="CKM914" s="1091"/>
      <c r="CKN914" s="1091"/>
      <c r="CKO914" s="1091"/>
      <c r="CKP914" s="1091"/>
      <c r="CKQ914" s="1091"/>
      <c r="CKR914" s="1091"/>
      <c r="CKS914" s="1091"/>
      <c r="CKT914" s="1091"/>
      <c r="CKU914" s="1091"/>
      <c r="CKV914" s="1091"/>
      <c r="CKW914" s="1091"/>
      <c r="CKX914" s="1091"/>
      <c r="CKY914" s="1091"/>
      <c r="CKZ914" s="1091"/>
      <c r="CLA914" s="1091"/>
      <c r="CLB914" s="1091"/>
      <c r="CLC914" s="1091"/>
      <c r="CLD914" s="1091"/>
      <c r="CLE914" s="1091"/>
      <c r="CLF914" s="1091"/>
      <c r="CLG914" s="1091"/>
      <c r="CLH914" s="1091"/>
      <c r="CLI914" s="1091"/>
      <c r="CLJ914" s="1091"/>
      <c r="CLK914" s="1091"/>
      <c r="CLL914" s="1091"/>
      <c r="CLM914" s="1091"/>
      <c r="CLN914" s="1091"/>
      <c r="CLO914" s="1091"/>
      <c r="CLP914" s="1091"/>
      <c r="CLQ914" s="1091"/>
      <c r="CLR914" s="1091"/>
      <c r="CLS914" s="1091"/>
      <c r="CLT914" s="1091"/>
      <c r="CLU914" s="1091"/>
      <c r="CLV914" s="1091"/>
      <c r="CLW914" s="1091"/>
      <c r="CLX914" s="1091"/>
      <c r="CLY914" s="1091"/>
      <c r="CLZ914" s="1091"/>
      <c r="CMA914" s="1091"/>
      <c r="CMB914" s="1091"/>
      <c r="CMC914" s="1091"/>
      <c r="CMD914" s="1091"/>
      <c r="CME914" s="1091"/>
      <c r="CMF914" s="1091"/>
      <c r="CMG914" s="1091"/>
      <c r="CMH914" s="1091"/>
      <c r="CMI914" s="1091"/>
      <c r="CMJ914" s="1091"/>
      <c r="CMK914" s="1091"/>
      <c r="CML914" s="1091"/>
      <c r="CMM914" s="1091"/>
      <c r="CMN914" s="1091"/>
      <c r="CMO914" s="1091"/>
      <c r="CMP914" s="1091"/>
      <c r="CMQ914" s="1091"/>
      <c r="CMR914" s="1091"/>
      <c r="CMS914" s="1091"/>
      <c r="CMT914" s="1091"/>
      <c r="CMU914" s="1091"/>
      <c r="CMV914" s="1091"/>
      <c r="CMW914" s="1091"/>
      <c r="CMX914" s="1091"/>
      <c r="CMY914" s="1091"/>
      <c r="CMZ914" s="1091"/>
      <c r="CNA914" s="1091"/>
      <c r="CNB914" s="1091"/>
      <c r="CNC914" s="1091"/>
      <c r="CND914" s="1091"/>
      <c r="CNE914" s="1091"/>
      <c r="CNF914" s="1091"/>
      <c r="CNG914" s="1091"/>
      <c r="CNH914" s="1091"/>
      <c r="CNI914" s="1091"/>
      <c r="CNJ914" s="1091"/>
      <c r="CNK914" s="1091"/>
      <c r="CNL914" s="1091"/>
      <c r="CNM914" s="1091"/>
      <c r="CNN914" s="1091"/>
      <c r="CNO914" s="1091"/>
      <c r="CNP914" s="1091"/>
      <c r="CNQ914" s="1091"/>
      <c r="CNR914" s="1091"/>
      <c r="CNS914" s="1091"/>
      <c r="CNT914" s="1091"/>
      <c r="CNU914" s="1091"/>
      <c r="CNV914" s="1091"/>
      <c r="CNW914" s="1091"/>
      <c r="CNX914" s="1091"/>
      <c r="CNY914" s="1091"/>
      <c r="CNZ914" s="1091"/>
      <c r="COA914" s="1091"/>
      <c r="COB914" s="1091"/>
      <c r="COC914" s="1091"/>
      <c r="COD914" s="1091"/>
      <c r="COE914" s="1091"/>
      <c r="COF914" s="1091"/>
      <c r="COG914" s="1091"/>
      <c r="COH914" s="1091"/>
      <c r="COI914" s="1091"/>
      <c r="COJ914" s="1091"/>
      <c r="COK914" s="1091"/>
      <c r="COL914" s="1091"/>
      <c r="COM914" s="1091"/>
      <c r="CON914" s="1091"/>
      <c r="COO914" s="1091"/>
      <c r="COP914" s="1091"/>
      <c r="COQ914" s="1091"/>
      <c r="COR914" s="1091"/>
      <c r="COS914" s="1091"/>
      <c r="COT914" s="1091"/>
      <c r="COU914" s="1091"/>
      <c r="COV914" s="1091"/>
      <c r="COW914" s="1091"/>
      <c r="COX914" s="1091"/>
      <c r="COY914" s="1091"/>
      <c r="COZ914" s="1091"/>
      <c r="CPA914" s="1091"/>
      <c r="CPB914" s="1091"/>
      <c r="CPC914" s="1091"/>
      <c r="CPD914" s="1091"/>
      <c r="CPE914" s="1091"/>
      <c r="CPF914" s="1091"/>
      <c r="CPG914" s="1091"/>
      <c r="CPH914" s="1091"/>
      <c r="CPI914" s="1091"/>
      <c r="CPJ914" s="1091"/>
      <c r="CPK914" s="1091"/>
      <c r="CPL914" s="1091"/>
      <c r="CPM914" s="1091"/>
      <c r="CPN914" s="1091"/>
      <c r="CPO914" s="1091"/>
      <c r="CPP914" s="1091"/>
      <c r="CPQ914" s="1091"/>
      <c r="CPR914" s="1091"/>
      <c r="CPS914" s="1091"/>
      <c r="CPT914" s="1091"/>
      <c r="CPU914" s="1091"/>
      <c r="CPV914" s="1091"/>
      <c r="CPW914" s="1091"/>
      <c r="CPX914" s="1091"/>
      <c r="CPY914" s="1091"/>
      <c r="CPZ914" s="1091"/>
      <c r="CQA914" s="1091"/>
      <c r="CQB914" s="1091"/>
      <c r="CQC914" s="1091"/>
      <c r="CQD914" s="1091"/>
      <c r="CQE914" s="1091"/>
      <c r="CQF914" s="1091"/>
      <c r="CQG914" s="1091"/>
      <c r="CQH914" s="1091"/>
      <c r="CQI914" s="1091"/>
      <c r="CQJ914" s="1091"/>
      <c r="CQK914" s="1091"/>
      <c r="CQL914" s="1091"/>
      <c r="CQM914" s="1091"/>
      <c r="CQN914" s="1091"/>
      <c r="CQO914" s="1091"/>
      <c r="CQP914" s="1091"/>
      <c r="CQQ914" s="1091"/>
      <c r="CQR914" s="1091"/>
      <c r="CQS914" s="1091"/>
      <c r="CQT914" s="1091"/>
      <c r="CQU914" s="1091"/>
      <c r="CQV914" s="1091"/>
      <c r="CQW914" s="1091"/>
      <c r="CQX914" s="1091"/>
      <c r="CQY914" s="1091"/>
      <c r="CQZ914" s="1091"/>
      <c r="CRA914" s="1091"/>
      <c r="CRB914" s="1091"/>
      <c r="CRC914" s="1091"/>
      <c r="CRD914" s="1091"/>
      <c r="CRE914" s="1091"/>
      <c r="CRF914" s="1091"/>
      <c r="CRG914" s="1091"/>
      <c r="CRH914" s="1091"/>
      <c r="CRI914" s="1091"/>
      <c r="CRJ914" s="1091"/>
      <c r="CRK914" s="1091"/>
      <c r="CRL914" s="1091"/>
      <c r="CRM914" s="1091"/>
      <c r="CRN914" s="1091"/>
      <c r="CRO914" s="1091"/>
      <c r="CRP914" s="1091"/>
      <c r="CRQ914" s="1091"/>
      <c r="CRR914" s="1091"/>
      <c r="CRS914" s="1091"/>
      <c r="CRT914" s="1091"/>
      <c r="CRU914" s="1091"/>
      <c r="CRV914" s="1091"/>
      <c r="CRW914" s="1091"/>
      <c r="CRX914" s="1091"/>
      <c r="CRY914" s="1091"/>
      <c r="CRZ914" s="1091"/>
      <c r="CSA914" s="1091"/>
      <c r="CSB914" s="1091"/>
      <c r="CSC914" s="1091"/>
      <c r="CSD914" s="1091"/>
      <c r="CSE914" s="1091"/>
      <c r="CSF914" s="1091"/>
      <c r="CSG914" s="1091"/>
      <c r="CSH914" s="1091"/>
      <c r="CSI914" s="1091"/>
      <c r="CSJ914" s="1091"/>
      <c r="CSK914" s="1091"/>
      <c r="CSL914" s="1091"/>
      <c r="CSM914" s="1091"/>
      <c r="CSN914" s="1091"/>
      <c r="CSO914" s="1091"/>
      <c r="CSP914" s="1091"/>
      <c r="CSQ914" s="1091"/>
      <c r="CSR914" s="1091"/>
      <c r="CSS914" s="1091"/>
      <c r="CST914" s="1091"/>
      <c r="CSU914" s="1091"/>
      <c r="CSV914" s="1091"/>
      <c r="CSW914" s="1091"/>
      <c r="CSX914" s="1091"/>
      <c r="CSY914" s="1091"/>
      <c r="CSZ914" s="1091"/>
      <c r="CTA914" s="1091"/>
      <c r="CTB914" s="1091"/>
      <c r="CTC914" s="1091"/>
      <c r="CTD914" s="1091"/>
      <c r="CTE914" s="1091"/>
      <c r="CTF914" s="1091"/>
      <c r="CTG914" s="1091"/>
      <c r="CTH914" s="1091"/>
      <c r="CTI914" s="1091"/>
      <c r="CTJ914" s="1091"/>
      <c r="CTK914" s="1091"/>
      <c r="CTL914" s="1091"/>
      <c r="CTM914" s="1091"/>
      <c r="CTN914" s="1091"/>
      <c r="CTO914" s="1091"/>
      <c r="CTP914" s="1091"/>
      <c r="CTQ914" s="1091"/>
      <c r="CTR914" s="1091"/>
      <c r="CTS914" s="1091"/>
      <c r="CTT914" s="1091"/>
      <c r="CTU914" s="1091"/>
      <c r="CTV914" s="1091"/>
      <c r="CTW914" s="1091"/>
      <c r="CTX914" s="1091"/>
      <c r="CTY914" s="1091"/>
      <c r="CTZ914" s="1091"/>
      <c r="CUA914" s="1091"/>
      <c r="CUB914" s="1091"/>
      <c r="CUC914" s="1091"/>
      <c r="CUD914" s="1091"/>
      <c r="CUE914" s="1091"/>
      <c r="CUF914" s="1091"/>
      <c r="CUG914" s="1091"/>
      <c r="CUH914" s="1091"/>
      <c r="CUI914" s="1091"/>
      <c r="CUJ914" s="1091"/>
      <c r="CUK914" s="1091"/>
      <c r="CUL914" s="1091"/>
      <c r="CUM914" s="1091"/>
      <c r="CUN914" s="1091"/>
      <c r="CUO914" s="1091"/>
      <c r="CUP914" s="1091"/>
      <c r="CUQ914" s="1091"/>
      <c r="CUR914" s="1091"/>
      <c r="CUS914" s="1091"/>
      <c r="CUT914" s="1091"/>
      <c r="CUU914" s="1091"/>
      <c r="CUV914" s="1091"/>
      <c r="CUW914" s="1091"/>
      <c r="CUX914" s="1091"/>
      <c r="CUY914" s="1091"/>
      <c r="CUZ914" s="1091"/>
      <c r="CVA914" s="1091"/>
      <c r="CVB914" s="1091"/>
      <c r="CVC914" s="1091"/>
      <c r="CVD914" s="1091"/>
      <c r="CVE914" s="1091"/>
      <c r="CVF914" s="1091"/>
      <c r="CVG914" s="1091"/>
      <c r="CVH914" s="1091"/>
      <c r="CVI914" s="1091"/>
      <c r="CVJ914" s="1091"/>
      <c r="CVK914" s="1091"/>
      <c r="CVL914" s="1091"/>
      <c r="CVM914" s="1091"/>
      <c r="CVN914" s="1091"/>
      <c r="CVO914" s="1091"/>
      <c r="CVP914" s="1091"/>
      <c r="CVQ914" s="1091"/>
      <c r="CVR914" s="1091"/>
      <c r="CVS914" s="1091"/>
      <c r="CVT914" s="1091"/>
      <c r="CVU914" s="1091"/>
      <c r="CVV914" s="1091"/>
      <c r="CVW914" s="1091"/>
      <c r="CVX914" s="1091"/>
      <c r="CVY914" s="1091"/>
      <c r="CVZ914" s="1091"/>
      <c r="CWA914" s="1091"/>
      <c r="CWB914" s="1091"/>
      <c r="CWC914" s="1091"/>
      <c r="CWD914" s="1091"/>
      <c r="CWE914" s="1091"/>
      <c r="CWF914" s="1091"/>
      <c r="CWG914" s="1091"/>
      <c r="CWH914" s="1091"/>
      <c r="CWI914" s="1091"/>
      <c r="CWJ914" s="1091"/>
      <c r="CWK914" s="1091"/>
      <c r="CWL914" s="1091"/>
      <c r="CWM914" s="1091"/>
      <c r="CWN914" s="1091"/>
      <c r="CWO914" s="1091"/>
      <c r="CWP914" s="1091"/>
      <c r="CWQ914" s="1091"/>
      <c r="CWR914" s="1091"/>
      <c r="CWS914" s="1091"/>
      <c r="CWT914" s="1091"/>
      <c r="CWU914" s="1091"/>
      <c r="CWV914" s="1091"/>
      <c r="CWW914" s="1091"/>
      <c r="CWX914" s="1091"/>
      <c r="CWY914" s="1091"/>
      <c r="CWZ914" s="1091"/>
      <c r="CXA914" s="1091"/>
      <c r="CXB914" s="1091"/>
      <c r="CXC914" s="1091"/>
      <c r="CXD914" s="1091"/>
      <c r="CXE914" s="1091"/>
      <c r="CXF914" s="1091"/>
      <c r="CXG914" s="1091"/>
      <c r="CXH914" s="1091"/>
      <c r="CXI914" s="1091"/>
      <c r="CXJ914" s="1091"/>
      <c r="CXK914" s="1091"/>
      <c r="CXL914" s="1091"/>
      <c r="CXM914" s="1091"/>
      <c r="CXN914" s="1091"/>
      <c r="CXO914" s="1091"/>
      <c r="CXP914" s="1091"/>
      <c r="CXQ914" s="1091"/>
      <c r="CXR914" s="1091"/>
      <c r="CXS914" s="1091"/>
      <c r="CXT914" s="1091"/>
      <c r="CXU914" s="1091"/>
      <c r="CXV914" s="1091"/>
      <c r="CXW914" s="1091"/>
      <c r="CXX914" s="1091"/>
      <c r="CXY914" s="1091"/>
      <c r="CXZ914" s="1091"/>
      <c r="CYA914" s="1091"/>
      <c r="CYB914" s="1091"/>
      <c r="CYC914" s="1091"/>
      <c r="CYD914" s="1091"/>
      <c r="CYE914" s="1091"/>
      <c r="CYF914" s="1091"/>
      <c r="CYG914" s="1091"/>
      <c r="CYH914" s="1091"/>
      <c r="CYI914" s="1091"/>
      <c r="CYJ914" s="1091"/>
      <c r="CYK914" s="1091"/>
      <c r="CYL914" s="1091"/>
      <c r="CYM914" s="1091"/>
      <c r="CYN914" s="1091"/>
      <c r="CYO914" s="1091"/>
      <c r="CYP914" s="1091"/>
      <c r="CYQ914" s="1091"/>
      <c r="CYR914" s="1091"/>
      <c r="CYS914" s="1091"/>
      <c r="CYT914" s="1091"/>
      <c r="CYU914" s="1091"/>
      <c r="CYV914" s="1091"/>
      <c r="CYW914" s="1091"/>
      <c r="CYX914" s="1091"/>
      <c r="CYY914" s="1091"/>
      <c r="CYZ914" s="1091"/>
      <c r="CZA914" s="1091"/>
      <c r="CZB914" s="1091"/>
      <c r="CZC914" s="1091"/>
      <c r="CZD914" s="1091"/>
      <c r="CZE914" s="1091"/>
      <c r="CZF914" s="1091"/>
      <c r="CZG914" s="1091"/>
      <c r="CZH914" s="1091"/>
      <c r="CZI914" s="1091"/>
      <c r="CZJ914" s="1091"/>
      <c r="CZK914" s="1091"/>
      <c r="CZL914" s="1091"/>
      <c r="CZM914" s="1091"/>
      <c r="CZN914" s="1091"/>
      <c r="CZO914" s="1091"/>
      <c r="CZP914" s="1091"/>
      <c r="CZQ914" s="1091"/>
      <c r="CZR914" s="1091"/>
      <c r="CZS914" s="1091"/>
      <c r="CZT914" s="1091"/>
      <c r="CZU914" s="1091"/>
      <c r="CZV914" s="1091"/>
      <c r="CZW914" s="1091"/>
      <c r="CZX914" s="1091"/>
      <c r="CZY914" s="1091"/>
      <c r="CZZ914" s="1091"/>
      <c r="DAA914" s="1091"/>
      <c r="DAB914" s="1091"/>
      <c r="DAC914" s="1091"/>
      <c r="DAD914" s="1091"/>
      <c r="DAE914" s="1091"/>
      <c r="DAF914" s="1091"/>
      <c r="DAG914" s="1091"/>
      <c r="DAH914" s="1091"/>
      <c r="DAI914" s="1091"/>
      <c r="DAJ914" s="1091"/>
      <c r="DAK914" s="1091"/>
      <c r="DAL914" s="1091"/>
      <c r="DAM914" s="1091"/>
      <c r="DAN914" s="1091"/>
      <c r="DAO914" s="1091"/>
      <c r="DAP914" s="1091"/>
      <c r="DAQ914" s="1091"/>
      <c r="DAR914" s="1091"/>
      <c r="DAS914" s="1091"/>
      <c r="DAT914" s="1091"/>
      <c r="DAU914" s="1091"/>
      <c r="DAV914" s="1091"/>
      <c r="DAW914" s="1091"/>
      <c r="DAX914" s="1091"/>
      <c r="DAY914" s="1091"/>
      <c r="DAZ914" s="1091"/>
      <c r="DBA914" s="1091"/>
      <c r="DBB914" s="1091"/>
      <c r="DBC914" s="1091"/>
      <c r="DBD914" s="1091"/>
      <c r="DBE914" s="1091"/>
      <c r="DBF914" s="1091"/>
      <c r="DBG914" s="1091"/>
      <c r="DBH914" s="1091"/>
      <c r="DBI914" s="1091"/>
      <c r="DBJ914" s="1091"/>
      <c r="DBK914" s="1091"/>
      <c r="DBL914" s="1091"/>
      <c r="DBM914" s="1091"/>
      <c r="DBN914" s="1091"/>
      <c r="DBO914" s="1091"/>
      <c r="DBP914" s="1091"/>
      <c r="DBQ914" s="1091"/>
      <c r="DBR914" s="1091"/>
      <c r="DBS914" s="1091"/>
      <c r="DBT914" s="1091"/>
      <c r="DBU914" s="1091"/>
      <c r="DBV914" s="1091"/>
      <c r="DBW914" s="1091"/>
      <c r="DBX914" s="1091"/>
      <c r="DBY914" s="1091"/>
      <c r="DBZ914" s="1091"/>
      <c r="DCA914" s="1091"/>
      <c r="DCB914" s="1091"/>
      <c r="DCC914" s="1091"/>
      <c r="DCD914" s="1091"/>
      <c r="DCE914" s="1091"/>
      <c r="DCF914" s="1091"/>
      <c r="DCG914" s="1091"/>
      <c r="DCH914" s="1091"/>
      <c r="DCI914" s="1091"/>
      <c r="DCJ914" s="1091"/>
      <c r="DCK914" s="1091"/>
      <c r="DCL914" s="1091"/>
      <c r="DCM914" s="1091"/>
      <c r="DCN914" s="1091"/>
      <c r="DCO914" s="1091"/>
      <c r="DCP914" s="1091"/>
      <c r="DCQ914" s="1091"/>
      <c r="DCR914" s="1091"/>
      <c r="DCS914" s="1091"/>
      <c r="DCT914" s="1091"/>
      <c r="DCU914" s="1091"/>
      <c r="DCV914" s="1091"/>
      <c r="DCW914" s="1091"/>
      <c r="DCX914" s="1091"/>
      <c r="DCY914" s="1091"/>
      <c r="DCZ914" s="1091"/>
      <c r="DDA914" s="1091"/>
      <c r="DDB914" s="1091"/>
      <c r="DDC914" s="1091"/>
      <c r="DDD914" s="1091"/>
      <c r="DDE914" s="1091"/>
      <c r="DDF914" s="1091"/>
      <c r="DDG914" s="1091"/>
      <c r="DDH914" s="1091"/>
      <c r="DDI914" s="1091"/>
      <c r="DDJ914" s="1091"/>
      <c r="DDK914" s="1091"/>
      <c r="DDL914" s="1091"/>
      <c r="DDM914" s="1091"/>
      <c r="DDN914" s="1091"/>
      <c r="DDO914" s="1091"/>
      <c r="DDP914" s="1091"/>
      <c r="DDQ914" s="1091"/>
      <c r="DDR914" s="1091"/>
      <c r="DDS914" s="1091"/>
      <c r="DDT914" s="1091"/>
      <c r="DDU914" s="1091"/>
      <c r="DDV914" s="1091"/>
      <c r="DDW914" s="1091"/>
      <c r="DDX914" s="1091"/>
      <c r="DDY914" s="1091"/>
      <c r="DDZ914" s="1091"/>
      <c r="DEA914" s="1091"/>
      <c r="DEB914" s="1091"/>
      <c r="DEC914" s="1091"/>
      <c r="DED914" s="1091"/>
      <c r="DEE914" s="1091"/>
      <c r="DEF914" s="1091"/>
      <c r="DEG914" s="1091"/>
      <c r="DEH914" s="1091"/>
      <c r="DEI914" s="1091"/>
      <c r="DEJ914" s="1091"/>
      <c r="DEK914" s="1091"/>
      <c r="DEL914" s="1091"/>
      <c r="DEM914" s="1091"/>
      <c r="DEN914" s="1091"/>
      <c r="DEO914" s="1091"/>
      <c r="DEP914" s="1091"/>
      <c r="DEQ914" s="1091"/>
      <c r="DER914" s="1091"/>
      <c r="DES914" s="1091"/>
      <c r="DET914" s="1091"/>
      <c r="DEU914" s="1091"/>
      <c r="DEV914" s="1091"/>
      <c r="DEW914" s="1091"/>
      <c r="DEX914" s="1091"/>
      <c r="DEY914" s="1091"/>
      <c r="DEZ914" s="1091"/>
      <c r="DFA914" s="1091"/>
      <c r="DFB914" s="1091"/>
      <c r="DFC914" s="1091"/>
      <c r="DFD914" s="1091"/>
      <c r="DFE914" s="1091"/>
      <c r="DFF914" s="1091"/>
      <c r="DFG914" s="1091"/>
      <c r="DFH914" s="1091"/>
      <c r="DFI914" s="1091"/>
      <c r="DFJ914" s="1091"/>
      <c r="DFK914" s="1091"/>
      <c r="DFL914" s="1091"/>
      <c r="DFM914" s="1091"/>
      <c r="DFN914" s="1091"/>
      <c r="DFO914" s="1091"/>
      <c r="DFP914" s="1091"/>
      <c r="DFQ914" s="1091"/>
      <c r="DFR914" s="1091"/>
      <c r="DFS914" s="1091"/>
      <c r="DFT914" s="1091"/>
      <c r="DFU914" s="1091"/>
      <c r="DFV914" s="1091"/>
      <c r="DFW914" s="1091"/>
      <c r="DFX914" s="1091"/>
      <c r="DFY914" s="1091"/>
      <c r="DFZ914" s="1091"/>
      <c r="DGA914" s="1091"/>
      <c r="DGB914" s="1091"/>
      <c r="DGC914" s="1091"/>
      <c r="DGD914" s="1091"/>
      <c r="DGE914" s="1091"/>
      <c r="DGF914" s="1091"/>
      <c r="DGG914" s="1091"/>
      <c r="DGH914" s="1091"/>
      <c r="DGI914" s="1091"/>
      <c r="DGJ914" s="1091"/>
      <c r="DGK914" s="1091"/>
      <c r="DGL914" s="1091"/>
      <c r="DGM914" s="1091"/>
      <c r="DGN914" s="1091"/>
      <c r="DGO914" s="1091"/>
      <c r="DGP914" s="1091"/>
      <c r="DGQ914" s="1091"/>
      <c r="DGR914" s="1091"/>
      <c r="DGS914" s="1091"/>
      <c r="DGT914" s="1091"/>
      <c r="DGU914" s="1091"/>
      <c r="DGV914" s="1091"/>
      <c r="DGW914" s="1091"/>
      <c r="DGX914" s="1091"/>
      <c r="DGY914" s="1091"/>
      <c r="DGZ914" s="1091"/>
      <c r="DHA914" s="1091"/>
      <c r="DHB914" s="1091"/>
      <c r="DHC914" s="1091"/>
      <c r="DHD914" s="1091"/>
      <c r="DHE914" s="1091"/>
      <c r="DHF914" s="1091"/>
      <c r="DHG914" s="1091"/>
      <c r="DHH914" s="1091"/>
      <c r="DHI914" s="1091"/>
      <c r="DHJ914" s="1091"/>
      <c r="DHK914" s="1091"/>
      <c r="DHL914" s="1091"/>
      <c r="DHM914" s="1091"/>
      <c r="DHN914" s="1091"/>
      <c r="DHO914" s="1091"/>
      <c r="DHP914" s="1091"/>
      <c r="DHQ914" s="1091"/>
      <c r="DHR914" s="1091"/>
      <c r="DHS914" s="1091"/>
      <c r="DHT914" s="1091"/>
      <c r="DHU914" s="1091"/>
      <c r="DHV914" s="1091"/>
      <c r="DHW914" s="1091"/>
      <c r="DHX914" s="1091"/>
      <c r="DHY914" s="1091"/>
      <c r="DHZ914" s="1091"/>
      <c r="DIA914" s="1091"/>
      <c r="DIB914" s="1091"/>
      <c r="DIC914" s="1091"/>
      <c r="DID914" s="1091"/>
      <c r="DIE914" s="1091"/>
      <c r="DIF914" s="1091"/>
      <c r="DIG914" s="1091"/>
      <c r="DIH914" s="1091"/>
      <c r="DII914" s="1091"/>
      <c r="DIJ914" s="1091"/>
      <c r="DIK914" s="1091"/>
      <c r="DIL914" s="1091"/>
      <c r="DIM914" s="1091"/>
      <c r="DIN914" s="1091"/>
      <c r="DIO914" s="1091"/>
      <c r="DIP914" s="1091"/>
      <c r="DIQ914" s="1091"/>
      <c r="DIR914" s="1091"/>
      <c r="DIS914" s="1091"/>
      <c r="DIT914" s="1091"/>
      <c r="DIU914" s="1091"/>
      <c r="DIV914" s="1091"/>
      <c r="DIW914" s="1091"/>
      <c r="DIX914" s="1091"/>
      <c r="DIY914" s="1091"/>
      <c r="DIZ914" s="1091"/>
      <c r="DJA914" s="1091"/>
      <c r="DJB914" s="1091"/>
      <c r="DJC914" s="1091"/>
      <c r="DJD914" s="1091"/>
      <c r="DJE914" s="1091"/>
      <c r="DJF914" s="1091"/>
      <c r="DJG914" s="1091"/>
      <c r="DJH914" s="1091"/>
      <c r="DJI914" s="1091"/>
      <c r="DJJ914" s="1091"/>
      <c r="DJK914" s="1091"/>
      <c r="DJL914" s="1091"/>
      <c r="DJM914" s="1091"/>
      <c r="DJN914" s="1091"/>
      <c r="DJO914" s="1091"/>
      <c r="DJP914" s="1091"/>
      <c r="DJQ914" s="1091"/>
      <c r="DJR914" s="1091"/>
      <c r="DJS914" s="1091"/>
      <c r="DJT914" s="1091"/>
      <c r="DJU914" s="1091"/>
      <c r="DJV914" s="1091"/>
      <c r="DJW914" s="1091"/>
      <c r="DJX914" s="1091"/>
      <c r="DJY914" s="1091"/>
      <c r="DJZ914" s="1091"/>
      <c r="DKA914" s="1091"/>
      <c r="DKB914" s="1091"/>
      <c r="DKC914" s="1091"/>
      <c r="DKD914" s="1091"/>
      <c r="DKE914" s="1091"/>
      <c r="DKF914" s="1091"/>
      <c r="DKG914" s="1091"/>
      <c r="DKH914" s="1091"/>
      <c r="DKI914" s="1091"/>
      <c r="DKJ914" s="1091"/>
      <c r="DKK914" s="1091"/>
      <c r="DKL914" s="1091"/>
      <c r="DKM914" s="1091"/>
      <c r="DKN914" s="1091"/>
      <c r="DKO914" s="1091"/>
      <c r="DKP914" s="1091"/>
      <c r="DKQ914" s="1091"/>
      <c r="DKR914" s="1091"/>
      <c r="DKS914" s="1091"/>
      <c r="DKT914" s="1091"/>
      <c r="DKU914" s="1091"/>
      <c r="DKV914" s="1091"/>
      <c r="DKW914" s="1091"/>
      <c r="DKX914" s="1091"/>
      <c r="DKY914" s="1091"/>
      <c r="DKZ914" s="1091"/>
      <c r="DLA914" s="1091"/>
      <c r="DLB914" s="1091"/>
      <c r="DLC914" s="1091"/>
      <c r="DLD914" s="1091"/>
      <c r="DLE914" s="1091"/>
      <c r="DLF914" s="1091"/>
      <c r="DLG914" s="1091"/>
      <c r="DLH914" s="1091"/>
      <c r="DLI914" s="1091"/>
      <c r="DLJ914" s="1091"/>
      <c r="DLK914" s="1091"/>
      <c r="DLL914" s="1091"/>
      <c r="DLM914" s="1091"/>
      <c r="DLN914" s="1091"/>
      <c r="DLO914" s="1091"/>
      <c r="DLP914" s="1091"/>
      <c r="DLQ914" s="1091"/>
      <c r="DLR914" s="1091"/>
      <c r="DLS914" s="1091"/>
      <c r="DLT914" s="1091"/>
      <c r="DLU914" s="1091"/>
      <c r="DLV914" s="1091"/>
      <c r="DLW914" s="1091"/>
      <c r="DLX914" s="1091"/>
      <c r="DLY914" s="1091"/>
      <c r="DLZ914" s="1091"/>
      <c r="DMA914" s="1091"/>
      <c r="DMB914" s="1091"/>
      <c r="DMC914" s="1091"/>
      <c r="DMD914" s="1091"/>
      <c r="DME914" s="1091"/>
      <c r="DMF914" s="1091"/>
      <c r="DMG914" s="1091"/>
      <c r="DMH914" s="1091"/>
      <c r="DMI914" s="1091"/>
      <c r="DMJ914" s="1091"/>
      <c r="DMK914" s="1091"/>
      <c r="DML914" s="1091"/>
      <c r="DMM914" s="1091"/>
      <c r="DMN914" s="1091"/>
      <c r="DMO914" s="1091"/>
      <c r="DMP914" s="1091"/>
      <c r="DMQ914" s="1091"/>
      <c r="DMR914" s="1091"/>
      <c r="DMS914" s="1091"/>
      <c r="DMT914" s="1091"/>
      <c r="DMU914" s="1091"/>
      <c r="DMV914" s="1091"/>
      <c r="DMW914" s="1091"/>
      <c r="DMX914" s="1091"/>
      <c r="DMY914" s="1091"/>
      <c r="DMZ914" s="1091"/>
      <c r="DNA914" s="1091"/>
      <c r="DNB914" s="1091"/>
      <c r="DNC914" s="1091"/>
      <c r="DND914" s="1091"/>
      <c r="DNE914" s="1091"/>
      <c r="DNF914" s="1091"/>
      <c r="DNG914" s="1091"/>
      <c r="DNH914" s="1091"/>
      <c r="DNI914" s="1091"/>
      <c r="DNJ914" s="1091"/>
      <c r="DNK914" s="1091"/>
      <c r="DNL914" s="1091"/>
      <c r="DNM914" s="1091"/>
      <c r="DNN914" s="1091"/>
      <c r="DNO914" s="1091"/>
      <c r="DNP914" s="1091"/>
      <c r="DNQ914" s="1091"/>
      <c r="DNR914" s="1091"/>
      <c r="DNS914" s="1091"/>
      <c r="DNT914" s="1091"/>
      <c r="DNU914" s="1091"/>
      <c r="DNV914" s="1091"/>
      <c r="DNW914" s="1091"/>
      <c r="DNX914" s="1091"/>
      <c r="DNY914" s="1091"/>
      <c r="DNZ914" s="1091"/>
      <c r="DOA914" s="1091"/>
      <c r="DOB914" s="1091"/>
      <c r="DOC914" s="1091"/>
      <c r="DOD914" s="1091"/>
      <c r="DOE914" s="1091"/>
      <c r="DOF914" s="1091"/>
      <c r="DOG914" s="1091"/>
      <c r="DOH914" s="1091"/>
      <c r="DOI914" s="1091"/>
      <c r="DOJ914" s="1091"/>
      <c r="DOK914" s="1091"/>
      <c r="DOL914" s="1091"/>
      <c r="DOM914" s="1091"/>
      <c r="DON914" s="1091"/>
      <c r="DOO914" s="1091"/>
      <c r="DOP914" s="1091"/>
      <c r="DOQ914" s="1091"/>
      <c r="DOR914" s="1091"/>
      <c r="DOS914" s="1091"/>
      <c r="DOT914" s="1091"/>
      <c r="DOU914" s="1091"/>
      <c r="DOV914" s="1091"/>
      <c r="DOW914" s="1091"/>
      <c r="DOX914" s="1091"/>
      <c r="DOY914" s="1091"/>
      <c r="DOZ914" s="1091"/>
      <c r="DPA914" s="1091"/>
      <c r="DPB914" s="1091"/>
      <c r="DPC914" s="1091"/>
      <c r="DPD914" s="1091"/>
      <c r="DPE914" s="1091"/>
      <c r="DPF914" s="1091"/>
      <c r="DPG914" s="1091"/>
      <c r="DPH914" s="1091"/>
      <c r="DPI914" s="1091"/>
      <c r="DPJ914" s="1091"/>
      <c r="DPK914" s="1091"/>
      <c r="DPL914" s="1091"/>
      <c r="DPM914" s="1091"/>
      <c r="DPN914" s="1091"/>
      <c r="DPO914" s="1091"/>
      <c r="DPP914" s="1091"/>
      <c r="DPQ914" s="1091"/>
      <c r="DPR914" s="1091"/>
      <c r="DPS914" s="1091"/>
      <c r="DPT914" s="1091"/>
      <c r="DPU914" s="1091"/>
      <c r="DPV914" s="1091"/>
      <c r="DPW914" s="1091"/>
      <c r="DPX914" s="1091"/>
      <c r="DPY914" s="1091"/>
      <c r="DPZ914" s="1091"/>
      <c r="DQA914" s="1091"/>
      <c r="DQB914" s="1091"/>
      <c r="DQC914" s="1091"/>
      <c r="DQD914" s="1091"/>
      <c r="DQE914" s="1091"/>
      <c r="DQF914" s="1091"/>
      <c r="DQG914" s="1091"/>
      <c r="DQH914" s="1091"/>
      <c r="DQI914" s="1091"/>
      <c r="DQJ914" s="1091"/>
      <c r="DQK914" s="1091"/>
      <c r="DQL914" s="1091"/>
      <c r="DQM914" s="1091"/>
      <c r="DQN914" s="1091"/>
      <c r="DQO914" s="1091"/>
      <c r="DQP914" s="1091"/>
      <c r="DQQ914" s="1091"/>
      <c r="DQR914" s="1091"/>
      <c r="DQS914" s="1091"/>
      <c r="DQT914" s="1091"/>
      <c r="DQU914" s="1091"/>
      <c r="DQV914" s="1091"/>
      <c r="DQW914" s="1091"/>
      <c r="DQX914" s="1091"/>
      <c r="DQY914" s="1091"/>
      <c r="DQZ914" s="1091"/>
      <c r="DRA914" s="1091"/>
      <c r="DRB914" s="1091"/>
      <c r="DRC914" s="1091"/>
      <c r="DRD914" s="1091"/>
      <c r="DRE914" s="1091"/>
      <c r="DRF914" s="1091"/>
      <c r="DRG914" s="1091"/>
      <c r="DRH914" s="1091"/>
      <c r="DRI914" s="1091"/>
      <c r="DRJ914" s="1091"/>
      <c r="DRK914" s="1091"/>
      <c r="DRL914" s="1091"/>
      <c r="DRM914" s="1091"/>
      <c r="DRN914" s="1091"/>
      <c r="DRO914" s="1091"/>
      <c r="DRP914" s="1091"/>
      <c r="DRQ914" s="1091"/>
      <c r="DRR914" s="1091"/>
      <c r="DRS914" s="1091"/>
      <c r="DRT914" s="1091"/>
      <c r="DRU914" s="1091"/>
      <c r="DRV914" s="1091"/>
      <c r="DRW914" s="1091"/>
      <c r="DRX914" s="1091"/>
      <c r="DRY914" s="1091"/>
      <c r="DRZ914" s="1091"/>
      <c r="DSA914" s="1091"/>
      <c r="DSB914" s="1091"/>
      <c r="DSC914" s="1091"/>
      <c r="DSD914" s="1091"/>
      <c r="DSE914" s="1091"/>
      <c r="DSF914" s="1091"/>
      <c r="DSG914" s="1091"/>
      <c r="DSH914" s="1091"/>
      <c r="DSI914" s="1091"/>
      <c r="DSJ914" s="1091"/>
      <c r="DSK914" s="1091"/>
      <c r="DSL914" s="1091"/>
      <c r="DSM914" s="1091"/>
      <c r="DSN914" s="1091"/>
      <c r="DSO914" s="1091"/>
      <c r="DSP914" s="1091"/>
      <c r="DSQ914" s="1091"/>
      <c r="DSR914" s="1091"/>
      <c r="DSS914" s="1091"/>
      <c r="DST914" s="1091"/>
      <c r="DSU914" s="1091"/>
      <c r="DSV914" s="1091"/>
      <c r="DSW914" s="1091"/>
      <c r="DSX914" s="1091"/>
      <c r="DSY914" s="1091"/>
      <c r="DSZ914" s="1091"/>
      <c r="DTA914" s="1091"/>
      <c r="DTB914" s="1091"/>
      <c r="DTC914" s="1091"/>
      <c r="DTD914" s="1091"/>
      <c r="DTE914" s="1091"/>
      <c r="DTF914" s="1091"/>
      <c r="DTG914" s="1091"/>
      <c r="DTH914" s="1091"/>
      <c r="DTI914" s="1091"/>
      <c r="DTJ914" s="1091"/>
      <c r="DTK914" s="1091"/>
      <c r="DTL914" s="1091"/>
      <c r="DTM914" s="1091"/>
      <c r="DTN914" s="1091"/>
      <c r="DTO914" s="1091"/>
      <c r="DTP914" s="1091"/>
      <c r="DTQ914" s="1091"/>
      <c r="DTR914" s="1091"/>
      <c r="DTS914" s="1091"/>
      <c r="DTT914" s="1091"/>
      <c r="DTU914" s="1091"/>
      <c r="DTV914" s="1091"/>
      <c r="DTW914" s="1091"/>
      <c r="DTX914" s="1091"/>
      <c r="DTY914" s="1091"/>
      <c r="DTZ914" s="1091"/>
      <c r="DUA914" s="1091"/>
      <c r="DUB914" s="1091"/>
      <c r="DUC914" s="1091"/>
      <c r="DUD914" s="1091"/>
      <c r="DUE914" s="1091"/>
      <c r="DUF914" s="1091"/>
      <c r="DUG914" s="1091"/>
      <c r="DUH914" s="1091"/>
      <c r="DUI914" s="1091"/>
      <c r="DUJ914" s="1091"/>
      <c r="DUK914" s="1091"/>
      <c r="DUL914" s="1091"/>
      <c r="DUM914" s="1091"/>
      <c r="DUN914" s="1091"/>
      <c r="DUO914" s="1091"/>
      <c r="DUP914" s="1091"/>
      <c r="DUQ914" s="1091"/>
      <c r="DUR914" s="1091"/>
      <c r="DUS914" s="1091"/>
      <c r="DUT914" s="1091"/>
      <c r="DUU914" s="1091"/>
      <c r="DUV914" s="1091"/>
      <c r="DUW914" s="1091"/>
      <c r="DUX914" s="1091"/>
      <c r="DUY914" s="1091"/>
      <c r="DUZ914" s="1091"/>
      <c r="DVA914" s="1091"/>
      <c r="DVB914" s="1091"/>
      <c r="DVC914" s="1091"/>
      <c r="DVD914" s="1091"/>
      <c r="DVE914" s="1091"/>
      <c r="DVF914" s="1091"/>
      <c r="DVG914" s="1091"/>
      <c r="DVH914" s="1091"/>
      <c r="DVI914" s="1091"/>
      <c r="DVJ914" s="1091"/>
      <c r="DVK914" s="1091"/>
      <c r="DVL914" s="1091"/>
      <c r="DVM914" s="1091"/>
      <c r="DVN914" s="1091"/>
      <c r="DVO914" s="1091"/>
      <c r="DVP914" s="1091"/>
      <c r="DVQ914" s="1091"/>
      <c r="DVR914" s="1091"/>
      <c r="DVS914" s="1091"/>
      <c r="DVT914" s="1091"/>
      <c r="DVU914" s="1091"/>
      <c r="DVV914" s="1091"/>
      <c r="DVW914" s="1091"/>
      <c r="DVX914" s="1091"/>
      <c r="DVY914" s="1091"/>
      <c r="DVZ914" s="1091"/>
      <c r="DWA914" s="1091"/>
      <c r="DWB914" s="1091"/>
      <c r="DWC914" s="1091"/>
      <c r="DWD914" s="1091"/>
      <c r="DWE914" s="1091"/>
      <c r="DWF914" s="1091"/>
      <c r="DWG914" s="1091"/>
      <c r="DWH914" s="1091"/>
      <c r="DWI914" s="1091"/>
      <c r="DWJ914" s="1091"/>
      <c r="DWK914" s="1091"/>
      <c r="DWL914" s="1091"/>
      <c r="DWM914" s="1091"/>
      <c r="DWN914" s="1091"/>
      <c r="DWO914" s="1091"/>
      <c r="DWP914" s="1091"/>
      <c r="DWQ914" s="1091"/>
      <c r="DWR914" s="1091"/>
      <c r="DWS914" s="1091"/>
      <c r="DWT914" s="1091"/>
      <c r="DWU914" s="1091"/>
      <c r="DWV914" s="1091"/>
      <c r="DWW914" s="1091"/>
      <c r="DWX914" s="1091"/>
      <c r="DWY914" s="1091"/>
      <c r="DWZ914" s="1091"/>
      <c r="DXA914" s="1091"/>
      <c r="DXB914" s="1091"/>
      <c r="DXC914" s="1091"/>
      <c r="DXD914" s="1091"/>
      <c r="DXE914" s="1091"/>
      <c r="DXF914" s="1091"/>
      <c r="DXG914" s="1091"/>
      <c r="DXH914" s="1091"/>
      <c r="DXI914" s="1091"/>
      <c r="DXJ914" s="1091"/>
      <c r="DXK914" s="1091"/>
      <c r="DXL914" s="1091"/>
      <c r="DXM914" s="1091"/>
      <c r="DXN914" s="1091"/>
      <c r="DXO914" s="1091"/>
      <c r="DXP914" s="1091"/>
      <c r="DXQ914" s="1091"/>
      <c r="DXR914" s="1091"/>
      <c r="DXS914" s="1091"/>
      <c r="DXT914" s="1091"/>
      <c r="DXU914" s="1091"/>
      <c r="DXV914" s="1091"/>
      <c r="DXW914" s="1091"/>
      <c r="DXX914" s="1091"/>
      <c r="DXY914" s="1091"/>
      <c r="DXZ914" s="1091"/>
      <c r="DYA914" s="1091"/>
      <c r="DYB914" s="1091"/>
      <c r="DYC914" s="1091"/>
      <c r="DYD914" s="1091"/>
      <c r="DYE914" s="1091"/>
      <c r="DYF914" s="1091"/>
      <c r="DYG914" s="1091"/>
      <c r="DYH914" s="1091"/>
      <c r="DYI914" s="1091"/>
      <c r="DYJ914" s="1091"/>
      <c r="DYK914" s="1091"/>
      <c r="DYL914" s="1091"/>
      <c r="DYM914" s="1091"/>
      <c r="DYN914" s="1091"/>
      <c r="DYO914" s="1091"/>
      <c r="DYP914" s="1091"/>
      <c r="DYQ914" s="1091"/>
      <c r="DYR914" s="1091"/>
      <c r="DYS914" s="1091"/>
      <c r="DYT914" s="1091"/>
      <c r="DYU914" s="1091"/>
      <c r="DYV914" s="1091"/>
      <c r="DYW914" s="1091"/>
      <c r="DYX914" s="1091"/>
      <c r="DYY914" s="1091"/>
      <c r="DYZ914" s="1091"/>
      <c r="DZA914" s="1091"/>
      <c r="DZB914" s="1091"/>
      <c r="DZC914" s="1091"/>
      <c r="DZD914" s="1091"/>
      <c r="DZE914" s="1091"/>
      <c r="DZF914" s="1091"/>
      <c r="DZG914" s="1091"/>
      <c r="DZH914" s="1091"/>
      <c r="DZI914" s="1091"/>
      <c r="DZJ914" s="1091"/>
      <c r="DZK914" s="1091"/>
      <c r="DZL914" s="1091"/>
      <c r="DZM914" s="1091"/>
      <c r="DZN914" s="1091"/>
      <c r="DZO914" s="1091"/>
      <c r="DZP914" s="1091"/>
      <c r="DZQ914" s="1091"/>
      <c r="DZR914" s="1091"/>
      <c r="DZS914" s="1091"/>
      <c r="DZT914" s="1091"/>
      <c r="DZU914" s="1091"/>
      <c r="DZV914" s="1091"/>
      <c r="DZW914" s="1091"/>
      <c r="DZX914" s="1091"/>
      <c r="DZY914" s="1091"/>
      <c r="DZZ914" s="1091"/>
      <c r="EAA914" s="1091"/>
      <c r="EAB914" s="1091"/>
      <c r="EAC914" s="1091"/>
      <c r="EAD914" s="1091"/>
      <c r="EAE914" s="1091"/>
      <c r="EAF914" s="1091"/>
      <c r="EAG914" s="1091"/>
      <c r="EAH914" s="1091"/>
      <c r="EAI914" s="1091"/>
      <c r="EAJ914" s="1091"/>
      <c r="EAK914" s="1091"/>
      <c r="EAL914" s="1091"/>
      <c r="EAM914" s="1091"/>
      <c r="EAN914" s="1091"/>
      <c r="EAO914" s="1091"/>
      <c r="EAP914" s="1091"/>
      <c r="EAQ914" s="1091"/>
      <c r="EAR914" s="1091"/>
      <c r="EAS914" s="1091"/>
      <c r="EAT914" s="1091"/>
      <c r="EAU914" s="1091"/>
      <c r="EAV914" s="1091"/>
      <c r="EAW914" s="1091"/>
      <c r="EAX914" s="1091"/>
      <c r="EAY914" s="1091"/>
      <c r="EAZ914" s="1091"/>
      <c r="EBA914" s="1091"/>
      <c r="EBB914" s="1091"/>
      <c r="EBC914" s="1091"/>
      <c r="EBD914" s="1091"/>
      <c r="EBE914" s="1091"/>
      <c r="EBF914" s="1091"/>
      <c r="EBG914" s="1091"/>
      <c r="EBH914" s="1091"/>
      <c r="EBI914" s="1091"/>
      <c r="EBJ914" s="1091"/>
      <c r="EBK914" s="1091"/>
      <c r="EBL914" s="1091"/>
      <c r="EBM914" s="1091"/>
      <c r="EBN914" s="1091"/>
      <c r="EBO914" s="1091"/>
      <c r="EBP914" s="1091"/>
      <c r="EBQ914" s="1091"/>
      <c r="EBR914" s="1091"/>
      <c r="EBS914" s="1091"/>
      <c r="EBT914" s="1091"/>
      <c r="EBU914" s="1091"/>
      <c r="EBV914" s="1091"/>
      <c r="EBW914" s="1091"/>
      <c r="EBX914" s="1091"/>
      <c r="EBY914" s="1091"/>
      <c r="EBZ914" s="1091"/>
      <c r="ECA914" s="1091"/>
      <c r="ECB914" s="1091"/>
      <c r="ECC914" s="1091"/>
      <c r="ECD914" s="1091"/>
      <c r="ECE914" s="1091"/>
      <c r="ECF914" s="1091"/>
      <c r="ECG914" s="1091"/>
      <c r="ECH914" s="1091"/>
      <c r="ECI914" s="1091"/>
      <c r="ECJ914" s="1091"/>
      <c r="ECK914" s="1091"/>
      <c r="ECL914" s="1091"/>
      <c r="ECM914" s="1091"/>
      <c r="ECN914" s="1091"/>
      <c r="ECO914" s="1091"/>
      <c r="ECP914" s="1091"/>
      <c r="ECQ914" s="1091"/>
      <c r="ECR914" s="1091"/>
      <c r="ECS914" s="1091"/>
      <c r="ECT914" s="1091"/>
      <c r="ECU914" s="1091"/>
      <c r="ECV914" s="1091"/>
      <c r="ECW914" s="1091"/>
      <c r="ECX914" s="1091"/>
      <c r="ECY914" s="1091"/>
      <c r="ECZ914" s="1091"/>
      <c r="EDA914" s="1091"/>
      <c r="EDB914" s="1091"/>
      <c r="EDC914" s="1091"/>
      <c r="EDD914" s="1091"/>
      <c r="EDE914" s="1091"/>
      <c r="EDF914" s="1091"/>
      <c r="EDG914" s="1091"/>
      <c r="EDH914" s="1091"/>
      <c r="EDI914" s="1091"/>
      <c r="EDJ914" s="1091"/>
      <c r="EDK914" s="1091"/>
      <c r="EDL914" s="1091"/>
      <c r="EDM914" s="1091"/>
      <c r="EDN914" s="1091"/>
      <c r="EDO914" s="1091"/>
      <c r="EDP914" s="1091"/>
      <c r="EDQ914" s="1091"/>
      <c r="EDR914" s="1091"/>
      <c r="EDS914" s="1091"/>
      <c r="EDT914" s="1091"/>
      <c r="EDU914" s="1091"/>
      <c r="EDV914" s="1091"/>
      <c r="EDW914" s="1091"/>
      <c r="EDX914" s="1091"/>
      <c r="EDY914" s="1091"/>
      <c r="EDZ914" s="1091"/>
      <c r="EEA914" s="1091"/>
      <c r="EEB914" s="1091"/>
      <c r="EEC914" s="1091"/>
      <c r="EED914" s="1091"/>
      <c r="EEE914" s="1091"/>
      <c r="EEF914" s="1091"/>
      <c r="EEG914" s="1091"/>
      <c r="EEH914" s="1091"/>
      <c r="EEI914" s="1091"/>
      <c r="EEJ914" s="1091"/>
      <c r="EEK914" s="1091"/>
      <c r="EEL914" s="1091"/>
      <c r="EEM914" s="1091"/>
      <c r="EEN914" s="1091"/>
      <c r="EEO914" s="1091"/>
      <c r="EEP914" s="1091"/>
      <c r="EEQ914" s="1091"/>
      <c r="EER914" s="1091"/>
      <c r="EES914" s="1091"/>
      <c r="EET914" s="1091"/>
      <c r="EEU914" s="1091"/>
      <c r="EEV914" s="1091"/>
      <c r="EEW914" s="1091"/>
      <c r="EEX914" s="1091"/>
      <c r="EEY914" s="1091"/>
      <c r="EEZ914" s="1091"/>
      <c r="EFA914" s="1091"/>
      <c r="EFB914" s="1091"/>
      <c r="EFC914" s="1091"/>
      <c r="EFD914" s="1091"/>
      <c r="EFE914" s="1091"/>
      <c r="EFF914" s="1091"/>
      <c r="EFG914" s="1091"/>
      <c r="EFH914" s="1091"/>
      <c r="EFI914" s="1091"/>
      <c r="EFJ914" s="1091"/>
      <c r="EFK914" s="1091"/>
      <c r="EFL914" s="1091"/>
      <c r="EFM914" s="1091"/>
      <c r="EFN914" s="1091"/>
      <c r="EFO914" s="1091"/>
      <c r="EFP914" s="1091"/>
      <c r="EFQ914" s="1091"/>
      <c r="EFR914" s="1091"/>
      <c r="EFS914" s="1091"/>
      <c r="EFT914" s="1091"/>
      <c r="EFU914" s="1091"/>
      <c r="EFV914" s="1091"/>
      <c r="EFW914" s="1091"/>
      <c r="EFX914" s="1091"/>
      <c r="EFY914" s="1091"/>
      <c r="EFZ914" s="1091"/>
      <c r="EGA914" s="1091"/>
      <c r="EGB914" s="1091"/>
      <c r="EGC914" s="1091"/>
      <c r="EGD914" s="1091"/>
      <c r="EGE914" s="1091"/>
      <c r="EGF914" s="1091"/>
      <c r="EGG914" s="1091"/>
      <c r="EGH914" s="1091"/>
      <c r="EGI914" s="1091"/>
      <c r="EGJ914" s="1091"/>
      <c r="EGK914" s="1091"/>
      <c r="EGL914" s="1091"/>
      <c r="EGM914" s="1091"/>
      <c r="EGN914" s="1091"/>
      <c r="EGO914" s="1091"/>
      <c r="EGP914" s="1091"/>
      <c r="EGQ914" s="1091"/>
      <c r="EGR914" s="1091"/>
      <c r="EGS914" s="1091"/>
      <c r="EGT914" s="1091"/>
      <c r="EGU914" s="1091"/>
      <c r="EGV914" s="1091"/>
      <c r="EGW914" s="1091"/>
      <c r="EGX914" s="1091"/>
      <c r="EGY914" s="1091"/>
      <c r="EGZ914" s="1091"/>
      <c r="EHA914" s="1091"/>
      <c r="EHB914" s="1091"/>
      <c r="EHC914" s="1091"/>
      <c r="EHD914" s="1091"/>
      <c r="EHE914" s="1091"/>
      <c r="EHF914" s="1091"/>
      <c r="EHG914" s="1091"/>
      <c r="EHH914" s="1091"/>
      <c r="EHI914" s="1091"/>
      <c r="EHJ914" s="1091"/>
      <c r="EHK914" s="1091"/>
      <c r="EHL914" s="1091"/>
      <c r="EHM914" s="1091"/>
      <c r="EHN914" s="1091"/>
      <c r="EHO914" s="1091"/>
      <c r="EHP914" s="1091"/>
      <c r="EHQ914" s="1091"/>
      <c r="EHR914" s="1091"/>
      <c r="EHS914" s="1091"/>
      <c r="EHT914" s="1091"/>
      <c r="EHU914" s="1091"/>
      <c r="EHV914" s="1091"/>
      <c r="EHW914" s="1091"/>
      <c r="EHX914" s="1091"/>
      <c r="EHY914" s="1091"/>
      <c r="EHZ914" s="1091"/>
      <c r="EIA914" s="1091"/>
      <c r="EIB914" s="1091"/>
      <c r="EIC914" s="1091"/>
      <c r="EID914" s="1091"/>
      <c r="EIE914" s="1091"/>
      <c r="EIF914" s="1091"/>
      <c r="EIG914" s="1091"/>
      <c r="EIH914" s="1091"/>
      <c r="EII914" s="1091"/>
      <c r="EIJ914" s="1091"/>
      <c r="EIK914" s="1091"/>
      <c r="EIL914" s="1091"/>
      <c r="EIM914" s="1091"/>
      <c r="EIN914" s="1091"/>
      <c r="EIO914" s="1091"/>
      <c r="EIP914" s="1091"/>
      <c r="EIQ914" s="1091"/>
      <c r="EIR914" s="1091"/>
      <c r="EIS914" s="1091"/>
      <c r="EIT914" s="1091"/>
      <c r="EIU914" s="1091"/>
      <c r="EIV914" s="1091"/>
      <c r="EIW914" s="1091"/>
      <c r="EIX914" s="1091"/>
      <c r="EIY914" s="1091"/>
      <c r="EIZ914" s="1091"/>
      <c r="EJA914" s="1091"/>
      <c r="EJB914" s="1091"/>
      <c r="EJC914" s="1091"/>
      <c r="EJD914" s="1091"/>
      <c r="EJE914" s="1091"/>
      <c r="EJF914" s="1091"/>
      <c r="EJG914" s="1091"/>
      <c r="EJH914" s="1091"/>
      <c r="EJI914" s="1091"/>
      <c r="EJJ914" s="1091"/>
      <c r="EJK914" s="1091"/>
      <c r="EJL914" s="1091"/>
      <c r="EJM914" s="1091"/>
      <c r="EJN914" s="1091"/>
      <c r="EJO914" s="1091"/>
      <c r="EJP914" s="1091"/>
      <c r="EJQ914" s="1091"/>
      <c r="EJR914" s="1091"/>
      <c r="EJS914" s="1091"/>
      <c r="EJT914" s="1091"/>
      <c r="EJU914" s="1091"/>
      <c r="EJV914" s="1091"/>
      <c r="EJW914" s="1091"/>
      <c r="EJX914" s="1091"/>
      <c r="EJY914" s="1091"/>
      <c r="EJZ914" s="1091"/>
      <c r="EKA914" s="1091"/>
      <c r="EKB914" s="1091"/>
      <c r="EKC914" s="1091"/>
      <c r="EKD914" s="1091"/>
      <c r="EKE914" s="1091"/>
      <c r="EKF914" s="1091"/>
      <c r="EKG914" s="1091"/>
      <c r="EKH914" s="1091"/>
      <c r="EKI914" s="1091"/>
      <c r="EKJ914" s="1091"/>
      <c r="EKK914" s="1091"/>
      <c r="EKL914" s="1091"/>
      <c r="EKM914" s="1091"/>
      <c r="EKN914" s="1091"/>
      <c r="EKO914" s="1091"/>
      <c r="EKP914" s="1091"/>
      <c r="EKQ914" s="1091"/>
      <c r="EKR914" s="1091"/>
      <c r="EKS914" s="1091"/>
      <c r="EKT914" s="1091"/>
      <c r="EKU914" s="1091"/>
      <c r="EKV914" s="1091"/>
      <c r="EKW914" s="1091"/>
      <c r="EKX914" s="1091"/>
      <c r="EKY914" s="1091"/>
      <c r="EKZ914" s="1091"/>
      <c r="ELA914" s="1091"/>
      <c r="ELB914" s="1091"/>
      <c r="ELC914" s="1091"/>
      <c r="ELD914" s="1091"/>
      <c r="ELE914" s="1091"/>
      <c r="ELF914" s="1091"/>
      <c r="ELG914" s="1091"/>
      <c r="ELH914" s="1091"/>
      <c r="ELI914" s="1091"/>
      <c r="ELJ914" s="1091"/>
      <c r="ELK914" s="1091"/>
      <c r="ELL914" s="1091"/>
      <c r="ELM914" s="1091"/>
      <c r="ELN914" s="1091"/>
      <c r="ELO914" s="1091"/>
      <c r="ELP914" s="1091"/>
      <c r="ELQ914" s="1091"/>
      <c r="ELR914" s="1091"/>
      <c r="ELS914" s="1091"/>
      <c r="ELT914" s="1091"/>
      <c r="ELU914" s="1091"/>
      <c r="ELV914" s="1091"/>
      <c r="ELW914" s="1091"/>
      <c r="ELX914" s="1091"/>
      <c r="ELY914" s="1091"/>
      <c r="ELZ914" s="1091"/>
      <c r="EMA914" s="1091"/>
      <c r="EMB914" s="1091"/>
      <c r="EMC914" s="1091"/>
      <c r="EMD914" s="1091"/>
      <c r="EME914" s="1091"/>
      <c r="EMF914" s="1091"/>
      <c r="EMG914" s="1091"/>
      <c r="EMH914" s="1091"/>
      <c r="EMI914" s="1091"/>
      <c r="EMJ914" s="1091"/>
      <c r="EMK914" s="1091"/>
      <c r="EML914" s="1091"/>
      <c r="EMM914" s="1091"/>
      <c r="EMN914" s="1091"/>
      <c r="EMO914" s="1091"/>
      <c r="EMP914" s="1091"/>
      <c r="EMQ914" s="1091"/>
      <c r="EMR914" s="1091"/>
      <c r="EMS914" s="1091"/>
      <c r="EMT914" s="1091"/>
      <c r="EMU914" s="1091"/>
      <c r="EMV914" s="1091"/>
      <c r="EMW914" s="1091"/>
      <c r="EMX914" s="1091"/>
      <c r="EMY914" s="1091"/>
      <c r="EMZ914" s="1091"/>
      <c r="ENA914" s="1091"/>
      <c r="ENB914" s="1091"/>
      <c r="ENC914" s="1091"/>
      <c r="END914" s="1091"/>
      <c r="ENE914" s="1091"/>
      <c r="ENF914" s="1091"/>
      <c r="ENG914" s="1091"/>
      <c r="ENH914" s="1091"/>
      <c r="ENI914" s="1091"/>
      <c r="ENJ914" s="1091"/>
      <c r="ENK914" s="1091"/>
      <c r="ENL914" s="1091"/>
      <c r="ENM914" s="1091"/>
      <c r="ENN914" s="1091"/>
      <c r="ENO914" s="1091"/>
      <c r="ENP914" s="1091"/>
      <c r="ENQ914" s="1091"/>
      <c r="ENR914" s="1091"/>
      <c r="ENS914" s="1091"/>
      <c r="ENT914" s="1091"/>
      <c r="ENU914" s="1091"/>
      <c r="ENV914" s="1091"/>
      <c r="ENW914" s="1091"/>
      <c r="ENX914" s="1091"/>
      <c r="ENY914" s="1091"/>
      <c r="ENZ914" s="1091"/>
      <c r="EOA914" s="1091"/>
      <c r="EOB914" s="1091"/>
      <c r="EOC914" s="1091"/>
      <c r="EOD914" s="1091"/>
      <c r="EOE914" s="1091"/>
      <c r="EOF914" s="1091"/>
      <c r="EOG914" s="1091"/>
      <c r="EOH914" s="1091"/>
      <c r="EOI914" s="1091"/>
      <c r="EOJ914" s="1091"/>
      <c r="EOK914" s="1091"/>
      <c r="EOL914" s="1091"/>
      <c r="EOM914" s="1091"/>
      <c r="EON914" s="1091"/>
      <c r="EOO914" s="1091"/>
      <c r="EOP914" s="1091"/>
      <c r="EOQ914" s="1091"/>
      <c r="EOR914" s="1091"/>
      <c r="EOS914" s="1091"/>
      <c r="EOT914" s="1091"/>
      <c r="EOU914" s="1091"/>
      <c r="EOV914" s="1091"/>
      <c r="EOW914" s="1091"/>
      <c r="EOX914" s="1091"/>
      <c r="EOY914" s="1091"/>
      <c r="EOZ914" s="1091"/>
      <c r="EPA914" s="1091"/>
      <c r="EPB914" s="1091"/>
      <c r="EPC914" s="1091"/>
      <c r="EPD914" s="1091"/>
      <c r="EPE914" s="1091"/>
      <c r="EPF914" s="1091"/>
      <c r="EPG914" s="1091"/>
      <c r="EPH914" s="1091"/>
      <c r="EPI914" s="1091"/>
      <c r="EPJ914" s="1091"/>
      <c r="EPK914" s="1091"/>
      <c r="EPL914" s="1091"/>
      <c r="EPM914" s="1091"/>
      <c r="EPN914" s="1091"/>
      <c r="EPO914" s="1091"/>
      <c r="EPP914" s="1091"/>
      <c r="EPQ914" s="1091"/>
      <c r="EPR914" s="1091"/>
      <c r="EPS914" s="1091"/>
      <c r="EPT914" s="1091"/>
      <c r="EPU914" s="1091"/>
      <c r="EPV914" s="1091"/>
      <c r="EPW914" s="1091"/>
      <c r="EPX914" s="1091"/>
      <c r="EPY914" s="1091"/>
      <c r="EPZ914" s="1091"/>
      <c r="EQA914" s="1091"/>
      <c r="EQB914" s="1091"/>
      <c r="EQC914" s="1091"/>
      <c r="EQD914" s="1091"/>
      <c r="EQE914" s="1091"/>
      <c r="EQF914" s="1091"/>
      <c r="EQG914" s="1091"/>
      <c r="EQH914" s="1091"/>
      <c r="EQI914" s="1091"/>
      <c r="EQJ914" s="1091"/>
      <c r="EQK914" s="1091"/>
      <c r="EQL914" s="1091"/>
      <c r="EQM914" s="1091"/>
      <c r="EQN914" s="1091"/>
      <c r="EQO914" s="1091"/>
      <c r="EQP914" s="1091"/>
      <c r="EQQ914" s="1091"/>
      <c r="EQR914" s="1091"/>
      <c r="EQS914" s="1091"/>
      <c r="EQT914" s="1091"/>
      <c r="EQU914" s="1091"/>
      <c r="EQV914" s="1091"/>
      <c r="EQW914" s="1091"/>
      <c r="EQX914" s="1091"/>
      <c r="EQY914" s="1091"/>
      <c r="EQZ914" s="1091"/>
      <c r="ERA914" s="1091"/>
      <c r="ERB914" s="1091"/>
      <c r="ERC914" s="1091"/>
      <c r="ERD914" s="1091"/>
      <c r="ERE914" s="1091"/>
      <c r="ERF914" s="1091"/>
      <c r="ERG914" s="1091"/>
      <c r="ERH914" s="1091"/>
      <c r="ERI914" s="1091"/>
      <c r="ERJ914" s="1091"/>
      <c r="ERK914" s="1091"/>
      <c r="ERL914" s="1091"/>
      <c r="ERM914" s="1091"/>
      <c r="ERN914" s="1091"/>
      <c r="ERO914" s="1091"/>
      <c r="ERP914" s="1091"/>
      <c r="ERQ914" s="1091"/>
      <c r="ERR914" s="1091"/>
      <c r="ERS914" s="1091"/>
      <c r="ERT914" s="1091"/>
      <c r="ERU914" s="1091"/>
      <c r="ERV914" s="1091"/>
      <c r="ERW914" s="1091"/>
      <c r="ERX914" s="1091"/>
      <c r="ERY914" s="1091"/>
      <c r="ERZ914" s="1091"/>
      <c r="ESA914" s="1091"/>
      <c r="ESB914" s="1091"/>
      <c r="ESC914" s="1091"/>
      <c r="ESD914" s="1091"/>
      <c r="ESE914" s="1091"/>
      <c r="ESF914" s="1091"/>
      <c r="ESG914" s="1091"/>
      <c r="ESH914" s="1091"/>
      <c r="ESI914" s="1091"/>
      <c r="ESJ914" s="1091"/>
      <c r="ESK914" s="1091"/>
      <c r="ESL914" s="1091"/>
      <c r="ESM914" s="1091"/>
      <c r="ESN914" s="1091"/>
      <c r="ESO914" s="1091"/>
      <c r="ESP914" s="1091"/>
      <c r="ESQ914" s="1091"/>
      <c r="ESR914" s="1091"/>
      <c r="ESS914" s="1091"/>
      <c r="EST914" s="1091"/>
      <c r="ESU914" s="1091"/>
      <c r="ESV914" s="1091"/>
      <c r="ESW914" s="1091"/>
      <c r="ESX914" s="1091"/>
      <c r="ESY914" s="1091"/>
      <c r="ESZ914" s="1091"/>
      <c r="ETA914" s="1091"/>
      <c r="ETB914" s="1091"/>
      <c r="ETC914" s="1091"/>
      <c r="ETD914" s="1091"/>
      <c r="ETE914" s="1091"/>
      <c r="ETF914" s="1091"/>
      <c r="ETG914" s="1091"/>
      <c r="ETH914" s="1091"/>
      <c r="ETI914" s="1091"/>
      <c r="ETJ914" s="1091"/>
      <c r="ETK914" s="1091"/>
      <c r="ETL914" s="1091"/>
      <c r="ETM914" s="1091"/>
      <c r="ETN914" s="1091"/>
      <c r="ETO914" s="1091"/>
      <c r="ETP914" s="1091"/>
      <c r="ETQ914" s="1091"/>
      <c r="ETR914" s="1091"/>
      <c r="ETS914" s="1091"/>
      <c r="ETT914" s="1091"/>
      <c r="ETU914" s="1091"/>
      <c r="ETV914" s="1091"/>
      <c r="ETW914" s="1091"/>
      <c r="ETX914" s="1091"/>
      <c r="ETY914" s="1091"/>
      <c r="ETZ914" s="1091"/>
      <c r="EUA914" s="1091"/>
      <c r="EUB914" s="1091"/>
      <c r="EUC914" s="1091"/>
      <c r="EUD914" s="1091"/>
      <c r="EUE914" s="1091"/>
      <c r="EUF914" s="1091"/>
      <c r="EUG914" s="1091"/>
      <c r="EUH914" s="1091"/>
      <c r="EUI914" s="1091"/>
      <c r="EUJ914" s="1091"/>
      <c r="EUK914" s="1091"/>
      <c r="EUL914" s="1091"/>
      <c r="EUM914" s="1091"/>
      <c r="EUN914" s="1091"/>
      <c r="EUO914" s="1091"/>
      <c r="EUP914" s="1091"/>
      <c r="EUQ914" s="1091"/>
      <c r="EUR914" s="1091"/>
      <c r="EUS914" s="1091"/>
      <c r="EUT914" s="1091"/>
      <c r="EUU914" s="1091"/>
      <c r="EUV914" s="1091"/>
      <c r="EUW914" s="1091"/>
      <c r="EUX914" s="1091"/>
      <c r="EUY914" s="1091"/>
      <c r="EUZ914" s="1091"/>
      <c r="EVA914" s="1091"/>
      <c r="EVB914" s="1091"/>
      <c r="EVC914" s="1091"/>
      <c r="EVD914" s="1091"/>
      <c r="EVE914" s="1091"/>
      <c r="EVF914" s="1091"/>
      <c r="EVG914" s="1091"/>
      <c r="EVH914" s="1091"/>
      <c r="EVI914" s="1091"/>
      <c r="EVJ914" s="1091"/>
      <c r="EVK914" s="1091"/>
      <c r="EVL914" s="1091"/>
      <c r="EVM914" s="1091"/>
      <c r="EVN914" s="1091"/>
      <c r="EVO914" s="1091"/>
      <c r="EVP914" s="1091"/>
      <c r="EVQ914" s="1091"/>
      <c r="EVR914" s="1091"/>
      <c r="EVS914" s="1091"/>
      <c r="EVT914" s="1091"/>
      <c r="EVU914" s="1091"/>
      <c r="EVV914" s="1091"/>
      <c r="EVW914" s="1091"/>
      <c r="EVX914" s="1091"/>
      <c r="EVY914" s="1091"/>
      <c r="EVZ914" s="1091"/>
      <c r="EWA914" s="1091"/>
      <c r="EWB914" s="1091"/>
      <c r="EWC914" s="1091"/>
      <c r="EWD914" s="1091"/>
      <c r="EWE914" s="1091"/>
      <c r="EWF914" s="1091"/>
      <c r="EWG914" s="1091"/>
      <c r="EWH914" s="1091"/>
      <c r="EWI914" s="1091"/>
      <c r="EWJ914" s="1091"/>
      <c r="EWK914" s="1091"/>
      <c r="EWL914" s="1091"/>
      <c r="EWM914" s="1091"/>
      <c r="EWN914" s="1091"/>
      <c r="EWO914" s="1091"/>
      <c r="EWP914" s="1091"/>
      <c r="EWQ914" s="1091"/>
      <c r="EWR914" s="1091"/>
      <c r="EWS914" s="1091"/>
      <c r="EWT914" s="1091"/>
      <c r="EWU914" s="1091"/>
      <c r="EWV914" s="1091"/>
      <c r="EWW914" s="1091"/>
      <c r="EWX914" s="1091"/>
      <c r="EWY914" s="1091"/>
      <c r="EWZ914" s="1091"/>
      <c r="EXA914" s="1091"/>
      <c r="EXB914" s="1091"/>
      <c r="EXC914" s="1091"/>
      <c r="EXD914" s="1091"/>
      <c r="EXE914" s="1091"/>
      <c r="EXF914" s="1091"/>
      <c r="EXG914" s="1091"/>
      <c r="EXH914" s="1091"/>
      <c r="EXI914" s="1091"/>
      <c r="EXJ914" s="1091"/>
      <c r="EXK914" s="1091"/>
      <c r="EXL914" s="1091"/>
      <c r="EXM914" s="1091"/>
      <c r="EXN914" s="1091"/>
      <c r="EXO914" s="1091"/>
      <c r="EXP914" s="1091"/>
      <c r="EXQ914" s="1091"/>
      <c r="EXR914" s="1091"/>
      <c r="EXS914" s="1091"/>
      <c r="EXT914" s="1091"/>
      <c r="EXU914" s="1091"/>
      <c r="EXV914" s="1091"/>
      <c r="EXW914" s="1091"/>
      <c r="EXX914" s="1091"/>
      <c r="EXY914" s="1091"/>
      <c r="EXZ914" s="1091"/>
      <c r="EYA914" s="1091"/>
      <c r="EYB914" s="1091"/>
      <c r="EYC914" s="1091"/>
      <c r="EYD914" s="1091"/>
      <c r="EYE914" s="1091"/>
      <c r="EYF914" s="1091"/>
      <c r="EYG914" s="1091"/>
      <c r="EYH914" s="1091"/>
      <c r="EYI914" s="1091"/>
      <c r="EYJ914" s="1091"/>
      <c r="EYK914" s="1091"/>
      <c r="EYL914" s="1091"/>
      <c r="EYM914" s="1091"/>
      <c r="EYN914" s="1091"/>
      <c r="EYO914" s="1091"/>
      <c r="EYP914" s="1091"/>
      <c r="EYQ914" s="1091"/>
      <c r="EYR914" s="1091"/>
      <c r="EYS914" s="1091"/>
      <c r="EYT914" s="1091"/>
      <c r="EYU914" s="1091"/>
      <c r="EYV914" s="1091"/>
      <c r="EYW914" s="1091"/>
      <c r="EYX914" s="1091"/>
      <c r="EYY914" s="1091"/>
      <c r="EYZ914" s="1091"/>
      <c r="EZA914" s="1091"/>
      <c r="EZB914" s="1091"/>
      <c r="EZC914" s="1091"/>
      <c r="EZD914" s="1091"/>
      <c r="EZE914" s="1091"/>
      <c r="EZF914" s="1091"/>
      <c r="EZG914" s="1091"/>
      <c r="EZH914" s="1091"/>
      <c r="EZI914" s="1091"/>
      <c r="EZJ914" s="1091"/>
      <c r="EZK914" s="1091"/>
      <c r="EZL914" s="1091"/>
      <c r="EZM914" s="1091"/>
      <c r="EZN914" s="1091"/>
      <c r="EZO914" s="1091"/>
      <c r="EZP914" s="1091"/>
      <c r="EZQ914" s="1091"/>
      <c r="EZR914" s="1091"/>
      <c r="EZS914" s="1091"/>
      <c r="EZT914" s="1091"/>
      <c r="EZU914" s="1091"/>
      <c r="EZV914" s="1091"/>
      <c r="EZW914" s="1091"/>
      <c r="EZX914" s="1091"/>
      <c r="EZY914" s="1091"/>
      <c r="EZZ914" s="1091"/>
      <c r="FAA914" s="1091"/>
      <c r="FAB914" s="1091"/>
      <c r="FAC914" s="1091"/>
      <c r="FAD914" s="1091"/>
      <c r="FAE914" s="1091"/>
      <c r="FAF914" s="1091"/>
      <c r="FAG914" s="1091"/>
      <c r="FAH914" s="1091"/>
      <c r="FAI914" s="1091"/>
      <c r="FAJ914" s="1091"/>
      <c r="FAK914" s="1091"/>
      <c r="FAL914" s="1091"/>
      <c r="FAM914" s="1091"/>
      <c r="FAN914" s="1091"/>
      <c r="FAO914" s="1091"/>
      <c r="FAP914" s="1091"/>
      <c r="FAQ914" s="1091"/>
      <c r="FAR914" s="1091"/>
      <c r="FAS914" s="1091"/>
      <c r="FAT914" s="1091"/>
      <c r="FAU914" s="1091"/>
      <c r="FAV914" s="1091"/>
      <c r="FAW914" s="1091"/>
      <c r="FAX914" s="1091"/>
      <c r="FAY914" s="1091"/>
      <c r="FAZ914" s="1091"/>
      <c r="FBA914" s="1091"/>
      <c r="FBB914" s="1091"/>
      <c r="FBC914" s="1091"/>
      <c r="FBD914" s="1091"/>
      <c r="FBE914" s="1091"/>
      <c r="FBF914" s="1091"/>
      <c r="FBG914" s="1091"/>
      <c r="FBH914" s="1091"/>
      <c r="FBI914" s="1091"/>
      <c r="FBJ914" s="1091"/>
      <c r="FBK914" s="1091"/>
      <c r="FBL914" s="1091"/>
      <c r="FBM914" s="1091"/>
      <c r="FBN914" s="1091"/>
      <c r="FBO914" s="1091"/>
      <c r="FBP914" s="1091"/>
      <c r="FBQ914" s="1091"/>
      <c r="FBR914" s="1091"/>
      <c r="FBS914" s="1091"/>
      <c r="FBT914" s="1091"/>
      <c r="FBU914" s="1091"/>
      <c r="FBV914" s="1091"/>
      <c r="FBW914" s="1091"/>
      <c r="FBX914" s="1091"/>
      <c r="FBY914" s="1091"/>
      <c r="FBZ914" s="1091"/>
      <c r="FCA914" s="1091"/>
      <c r="FCB914" s="1091"/>
      <c r="FCC914" s="1091"/>
      <c r="FCD914" s="1091"/>
      <c r="FCE914" s="1091"/>
      <c r="FCF914" s="1091"/>
      <c r="FCG914" s="1091"/>
      <c r="FCH914" s="1091"/>
      <c r="FCI914" s="1091"/>
      <c r="FCJ914" s="1091"/>
      <c r="FCK914" s="1091"/>
      <c r="FCL914" s="1091"/>
      <c r="FCM914" s="1091"/>
      <c r="FCN914" s="1091"/>
      <c r="FCO914" s="1091"/>
      <c r="FCP914" s="1091"/>
      <c r="FCQ914" s="1091"/>
      <c r="FCR914" s="1091"/>
      <c r="FCS914" s="1091"/>
      <c r="FCT914" s="1091"/>
      <c r="FCU914" s="1091"/>
      <c r="FCV914" s="1091"/>
      <c r="FCW914" s="1091"/>
      <c r="FCX914" s="1091"/>
      <c r="FCY914" s="1091"/>
      <c r="FCZ914" s="1091"/>
      <c r="FDA914" s="1091"/>
      <c r="FDB914" s="1091"/>
      <c r="FDC914" s="1091"/>
      <c r="FDD914" s="1091"/>
      <c r="FDE914" s="1091"/>
      <c r="FDF914" s="1091"/>
      <c r="FDG914" s="1091"/>
      <c r="FDH914" s="1091"/>
      <c r="FDI914" s="1091"/>
      <c r="FDJ914" s="1091"/>
      <c r="FDK914" s="1091"/>
      <c r="FDL914" s="1091"/>
      <c r="FDM914" s="1091"/>
      <c r="FDN914" s="1091"/>
      <c r="FDO914" s="1091"/>
      <c r="FDP914" s="1091"/>
      <c r="FDQ914" s="1091"/>
      <c r="FDR914" s="1091"/>
      <c r="FDS914" s="1091"/>
      <c r="FDT914" s="1091"/>
      <c r="FDU914" s="1091"/>
      <c r="FDV914" s="1091"/>
      <c r="FDW914" s="1091"/>
      <c r="FDX914" s="1091"/>
      <c r="FDY914" s="1091"/>
      <c r="FDZ914" s="1091"/>
      <c r="FEA914" s="1091"/>
      <c r="FEB914" s="1091"/>
      <c r="FEC914" s="1091"/>
      <c r="FED914" s="1091"/>
      <c r="FEE914" s="1091"/>
      <c r="FEF914" s="1091"/>
      <c r="FEG914" s="1091"/>
      <c r="FEH914" s="1091"/>
      <c r="FEI914" s="1091"/>
      <c r="FEJ914" s="1091"/>
      <c r="FEK914" s="1091"/>
      <c r="FEL914" s="1091"/>
      <c r="FEM914" s="1091"/>
      <c r="FEN914" s="1091"/>
      <c r="FEO914" s="1091"/>
      <c r="FEP914" s="1091"/>
      <c r="FEQ914" s="1091"/>
      <c r="FER914" s="1091"/>
      <c r="FES914" s="1091"/>
      <c r="FET914" s="1091"/>
      <c r="FEU914" s="1091"/>
      <c r="FEV914" s="1091"/>
      <c r="FEW914" s="1091"/>
      <c r="FEX914" s="1091"/>
      <c r="FEY914" s="1091"/>
      <c r="FEZ914" s="1091"/>
      <c r="FFA914" s="1091"/>
      <c r="FFB914" s="1091"/>
      <c r="FFC914" s="1091"/>
      <c r="FFD914" s="1091"/>
      <c r="FFE914" s="1091"/>
      <c r="FFF914" s="1091"/>
      <c r="FFG914" s="1091"/>
      <c r="FFH914" s="1091"/>
      <c r="FFI914" s="1091"/>
      <c r="FFJ914" s="1091"/>
      <c r="FFK914" s="1091"/>
      <c r="FFL914" s="1091"/>
      <c r="FFM914" s="1091"/>
      <c r="FFN914" s="1091"/>
      <c r="FFO914" s="1091"/>
      <c r="FFP914" s="1091"/>
      <c r="FFQ914" s="1091"/>
      <c r="FFR914" s="1091"/>
      <c r="FFS914" s="1091"/>
      <c r="FFT914" s="1091"/>
      <c r="FFU914" s="1091"/>
      <c r="FFV914" s="1091"/>
      <c r="FFW914" s="1091"/>
      <c r="FFX914" s="1091"/>
      <c r="FFY914" s="1091"/>
      <c r="FFZ914" s="1091"/>
      <c r="FGA914" s="1091"/>
      <c r="FGB914" s="1091"/>
      <c r="FGC914" s="1091"/>
      <c r="FGD914" s="1091"/>
      <c r="FGE914" s="1091"/>
      <c r="FGF914" s="1091"/>
      <c r="FGG914" s="1091"/>
      <c r="FGH914" s="1091"/>
      <c r="FGI914" s="1091"/>
      <c r="FGJ914" s="1091"/>
      <c r="FGK914" s="1091"/>
      <c r="FGL914" s="1091"/>
      <c r="FGM914" s="1091"/>
      <c r="FGN914" s="1091"/>
      <c r="FGO914" s="1091"/>
      <c r="FGP914" s="1091"/>
      <c r="FGQ914" s="1091"/>
      <c r="FGR914" s="1091"/>
      <c r="FGS914" s="1091"/>
      <c r="FGT914" s="1091"/>
      <c r="FGU914" s="1091"/>
      <c r="FGV914" s="1091"/>
      <c r="FGW914" s="1091"/>
      <c r="FGX914" s="1091"/>
      <c r="FGY914" s="1091"/>
      <c r="FGZ914" s="1091"/>
      <c r="FHA914" s="1091"/>
      <c r="FHB914" s="1091"/>
      <c r="FHC914" s="1091"/>
      <c r="FHD914" s="1091"/>
      <c r="FHE914" s="1091"/>
      <c r="FHF914" s="1091"/>
      <c r="FHG914" s="1091"/>
      <c r="FHH914" s="1091"/>
      <c r="FHI914" s="1091"/>
      <c r="FHJ914" s="1091"/>
      <c r="FHK914" s="1091"/>
      <c r="FHL914" s="1091"/>
      <c r="FHM914" s="1091"/>
      <c r="FHN914" s="1091"/>
      <c r="FHO914" s="1091"/>
      <c r="FHP914" s="1091"/>
      <c r="FHQ914" s="1091"/>
      <c r="FHR914" s="1091"/>
      <c r="FHS914" s="1091"/>
      <c r="FHT914" s="1091"/>
      <c r="FHU914" s="1091"/>
      <c r="FHV914" s="1091"/>
      <c r="FHW914" s="1091"/>
      <c r="FHX914" s="1091"/>
      <c r="FHY914" s="1091"/>
      <c r="FHZ914" s="1091"/>
      <c r="FIA914" s="1091"/>
      <c r="FIB914" s="1091"/>
      <c r="FIC914" s="1091"/>
      <c r="FID914" s="1091"/>
      <c r="FIE914" s="1091"/>
      <c r="FIF914" s="1091"/>
      <c r="FIG914" s="1091"/>
      <c r="FIH914" s="1091"/>
      <c r="FII914" s="1091"/>
      <c r="FIJ914" s="1091"/>
      <c r="FIK914" s="1091"/>
      <c r="FIL914" s="1091"/>
      <c r="FIM914" s="1091"/>
      <c r="FIN914" s="1091"/>
      <c r="FIO914" s="1091"/>
      <c r="FIP914" s="1091"/>
      <c r="FIQ914" s="1091"/>
      <c r="FIR914" s="1091"/>
      <c r="FIS914" s="1091"/>
      <c r="FIT914" s="1091"/>
      <c r="FIU914" s="1091"/>
      <c r="FIV914" s="1091"/>
      <c r="FIW914" s="1091"/>
      <c r="FIX914" s="1091"/>
      <c r="FIY914" s="1091"/>
      <c r="FIZ914" s="1091"/>
      <c r="FJA914" s="1091"/>
      <c r="FJB914" s="1091"/>
      <c r="FJC914" s="1091"/>
      <c r="FJD914" s="1091"/>
      <c r="FJE914" s="1091"/>
      <c r="FJF914" s="1091"/>
      <c r="FJG914" s="1091"/>
      <c r="FJH914" s="1091"/>
      <c r="FJI914" s="1091"/>
      <c r="FJJ914" s="1091"/>
      <c r="FJK914" s="1091"/>
      <c r="FJL914" s="1091"/>
      <c r="FJM914" s="1091"/>
      <c r="FJN914" s="1091"/>
      <c r="FJO914" s="1091"/>
      <c r="FJP914" s="1091"/>
      <c r="FJQ914" s="1091"/>
      <c r="FJR914" s="1091"/>
      <c r="FJS914" s="1091"/>
      <c r="FJT914" s="1091"/>
      <c r="FJU914" s="1091"/>
      <c r="FJV914" s="1091"/>
      <c r="FJW914" s="1091"/>
      <c r="FJX914" s="1091"/>
      <c r="FJY914" s="1091"/>
      <c r="FJZ914" s="1091"/>
      <c r="FKA914" s="1091"/>
      <c r="FKB914" s="1091"/>
      <c r="FKC914" s="1091"/>
      <c r="FKD914" s="1091"/>
      <c r="FKE914" s="1091"/>
      <c r="FKF914" s="1091"/>
      <c r="FKG914" s="1091"/>
      <c r="FKH914" s="1091"/>
      <c r="FKI914" s="1091"/>
      <c r="FKJ914" s="1091"/>
      <c r="FKK914" s="1091"/>
      <c r="FKL914" s="1091"/>
      <c r="FKM914" s="1091"/>
      <c r="FKN914" s="1091"/>
      <c r="FKO914" s="1091"/>
      <c r="FKP914" s="1091"/>
      <c r="FKQ914" s="1091"/>
      <c r="FKR914" s="1091"/>
      <c r="FKS914" s="1091"/>
      <c r="FKT914" s="1091"/>
      <c r="FKU914" s="1091"/>
      <c r="FKV914" s="1091"/>
      <c r="FKW914" s="1091"/>
      <c r="FKX914" s="1091"/>
      <c r="FKY914" s="1091"/>
      <c r="FKZ914" s="1091"/>
      <c r="FLA914" s="1091"/>
      <c r="FLB914" s="1091"/>
      <c r="FLC914" s="1091"/>
      <c r="FLD914" s="1091"/>
      <c r="FLE914" s="1091"/>
      <c r="FLF914" s="1091"/>
      <c r="FLG914" s="1091"/>
      <c r="FLH914" s="1091"/>
      <c r="FLI914" s="1091"/>
      <c r="FLJ914" s="1091"/>
      <c r="FLK914" s="1091"/>
      <c r="FLL914" s="1091"/>
      <c r="FLM914" s="1091"/>
      <c r="FLN914" s="1091"/>
      <c r="FLO914" s="1091"/>
      <c r="FLP914" s="1091"/>
      <c r="FLQ914" s="1091"/>
      <c r="FLR914" s="1091"/>
      <c r="FLS914" s="1091"/>
      <c r="FLT914" s="1091"/>
      <c r="FLU914" s="1091"/>
      <c r="FLV914" s="1091"/>
      <c r="FLW914" s="1091"/>
      <c r="FLX914" s="1091"/>
      <c r="FLY914" s="1091"/>
      <c r="FLZ914" s="1091"/>
      <c r="FMA914" s="1091"/>
      <c r="FMB914" s="1091"/>
      <c r="FMC914" s="1091"/>
      <c r="FMD914" s="1091"/>
      <c r="FME914" s="1091"/>
      <c r="FMF914" s="1091"/>
      <c r="FMG914" s="1091"/>
      <c r="FMH914" s="1091"/>
      <c r="FMI914" s="1091"/>
      <c r="FMJ914" s="1091"/>
      <c r="FMK914" s="1091"/>
      <c r="FML914" s="1091"/>
      <c r="FMM914" s="1091"/>
      <c r="FMN914" s="1091"/>
      <c r="FMO914" s="1091"/>
      <c r="FMP914" s="1091"/>
      <c r="FMQ914" s="1091"/>
      <c r="FMR914" s="1091"/>
      <c r="FMS914" s="1091"/>
      <c r="FMT914" s="1091"/>
      <c r="FMU914" s="1091"/>
      <c r="FMV914" s="1091"/>
      <c r="FMW914" s="1091"/>
      <c r="FMX914" s="1091"/>
      <c r="FMY914" s="1091"/>
      <c r="FMZ914" s="1091"/>
      <c r="FNA914" s="1091"/>
      <c r="FNB914" s="1091"/>
      <c r="FNC914" s="1091"/>
      <c r="FND914" s="1091"/>
      <c r="FNE914" s="1091"/>
      <c r="FNF914" s="1091"/>
      <c r="FNG914" s="1091"/>
      <c r="FNH914" s="1091"/>
      <c r="FNI914" s="1091"/>
      <c r="FNJ914" s="1091"/>
      <c r="FNK914" s="1091"/>
      <c r="FNL914" s="1091"/>
      <c r="FNM914" s="1091"/>
      <c r="FNN914" s="1091"/>
      <c r="FNO914" s="1091"/>
      <c r="FNP914" s="1091"/>
      <c r="FNQ914" s="1091"/>
      <c r="FNR914" s="1091"/>
      <c r="FNS914" s="1091"/>
      <c r="FNT914" s="1091"/>
      <c r="FNU914" s="1091"/>
      <c r="FNV914" s="1091"/>
      <c r="FNW914" s="1091"/>
      <c r="FNX914" s="1091"/>
      <c r="FNY914" s="1091"/>
      <c r="FNZ914" s="1091"/>
      <c r="FOA914" s="1091"/>
      <c r="FOB914" s="1091"/>
      <c r="FOC914" s="1091"/>
      <c r="FOD914" s="1091"/>
      <c r="FOE914" s="1091"/>
      <c r="FOF914" s="1091"/>
      <c r="FOG914" s="1091"/>
      <c r="FOH914" s="1091"/>
      <c r="FOI914" s="1091"/>
      <c r="FOJ914" s="1091"/>
      <c r="FOK914" s="1091"/>
      <c r="FOL914" s="1091"/>
      <c r="FOM914" s="1091"/>
      <c r="FON914" s="1091"/>
      <c r="FOO914" s="1091"/>
      <c r="FOP914" s="1091"/>
      <c r="FOQ914" s="1091"/>
      <c r="FOR914" s="1091"/>
      <c r="FOS914" s="1091"/>
      <c r="FOT914" s="1091"/>
      <c r="FOU914" s="1091"/>
      <c r="FOV914" s="1091"/>
      <c r="FOW914" s="1091"/>
      <c r="FOX914" s="1091"/>
      <c r="FOY914" s="1091"/>
      <c r="FOZ914" s="1091"/>
      <c r="FPA914" s="1091"/>
      <c r="FPB914" s="1091"/>
      <c r="FPC914" s="1091"/>
      <c r="FPD914" s="1091"/>
      <c r="FPE914" s="1091"/>
      <c r="FPF914" s="1091"/>
      <c r="FPG914" s="1091"/>
      <c r="FPH914" s="1091"/>
      <c r="FPI914" s="1091"/>
      <c r="FPJ914" s="1091"/>
      <c r="FPK914" s="1091"/>
      <c r="FPL914" s="1091"/>
      <c r="FPM914" s="1091"/>
      <c r="FPN914" s="1091"/>
      <c r="FPO914" s="1091"/>
      <c r="FPP914" s="1091"/>
      <c r="FPQ914" s="1091"/>
      <c r="FPR914" s="1091"/>
      <c r="FPS914" s="1091"/>
      <c r="FPT914" s="1091"/>
      <c r="FPU914" s="1091"/>
      <c r="FPV914" s="1091"/>
      <c r="FPW914" s="1091"/>
      <c r="FPX914" s="1091"/>
      <c r="FPY914" s="1091"/>
      <c r="FPZ914" s="1091"/>
      <c r="FQA914" s="1091"/>
      <c r="FQB914" s="1091"/>
      <c r="FQC914" s="1091"/>
      <c r="FQD914" s="1091"/>
      <c r="FQE914" s="1091"/>
      <c r="FQF914" s="1091"/>
      <c r="FQG914" s="1091"/>
      <c r="FQH914" s="1091"/>
      <c r="FQI914" s="1091"/>
      <c r="FQJ914" s="1091"/>
      <c r="FQK914" s="1091"/>
      <c r="FQL914" s="1091"/>
      <c r="FQM914" s="1091"/>
      <c r="FQN914" s="1091"/>
      <c r="FQO914" s="1091"/>
      <c r="FQP914" s="1091"/>
      <c r="FQQ914" s="1091"/>
      <c r="FQR914" s="1091"/>
      <c r="FQS914" s="1091"/>
      <c r="FQT914" s="1091"/>
      <c r="FQU914" s="1091"/>
      <c r="FQV914" s="1091"/>
      <c r="FQW914" s="1091"/>
      <c r="FQX914" s="1091"/>
      <c r="FQY914" s="1091"/>
      <c r="FQZ914" s="1091"/>
      <c r="FRA914" s="1091"/>
      <c r="FRB914" s="1091"/>
      <c r="FRC914" s="1091"/>
      <c r="FRD914" s="1091"/>
      <c r="FRE914" s="1091"/>
      <c r="FRF914" s="1091"/>
      <c r="FRG914" s="1091"/>
      <c r="FRH914" s="1091"/>
      <c r="FRI914" s="1091"/>
      <c r="FRJ914" s="1091"/>
      <c r="FRK914" s="1091"/>
      <c r="FRL914" s="1091"/>
      <c r="FRM914" s="1091"/>
      <c r="FRN914" s="1091"/>
      <c r="FRO914" s="1091"/>
      <c r="FRP914" s="1091"/>
      <c r="FRQ914" s="1091"/>
      <c r="FRR914" s="1091"/>
      <c r="FRS914" s="1091"/>
      <c r="FRT914" s="1091"/>
      <c r="FRU914" s="1091"/>
      <c r="FRV914" s="1091"/>
      <c r="FRW914" s="1091"/>
      <c r="FRX914" s="1091"/>
      <c r="FRY914" s="1091"/>
      <c r="FRZ914" s="1091"/>
      <c r="FSA914" s="1091"/>
      <c r="FSB914" s="1091"/>
      <c r="FSC914" s="1091"/>
      <c r="FSD914" s="1091"/>
      <c r="FSE914" s="1091"/>
      <c r="FSF914" s="1091"/>
      <c r="FSG914" s="1091"/>
      <c r="FSH914" s="1091"/>
      <c r="FSI914" s="1091"/>
      <c r="FSJ914" s="1091"/>
      <c r="FSK914" s="1091"/>
      <c r="FSL914" s="1091"/>
      <c r="FSM914" s="1091"/>
      <c r="FSN914" s="1091"/>
      <c r="FSO914" s="1091"/>
      <c r="FSP914" s="1091"/>
      <c r="FSQ914" s="1091"/>
      <c r="FSR914" s="1091"/>
      <c r="FSS914" s="1091"/>
      <c r="FST914" s="1091"/>
      <c r="FSU914" s="1091"/>
      <c r="FSV914" s="1091"/>
      <c r="FSW914" s="1091"/>
      <c r="FSX914" s="1091"/>
      <c r="FSY914" s="1091"/>
      <c r="FSZ914" s="1091"/>
      <c r="FTA914" s="1091"/>
      <c r="FTB914" s="1091"/>
      <c r="FTC914" s="1091"/>
      <c r="FTD914" s="1091"/>
      <c r="FTE914" s="1091"/>
      <c r="FTF914" s="1091"/>
      <c r="FTG914" s="1091"/>
      <c r="FTH914" s="1091"/>
      <c r="FTI914" s="1091"/>
      <c r="FTJ914" s="1091"/>
      <c r="FTK914" s="1091"/>
      <c r="FTL914" s="1091"/>
      <c r="FTM914" s="1091"/>
      <c r="FTN914" s="1091"/>
      <c r="FTO914" s="1091"/>
      <c r="FTP914" s="1091"/>
      <c r="FTQ914" s="1091"/>
      <c r="FTR914" s="1091"/>
      <c r="FTS914" s="1091"/>
      <c r="FTT914" s="1091"/>
      <c r="FTU914" s="1091"/>
      <c r="FTV914" s="1091"/>
      <c r="FTW914" s="1091"/>
      <c r="FTX914" s="1091"/>
      <c r="FTY914" s="1091"/>
      <c r="FTZ914" s="1091"/>
      <c r="FUA914" s="1091"/>
      <c r="FUB914" s="1091"/>
      <c r="FUC914" s="1091"/>
      <c r="FUD914" s="1091"/>
      <c r="FUE914" s="1091"/>
      <c r="FUF914" s="1091"/>
      <c r="FUG914" s="1091"/>
      <c r="FUH914" s="1091"/>
      <c r="FUI914" s="1091"/>
      <c r="FUJ914" s="1091"/>
      <c r="FUK914" s="1091"/>
      <c r="FUL914" s="1091"/>
      <c r="FUM914" s="1091"/>
      <c r="FUN914" s="1091"/>
      <c r="FUO914" s="1091"/>
      <c r="FUP914" s="1091"/>
      <c r="FUQ914" s="1091"/>
      <c r="FUR914" s="1091"/>
      <c r="FUS914" s="1091"/>
      <c r="FUT914" s="1091"/>
      <c r="FUU914" s="1091"/>
      <c r="FUV914" s="1091"/>
      <c r="FUW914" s="1091"/>
      <c r="FUX914" s="1091"/>
      <c r="FUY914" s="1091"/>
      <c r="FUZ914" s="1091"/>
      <c r="FVA914" s="1091"/>
      <c r="FVB914" s="1091"/>
      <c r="FVC914" s="1091"/>
      <c r="FVD914" s="1091"/>
      <c r="FVE914" s="1091"/>
      <c r="FVF914" s="1091"/>
      <c r="FVG914" s="1091"/>
      <c r="FVH914" s="1091"/>
      <c r="FVI914" s="1091"/>
      <c r="FVJ914" s="1091"/>
      <c r="FVK914" s="1091"/>
      <c r="FVL914" s="1091"/>
      <c r="FVM914" s="1091"/>
      <c r="FVN914" s="1091"/>
      <c r="FVO914" s="1091"/>
      <c r="FVP914" s="1091"/>
      <c r="FVQ914" s="1091"/>
      <c r="FVR914" s="1091"/>
      <c r="FVS914" s="1091"/>
      <c r="FVT914" s="1091"/>
      <c r="FVU914" s="1091"/>
      <c r="FVV914" s="1091"/>
      <c r="FVW914" s="1091"/>
      <c r="FVX914" s="1091"/>
      <c r="FVY914" s="1091"/>
      <c r="FVZ914" s="1091"/>
      <c r="FWA914" s="1091"/>
      <c r="FWB914" s="1091"/>
      <c r="FWC914" s="1091"/>
      <c r="FWD914" s="1091"/>
      <c r="FWE914" s="1091"/>
      <c r="FWF914" s="1091"/>
      <c r="FWG914" s="1091"/>
      <c r="FWH914" s="1091"/>
      <c r="FWI914" s="1091"/>
      <c r="FWJ914" s="1091"/>
      <c r="FWK914" s="1091"/>
      <c r="FWL914" s="1091"/>
      <c r="FWM914" s="1091"/>
      <c r="FWN914" s="1091"/>
      <c r="FWO914" s="1091"/>
      <c r="FWP914" s="1091"/>
      <c r="FWQ914" s="1091"/>
      <c r="FWR914" s="1091"/>
      <c r="FWS914" s="1091"/>
      <c r="FWT914" s="1091"/>
      <c r="FWU914" s="1091"/>
      <c r="FWV914" s="1091"/>
      <c r="FWW914" s="1091"/>
      <c r="FWX914" s="1091"/>
      <c r="FWY914" s="1091"/>
      <c r="FWZ914" s="1091"/>
      <c r="FXA914" s="1091"/>
      <c r="FXB914" s="1091"/>
      <c r="FXC914" s="1091"/>
      <c r="FXD914" s="1091"/>
      <c r="FXE914" s="1091"/>
      <c r="FXF914" s="1091"/>
      <c r="FXG914" s="1091"/>
      <c r="FXH914" s="1091"/>
      <c r="FXI914" s="1091"/>
      <c r="FXJ914" s="1091"/>
      <c r="FXK914" s="1091"/>
      <c r="FXL914" s="1091"/>
      <c r="FXM914" s="1091"/>
      <c r="FXN914" s="1091"/>
      <c r="FXO914" s="1091"/>
      <c r="FXP914" s="1091"/>
      <c r="FXQ914" s="1091"/>
      <c r="FXR914" s="1091"/>
      <c r="FXS914" s="1091"/>
      <c r="FXT914" s="1091"/>
      <c r="FXU914" s="1091"/>
      <c r="FXV914" s="1091"/>
      <c r="FXW914" s="1091"/>
      <c r="FXX914" s="1091"/>
      <c r="FXY914" s="1091"/>
      <c r="FXZ914" s="1091"/>
      <c r="FYA914" s="1091"/>
      <c r="FYB914" s="1091"/>
      <c r="FYC914" s="1091"/>
      <c r="FYD914" s="1091"/>
      <c r="FYE914" s="1091"/>
      <c r="FYF914" s="1091"/>
      <c r="FYG914" s="1091"/>
      <c r="FYH914" s="1091"/>
      <c r="FYI914" s="1091"/>
      <c r="FYJ914" s="1091"/>
      <c r="FYK914" s="1091"/>
      <c r="FYL914" s="1091"/>
      <c r="FYM914" s="1091"/>
      <c r="FYN914" s="1091"/>
      <c r="FYO914" s="1091"/>
      <c r="FYP914" s="1091"/>
      <c r="FYQ914" s="1091"/>
      <c r="FYR914" s="1091"/>
      <c r="FYS914" s="1091"/>
      <c r="FYT914" s="1091"/>
      <c r="FYU914" s="1091"/>
      <c r="FYV914" s="1091"/>
      <c r="FYW914" s="1091"/>
      <c r="FYX914" s="1091"/>
      <c r="FYY914" s="1091"/>
      <c r="FYZ914" s="1091"/>
      <c r="FZA914" s="1091"/>
      <c r="FZB914" s="1091"/>
      <c r="FZC914" s="1091"/>
      <c r="FZD914" s="1091"/>
      <c r="FZE914" s="1091"/>
      <c r="FZF914" s="1091"/>
      <c r="FZG914" s="1091"/>
      <c r="FZH914" s="1091"/>
      <c r="FZI914" s="1091"/>
      <c r="FZJ914" s="1091"/>
      <c r="FZK914" s="1091"/>
      <c r="FZL914" s="1091"/>
      <c r="FZM914" s="1091"/>
      <c r="FZN914" s="1091"/>
      <c r="FZO914" s="1091"/>
      <c r="FZP914" s="1091"/>
      <c r="FZQ914" s="1091"/>
      <c r="FZR914" s="1091"/>
      <c r="FZS914" s="1091"/>
      <c r="FZT914" s="1091"/>
      <c r="FZU914" s="1091"/>
      <c r="FZV914" s="1091"/>
      <c r="FZW914" s="1091"/>
      <c r="FZX914" s="1091"/>
      <c r="FZY914" s="1091"/>
      <c r="FZZ914" s="1091"/>
      <c r="GAA914" s="1091"/>
      <c r="GAB914" s="1091"/>
      <c r="GAC914" s="1091"/>
      <c r="GAD914" s="1091"/>
      <c r="GAE914" s="1091"/>
      <c r="GAF914" s="1091"/>
      <c r="GAG914" s="1091"/>
      <c r="GAH914" s="1091"/>
      <c r="GAI914" s="1091"/>
      <c r="GAJ914" s="1091"/>
      <c r="GAK914" s="1091"/>
      <c r="GAL914" s="1091"/>
      <c r="GAM914" s="1091"/>
      <c r="GAN914" s="1091"/>
      <c r="GAO914" s="1091"/>
      <c r="GAP914" s="1091"/>
      <c r="GAQ914" s="1091"/>
      <c r="GAR914" s="1091"/>
      <c r="GAS914" s="1091"/>
      <c r="GAT914" s="1091"/>
      <c r="GAU914" s="1091"/>
      <c r="GAV914" s="1091"/>
      <c r="GAW914" s="1091"/>
      <c r="GAX914" s="1091"/>
      <c r="GAY914" s="1091"/>
      <c r="GAZ914" s="1091"/>
      <c r="GBA914" s="1091"/>
      <c r="GBB914" s="1091"/>
      <c r="GBC914" s="1091"/>
      <c r="GBD914" s="1091"/>
      <c r="GBE914" s="1091"/>
      <c r="GBF914" s="1091"/>
      <c r="GBG914" s="1091"/>
      <c r="GBH914" s="1091"/>
      <c r="GBI914" s="1091"/>
      <c r="GBJ914" s="1091"/>
      <c r="GBK914" s="1091"/>
      <c r="GBL914" s="1091"/>
      <c r="GBM914" s="1091"/>
      <c r="GBN914" s="1091"/>
      <c r="GBO914" s="1091"/>
      <c r="GBP914" s="1091"/>
      <c r="GBQ914" s="1091"/>
      <c r="GBR914" s="1091"/>
      <c r="GBS914" s="1091"/>
      <c r="GBT914" s="1091"/>
      <c r="GBU914" s="1091"/>
      <c r="GBV914" s="1091"/>
      <c r="GBW914" s="1091"/>
      <c r="GBX914" s="1091"/>
      <c r="GBY914" s="1091"/>
      <c r="GBZ914" s="1091"/>
      <c r="GCA914" s="1091"/>
      <c r="GCB914" s="1091"/>
      <c r="GCC914" s="1091"/>
      <c r="GCD914" s="1091"/>
      <c r="GCE914" s="1091"/>
      <c r="GCF914" s="1091"/>
      <c r="GCG914" s="1091"/>
      <c r="GCH914" s="1091"/>
      <c r="GCI914" s="1091"/>
      <c r="GCJ914" s="1091"/>
      <c r="GCK914" s="1091"/>
      <c r="GCL914" s="1091"/>
      <c r="GCM914" s="1091"/>
      <c r="GCN914" s="1091"/>
      <c r="GCO914" s="1091"/>
      <c r="GCP914" s="1091"/>
      <c r="GCQ914" s="1091"/>
      <c r="GCR914" s="1091"/>
      <c r="GCS914" s="1091"/>
      <c r="GCT914" s="1091"/>
      <c r="GCU914" s="1091"/>
      <c r="GCV914" s="1091"/>
      <c r="GCW914" s="1091"/>
      <c r="GCX914" s="1091"/>
      <c r="GCY914" s="1091"/>
      <c r="GCZ914" s="1091"/>
      <c r="GDA914" s="1091"/>
      <c r="GDB914" s="1091"/>
      <c r="GDC914" s="1091"/>
      <c r="GDD914" s="1091"/>
      <c r="GDE914" s="1091"/>
      <c r="GDF914" s="1091"/>
      <c r="GDG914" s="1091"/>
      <c r="GDH914" s="1091"/>
      <c r="GDI914" s="1091"/>
      <c r="GDJ914" s="1091"/>
      <c r="GDK914" s="1091"/>
      <c r="GDL914" s="1091"/>
      <c r="GDM914" s="1091"/>
      <c r="GDN914" s="1091"/>
      <c r="GDO914" s="1091"/>
      <c r="GDP914" s="1091"/>
      <c r="GDQ914" s="1091"/>
      <c r="GDR914" s="1091"/>
      <c r="GDS914" s="1091"/>
      <c r="GDT914" s="1091"/>
      <c r="GDU914" s="1091"/>
      <c r="GDV914" s="1091"/>
      <c r="GDW914" s="1091"/>
      <c r="GDX914" s="1091"/>
      <c r="GDY914" s="1091"/>
      <c r="GDZ914" s="1091"/>
      <c r="GEA914" s="1091"/>
      <c r="GEB914" s="1091"/>
      <c r="GEC914" s="1091"/>
      <c r="GED914" s="1091"/>
      <c r="GEE914" s="1091"/>
      <c r="GEF914" s="1091"/>
      <c r="GEG914" s="1091"/>
      <c r="GEH914" s="1091"/>
      <c r="GEI914" s="1091"/>
      <c r="GEJ914" s="1091"/>
      <c r="GEK914" s="1091"/>
      <c r="GEL914" s="1091"/>
      <c r="GEM914" s="1091"/>
      <c r="GEN914" s="1091"/>
      <c r="GEO914" s="1091"/>
      <c r="GEP914" s="1091"/>
      <c r="GEQ914" s="1091"/>
      <c r="GER914" s="1091"/>
      <c r="GES914" s="1091"/>
      <c r="GET914" s="1091"/>
      <c r="GEU914" s="1091"/>
      <c r="GEV914" s="1091"/>
      <c r="GEW914" s="1091"/>
      <c r="GEX914" s="1091"/>
      <c r="GEY914" s="1091"/>
      <c r="GEZ914" s="1091"/>
      <c r="GFA914" s="1091"/>
      <c r="GFB914" s="1091"/>
      <c r="GFC914" s="1091"/>
      <c r="GFD914" s="1091"/>
      <c r="GFE914" s="1091"/>
      <c r="GFF914" s="1091"/>
      <c r="GFG914" s="1091"/>
      <c r="GFH914" s="1091"/>
      <c r="GFI914" s="1091"/>
      <c r="GFJ914" s="1091"/>
      <c r="GFK914" s="1091"/>
      <c r="GFL914" s="1091"/>
      <c r="GFM914" s="1091"/>
      <c r="GFN914" s="1091"/>
      <c r="GFO914" s="1091"/>
      <c r="GFP914" s="1091"/>
      <c r="GFQ914" s="1091"/>
      <c r="GFR914" s="1091"/>
      <c r="GFS914" s="1091"/>
      <c r="GFT914" s="1091"/>
      <c r="GFU914" s="1091"/>
      <c r="GFV914" s="1091"/>
      <c r="GFW914" s="1091"/>
      <c r="GFX914" s="1091"/>
      <c r="GFY914" s="1091"/>
      <c r="GFZ914" s="1091"/>
      <c r="GGA914" s="1091"/>
      <c r="GGB914" s="1091"/>
      <c r="GGC914" s="1091"/>
      <c r="GGD914" s="1091"/>
      <c r="GGE914" s="1091"/>
      <c r="GGF914" s="1091"/>
      <c r="GGG914" s="1091"/>
      <c r="GGH914" s="1091"/>
      <c r="GGI914" s="1091"/>
      <c r="GGJ914" s="1091"/>
      <c r="GGK914" s="1091"/>
      <c r="GGL914" s="1091"/>
      <c r="GGM914" s="1091"/>
      <c r="GGN914" s="1091"/>
      <c r="GGO914" s="1091"/>
      <c r="GGP914" s="1091"/>
      <c r="GGQ914" s="1091"/>
      <c r="GGR914" s="1091"/>
      <c r="GGS914" s="1091"/>
      <c r="GGT914" s="1091"/>
      <c r="GGU914" s="1091"/>
      <c r="GGV914" s="1091"/>
      <c r="GGW914" s="1091"/>
      <c r="GGX914" s="1091"/>
      <c r="GGY914" s="1091"/>
      <c r="GGZ914" s="1091"/>
      <c r="GHA914" s="1091"/>
      <c r="GHB914" s="1091"/>
      <c r="GHC914" s="1091"/>
      <c r="GHD914" s="1091"/>
      <c r="GHE914" s="1091"/>
      <c r="GHF914" s="1091"/>
      <c r="GHG914" s="1091"/>
      <c r="GHH914" s="1091"/>
      <c r="GHI914" s="1091"/>
      <c r="GHJ914" s="1091"/>
      <c r="GHK914" s="1091"/>
      <c r="GHL914" s="1091"/>
      <c r="GHM914" s="1091"/>
      <c r="GHN914" s="1091"/>
      <c r="GHO914" s="1091"/>
      <c r="GHP914" s="1091"/>
      <c r="GHQ914" s="1091"/>
      <c r="GHR914" s="1091"/>
      <c r="GHS914" s="1091"/>
      <c r="GHT914" s="1091"/>
      <c r="GHU914" s="1091"/>
      <c r="GHV914" s="1091"/>
      <c r="GHW914" s="1091"/>
      <c r="GHX914" s="1091"/>
      <c r="GHY914" s="1091"/>
      <c r="GHZ914" s="1091"/>
      <c r="GIA914" s="1091"/>
      <c r="GIB914" s="1091"/>
      <c r="GIC914" s="1091"/>
      <c r="GID914" s="1091"/>
      <c r="GIE914" s="1091"/>
      <c r="GIF914" s="1091"/>
      <c r="GIG914" s="1091"/>
      <c r="GIH914" s="1091"/>
      <c r="GII914" s="1091"/>
      <c r="GIJ914" s="1091"/>
      <c r="GIK914" s="1091"/>
      <c r="GIL914" s="1091"/>
      <c r="GIM914" s="1091"/>
      <c r="GIN914" s="1091"/>
      <c r="GIO914" s="1091"/>
      <c r="GIP914" s="1091"/>
      <c r="GIQ914" s="1091"/>
      <c r="GIR914" s="1091"/>
      <c r="GIS914" s="1091"/>
      <c r="GIT914" s="1091"/>
      <c r="GIU914" s="1091"/>
      <c r="GIV914" s="1091"/>
      <c r="GIW914" s="1091"/>
      <c r="GIX914" s="1091"/>
      <c r="GIY914" s="1091"/>
      <c r="GIZ914" s="1091"/>
      <c r="GJA914" s="1091"/>
      <c r="GJB914" s="1091"/>
      <c r="GJC914" s="1091"/>
      <c r="GJD914" s="1091"/>
      <c r="GJE914" s="1091"/>
      <c r="GJF914" s="1091"/>
      <c r="GJG914" s="1091"/>
      <c r="GJH914" s="1091"/>
      <c r="GJI914" s="1091"/>
      <c r="GJJ914" s="1091"/>
      <c r="GJK914" s="1091"/>
      <c r="GJL914" s="1091"/>
      <c r="GJM914" s="1091"/>
      <c r="GJN914" s="1091"/>
      <c r="GJO914" s="1091"/>
      <c r="GJP914" s="1091"/>
      <c r="GJQ914" s="1091"/>
      <c r="GJR914" s="1091"/>
      <c r="GJS914" s="1091"/>
      <c r="GJT914" s="1091"/>
      <c r="GJU914" s="1091"/>
      <c r="GJV914" s="1091"/>
      <c r="GJW914" s="1091"/>
      <c r="GJX914" s="1091"/>
      <c r="GJY914" s="1091"/>
      <c r="GJZ914" s="1091"/>
      <c r="GKA914" s="1091"/>
      <c r="GKB914" s="1091"/>
      <c r="GKC914" s="1091"/>
      <c r="GKD914" s="1091"/>
      <c r="GKE914" s="1091"/>
      <c r="GKF914" s="1091"/>
      <c r="GKG914" s="1091"/>
      <c r="GKH914" s="1091"/>
      <c r="GKI914" s="1091"/>
      <c r="GKJ914" s="1091"/>
      <c r="GKK914" s="1091"/>
      <c r="GKL914" s="1091"/>
      <c r="GKM914" s="1091"/>
      <c r="GKN914" s="1091"/>
      <c r="GKO914" s="1091"/>
      <c r="GKP914" s="1091"/>
      <c r="GKQ914" s="1091"/>
      <c r="GKR914" s="1091"/>
      <c r="GKS914" s="1091"/>
      <c r="GKT914" s="1091"/>
      <c r="GKU914" s="1091"/>
      <c r="GKV914" s="1091"/>
      <c r="GKW914" s="1091"/>
      <c r="GKX914" s="1091"/>
      <c r="GKY914" s="1091"/>
      <c r="GKZ914" s="1091"/>
      <c r="GLA914" s="1091"/>
      <c r="GLB914" s="1091"/>
      <c r="GLC914" s="1091"/>
      <c r="GLD914" s="1091"/>
      <c r="GLE914" s="1091"/>
      <c r="GLF914" s="1091"/>
      <c r="GLG914" s="1091"/>
      <c r="GLH914" s="1091"/>
      <c r="GLI914" s="1091"/>
      <c r="GLJ914" s="1091"/>
      <c r="GLK914" s="1091"/>
      <c r="GLL914" s="1091"/>
      <c r="GLM914" s="1091"/>
      <c r="GLN914" s="1091"/>
      <c r="GLO914" s="1091"/>
      <c r="GLP914" s="1091"/>
      <c r="GLQ914" s="1091"/>
      <c r="GLR914" s="1091"/>
      <c r="GLS914" s="1091"/>
      <c r="GLT914" s="1091"/>
      <c r="GLU914" s="1091"/>
      <c r="GLV914" s="1091"/>
      <c r="GLW914" s="1091"/>
      <c r="GLX914" s="1091"/>
      <c r="GLY914" s="1091"/>
      <c r="GLZ914" s="1091"/>
      <c r="GMA914" s="1091"/>
      <c r="GMB914" s="1091"/>
      <c r="GMC914" s="1091"/>
      <c r="GMD914" s="1091"/>
      <c r="GME914" s="1091"/>
      <c r="GMF914" s="1091"/>
      <c r="GMG914" s="1091"/>
      <c r="GMH914" s="1091"/>
      <c r="GMI914" s="1091"/>
      <c r="GMJ914" s="1091"/>
      <c r="GMK914" s="1091"/>
      <c r="GML914" s="1091"/>
      <c r="GMM914" s="1091"/>
      <c r="GMN914" s="1091"/>
      <c r="GMO914" s="1091"/>
      <c r="GMP914" s="1091"/>
      <c r="GMQ914" s="1091"/>
      <c r="GMR914" s="1091"/>
      <c r="GMS914" s="1091"/>
      <c r="GMT914" s="1091"/>
      <c r="GMU914" s="1091"/>
      <c r="GMV914" s="1091"/>
      <c r="GMW914" s="1091"/>
      <c r="GMX914" s="1091"/>
      <c r="GMY914" s="1091"/>
      <c r="GMZ914" s="1091"/>
      <c r="GNA914" s="1091"/>
      <c r="GNB914" s="1091"/>
      <c r="GNC914" s="1091"/>
      <c r="GND914" s="1091"/>
      <c r="GNE914" s="1091"/>
      <c r="GNF914" s="1091"/>
      <c r="GNG914" s="1091"/>
      <c r="GNH914" s="1091"/>
      <c r="GNI914" s="1091"/>
      <c r="GNJ914" s="1091"/>
      <c r="GNK914" s="1091"/>
      <c r="GNL914" s="1091"/>
      <c r="GNM914" s="1091"/>
      <c r="GNN914" s="1091"/>
      <c r="GNO914" s="1091"/>
      <c r="GNP914" s="1091"/>
      <c r="GNQ914" s="1091"/>
      <c r="GNR914" s="1091"/>
      <c r="GNS914" s="1091"/>
      <c r="GNT914" s="1091"/>
      <c r="GNU914" s="1091"/>
      <c r="GNV914" s="1091"/>
      <c r="GNW914" s="1091"/>
      <c r="GNX914" s="1091"/>
      <c r="GNY914" s="1091"/>
      <c r="GNZ914" s="1091"/>
      <c r="GOA914" s="1091"/>
      <c r="GOB914" s="1091"/>
      <c r="GOC914" s="1091"/>
      <c r="GOD914" s="1091"/>
      <c r="GOE914" s="1091"/>
      <c r="GOF914" s="1091"/>
      <c r="GOG914" s="1091"/>
      <c r="GOH914" s="1091"/>
      <c r="GOI914" s="1091"/>
      <c r="GOJ914" s="1091"/>
      <c r="GOK914" s="1091"/>
      <c r="GOL914" s="1091"/>
      <c r="GOM914" s="1091"/>
      <c r="GON914" s="1091"/>
      <c r="GOO914" s="1091"/>
      <c r="GOP914" s="1091"/>
      <c r="GOQ914" s="1091"/>
      <c r="GOR914" s="1091"/>
      <c r="GOS914" s="1091"/>
      <c r="GOT914" s="1091"/>
      <c r="GOU914" s="1091"/>
      <c r="GOV914" s="1091"/>
      <c r="GOW914" s="1091"/>
      <c r="GOX914" s="1091"/>
      <c r="GOY914" s="1091"/>
      <c r="GOZ914" s="1091"/>
      <c r="GPA914" s="1091"/>
      <c r="GPB914" s="1091"/>
      <c r="GPC914" s="1091"/>
      <c r="GPD914" s="1091"/>
      <c r="GPE914" s="1091"/>
      <c r="GPF914" s="1091"/>
      <c r="GPG914" s="1091"/>
      <c r="GPH914" s="1091"/>
      <c r="GPI914" s="1091"/>
      <c r="GPJ914" s="1091"/>
      <c r="GPK914" s="1091"/>
      <c r="GPL914" s="1091"/>
      <c r="GPM914" s="1091"/>
      <c r="GPN914" s="1091"/>
      <c r="GPO914" s="1091"/>
      <c r="GPP914" s="1091"/>
      <c r="GPQ914" s="1091"/>
      <c r="GPR914" s="1091"/>
      <c r="GPS914" s="1091"/>
      <c r="GPT914" s="1091"/>
      <c r="GPU914" s="1091"/>
      <c r="GPV914" s="1091"/>
      <c r="GPW914" s="1091"/>
      <c r="GPX914" s="1091"/>
      <c r="GPY914" s="1091"/>
      <c r="GPZ914" s="1091"/>
      <c r="GQA914" s="1091"/>
      <c r="GQB914" s="1091"/>
      <c r="GQC914" s="1091"/>
      <c r="GQD914" s="1091"/>
      <c r="GQE914" s="1091"/>
      <c r="GQF914" s="1091"/>
      <c r="GQG914" s="1091"/>
      <c r="GQH914" s="1091"/>
      <c r="GQI914" s="1091"/>
      <c r="GQJ914" s="1091"/>
      <c r="GQK914" s="1091"/>
      <c r="GQL914" s="1091"/>
      <c r="GQM914" s="1091"/>
      <c r="GQN914" s="1091"/>
      <c r="GQO914" s="1091"/>
      <c r="GQP914" s="1091"/>
      <c r="GQQ914" s="1091"/>
      <c r="GQR914" s="1091"/>
      <c r="GQS914" s="1091"/>
      <c r="GQT914" s="1091"/>
      <c r="GQU914" s="1091"/>
      <c r="GQV914" s="1091"/>
      <c r="GQW914" s="1091"/>
      <c r="GQX914" s="1091"/>
      <c r="GQY914" s="1091"/>
      <c r="GQZ914" s="1091"/>
      <c r="GRA914" s="1091"/>
      <c r="GRB914" s="1091"/>
      <c r="GRC914" s="1091"/>
      <c r="GRD914" s="1091"/>
      <c r="GRE914" s="1091"/>
      <c r="GRF914" s="1091"/>
      <c r="GRG914" s="1091"/>
      <c r="GRH914" s="1091"/>
      <c r="GRI914" s="1091"/>
      <c r="GRJ914" s="1091"/>
      <c r="GRK914" s="1091"/>
      <c r="GRL914" s="1091"/>
      <c r="GRM914" s="1091"/>
      <c r="GRN914" s="1091"/>
      <c r="GRO914" s="1091"/>
      <c r="GRP914" s="1091"/>
      <c r="GRQ914" s="1091"/>
      <c r="GRR914" s="1091"/>
      <c r="GRS914" s="1091"/>
      <c r="GRT914" s="1091"/>
      <c r="GRU914" s="1091"/>
      <c r="GRV914" s="1091"/>
      <c r="GRW914" s="1091"/>
      <c r="GRX914" s="1091"/>
      <c r="GRY914" s="1091"/>
      <c r="GRZ914" s="1091"/>
      <c r="GSA914" s="1091"/>
      <c r="GSB914" s="1091"/>
      <c r="GSC914" s="1091"/>
      <c r="GSD914" s="1091"/>
      <c r="GSE914" s="1091"/>
      <c r="GSF914" s="1091"/>
      <c r="GSG914" s="1091"/>
      <c r="GSH914" s="1091"/>
      <c r="GSI914" s="1091"/>
      <c r="GSJ914" s="1091"/>
      <c r="GSK914" s="1091"/>
      <c r="GSL914" s="1091"/>
      <c r="GSM914" s="1091"/>
      <c r="GSN914" s="1091"/>
      <c r="GSO914" s="1091"/>
      <c r="GSP914" s="1091"/>
      <c r="GSQ914" s="1091"/>
      <c r="GSR914" s="1091"/>
      <c r="GSS914" s="1091"/>
      <c r="GST914" s="1091"/>
      <c r="GSU914" s="1091"/>
      <c r="GSV914" s="1091"/>
      <c r="GSW914" s="1091"/>
      <c r="GSX914" s="1091"/>
      <c r="GSY914" s="1091"/>
      <c r="GSZ914" s="1091"/>
      <c r="GTA914" s="1091"/>
      <c r="GTB914" s="1091"/>
      <c r="GTC914" s="1091"/>
      <c r="GTD914" s="1091"/>
      <c r="GTE914" s="1091"/>
      <c r="GTF914" s="1091"/>
      <c r="GTG914" s="1091"/>
      <c r="GTH914" s="1091"/>
      <c r="GTI914" s="1091"/>
      <c r="GTJ914" s="1091"/>
      <c r="GTK914" s="1091"/>
      <c r="GTL914" s="1091"/>
      <c r="GTM914" s="1091"/>
      <c r="GTN914" s="1091"/>
      <c r="GTO914" s="1091"/>
      <c r="GTP914" s="1091"/>
      <c r="GTQ914" s="1091"/>
      <c r="GTR914" s="1091"/>
      <c r="GTS914" s="1091"/>
      <c r="GTT914" s="1091"/>
      <c r="GTU914" s="1091"/>
      <c r="GTV914" s="1091"/>
      <c r="GTW914" s="1091"/>
      <c r="GTX914" s="1091"/>
      <c r="GTY914" s="1091"/>
      <c r="GTZ914" s="1091"/>
      <c r="GUA914" s="1091"/>
      <c r="GUB914" s="1091"/>
      <c r="GUC914" s="1091"/>
      <c r="GUD914" s="1091"/>
      <c r="GUE914" s="1091"/>
      <c r="GUF914" s="1091"/>
      <c r="GUG914" s="1091"/>
      <c r="GUH914" s="1091"/>
      <c r="GUI914" s="1091"/>
      <c r="GUJ914" s="1091"/>
      <c r="GUK914" s="1091"/>
      <c r="GUL914" s="1091"/>
      <c r="GUM914" s="1091"/>
      <c r="GUN914" s="1091"/>
      <c r="GUO914" s="1091"/>
      <c r="GUP914" s="1091"/>
      <c r="GUQ914" s="1091"/>
      <c r="GUR914" s="1091"/>
      <c r="GUS914" s="1091"/>
      <c r="GUT914" s="1091"/>
      <c r="GUU914" s="1091"/>
      <c r="GUV914" s="1091"/>
      <c r="GUW914" s="1091"/>
      <c r="GUX914" s="1091"/>
      <c r="GUY914" s="1091"/>
      <c r="GUZ914" s="1091"/>
      <c r="GVA914" s="1091"/>
      <c r="GVB914" s="1091"/>
      <c r="GVC914" s="1091"/>
      <c r="GVD914" s="1091"/>
      <c r="GVE914" s="1091"/>
      <c r="GVF914" s="1091"/>
      <c r="GVG914" s="1091"/>
      <c r="GVH914" s="1091"/>
      <c r="GVI914" s="1091"/>
      <c r="GVJ914" s="1091"/>
      <c r="GVK914" s="1091"/>
      <c r="GVL914" s="1091"/>
      <c r="GVM914" s="1091"/>
      <c r="GVN914" s="1091"/>
      <c r="GVO914" s="1091"/>
      <c r="GVP914" s="1091"/>
      <c r="GVQ914" s="1091"/>
      <c r="GVR914" s="1091"/>
      <c r="GVS914" s="1091"/>
      <c r="GVT914" s="1091"/>
      <c r="GVU914" s="1091"/>
      <c r="GVV914" s="1091"/>
      <c r="GVW914" s="1091"/>
      <c r="GVX914" s="1091"/>
      <c r="GVY914" s="1091"/>
      <c r="GVZ914" s="1091"/>
      <c r="GWA914" s="1091"/>
      <c r="GWB914" s="1091"/>
      <c r="GWC914" s="1091"/>
      <c r="GWD914" s="1091"/>
      <c r="GWE914" s="1091"/>
      <c r="GWF914" s="1091"/>
      <c r="GWG914" s="1091"/>
      <c r="GWH914" s="1091"/>
      <c r="GWI914" s="1091"/>
      <c r="GWJ914" s="1091"/>
      <c r="GWK914" s="1091"/>
      <c r="GWL914" s="1091"/>
      <c r="GWM914" s="1091"/>
      <c r="GWN914" s="1091"/>
      <c r="GWO914" s="1091"/>
      <c r="GWP914" s="1091"/>
      <c r="GWQ914" s="1091"/>
      <c r="GWR914" s="1091"/>
      <c r="GWS914" s="1091"/>
      <c r="GWT914" s="1091"/>
      <c r="GWU914" s="1091"/>
      <c r="GWV914" s="1091"/>
      <c r="GWW914" s="1091"/>
      <c r="GWX914" s="1091"/>
      <c r="GWY914" s="1091"/>
      <c r="GWZ914" s="1091"/>
      <c r="GXA914" s="1091"/>
      <c r="GXB914" s="1091"/>
      <c r="GXC914" s="1091"/>
      <c r="GXD914" s="1091"/>
      <c r="GXE914" s="1091"/>
      <c r="GXF914" s="1091"/>
      <c r="GXG914" s="1091"/>
      <c r="GXH914" s="1091"/>
      <c r="GXI914" s="1091"/>
      <c r="GXJ914" s="1091"/>
      <c r="GXK914" s="1091"/>
      <c r="GXL914" s="1091"/>
      <c r="GXM914" s="1091"/>
      <c r="GXN914" s="1091"/>
      <c r="GXO914" s="1091"/>
      <c r="GXP914" s="1091"/>
      <c r="GXQ914" s="1091"/>
      <c r="GXR914" s="1091"/>
      <c r="GXS914" s="1091"/>
      <c r="GXT914" s="1091"/>
      <c r="GXU914" s="1091"/>
      <c r="GXV914" s="1091"/>
      <c r="GXW914" s="1091"/>
      <c r="GXX914" s="1091"/>
      <c r="GXY914" s="1091"/>
      <c r="GXZ914" s="1091"/>
      <c r="GYA914" s="1091"/>
      <c r="GYB914" s="1091"/>
      <c r="GYC914" s="1091"/>
      <c r="GYD914" s="1091"/>
      <c r="GYE914" s="1091"/>
      <c r="GYF914" s="1091"/>
      <c r="GYG914" s="1091"/>
      <c r="GYH914" s="1091"/>
      <c r="GYI914" s="1091"/>
      <c r="GYJ914" s="1091"/>
      <c r="GYK914" s="1091"/>
      <c r="GYL914" s="1091"/>
      <c r="GYM914" s="1091"/>
      <c r="GYN914" s="1091"/>
      <c r="GYO914" s="1091"/>
      <c r="GYP914" s="1091"/>
      <c r="GYQ914" s="1091"/>
      <c r="GYR914" s="1091"/>
      <c r="GYS914" s="1091"/>
      <c r="GYT914" s="1091"/>
      <c r="GYU914" s="1091"/>
      <c r="GYV914" s="1091"/>
      <c r="GYW914" s="1091"/>
      <c r="GYX914" s="1091"/>
      <c r="GYY914" s="1091"/>
      <c r="GYZ914" s="1091"/>
      <c r="GZA914" s="1091"/>
      <c r="GZB914" s="1091"/>
      <c r="GZC914" s="1091"/>
      <c r="GZD914" s="1091"/>
      <c r="GZE914" s="1091"/>
      <c r="GZF914" s="1091"/>
      <c r="GZG914" s="1091"/>
      <c r="GZH914" s="1091"/>
      <c r="GZI914" s="1091"/>
      <c r="GZJ914" s="1091"/>
      <c r="GZK914" s="1091"/>
      <c r="GZL914" s="1091"/>
      <c r="GZM914" s="1091"/>
      <c r="GZN914" s="1091"/>
      <c r="GZO914" s="1091"/>
      <c r="GZP914" s="1091"/>
      <c r="GZQ914" s="1091"/>
      <c r="GZR914" s="1091"/>
      <c r="GZS914" s="1091"/>
      <c r="GZT914" s="1091"/>
      <c r="GZU914" s="1091"/>
      <c r="GZV914" s="1091"/>
      <c r="GZW914" s="1091"/>
      <c r="GZX914" s="1091"/>
      <c r="GZY914" s="1091"/>
      <c r="GZZ914" s="1091"/>
      <c r="HAA914" s="1091"/>
      <c r="HAB914" s="1091"/>
      <c r="HAC914" s="1091"/>
      <c r="HAD914" s="1091"/>
      <c r="HAE914" s="1091"/>
      <c r="HAF914" s="1091"/>
      <c r="HAG914" s="1091"/>
      <c r="HAH914" s="1091"/>
      <c r="HAI914" s="1091"/>
      <c r="HAJ914" s="1091"/>
      <c r="HAK914" s="1091"/>
      <c r="HAL914" s="1091"/>
      <c r="HAM914" s="1091"/>
      <c r="HAN914" s="1091"/>
      <c r="HAO914" s="1091"/>
      <c r="HAP914" s="1091"/>
      <c r="HAQ914" s="1091"/>
      <c r="HAR914" s="1091"/>
      <c r="HAS914" s="1091"/>
      <c r="HAT914" s="1091"/>
      <c r="HAU914" s="1091"/>
      <c r="HAV914" s="1091"/>
      <c r="HAW914" s="1091"/>
      <c r="HAX914" s="1091"/>
      <c r="HAY914" s="1091"/>
      <c r="HAZ914" s="1091"/>
      <c r="HBA914" s="1091"/>
      <c r="HBB914" s="1091"/>
      <c r="HBC914" s="1091"/>
      <c r="HBD914" s="1091"/>
      <c r="HBE914" s="1091"/>
      <c r="HBF914" s="1091"/>
      <c r="HBG914" s="1091"/>
      <c r="HBH914" s="1091"/>
      <c r="HBI914" s="1091"/>
      <c r="HBJ914" s="1091"/>
      <c r="HBK914" s="1091"/>
      <c r="HBL914" s="1091"/>
      <c r="HBM914" s="1091"/>
      <c r="HBN914" s="1091"/>
      <c r="HBO914" s="1091"/>
      <c r="HBP914" s="1091"/>
      <c r="HBQ914" s="1091"/>
      <c r="HBR914" s="1091"/>
      <c r="HBS914" s="1091"/>
      <c r="HBT914" s="1091"/>
      <c r="HBU914" s="1091"/>
      <c r="HBV914" s="1091"/>
      <c r="HBW914" s="1091"/>
      <c r="HBX914" s="1091"/>
      <c r="HBY914" s="1091"/>
      <c r="HBZ914" s="1091"/>
      <c r="HCA914" s="1091"/>
      <c r="HCB914" s="1091"/>
      <c r="HCC914" s="1091"/>
      <c r="HCD914" s="1091"/>
      <c r="HCE914" s="1091"/>
      <c r="HCF914" s="1091"/>
      <c r="HCG914" s="1091"/>
      <c r="HCH914" s="1091"/>
      <c r="HCI914" s="1091"/>
      <c r="HCJ914" s="1091"/>
      <c r="HCK914" s="1091"/>
      <c r="HCL914" s="1091"/>
      <c r="HCM914" s="1091"/>
      <c r="HCN914" s="1091"/>
      <c r="HCO914" s="1091"/>
      <c r="HCP914" s="1091"/>
      <c r="HCQ914" s="1091"/>
      <c r="HCR914" s="1091"/>
      <c r="HCS914" s="1091"/>
      <c r="HCT914" s="1091"/>
      <c r="HCU914" s="1091"/>
      <c r="HCV914" s="1091"/>
      <c r="HCW914" s="1091"/>
      <c r="HCX914" s="1091"/>
      <c r="HCY914" s="1091"/>
      <c r="HCZ914" s="1091"/>
      <c r="HDA914" s="1091"/>
      <c r="HDB914" s="1091"/>
      <c r="HDC914" s="1091"/>
      <c r="HDD914" s="1091"/>
      <c r="HDE914" s="1091"/>
      <c r="HDF914" s="1091"/>
      <c r="HDG914" s="1091"/>
      <c r="HDH914" s="1091"/>
      <c r="HDI914" s="1091"/>
      <c r="HDJ914" s="1091"/>
      <c r="HDK914" s="1091"/>
      <c r="HDL914" s="1091"/>
      <c r="HDM914" s="1091"/>
      <c r="HDN914" s="1091"/>
      <c r="HDO914" s="1091"/>
      <c r="HDP914" s="1091"/>
      <c r="HDQ914" s="1091"/>
      <c r="HDR914" s="1091"/>
      <c r="HDS914" s="1091"/>
      <c r="HDT914" s="1091"/>
      <c r="HDU914" s="1091"/>
      <c r="HDV914" s="1091"/>
      <c r="HDW914" s="1091"/>
      <c r="HDX914" s="1091"/>
      <c r="HDY914" s="1091"/>
      <c r="HDZ914" s="1091"/>
      <c r="HEA914" s="1091"/>
      <c r="HEB914" s="1091"/>
      <c r="HEC914" s="1091"/>
      <c r="HED914" s="1091"/>
      <c r="HEE914" s="1091"/>
      <c r="HEF914" s="1091"/>
      <c r="HEG914" s="1091"/>
      <c r="HEH914" s="1091"/>
      <c r="HEI914" s="1091"/>
      <c r="HEJ914" s="1091"/>
      <c r="HEK914" s="1091"/>
      <c r="HEL914" s="1091"/>
      <c r="HEM914" s="1091"/>
      <c r="HEN914" s="1091"/>
      <c r="HEO914" s="1091"/>
      <c r="HEP914" s="1091"/>
      <c r="HEQ914" s="1091"/>
      <c r="HER914" s="1091"/>
      <c r="HES914" s="1091"/>
      <c r="HET914" s="1091"/>
      <c r="HEU914" s="1091"/>
      <c r="HEV914" s="1091"/>
      <c r="HEW914" s="1091"/>
      <c r="HEX914" s="1091"/>
      <c r="HEY914" s="1091"/>
      <c r="HEZ914" s="1091"/>
      <c r="HFA914" s="1091"/>
      <c r="HFB914" s="1091"/>
      <c r="HFC914" s="1091"/>
      <c r="HFD914" s="1091"/>
      <c r="HFE914" s="1091"/>
      <c r="HFF914" s="1091"/>
      <c r="HFG914" s="1091"/>
      <c r="HFH914" s="1091"/>
      <c r="HFI914" s="1091"/>
      <c r="HFJ914" s="1091"/>
      <c r="HFK914" s="1091"/>
      <c r="HFL914" s="1091"/>
      <c r="HFM914" s="1091"/>
      <c r="HFN914" s="1091"/>
      <c r="HFO914" s="1091"/>
      <c r="HFP914" s="1091"/>
      <c r="HFQ914" s="1091"/>
      <c r="HFR914" s="1091"/>
      <c r="HFS914" s="1091"/>
      <c r="HFT914" s="1091"/>
      <c r="HFU914" s="1091"/>
      <c r="HFV914" s="1091"/>
      <c r="HFW914" s="1091"/>
      <c r="HFX914" s="1091"/>
      <c r="HFY914" s="1091"/>
      <c r="HFZ914" s="1091"/>
      <c r="HGA914" s="1091"/>
      <c r="HGB914" s="1091"/>
      <c r="HGC914" s="1091"/>
      <c r="HGD914" s="1091"/>
      <c r="HGE914" s="1091"/>
      <c r="HGF914" s="1091"/>
      <c r="HGG914" s="1091"/>
      <c r="HGH914" s="1091"/>
      <c r="HGI914" s="1091"/>
      <c r="HGJ914" s="1091"/>
      <c r="HGK914" s="1091"/>
      <c r="HGL914" s="1091"/>
      <c r="HGM914" s="1091"/>
      <c r="HGN914" s="1091"/>
      <c r="HGO914" s="1091"/>
      <c r="HGP914" s="1091"/>
      <c r="HGQ914" s="1091"/>
      <c r="HGR914" s="1091"/>
      <c r="HGS914" s="1091"/>
      <c r="HGT914" s="1091"/>
      <c r="HGU914" s="1091"/>
      <c r="HGV914" s="1091"/>
      <c r="HGW914" s="1091"/>
      <c r="HGX914" s="1091"/>
      <c r="HGY914" s="1091"/>
      <c r="HGZ914" s="1091"/>
      <c r="HHA914" s="1091"/>
      <c r="HHB914" s="1091"/>
      <c r="HHC914" s="1091"/>
      <c r="HHD914" s="1091"/>
      <c r="HHE914" s="1091"/>
      <c r="HHF914" s="1091"/>
      <c r="HHG914" s="1091"/>
      <c r="HHH914" s="1091"/>
      <c r="HHI914" s="1091"/>
      <c r="HHJ914" s="1091"/>
      <c r="HHK914" s="1091"/>
      <c r="HHL914" s="1091"/>
      <c r="HHM914" s="1091"/>
      <c r="HHN914" s="1091"/>
      <c r="HHO914" s="1091"/>
      <c r="HHP914" s="1091"/>
      <c r="HHQ914" s="1091"/>
      <c r="HHR914" s="1091"/>
      <c r="HHS914" s="1091"/>
      <c r="HHT914" s="1091"/>
      <c r="HHU914" s="1091"/>
      <c r="HHV914" s="1091"/>
      <c r="HHW914" s="1091"/>
      <c r="HHX914" s="1091"/>
      <c r="HHY914" s="1091"/>
      <c r="HHZ914" s="1091"/>
      <c r="HIA914" s="1091"/>
      <c r="HIB914" s="1091"/>
      <c r="HIC914" s="1091"/>
      <c r="HID914" s="1091"/>
      <c r="HIE914" s="1091"/>
      <c r="HIF914" s="1091"/>
      <c r="HIG914" s="1091"/>
      <c r="HIH914" s="1091"/>
      <c r="HII914" s="1091"/>
      <c r="HIJ914" s="1091"/>
      <c r="HIK914" s="1091"/>
      <c r="HIL914" s="1091"/>
      <c r="HIM914" s="1091"/>
      <c r="HIN914" s="1091"/>
      <c r="HIO914" s="1091"/>
      <c r="HIP914" s="1091"/>
      <c r="HIQ914" s="1091"/>
      <c r="HIR914" s="1091"/>
      <c r="HIS914" s="1091"/>
      <c r="HIT914" s="1091"/>
      <c r="HIU914" s="1091"/>
      <c r="HIV914" s="1091"/>
      <c r="HIW914" s="1091"/>
      <c r="HIX914" s="1091"/>
      <c r="HIY914" s="1091"/>
      <c r="HIZ914" s="1091"/>
      <c r="HJA914" s="1091"/>
      <c r="HJB914" s="1091"/>
      <c r="HJC914" s="1091"/>
      <c r="HJD914" s="1091"/>
      <c r="HJE914" s="1091"/>
      <c r="HJF914" s="1091"/>
      <c r="HJG914" s="1091"/>
      <c r="HJH914" s="1091"/>
      <c r="HJI914" s="1091"/>
      <c r="HJJ914" s="1091"/>
      <c r="HJK914" s="1091"/>
      <c r="HJL914" s="1091"/>
      <c r="HJM914" s="1091"/>
      <c r="HJN914" s="1091"/>
      <c r="HJO914" s="1091"/>
      <c r="HJP914" s="1091"/>
      <c r="HJQ914" s="1091"/>
      <c r="HJR914" s="1091"/>
      <c r="HJS914" s="1091"/>
      <c r="HJT914" s="1091"/>
      <c r="HJU914" s="1091"/>
      <c r="HJV914" s="1091"/>
      <c r="HJW914" s="1091"/>
      <c r="HJX914" s="1091"/>
      <c r="HJY914" s="1091"/>
      <c r="HJZ914" s="1091"/>
      <c r="HKA914" s="1091"/>
      <c r="HKB914" s="1091"/>
      <c r="HKC914" s="1091"/>
      <c r="HKD914" s="1091"/>
      <c r="HKE914" s="1091"/>
      <c r="HKF914" s="1091"/>
      <c r="HKG914" s="1091"/>
      <c r="HKH914" s="1091"/>
      <c r="HKI914" s="1091"/>
      <c r="HKJ914" s="1091"/>
      <c r="HKK914" s="1091"/>
      <c r="HKL914" s="1091"/>
      <c r="HKM914" s="1091"/>
      <c r="HKN914" s="1091"/>
      <c r="HKO914" s="1091"/>
      <c r="HKP914" s="1091"/>
      <c r="HKQ914" s="1091"/>
      <c r="HKR914" s="1091"/>
      <c r="HKS914" s="1091"/>
      <c r="HKT914" s="1091"/>
      <c r="HKU914" s="1091"/>
      <c r="HKV914" s="1091"/>
      <c r="HKW914" s="1091"/>
      <c r="HKX914" s="1091"/>
      <c r="HKY914" s="1091"/>
      <c r="HKZ914" s="1091"/>
      <c r="HLA914" s="1091"/>
      <c r="HLB914" s="1091"/>
      <c r="HLC914" s="1091"/>
      <c r="HLD914" s="1091"/>
      <c r="HLE914" s="1091"/>
      <c r="HLF914" s="1091"/>
      <c r="HLG914" s="1091"/>
      <c r="HLH914" s="1091"/>
      <c r="HLI914" s="1091"/>
      <c r="HLJ914" s="1091"/>
      <c r="HLK914" s="1091"/>
      <c r="HLL914" s="1091"/>
      <c r="HLM914" s="1091"/>
      <c r="HLN914" s="1091"/>
      <c r="HLO914" s="1091"/>
      <c r="HLP914" s="1091"/>
      <c r="HLQ914" s="1091"/>
      <c r="HLR914" s="1091"/>
      <c r="HLS914" s="1091"/>
      <c r="HLT914" s="1091"/>
      <c r="HLU914" s="1091"/>
      <c r="HLV914" s="1091"/>
      <c r="HLW914" s="1091"/>
      <c r="HLX914" s="1091"/>
      <c r="HLY914" s="1091"/>
      <c r="HLZ914" s="1091"/>
      <c r="HMA914" s="1091"/>
      <c r="HMB914" s="1091"/>
      <c r="HMC914" s="1091"/>
      <c r="HMD914" s="1091"/>
      <c r="HME914" s="1091"/>
      <c r="HMF914" s="1091"/>
      <c r="HMG914" s="1091"/>
      <c r="HMH914" s="1091"/>
      <c r="HMI914" s="1091"/>
      <c r="HMJ914" s="1091"/>
      <c r="HMK914" s="1091"/>
      <c r="HML914" s="1091"/>
      <c r="HMM914" s="1091"/>
      <c r="HMN914" s="1091"/>
      <c r="HMO914" s="1091"/>
      <c r="HMP914" s="1091"/>
      <c r="HMQ914" s="1091"/>
      <c r="HMR914" s="1091"/>
      <c r="HMS914" s="1091"/>
      <c r="HMT914" s="1091"/>
      <c r="HMU914" s="1091"/>
      <c r="HMV914" s="1091"/>
      <c r="HMW914" s="1091"/>
      <c r="HMX914" s="1091"/>
      <c r="HMY914" s="1091"/>
      <c r="HMZ914" s="1091"/>
      <c r="HNA914" s="1091"/>
      <c r="HNB914" s="1091"/>
      <c r="HNC914" s="1091"/>
      <c r="HND914" s="1091"/>
      <c r="HNE914" s="1091"/>
      <c r="HNF914" s="1091"/>
      <c r="HNG914" s="1091"/>
      <c r="HNH914" s="1091"/>
      <c r="HNI914" s="1091"/>
      <c r="HNJ914" s="1091"/>
      <c r="HNK914" s="1091"/>
      <c r="HNL914" s="1091"/>
      <c r="HNM914" s="1091"/>
      <c r="HNN914" s="1091"/>
      <c r="HNO914" s="1091"/>
      <c r="HNP914" s="1091"/>
      <c r="HNQ914" s="1091"/>
      <c r="HNR914" s="1091"/>
      <c r="HNS914" s="1091"/>
      <c r="HNT914" s="1091"/>
      <c r="HNU914" s="1091"/>
      <c r="HNV914" s="1091"/>
      <c r="HNW914" s="1091"/>
      <c r="HNX914" s="1091"/>
      <c r="HNY914" s="1091"/>
      <c r="HNZ914" s="1091"/>
      <c r="HOA914" s="1091"/>
      <c r="HOB914" s="1091"/>
      <c r="HOC914" s="1091"/>
      <c r="HOD914" s="1091"/>
      <c r="HOE914" s="1091"/>
      <c r="HOF914" s="1091"/>
      <c r="HOG914" s="1091"/>
      <c r="HOH914" s="1091"/>
      <c r="HOI914" s="1091"/>
      <c r="HOJ914" s="1091"/>
      <c r="HOK914" s="1091"/>
      <c r="HOL914" s="1091"/>
      <c r="HOM914" s="1091"/>
      <c r="HON914" s="1091"/>
      <c r="HOO914" s="1091"/>
      <c r="HOP914" s="1091"/>
      <c r="HOQ914" s="1091"/>
      <c r="HOR914" s="1091"/>
      <c r="HOS914" s="1091"/>
      <c r="HOT914" s="1091"/>
      <c r="HOU914" s="1091"/>
      <c r="HOV914" s="1091"/>
      <c r="HOW914" s="1091"/>
      <c r="HOX914" s="1091"/>
      <c r="HOY914" s="1091"/>
      <c r="HOZ914" s="1091"/>
      <c r="HPA914" s="1091"/>
      <c r="HPB914" s="1091"/>
      <c r="HPC914" s="1091"/>
      <c r="HPD914" s="1091"/>
      <c r="HPE914" s="1091"/>
      <c r="HPF914" s="1091"/>
      <c r="HPG914" s="1091"/>
      <c r="HPH914" s="1091"/>
      <c r="HPI914" s="1091"/>
      <c r="HPJ914" s="1091"/>
      <c r="HPK914" s="1091"/>
      <c r="HPL914" s="1091"/>
      <c r="HPM914" s="1091"/>
      <c r="HPN914" s="1091"/>
      <c r="HPO914" s="1091"/>
      <c r="HPP914" s="1091"/>
      <c r="HPQ914" s="1091"/>
      <c r="HPR914" s="1091"/>
      <c r="HPS914" s="1091"/>
      <c r="HPT914" s="1091"/>
      <c r="HPU914" s="1091"/>
      <c r="HPV914" s="1091"/>
      <c r="HPW914" s="1091"/>
      <c r="HPX914" s="1091"/>
      <c r="HPY914" s="1091"/>
      <c r="HPZ914" s="1091"/>
      <c r="HQA914" s="1091"/>
      <c r="HQB914" s="1091"/>
      <c r="HQC914" s="1091"/>
      <c r="HQD914" s="1091"/>
      <c r="HQE914" s="1091"/>
      <c r="HQF914" s="1091"/>
      <c r="HQG914" s="1091"/>
      <c r="HQH914" s="1091"/>
      <c r="HQI914" s="1091"/>
      <c r="HQJ914" s="1091"/>
      <c r="HQK914" s="1091"/>
      <c r="HQL914" s="1091"/>
      <c r="HQM914" s="1091"/>
      <c r="HQN914" s="1091"/>
      <c r="HQO914" s="1091"/>
      <c r="HQP914" s="1091"/>
      <c r="HQQ914" s="1091"/>
      <c r="HQR914" s="1091"/>
      <c r="HQS914" s="1091"/>
      <c r="HQT914" s="1091"/>
      <c r="HQU914" s="1091"/>
      <c r="HQV914" s="1091"/>
      <c r="HQW914" s="1091"/>
      <c r="HQX914" s="1091"/>
      <c r="HQY914" s="1091"/>
      <c r="HQZ914" s="1091"/>
      <c r="HRA914" s="1091"/>
      <c r="HRB914" s="1091"/>
      <c r="HRC914" s="1091"/>
      <c r="HRD914" s="1091"/>
      <c r="HRE914" s="1091"/>
      <c r="HRF914" s="1091"/>
      <c r="HRG914" s="1091"/>
      <c r="HRH914" s="1091"/>
      <c r="HRI914" s="1091"/>
      <c r="HRJ914" s="1091"/>
      <c r="HRK914" s="1091"/>
      <c r="HRL914" s="1091"/>
      <c r="HRM914" s="1091"/>
      <c r="HRN914" s="1091"/>
      <c r="HRO914" s="1091"/>
      <c r="HRP914" s="1091"/>
      <c r="HRQ914" s="1091"/>
      <c r="HRR914" s="1091"/>
      <c r="HRS914" s="1091"/>
      <c r="HRT914" s="1091"/>
      <c r="HRU914" s="1091"/>
      <c r="HRV914" s="1091"/>
      <c r="HRW914" s="1091"/>
      <c r="HRX914" s="1091"/>
      <c r="HRY914" s="1091"/>
      <c r="HRZ914" s="1091"/>
      <c r="HSA914" s="1091"/>
      <c r="HSB914" s="1091"/>
      <c r="HSC914" s="1091"/>
      <c r="HSD914" s="1091"/>
      <c r="HSE914" s="1091"/>
      <c r="HSF914" s="1091"/>
      <c r="HSG914" s="1091"/>
      <c r="HSH914" s="1091"/>
      <c r="HSI914" s="1091"/>
      <c r="HSJ914" s="1091"/>
      <c r="HSK914" s="1091"/>
      <c r="HSL914" s="1091"/>
      <c r="HSM914" s="1091"/>
      <c r="HSN914" s="1091"/>
      <c r="HSO914" s="1091"/>
      <c r="HSP914" s="1091"/>
      <c r="HSQ914" s="1091"/>
      <c r="HSR914" s="1091"/>
      <c r="HSS914" s="1091"/>
      <c r="HST914" s="1091"/>
      <c r="HSU914" s="1091"/>
      <c r="HSV914" s="1091"/>
      <c r="HSW914" s="1091"/>
      <c r="HSX914" s="1091"/>
      <c r="HSY914" s="1091"/>
      <c r="HSZ914" s="1091"/>
      <c r="HTA914" s="1091"/>
      <c r="HTB914" s="1091"/>
      <c r="HTC914" s="1091"/>
      <c r="HTD914" s="1091"/>
      <c r="HTE914" s="1091"/>
      <c r="HTF914" s="1091"/>
      <c r="HTG914" s="1091"/>
      <c r="HTH914" s="1091"/>
      <c r="HTI914" s="1091"/>
      <c r="HTJ914" s="1091"/>
      <c r="HTK914" s="1091"/>
      <c r="HTL914" s="1091"/>
      <c r="HTM914" s="1091"/>
      <c r="HTN914" s="1091"/>
      <c r="HTO914" s="1091"/>
      <c r="HTP914" s="1091"/>
      <c r="HTQ914" s="1091"/>
      <c r="HTR914" s="1091"/>
      <c r="HTS914" s="1091"/>
      <c r="HTT914" s="1091"/>
      <c r="HTU914" s="1091"/>
      <c r="HTV914" s="1091"/>
      <c r="HTW914" s="1091"/>
      <c r="HTX914" s="1091"/>
      <c r="HTY914" s="1091"/>
      <c r="HTZ914" s="1091"/>
      <c r="HUA914" s="1091"/>
      <c r="HUB914" s="1091"/>
      <c r="HUC914" s="1091"/>
      <c r="HUD914" s="1091"/>
      <c r="HUE914" s="1091"/>
      <c r="HUF914" s="1091"/>
      <c r="HUG914" s="1091"/>
      <c r="HUH914" s="1091"/>
      <c r="HUI914" s="1091"/>
      <c r="HUJ914" s="1091"/>
      <c r="HUK914" s="1091"/>
      <c r="HUL914" s="1091"/>
      <c r="HUM914" s="1091"/>
      <c r="HUN914" s="1091"/>
      <c r="HUO914" s="1091"/>
      <c r="HUP914" s="1091"/>
      <c r="HUQ914" s="1091"/>
      <c r="HUR914" s="1091"/>
      <c r="HUS914" s="1091"/>
      <c r="HUT914" s="1091"/>
      <c r="HUU914" s="1091"/>
      <c r="HUV914" s="1091"/>
      <c r="HUW914" s="1091"/>
      <c r="HUX914" s="1091"/>
      <c r="HUY914" s="1091"/>
      <c r="HUZ914" s="1091"/>
      <c r="HVA914" s="1091"/>
      <c r="HVB914" s="1091"/>
      <c r="HVC914" s="1091"/>
      <c r="HVD914" s="1091"/>
      <c r="HVE914" s="1091"/>
      <c r="HVF914" s="1091"/>
      <c r="HVG914" s="1091"/>
      <c r="HVH914" s="1091"/>
      <c r="HVI914" s="1091"/>
      <c r="HVJ914" s="1091"/>
      <c r="HVK914" s="1091"/>
      <c r="HVL914" s="1091"/>
      <c r="HVM914" s="1091"/>
      <c r="HVN914" s="1091"/>
      <c r="HVO914" s="1091"/>
      <c r="HVP914" s="1091"/>
      <c r="HVQ914" s="1091"/>
      <c r="HVR914" s="1091"/>
      <c r="HVS914" s="1091"/>
      <c r="HVT914" s="1091"/>
      <c r="HVU914" s="1091"/>
      <c r="HVV914" s="1091"/>
      <c r="HVW914" s="1091"/>
      <c r="HVX914" s="1091"/>
      <c r="HVY914" s="1091"/>
      <c r="HVZ914" s="1091"/>
      <c r="HWA914" s="1091"/>
      <c r="HWB914" s="1091"/>
      <c r="HWC914" s="1091"/>
      <c r="HWD914" s="1091"/>
      <c r="HWE914" s="1091"/>
      <c r="HWF914" s="1091"/>
      <c r="HWG914" s="1091"/>
      <c r="HWH914" s="1091"/>
      <c r="HWI914" s="1091"/>
      <c r="HWJ914" s="1091"/>
      <c r="HWK914" s="1091"/>
      <c r="HWL914" s="1091"/>
      <c r="HWM914" s="1091"/>
      <c r="HWN914" s="1091"/>
      <c r="HWO914" s="1091"/>
      <c r="HWP914" s="1091"/>
      <c r="HWQ914" s="1091"/>
      <c r="HWR914" s="1091"/>
      <c r="HWS914" s="1091"/>
      <c r="HWT914" s="1091"/>
      <c r="HWU914" s="1091"/>
      <c r="HWV914" s="1091"/>
      <c r="HWW914" s="1091"/>
      <c r="HWX914" s="1091"/>
      <c r="HWY914" s="1091"/>
      <c r="HWZ914" s="1091"/>
      <c r="HXA914" s="1091"/>
      <c r="HXB914" s="1091"/>
      <c r="HXC914" s="1091"/>
      <c r="HXD914" s="1091"/>
      <c r="HXE914" s="1091"/>
      <c r="HXF914" s="1091"/>
      <c r="HXG914" s="1091"/>
      <c r="HXH914" s="1091"/>
      <c r="HXI914" s="1091"/>
      <c r="HXJ914" s="1091"/>
      <c r="HXK914" s="1091"/>
      <c r="HXL914" s="1091"/>
      <c r="HXM914" s="1091"/>
      <c r="HXN914" s="1091"/>
      <c r="HXO914" s="1091"/>
      <c r="HXP914" s="1091"/>
      <c r="HXQ914" s="1091"/>
      <c r="HXR914" s="1091"/>
      <c r="HXS914" s="1091"/>
      <c r="HXT914" s="1091"/>
      <c r="HXU914" s="1091"/>
      <c r="HXV914" s="1091"/>
      <c r="HXW914" s="1091"/>
      <c r="HXX914" s="1091"/>
      <c r="HXY914" s="1091"/>
      <c r="HXZ914" s="1091"/>
      <c r="HYA914" s="1091"/>
      <c r="HYB914" s="1091"/>
      <c r="HYC914" s="1091"/>
      <c r="HYD914" s="1091"/>
      <c r="HYE914" s="1091"/>
      <c r="HYF914" s="1091"/>
      <c r="HYG914" s="1091"/>
      <c r="HYH914" s="1091"/>
      <c r="HYI914" s="1091"/>
      <c r="HYJ914" s="1091"/>
      <c r="HYK914" s="1091"/>
      <c r="HYL914" s="1091"/>
      <c r="HYM914" s="1091"/>
      <c r="HYN914" s="1091"/>
      <c r="HYO914" s="1091"/>
      <c r="HYP914" s="1091"/>
      <c r="HYQ914" s="1091"/>
      <c r="HYR914" s="1091"/>
      <c r="HYS914" s="1091"/>
      <c r="HYT914" s="1091"/>
      <c r="HYU914" s="1091"/>
      <c r="HYV914" s="1091"/>
      <c r="HYW914" s="1091"/>
      <c r="HYX914" s="1091"/>
      <c r="HYY914" s="1091"/>
      <c r="HYZ914" s="1091"/>
      <c r="HZA914" s="1091"/>
      <c r="HZB914" s="1091"/>
      <c r="HZC914" s="1091"/>
      <c r="HZD914" s="1091"/>
      <c r="HZE914" s="1091"/>
      <c r="HZF914" s="1091"/>
      <c r="HZG914" s="1091"/>
      <c r="HZH914" s="1091"/>
      <c r="HZI914" s="1091"/>
      <c r="HZJ914" s="1091"/>
      <c r="HZK914" s="1091"/>
      <c r="HZL914" s="1091"/>
      <c r="HZM914" s="1091"/>
      <c r="HZN914" s="1091"/>
      <c r="HZO914" s="1091"/>
      <c r="HZP914" s="1091"/>
      <c r="HZQ914" s="1091"/>
      <c r="HZR914" s="1091"/>
      <c r="HZS914" s="1091"/>
      <c r="HZT914" s="1091"/>
      <c r="HZU914" s="1091"/>
      <c r="HZV914" s="1091"/>
      <c r="HZW914" s="1091"/>
      <c r="HZX914" s="1091"/>
      <c r="HZY914" s="1091"/>
      <c r="HZZ914" s="1091"/>
      <c r="IAA914" s="1091"/>
      <c r="IAB914" s="1091"/>
      <c r="IAC914" s="1091"/>
      <c r="IAD914" s="1091"/>
      <c r="IAE914" s="1091"/>
      <c r="IAF914" s="1091"/>
      <c r="IAG914" s="1091"/>
      <c r="IAH914" s="1091"/>
      <c r="IAI914" s="1091"/>
      <c r="IAJ914" s="1091"/>
      <c r="IAK914" s="1091"/>
      <c r="IAL914" s="1091"/>
      <c r="IAM914" s="1091"/>
      <c r="IAN914" s="1091"/>
      <c r="IAO914" s="1091"/>
      <c r="IAP914" s="1091"/>
      <c r="IAQ914" s="1091"/>
      <c r="IAR914" s="1091"/>
      <c r="IAS914" s="1091"/>
      <c r="IAT914" s="1091"/>
      <c r="IAU914" s="1091"/>
      <c r="IAV914" s="1091"/>
      <c r="IAW914" s="1091"/>
      <c r="IAX914" s="1091"/>
      <c r="IAY914" s="1091"/>
      <c r="IAZ914" s="1091"/>
      <c r="IBA914" s="1091"/>
      <c r="IBB914" s="1091"/>
      <c r="IBC914" s="1091"/>
      <c r="IBD914" s="1091"/>
      <c r="IBE914" s="1091"/>
      <c r="IBF914" s="1091"/>
      <c r="IBG914" s="1091"/>
      <c r="IBH914" s="1091"/>
      <c r="IBI914" s="1091"/>
      <c r="IBJ914" s="1091"/>
      <c r="IBK914" s="1091"/>
      <c r="IBL914" s="1091"/>
      <c r="IBM914" s="1091"/>
      <c r="IBN914" s="1091"/>
      <c r="IBO914" s="1091"/>
      <c r="IBP914" s="1091"/>
      <c r="IBQ914" s="1091"/>
      <c r="IBR914" s="1091"/>
      <c r="IBS914" s="1091"/>
      <c r="IBT914" s="1091"/>
      <c r="IBU914" s="1091"/>
      <c r="IBV914" s="1091"/>
      <c r="IBW914" s="1091"/>
      <c r="IBX914" s="1091"/>
      <c r="IBY914" s="1091"/>
      <c r="IBZ914" s="1091"/>
      <c r="ICA914" s="1091"/>
      <c r="ICB914" s="1091"/>
      <c r="ICC914" s="1091"/>
      <c r="ICD914" s="1091"/>
      <c r="ICE914" s="1091"/>
      <c r="ICF914" s="1091"/>
      <c r="ICG914" s="1091"/>
      <c r="ICH914" s="1091"/>
      <c r="ICI914" s="1091"/>
      <c r="ICJ914" s="1091"/>
      <c r="ICK914" s="1091"/>
      <c r="ICL914" s="1091"/>
      <c r="ICM914" s="1091"/>
      <c r="ICN914" s="1091"/>
      <c r="ICO914" s="1091"/>
      <c r="ICP914" s="1091"/>
      <c r="ICQ914" s="1091"/>
      <c r="ICR914" s="1091"/>
      <c r="ICS914" s="1091"/>
      <c r="ICT914" s="1091"/>
      <c r="ICU914" s="1091"/>
      <c r="ICV914" s="1091"/>
      <c r="ICW914" s="1091"/>
      <c r="ICX914" s="1091"/>
      <c r="ICY914" s="1091"/>
      <c r="ICZ914" s="1091"/>
      <c r="IDA914" s="1091"/>
      <c r="IDB914" s="1091"/>
      <c r="IDC914" s="1091"/>
      <c r="IDD914" s="1091"/>
      <c r="IDE914" s="1091"/>
      <c r="IDF914" s="1091"/>
      <c r="IDG914" s="1091"/>
      <c r="IDH914" s="1091"/>
      <c r="IDI914" s="1091"/>
      <c r="IDJ914" s="1091"/>
      <c r="IDK914" s="1091"/>
      <c r="IDL914" s="1091"/>
      <c r="IDM914" s="1091"/>
      <c r="IDN914" s="1091"/>
      <c r="IDO914" s="1091"/>
      <c r="IDP914" s="1091"/>
      <c r="IDQ914" s="1091"/>
      <c r="IDR914" s="1091"/>
      <c r="IDS914" s="1091"/>
      <c r="IDT914" s="1091"/>
      <c r="IDU914" s="1091"/>
      <c r="IDV914" s="1091"/>
      <c r="IDW914" s="1091"/>
      <c r="IDX914" s="1091"/>
      <c r="IDY914" s="1091"/>
      <c r="IDZ914" s="1091"/>
      <c r="IEA914" s="1091"/>
      <c r="IEB914" s="1091"/>
      <c r="IEC914" s="1091"/>
      <c r="IED914" s="1091"/>
      <c r="IEE914" s="1091"/>
      <c r="IEF914" s="1091"/>
      <c r="IEG914" s="1091"/>
      <c r="IEH914" s="1091"/>
      <c r="IEI914" s="1091"/>
      <c r="IEJ914" s="1091"/>
      <c r="IEK914" s="1091"/>
      <c r="IEL914" s="1091"/>
      <c r="IEM914" s="1091"/>
      <c r="IEN914" s="1091"/>
      <c r="IEO914" s="1091"/>
      <c r="IEP914" s="1091"/>
      <c r="IEQ914" s="1091"/>
      <c r="IER914" s="1091"/>
      <c r="IES914" s="1091"/>
      <c r="IET914" s="1091"/>
      <c r="IEU914" s="1091"/>
      <c r="IEV914" s="1091"/>
      <c r="IEW914" s="1091"/>
      <c r="IEX914" s="1091"/>
      <c r="IEY914" s="1091"/>
      <c r="IEZ914" s="1091"/>
      <c r="IFA914" s="1091"/>
      <c r="IFB914" s="1091"/>
      <c r="IFC914" s="1091"/>
      <c r="IFD914" s="1091"/>
      <c r="IFE914" s="1091"/>
      <c r="IFF914" s="1091"/>
      <c r="IFG914" s="1091"/>
      <c r="IFH914" s="1091"/>
      <c r="IFI914" s="1091"/>
      <c r="IFJ914" s="1091"/>
      <c r="IFK914" s="1091"/>
      <c r="IFL914" s="1091"/>
      <c r="IFM914" s="1091"/>
      <c r="IFN914" s="1091"/>
      <c r="IFO914" s="1091"/>
      <c r="IFP914" s="1091"/>
      <c r="IFQ914" s="1091"/>
      <c r="IFR914" s="1091"/>
      <c r="IFS914" s="1091"/>
      <c r="IFT914" s="1091"/>
      <c r="IFU914" s="1091"/>
      <c r="IFV914" s="1091"/>
      <c r="IFW914" s="1091"/>
      <c r="IFX914" s="1091"/>
      <c r="IFY914" s="1091"/>
      <c r="IFZ914" s="1091"/>
      <c r="IGA914" s="1091"/>
      <c r="IGB914" s="1091"/>
      <c r="IGC914" s="1091"/>
      <c r="IGD914" s="1091"/>
      <c r="IGE914" s="1091"/>
      <c r="IGF914" s="1091"/>
      <c r="IGG914" s="1091"/>
      <c r="IGH914" s="1091"/>
      <c r="IGI914" s="1091"/>
      <c r="IGJ914" s="1091"/>
      <c r="IGK914" s="1091"/>
      <c r="IGL914" s="1091"/>
      <c r="IGM914" s="1091"/>
      <c r="IGN914" s="1091"/>
      <c r="IGO914" s="1091"/>
      <c r="IGP914" s="1091"/>
      <c r="IGQ914" s="1091"/>
      <c r="IGR914" s="1091"/>
      <c r="IGS914" s="1091"/>
      <c r="IGT914" s="1091"/>
      <c r="IGU914" s="1091"/>
      <c r="IGV914" s="1091"/>
      <c r="IGW914" s="1091"/>
      <c r="IGX914" s="1091"/>
      <c r="IGY914" s="1091"/>
      <c r="IGZ914" s="1091"/>
      <c r="IHA914" s="1091"/>
      <c r="IHB914" s="1091"/>
      <c r="IHC914" s="1091"/>
      <c r="IHD914" s="1091"/>
      <c r="IHE914" s="1091"/>
      <c r="IHF914" s="1091"/>
      <c r="IHG914" s="1091"/>
      <c r="IHH914" s="1091"/>
      <c r="IHI914" s="1091"/>
      <c r="IHJ914" s="1091"/>
      <c r="IHK914" s="1091"/>
      <c r="IHL914" s="1091"/>
      <c r="IHM914" s="1091"/>
      <c r="IHN914" s="1091"/>
      <c r="IHO914" s="1091"/>
      <c r="IHP914" s="1091"/>
      <c r="IHQ914" s="1091"/>
      <c r="IHR914" s="1091"/>
      <c r="IHS914" s="1091"/>
      <c r="IHT914" s="1091"/>
      <c r="IHU914" s="1091"/>
      <c r="IHV914" s="1091"/>
      <c r="IHW914" s="1091"/>
      <c r="IHX914" s="1091"/>
      <c r="IHY914" s="1091"/>
      <c r="IHZ914" s="1091"/>
      <c r="IIA914" s="1091"/>
      <c r="IIB914" s="1091"/>
      <c r="IIC914" s="1091"/>
      <c r="IID914" s="1091"/>
      <c r="IIE914" s="1091"/>
      <c r="IIF914" s="1091"/>
      <c r="IIG914" s="1091"/>
      <c r="IIH914" s="1091"/>
      <c r="III914" s="1091"/>
      <c r="IIJ914" s="1091"/>
      <c r="IIK914" s="1091"/>
      <c r="IIL914" s="1091"/>
      <c r="IIM914" s="1091"/>
      <c r="IIN914" s="1091"/>
      <c r="IIO914" s="1091"/>
      <c r="IIP914" s="1091"/>
      <c r="IIQ914" s="1091"/>
      <c r="IIR914" s="1091"/>
      <c r="IIS914" s="1091"/>
      <c r="IIT914" s="1091"/>
      <c r="IIU914" s="1091"/>
      <c r="IIV914" s="1091"/>
      <c r="IIW914" s="1091"/>
      <c r="IIX914" s="1091"/>
      <c r="IIY914" s="1091"/>
      <c r="IIZ914" s="1091"/>
      <c r="IJA914" s="1091"/>
      <c r="IJB914" s="1091"/>
      <c r="IJC914" s="1091"/>
      <c r="IJD914" s="1091"/>
      <c r="IJE914" s="1091"/>
      <c r="IJF914" s="1091"/>
      <c r="IJG914" s="1091"/>
      <c r="IJH914" s="1091"/>
      <c r="IJI914" s="1091"/>
      <c r="IJJ914" s="1091"/>
      <c r="IJK914" s="1091"/>
      <c r="IJL914" s="1091"/>
      <c r="IJM914" s="1091"/>
      <c r="IJN914" s="1091"/>
      <c r="IJO914" s="1091"/>
      <c r="IJP914" s="1091"/>
      <c r="IJQ914" s="1091"/>
      <c r="IJR914" s="1091"/>
      <c r="IJS914" s="1091"/>
      <c r="IJT914" s="1091"/>
      <c r="IJU914" s="1091"/>
      <c r="IJV914" s="1091"/>
      <c r="IJW914" s="1091"/>
      <c r="IJX914" s="1091"/>
      <c r="IJY914" s="1091"/>
      <c r="IJZ914" s="1091"/>
      <c r="IKA914" s="1091"/>
      <c r="IKB914" s="1091"/>
      <c r="IKC914" s="1091"/>
      <c r="IKD914" s="1091"/>
      <c r="IKE914" s="1091"/>
      <c r="IKF914" s="1091"/>
      <c r="IKG914" s="1091"/>
      <c r="IKH914" s="1091"/>
      <c r="IKI914" s="1091"/>
      <c r="IKJ914" s="1091"/>
      <c r="IKK914" s="1091"/>
      <c r="IKL914" s="1091"/>
      <c r="IKM914" s="1091"/>
      <c r="IKN914" s="1091"/>
      <c r="IKO914" s="1091"/>
      <c r="IKP914" s="1091"/>
      <c r="IKQ914" s="1091"/>
      <c r="IKR914" s="1091"/>
      <c r="IKS914" s="1091"/>
      <c r="IKT914" s="1091"/>
      <c r="IKU914" s="1091"/>
      <c r="IKV914" s="1091"/>
      <c r="IKW914" s="1091"/>
      <c r="IKX914" s="1091"/>
      <c r="IKY914" s="1091"/>
      <c r="IKZ914" s="1091"/>
      <c r="ILA914" s="1091"/>
      <c r="ILB914" s="1091"/>
      <c r="ILC914" s="1091"/>
      <c r="ILD914" s="1091"/>
      <c r="ILE914" s="1091"/>
      <c r="ILF914" s="1091"/>
      <c r="ILG914" s="1091"/>
      <c r="ILH914" s="1091"/>
      <c r="ILI914" s="1091"/>
      <c r="ILJ914" s="1091"/>
      <c r="ILK914" s="1091"/>
      <c r="ILL914" s="1091"/>
      <c r="ILM914" s="1091"/>
      <c r="ILN914" s="1091"/>
      <c r="ILO914" s="1091"/>
      <c r="ILP914" s="1091"/>
      <c r="ILQ914" s="1091"/>
      <c r="ILR914" s="1091"/>
      <c r="ILS914" s="1091"/>
      <c r="ILT914" s="1091"/>
      <c r="ILU914" s="1091"/>
      <c r="ILV914" s="1091"/>
      <c r="ILW914" s="1091"/>
      <c r="ILX914" s="1091"/>
      <c r="ILY914" s="1091"/>
      <c r="ILZ914" s="1091"/>
      <c r="IMA914" s="1091"/>
      <c r="IMB914" s="1091"/>
      <c r="IMC914" s="1091"/>
      <c r="IMD914" s="1091"/>
      <c r="IME914" s="1091"/>
      <c r="IMF914" s="1091"/>
      <c r="IMG914" s="1091"/>
      <c r="IMH914" s="1091"/>
      <c r="IMI914" s="1091"/>
      <c r="IMJ914" s="1091"/>
      <c r="IMK914" s="1091"/>
      <c r="IML914" s="1091"/>
      <c r="IMM914" s="1091"/>
      <c r="IMN914" s="1091"/>
      <c r="IMO914" s="1091"/>
      <c r="IMP914" s="1091"/>
      <c r="IMQ914" s="1091"/>
      <c r="IMR914" s="1091"/>
      <c r="IMS914" s="1091"/>
      <c r="IMT914" s="1091"/>
      <c r="IMU914" s="1091"/>
      <c r="IMV914" s="1091"/>
      <c r="IMW914" s="1091"/>
      <c r="IMX914" s="1091"/>
      <c r="IMY914" s="1091"/>
      <c r="IMZ914" s="1091"/>
      <c r="INA914" s="1091"/>
      <c r="INB914" s="1091"/>
      <c r="INC914" s="1091"/>
      <c r="IND914" s="1091"/>
      <c r="INE914" s="1091"/>
      <c r="INF914" s="1091"/>
      <c r="ING914" s="1091"/>
      <c r="INH914" s="1091"/>
      <c r="INI914" s="1091"/>
      <c r="INJ914" s="1091"/>
      <c r="INK914" s="1091"/>
      <c r="INL914" s="1091"/>
      <c r="INM914" s="1091"/>
      <c r="INN914" s="1091"/>
      <c r="INO914" s="1091"/>
      <c r="INP914" s="1091"/>
      <c r="INQ914" s="1091"/>
      <c r="INR914" s="1091"/>
      <c r="INS914" s="1091"/>
      <c r="INT914" s="1091"/>
      <c r="INU914" s="1091"/>
      <c r="INV914" s="1091"/>
      <c r="INW914" s="1091"/>
      <c r="INX914" s="1091"/>
      <c r="INY914" s="1091"/>
      <c r="INZ914" s="1091"/>
      <c r="IOA914" s="1091"/>
      <c r="IOB914" s="1091"/>
      <c r="IOC914" s="1091"/>
      <c r="IOD914" s="1091"/>
      <c r="IOE914" s="1091"/>
      <c r="IOF914" s="1091"/>
      <c r="IOG914" s="1091"/>
      <c r="IOH914" s="1091"/>
      <c r="IOI914" s="1091"/>
      <c r="IOJ914" s="1091"/>
      <c r="IOK914" s="1091"/>
      <c r="IOL914" s="1091"/>
      <c r="IOM914" s="1091"/>
      <c r="ION914" s="1091"/>
      <c r="IOO914" s="1091"/>
      <c r="IOP914" s="1091"/>
      <c r="IOQ914" s="1091"/>
      <c r="IOR914" s="1091"/>
      <c r="IOS914" s="1091"/>
      <c r="IOT914" s="1091"/>
      <c r="IOU914" s="1091"/>
      <c r="IOV914" s="1091"/>
      <c r="IOW914" s="1091"/>
      <c r="IOX914" s="1091"/>
      <c r="IOY914" s="1091"/>
      <c r="IOZ914" s="1091"/>
      <c r="IPA914" s="1091"/>
      <c r="IPB914" s="1091"/>
      <c r="IPC914" s="1091"/>
      <c r="IPD914" s="1091"/>
      <c r="IPE914" s="1091"/>
      <c r="IPF914" s="1091"/>
      <c r="IPG914" s="1091"/>
      <c r="IPH914" s="1091"/>
      <c r="IPI914" s="1091"/>
      <c r="IPJ914" s="1091"/>
      <c r="IPK914" s="1091"/>
      <c r="IPL914" s="1091"/>
      <c r="IPM914" s="1091"/>
      <c r="IPN914" s="1091"/>
      <c r="IPO914" s="1091"/>
      <c r="IPP914" s="1091"/>
      <c r="IPQ914" s="1091"/>
      <c r="IPR914" s="1091"/>
      <c r="IPS914" s="1091"/>
      <c r="IPT914" s="1091"/>
      <c r="IPU914" s="1091"/>
      <c r="IPV914" s="1091"/>
      <c r="IPW914" s="1091"/>
      <c r="IPX914" s="1091"/>
      <c r="IPY914" s="1091"/>
      <c r="IPZ914" s="1091"/>
      <c r="IQA914" s="1091"/>
      <c r="IQB914" s="1091"/>
      <c r="IQC914" s="1091"/>
      <c r="IQD914" s="1091"/>
      <c r="IQE914" s="1091"/>
      <c r="IQF914" s="1091"/>
      <c r="IQG914" s="1091"/>
      <c r="IQH914" s="1091"/>
      <c r="IQI914" s="1091"/>
      <c r="IQJ914" s="1091"/>
      <c r="IQK914" s="1091"/>
      <c r="IQL914" s="1091"/>
      <c r="IQM914" s="1091"/>
      <c r="IQN914" s="1091"/>
      <c r="IQO914" s="1091"/>
      <c r="IQP914" s="1091"/>
      <c r="IQQ914" s="1091"/>
      <c r="IQR914" s="1091"/>
      <c r="IQS914" s="1091"/>
      <c r="IQT914" s="1091"/>
      <c r="IQU914" s="1091"/>
      <c r="IQV914" s="1091"/>
      <c r="IQW914" s="1091"/>
      <c r="IQX914" s="1091"/>
      <c r="IQY914" s="1091"/>
      <c r="IQZ914" s="1091"/>
      <c r="IRA914" s="1091"/>
      <c r="IRB914" s="1091"/>
      <c r="IRC914" s="1091"/>
      <c r="IRD914" s="1091"/>
      <c r="IRE914" s="1091"/>
      <c r="IRF914" s="1091"/>
      <c r="IRG914" s="1091"/>
      <c r="IRH914" s="1091"/>
      <c r="IRI914" s="1091"/>
      <c r="IRJ914" s="1091"/>
      <c r="IRK914" s="1091"/>
      <c r="IRL914" s="1091"/>
      <c r="IRM914" s="1091"/>
      <c r="IRN914" s="1091"/>
      <c r="IRO914" s="1091"/>
      <c r="IRP914" s="1091"/>
      <c r="IRQ914" s="1091"/>
      <c r="IRR914" s="1091"/>
      <c r="IRS914" s="1091"/>
      <c r="IRT914" s="1091"/>
      <c r="IRU914" s="1091"/>
      <c r="IRV914" s="1091"/>
      <c r="IRW914" s="1091"/>
      <c r="IRX914" s="1091"/>
      <c r="IRY914" s="1091"/>
      <c r="IRZ914" s="1091"/>
      <c r="ISA914" s="1091"/>
      <c r="ISB914" s="1091"/>
      <c r="ISC914" s="1091"/>
      <c r="ISD914" s="1091"/>
      <c r="ISE914" s="1091"/>
      <c r="ISF914" s="1091"/>
      <c r="ISG914" s="1091"/>
      <c r="ISH914" s="1091"/>
      <c r="ISI914" s="1091"/>
      <c r="ISJ914" s="1091"/>
      <c r="ISK914" s="1091"/>
      <c r="ISL914" s="1091"/>
      <c r="ISM914" s="1091"/>
      <c r="ISN914" s="1091"/>
      <c r="ISO914" s="1091"/>
      <c r="ISP914" s="1091"/>
      <c r="ISQ914" s="1091"/>
      <c r="ISR914" s="1091"/>
      <c r="ISS914" s="1091"/>
      <c r="IST914" s="1091"/>
      <c r="ISU914" s="1091"/>
      <c r="ISV914" s="1091"/>
      <c r="ISW914" s="1091"/>
      <c r="ISX914" s="1091"/>
      <c r="ISY914" s="1091"/>
      <c r="ISZ914" s="1091"/>
      <c r="ITA914" s="1091"/>
      <c r="ITB914" s="1091"/>
      <c r="ITC914" s="1091"/>
      <c r="ITD914" s="1091"/>
      <c r="ITE914" s="1091"/>
      <c r="ITF914" s="1091"/>
      <c r="ITG914" s="1091"/>
      <c r="ITH914" s="1091"/>
      <c r="ITI914" s="1091"/>
      <c r="ITJ914" s="1091"/>
      <c r="ITK914" s="1091"/>
      <c r="ITL914" s="1091"/>
      <c r="ITM914" s="1091"/>
      <c r="ITN914" s="1091"/>
      <c r="ITO914" s="1091"/>
      <c r="ITP914" s="1091"/>
      <c r="ITQ914" s="1091"/>
      <c r="ITR914" s="1091"/>
      <c r="ITS914" s="1091"/>
      <c r="ITT914" s="1091"/>
      <c r="ITU914" s="1091"/>
      <c r="ITV914" s="1091"/>
      <c r="ITW914" s="1091"/>
      <c r="ITX914" s="1091"/>
      <c r="ITY914" s="1091"/>
      <c r="ITZ914" s="1091"/>
      <c r="IUA914" s="1091"/>
      <c r="IUB914" s="1091"/>
      <c r="IUC914" s="1091"/>
      <c r="IUD914" s="1091"/>
      <c r="IUE914" s="1091"/>
      <c r="IUF914" s="1091"/>
      <c r="IUG914" s="1091"/>
      <c r="IUH914" s="1091"/>
      <c r="IUI914" s="1091"/>
      <c r="IUJ914" s="1091"/>
      <c r="IUK914" s="1091"/>
      <c r="IUL914" s="1091"/>
      <c r="IUM914" s="1091"/>
      <c r="IUN914" s="1091"/>
      <c r="IUO914" s="1091"/>
      <c r="IUP914" s="1091"/>
      <c r="IUQ914" s="1091"/>
      <c r="IUR914" s="1091"/>
      <c r="IUS914" s="1091"/>
      <c r="IUT914" s="1091"/>
      <c r="IUU914" s="1091"/>
      <c r="IUV914" s="1091"/>
      <c r="IUW914" s="1091"/>
      <c r="IUX914" s="1091"/>
      <c r="IUY914" s="1091"/>
      <c r="IUZ914" s="1091"/>
      <c r="IVA914" s="1091"/>
      <c r="IVB914" s="1091"/>
      <c r="IVC914" s="1091"/>
      <c r="IVD914" s="1091"/>
      <c r="IVE914" s="1091"/>
      <c r="IVF914" s="1091"/>
      <c r="IVG914" s="1091"/>
      <c r="IVH914" s="1091"/>
      <c r="IVI914" s="1091"/>
      <c r="IVJ914" s="1091"/>
      <c r="IVK914" s="1091"/>
      <c r="IVL914" s="1091"/>
      <c r="IVM914" s="1091"/>
      <c r="IVN914" s="1091"/>
      <c r="IVO914" s="1091"/>
      <c r="IVP914" s="1091"/>
      <c r="IVQ914" s="1091"/>
      <c r="IVR914" s="1091"/>
      <c r="IVS914" s="1091"/>
      <c r="IVT914" s="1091"/>
      <c r="IVU914" s="1091"/>
      <c r="IVV914" s="1091"/>
      <c r="IVW914" s="1091"/>
      <c r="IVX914" s="1091"/>
      <c r="IVY914" s="1091"/>
      <c r="IVZ914" s="1091"/>
      <c r="IWA914" s="1091"/>
      <c r="IWB914" s="1091"/>
      <c r="IWC914" s="1091"/>
      <c r="IWD914" s="1091"/>
      <c r="IWE914" s="1091"/>
      <c r="IWF914" s="1091"/>
      <c r="IWG914" s="1091"/>
      <c r="IWH914" s="1091"/>
      <c r="IWI914" s="1091"/>
      <c r="IWJ914" s="1091"/>
      <c r="IWK914" s="1091"/>
      <c r="IWL914" s="1091"/>
      <c r="IWM914" s="1091"/>
      <c r="IWN914" s="1091"/>
      <c r="IWO914" s="1091"/>
      <c r="IWP914" s="1091"/>
      <c r="IWQ914" s="1091"/>
      <c r="IWR914" s="1091"/>
      <c r="IWS914" s="1091"/>
      <c r="IWT914" s="1091"/>
      <c r="IWU914" s="1091"/>
      <c r="IWV914" s="1091"/>
      <c r="IWW914" s="1091"/>
      <c r="IWX914" s="1091"/>
      <c r="IWY914" s="1091"/>
      <c r="IWZ914" s="1091"/>
      <c r="IXA914" s="1091"/>
      <c r="IXB914" s="1091"/>
      <c r="IXC914" s="1091"/>
      <c r="IXD914" s="1091"/>
      <c r="IXE914" s="1091"/>
      <c r="IXF914" s="1091"/>
      <c r="IXG914" s="1091"/>
      <c r="IXH914" s="1091"/>
      <c r="IXI914" s="1091"/>
      <c r="IXJ914" s="1091"/>
      <c r="IXK914" s="1091"/>
      <c r="IXL914" s="1091"/>
      <c r="IXM914" s="1091"/>
      <c r="IXN914" s="1091"/>
      <c r="IXO914" s="1091"/>
      <c r="IXP914" s="1091"/>
      <c r="IXQ914" s="1091"/>
      <c r="IXR914" s="1091"/>
      <c r="IXS914" s="1091"/>
      <c r="IXT914" s="1091"/>
      <c r="IXU914" s="1091"/>
      <c r="IXV914" s="1091"/>
      <c r="IXW914" s="1091"/>
      <c r="IXX914" s="1091"/>
      <c r="IXY914" s="1091"/>
      <c r="IXZ914" s="1091"/>
      <c r="IYA914" s="1091"/>
      <c r="IYB914" s="1091"/>
      <c r="IYC914" s="1091"/>
      <c r="IYD914" s="1091"/>
      <c r="IYE914" s="1091"/>
      <c r="IYF914" s="1091"/>
      <c r="IYG914" s="1091"/>
      <c r="IYH914" s="1091"/>
      <c r="IYI914" s="1091"/>
      <c r="IYJ914" s="1091"/>
      <c r="IYK914" s="1091"/>
      <c r="IYL914" s="1091"/>
      <c r="IYM914" s="1091"/>
      <c r="IYN914" s="1091"/>
      <c r="IYO914" s="1091"/>
      <c r="IYP914" s="1091"/>
      <c r="IYQ914" s="1091"/>
      <c r="IYR914" s="1091"/>
      <c r="IYS914" s="1091"/>
      <c r="IYT914" s="1091"/>
      <c r="IYU914" s="1091"/>
      <c r="IYV914" s="1091"/>
      <c r="IYW914" s="1091"/>
      <c r="IYX914" s="1091"/>
      <c r="IYY914" s="1091"/>
      <c r="IYZ914" s="1091"/>
      <c r="IZA914" s="1091"/>
      <c r="IZB914" s="1091"/>
      <c r="IZC914" s="1091"/>
      <c r="IZD914" s="1091"/>
      <c r="IZE914" s="1091"/>
      <c r="IZF914" s="1091"/>
      <c r="IZG914" s="1091"/>
      <c r="IZH914" s="1091"/>
      <c r="IZI914" s="1091"/>
      <c r="IZJ914" s="1091"/>
      <c r="IZK914" s="1091"/>
      <c r="IZL914" s="1091"/>
      <c r="IZM914" s="1091"/>
      <c r="IZN914" s="1091"/>
      <c r="IZO914" s="1091"/>
      <c r="IZP914" s="1091"/>
      <c r="IZQ914" s="1091"/>
      <c r="IZR914" s="1091"/>
      <c r="IZS914" s="1091"/>
      <c r="IZT914" s="1091"/>
      <c r="IZU914" s="1091"/>
      <c r="IZV914" s="1091"/>
      <c r="IZW914" s="1091"/>
      <c r="IZX914" s="1091"/>
      <c r="IZY914" s="1091"/>
      <c r="IZZ914" s="1091"/>
      <c r="JAA914" s="1091"/>
      <c r="JAB914" s="1091"/>
      <c r="JAC914" s="1091"/>
      <c r="JAD914" s="1091"/>
      <c r="JAE914" s="1091"/>
      <c r="JAF914" s="1091"/>
      <c r="JAG914" s="1091"/>
      <c r="JAH914" s="1091"/>
      <c r="JAI914" s="1091"/>
      <c r="JAJ914" s="1091"/>
      <c r="JAK914" s="1091"/>
      <c r="JAL914" s="1091"/>
      <c r="JAM914" s="1091"/>
      <c r="JAN914" s="1091"/>
      <c r="JAO914" s="1091"/>
      <c r="JAP914" s="1091"/>
      <c r="JAQ914" s="1091"/>
      <c r="JAR914" s="1091"/>
      <c r="JAS914" s="1091"/>
      <c r="JAT914" s="1091"/>
      <c r="JAU914" s="1091"/>
      <c r="JAV914" s="1091"/>
      <c r="JAW914" s="1091"/>
      <c r="JAX914" s="1091"/>
      <c r="JAY914" s="1091"/>
      <c r="JAZ914" s="1091"/>
      <c r="JBA914" s="1091"/>
      <c r="JBB914" s="1091"/>
      <c r="JBC914" s="1091"/>
      <c r="JBD914" s="1091"/>
      <c r="JBE914" s="1091"/>
      <c r="JBF914" s="1091"/>
      <c r="JBG914" s="1091"/>
      <c r="JBH914" s="1091"/>
      <c r="JBI914" s="1091"/>
      <c r="JBJ914" s="1091"/>
      <c r="JBK914" s="1091"/>
      <c r="JBL914" s="1091"/>
      <c r="JBM914" s="1091"/>
      <c r="JBN914" s="1091"/>
      <c r="JBO914" s="1091"/>
      <c r="JBP914" s="1091"/>
      <c r="JBQ914" s="1091"/>
      <c r="JBR914" s="1091"/>
      <c r="JBS914" s="1091"/>
      <c r="JBT914" s="1091"/>
      <c r="JBU914" s="1091"/>
      <c r="JBV914" s="1091"/>
      <c r="JBW914" s="1091"/>
      <c r="JBX914" s="1091"/>
      <c r="JBY914" s="1091"/>
      <c r="JBZ914" s="1091"/>
      <c r="JCA914" s="1091"/>
      <c r="JCB914" s="1091"/>
      <c r="JCC914" s="1091"/>
      <c r="JCD914" s="1091"/>
      <c r="JCE914" s="1091"/>
      <c r="JCF914" s="1091"/>
      <c r="JCG914" s="1091"/>
      <c r="JCH914" s="1091"/>
      <c r="JCI914" s="1091"/>
      <c r="JCJ914" s="1091"/>
      <c r="JCK914" s="1091"/>
      <c r="JCL914" s="1091"/>
      <c r="JCM914" s="1091"/>
      <c r="JCN914" s="1091"/>
      <c r="JCO914" s="1091"/>
      <c r="JCP914" s="1091"/>
      <c r="JCQ914" s="1091"/>
      <c r="JCR914" s="1091"/>
      <c r="JCS914" s="1091"/>
      <c r="JCT914" s="1091"/>
      <c r="JCU914" s="1091"/>
      <c r="JCV914" s="1091"/>
      <c r="JCW914" s="1091"/>
      <c r="JCX914" s="1091"/>
      <c r="JCY914" s="1091"/>
      <c r="JCZ914" s="1091"/>
      <c r="JDA914" s="1091"/>
      <c r="JDB914" s="1091"/>
      <c r="JDC914" s="1091"/>
      <c r="JDD914" s="1091"/>
      <c r="JDE914" s="1091"/>
      <c r="JDF914" s="1091"/>
      <c r="JDG914" s="1091"/>
      <c r="JDH914" s="1091"/>
      <c r="JDI914" s="1091"/>
      <c r="JDJ914" s="1091"/>
      <c r="JDK914" s="1091"/>
      <c r="JDL914" s="1091"/>
      <c r="JDM914" s="1091"/>
      <c r="JDN914" s="1091"/>
      <c r="JDO914" s="1091"/>
      <c r="JDP914" s="1091"/>
      <c r="JDQ914" s="1091"/>
      <c r="JDR914" s="1091"/>
      <c r="JDS914" s="1091"/>
      <c r="JDT914" s="1091"/>
      <c r="JDU914" s="1091"/>
      <c r="JDV914" s="1091"/>
      <c r="JDW914" s="1091"/>
      <c r="JDX914" s="1091"/>
      <c r="JDY914" s="1091"/>
      <c r="JDZ914" s="1091"/>
      <c r="JEA914" s="1091"/>
      <c r="JEB914" s="1091"/>
      <c r="JEC914" s="1091"/>
      <c r="JED914" s="1091"/>
      <c r="JEE914" s="1091"/>
      <c r="JEF914" s="1091"/>
      <c r="JEG914" s="1091"/>
      <c r="JEH914" s="1091"/>
      <c r="JEI914" s="1091"/>
      <c r="JEJ914" s="1091"/>
      <c r="JEK914" s="1091"/>
      <c r="JEL914" s="1091"/>
      <c r="JEM914" s="1091"/>
      <c r="JEN914" s="1091"/>
      <c r="JEO914" s="1091"/>
      <c r="JEP914" s="1091"/>
      <c r="JEQ914" s="1091"/>
      <c r="JER914" s="1091"/>
      <c r="JES914" s="1091"/>
      <c r="JET914" s="1091"/>
      <c r="JEU914" s="1091"/>
      <c r="JEV914" s="1091"/>
      <c r="JEW914" s="1091"/>
      <c r="JEX914" s="1091"/>
      <c r="JEY914" s="1091"/>
      <c r="JEZ914" s="1091"/>
      <c r="JFA914" s="1091"/>
      <c r="JFB914" s="1091"/>
      <c r="JFC914" s="1091"/>
      <c r="JFD914" s="1091"/>
      <c r="JFE914" s="1091"/>
      <c r="JFF914" s="1091"/>
      <c r="JFG914" s="1091"/>
      <c r="JFH914" s="1091"/>
      <c r="JFI914" s="1091"/>
      <c r="JFJ914" s="1091"/>
      <c r="JFK914" s="1091"/>
      <c r="JFL914" s="1091"/>
      <c r="JFM914" s="1091"/>
      <c r="JFN914" s="1091"/>
      <c r="JFO914" s="1091"/>
      <c r="JFP914" s="1091"/>
      <c r="JFQ914" s="1091"/>
      <c r="JFR914" s="1091"/>
      <c r="JFS914" s="1091"/>
      <c r="JFT914" s="1091"/>
      <c r="JFU914" s="1091"/>
      <c r="JFV914" s="1091"/>
      <c r="JFW914" s="1091"/>
      <c r="JFX914" s="1091"/>
      <c r="JFY914" s="1091"/>
      <c r="JFZ914" s="1091"/>
      <c r="JGA914" s="1091"/>
      <c r="JGB914" s="1091"/>
      <c r="JGC914" s="1091"/>
      <c r="JGD914" s="1091"/>
      <c r="JGE914" s="1091"/>
      <c r="JGF914" s="1091"/>
      <c r="JGG914" s="1091"/>
      <c r="JGH914" s="1091"/>
      <c r="JGI914" s="1091"/>
      <c r="JGJ914" s="1091"/>
      <c r="JGK914" s="1091"/>
      <c r="JGL914" s="1091"/>
      <c r="JGM914" s="1091"/>
      <c r="JGN914" s="1091"/>
      <c r="JGO914" s="1091"/>
      <c r="JGP914" s="1091"/>
      <c r="JGQ914" s="1091"/>
      <c r="JGR914" s="1091"/>
      <c r="JGS914" s="1091"/>
      <c r="JGT914" s="1091"/>
      <c r="JGU914" s="1091"/>
      <c r="JGV914" s="1091"/>
      <c r="JGW914" s="1091"/>
      <c r="JGX914" s="1091"/>
      <c r="JGY914" s="1091"/>
      <c r="JGZ914" s="1091"/>
      <c r="JHA914" s="1091"/>
      <c r="JHB914" s="1091"/>
      <c r="JHC914" s="1091"/>
      <c r="JHD914" s="1091"/>
      <c r="JHE914" s="1091"/>
      <c r="JHF914" s="1091"/>
      <c r="JHG914" s="1091"/>
      <c r="JHH914" s="1091"/>
      <c r="JHI914" s="1091"/>
      <c r="JHJ914" s="1091"/>
      <c r="JHK914" s="1091"/>
      <c r="JHL914" s="1091"/>
      <c r="JHM914" s="1091"/>
      <c r="JHN914" s="1091"/>
      <c r="JHO914" s="1091"/>
      <c r="JHP914" s="1091"/>
      <c r="JHQ914" s="1091"/>
      <c r="JHR914" s="1091"/>
      <c r="JHS914" s="1091"/>
      <c r="JHT914" s="1091"/>
      <c r="JHU914" s="1091"/>
      <c r="JHV914" s="1091"/>
      <c r="JHW914" s="1091"/>
      <c r="JHX914" s="1091"/>
      <c r="JHY914" s="1091"/>
      <c r="JHZ914" s="1091"/>
      <c r="JIA914" s="1091"/>
      <c r="JIB914" s="1091"/>
      <c r="JIC914" s="1091"/>
      <c r="JID914" s="1091"/>
      <c r="JIE914" s="1091"/>
      <c r="JIF914" s="1091"/>
      <c r="JIG914" s="1091"/>
      <c r="JIH914" s="1091"/>
      <c r="JII914" s="1091"/>
      <c r="JIJ914" s="1091"/>
      <c r="JIK914" s="1091"/>
      <c r="JIL914" s="1091"/>
      <c r="JIM914" s="1091"/>
      <c r="JIN914" s="1091"/>
      <c r="JIO914" s="1091"/>
      <c r="JIP914" s="1091"/>
      <c r="JIQ914" s="1091"/>
      <c r="JIR914" s="1091"/>
      <c r="JIS914" s="1091"/>
      <c r="JIT914" s="1091"/>
      <c r="JIU914" s="1091"/>
      <c r="JIV914" s="1091"/>
      <c r="JIW914" s="1091"/>
      <c r="JIX914" s="1091"/>
      <c r="JIY914" s="1091"/>
      <c r="JIZ914" s="1091"/>
      <c r="JJA914" s="1091"/>
      <c r="JJB914" s="1091"/>
      <c r="JJC914" s="1091"/>
      <c r="JJD914" s="1091"/>
      <c r="JJE914" s="1091"/>
      <c r="JJF914" s="1091"/>
      <c r="JJG914" s="1091"/>
      <c r="JJH914" s="1091"/>
      <c r="JJI914" s="1091"/>
      <c r="JJJ914" s="1091"/>
      <c r="JJK914" s="1091"/>
      <c r="JJL914" s="1091"/>
      <c r="JJM914" s="1091"/>
      <c r="JJN914" s="1091"/>
      <c r="JJO914" s="1091"/>
      <c r="JJP914" s="1091"/>
      <c r="JJQ914" s="1091"/>
      <c r="JJR914" s="1091"/>
      <c r="JJS914" s="1091"/>
      <c r="JJT914" s="1091"/>
      <c r="JJU914" s="1091"/>
      <c r="JJV914" s="1091"/>
      <c r="JJW914" s="1091"/>
      <c r="JJX914" s="1091"/>
      <c r="JJY914" s="1091"/>
      <c r="JJZ914" s="1091"/>
      <c r="JKA914" s="1091"/>
      <c r="JKB914" s="1091"/>
      <c r="JKC914" s="1091"/>
      <c r="JKD914" s="1091"/>
      <c r="JKE914" s="1091"/>
      <c r="JKF914" s="1091"/>
      <c r="JKG914" s="1091"/>
      <c r="JKH914" s="1091"/>
      <c r="JKI914" s="1091"/>
      <c r="JKJ914" s="1091"/>
      <c r="JKK914" s="1091"/>
      <c r="JKL914" s="1091"/>
      <c r="JKM914" s="1091"/>
      <c r="JKN914" s="1091"/>
      <c r="JKO914" s="1091"/>
      <c r="JKP914" s="1091"/>
      <c r="JKQ914" s="1091"/>
      <c r="JKR914" s="1091"/>
      <c r="JKS914" s="1091"/>
      <c r="JKT914" s="1091"/>
      <c r="JKU914" s="1091"/>
      <c r="JKV914" s="1091"/>
      <c r="JKW914" s="1091"/>
      <c r="JKX914" s="1091"/>
      <c r="JKY914" s="1091"/>
      <c r="JKZ914" s="1091"/>
      <c r="JLA914" s="1091"/>
      <c r="JLB914" s="1091"/>
      <c r="JLC914" s="1091"/>
      <c r="JLD914" s="1091"/>
      <c r="JLE914" s="1091"/>
      <c r="JLF914" s="1091"/>
      <c r="JLG914" s="1091"/>
      <c r="JLH914" s="1091"/>
      <c r="JLI914" s="1091"/>
      <c r="JLJ914" s="1091"/>
      <c r="JLK914" s="1091"/>
      <c r="JLL914" s="1091"/>
      <c r="JLM914" s="1091"/>
      <c r="JLN914" s="1091"/>
      <c r="JLO914" s="1091"/>
      <c r="JLP914" s="1091"/>
      <c r="JLQ914" s="1091"/>
      <c r="JLR914" s="1091"/>
      <c r="JLS914" s="1091"/>
      <c r="JLT914" s="1091"/>
      <c r="JLU914" s="1091"/>
      <c r="JLV914" s="1091"/>
      <c r="JLW914" s="1091"/>
      <c r="JLX914" s="1091"/>
      <c r="JLY914" s="1091"/>
      <c r="JLZ914" s="1091"/>
      <c r="JMA914" s="1091"/>
      <c r="JMB914" s="1091"/>
      <c r="JMC914" s="1091"/>
      <c r="JMD914" s="1091"/>
      <c r="JME914" s="1091"/>
      <c r="JMF914" s="1091"/>
      <c r="JMG914" s="1091"/>
      <c r="JMH914" s="1091"/>
      <c r="JMI914" s="1091"/>
      <c r="JMJ914" s="1091"/>
      <c r="JMK914" s="1091"/>
      <c r="JML914" s="1091"/>
      <c r="JMM914" s="1091"/>
      <c r="JMN914" s="1091"/>
      <c r="JMO914" s="1091"/>
      <c r="JMP914" s="1091"/>
      <c r="JMQ914" s="1091"/>
      <c r="JMR914" s="1091"/>
      <c r="JMS914" s="1091"/>
      <c r="JMT914" s="1091"/>
      <c r="JMU914" s="1091"/>
      <c r="JMV914" s="1091"/>
      <c r="JMW914" s="1091"/>
      <c r="JMX914" s="1091"/>
      <c r="JMY914" s="1091"/>
      <c r="JMZ914" s="1091"/>
      <c r="JNA914" s="1091"/>
      <c r="JNB914" s="1091"/>
      <c r="JNC914" s="1091"/>
      <c r="JND914" s="1091"/>
      <c r="JNE914" s="1091"/>
      <c r="JNF914" s="1091"/>
      <c r="JNG914" s="1091"/>
      <c r="JNH914" s="1091"/>
      <c r="JNI914" s="1091"/>
      <c r="JNJ914" s="1091"/>
      <c r="JNK914" s="1091"/>
      <c r="JNL914" s="1091"/>
      <c r="JNM914" s="1091"/>
      <c r="JNN914" s="1091"/>
      <c r="JNO914" s="1091"/>
      <c r="JNP914" s="1091"/>
      <c r="JNQ914" s="1091"/>
      <c r="JNR914" s="1091"/>
      <c r="JNS914" s="1091"/>
      <c r="JNT914" s="1091"/>
      <c r="JNU914" s="1091"/>
      <c r="JNV914" s="1091"/>
      <c r="JNW914" s="1091"/>
      <c r="JNX914" s="1091"/>
      <c r="JNY914" s="1091"/>
      <c r="JNZ914" s="1091"/>
      <c r="JOA914" s="1091"/>
      <c r="JOB914" s="1091"/>
      <c r="JOC914" s="1091"/>
      <c r="JOD914" s="1091"/>
      <c r="JOE914" s="1091"/>
      <c r="JOF914" s="1091"/>
      <c r="JOG914" s="1091"/>
      <c r="JOH914" s="1091"/>
      <c r="JOI914" s="1091"/>
      <c r="JOJ914" s="1091"/>
      <c r="JOK914" s="1091"/>
      <c r="JOL914" s="1091"/>
      <c r="JOM914" s="1091"/>
      <c r="JON914" s="1091"/>
      <c r="JOO914" s="1091"/>
      <c r="JOP914" s="1091"/>
      <c r="JOQ914" s="1091"/>
      <c r="JOR914" s="1091"/>
      <c r="JOS914" s="1091"/>
      <c r="JOT914" s="1091"/>
      <c r="JOU914" s="1091"/>
      <c r="JOV914" s="1091"/>
      <c r="JOW914" s="1091"/>
      <c r="JOX914" s="1091"/>
      <c r="JOY914" s="1091"/>
      <c r="JOZ914" s="1091"/>
      <c r="JPA914" s="1091"/>
      <c r="JPB914" s="1091"/>
      <c r="JPC914" s="1091"/>
      <c r="JPD914" s="1091"/>
      <c r="JPE914" s="1091"/>
      <c r="JPF914" s="1091"/>
      <c r="JPG914" s="1091"/>
      <c r="JPH914" s="1091"/>
      <c r="JPI914" s="1091"/>
      <c r="JPJ914" s="1091"/>
      <c r="JPK914" s="1091"/>
      <c r="JPL914" s="1091"/>
      <c r="JPM914" s="1091"/>
      <c r="JPN914" s="1091"/>
      <c r="JPO914" s="1091"/>
      <c r="JPP914" s="1091"/>
      <c r="JPQ914" s="1091"/>
      <c r="JPR914" s="1091"/>
      <c r="JPS914" s="1091"/>
      <c r="JPT914" s="1091"/>
      <c r="JPU914" s="1091"/>
      <c r="JPV914" s="1091"/>
      <c r="JPW914" s="1091"/>
      <c r="JPX914" s="1091"/>
      <c r="JPY914" s="1091"/>
      <c r="JPZ914" s="1091"/>
      <c r="JQA914" s="1091"/>
      <c r="JQB914" s="1091"/>
      <c r="JQC914" s="1091"/>
      <c r="JQD914" s="1091"/>
      <c r="JQE914" s="1091"/>
      <c r="JQF914" s="1091"/>
      <c r="JQG914" s="1091"/>
      <c r="JQH914" s="1091"/>
      <c r="JQI914" s="1091"/>
      <c r="JQJ914" s="1091"/>
      <c r="JQK914" s="1091"/>
      <c r="JQL914" s="1091"/>
      <c r="JQM914" s="1091"/>
      <c r="JQN914" s="1091"/>
      <c r="JQO914" s="1091"/>
      <c r="JQP914" s="1091"/>
      <c r="JQQ914" s="1091"/>
      <c r="JQR914" s="1091"/>
      <c r="JQS914" s="1091"/>
      <c r="JQT914" s="1091"/>
      <c r="JQU914" s="1091"/>
      <c r="JQV914" s="1091"/>
      <c r="JQW914" s="1091"/>
      <c r="JQX914" s="1091"/>
      <c r="JQY914" s="1091"/>
      <c r="JQZ914" s="1091"/>
      <c r="JRA914" s="1091"/>
      <c r="JRB914" s="1091"/>
      <c r="JRC914" s="1091"/>
      <c r="JRD914" s="1091"/>
      <c r="JRE914" s="1091"/>
      <c r="JRF914" s="1091"/>
      <c r="JRG914" s="1091"/>
      <c r="JRH914" s="1091"/>
      <c r="JRI914" s="1091"/>
      <c r="JRJ914" s="1091"/>
      <c r="JRK914" s="1091"/>
      <c r="JRL914" s="1091"/>
      <c r="JRM914" s="1091"/>
      <c r="JRN914" s="1091"/>
      <c r="JRO914" s="1091"/>
      <c r="JRP914" s="1091"/>
      <c r="JRQ914" s="1091"/>
      <c r="JRR914" s="1091"/>
      <c r="JRS914" s="1091"/>
      <c r="JRT914" s="1091"/>
      <c r="JRU914" s="1091"/>
      <c r="JRV914" s="1091"/>
      <c r="JRW914" s="1091"/>
      <c r="JRX914" s="1091"/>
      <c r="JRY914" s="1091"/>
      <c r="JRZ914" s="1091"/>
      <c r="JSA914" s="1091"/>
      <c r="JSB914" s="1091"/>
      <c r="JSC914" s="1091"/>
      <c r="JSD914" s="1091"/>
      <c r="JSE914" s="1091"/>
      <c r="JSF914" s="1091"/>
      <c r="JSG914" s="1091"/>
      <c r="JSH914" s="1091"/>
      <c r="JSI914" s="1091"/>
      <c r="JSJ914" s="1091"/>
      <c r="JSK914" s="1091"/>
      <c r="JSL914" s="1091"/>
      <c r="JSM914" s="1091"/>
      <c r="JSN914" s="1091"/>
      <c r="JSO914" s="1091"/>
      <c r="JSP914" s="1091"/>
      <c r="JSQ914" s="1091"/>
      <c r="JSR914" s="1091"/>
      <c r="JSS914" s="1091"/>
      <c r="JST914" s="1091"/>
      <c r="JSU914" s="1091"/>
      <c r="JSV914" s="1091"/>
      <c r="JSW914" s="1091"/>
      <c r="JSX914" s="1091"/>
      <c r="JSY914" s="1091"/>
      <c r="JSZ914" s="1091"/>
      <c r="JTA914" s="1091"/>
      <c r="JTB914" s="1091"/>
      <c r="JTC914" s="1091"/>
      <c r="JTD914" s="1091"/>
      <c r="JTE914" s="1091"/>
      <c r="JTF914" s="1091"/>
      <c r="JTG914" s="1091"/>
      <c r="JTH914" s="1091"/>
      <c r="JTI914" s="1091"/>
      <c r="JTJ914" s="1091"/>
      <c r="JTK914" s="1091"/>
      <c r="JTL914" s="1091"/>
      <c r="JTM914" s="1091"/>
      <c r="JTN914" s="1091"/>
      <c r="JTO914" s="1091"/>
      <c r="JTP914" s="1091"/>
      <c r="JTQ914" s="1091"/>
      <c r="JTR914" s="1091"/>
      <c r="JTS914" s="1091"/>
      <c r="JTT914" s="1091"/>
      <c r="JTU914" s="1091"/>
      <c r="JTV914" s="1091"/>
      <c r="JTW914" s="1091"/>
      <c r="JTX914" s="1091"/>
      <c r="JTY914" s="1091"/>
      <c r="JTZ914" s="1091"/>
      <c r="JUA914" s="1091"/>
      <c r="JUB914" s="1091"/>
      <c r="JUC914" s="1091"/>
      <c r="JUD914" s="1091"/>
      <c r="JUE914" s="1091"/>
      <c r="JUF914" s="1091"/>
      <c r="JUG914" s="1091"/>
      <c r="JUH914" s="1091"/>
      <c r="JUI914" s="1091"/>
      <c r="JUJ914" s="1091"/>
      <c r="JUK914" s="1091"/>
      <c r="JUL914" s="1091"/>
      <c r="JUM914" s="1091"/>
      <c r="JUN914" s="1091"/>
      <c r="JUO914" s="1091"/>
      <c r="JUP914" s="1091"/>
      <c r="JUQ914" s="1091"/>
      <c r="JUR914" s="1091"/>
      <c r="JUS914" s="1091"/>
      <c r="JUT914" s="1091"/>
      <c r="JUU914" s="1091"/>
      <c r="JUV914" s="1091"/>
      <c r="JUW914" s="1091"/>
      <c r="JUX914" s="1091"/>
      <c r="JUY914" s="1091"/>
      <c r="JUZ914" s="1091"/>
      <c r="JVA914" s="1091"/>
      <c r="JVB914" s="1091"/>
      <c r="JVC914" s="1091"/>
      <c r="JVD914" s="1091"/>
      <c r="JVE914" s="1091"/>
      <c r="JVF914" s="1091"/>
      <c r="JVG914" s="1091"/>
      <c r="JVH914" s="1091"/>
      <c r="JVI914" s="1091"/>
      <c r="JVJ914" s="1091"/>
      <c r="JVK914" s="1091"/>
      <c r="JVL914" s="1091"/>
      <c r="JVM914" s="1091"/>
      <c r="JVN914" s="1091"/>
      <c r="JVO914" s="1091"/>
      <c r="JVP914" s="1091"/>
      <c r="JVQ914" s="1091"/>
      <c r="JVR914" s="1091"/>
      <c r="JVS914" s="1091"/>
      <c r="JVT914" s="1091"/>
      <c r="JVU914" s="1091"/>
      <c r="JVV914" s="1091"/>
      <c r="JVW914" s="1091"/>
      <c r="JVX914" s="1091"/>
      <c r="JVY914" s="1091"/>
      <c r="JVZ914" s="1091"/>
      <c r="JWA914" s="1091"/>
      <c r="JWB914" s="1091"/>
      <c r="JWC914" s="1091"/>
      <c r="JWD914" s="1091"/>
      <c r="JWE914" s="1091"/>
      <c r="JWF914" s="1091"/>
      <c r="JWG914" s="1091"/>
      <c r="JWH914" s="1091"/>
      <c r="JWI914" s="1091"/>
      <c r="JWJ914" s="1091"/>
      <c r="JWK914" s="1091"/>
      <c r="JWL914" s="1091"/>
      <c r="JWM914" s="1091"/>
      <c r="JWN914" s="1091"/>
      <c r="JWO914" s="1091"/>
      <c r="JWP914" s="1091"/>
      <c r="JWQ914" s="1091"/>
      <c r="JWR914" s="1091"/>
      <c r="JWS914" s="1091"/>
      <c r="JWT914" s="1091"/>
      <c r="JWU914" s="1091"/>
      <c r="JWV914" s="1091"/>
      <c r="JWW914" s="1091"/>
      <c r="JWX914" s="1091"/>
      <c r="JWY914" s="1091"/>
      <c r="JWZ914" s="1091"/>
      <c r="JXA914" s="1091"/>
      <c r="JXB914" s="1091"/>
      <c r="JXC914" s="1091"/>
      <c r="JXD914" s="1091"/>
      <c r="JXE914" s="1091"/>
      <c r="JXF914" s="1091"/>
      <c r="JXG914" s="1091"/>
      <c r="JXH914" s="1091"/>
      <c r="JXI914" s="1091"/>
      <c r="JXJ914" s="1091"/>
      <c r="JXK914" s="1091"/>
      <c r="JXL914" s="1091"/>
      <c r="JXM914" s="1091"/>
      <c r="JXN914" s="1091"/>
      <c r="JXO914" s="1091"/>
      <c r="JXP914" s="1091"/>
      <c r="JXQ914" s="1091"/>
      <c r="JXR914" s="1091"/>
      <c r="JXS914" s="1091"/>
      <c r="JXT914" s="1091"/>
      <c r="JXU914" s="1091"/>
      <c r="JXV914" s="1091"/>
      <c r="JXW914" s="1091"/>
      <c r="JXX914" s="1091"/>
      <c r="JXY914" s="1091"/>
      <c r="JXZ914" s="1091"/>
      <c r="JYA914" s="1091"/>
      <c r="JYB914" s="1091"/>
      <c r="JYC914" s="1091"/>
      <c r="JYD914" s="1091"/>
      <c r="JYE914" s="1091"/>
      <c r="JYF914" s="1091"/>
      <c r="JYG914" s="1091"/>
      <c r="JYH914" s="1091"/>
      <c r="JYI914" s="1091"/>
      <c r="JYJ914" s="1091"/>
      <c r="JYK914" s="1091"/>
      <c r="JYL914" s="1091"/>
      <c r="JYM914" s="1091"/>
      <c r="JYN914" s="1091"/>
      <c r="JYO914" s="1091"/>
      <c r="JYP914" s="1091"/>
      <c r="JYQ914" s="1091"/>
      <c r="JYR914" s="1091"/>
      <c r="JYS914" s="1091"/>
      <c r="JYT914" s="1091"/>
      <c r="JYU914" s="1091"/>
      <c r="JYV914" s="1091"/>
      <c r="JYW914" s="1091"/>
      <c r="JYX914" s="1091"/>
      <c r="JYY914" s="1091"/>
      <c r="JYZ914" s="1091"/>
      <c r="JZA914" s="1091"/>
      <c r="JZB914" s="1091"/>
      <c r="JZC914" s="1091"/>
      <c r="JZD914" s="1091"/>
      <c r="JZE914" s="1091"/>
      <c r="JZF914" s="1091"/>
      <c r="JZG914" s="1091"/>
      <c r="JZH914" s="1091"/>
      <c r="JZI914" s="1091"/>
      <c r="JZJ914" s="1091"/>
      <c r="JZK914" s="1091"/>
      <c r="JZL914" s="1091"/>
      <c r="JZM914" s="1091"/>
      <c r="JZN914" s="1091"/>
      <c r="JZO914" s="1091"/>
      <c r="JZP914" s="1091"/>
      <c r="JZQ914" s="1091"/>
      <c r="JZR914" s="1091"/>
      <c r="JZS914" s="1091"/>
      <c r="JZT914" s="1091"/>
      <c r="JZU914" s="1091"/>
      <c r="JZV914" s="1091"/>
      <c r="JZW914" s="1091"/>
      <c r="JZX914" s="1091"/>
      <c r="JZY914" s="1091"/>
      <c r="JZZ914" s="1091"/>
      <c r="KAA914" s="1091"/>
      <c r="KAB914" s="1091"/>
      <c r="KAC914" s="1091"/>
      <c r="KAD914" s="1091"/>
      <c r="KAE914" s="1091"/>
      <c r="KAF914" s="1091"/>
      <c r="KAG914" s="1091"/>
      <c r="KAH914" s="1091"/>
      <c r="KAI914" s="1091"/>
      <c r="KAJ914" s="1091"/>
      <c r="KAK914" s="1091"/>
      <c r="KAL914" s="1091"/>
      <c r="KAM914" s="1091"/>
      <c r="KAN914" s="1091"/>
      <c r="KAO914" s="1091"/>
      <c r="KAP914" s="1091"/>
      <c r="KAQ914" s="1091"/>
      <c r="KAR914" s="1091"/>
      <c r="KAS914" s="1091"/>
      <c r="KAT914" s="1091"/>
      <c r="KAU914" s="1091"/>
      <c r="KAV914" s="1091"/>
      <c r="KAW914" s="1091"/>
      <c r="KAX914" s="1091"/>
      <c r="KAY914" s="1091"/>
      <c r="KAZ914" s="1091"/>
      <c r="KBA914" s="1091"/>
      <c r="KBB914" s="1091"/>
      <c r="KBC914" s="1091"/>
      <c r="KBD914" s="1091"/>
      <c r="KBE914" s="1091"/>
      <c r="KBF914" s="1091"/>
      <c r="KBG914" s="1091"/>
      <c r="KBH914" s="1091"/>
      <c r="KBI914" s="1091"/>
      <c r="KBJ914" s="1091"/>
      <c r="KBK914" s="1091"/>
      <c r="KBL914" s="1091"/>
      <c r="KBM914" s="1091"/>
      <c r="KBN914" s="1091"/>
      <c r="KBO914" s="1091"/>
      <c r="KBP914" s="1091"/>
      <c r="KBQ914" s="1091"/>
      <c r="KBR914" s="1091"/>
      <c r="KBS914" s="1091"/>
      <c r="KBT914" s="1091"/>
      <c r="KBU914" s="1091"/>
      <c r="KBV914" s="1091"/>
      <c r="KBW914" s="1091"/>
      <c r="KBX914" s="1091"/>
      <c r="KBY914" s="1091"/>
      <c r="KBZ914" s="1091"/>
      <c r="KCA914" s="1091"/>
      <c r="KCB914" s="1091"/>
      <c r="KCC914" s="1091"/>
      <c r="KCD914" s="1091"/>
      <c r="KCE914" s="1091"/>
      <c r="KCF914" s="1091"/>
      <c r="KCG914" s="1091"/>
      <c r="KCH914" s="1091"/>
      <c r="KCI914" s="1091"/>
      <c r="KCJ914" s="1091"/>
      <c r="KCK914" s="1091"/>
      <c r="KCL914" s="1091"/>
      <c r="KCM914" s="1091"/>
      <c r="KCN914" s="1091"/>
      <c r="KCO914" s="1091"/>
      <c r="KCP914" s="1091"/>
      <c r="KCQ914" s="1091"/>
      <c r="KCR914" s="1091"/>
      <c r="KCS914" s="1091"/>
      <c r="KCT914" s="1091"/>
      <c r="KCU914" s="1091"/>
      <c r="KCV914" s="1091"/>
      <c r="KCW914" s="1091"/>
      <c r="KCX914" s="1091"/>
      <c r="KCY914" s="1091"/>
      <c r="KCZ914" s="1091"/>
      <c r="KDA914" s="1091"/>
      <c r="KDB914" s="1091"/>
      <c r="KDC914" s="1091"/>
      <c r="KDD914" s="1091"/>
      <c r="KDE914" s="1091"/>
      <c r="KDF914" s="1091"/>
      <c r="KDG914" s="1091"/>
      <c r="KDH914" s="1091"/>
      <c r="KDI914" s="1091"/>
      <c r="KDJ914" s="1091"/>
      <c r="KDK914" s="1091"/>
      <c r="KDL914" s="1091"/>
      <c r="KDM914" s="1091"/>
      <c r="KDN914" s="1091"/>
      <c r="KDO914" s="1091"/>
      <c r="KDP914" s="1091"/>
      <c r="KDQ914" s="1091"/>
      <c r="KDR914" s="1091"/>
      <c r="KDS914" s="1091"/>
      <c r="KDT914" s="1091"/>
      <c r="KDU914" s="1091"/>
      <c r="KDV914" s="1091"/>
      <c r="KDW914" s="1091"/>
      <c r="KDX914" s="1091"/>
      <c r="KDY914" s="1091"/>
      <c r="KDZ914" s="1091"/>
      <c r="KEA914" s="1091"/>
      <c r="KEB914" s="1091"/>
      <c r="KEC914" s="1091"/>
      <c r="KED914" s="1091"/>
      <c r="KEE914" s="1091"/>
      <c r="KEF914" s="1091"/>
      <c r="KEG914" s="1091"/>
      <c r="KEH914" s="1091"/>
      <c r="KEI914" s="1091"/>
      <c r="KEJ914" s="1091"/>
      <c r="KEK914" s="1091"/>
      <c r="KEL914" s="1091"/>
      <c r="KEM914" s="1091"/>
      <c r="KEN914" s="1091"/>
      <c r="KEO914" s="1091"/>
      <c r="KEP914" s="1091"/>
      <c r="KEQ914" s="1091"/>
      <c r="KER914" s="1091"/>
      <c r="KES914" s="1091"/>
      <c r="KET914" s="1091"/>
      <c r="KEU914" s="1091"/>
      <c r="KEV914" s="1091"/>
      <c r="KEW914" s="1091"/>
      <c r="KEX914" s="1091"/>
      <c r="KEY914" s="1091"/>
      <c r="KEZ914" s="1091"/>
      <c r="KFA914" s="1091"/>
      <c r="KFB914" s="1091"/>
      <c r="KFC914" s="1091"/>
      <c r="KFD914" s="1091"/>
      <c r="KFE914" s="1091"/>
      <c r="KFF914" s="1091"/>
      <c r="KFG914" s="1091"/>
      <c r="KFH914" s="1091"/>
      <c r="KFI914" s="1091"/>
      <c r="KFJ914" s="1091"/>
      <c r="KFK914" s="1091"/>
      <c r="KFL914" s="1091"/>
      <c r="KFM914" s="1091"/>
      <c r="KFN914" s="1091"/>
      <c r="KFO914" s="1091"/>
      <c r="KFP914" s="1091"/>
      <c r="KFQ914" s="1091"/>
      <c r="KFR914" s="1091"/>
      <c r="KFS914" s="1091"/>
      <c r="KFT914" s="1091"/>
      <c r="KFU914" s="1091"/>
      <c r="KFV914" s="1091"/>
      <c r="KFW914" s="1091"/>
      <c r="KFX914" s="1091"/>
      <c r="KFY914" s="1091"/>
      <c r="KFZ914" s="1091"/>
      <c r="KGA914" s="1091"/>
      <c r="KGB914" s="1091"/>
      <c r="KGC914" s="1091"/>
      <c r="KGD914" s="1091"/>
      <c r="KGE914" s="1091"/>
      <c r="KGF914" s="1091"/>
      <c r="KGG914" s="1091"/>
      <c r="KGH914" s="1091"/>
      <c r="KGI914" s="1091"/>
      <c r="KGJ914" s="1091"/>
      <c r="KGK914" s="1091"/>
      <c r="KGL914" s="1091"/>
      <c r="KGM914" s="1091"/>
      <c r="KGN914" s="1091"/>
      <c r="KGO914" s="1091"/>
      <c r="KGP914" s="1091"/>
      <c r="KGQ914" s="1091"/>
      <c r="KGR914" s="1091"/>
      <c r="KGS914" s="1091"/>
      <c r="KGT914" s="1091"/>
      <c r="KGU914" s="1091"/>
      <c r="KGV914" s="1091"/>
      <c r="KGW914" s="1091"/>
      <c r="KGX914" s="1091"/>
      <c r="KGY914" s="1091"/>
      <c r="KGZ914" s="1091"/>
      <c r="KHA914" s="1091"/>
      <c r="KHB914" s="1091"/>
      <c r="KHC914" s="1091"/>
      <c r="KHD914" s="1091"/>
      <c r="KHE914" s="1091"/>
      <c r="KHF914" s="1091"/>
      <c r="KHG914" s="1091"/>
      <c r="KHH914" s="1091"/>
      <c r="KHI914" s="1091"/>
      <c r="KHJ914" s="1091"/>
      <c r="KHK914" s="1091"/>
      <c r="KHL914" s="1091"/>
      <c r="KHM914" s="1091"/>
      <c r="KHN914" s="1091"/>
      <c r="KHO914" s="1091"/>
      <c r="KHP914" s="1091"/>
      <c r="KHQ914" s="1091"/>
      <c r="KHR914" s="1091"/>
      <c r="KHS914" s="1091"/>
      <c r="KHT914" s="1091"/>
      <c r="KHU914" s="1091"/>
      <c r="KHV914" s="1091"/>
      <c r="KHW914" s="1091"/>
      <c r="KHX914" s="1091"/>
      <c r="KHY914" s="1091"/>
      <c r="KHZ914" s="1091"/>
      <c r="KIA914" s="1091"/>
      <c r="KIB914" s="1091"/>
      <c r="KIC914" s="1091"/>
      <c r="KID914" s="1091"/>
      <c r="KIE914" s="1091"/>
      <c r="KIF914" s="1091"/>
      <c r="KIG914" s="1091"/>
      <c r="KIH914" s="1091"/>
      <c r="KII914" s="1091"/>
      <c r="KIJ914" s="1091"/>
      <c r="KIK914" s="1091"/>
      <c r="KIL914" s="1091"/>
      <c r="KIM914" s="1091"/>
      <c r="KIN914" s="1091"/>
      <c r="KIO914" s="1091"/>
      <c r="KIP914" s="1091"/>
      <c r="KIQ914" s="1091"/>
      <c r="KIR914" s="1091"/>
      <c r="KIS914" s="1091"/>
      <c r="KIT914" s="1091"/>
      <c r="KIU914" s="1091"/>
      <c r="KIV914" s="1091"/>
      <c r="KIW914" s="1091"/>
      <c r="KIX914" s="1091"/>
      <c r="KIY914" s="1091"/>
      <c r="KIZ914" s="1091"/>
      <c r="KJA914" s="1091"/>
      <c r="KJB914" s="1091"/>
      <c r="KJC914" s="1091"/>
      <c r="KJD914" s="1091"/>
      <c r="KJE914" s="1091"/>
      <c r="KJF914" s="1091"/>
      <c r="KJG914" s="1091"/>
      <c r="KJH914" s="1091"/>
      <c r="KJI914" s="1091"/>
      <c r="KJJ914" s="1091"/>
      <c r="KJK914" s="1091"/>
      <c r="KJL914" s="1091"/>
      <c r="KJM914" s="1091"/>
      <c r="KJN914" s="1091"/>
      <c r="KJO914" s="1091"/>
      <c r="KJP914" s="1091"/>
      <c r="KJQ914" s="1091"/>
      <c r="KJR914" s="1091"/>
      <c r="KJS914" s="1091"/>
      <c r="KJT914" s="1091"/>
      <c r="KJU914" s="1091"/>
      <c r="KJV914" s="1091"/>
      <c r="KJW914" s="1091"/>
      <c r="KJX914" s="1091"/>
      <c r="KJY914" s="1091"/>
      <c r="KJZ914" s="1091"/>
      <c r="KKA914" s="1091"/>
      <c r="KKB914" s="1091"/>
      <c r="KKC914" s="1091"/>
      <c r="KKD914" s="1091"/>
      <c r="KKE914" s="1091"/>
      <c r="KKF914" s="1091"/>
      <c r="KKG914" s="1091"/>
      <c r="KKH914" s="1091"/>
      <c r="KKI914" s="1091"/>
      <c r="KKJ914" s="1091"/>
      <c r="KKK914" s="1091"/>
      <c r="KKL914" s="1091"/>
      <c r="KKM914" s="1091"/>
      <c r="KKN914" s="1091"/>
      <c r="KKO914" s="1091"/>
      <c r="KKP914" s="1091"/>
      <c r="KKQ914" s="1091"/>
      <c r="KKR914" s="1091"/>
      <c r="KKS914" s="1091"/>
      <c r="KKT914" s="1091"/>
      <c r="KKU914" s="1091"/>
      <c r="KKV914" s="1091"/>
      <c r="KKW914" s="1091"/>
      <c r="KKX914" s="1091"/>
      <c r="KKY914" s="1091"/>
      <c r="KKZ914" s="1091"/>
      <c r="KLA914" s="1091"/>
      <c r="KLB914" s="1091"/>
      <c r="KLC914" s="1091"/>
      <c r="KLD914" s="1091"/>
      <c r="KLE914" s="1091"/>
      <c r="KLF914" s="1091"/>
      <c r="KLG914" s="1091"/>
      <c r="KLH914" s="1091"/>
      <c r="KLI914" s="1091"/>
      <c r="KLJ914" s="1091"/>
      <c r="KLK914" s="1091"/>
      <c r="KLL914" s="1091"/>
      <c r="KLM914" s="1091"/>
      <c r="KLN914" s="1091"/>
      <c r="KLO914" s="1091"/>
      <c r="KLP914" s="1091"/>
      <c r="KLQ914" s="1091"/>
      <c r="KLR914" s="1091"/>
      <c r="KLS914" s="1091"/>
      <c r="KLT914" s="1091"/>
      <c r="KLU914" s="1091"/>
      <c r="KLV914" s="1091"/>
      <c r="KLW914" s="1091"/>
      <c r="KLX914" s="1091"/>
      <c r="KLY914" s="1091"/>
      <c r="KLZ914" s="1091"/>
      <c r="KMA914" s="1091"/>
      <c r="KMB914" s="1091"/>
      <c r="KMC914" s="1091"/>
      <c r="KMD914" s="1091"/>
      <c r="KME914" s="1091"/>
      <c r="KMF914" s="1091"/>
      <c r="KMG914" s="1091"/>
      <c r="KMH914" s="1091"/>
      <c r="KMI914" s="1091"/>
      <c r="KMJ914" s="1091"/>
      <c r="KMK914" s="1091"/>
      <c r="KML914" s="1091"/>
      <c r="KMM914" s="1091"/>
      <c r="KMN914" s="1091"/>
      <c r="KMO914" s="1091"/>
      <c r="KMP914" s="1091"/>
      <c r="KMQ914" s="1091"/>
      <c r="KMR914" s="1091"/>
      <c r="KMS914" s="1091"/>
      <c r="KMT914" s="1091"/>
      <c r="KMU914" s="1091"/>
      <c r="KMV914" s="1091"/>
      <c r="KMW914" s="1091"/>
      <c r="KMX914" s="1091"/>
      <c r="KMY914" s="1091"/>
      <c r="KMZ914" s="1091"/>
      <c r="KNA914" s="1091"/>
      <c r="KNB914" s="1091"/>
      <c r="KNC914" s="1091"/>
      <c r="KND914" s="1091"/>
      <c r="KNE914" s="1091"/>
      <c r="KNF914" s="1091"/>
      <c r="KNG914" s="1091"/>
      <c r="KNH914" s="1091"/>
      <c r="KNI914" s="1091"/>
      <c r="KNJ914" s="1091"/>
      <c r="KNK914" s="1091"/>
      <c r="KNL914" s="1091"/>
      <c r="KNM914" s="1091"/>
      <c r="KNN914" s="1091"/>
      <c r="KNO914" s="1091"/>
      <c r="KNP914" s="1091"/>
      <c r="KNQ914" s="1091"/>
      <c r="KNR914" s="1091"/>
      <c r="KNS914" s="1091"/>
      <c r="KNT914" s="1091"/>
      <c r="KNU914" s="1091"/>
      <c r="KNV914" s="1091"/>
      <c r="KNW914" s="1091"/>
      <c r="KNX914" s="1091"/>
      <c r="KNY914" s="1091"/>
      <c r="KNZ914" s="1091"/>
      <c r="KOA914" s="1091"/>
      <c r="KOB914" s="1091"/>
      <c r="KOC914" s="1091"/>
      <c r="KOD914" s="1091"/>
      <c r="KOE914" s="1091"/>
      <c r="KOF914" s="1091"/>
      <c r="KOG914" s="1091"/>
      <c r="KOH914" s="1091"/>
      <c r="KOI914" s="1091"/>
      <c r="KOJ914" s="1091"/>
      <c r="KOK914" s="1091"/>
      <c r="KOL914" s="1091"/>
      <c r="KOM914" s="1091"/>
      <c r="KON914" s="1091"/>
      <c r="KOO914" s="1091"/>
      <c r="KOP914" s="1091"/>
      <c r="KOQ914" s="1091"/>
      <c r="KOR914" s="1091"/>
      <c r="KOS914" s="1091"/>
      <c r="KOT914" s="1091"/>
      <c r="KOU914" s="1091"/>
      <c r="KOV914" s="1091"/>
      <c r="KOW914" s="1091"/>
      <c r="KOX914" s="1091"/>
      <c r="KOY914" s="1091"/>
      <c r="KOZ914" s="1091"/>
      <c r="KPA914" s="1091"/>
      <c r="KPB914" s="1091"/>
      <c r="KPC914" s="1091"/>
      <c r="KPD914" s="1091"/>
      <c r="KPE914" s="1091"/>
      <c r="KPF914" s="1091"/>
      <c r="KPG914" s="1091"/>
      <c r="KPH914" s="1091"/>
      <c r="KPI914" s="1091"/>
      <c r="KPJ914" s="1091"/>
      <c r="KPK914" s="1091"/>
      <c r="KPL914" s="1091"/>
      <c r="KPM914" s="1091"/>
      <c r="KPN914" s="1091"/>
      <c r="KPO914" s="1091"/>
      <c r="KPP914" s="1091"/>
      <c r="KPQ914" s="1091"/>
      <c r="KPR914" s="1091"/>
      <c r="KPS914" s="1091"/>
      <c r="KPT914" s="1091"/>
      <c r="KPU914" s="1091"/>
      <c r="KPV914" s="1091"/>
      <c r="KPW914" s="1091"/>
      <c r="KPX914" s="1091"/>
      <c r="KPY914" s="1091"/>
      <c r="KPZ914" s="1091"/>
      <c r="KQA914" s="1091"/>
      <c r="KQB914" s="1091"/>
      <c r="KQC914" s="1091"/>
      <c r="KQD914" s="1091"/>
      <c r="KQE914" s="1091"/>
      <c r="KQF914" s="1091"/>
      <c r="KQG914" s="1091"/>
      <c r="KQH914" s="1091"/>
      <c r="KQI914" s="1091"/>
      <c r="KQJ914" s="1091"/>
      <c r="KQK914" s="1091"/>
      <c r="KQL914" s="1091"/>
      <c r="KQM914" s="1091"/>
      <c r="KQN914" s="1091"/>
      <c r="KQO914" s="1091"/>
      <c r="KQP914" s="1091"/>
      <c r="KQQ914" s="1091"/>
      <c r="KQR914" s="1091"/>
      <c r="KQS914" s="1091"/>
      <c r="KQT914" s="1091"/>
      <c r="KQU914" s="1091"/>
      <c r="KQV914" s="1091"/>
      <c r="KQW914" s="1091"/>
      <c r="KQX914" s="1091"/>
      <c r="KQY914" s="1091"/>
      <c r="KQZ914" s="1091"/>
      <c r="KRA914" s="1091"/>
      <c r="KRB914" s="1091"/>
      <c r="KRC914" s="1091"/>
      <c r="KRD914" s="1091"/>
      <c r="KRE914" s="1091"/>
      <c r="KRF914" s="1091"/>
      <c r="KRG914" s="1091"/>
      <c r="KRH914" s="1091"/>
      <c r="KRI914" s="1091"/>
      <c r="KRJ914" s="1091"/>
      <c r="KRK914" s="1091"/>
      <c r="KRL914" s="1091"/>
      <c r="KRM914" s="1091"/>
      <c r="KRN914" s="1091"/>
      <c r="KRO914" s="1091"/>
      <c r="KRP914" s="1091"/>
      <c r="KRQ914" s="1091"/>
      <c r="KRR914" s="1091"/>
      <c r="KRS914" s="1091"/>
      <c r="KRT914" s="1091"/>
      <c r="KRU914" s="1091"/>
      <c r="KRV914" s="1091"/>
      <c r="KRW914" s="1091"/>
      <c r="KRX914" s="1091"/>
      <c r="KRY914" s="1091"/>
      <c r="KRZ914" s="1091"/>
      <c r="KSA914" s="1091"/>
      <c r="KSB914" s="1091"/>
      <c r="KSC914" s="1091"/>
      <c r="KSD914" s="1091"/>
      <c r="KSE914" s="1091"/>
      <c r="KSF914" s="1091"/>
      <c r="KSG914" s="1091"/>
      <c r="KSH914" s="1091"/>
      <c r="KSI914" s="1091"/>
      <c r="KSJ914" s="1091"/>
      <c r="KSK914" s="1091"/>
      <c r="KSL914" s="1091"/>
      <c r="KSM914" s="1091"/>
      <c r="KSN914" s="1091"/>
      <c r="KSO914" s="1091"/>
      <c r="KSP914" s="1091"/>
      <c r="KSQ914" s="1091"/>
      <c r="KSR914" s="1091"/>
      <c r="KSS914" s="1091"/>
      <c r="KST914" s="1091"/>
      <c r="KSU914" s="1091"/>
      <c r="KSV914" s="1091"/>
      <c r="KSW914" s="1091"/>
      <c r="KSX914" s="1091"/>
      <c r="KSY914" s="1091"/>
      <c r="KSZ914" s="1091"/>
      <c r="KTA914" s="1091"/>
      <c r="KTB914" s="1091"/>
      <c r="KTC914" s="1091"/>
      <c r="KTD914" s="1091"/>
      <c r="KTE914" s="1091"/>
      <c r="KTF914" s="1091"/>
      <c r="KTG914" s="1091"/>
      <c r="KTH914" s="1091"/>
      <c r="KTI914" s="1091"/>
      <c r="KTJ914" s="1091"/>
      <c r="KTK914" s="1091"/>
      <c r="KTL914" s="1091"/>
      <c r="KTM914" s="1091"/>
      <c r="KTN914" s="1091"/>
      <c r="KTO914" s="1091"/>
      <c r="KTP914" s="1091"/>
      <c r="KTQ914" s="1091"/>
      <c r="KTR914" s="1091"/>
      <c r="KTS914" s="1091"/>
      <c r="KTT914" s="1091"/>
      <c r="KTU914" s="1091"/>
      <c r="KTV914" s="1091"/>
      <c r="KTW914" s="1091"/>
      <c r="KTX914" s="1091"/>
      <c r="KTY914" s="1091"/>
      <c r="KTZ914" s="1091"/>
      <c r="KUA914" s="1091"/>
      <c r="KUB914" s="1091"/>
      <c r="KUC914" s="1091"/>
      <c r="KUD914" s="1091"/>
      <c r="KUE914" s="1091"/>
      <c r="KUF914" s="1091"/>
      <c r="KUG914" s="1091"/>
      <c r="KUH914" s="1091"/>
      <c r="KUI914" s="1091"/>
      <c r="KUJ914" s="1091"/>
      <c r="KUK914" s="1091"/>
      <c r="KUL914" s="1091"/>
      <c r="KUM914" s="1091"/>
      <c r="KUN914" s="1091"/>
      <c r="KUO914" s="1091"/>
      <c r="KUP914" s="1091"/>
      <c r="KUQ914" s="1091"/>
      <c r="KUR914" s="1091"/>
      <c r="KUS914" s="1091"/>
      <c r="KUT914" s="1091"/>
      <c r="KUU914" s="1091"/>
      <c r="KUV914" s="1091"/>
      <c r="KUW914" s="1091"/>
      <c r="KUX914" s="1091"/>
      <c r="KUY914" s="1091"/>
      <c r="KUZ914" s="1091"/>
      <c r="KVA914" s="1091"/>
      <c r="KVB914" s="1091"/>
      <c r="KVC914" s="1091"/>
      <c r="KVD914" s="1091"/>
      <c r="KVE914" s="1091"/>
      <c r="KVF914" s="1091"/>
      <c r="KVG914" s="1091"/>
      <c r="KVH914" s="1091"/>
      <c r="KVI914" s="1091"/>
      <c r="KVJ914" s="1091"/>
      <c r="KVK914" s="1091"/>
      <c r="KVL914" s="1091"/>
      <c r="KVM914" s="1091"/>
      <c r="KVN914" s="1091"/>
      <c r="KVO914" s="1091"/>
      <c r="KVP914" s="1091"/>
      <c r="KVQ914" s="1091"/>
      <c r="KVR914" s="1091"/>
      <c r="KVS914" s="1091"/>
      <c r="KVT914" s="1091"/>
      <c r="KVU914" s="1091"/>
      <c r="KVV914" s="1091"/>
      <c r="KVW914" s="1091"/>
      <c r="KVX914" s="1091"/>
      <c r="KVY914" s="1091"/>
      <c r="KVZ914" s="1091"/>
      <c r="KWA914" s="1091"/>
      <c r="KWB914" s="1091"/>
      <c r="KWC914" s="1091"/>
      <c r="KWD914" s="1091"/>
      <c r="KWE914" s="1091"/>
      <c r="KWF914" s="1091"/>
      <c r="KWG914" s="1091"/>
      <c r="KWH914" s="1091"/>
      <c r="KWI914" s="1091"/>
      <c r="KWJ914" s="1091"/>
      <c r="KWK914" s="1091"/>
      <c r="KWL914" s="1091"/>
      <c r="KWM914" s="1091"/>
      <c r="KWN914" s="1091"/>
      <c r="KWO914" s="1091"/>
      <c r="KWP914" s="1091"/>
      <c r="KWQ914" s="1091"/>
      <c r="KWR914" s="1091"/>
      <c r="KWS914" s="1091"/>
      <c r="KWT914" s="1091"/>
      <c r="KWU914" s="1091"/>
      <c r="KWV914" s="1091"/>
      <c r="KWW914" s="1091"/>
      <c r="KWX914" s="1091"/>
      <c r="KWY914" s="1091"/>
      <c r="KWZ914" s="1091"/>
      <c r="KXA914" s="1091"/>
      <c r="KXB914" s="1091"/>
      <c r="KXC914" s="1091"/>
      <c r="KXD914" s="1091"/>
      <c r="KXE914" s="1091"/>
      <c r="KXF914" s="1091"/>
      <c r="KXG914" s="1091"/>
      <c r="KXH914" s="1091"/>
      <c r="KXI914" s="1091"/>
      <c r="KXJ914" s="1091"/>
      <c r="KXK914" s="1091"/>
      <c r="KXL914" s="1091"/>
      <c r="KXM914" s="1091"/>
      <c r="KXN914" s="1091"/>
      <c r="KXO914" s="1091"/>
      <c r="KXP914" s="1091"/>
      <c r="KXQ914" s="1091"/>
      <c r="KXR914" s="1091"/>
      <c r="KXS914" s="1091"/>
      <c r="KXT914" s="1091"/>
      <c r="KXU914" s="1091"/>
      <c r="KXV914" s="1091"/>
      <c r="KXW914" s="1091"/>
      <c r="KXX914" s="1091"/>
      <c r="KXY914" s="1091"/>
      <c r="KXZ914" s="1091"/>
      <c r="KYA914" s="1091"/>
      <c r="KYB914" s="1091"/>
      <c r="KYC914" s="1091"/>
      <c r="KYD914" s="1091"/>
      <c r="KYE914" s="1091"/>
      <c r="KYF914" s="1091"/>
      <c r="KYG914" s="1091"/>
      <c r="KYH914" s="1091"/>
      <c r="KYI914" s="1091"/>
      <c r="KYJ914" s="1091"/>
      <c r="KYK914" s="1091"/>
      <c r="KYL914" s="1091"/>
      <c r="KYM914" s="1091"/>
      <c r="KYN914" s="1091"/>
      <c r="KYO914" s="1091"/>
      <c r="KYP914" s="1091"/>
      <c r="KYQ914" s="1091"/>
      <c r="KYR914" s="1091"/>
      <c r="KYS914" s="1091"/>
      <c r="KYT914" s="1091"/>
      <c r="KYU914" s="1091"/>
      <c r="KYV914" s="1091"/>
      <c r="KYW914" s="1091"/>
      <c r="KYX914" s="1091"/>
      <c r="KYY914" s="1091"/>
      <c r="KYZ914" s="1091"/>
      <c r="KZA914" s="1091"/>
      <c r="KZB914" s="1091"/>
      <c r="KZC914" s="1091"/>
      <c r="KZD914" s="1091"/>
      <c r="KZE914" s="1091"/>
      <c r="KZF914" s="1091"/>
      <c r="KZG914" s="1091"/>
      <c r="KZH914" s="1091"/>
      <c r="KZI914" s="1091"/>
      <c r="KZJ914" s="1091"/>
      <c r="KZK914" s="1091"/>
      <c r="KZL914" s="1091"/>
      <c r="KZM914" s="1091"/>
      <c r="KZN914" s="1091"/>
      <c r="KZO914" s="1091"/>
      <c r="KZP914" s="1091"/>
      <c r="KZQ914" s="1091"/>
      <c r="KZR914" s="1091"/>
      <c r="KZS914" s="1091"/>
      <c r="KZT914" s="1091"/>
      <c r="KZU914" s="1091"/>
      <c r="KZV914" s="1091"/>
      <c r="KZW914" s="1091"/>
      <c r="KZX914" s="1091"/>
      <c r="KZY914" s="1091"/>
      <c r="KZZ914" s="1091"/>
      <c r="LAA914" s="1091"/>
      <c r="LAB914" s="1091"/>
      <c r="LAC914" s="1091"/>
      <c r="LAD914" s="1091"/>
      <c r="LAE914" s="1091"/>
      <c r="LAF914" s="1091"/>
      <c r="LAG914" s="1091"/>
      <c r="LAH914" s="1091"/>
      <c r="LAI914" s="1091"/>
      <c r="LAJ914" s="1091"/>
      <c r="LAK914" s="1091"/>
      <c r="LAL914" s="1091"/>
      <c r="LAM914" s="1091"/>
      <c r="LAN914" s="1091"/>
      <c r="LAO914" s="1091"/>
      <c r="LAP914" s="1091"/>
      <c r="LAQ914" s="1091"/>
      <c r="LAR914" s="1091"/>
      <c r="LAS914" s="1091"/>
      <c r="LAT914" s="1091"/>
      <c r="LAU914" s="1091"/>
      <c r="LAV914" s="1091"/>
      <c r="LAW914" s="1091"/>
      <c r="LAX914" s="1091"/>
      <c r="LAY914" s="1091"/>
      <c r="LAZ914" s="1091"/>
      <c r="LBA914" s="1091"/>
      <c r="LBB914" s="1091"/>
      <c r="LBC914" s="1091"/>
      <c r="LBD914" s="1091"/>
      <c r="LBE914" s="1091"/>
      <c r="LBF914" s="1091"/>
      <c r="LBG914" s="1091"/>
      <c r="LBH914" s="1091"/>
      <c r="LBI914" s="1091"/>
      <c r="LBJ914" s="1091"/>
      <c r="LBK914" s="1091"/>
      <c r="LBL914" s="1091"/>
      <c r="LBM914" s="1091"/>
      <c r="LBN914" s="1091"/>
      <c r="LBO914" s="1091"/>
      <c r="LBP914" s="1091"/>
      <c r="LBQ914" s="1091"/>
      <c r="LBR914" s="1091"/>
      <c r="LBS914" s="1091"/>
      <c r="LBT914" s="1091"/>
      <c r="LBU914" s="1091"/>
      <c r="LBV914" s="1091"/>
      <c r="LBW914" s="1091"/>
      <c r="LBX914" s="1091"/>
      <c r="LBY914" s="1091"/>
      <c r="LBZ914" s="1091"/>
      <c r="LCA914" s="1091"/>
      <c r="LCB914" s="1091"/>
      <c r="LCC914" s="1091"/>
      <c r="LCD914" s="1091"/>
      <c r="LCE914" s="1091"/>
      <c r="LCF914" s="1091"/>
      <c r="LCG914" s="1091"/>
      <c r="LCH914" s="1091"/>
      <c r="LCI914" s="1091"/>
      <c r="LCJ914" s="1091"/>
      <c r="LCK914" s="1091"/>
      <c r="LCL914" s="1091"/>
      <c r="LCM914" s="1091"/>
      <c r="LCN914" s="1091"/>
      <c r="LCO914" s="1091"/>
      <c r="LCP914" s="1091"/>
      <c r="LCQ914" s="1091"/>
      <c r="LCR914" s="1091"/>
      <c r="LCS914" s="1091"/>
      <c r="LCT914" s="1091"/>
      <c r="LCU914" s="1091"/>
      <c r="LCV914" s="1091"/>
      <c r="LCW914" s="1091"/>
      <c r="LCX914" s="1091"/>
      <c r="LCY914" s="1091"/>
      <c r="LCZ914" s="1091"/>
      <c r="LDA914" s="1091"/>
      <c r="LDB914" s="1091"/>
      <c r="LDC914" s="1091"/>
      <c r="LDD914" s="1091"/>
      <c r="LDE914" s="1091"/>
      <c r="LDF914" s="1091"/>
      <c r="LDG914" s="1091"/>
      <c r="LDH914" s="1091"/>
      <c r="LDI914" s="1091"/>
      <c r="LDJ914" s="1091"/>
      <c r="LDK914" s="1091"/>
      <c r="LDL914" s="1091"/>
      <c r="LDM914" s="1091"/>
      <c r="LDN914" s="1091"/>
      <c r="LDO914" s="1091"/>
      <c r="LDP914" s="1091"/>
      <c r="LDQ914" s="1091"/>
      <c r="LDR914" s="1091"/>
      <c r="LDS914" s="1091"/>
      <c r="LDT914" s="1091"/>
      <c r="LDU914" s="1091"/>
      <c r="LDV914" s="1091"/>
      <c r="LDW914" s="1091"/>
      <c r="LDX914" s="1091"/>
      <c r="LDY914" s="1091"/>
      <c r="LDZ914" s="1091"/>
      <c r="LEA914" s="1091"/>
      <c r="LEB914" s="1091"/>
      <c r="LEC914" s="1091"/>
      <c r="LED914" s="1091"/>
      <c r="LEE914" s="1091"/>
      <c r="LEF914" s="1091"/>
      <c r="LEG914" s="1091"/>
      <c r="LEH914" s="1091"/>
      <c r="LEI914" s="1091"/>
      <c r="LEJ914" s="1091"/>
      <c r="LEK914" s="1091"/>
      <c r="LEL914" s="1091"/>
      <c r="LEM914" s="1091"/>
      <c r="LEN914" s="1091"/>
      <c r="LEO914" s="1091"/>
      <c r="LEP914" s="1091"/>
      <c r="LEQ914" s="1091"/>
      <c r="LER914" s="1091"/>
      <c r="LES914" s="1091"/>
      <c r="LET914" s="1091"/>
      <c r="LEU914" s="1091"/>
      <c r="LEV914" s="1091"/>
      <c r="LEW914" s="1091"/>
      <c r="LEX914" s="1091"/>
      <c r="LEY914" s="1091"/>
      <c r="LEZ914" s="1091"/>
      <c r="LFA914" s="1091"/>
      <c r="LFB914" s="1091"/>
      <c r="LFC914" s="1091"/>
      <c r="LFD914" s="1091"/>
      <c r="LFE914" s="1091"/>
      <c r="LFF914" s="1091"/>
      <c r="LFG914" s="1091"/>
      <c r="LFH914" s="1091"/>
      <c r="LFI914" s="1091"/>
      <c r="LFJ914" s="1091"/>
      <c r="LFK914" s="1091"/>
      <c r="LFL914" s="1091"/>
      <c r="LFM914" s="1091"/>
      <c r="LFN914" s="1091"/>
      <c r="LFO914" s="1091"/>
      <c r="LFP914" s="1091"/>
      <c r="LFQ914" s="1091"/>
      <c r="LFR914" s="1091"/>
      <c r="LFS914" s="1091"/>
      <c r="LFT914" s="1091"/>
      <c r="LFU914" s="1091"/>
      <c r="LFV914" s="1091"/>
      <c r="LFW914" s="1091"/>
      <c r="LFX914" s="1091"/>
      <c r="LFY914" s="1091"/>
      <c r="LFZ914" s="1091"/>
      <c r="LGA914" s="1091"/>
      <c r="LGB914" s="1091"/>
      <c r="LGC914" s="1091"/>
      <c r="LGD914" s="1091"/>
      <c r="LGE914" s="1091"/>
      <c r="LGF914" s="1091"/>
      <c r="LGG914" s="1091"/>
      <c r="LGH914" s="1091"/>
      <c r="LGI914" s="1091"/>
      <c r="LGJ914" s="1091"/>
      <c r="LGK914" s="1091"/>
      <c r="LGL914" s="1091"/>
      <c r="LGM914" s="1091"/>
      <c r="LGN914" s="1091"/>
      <c r="LGO914" s="1091"/>
      <c r="LGP914" s="1091"/>
      <c r="LGQ914" s="1091"/>
      <c r="LGR914" s="1091"/>
      <c r="LGS914" s="1091"/>
      <c r="LGT914" s="1091"/>
      <c r="LGU914" s="1091"/>
      <c r="LGV914" s="1091"/>
      <c r="LGW914" s="1091"/>
      <c r="LGX914" s="1091"/>
      <c r="LGY914" s="1091"/>
      <c r="LGZ914" s="1091"/>
      <c r="LHA914" s="1091"/>
      <c r="LHB914" s="1091"/>
      <c r="LHC914" s="1091"/>
      <c r="LHD914" s="1091"/>
      <c r="LHE914" s="1091"/>
      <c r="LHF914" s="1091"/>
      <c r="LHG914" s="1091"/>
      <c r="LHH914" s="1091"/>
      <c r="LHI914" s="1091"/>
      <c r="LHJ914" s="1091"/>
      <c r="LHK914" s="1091"/>
      <c r="LHL914" s="1091"/>
      <c r="LHM914" s="1091"/>
      <c r="LHN914" s="1091"/>
      <c r="LHO914" s="1091"/>
      <c r="LHP914" s="1091"/>
      <c r="LHQ914" s="1091"/>
      <c r="LHR914" s="1091"/>
      <c r="LHS914" s="1091"/>
      <c r="LHT914" s="1091"/>
      <c r="LHU914" s="1091"/>
      <c r="LHV914" s="1091"/>
      <c r="LHW914" s="1091"/>
      <c r="LHX914" s="1091"/>
      <c r="LHY914" s="1091"/>
      <c r="LHZ914" s="1091"/>
      <c r="LIA914" s="1091"/>
      <c r="LIB914" s="1091"/>
      <c r="LIC914" s="1091"/>
      <c r="LID914" s="1091"/>
      <c r="LIE914" s="1091"/>
      <c r="LIF914" s="1091"/>
      <c r="LIG914" s="1091"/>
      <c r="LIH914" s="1091"/>
      <c r="LII914" s="1091"/>
      <c r="LIJ914" s="1091"/>
      <c r="LIK914" s="1091"/>
      <c r="LIL914" s="1091"/>
      <c r="LIM914" s="1091"/>
      <c r="LIN914" s="1091"/>
      <c r="LIO914" s="1091"/>
      <c r="LIP914" s="1091"/>
      <c r="LIQ914" s="1091"/>
      <c r="LIR914" s="1091"/>
      <c r="LIS914" s="1091"/>
      <c r="LIT914" s="1091"/>
      <c r="LIU914" s="1091"/>
      <c r="LIV914" s="1091"/>
      <c r="LIW914" s="1091"/>
      <c r="LIX914" s="1091"/>
      <c r="LIY914" s="1091"/>
      <c r="LIZ914" s="1091"/>
      <c r="LJA914" s="1091"/>
      <c r="LJB914" s="1091"/>
      <c r="LJC914" s="1091"/>
      <c r="LJD914" s="1091"/>
      <c r="LJE914" s="1091"/>
      <c r="LJF914" s="1091"/>
      <c r="LJG914" s="1091"/>
      <c r="LJH914" s="1091"/>
      <c r="LJI914" s="1091"/>
      <c r="LJJ914" s="1091"/>
      <c r="LJK914" s="1091"/>
      <c r="LJL914" s="1091"/>
      <c r="LJM914" s="1091"/>
      <c r="LJN914" s="1091"/>
      <c r="LJO914" s="1091"/>
      <c r="LJP914" s="1091"/>
      <c r="LJQ914" s="1091"/>
      <c r="LJR914" s="1091"/>
      <c r="LJS914" s="1091"/>
      <c r="LJT914" s="1091"/>
      <c r="LJU914" s="1091"/>
      <c r="LJV914" s="1091"/>
      <c r="LJW914" s="1091"/>
      <c r="LJX914" s="1091"/>
      <c r="LJY914" s="1091"/>
      <c r="LJZ914" s="1091"/>
      <c r="LKA914" s="1091"/>
      <c r="LKB914" s="1091"/>
      <c r="LKC914" s="1091"/>
      <c r="LKD914" s="1091"/>
      <c r="LKE914" s="1091"/>
      <c r="LKF914" s="1091"/>
      <c r="LKG914" s="1091"/>
      <c r="LKH914" s="1091"/>
      <c r="LKI914" s="1091"/>
      <c r="LKJ914" s="1091"/>
      <c r="LKK914" s="1091"/>
      <c r="LKL914" s="1091"/>
      <c r="LKM914" s="1091"/>
      <c r="LKN914" s="1091"/>
      <c r="LKO914" s="1091"/>
      <c r="LKP914" s="1091"/>
      <c r="LKQ914" s="1091"/>
      <c r="LKR914" s="1091"/>
      <c r="LKS914" s="1091"/>
      <c r="LKT914" s="1091"/>
      <c r="LKU914" s="1091"/>
      <c r="LKV914" s="1091"/>
      <c r="LKW914" s="1091"/>
      <c r="LKX914" s="1091"/>
      <c r="LKY914" s="1091"/>
      <c r="LKZ914" s="1091"/>
      <c r="LLA914" s="1091"/>
      <c r="LLB914" s="1091"/>
      <c r="LLC914" s="1091"/>
      <c r="LLD914" s="1091"/>
      <c r="LLE914" s="1091"/>
      <c r="LLF914" s="1091"/>
      <c r="LLG914" s="1091"/>
      <c r="LLH914" s="1091"/>
      <c r="LLI914" s="1091"/>
      <c r="LLJ914" s="1091"/>
      <c r="LLK914" s="1091"/>
      <c r="LLL914" s="1091"/>
      <c r="LLM914" s="1091"/>
      <c r="LLN914" s="1091"/>
      <c r="LLO914" s="1091"/>
      <c r="LLP914" s="1091"/>
      <c r="LLQ914" s="1091"/>
      <c r="LLR914" s="1091"/>
      <c r="LLS914" s="1091"/>
      <c r="LLT914" s="1091"/>
      <c r="LLU914" s="1091"/>
      <c r="LLV914" s="1091"/>
      <c r="LLW914" s="1091"/>
      <c r="LLX914" s="1091"/>
      <c r="LLY914" s="1091"/>
      <c r="LLZ914" s="1091"/>
      <c r="LMA914" s="1091"/>
      <c r="LMB914" s="1091"/>
      <c r="LMC914" s="1091"/>
      <c r="LMD914" s="1091"/>
      <c r="LME914" s="1091"/>
      <c r="LMF914" s="1091"/>
      <c r="LMG914" s="1091"/>
      <c r="LMH914" s="1091"/>
      <c r="LMI914" s="1091"/>
      <c r="LMJ914" s="1091"/>
      <c r="LMK914" s="1091"/>
      <c r="LML914" s="1091"/>
      <c r="LMM914" s="1091"/>
      <c r="LMN914" s="1091"/>
      <c r="LMO914" s="1091"/>
      <c r="LMP914" s="1091"/>
      <c r="LMQ914" s="1091"/>
      <c r="LMR914" s="1091"/>
      <c r="LMS914" s="1091"/>
      <c r="LMT914" s="1091"/>
      <c r="LMU914" s="1091"/>
      <c r="LMV914" s="1091"/>
      <c r="LMW914" s="1091"/>
      <c r="LMX914" s="1091"/>
      <c r="LMY914" s="1091"/>
      <c r="LMZ914" s="1091"/>
      <c r="LNA914" s="1091"/>
      <c r="LNB914" s="1091"/>
      <c r="LNC914" s="1091"/>
      <c r="LND914" s="1091"/>
      <c r="LNE914" s="1091"/>
      <c r="LNF914" s="1091"/>
      <c r="LNG914" s="1091"/>
      <c r="LNH914" s="1091"/>
      <c r="LNI914" s="1091"/>
      <c r="LNJ914" s="1091"/>
      <c r="LNK914" s="1091"/>
      <c r="LNL914" s="1091"/>
      <c r="LNM914" s="1091"/>
      <c r="LNN914" s="1091"/>
      <c r="LNO914" s="1091"/>
      <c r="LNP914" s="1091"/>
      <c r="LNQ914" s="1091"/>
      <c r="LNR914" s="1091"/>
      <c r="LNS914" s="1091"/>
      <c r="LNT914" s="1091"/>
      <c r="LNU914" s="1091"/>
      <c r="LNV914" s="1091"/>
      <c r="LNW914" s="1091"/>
      <c r="LNX914" s="1091"/>
      <c r="LNY914" s="1091"/>
      <c r="LNZ914" s="1091"/>
      <c r="LOA914" s="1091"/>
      <c r="LOB914" s="1091"/>
      <c r="LOC914" s="1091"/>
      <c r="LOD914" s="1091"/>
      <c r="LOE914" s="1091"/>
      <c r="LOF914" s="1091"/>
      <c r="LOG914" s="1091"/>
      <c r="LOH914" s="1091"/>
      <c r="LOI914" s="1091"/>
      <c r="LOJ914" s="1091"/>
      <c r="LOK914" s="1091"/>
      <c r="LOL914" s="1091"/>
      <c r="LOM914" s="1091"/>
      <c r="LON914" s="1091"/>
      <c r="LOO914" s="1091"/>
      <c r="LOP914" s="1091"/>
      <c r="LOQ914" s="1091"/>
      <c r="LOR914" s="1091"/>
      <c r="LOS914" s="1091"/>
      <c r="LOT914" s="1091"/>
      <c r="LOU914" s="1091"/>
      <c r="LOV914" s="1091"/>
      <c r="LOW914" s="1091"/>
      <c r="LOX914" s="1091"/>
      <c r="LOY914" s="1091"/>
      <c r="LOZ914" s="1091"/>
      <c r="LPA914" s="1091"/>
      <c r="LPB914" s="1091"/>
      <c r="LPC914" s="1091"/>
      <c r="LPD914" s="1091"/>
      <c r="LPE914" s="1091"/>
      <c r="LPF914" s="1091"/>
      <c r="LPG914" s="1091"/>
      <c r="LPH914" s="1091"/>
      <c r="LPI914" s="1091"/>
      <c r="LPJ914" s="1091"/>
      <c r="LPK914" s="1091"/>
      <c r="LPL914" s="1091"/>
      <c r="LPM914" s="1091"/>
      <c r="LPN914" s="1091"/>
      <c r="LPO914" s="1091"/>
      <c r="LPP914" s="1091"/>
      <c r="LPQ914" s="1091"/>
      <c r="LPR914" s="1091"/>
      <c r="LPS914" s="1091"/>
      <c r="LPT914" s="1091"/>
      <c r="LPU914" s="1091"/>
      <c r="LPV914" s="1091"/>
      <c r="LPW914" s="1091"/>
      <c r="LPX914" s="1091"/>
      <c r="LPY914" s="1091"/>
      <c r="LPZ914" s="1091"/>
      <c r="LQA914" s="1091"/>
      <c r="LQB914" s="1091"/>
      <c r="LQC914" s="1091"/>
      <c r="LQD914" s="1091"/>
      <c r="LQE914" s="1091"/>
      <c r="LQF914" s="1091"/>
      <c r="LQG914" s="1091"/>
      <c r="LQH914" s="1091"/>
      <c r="LQI914" s="1091"/>
      <c r="LQJ914" s="1091"/>
      <c r="LQK914" s="1091"/>
      <c r="LQL914" s="1091"/>
      <c r="LQM914" s="1091"/>
      <c r="LQN914" s="1091"/>
      <c r="LQO914" s="1091"/>
      <c r="LQP914" s="1091"/>
      <c r="LQQ914" s="1091"/>
      <c r="LQR914" s="1091"/>
      <c r="LQS914" s="1091"/>
      <c r="LQT914" s="1091"/>
      <c r="LQU914" s="1091"/>
      <c r="LQV914" s="1091"/>
      <c r="LQW914" s="1091"/>
      <c r="LQX914" s="1091"/>
      <c r="LQY914" s="1091"/>
      <c r="LQZ914" s="1091"/>
      <c r="LRA914" s="1091"/>
      <c r="LRB914" s="1091"/>
      <c r="LRC914" s="1091"/>
      <c r="LRD914" s="1091"/>
      <c r="LRE914" s="1091"/>
      <c r="LRF914" s="1091"/>
      <c r="LRG914" s="1091"/>
      <c r="LRH914" s="1091"/>
      <c r="LRI914" s="1091"/>
      <c r="LRJ914" s="1091"/>
      <c r="LRK914" s="1091"/>
      <c r="LRL914" s="1091"/>
      <c r="LRM914" s="1091"/>
      <c r="LRN914" s="1091"/>
      <c r="LRO914" s="1091"/>
      <c r="LRP914" s="1091"/>
      <c r="LRQ914" s="1091"/>
      <c r="LRR914" s="1091"/>
      <c r="LRS914" s="1091"/>
      <c r="LRT914" s="1091"/>
      <c r="LRU914" s="1091"/>
      <c r="LRV914" s="1091"/>
      <c r="LRW914" s="1091"/>
      <c r="LRX914" s="1091"/>
      <c r="LRY914" s="1091"/>
      <c r="LRZ914" s="1091"/>
      <c r="LSA914" s="1091"/>
      <c r="LSB914" s="1091"/>
      <c r="LSC914" s="1091"/>
      <c r="LSD914" s="1091"/>
      <c r="LSE914" s="1091"/>
      <c r="LSF914" s="1091"/>
      <c r="LSG914" s="1091"/>
      <c r="LSH914" s="1091"/>
      <c r="LSI914" s="1091"/>
      <c r="LSJ914" s="1091"/>
      <c r="LSK914" s="1091"/>
      <c r="LSL914" s="1091"/>
      <c r="LSM914" s="1091"/>
      <c r="LSN914" s="1091"/>
      <c r="LSO914" s="1091"/>
      <c r="LSP914" s="1091"/>
      <c r="LSQ914" s="1091"/>
      <c r="LSR914" s="1091"/>
      <c r="LSS914" s="1091"/>
      <c r="LST914" s="1091"/>
      <c r="LSU914" s="1091"/>
      <c r="LSV914" s="1091"/>
      <c r="LSW914" s="1091"/>
      <c r="LSX914" s="1091"/>
      <c r="LSY914" s="1091"/>
      <c r="LSZ914" s="1091"/>
      <c r="LTA914" s="1091"/>
      <c r="LTB914" s="1091"/>
      <c r="LTC914" s="1091"/>
      <c r="LTD914" s="1091"/>
      <c r="LTE914" s="1091"/>
      <c r="LTF914" s="1091"/>
      <c r="LTG914" s="1091"/>
      <c r="LTH914" s="1091"/>
      <c r="LTI914" s="1091"/>
      <c r="LTJ914" s="1091"/>
      <c r="LTK914" s="1091"/>
      <c r="LTL914" s="1091"/>
      <c r="LTM914" s="1091"/>
      <c r="LTN914" s="1091"/>
      <c r="LTO914" s="1091"/>
      <c r="LTP914" s="1091"/>
      <c r="LTQ914" s="1091"/>
      <c r="LTR914" s="1091"/>
      <c r="LTS914" s="1091"/>
      <c r="LTT914" s="1091"/>
      <c r="LTU914" s="1091"/>
      <c r="LTV914" s="1091"/>
      <c r="LTW914" s="1091"/>
      <c r="LTX914" s="1091"/>
      <c r="LTY914" s="1091"/>
      <c r="LTZ914" s="1091"/>
      <c r="LUA914" s="1091"/>
      <c r="LUB914" s="1091"/>
      <c r="LUC914" s="1091"/>
      <c r="LUD914" s="1091"/>
      <c r="LUE914" s="1091"/>
      <c r="LUF914" s="1091"/>
      <c r="LUG914" s="1091"/>
      <c r="LUH914" s="1091"/>
      <c r="LUI914" s="1091"/>
      <c r="LUJ914" s="1091"/>
      <c r="LUK914" s="1091"/>
      <c r="LUL914" s="1091"/>
      <c r="LUM914" s="1091"/>
      <c r="LUN914" s="1091"/>
      <c r="LUO914" s="1091"/>
      <c r="LUP914" s="1091"/>
      <c r="LUQ914" s="1091"/>
      <c r="LUR914" s="1091"/>
      <c r="LUS914" s="1091"/>
      <c r="LUT914" s="1091"/>
      <c r="LUU914" s="1091"/>
      <c r="LUV914" s="1091"/>
      <c r="LUW914" s="1091"/>
      <c r="LUX914" s="1091"/>
      <c r="LUY914" s="1091"/>
      <c r="LUZ914" s="1091"/>
      <c r="LVA914" s="1091"/>
      <c r="LVB914" s="1091"/>
      <c r="LVC914" s="1091"/>
      <c r="LVD914" s="1091"/>
      <c r="LVE914" s="1091"/>
      <c r="LVF914" s="1091"/>
      <c r="LVG914" s="1091"/>
      <c r="LVH914" s="1091"/>
      <c r="LVI914" s="1091"/>
      <c r="LVJ914" s="1091"/>
      <c r="LVK914" s="1091"/>
      <c r="LVL914" s="1091"/>
      <c r="LVM914" s="1091"/>
      <c r="LVN914" s="1091"/>
      <c r="LVO914" s="1091"/>
      <c r="LVP914" s="1091"/>
      <c r="LVQ914" s="1091"/>
      <c r="LVR914" s="1091"/>
      <c r="LVS914" s="1091"/>
      <c r="LVT914" s="1091"/>
      <c r="LVU914" s="1091"/>
      <c r="LVV914" s="1091"/>
      <c r="LVW914" s="1091"/>
      <c r="LVX914" s="1091"/>
      <c r="LVY914" s="1091"/>
      <c r="LVZ914" s="1091"/>
      <c r="LWA914" s="1091"/>
      <c r="LWB914" s="1091"/>
      <c r="LWC914" s="1091"/>
      <c r="LWD914" s="1091"/>
      <c r="LWE914" s="1091"/>
      <c r="LWF914" s="1091"/>
      <c r="LWG914" s="1091"/>
      <c r="LWH914" s="1091"/>
      <c r="LWI914" s="1091"/>
      <c r="LWJ914" s="1091"/>
      <c r="LWK914" s="1091"/>
      <c r="LWL914" s="1091"/>
      <c r="LWM914" s="1091"/>
      <c r="LWN914" s="1091"/>
      <c r="LWO914" s="1091"/>
      <c r="LWP914" s="1091"/>
      <c r="LWQ914" s="1091"/>
      <c r="LWR914" s="1091"/>
      <c r="LWS914" s="1091"/>
      <c r="LWT914" s="1091"/>
      <c r="LWU914" s="1091"/>
      <c r="LWV914" s="1091"/>
      <c r="LWW914" s="1091"/>
      <c r="LWX914" s="1091"/>
      <c r="LWY914" s="1091"/>
      <c r="LWZ914" s="1091"/>
      <c r="LXA914" s="1091"/>
      <c r="LXB914" s="1091"/>
      <c r="LXC914" s="1091"/>
      <c r="LXD914" s="1091"/>
      <c r="LXE914" s="1091"/>
      <c r="LXF914" s="1091"/>
      <c r="LXG914" s="1091"/>
      <c r="LXH914" s="1091"/>
      <c r="LXI914" s="1091"/>
      <c r="LXJ914" s="1091"/>
      <c r="LXK914" s="1091"/>
      <c r="LXL914" s="1091"/>
      <c r="LXM914" s="1091"/>
      <c r="LXN914" s="1091"/>
      <c r="LXO914" s="1091"/>
      <c r="LXP914" s="1091"/>
      <c r="LXQ914" s="1091"/>
      <c r="LXR914" s="1091"/>
      <c r="LXS914" s="1091"/>
      <c r="LXT914" s="1091"/>
      <c r="LXU914" s="1091"/>
      <c r="LXV914" s="1091"/>
      <c r="LXW914" s="1091"/>
      <c r="LXX914" s="1091"/>
      <c r="LXY914" s="1091"/>
      <c r="LXZ914" s="1091"/>
      <c r="LYA914" s="1091"/>
      <c r="LYB914" s="1091"/>
      <c r="LYC914" s="1091"/>
      <c r="LYD914" s="1091"/>
      <c r="LYE914" s="1091"/>
      <c r="LYF914" s="1091"/>
      <c r="LYG914" s="1091"/>
      <c r="LYH914" s="1091"/>
      <c r="LYI914" s="1091"/>
      <c r="LYJ914" s="1091"/>
      <c r="LYK914" s="1091"/>
      <c r="LYL914" s="1091"/>
      <c r="LYM914" s="1091"/>
      <c r="LYN914" s="1091"/>
      <c r="LYO914" s="1091"/>
      <c r="LYP914" s="1091"/>
      <c r="LYQ914" s="1091"/>
      <c r="LYR914" s="1091"/>
      <c r="LYS914" s="1091"/>
      <c r="LYT914" s="1091"/>
      <c r="LYU914" s="1091"/>
      <c r="LYV914" s="1091"/>
      <c r="LYW914" s="1091"/>
      <c r="LYX914" s="1091"/>
      <c r="LYY914" s="1091"/>
      <c r="LYZ914" s="1091"/>
      <c r="LZA914" s="1091"/>
      <c r="LZB914" s="1091"/>
      <c r="LZC914" s="1091"/>
      <c r="LZD914" s="1091"/>
      <c r="LZE914" s="1091"/>
      <c r="LZF914" s="1091"/>
      <c r="LZG914" s="1091"/>
      <c r="LZH914" s="1091"/>
      <c r="LZI914" s="1091"/>
      <c r="LZJ914" s="1091"/>
      <c r="LZK914" s="1091"/>
      <c r="LZL914" s="1091"/>
      <c r="LZM914" s="1091"/>
      <c r="LZN914" s="1091"/>
      <c r="LZO914" s="1091"/>
      <c r="LZP914" s="1091"/>
      <c r="LZQ914" s="1091"/>
      <c r="LZR914" s="1091"/>
      <c r="LZS914" s="1091"/>
      <c r="LZT914" s="1091"/>
      <c r="LZU914" s="1091"/>
      <c r="LZV914" s="1091"/>
      <c r="LZW914" s="1091"/>
      <c r="LZX914" s="1091"/>
      <c r="LZY914" s="1091"/>
      <c r="LZZ914" s="1091"/>
      <c r="MAA914" s="1091"/>
      <c r="MAB914" s="1091"/>
      <c r="MAC914" s="1091"/>
      <c r="MAD914" s="1091"/>
      <c r="MAE914" s="1091"/>
      <c r="MAF914" s="1091"/>
      <c r="MAG914" s="1091"/>
      <c r="MAH914" s="1091"/>
      <c r="MAI914" s="1091"/>
      <c r="MAJ914" s="1091"/>
      <c r="MAK914" s="1091"/>
      <c r="MAL914" s="1091"/>
      <c r="MAM914" s="1091"/>
      <c r="MAN914" s="1091"/>
      <c r="MAO914" s="1091"/>
      <c r="MAP914" s="1091"/>
      <c r="MAQ914" s="1091"/>
      <c r="MAR914" s="1091"/>
      <c r="MAS914" s="1091"/>
      <c r="MAT914" s="1091"/>
      <c r="MAU914" s="1091"/>
      <c r="MAV914" s="1091"/>
      <c r="MAW914" s="1091"/>
      <c r="MAX914" s="1091"/>
      <c r="MAY914" s="1091"/>
      <c r="MAZ914" s="1091"/>
      <c r="MBA914" s="1091"/>
      <c r="MBB914" s="1091"/>
      <c r="MBC914" s="1091"/>
      <c r="MBD914" s="1091"/>
      <c r="MBE914" s="1091"/>
      <c r="MBF914" s="1091"/>
      <c r="MBG914" s="1091"/>
      <c r="MBH914" s="1091"/>
      <c r="MBI914" s="1091"/>
      <c r="MBJ914" s="1091"/>
      <c r="MBK914" s="1091"/>
      <c r="MBL914" s="1091"/>
      <c r="MBM914" s="1091"/>
      <c r="MBN914" s="1091"/>
      <c r="MBO914" s="1091"/>
      <c r="MBP914" s="1091"/>
      <c r="MBQ914" s="1091"/>
      <c r="MBR914" s="1091"/>
      <c r="MBS914" s="1091"/>
      <c r="MBT914" s="1091"/>
      <c r="MBU914" s="1091"/>
      <c r="MBV914" s="1091"/>
      <c r="MBW914" s="1091"/>
      <c r="MBX914" s="1091"/>
      <c r="MBY914" s="1091"/>
      <c r="MBZ914" s="1091"/>
      <c r="MCA914" s="1091"/>
      <c r="MCB914" s="1091"/>
      <c r="MCC914" s="1091"/>
      <c r="MCD914" s="1091"/>
      <c r="MCE914" s="1091"/>
      <c r="MCF914" s="1091"/>
      <c r="MCG914" s="1091"/>
      <c r="MCH914" s="1091"/>
      <c r="MCI914" s="1091"/>
      <c r="MCJ914" s="1091"/>
      <c r="MCK914" s="1091"/>
      <c r="MCL914" s="1091"/>
      <c r="MCM914" s="1091"/>
      <c r="MCN914" s="1091"/>
      <c r="MCO914" s="1091"/>
      <c r="MCP914" s="1091"/>
      <c r="MCQ914" s="1091"/>
      <c r="MCR914" s="1091"/>
      <c r="MCS914" s="1091"/>
      <c r="MCT914" s="1091"/>
      <c r="MCU914" s="1091"/>
      <c r="MCV914" s="1091"/>
      <c r="MCW914" s="1091"/>
      <c r="MCX914" s="1091"/>
      <c r="MCY914" s="1091"/>
      <c r="MCZ914" s="1091"/>
      <c r="MDA914" s="1091"/>
      <c r="MDB914" s="1091"/>
      <c r="MDC914" s="1091"/>
      <c r="MDD914" s="1091"/>
      <c r="MDE914" s="1091"/>
      <c r="MDF914" s="1091"/>
      <c r="MDG914" s="1091"/>
      <c r="MDH914" s="1091"/>
      <c r="MDI914" s="1091"/>
      <c r="MDJ914" s="1091"/>
      <c r="MDK914" s="1091"/>
      <c r="MDL914" s="1091"/>
      <c r="MDM914" s="1091"/>
      <c r="MDN914" s="1091"/>
      <c r="MDO914" s="1091"/>
      <c r="MDP914" s="1091"/>
      <c r="MDQ914" s="1091"/>
      <c r="MDR914" s="1091"/>
      <c r="MDS914" s="1091"/>
      <c r="MDT914" s="1091"/>
      <c r="MDU914" s="1091"/>
      <c r="MDV914" s="1091"/>
      <c r="MDW914" s="1091"/>
      <c r="MDX914" s="1091"/>
      <c r="MDY914" s="1091"/>
      <c r="MDZ914" s="1091"/>
      <c r="MEA914" s="1091"/>
      <c r="MEB914" s="1091"/>
      <c r="MEC914" s="1091"/>
      <c r="MED914" s="1091"/>
      <c r="MEE914" s="1091"/>
      <c r="MEF914" s="1091"/>
      <c r="MEG914" s="1091"/>
      <c r="MEH914" s="1091"/>
      <c r="MEI914" s="1091"/>
      <c r="MEJ914" s="1091"/>
      <c r="MEK914" s="1091"/>
      <c r="MEL914" s="1091"/>
      <c r="MEM914" s="1091"/>
      <c r="MEN914" s="1091"/>
      <c r="MEO914" s="1091"/>
      <c r="MEP914" s="1091"/>
      <c r="MEQ914" s="1091"/>
      <c r="MER914" s="1091"/>
      <c r="MES914" s="1091"/>
      <c r="MET914" s="1091"/>
      <c r="MEU914" s="1091"/>
      <c r="MEV914" s="1091"/>
      <c r="MEW914" s="1091"/>
      <c r="MEX914" s="1091"/>
      <c r="MEY914" s="1091"/>
      <c r="MEZ914" s="1091"/>
      <c r="MFA914" s="1091"/>
      <c r="MFB914" s="1091"/>
      <c r="MFC914" s="1091"/>
      <c r="MFD914" s="1091"/>
      <c r="MFE914" s="1091"/>
      <c r="MFF914" s="1091"/>
      <c r="MFG914" s="1091"/>
      <c r="MFH914" s="1091"/>
      <c r="MFI914" s="1091"/>
      <c r="MFJ914" s="1091"/>
      <c r="MFK914" s="1091"/>
      <c r="MFL914" s="1091"/>
      <c r="MFM914" s="1091"/>
      <c r="MFN914" s="1091"/>
      <c r="MFO914" s="1091"/>
      <c r="MFP914" s="1091"/>
      <c r="MFQ914" s="1091"/>
      <c r="MFR914" s="1091"/>
      <c r="MFS914" s="1091"/>
      <c r="MFT914" s="1091"/>
      <c r="MFU914" s="1091"/>
      <c r="MFV914" s="1091"/>
      <c r="MFW914" s="1091"/>
      <c r="MFX914" s="1091"/>
      <c r="MFY914" s="1091"/>
      <c r="MFZ914" s="1091"/>
      <c r="MGA914" s="1091"/>
      <c r="MGB914" s="1091"/>
      <c r="MGC914" s="1091"/>
      <c r="MGD914" s="1091"/>
      <c r="MGE914" s="1091"/>
      <c r="MGF914" s="1091"/>
      <c r="MGG914" s="1091"/>
      <c r="MGH914" s="1091"/>
      <c r="MGI914" s="1091"/>
      <c r="MGJ914" s="1091"/>
      <c r="MGK914" s="1091"/>
      <c r="MGL914" s="1091"/>
      <c r="MGM914" s="1091"/>
      <c r="MGN914" s="1091"/>
      <c r="MGO914" s="1091"/>
      <c r="MGP914" s="1091"/>
      <c r="MGQ914" s="1091"/>
      <c r="MGR914" s="1091"/>
      <c r="MGS914" s="1091"/>
      <c r="MGT914" s="1091"/>
      <c r="MGU914" s="1091"/>
      <c r="MGV914" s="1091"/>
      <c r="MGW914" s="1091"/>
      <c r="MGX914" s="1091"/>
      <c r="MGY914" s="1091"/>
      <c r="MGZ914" s="1091"/>
      <c r="MHA914" s="1091"/>
      <c r="MHB914" s="1091"/>
      <c r="MHC914" s="1091"/>
      <c r="MHD914" s="1091"/>
      <c r="MHE914" s="1091"/>
      <c r="MHF914" s="1091"/>
      <c r="MHG914" s="1091"/>
      <c r="MHH914" s="1091"/>
      <c r="MHI914" s="1091"/>
      <c r="MHJ914" s="1091"/>
      <c r="MHK914" s="1091"/>
      <c r="MHL914" s="1091"/>
      <c r="MHM914" s="1091"/>
      <c r="MHN914" s="1091"/>
      <c r="MHO914" s="1091"/>
      <c r="MHP914" s="1091"/>
      <c r="MHQ914" s="1091"/>
      <c r="MHR914" s="1091"/>
      <c r="MHS914" s="1091"/>
      <c r="MHT914" s="1091"/>
      <c r="MHU914" s="1091"/>
      <c r="MHV914" s="1091"/>
      <c r="MHW914" s="1091"/>
      <c r="MHX914" s="1091"/>
      <c r="MHY914" s="1091"/>
      <c r="MHZ914" s="1091"/>
      <c r="MIA914" s="1091"/>
      <c r="MIB914" s="1091"/>
      <c r="MIC914" s="1091"/>
      <c r="MID914" s="1091"/>
      <c r="MIE914" s="1091"/>
      <c r="MIF914" s="1091"/>
      <c r="MIG914" s="1091"/>
      <c r="MIH914" s="1091"/>
      <c r="MII914" s="1091"/>
      <c r="MIJ914" s="1091"/>
      <c r="MIK914" s="1091"/>
      <c r="MIL914" s="1091"/>
      <c r="MIM914" s="1091"/>
      <c r="MIN914" s="1091"/>
      <c r="MIO914" s="1091"/>
      <c r="MIP914" s="1091"/>
      <c r="MIQ914" s="1091"/>
      <c r="MIR914" s="1091"/>
      <c r="MIS914" s="1091"/>
      <c r="MIT914" s="1091"/>
      <c r="MIU914" s="1091"/>
      <c r="MIV914" s="1091"/>
      <c r="MIW914" s="1091"/>
      <c r="MIX914" s="1091"/>
      <c r="MIY914" s="1091"/>
      <c r="MIZ914" s="1091"/>
      <c r="MJA914" s="1091"/>
      <c r="MJB914" s="1091"/>
      <c r="MJC914" s="1091"/>
      <c r="MJD914" s="1091"/>
      <c r="MJE914" s="1091"/>
      <c r="MJF914" s="1091"/>
      <c r="MJG914" s="1091"/>
      <c r="MJH914" s="1091"/>
      <c r="MJI914" s="1091"/>
      <c r="MJJ914" s="1091"/>
      <c r="MJK914" s="1091"/>
      <c r="MJL914" s="1091"/>
      <c r="MJM914" s="1091"/>
      <c r="MJN914" s="1091"/>
      <c r="MJO914" s="1091"/>
      <c r="MJP914" s="1091"/>
      <c r="MJQ914" s="1091"/>
      <c r="MJR914" s="1091"/>
      <c r="MJS914" s="1091"/>
      <c r="MJT914" s="1091"/>
      <c r="MJU914" s="1091"/>
      <c r="MJV914" s="1091"/>
      <c r="MJW914" s="1091"/>
      <c r="MJX914" s="1091"/>
      <c r="MJY914" s="1091"/>
      <c r="MJZ914" s="1091"/>
      <c r="MKA914" s="1091"/>
      <c r="MKB914" s="1091"/>
      <c r="MKC914" s="1091"/>
      <c r="MKD914" s="1091"/>
      <c r="MKE914" s="1091"/>
      <c r="MKF914" s="1091"/>
      <c r="MKG914" s="1091"/>
      <c r="MKH914" s="1091"/>
      <c r="MKI914" s="1091"/>
      <c r="MKJ914" s="1091"/>
      <c r="MKK914" s="1091"/>
      <c r="MKL914" s="1091"/>
      <c r="MKM914" s="1091"/>
      <c r="MKN914" s="1091"/>
      <c r="MKO914" s="1091"/>
      <c r="MKP914" s="1091"/>
      <c r="MKQ914" s="1091"/>
      <c r="MKR914" s="1091"/>
      <c r="MKS914" s="1091"/>
      <c r="MKT914" s="1091"/>
      <c r="MKU914" s="1091"/>
      <c r="MKV914" s="1091"/>
      <c r="MKW914" s="1091"/>
      <c r="MKX914" s="1091"/>
      <c r="MKY914" s="1091"/>
      <c r="MKZ914" s="1091"/>
      <c r="MLA914" s="1091"/>
      <c r="MLB914" s="1091"/>
      <c r="MLC914" s="1091"/>
      <c r="MLD914" s="1091"/>
      <c r="MLE914" s="1091"/>
      <c r="MLF914" s="1091"/>
      <c r="MLG914" s="1091"/>
      <c r="MLH914" s="1091"/>
      <c r="MLI914" s="1091"/>
      <c r="MLJ914" s="1091"/>
      <c r="MLK914" s="1091"/>
      <c r="MLL914" s="1091"/>
      <c r="MLM914" s="1091"/>
      <c r="MLN914" s="1091"/>
      <c r="MLO914" s="1091"/>
      <c r="MLP914" s="1091"/>
      <c r="MLQ914" s="1091"/>
      <c r="MLR914" s="1091"/>
      <c r="MLS914" s="1091"/>
      <c r="MLT914" s="1091"/>
      <c r="MLU914" s="1091"/>
      <c r="MLV914" s="1091"/>
      <c r="MLW914" s="1091"/>
      <c r="MLX914" s="1091"/>
      <c r="MLY914" s="1091"/>
      <c r="MLZ914" s="1091"/>
      <c r="MMA914" s="1091"/>
      <c r="MMB914" s="1091"/>
      <c r="MMC914" s="1091"/>
      <c r="MMD914" s="1091"/>
      <c r="MME914" s="1091"/>
      <c r="MMF914" s="1091"/>
      <c r="MMG914" s="1091"/>
      <c r="MMH914" s="1091"/>
      <c r="MMI914" s="1091"/>
      <c r="MMJ914" s="1091"/>
      <c r="MMK914" s="1091"/>
      <c r="MML914" s="1091"/>
      <c r="MMM914" s="1091"/>
      <c r="MMN914" s="1091"/>
      <c r="MMO914" s="1091"/>
      <c r="MMP914" s="1091"/>
      <c r="MMQ914" s="1091"/>
      <c r="MMR914" s="1091"/>
      <c r="MMS914" s="1091"/>
      <c r="MMT914" s="1091"/>
      <c r="MMU914" s="1091"/>
      <c r="MMV914" s="1091"/>
      <c r="MMW914" s="1091"/>
      <c r="MMX914" s="1091"/>
      <c r="MMY914" s="1091"/>
      <c r="MMZ914" s="1091"/>
      <c r="MNA914" s="1091"/>
      <c r="MNB914" s="1091"/>
      <c r="MNC914" s="1091"/>
      <c r="MND914" s="1091"/>
      <c r="MNE914" s="1091"/>
      <c r="MNF914" s="1091"/>
      <c r="MNG914" s="1091"/>
      <c r="MNH914" s="1091"/>
      <c r="MNI914" s="1091"/>
      <c r="MNJ914" s="1091"/>
      <c r="MNK914" s="1091"/>
      <c r="MNL914" s="1091"/>
      <c r="MNM914" s="1091"/>
      <c r="MNN914" s="1091"/>
      <c r="MNO914" s="1091"/>
      <c r="MNP914" s="1091"/>
      <c r="MNQ914" s="1091"/>
      <c r="MNR914" s="1091"/>
      <c r="MNS914" s="1091"/>
      <c r="MNT914" s="1091"/>
      <c r="MNU914" s="1091"/>
      <c r="MNV914" s="1091"/>
      <c r="MNW914" s="1091"/>
      <c r="MNX914" s="1091"/>
      <c r="MNY914" s="1091"/>
      <c r="MNZ914" s="1091"/>
      <c r="MOA914" s="1091"/>
      <c r="MOB914" s="1091"/>
      <c r="MOC914" s="1091"/>
      <c r="MOD914" s="1091"/>
      <c r="MOE914" s="1091"/>
      <c r="MOF914" s="1091"/>
      <c r="MOG914" s="1091"/>
      <c r="MOH914" s="1091"/>
      <c r="MOI914" s="1091"/>
      <c r="MOJ914" s="1091"/>
      <c r="MOK914" s="1091"/>
      <c r="MOL914" s="1091"/>
      <c r="MOM914" s="1091"/>
      <c r="MON914" s="1091"/>
      <c r="MOO914" s="1091"/>
      <c r="MOP914" s="1091"/>
      <c r="MOQ914" s="1091"/>
      <c r="MOR914" s="1091"/>
      <c r="MOS914" s="1091"/>
      <c r="MOT914" s="1091"/>
      <c r="MOU914" s="1091"/>
      <c r="MOV914" s="1091"/>
      <c r="MOW914" s="1091"/>
      <c r="MOX914" s="1091"/>
      <c r="MOY914" s="1091"/>
      <c r="MOZ914" s="1091"/>
      <c r="MPA914" s="1091"/>
      <c r="MPB914" s="1091"/>
      <c r="MPC914" s="1091"/>
      <c r="MPD914" s="1091"/>
      <c r="MPE914" s="1091"/>
      <c r="MPF914" s="1091"/>
      <c r="MPG914" s="1091"/>
      <c r="MPH914" s="1091"/>
      <c r="MPI914" s="1091"/>
      <c r="MPJ914" s="1091"/>
      <c r="MPK914" s="1091"/>
      <c r="MPL914" s="1091"/>
      <c r="MPM914" s="1091"/>
      <c r="MPN914" s="1091"/>
      <c r="MPO914" s="1091"/>
      <c r="MPP914" s="1091"/>
      <c r="MPQ914" s="1091"/>
      <c r="MPR914" s="1091"/>
      <c r="MPS914" s="1091"/>
      <c r="MPT914" s="1091"/>
      <c r="MPU914" s="1091"/>
      <c r="MPV914" s="1091"/>
      <c r="MPW914" s="1091"/>
      <c r="MPX914" s="1091"/>
      <c r="MPY914" s="1091"/>
      <c r="MPZ914" s="1091"/>
      <c r="MQA914" s="1091"/>
      <c r="MQB914" s="1091"/>
      <c r="MQC914" s="1091"/>
      <c r="MQD914" s="1091"/>
      <c r="MQE914" s="1091"/>
      <c r="MQF914" s="1091"/>
      <c r="MQG914" s="1091"/>
      <c r="MQH914" s="1091"/>
      <c r="MQI914" s="1091"/>
      <c r="MQJ914" s="1091"/>
      <c r="MQK914" s="1091"/>
      <c r="MQL914" s="1091"/>
      <c r="MQM914" s="1091"/>
      <c r="MQN914" s="1091"/>
      <c r="MQO914" s="1091"/>
      <c r="MQP914" s="1091"/>
      <c r="MQQ914" s="1091"/>
      <c r="MQR914" s="1091"/>
      <c r="MQS914" s="1091"/>
      <c r="MQT914" s="1091"/>
      <c r="MQU914" s="1091"/>
      <c r="MQV914" s="1091"/>
      <c r="MQW914" s="1091"/>
      <c r="MQX914" s="1091"/>
      <c r="MQY914" s="1091"/>
      <c r="MQZ914" s="1091"/>
      <c r="MRA914" s="1091"/>
      <c r="MRB914" s="1091"/>
      <c r="MRC914" s="1091"/>
      <c r="MRD914" s="1091"/>
      <c r="MRE914" s="1091"/>
      <c r="MRF914" s="1091"/>
      <c r="MRG914" s="1091"/>
      <c r="MRH914" s="1091"/>
      <c r="MRI914" s="1091"/>
      <c r="MRJ914" s="1091"/>
      <c r="MRK914" s="1091"/>
      <c r="MRL914" s="1091"/>
      <c r="MRM914" s="1091"/>
      <c r="MRN914" s="1091"/>
      <c r="MRO914" s="1091"/>
      <c r="MRP914" s="1091"/>
      <c r="MRQ914" s="1091"/>
      <c r="MRR914" s="1091"/>
      <c r="MRS914" s="1091"/>
      <c r="MRT914" s="1091"/>
      <c r="MRU914" s="1091"/>
      <c r="MRV914" s="1091"/>
      <c r="MRW914" s="1091"/>
      <c r="MRX914" s="1091"/>
      <c r="MRY914" s="1091"/>
      <c r="MRZ914" s="1091"/>
      <c r="MSA914" s="1091"/>
      <c r="MSB914" s="1091"/>
      <c r="MSC914" s="1091"/>
      <c r="MSD914" s="1091"/>
      <c r="MSE914" s="1091"/>
      <c r="MSF914" s="1091"/>
      <c r="MSG914" s="1091"/>
      <c r="MSH914" s="1091"/>
      <c r="MSI914" s="1091"/>
      <c r="MSJ914" s="1091"/>
      <c r="MSK914" s="1091"/>
      <c r="MSL914" s="1091"/>
      <c r="MSM914" s="1091"/>
      <c r="MSN914" s="1091"/>
      <c r="MSO914" s="1091"/>
      <c r="MSP914" s="1091"/>
      <c r="MSQ914" s="1091"/>
      <c r="MSR914" s="1091"/>
      <c r="MSS914" s="1091"/>
      <c r="MST914" s="1091"/>
      <c r="MSU914" s="1091"/>
      <c r="MSV914" s="1091"/>
      <c r="MSW914" s="1091"/>
      <c r="MSX914" s="1091"/>
      <c r="MSY914" s="1091"/>
      <c r="MSZ914" s="1091"/>
      <c r="MTA914" s="1091"/>
      <c r="MTB914" s="1091"/>
      <c r="MTC914" s="1091"/>
      <c r="MTD914" s="1091"/>
      <c r="MTE914" s="1091"/>
      <c r="MTF914" s="1091"/>
      <c r="MTG914" s="1091"/>
      <c r="MTH914" s="1091"/>
      <c r="MTI914" s="1091"/>
      <c r="MTJ914" s="1091"/>
      <c r="MTK914" s="1091"/>
      <c r="MTL914" s="1091"/>
      <c r="MTM914" s="1091"/>
      <c r="MTN914" s="1091"/>
      <c r="MTO914" s="1091"/>
      <c r="MTP914" s="1091"/>
      <c r="MTQ914" s="1091"/>
      <c r="MTR914" s="1091"/>
      <c r="MTS914" s="1091"/>
      <c r="MTT914" s="1091"/>
      <c r="MTU914" s="1091"/>
      <c r="MTV914" s="1091"/>
      <c r="MTW914" s="1091"/>
      <c r="MTX914" s="1091"/>
      <c r="MTY914" s="1091"/>
      <c r="MTZ914" s="1091"/>
      <c r="MUA914" s="1091"/>
      <c r="MUB914" s="1091"/>
      <c r="MUC914" s="1091"/>
      <c r="MUD914" s="1091"/>
      <c r="MUE914" s="1091"/>
      <c r="MUF914" s="1091"/>
      <c r="MUG914" s="1091"/>
      <c r="MUH914" s="1091"/>
      <c r="MUI914" s="1091"/>
      <c r="MUJ914" s="1091"/>
      <c r="MUK914" s="1091"/>
      <c r="MUL914" s="1091"/>
      <c r="MUM914" s="1091"/>
      <c r="MUN914" s="1091"/>
      <c r="MUO914" s="1091"/>
      <c r="MUP914" s="1091"/>
      <c r="MUQ914" s="1091"/>
      <c r="MUR914" s="1091"/>
      <c r="MUS914" s="1091"/>
      <c r="MUT914" s="1091"/>
      <c r="MUU914" s="1091"/>
      <c r="MUV914" s="1091"/>
      <c r="MUW914" s="1091"/>
      <c r="MUX914" s="1091"/>
      <c r="MUY914" s="1091"/>
      <c r="MUZ914" s="1091"/>
      <c r="MVA914" s="1091"/>
      <c r="MVB914" s="1091"/>
      <c r="MVC914" s="1091"/>
      <c r="MVD914" s="1091"/>
      <c r="MVE914" s="1091"/>
      <c r="MVF914" s="1091"/>
      <c r="MVG914" s="1091"/>
      <c r="MVH914" s="1091"/>
      <c r="MVI914" s="1091"/>
      <c r="MVJ914" s="1091"/>
      <c r="MVK914" s="1091"/>
      <c r="MVL914" s="1091"/>
      <c r="MVM914" s="1091"/>
      <c r="MVN914" s="1091"/>
      <c r="MVO914" s="1091"/>
      <c r="MVP914" s="1091"/>
      <c r="MVQ914" s="1091"/>
      <c r="MVR914" s="1091"/>
      <c r="MVS914" s="1091"/>
      <c r="MVT914" s="1091"/>
      <c r="MVU914" s="1091"/>
      <c r="MVV914" s="1091"/>
      <c r="MVW914" s="1091"/>
      <c r="MVX914" s="1091"/>
      <c r="MVY914" s="1091"/>
      <c r="MVZ914" s="1091"/>
      <c r="MWA914" s="1091"/>
      <c r="MWB914" s="1091"/>
      <c r="MWC914" s="1091"/>
      <c r="MWD914" s="1091"/>
      <c r="MWE914" s="1091"/>
      <c r="MWF914" s="1091"/>
      <c r="MWG914" s="1091"/>
      <c r="MWH914" s="1091"/>
      <c r="MWI914" s="1091"/>
      <c r="MWJ914" s="1091"/>
      <c r="MWK914" s="1091"/>
      <c r="MWL914" s="1091"/>
      <c r="MWM914" s="1091"/>
      <c r="MWN914" s="1091"/>
      <c r="MWO914" s="1091"/>
      <c r="MWP914" s="1091"/>
      <c r="MWQ914" s="1091"/>
      <c r="MWR914" s="1091"/>
      <c r="MWS914" s="1091"/>
      <c r="MWT914" s="1091"/>
      <c r="MWU914" s="1091"/>
      <c r="MWV914" s="1091"/>
      <c r="MWW914" s="1091"/>
      <c r="MWX914" s="1091"/>
      <c r="MWY914" s="1091"/>
      <c r="MWZ914" s="1091"/>
      <c r="MXA914" s="1091"/>
      <c r="MXB914" s="1091"/>
      <c r="MXC914" s="1091"/>
      <c r="MXD914" s="1091"/>
      <c r="MXE914" s="1091"/>
      <c r="MXF914" s="1091"/>
      <c r="MXG914" s="1091"/>
      <c r="MXH914" s="1091"/>
      <c r="MXI914" s="1091"/>
      <c r="MXJ914" s="1091"/>
      <c r="MXK914" s="1091"/>
      <c r="MXL914" s="1091"/>
      <c r="MXM914" s="1091"/>
      <c r="MXN914" s="1091"/>
      <c r="MXO914" s="1091"/>
      <c r="MXP914" s="1091"/>
      <c r="MXQ914" s="1091"/>
      <c r="MXR914" s="1091"/>
      <c r="MXS914" s="1091"/>
      <c r="MXT914" s="1091"/>
      <c r="MXU914" s="1091"/>
      <c r="MXV914" s="1091"/>
      <c r="MXW914" s="1091"/>
      <c r="MXX914" s="1091"/>
      <c r="MXY914" s="1091"/>
      <c r="MXZ914" s="1091"/>
      <c r="MYA914" s="1091"/>
      <c r="MYB914" s="1091"/>
      <c r="MYC914" s="1091"/>
      <c r="MYD914" s="1091"/>
      <c r="MYE914" s="1091"/>
      <c r="MYF914" s="1091"/>
      <c r="MYG914" s="1091"/>
      <c r="MYH914" s="1091"/>
      <c r="MYI914" s="1091"/>
      <c r="MYJ914" s="1091"/>
      <c r="MYK914" s="1091"/>
      <c r="MYL914" s="1091"/>
      <c r="MYM914" s="1091"/>
      <c r="MYN914" s="1091"/>
      <c r="MYO914" s="1091"/>
      <c r="MYP914" s="1091"/>
      <c r="MYQ914" s="1091"/>
      <c r="MYR914" s="1091"/>
      <c r="MYS914" s="1091"/>
      <c r="MYT914" s="1091"/>
      <c r="MYU914" s="1091"/>
      <c r="MYV914" s="1091"/>
      <c r="MYW914" s="1091"/>
      <c r="MYX914" s="1091"/>
      <c r="MYY914" s="1091"/>
      <c r="MYZ914" s="1091"/>
      <c r="MZA914" s="1091"/>
      <c r="MZB914" s="1091"/>
      <c r="MZC914" s="1091"/>
      <c r="MZD914" s="1091"/>
      <c r="MZE914" s="1091"/>
      <c r="MZF914" s="1091"/>
      <c r="MZG914" s="1091"/>
      <c r="MZH914" s="1091"/>
      <c r="MZI914" s="1091"/>
      <c r="MZJ914" s="1091"/>
      <c r="MZK914" s="1091"/>
      <c r="MZL914" s="1091"/>
      <c r="MZM914" s="1091"/>
      <c r="MZN914" s="1091"/>
      <c r="MZO914" s="1091"/>
      <c r="MZP914" s="1091"/>
      <c r="MZQ914" s="1091"/>
      <c r="MZR914" s="1091"/>
      <c r="MZS914" s="1091"/>
      <c r="MZT914" s="1091"/>
      <c r="MZU914" s="1091"/>
      <c r="MZV914" s="1091"/>
      <c r="MZW914" s="1091"/>
      <c r="MZX914" s="1091"/>
      <c r="MZY914" s="1091"/>
      <c r="MZZ914" s="1091"/>
      <c r="NAA914" s="1091"/>
      <c r="NAB914" s="1091"/>
      <c r="NAC914" s="1091"/>
      <c r="NAD914" s="1091"/>
      <c r="NAE914" s="1091"/>
      <c r="NAF914" s="1091"/>
      <c r="NAG914" s="1091"/>
      <c r="NAH914" s="1091"/>
      <c r="NAI914" s="1091"/>
      <c r="NAJ914" s="1091"/>
      <c r="NAK914" s="1091"/>
      <c r="NAL914" s="1091"/>
      <c r="NAM914" s="1091"/>
      <c r="NAN914" s="1091"/>
      <c r="NAO914" s="1091"/>
      <c r="NAP914" s="1091"/>
      <c r="NAQ914" s="1091"/>
      <c r="NAR914" s="1091"/>
      <c r="NAS914" s="1091"/>
      <c r="NAT914" s="1091"/>
      <c r="NAU914" s="1091"/>
      <c r="NAV914" s="1091"/>
      <c r="NAW914" s="1091"/>
      <c r="NAX914" s="1091"/>
      <c r="NAY914" s="1091"/>
      <c r="NAZ914" s="1091"/>
      <c r="NBA914" s="1091"/>
      <c r="NBB914" s="1091"/>
      <c r="NBC914" s="1091"/>
      <c r="NBD914" s="1091"/>
      <c r="NBE914" s="1091"/>
      <c r="NBF914" s="1091"/>
      <c r="NBG914" s="1091"/>
      <c r="NBH914" s="1091"/>
      <c r="NBI914" s="1091"/>
      <c r="NBJ914" s="1091"/>
      <c r="NBK914" s="1091"/>
      <c r="NBL914" s="1091"/>
      <c r="NBM914" s="1091"/>
      <c r="NBN914" s="1091"/>
      <c r="NBO914" s="1091"/>
      <c r="NBP914" s="1091"/>
      <c r="NBQ914" s="1091"/>
      <c r="NBR914" s="1091"/>
      <c r="NBS914" s="1091"/>
      <c r="NBT914" s="1091"/>
      <c r="NBU914" s="1091"/>
      <c r="NBV914" s="1091"/>
      <c r="NBW914" s="1091"/>
      <c r="NBX914" s="1091"/>
      <c r="NBY914" s="1091"/>
      <c r="NBZ914" s="1091"/>
      <c r="NCA914" s="1091"/>
      <c r="NCB914" s="1091"/>
      <c r="NCC914" s="1091"/>
      <c r="NCD914" s="1091"/>
      <c r="NCE914" s="1091"/>
      <c r="NCF914" s="1091"/>
      <c r="NCG914" s="1091"/>
      <c r="NCH914" s="1091"/>
      <c r="NCI914" s="1091"/>
      <c r="NCJ914" s="1091"/>
      <c r="NCK914" s="1091"/>
      <c r="NCL914" s="1091"/>
      <c r="NCM914" s="1091"/>
      <c r="NCN914" s="1091"/>
      <c r="NCO914" s="1091"/>
      <c r="NCP914" s="1091"/>
      <c r="NCQ914" s="1091"/>
      <c r="NCR914" s="1091"/>
      <c r="NCS914" s="1091"/>
      <c r="NCT914" s="1091"/>
      <c r="NCU914" s="1091"/>
      <c r="NCV914" s="1091"/>
      <c r="NCW914" s="1091"/>
      <c r="NCX914" s="1091"/>
      <c r="NCY914" s="1091"/>
      <c r="NCZ914" s="1091"/>
      <c r="NDA914" s="1091"/>
      <c r="NDB914" s="1091"/>
      <c r="NDC914" s="1091"/>
      <c r="NDD914" s="1091"/>
      <c r="NDE914" s="1091"/>
      <c r="NDF914" s="1091"/>
      <c r="NDG914" s="1091"/>
      <c r="NDH914" s="1091"/>
      <c r="NDI914" s="1091"/>
      <c r="NDJ914" s="1091"/>
      <c r="NDK914" s="1091"/>
      <c r="NDL914" s="1091"/>
      <c r="NDM914" s="1091"/>
      <c r="NDN914" s="1091"/>
      <c r="NDO914" s="1091"/>
      <c r="NDP914" s="1091"/>
      <c r="NDQ914" s="1091"/>
      <c r="NDR914" s="1091"/>
      <c r="NDS914" s="1091"/>
      <c r="NDT914" s="1091"/>
      <c r="NDU914" s="1091"/>
      <c r="NDV914" s="1091"/>
      <c r="NDW914" s="1091"/>
      <c r="NDX914" s="1091"/>
      <c r="NDY914" s="1091"/>
      <c r="NDZ914" s="1091"/>
      <c r="NEA914" s="1091"/>
      <c r="NEB914" s="1091"/>
      <c r="NEC914" s="1091"/>
      <c r="NED914" s="1091"/>
      <c r="NEE914" s="1091"/>
      <c r="NEF914" s="1091"/>
      <c r="NEG914" s="1091"/>
      <c r="NEH914" s="1091"/>
      <c r="NEI914" s="1091"/>
      <c r="NEJ914" s="1091"/>
      <c r="NEK914" s="1091"/>
      <c r="NEL914" s="1091"/>
      <c r="NEM914" s="1091"/>
      <c r="NEN914" s="1091"/>
      <c r="NEO914" s="1091"/>
      <c r="NEP914" s="1091"/>
      <c r="NEQ914" s="1091"/>
      <c r="NER914" s="1091"/>
      <c r="NES914" s="1091"/>
      <c r="NET914" s="1091"/>
      <c r="NEU914" s="1091"/>
      <c r="NEV914" s="1091"/>
      <c r="NEW914" s="1091"/>
      <c r="NEX914" s="1091"/>
      <c r="NEY914" s="1091"/>
      <c r="NEZ914" s="1091"/>
      <c r="NFA914" s="1091"/>
      <c r="NFB914" s="1091"/>
      <c r="NFC914" s="1091"/>
      <c r="NFD914" s="1091"/>
      <c r="NFE914" s="1091"/>
      <c r="NFF914" s="1091"/>
      <c r="NFG914" s="1091"/>
      <c r="NFH914" s="1091"/>
      <c r="NFI914" s="1091"/>
      <c r="NFJ914" s="1091"/>
      <c r="NFK914" s="1091"/>
      <c r="NFL914" s="1091"/>
      <c r="NFM914" s="1091"/>
      <c r="NFN914" s="1091"/>
      <c r="NFO914" s="1091"/>
      <c r="NFP914" s="1091"/>
      <c r="NFQ914" s="1091"/>
      <c r="NFR914" s="1091"/>
      <c r="NFS914" s="1091"/>
      <c r="NFT914" s="1091"/>
      <c r="NFU914" s="1091"/>
      <c r="NFV914" s="1091"/>
      <c r="NFW914" s="1091"/>
      <c r="NFX914" s="1091"/>
      <c r="NFY914" s="1091"/>
      <c r="NFZ914" s="1091"/>
      <c r="NGA914" s="1091"/>
      <c r="NGB914" s="1091"/>
      <c r="NGC914" s="1091"/>
      <c r="NGD914" s="1091"/>
      <c r="NGE914" s="1091"/>
      <c r="NGF914" s="1091"/>
      <c r="NGG914" s="1091"/>
      <c r="NGH914" s="1091"/>
      <c r="NGI914" s="1091"/>
      <c r="NGJ914" s="1091"/>
      <c r="NGK914" s="1091"/>
      <c r="NGL914" s="1091"/>
      <c r="NGM914" s="1091"/>
      <c r="NGN914" s="1091"/>
      <c r="NGO914" s="1091"/>
      <c r="NGP914" s="1091"/>
      <c r="NGQ914" s="1091"/>
      <c r="NGR914" s="1091"/>
      <c r="NGS914" s="1091"/>
      <c r="NGT914" s="1091"/>
      <c r="NGU914" s="1091"/>
      <c r="NGV914" s="1091"/>
      <c r="NGW914" s="1091"/>
      <c r="NGX914" s="1091"/>
      <c r="NGY914" s="1091"/>
      <c r="NGZ914" s="1091"/>
      <c r="NHA914" s="1091"/>
      <c r="NHB914" s="1091"/>
      <c r="NHC914" s="1091"/>
      <c r="NHD914" s="1091"/>
      <c r="NHE914" s="1091"/>
      <c r="NHF914" s="1091"/>
      <c r="NHG914" s="1091"/>
      <c r="NHH914" s="1091"/>
      <c r="NHI914" s="1091"/>
      <c r="NHJ914" s="1091"/>
      <c r="NHK914" s="1091"/>
      <c r="NHL914" s="1091"/>
      <c r="NHM914" s="1091"/>
      <c r="NHN914" s="1091"/>
      <c r="NHO914" s="1091"/>
      <c r="NHP914" s="1091"/>
      <c r="NHQ914" s="1091"/>
      <c r="NHR914" s="1091"/>
      <c r="NHS914" s="1091"/>
      <c r="NHT914" s="1091"/>
      <c r="NHU914" s="1091"/>
      <c r="NHV914" s="1091"/>
      <c r="NHW914" s="1091"/>
      <c r="NHX914" s="1091"/>
      <c r="NHY914" s="1091"/>
      <c r="NHZ914" s="1091"/>
      <c r="NIA914" s="1091"/>
      <c r="NIB914" s="1091"/>
      <c r="NIC914" s="1091"/>
      <c r="NID914" s="1091"/>
      <c r="NIE914" s="1091"/>
      <c r="NIF914" s="1091"/>
      <c r="NIG914" s="1091"/>
      <c r="NIH914" s="1091"/>
      <c r="NII914" s="1091"/>
      <c r="NIJ914" s="1091"/>
      <c r="NIK914" s="1091"/>
      <c r="NIL914" s="1091"/>
      <c r="NIM914" s="1091"/>
      <c r="NIN914" s="1091"/>
      <c r="NIO914" s="1091"/>
      <c r="NIP914" s="1091"/>
      <c r="NIQ914" s="1091"/>
      <c r="NIR914" s="1091"/>
      <c r="NIS914" s="1091"/>
      <c r="NIT914" s="1091"/>
      <c r="NIU914" s="1091"/>
      <c r="NIV914" s="1091"/>
      <c r="NIW914" s="1091"/>
      <c r="NIX914" s="1091"/>
      <c r="NIY914" s="1091"/>
      <c r="NIZ914" s="1091"/>
      <c r="NJA914" s="1091"/>
      <c r="NJB914" s="1091"/>
      <c r="NJC914" s="1091"/>
      <c r="NJD914" s="1091"/>
      <c r="NJE914" s="1091"/>
      <c r="NJF914" s="1091"/>
      <c r="NJG914" s="1091"/>
      <c r="NJH914" s="1091"/>
      <c r="NJI914" s="1091"/>
      <c r="NJJ914" s="1091"/>
      <c r="NJK914" s="1091"/>
      <c r="NJL914" s="1091"/>
      <c r="NJM914" s="1091"/>
      <c r="NJN914" s="1091"/>
      <c r="NJO914" s="1091"/>
      <c r="NJP914" s="1091"/>
      <c r="NJQ914" s="1091"/>
      <c r="NJR914" s="1091"/>
      <c r="NJS914" s="1091"/>
      <c r="NJT914" s="1091"/>
      <c r="NJU914" s="1091"/>
      <c r="NJV914" s="1091"/>
      <c r="NJW914" s="1091"/>
      <c r="NJX914" s="1091"/>
      <c r="NJY914" s="1091"/>
      <c r="NJZ914" s="1091"/>
      <c r="NKA914" s="1091"/>
      <c r="NKB914" s="1091"/>
      <c r="NKC914" s="1091"/>
      <c r="NKD914" s="1091"/>
      <c r="NKE914" s="1091"/>
      <c r="NKF914" s="1091"/>
      <c r="NKG914" s="1091"/>
      <c r="NKH914" s="1091"/>
      <c r="NKI914" s="1091"/>
      <c r="NKJ914" s="1091"/>
      <c r="NKK914" s="1091"/>
      <c r="NKL914" s="1091"/>
      <c r="NKM914" s="1091"/>
      <c r="NKN914" s="1091"/>
      <c r="NKO914" s="1091"/>
      <c r="NKP914" s="1091"/>
      <c r="NKQ914" s="1091"/>
      <c r="NKR914" s="1091"/>
      <c r="NKS914" s="1091"/>
      <c r="NKT914" s="1091"/>
      <c r="NKU914" s="1091"/>
      <c r="NKV914" s="1091"/>
      <c r="NKW914" s="1091"/>
      <c r="NKX914" s="1091"/>
      <c r="NKY914" s="1091"/>
      <c r="NKZ914" s="1091"/>
      <c r="NLA914" s="1091"/>
      <c r="NLB914" s="1091"/>
      <c r="NLC914" s="1091"/>
      <c r="NLD914" s="1091"/>
      <c r="NLE914" s="1091"/>
      <c r="NLF914" s="1091"/>
      <c r="NLG914" s="1091"/>
      <c r="NLH914" s="1091"/>
      <c r="NLI914" s="1091"/>
      <c r="NLJ914" s="1091"/>
      <c r="NLK914" s="1091"/>
      <c r="NLL914" s="1091"/>
      <c r="NLM914" s="1091"/>
      <c r="NLN914" s="1091"/>
      <c r="NLO914" s="1091"/>
      <c r="NLP914" s="1091"/>
      <c r="NLQ914" s="1091"/>
      <c r="NLR914" s="1091"/>
      <c r="NLS914" s="1091"/>
      <c r="NLT914" s="1091"/>
      <c r="NLU914" s="1091"/>
      <c r="NLV914" s="1091"/>
      <c r="NLW914" s="1091"/>
      <c r="NLX914" s="1091"/>
      <c r="NLY914" s="1091"/>
      <c r="NLZ914" s="1091"/>
      <c r="NMA914" s="1091"/>
      <c r="NMB914" s="1091"/>
      <c r="NMC914" s="1091"/>
      <c r="NMD914" s="1091"/>
      <c r="NME914" s="1091"/>
      <c r="NMF914" s="1091"/>
      <c r="NMG914" s="1091"/>
      <c r="NMH914" s="1091"/>
      <c r="NMI914" s="1091"/>
      <c r="NMJ914" s="1091"/>
      <c r="NMK914" s="1091"/>
      <c r="NML914" s="1091"/>
      <c r="NMM914" s="1091"/>
      <c r="NMN914" s="1091"/>
      <c r="NMO914" s="1091"/>
      <c r="NMP914" s="1091"/>
      <c r="NMQ914" s="1091"/>
      <c r="NMR914" s="1091"/>
      <c r="NMS914" s="1091"/>
      <c r="NMT914" s="1091"/>
      <c r="NMU914" s="1091"/>
      <c r="NMV914" s="1091"/>
      <c r="NMW914" s="1091"/>
      <c r="NMX914" s="1091"/>
      <c r="NMY914" s="1091"/>
      <c r="NMZ914" s="1091"/>
      <c r="NNA914" s="1091"/>
      <c r="NNB914" s="1091"/>
      <c r="NNC914" s="1091"/>
      <c r="NND914" s="1091"/>
      <c r="NNE914" s="1091"/>
      <c r="NNF914" s="1091"/>
      <c r="NNG914" s="1091"/>
      <c r="NNH914" s="1091"/>
      <c r="NNI914" s="1091"/>
      <c r="NNJ914" s="1091"/>
      <c r="NNK914" s="1091"/>
      <c r="NNL914" s="1091"/>
      <c r="NNM914" s="1091"/>
      <c r="NNN914" s="1091"/>
      <c r="NNO914" s="1091"/>
      <c r="NNP914" s="1091"/>
      <c r="NNQ914" s="1091"/>
      <c r="NNR914" s="1091"/>
      <c r="NNS914" s="1091"/>
      <c r="NNT914" s="1091"/>
      <c r="NNU914" s="1091"/>
      <c r="NNV914" s="1091"/>
      <c r="NNW914" s="1091"/>
      <c r="NNX914" s="1091"/>
      <c r="NNY914" s="1091"/>
      <c r="NNZ914" s="1091"/>
      <c r="NOA914" s="1091"/>
      <c r="NOB914" s="1091"/>
      <c r="NOC914" s="1091"/>
      <c r="NOD914" s="1091"/>
      <c r="NOE914" s="1091"/>
      <c r="NOF914" s="1091"/>
      <c r="NOG914" s="1091"/>
      <c r="NOH914" s="1091"/>
      <c r="NOI914" s="1091"/>
      <c r="NOJ914" s="1091"/>
      <c r="NOK914" s="1091"/>
      <c r="NOL914" s="1091"/>
      <c r="NOM914" s="1091"/>
      <c r="NON914" s="1091"/>
      <c r="NOO914" s="1091"/>
      <c r="NOP914" s="1091"/>
      <c r="NOQ914" s="1091"/>
      <c r="NOR914" s="1091"/>
      <c r="NOS914" s="1091"/>
      <c r="NOT914" s="1091"/>
      <c r="NOU914" s="1091"/>
      <c r="NOV914" s="1091"/>
      <c r="NOW914" s="1091"/>
      <c r="NOX914" s="1091"/>
      <c r="NOY914" s="1091"/>
      <c r="NOZ914" s="1091"/>
      <c r="NPA914" s="1091"/>
      <c r="NPB914" s="1091"/>
      <c r="NPC914" s="1091"/>
      <c r="NPD914" s="1091"/>
      <c r="NPE914" s="1091"/>
      <c r="NPF914" s="1091"/>
      <c r="NPG914" s="1091"/>
      <c r="NPH914" s="1091"/>
      <c r="NPI914" s="1091"/>
      <c r="NPJ914" s="1091"/>
      <c r="NPK914" s="1091"/>
      <c r="NPL914" s="1091"/>
      <c r="NPM914" s="1091"/>
      <c r="NPN914" s="1091"/>
      <c r="NPO914" s="1091"/>
      <c r="NPP914" s="1091"/>
      <c r="NPQ914" s="1091"/>
      <c r="NPR914" s="1091"/>
      <c r="NPS914" s="1091"/>
      <c r="NPT914" s="1091"/>
      <c r="NPU914" s="1091"/>
      <c r="NPV914" s="1091"/>
      <c r="NPW914" s="1091"/>
      <c r="NPX914" s="1091"/>
      <c r="NPY914" s="1091"/>
      <c r="NPZ914" s="1091"/>
      <c r="NQA914" s="1091"/>
      <c r="NQB914" s="1091"/>
      <c r="NQC914" s="1091"/>
      <c r="NQD914" s="1091"/>
      <c r="NQE914" s="1091"/>
      <c r="NQF914" s="1091"/>
      <c r="NQG914" s="1091"/>
      <c r="NQH914" s="1091"/>
      <c r="NQI914" s="1091"/>
      <c r="NQJ914" s="1091"/>
      <c r="NQK914" s="1091"/>
      <c r="NQL914" s="1091"/>
      <c r="NQM914" s="1091"/>
      <c r="NQN914" s="1091"/>
      <c r="NQO914" s="1091"/>
      <c r="NQP914" s="1091"/>
      <c r="NQQ914" s="1091"/>
      <c r="NQR914" s="1091"/>
      <c r="NQS914" s="1091"/>
      <c r="NQT914" s="1091"/>
      <c r="NQU914" s="1091"/>
      <c r="NQV914" s="1091"/>
      <c r="NQW914" s="1091"/>
      <c r="NQX914" s="1091"/>
      <c r="NQY914" s="1091"/>
      <c r="NQZ914" s="1091"/>
      <c r="NRA914" s="1091"/>
      <c r="NRB914" s="1091"/>
      <c r="NRC914" s="1091"/>
      <c r="NRD914" s="1091"/>
      <c r="NRE914" s="1091"/>
      <c r="NRF914" s="1091"/>
      <c r="NRG914" s="1091"/>
      <c r="NRH914" s="1091"/>
      <c r="NRI914" s="1091"/>
      <c r="NRJ914" s="1091"/>
      <c r="NRK914" s="1091"/>
      <c r="NRL914" s="1091"/>
      <c r="NRM914" s="1091"/>
      <c r="NRN914" s="1091"/>
      <c r="NRO914" s="1091"/>
      <c r="NRP914" s="1091"/>
      <c r="NRQ914" s="1091"/>
      <c r="NRR914" s="1091"/>
      <c r="NRS914" s="1091"/>
      <c r="NRT914" s="1091"/>
      <c r="NRU914" s="1091"/>
      <c r="NRV914" s="1091"/>
      <c r="NRW914" s="1091"/>
      <c r="NRX914" s="1091"/>
      <c r="NRY914" s="1091"/>
      <c r="NRZ914" s="1091"/>
      <c r="NSA914" s="1091"/>
      <c r="NSB914" s="1091"/>
      <c r="NSC914" s="1091"/>
      <c r="NSD914" s="1091"/>
      <c r="NSE914" s="1091"/>
      <c r="NSF914" s="1091"/>
      <c r="NSG914" s="1091"/>
      <c r="NSH914" s="1091"/>
      <c r="NSI914" s="1091"/>
      <c r="NSJ914" s="1091"/>
      <c r="NSK914" s="1091"/>
      <c r="NSL914" s="1091"/>
      <c r="NSM914" s="1091"/>
      <c r="NSN914" s="1091"/>
      <c r="NSO914" s="1091"/>
      <c r="NSP914" s="1091"/>
      <c r="NSQ914" s="1091"/>
      <c r="NSR914" s="1091"/>
      <c r="NSS914" s="1091"/>
      <c r="NST914" s="1091"/>
      <c r="NSU914" s="1091"/>
      <c r="NSV914" s="1091"/>
      <c r="NSW914" s="1091"/>
      <c r="NSX914" s="1091"/>
      <c r="NSY914" s="1091"/>
      <c r="NSZ914" s="1091"/>
      <c r="NTA914" s="1091"/>
      <c r="NTB914" s="1091"/>
      <c r="NTC914" s="1091"/>
      <c r="NTD914" s="1091"/>
      <c r="NTE914" s="1091"/>
      <c r="NTF914" s="1091"/>
      <c r="NTG914" s="1091"/>
      <c r="NTH914" s="1091"/>
      <c r="NTI914" s="1091"/>
      <c r="NTJ914" s="1091"/>
      <c r="NTK914" s="1091"/>
      <c r="NTL914" s="1091"/>
      <c r="NTM914" s="1091"/>
      <c r="NTN914" s="1091"/>
      <c r="NTO914" s="1091"/>
      <c r="NTP914" s="1091"/>
      <c r="NTQ914" s="1091"/>
      <c r="NTR914" s="1091"/>
      <c r="NTS914" s="1091"/>
      <c r="NTT914" s="1091"/>
      <c r="NTU914" s="1091"/>
      <c r="NTV914" s="1091"/>
      <c r="NTW914" s="1091"/>
      <c r="NTX914" s="1091"/>
      <c r="NTY914" s="1091"/>
      <c r="NTZ914" s="1091"/>
      <c r="NUA914" s="1091"/>
      <c r="NUB914" s="1091"/>
      <c r="NUC914" s="1091"/>
      <c r="NUD914" s="1091"/>
      <c r="NUE914" s="1091"/>
      <c r="NUF914" s="1091"/>
      <c r="NUG914" s="1091"/>
      <c r="NUH914" s="1091"/>
      <c r="NUI914" s="1091"/>
      <c r="NUJ914" s="1091"/>
      <c r="NUK914" s="1091"/>
      <c r="NUL914" s="1091"/>
      <c r="NUM914" s="1091"/>
      <c r="NUN914" s="1091"/>
      <c r="NUO914" s="1091"/>
      <c r="NUP914" s="1091"/>
      <c r="NUQ914" s="1091"/>
      <c r="NUR914" s="1091"/>
      <c r="NUS914" s="1091"/>
      <c r="NUT914" s="1091"/>
      <c r="NUU914" s="1091"/>
      <c r="NUV914" s="1091"/>
      <c r="NUW914" s="1091"/>
      <c r="NUX914" s="1091"/>
      <c r="NUY914" s="1091"/>
      <c r="NUZ914" s="1091"/>
      <c r="NVA914" s="1091"/>
      <c r="NVB914" s="1091"/>
      <c r="NVC914" s="1091"/>
      <c r="NVD914" s="1091"/>
      <c r="NVE914" s="1091"/>
      <c r="NVF914" s="1091"/>
      <c r="NVG914" s="1091"/>
      <c r="NVH914" s="1091"/>
      <c r="NVI914" s="1091"/>
      <c r="NVJ914" s="1091"/>
      <c r="NVK914" s="1091"/>
      <c r="NVL914" s="1091"/>
      <c r="NVM914" s="1091"/>
      <c r="NVN914" s="1091"/>
      <c r="NVO914" s="1091"/>
      <c r="NVP914" s="1091"/>
      <c r="NVQ914" s="1091"/>
      <c r="NVR914" s="1091"/>
      <c r="NVS914" s="1091"/>
      <c r="NVT914" s="1091"/>
      <c r="NVU914" s="1091"/>
      <c r="NVV914" s="1091"/>
      <c r="NVW914" s="1091"/>
      <c r="NVX914" s="1091"/>
      <c r="NVY914" s="1091"/>
      <c r="NVZ914" s="1091"/>
      <c r="NWA914" s="1091"/>
      <c r="NWB914" s="1091"/>
      <c r="NWC914" s="1091"/>
      <c r="NWD914" s="1091"/>
      <c r="NWE914" s="1091"/>
      <c r="NWF914" s="1091"/>
      <c r="NWG914" s="1091"/>
      <c r="NWH914" s="1091"/>
      <c r="NWI914" s="1091"/>
      <c r="NWJ914" s="1091"/>
      <c r="NWK914" s="1091"/>
      <c r="NWL914" s="1091"/>
      <c r="NWM914" s="1091"/>
      <c r="NWN914" s="1091"/>
      <c r="NWO914" s="1091"/>
      <c r="NWP914" s="1091"/>
      <c r="NWQ914" s="1091"/>
      <c r="NWR914" s="1091"/>
      <c r="NWS914" s="1091"/>
      <c r="NWT914" s="1091"/>
      <c r="NWU914" s="1091"/>
      <c r="NWV914" s="1091"/>
      <c r="NWW914" s="1091"/>
      <c r="NWX914" s="1091"/>
      <c r="NWY914" s="1091"/>
      <c r="NWZ914" s="1091"/>
      <c r="NXA914" s="1091"/>
      <c r="NXB914" s="1091"/>
      <c r="NXC914" s="1091"/>
      <c r="NXD914" s="1091"/>
      <c r="NXE914" s="1091"/>
      <c r="NXF914" s="1091"/>
      <c r="NXG914" s="1091"/>
      <c r="NXH914" s="1091"/>
      <c r="NXI914" s="1091"/>
      <c r="NXJ914" s="1091"/>
      <c r="NXK914" s="1091"/>
      <c r="NXL914" s="1091"/>
      <c r="NXM914" s="1091"/>
      <c r="NXN914" s="1091"/>
      <c r="NXO914" s="1091"/>
      <c r="NXP914" s="1091"/>
      <c r="NXQ914" s="1091"/>
      <c r="NXR914" s="1091"/>
      <c r="NXS914" s="1091"/>
      <c r="NXT914" s="1091"/>
      <c r="NXU914" s="1091"/>
      <c r="NXV914" s="1091"/>
      <c r="NXW914" s="1091"/>
      <c r="NXX914" s="1091"/>
      <c r="NXY914" s="1091"/>
      <c r="NXZ914" s="1091"/>
      <c r="NYA914" s="1091"/>
      <c r="NYB914" s="1091"/>
      <c r="NYC914" s="1091"/>
      <c r="NYD914" s="1091"/>
      <c r="NYE914" s="1091"/>
      <c r="NYF914" s="1091"/>
      <c r="NYG914" s="1091"/>
      <c r="NYH914" s="1091"/>
      <c r="NYI914" s="1091"/>
      <c r="NYJ914" s="1091"/>
      <c r="NYK914" s="1091"/>
      <c r="NYL914" s="1091"/>
      <c r="NYM914" s="1091"/>
      <c r="NYN914" s="1091"/>
      <c r="NYO914" s="1091"/>
      <c r="NYP914" s="1091"/>
      <c r="NYQ914" s="1091"/>
      <c r="NYR914" s="1091"/>
      <c r="NYS914" s="1091"/>
      <c r="NYT914" s="1091"/>
      <c r="NYU914" s="1091"/>
      <c r="NYV914" s="1091"/>
      <c r="NYW914" s="1091"/>
      <c r="NYX914" s="1091"/>
      <c r="NYY914" s="1091"/>
      <c r="NYZ914" s="1091"/>
      <c r="NZA914" s="1091"/>
      <c r="NZB914" s="1091"/>
      <c r="NZC914" s="1091"/>
      <c r="NZD914" s="1091"/>
      <c r="NZE914" s="1091"/>
      <c r="NZF914" s="1091"/>
      <c r="NZG914" s="1091"/>
      <c r="NZH914" s="1091"/>
      <c r="NZI914" s="1091"/>
      <c r="NZJ914" s="1091"/>
      <c r="NZK914" s="1091"/>
      <c r="NZL914" s="1091"/>
      <c r="NZM914" s="1091"/>
      <c r="NZN914" s="1091"/>
      <c r="NZO914" s="1091"/>
      <c r="NZP914" s="1091"/>
      <c r="NZQ914" s="1091"/>
      <c r="NZR914" s="1091"/>
      <c r="NZS914" s="1091"/>
      <c r="NZT914" s="1091"/>
      <c r="NZU914" s="1091"/>
      <c r="NZV914" s="1091"/>
      <c r="NZW914" s="1091"/>
      <c r="NZX914" s="1091"/>
      <c r="NZY914" s="1091"/>
      <c r="NZZ914" s="1091"/>
      <c r="OAA914" s="1091"/>
      <c r="OAB914" s="1091"/>
      <c r="OAC914" s="1091"/>
      <c r="OAD914" s="1091"/>
      <c r="OAE914" s="1091"/>
      <c r="OAF914" s="1091"/>
      <c r="OAG914" s="1091"/>
      <c r="OAH914" s="1091"/>
      <c r="OAI914" s="1091"/>
      <c r="OAJ914" s="1091"/>
      <c r="OAK914" s="1091"/>
      <c r="OAL914" s="1091"/>
      <c r="OAM914" s="1091"/>
      <c r="OAN914" s="1091"/>
      <c r="OAO914" s="1091"/>
      <c r="OAP914" s="1091"/>
      <c r="OAQ914" s="1091"/>
      <c r="OAR914" s="1091"/>
      <c r="OAS914" s="1091"/>
      <c r="OAT914" s="1091"/>
      <c r="OAU914" s="1091"/>
      <c r="OAV914" s="1091"/>
      <c r="OAW914" s="1091"/>
      <c r="OAX914" s="1091"/>
      <c r="OAY914" s="1091"/>
      <c r="OAZ914" s="1091"/>
      <c r="OBA914" s="1091"/>
      <c r="OBB914" s="1091"/>
      <c r="OBC914" s="1091"/>
      <c r="OBD914" s="1091"/>
      <c r="OBE914" s="1091"/>
      <c r="OBF914" s="1091"/>
      <c r="OBG914" s="1091"/>
      <c r="OBH914" s="1091"/>
      <c r="OBI914" s="1091"/>
      <c r="OBJ914" s="1091"/>
      <c r="OBK914" s="1091"/>
      <c r="OBL914" s="1091"/>
      <c r="OBM914" s="1091"/>
      <c r="OBN914" s="1091"/>
      <c r="OBO914" s="1091"/>
      <c r="OBP914" s="1091"/>
      <c r="OBQ914" s="1091"/>
      <c r="OBR914" s="1091"/>
      <c r="OBS914" s="1091"/>
      <c r="OBT914" s="1091"/>
      <c r="OBU914" s="1091"/>
      <c r="OBV914" s="1091"/>
      <c r="OBW914" s="1091"/>
      <c r="OBX914" s="1091"/>
      <c r="OBY914" s="1091"/>
      <c r="OBZ914" s="1091"/>
      <c r="OCA914" s="1091"/>
      <c r="OCB914" s="1091"/>
      <c r="OCC914" s="1091"/>
      <c r="OCD914" s="1091"/>
      <c r="OCE914" s="1091"/>
      <c r="OCF914" s="1091"/>
      <c r="OCG914" s="1091"/>
      <c r="OCH914" s="1091"/>
      <c r="OCI914" s="1091"/>
      <c r="OCJ914" s="1091"/>
      <c r="OCK914" s="1091"/>
      <c r="OCL914" s="1091"/>
      <c r="OCM914" s="1091"/>
      <c r="OCN914" s="1091"/>
      <c r="OCO914" s="1091"/>
      <c r="OCP914" s="1091"/>
      <c r="OCQ914" s="1091"/>
      <c r="OCR914" s="1091"/>
      <c r="OCS914" s="1091"/>
      <c r="OCT914" s="1091"/>
      <c r="OCU914" s="1091"/>
      <c r="OCV914" s="1091"/>
      <c r="OCW914" s="1091"/>
      <c r="OCX914" s="1091"/>
      <c r="OCY914" s="1091"/>
      <c r="OCZ914" s="1091"/>
      <c r="ODA914" s="1091"/>
      <c r="ODB914" s="1091"/>
      <c r="ODC914" s="1091"/>
      <c r="ODD914" s="1091"/>
      <c r="ODE914" s="1091"/>
      <c r="ODF914" s="1091"/>
      <c r="ODG914" s="1091"/>
      <c r="ODH914" s="1091"/>
      <c r="ODI914" s="1091"/>
      <c r="ODJ914" s="1091"/>
      <c r="ODK914" s="1091"/>
      <c r="ODL914" s="1091"/>
      <c r="ODM914" s="1091"/>
      <c r="ODN914" s="1091"/>
      <c r="ODO914" s="1091"/>
      <c r="ODP914" s="1091"/>
      <c r="ODQ914" s="1091"/>
      <c r="ODR914" s="1091"/>
      <c r="ODS914" s="1091"/>
      <c r="ODT914" s="1091"/>
      <c r="ODU914" s="1091"/>
      <c r="ODV914" s="1091"/>
      <c r="ODW914" s="1091"/>
      <c r="ODX914" s="1091"/>
      <c r="ODY914" s="1091"/>
      <c r="ODZ914" s="1091"/>
      <c r="OEA914" s="1091"/>
      <c r="OEB914" s="1091"/>
      <c r="OEC914" s="1091"/>
      <c r="OED914" s="1091"/>
      <c r="OEE914" s="1091"/>
      <c r="OEF914" s="1091"/>
      <c r="OEG914" s="1091"/>
      <c r="OEH914" s="1091"/>
      <c r="OEI914" s="1091"/>
      <c r="OEJ914" s="1091"/>
      <c r="OEK914" s="1091"/>
      <c r="OEL914" s="1091"/>
      <c r="OEM914" s="1091"/>
      <c r="OEN914" s="1091"/>
      <c r="OEO914" s="1091"/>
      <c r="OEP914" s="1091"/>
      <c r="OEQ914" s="1091"/>
      <c r="OER914" s="1091"/>
      <c r="OES914" s="1091"/>
      <c r="OET914" s="1091"/>
      <c r="OEU914" s="1091"/>
      <c r="OEV914" s="1091"/>
      <c r="OEW914" s="1091"/>
      <c r="OEX914" s="1091"/>
      <c r="OEY914" s="1091"/>
      <c r="OEZ914" s="1091"/>
      <c r="OFA914" s="1091"/>
      <c r="OFB914" s="1091"/>
      <c r="OFC914" s="1091"/>
      <c r="OFD914" s="1091"/>
      <c r="OFE914" s="1091"/>
      <c r="OFF914" s="1091"/>
      <c r="OFG914" s="1091"/>
      <c r="OFH914" s="1091"/>
      <c r="OFI914" s="1091"/>
      <c r="OFJ914" s="1091"/>
      <c r="OFK914" s="1091"/>
      <c r="OFL914" s="1091"/>
      <c r="OFM914" s="1091"/>
      <c r="OFN914" s="1091"/>
      <c r="OFO914" s="1091"/>
      <c r="OFP914" s="1091"/>
      <c r="OFQ914" s="1091"/>
      <c r="OFR914" s="1091"/>
      <c r="OFS914" s="1091"/>
      <c r="OFT914" s="1091"/>
      <c r="OFU914" s="1091"/>
      <c r="OFV914" s="1091"/>
      <c r="OFW914" s="1091"/>
      <c r="OFX914" s="1091"/>
      <c r="OFY914" s="1091"/>
      <c r="OFZ914" s="1091"/>
      <c r="OGA914" s="1091"/>
      <c r="OGB914" s="1091"/>
      <c r="OGC914" s="1091"/>
      <c r="OGD914" s="1091"/>
      <c r="OGE914" s="1091"/>
      <c r="OGF914" s="1091"/>
      <c r="OGG914" s="1091"/>
      <c r="OGH914" s="1091"/>
      <c r="OGI914" s="1091"/>
      <c r="OGJ914" s="1091"/>
      <c r="OGK914" s="1091"/>
      <c r="OGL914" s="1091"/>
      <c r="OGM914" s="1091"/>
      <c r="OGN914" s="1091"/>
      <c r="OGO914" s="1091"/>
      <c r="OGP914" s="1091"/>
      <c r="OGQ914" s="1091"/>
      <c r="OGR914" s="1091"/>
      <c r="OGS914" s="1091"/>
      <c r="OGT914" s="1091"/>
      <c r="OGU914" s="1091"/>
      <c r="OGV914" s="1091"/>
      <c r="OGW914" s="1091"/>
      <c r="OGX914" s="1091"/>
      <c r="OGY914" s="1091"/>
      <c r="OGZ914" s="1091"/>
      <c r="OHA914" s="1091"/>
      <c r="OHB914" s="1091"/>
      <c r="OHC914" s="1091"/>
      <c r="OHD914" s="1091"/>
      <c r="OHE914" s="1091"/>
      <c r="OHF914" s="1091"/>
      <c r="OHG914" s="1091"/>
      <c r="OHH914" s="1091"/>
      <c r="OHI914" s="1091"/>
      <c r="OHJ914" s="1091"/>
      <c r="OHK914" s="1091"/>
      <c r="OHL914" s="1091"/>
      <c r="OHM914" s="1091"/>
      <c r="OHN914" s="1091"/>
      <c r="OHO914" s="1091"/>
      <c r="OHP914" s="1091"/>
      <c r="OHQ914" s="1091"/>
      <c r="OHR914" s="1091"/>
      <c r="OHS914" s="1091"/>
      <c r="OHT914" s="1091"/>
      <c r="OHU914" s="1091"/>
      <c r="OHV914" s="1091"/>
      <c r="OHW914" s="1091"/>
      <c r="OHX914" s="1091"/>
      <c r="OHY914" s="1091"/>
      <c r="OHZ914" s="1091"/>
      <c r="OIA914" s="1091"/>
      <c r="OIB914" s="1091"/>
      <c r="OIC914" s="1091"/>
      <c r="OID914" s="1091"/>
      <c r="OIE914" s="1091"/>
      <c r="OIF914" s="1091"/>
      <c r="OIG914" s="1091"/>
      <c r="OIH914" s="1091"/>
      <c r="OII914" s="1091"/>
      <c r="OIJ914" s="1091"/>
      <c r="OIK914" s="1091"/>
      <c r="OIL914" s="1091"/>
      <c r="OIM914" s="1091"/>
      <c r="OIN914" s="1091"/>
      <c r="OIO914" s="1091"/>
      <c r="OIP914" s="1091"/>
      <c r="OIQ914" s="1091"/>
      <c r="OIR914" s="1091"/>
      <c r="OIS914" s="1091"/>
      <c r="OIT914" s="1091"/>
      <c r="OIU914" s="1091"/>
      <c r="OIV914" s="1091"/>
      <c r="OIW914" s="1091"/>
      <c r="OIX914" s="1091"/>
      <c r="OIY914" s="1091"/>
      <c r="OIZ914" s="1091"/>
      <c r="OJA914" s="1091"/>
      <c r="OJB914" s="1091"/>
      <c r="OJC914" s="1091"/>
      <c r="OJD914" s="1091"/>
      <c r="OJE914" s="1091"/>
      <c r="OJF914" s="1091"/>
      <c r="OJG914" s="1091"/>
      <c r="OJH914" s="1091"/>
      <c r="OJI914" s="1091"/>
      <c r="OJJ914" s="1091"/>
      <c r="OJK914" s="1091"/>
      <c r="OJL914" s="1091"/>
      <c r="OJM914" s="1091"/>
      <c r="OJN914" s="1091"/>
      <c r="OJO914" s="1091"/>
      <c r="OJP914" s="1091"/>
      <c r="OJQ914" s="1091"/>
      <c r="OJR914" s="1091"/>
      <c r="OJS914" s="1091"/>
      <c r="OJT914" s="1091"/>
      <c r="OJU914" s="1091"/>
      <c r="OJV914" s="1091"/>
      <c r="OJW914" s="1091"/>
      <c r="OJX914" s="1091"/>
      <c r="OJY914" s="1091"/>
      <c r="OJZ914" s="1091"/>
      <c r="OKA914" s="1091"/>
      <c r="OKB914" s="1091"/>
      <c r="OKC914" s="1091"/>
      <c r="OKD914" s="1091"/>
      <c r="OKE914" s="1091"/>
      <c r="OKF914" s="1091"/>
      <c r="OKG914" s="1091"/>
      <c r="OKH914" s="1091"/>
      <c r="OKI914" s="1091"/>
      <c r="OKJ914" s="1091"/>
      <c r="OKK914" s="1091"/>
      <c r="OKL914" s="1091"/>
      <c r="OKM914" s="1091"/>
      <c r="OKN914" s="1091"/>
      <c r="OKO914" s="1091"/>
      <c r="OKP914" s="1091"/>
      <c r="OKQ914" s="1091"/>
      <c r="OKR914" s="1091"/>
      <c r="OKS914" s="1091"/>
      <c r="OKT914" s="1091"/>
      <c r="OKU914" s="1091"/>
      <c r="OKV914" s="1091"/>
      <c r="OKW914" s="1091"/>
      <c r="OKX914" s="1091"/>
      <c r="OKY914" s="1091"/>
      <c r="OKZ914" s="1091"/>
      <c r="OLA914" s="1091"/>
      <c r="OLB914" s="1091"/>
      <c r="OLC914" s="1091"/>
      <c r="OLD914" s="1091"/>
      <c r="OLE914" s="1091"/>
      <c r="OLF914" s="1091"/>
      <c r="OLG914" s="1091"/>
      <c r="OLH914" s="1091"/>
      <c r="OLI914" s="1091"/>
      <c r="OLJ914" s="1091"/>
      <c r="OLK914" s="1091"/>
      <c r="OLL914" s="1091"/>
      <c r="OLM914" s="1091"/>
      <c r="OLN914" s="1091"/>
      <c r="OLO914" s="1091"/>
      <c r="OLP914" s="1091"/>
      <c r="OLQ914" s="1091"/>
      <c r="OLR914" s="1091"/>
      <c r="OLS914" s="1091"/>
      <c r="OLT914" s="1091"/>
      <c r="OLU914" s="1091"/>
      <c r="OLV914" s="1091"/>
      <c r="OLW914" s="1091"/>
      <c r="OLX914" s="1091"/>
      <c r="OLY914" s="1091"/>
      <c r="OLZ914" s="1091"/>
      <c r="OMA914" s="1091"/>
      <c r="OMB914" s="1091"/>
      <c r="OMC914" s="1091"/>
      <c r="OMD914" s="1091"/>
      <c r="OME914" s="1091"/>
      <c r="OMF914" s="1091"/>
      <c r="OMG914" s="1091"/>
      <c r="OMH914" s="1091"/>
      <c r="OMI914" s="1091"/>
      <c r="OMJ914" s="1091"/>
      <c r="OMK914" s="1091"/>
      <c r="OML914" s="1091"/>
      <c r="OMM914" s="1091"/>
      <c r="OMN914" s="1091"/>
      <c r="OMO914" s="1091"/>
      <c r="OMP914" s="1091"/>
      <c r="OMQ914" s="1091"/>
      <c r="OMR914" s="1091"/>
      <c r="OMS914" s="1091"/>
      <c r="OMT914" s="1091"/>
      <c r="OMU914" s="1091"/>
      <c r="OMV914" s="1091"/>
      <c r="OMW914" s="1091"/>
      <c r="OMX914" s="1091"/>
      <c r="OMY914" s="1091"/>
      <c r="OMZ914" s="1091"/>
      <c r="ONA914" s="1091"/>
      <c r="ONB914" s="1091"/>
      <c r="ONC914" s="1091"/>
      <c r="OND914" s="1091"/>
      <c r="ONE914" s="1091"/>
      <c r="ONF914" s="1091"/>
      <c r="ONG914" s="1091"/>
      <c r="ONH914" s="1091"/>
      <c r="ONI914" s="1091"/>
      <c r="ONJ914" s="1091"/>
      <c r="ONK914" s="1091"/>
      <c r="ONL914" s="1091"/>
      <c r="ONM914" s="1091"/>
      <c r="ONN914" s="1091"/>
      <c r="ONO914" s="1091"/>
      <c r="ONP914" s="1091"/>
      <c r="ONQ914" s="1091"/>
      <c r="ONR914" s="1091"/>
      <c r="ONS914" s="1091"/>
      <c r="ONT914" s="1091"/>
      <c r="ONU914" s="1091"/>
      <c r="ONV914" s="1091"/>
      <c r="ONW914" s="1091"/>
      <c r="ONX914" s="1091"/>
      <c r="ONY914" s="1091"/>
      <c r="ONZ914" s="1091"/>
      <c r="OOA914" s="1091"/>
      <c r="OOB914" s="1091"/>
      <c r="OOC914" s="1091"/>
      <c r="OOD914" s="1091"/>
      <c r="OOE914" s="1091"/>
      <c r="OOF914" s="1091"/>
      <c r="OOG914" s="1091"/>
      <c r="OOH914" s="1091"/>
      <c r="OOI914" s="1091"/>
      <c r="OOJ914" s="1091"/>
      <c r="OOK914" s="1091"/>
      <c r="OOL914" s="1091"/>
      <c r="OOM914" s="1091"/>
      <c r="OON914" s="1091"/>
      <c r="OOO914" s="1091"/>
      <c r="OOP914" s="1091"/>
      <c r="OOQ914" s="1091"/>
      <c r="OOR914" s="1091"/>
      <c r="OOS914" s="1091"/>
      <c r="OOT914" s="1091"/>
      <c r="OOU914" s="1091"/>
      <c r="OOV914" s="1091"/>
      <c r="OOW914" s="1091"/>
      <c r="OOX914" s="1091"/>
      <c r="OOY914" s="1091"/>
      <c r="OOZ914" s="1091"/>
      <c r="OPA914" s="1091"/>
      <c r="OPB914" s="1091"/>
      <c r="OPC914" s="1091"/>
      <c r="OPD914" s="1091"/>
      <c r="OPE914" s="1091"/>
      <c r="OPF914" s="1091"/>
      <c r="OPG914" s="1091"/>
      <c r="OPH914" s="1091"/>
      <c r="OPI914" s="1091"/>
      <c r="OPJ914" s="1091"/>
      <c r="OPK914" s="1091"/>
      <c r="OPL914" s="1091"/>
      <c r="OPM914" s="1091"/>
      <c r="OPN914" s="1091"/>
      <c r="OPO914" s="1091"/>
      <c r="OPP914" s="1091"/>
      <c r="OPQ914" s="1091"/>
      <c r="OPR914" s="1091"/>
      <c r="OPS914" s="1091"/>
      <c r="OPT914" s="1091"/>
      <c r="OPU914" s="1091"/>
      <c r="OPV914" s="1091"/>
      <c r="OPW914" s="1091"/>
      <c r="OPX914" s="1091"/>
      <c r="OPY914" s="1091"/>
      <c r="OPZ914" s="1091"/>
      <c r="OQA914" s="1091"/>
      <c r="OQB914" s="1091"/>
      <c r="OQC914" s="1091"/>
      <c r="OQD914" s="1091"/>
      <c r="OQE914" s="1091"/>
      <c r="OQF914" s="1091"/>
      <c r="OQG914" s="1091"/>
      <c r="OQH914" s="1091"/>
      <c r="OQI914" s="1091"/>
      <c r="OQJ914" s="1091"/>
      <c r="OQK914" s="1091"/>
      <c r="OQL914" s="1091"/>
      <c r="OQM914" s="1091"/>
      <c r="OQN914" s="1091"/>
      <c r="OQO914" s="1091"/>
      <c r="OQP914" s="1091"/>
      <c r="OQQ914" s="1091"/>
      <c r="OQR914" s="1091"/>
      <c r="OQS914" s="1091"/>
      <c r="OQT914" s="1091"/>
      <c r="OQU914" s="1091"/>
      <c r="OQV914" s="1091"/>
      <c r="OQW914" s="1091"/>
      <c r="OQX914" s="1091"/>
      <c r="OQY914" s="1091"/>
      <c r="OQZ914" s="1091"/>
      <c r="ORA914" s="1091"/>
      <c r="ORB914" s="1091"/>
      <c r="ORC914" s="1091"/>
      <c r="ORD914" s="1091"/>
      <c r="ORE914" s="1091"/>
      <c r="ORF914" s="1091"/>
      <c r="ORG914" s="1091"/>
      <c r="ORH914" s="1091"/>
      <c r="ORI914" s="1091"/>
      <c r="ORJ914" s="1091"/>
      <c r="ORK914" s="1091"/>
      <c r="ORL914" s="1091"/>
      <c r="ORM914" s="1091"/>
      <c r="ORN914" s="1091"/>
      <c r="ORO914" s="1091"/>
      <c r="ORP914" s="1091"/>
      <c r="ORQ914" s="1091"/>
      <c r="ORR914" s="1091"/>
      <c r="ORS914" s="1091"/>
      <c r="ORT914" s="1091"/>
      <c r="ORU914" s="1091"/>
      <c r="ORV914" s="1091"/>
      <c r="ORW914" s="1091"/>
      <c r="ORX914" s="1091"/>
      <c r="ORY914" s="1091"/>
      <c r="ORZ914" s="1091"/>
      <c r="OSA914" s="1091"/>
      <c r="OSB914" s="1091"/>
      <c r="OSC914" s="1091"/>
      <c r="OSD914" s="1091"/>
      <c r="OSE914" s="1091"/>
      <c r="OSF914" s="1091"/>
      <c r="OSG914" s="1091"/>
      <c r="OSH914" s="1091"/>
      <c r="OSI914" s="1091"/>
      <c r="OSJ914" s="1091"/>
      <c r="OSK914" s="1091"/>
      <c r="OSL914" s="1091"/>
      <c r="OSM914" s="1091"/>
      <c r="OSN914" s="1091"/>
      <c r="OSO914" s="1091"/>
      <c r="OSP914" s="1091"/>
      <c r="OSQ914" s="1091"/>
      <c r="OSR914" s="1091"/>
      <c r="OSS914" s="1091"/>
      <c r="OST914" s="1091"/>
      <c r="OSU914" s="1091"/>
      <c r="OSV914" s="1091"/>
      <c r="OSW914" s="1091"/>
      <c r="OSX914" s="1091"/>
      <c r="OSY914" s="1091"/>
      <c r="OSZ914" s="1091"/>
      <c r="OTA914" s="1091"/>
      <c r="OTB914" s="1091"/>
      <c r="OTC914" s="1091"/>
      <c r="OTD914" s="1091"/>
      <c r="OTE914" s="1091"/>
      <c r="OTF914" s="1091"/>
      <c r="OTG914" s="1091"/>
      <c r="OTH914" s="1091"/>
      <c r="OTI914" s="1091"/>
      <c r="OTJ914" s="1091"/>
      <c r="OTK914" s="1091"/>
      <c r="OTL914" s="1091"/>
      <c r="OTM914" s="1091"/>
      <c r="OTN914" s="1091"/>
      <c r="OTO914" s="1091"/>
      <c r="OTP914" s="1091"/>
      <c r="OTQ914" s="1091"/>
      <c r="OTR914" s="1091"/>
      <c r="OTS914" s="1091"/>
      <c r="OTT914" s="1091"/>
      <c r="OTU914" s="1091"/>
      <c r="OTV914" s="1091"/>
      <c r="OTW914" s="1091"/>
      <c r="OTX914" s="1091"/>
      <c r="OTY914" s="1091"/>
      <c r="OTZ914" s="1091"/>
      <c r="OUA914" s="1091"/>
      <c r="OUB914" s="1091"/>
      <c r="OUC914" s="1091"/>
      <c r="OUD914" s="1091"/>
      <c r="OUE914" s="1091"/>
      <c r="OUF914" s="1091"/>
      <c r="OUG914" s="1091"/>
      <c r="OUH914" s="1091"/>
      <c r="OUI914" s="1091"/>
      <c r="OUJ914" s="1091"/>
      <c r="OUK914" s="1091"/>
      <c r="OUL914" s="1091"/>
      <c r="OUM914" s="1091"/>
      <c r="OUN914" s="1091"/>
      <c r="OUO914" s="1091"/>
      <c r="OUP914" s="1091"/>
      <c r="OUQ914" s="1091"/>
      <c r="OUR914" s="1091"/>
      <c r="OUS914" s="1091"/>
      <c r="OUT914" s="1091"/>
      <c r="OUU914" s="1091"/>
      <c r="OUV914" s="1091"/>
      <c r="OUW914" s="1091"/>
      <c r="OUX914" s="1091"/>
      <c r="OUY914" s="1091"/>
      <c r="OUZ914" s="1091"/>
      <c r="OVA914" s="1091"/>
      <c r="OVB914" s="1091"/>
      <c r="OVC914" s="1091"/>
      <c r="OVD914" s="1091"/>
      <c r="OVE914" s="1091"/>
      <c r="OVF914" s="1091"/>
      <c r="OVG914" s="1091"/>
      <c r="OVH914" s="1091"/>
      <c r="OVI914" s="1091"/>
      <c r="OVJ914" s="1091"/>
      <c r="OVK914" s="1091"/>
      <c r="OVL914" s="1091"/>
      <c r="OVM914" s="1091"/>
      <c r="OVN914" s="1091"/>
      <c r="OVO914" s="1091"/>
      <c r="OVP914" s="1091"/>
      <c r="OVQ914" s="1091"/>
      <c r="OVR914" s="1091"/>
      <c r="OVS914" s="1091"/>
      <c r="OVT914" s="1091"/>
      <c r="OVU914" s="1091"/>
      <c r="OVV914" s="1091"/>
      <c r="OVW914" s="1091"/>
      <c r="OVX914" s="1091"/>
      <c r="OVY914" s="1091"/>
      <c r="OVZ914" s="1091"/>
      <c r="OWA914" s="1091"/>
      <c r="OWB914" s="1091"/>
      <c r="OWC914" s="1091"/>
      <c r="OWD914" s="1091"/>
      <c r="OWE914" s="1091"/>
      <c r="OWF914" s="1091"/>
      <c r="OWG914" s="1091"/>
      <c r="OWH914" s="1091"/>
      <c r="OWI914" s="1091"/>
      <c r="OWJ914" s="1091"/>
      <c r="OWK914" s="1091"/>
      <c r="OWL914" s="1091"/>
      <c r="OWM914" s="1091"/>
      <c r="OWN914" s="1091"/>
      <c r="OWO914" s="1091"/>
      <c r="OWP914" s="1091"/>
      <c r="OWQ914" s="1091"/>
      <c r="OWR914" s="1091"/>
      <c r="OWS914" s="1091"/>
      <c r="OWT914" s="1091"/>
      <c r="OWU914" s="1091"/>
      <c r="OWV914" s="1091"/>
      <c r="OWW914" s="1091"/>
      <c r="OWX914" s="1091"/>
      <c r="OWY914" s="1091"/>
      <c r="OWZ914" s="1091"/>
      <c r="OXA914" s="1091"/>
      <c r="OXB914" s="1091"/>
      <c r="OXC914" s="1091"/>
      <c r="OXD914" s="1091"/>
      <c r="OXE914" s="1091"/>
      <c r="OXF914" s="1091"/>
      <c r="OXG914" s="1091"/>
      <c r="OXH914" s="1091"/>
      <c r="OXI914" s="1091"/>
      <c r="OXJ914" s="1091"/>
      <c r="OXK914" s="1091"/>
      <c r="OXL914" s="1091"/>
      <c r="OXM914" s="1091"/>
      <c r="OXN914" s="1091"/>
      <c r="OXO914" s="1091"/>
      <c r="OXP914" s="1091"/>
      <c r="OXQ914" s="1091"/>
      <c r="OXR914" s="1091"/>
      <c r="OXS914" s="1091"/>
      <c r="OXT914" s="1091"/>
      <c r="OXU914" s="1091"/>
      <c r="OXV914" s="1091"/>
      <c r="OXW914" s="1091"/>
      <c r="OXX914" s="1091"/>
      <c r="OXY914" s="1091"/>
      <c r="OXZ914" s="1091"/>
      <c r="OYA914" s="1091"/>
      <c r="OYB914" s="1091"/>
      <c r="OYC914" s="1091"/>
      <c r="OYD914" s="1091"/>
      <c r="OYE914" s="1091"/>
      <c r="OYF914" s="1091"/>
      <c r="OYG914" s="1091"/>
      <c r="OYH914" s="1091"/>
      <c r="OYI914" s="1091"/>
      <c r="OYJ914" s="1091"/>
      <c r="OYK914" s="1091"/>
      <c r="OYL914" s="1091"/>
      <c r="OYM914" s="1091"/>
      <c r="OYN914" s="1091"/>
      <c r="OYO914" s="1091"/>
      <c r="OYP914" s="1091"/>
      <c r="OYQ914" s="1091"/>
      <c r="OYR914" s="1091"/>
      <c r="OYS914" s="1091"/>
      <c r="OYT914" s="1091"/>
      <c r="OYU914" s="1091"/>
      <c r="OYV914" s="1091"/>
      <c r="OYW914" s="1091"/>
      <c r="OYX914" s="1091"/>
      <c r="OYY914" s="1091"/>
      <c r="OYZ914" s="1091"/>
      <c r="OZA914" s="1091"/>
      <c r="OZB914" s="1091"/>
      <c r="OZC914" s="1091"/>
      <c r="OZD914" s="1091"/>
      <c r="OZE914" s="1091"/>
      <c r="OZF914" s="1091"/>
      <c r="OZG914" s="1091"/>
      <c r="OZH914" s="1091"/>
      <c r="OZI914" s="1091"/>
      <c r="OZJ914" s="1091"/>
      <c r="OZK914" s="1091"/>
      <c r="OZL914" s="1091"/>
      <c r="OZM914" s="1091"/>
      <c r="OZN914" s="1091"/>
      <c r="OZO914" s="1091"/>
      <c r="OZP914" s="1091"/>
      <c r="OZQ914" s="1091"/>
      <c r="OZR914" s="1091"/>
      <c r="OZS914" s="1091"/>
      <c r="OZT914" s="1091"/>
      <c r="OZU914" s="1091"/>
      <c r="OZV914" s="1091"/>
      <c r="OZW914" s="1091"/>
      <c r="OZX914" s="1091"/>
      <c r="OZY914" s="1091"/>
      <c r="OZZ914" s="1091"/>
      <c r="PAA914" s="1091"/>
      <c r="PAB914" s="1091"/>
      <c r="PAC914" s="1091"/>
      <c r="PAD914" s="1091"/>
      <c r="PAE914" s="1091"/>
      <c r="PAF914" s="1091"/>
      <c r="PAG914" s="1091"/>
      <c r="PAH914" s="1091"/>
      <c r="PAI914" s="1091"/>
      <c r="PAJ914" s="1091"/>
      <c r="PAK914" s="1091"/>
      <c r="PAL914" s="1091"/>
      <c r="PAM914" s="1091"/>
      <c r="PAN914" s="1091"/>
      <c r="PAO914" s="1091"/>
      <c r="PAP914" s="1091"/>
      <c r="PAQ914" s="1091"/>
      <c r="PAR914" s="1091"/>
      <c r="PAS914" s="1091"/>
      <c r="PAT914" s="1091"/>
      <c r="PAU914" s="1091"/>
      <c r="PAV914" s="1091"/>
      <c r="PAW914" s="1091"/>
      <c r="PAX914" s="1091"/>
      <c r="PAY914" s="1091"/>
      <c r="PAZ914" s="1091"/>
      <c r="PBA914" s="1091"/>
      <c r="PBB914" s="1091"/>
      <c r="PBC914" s="1091"/>
      <c r="PBD914" s="1091"/>
      <c r="PBE914" s="1091"/>
      <c r="PBF914" s="1091"/>
      <c r="PBG914" s="1091"/>
      <c r="PBH914" s="1091"/>
      <c r="PBI914" s="1091"/>
      <c r="PBJ914" s="1091"/>
      <c r="PBK914" s="1091"/>
      <c r="PBL914" s="1091"/>
      <c r="PBM914" s="1091"/>
      <c r="PBN914" s="1091"/>
      <c r="PBO914" s="1091"/>
      <c r="PBP914" s="1091"/>
      <c r="PBQ914" s="1091"/>
      <c r="PBR914" s="1091"/>
      <c r="PBS914" s="1091"/>
      <c r="PBT914" s="1091"/>
      <c r="PBU914" s="1091"/>
      <c r="PBV914" s="1091"/>
      <c r="PBW914" s="1091"/>
      <c r="PBX914" s="1091"/>
      <c r="PBY914" s="1091"/>
      <c r="PBZ914" s="1091"/>
      <c r="PCA914" s="1091"/>
      <c r="PCB914" s="1091"/>
      <c r="PCC914" s="1091"/>
      <c r="PCD914" s="1091"/>
      <c r="PCE914" s="1091"/>
      <c r="PCF914" s="1091"/>
      <c r="PCG914" s="1091"/>
      <c r="PCH914" s="1091"/>
      <c r="PCI914" s="1091"/>
      <c r="PCJ914" s="1091"/>
      <c r="PCK914" s="1091"/>
      <c r="PCL914" s="1091"/>
      <c r="PCM914" s="1091"/>
      <c r="PCN914" s="1091"/>
      <c r="PCO914" s="1091"/>
      <c r="PCP914" s="1091"/>
      <c r="PCQ914" s="1091"/>
      <c r="PCR914" s="1091"/>
      <c r="PCS914" s="1091"/>
      <c r="PCT914" s="1091"/>
      <c r="PCU914" s="1091"/>
      <c r="PCV914" s="1091"/>
      <c r="PCW914" s="1091"/>
      <c r="PCX914" s="1091"/>
      <c r="PCY914" s="1091"/>
      <c r="PCZ914" s="1091"/>
      <c r="PDA914" s="1091"/>
      <c r="PDB914" s="1091"/>
      <c r="PDC914" s="1091"/>
      <c r="PDD914" s="1091"/>
      <c r="PDE914" s="1091"/>
      <c r="PDF914" s="1091"/>
      <c r="PDG914" s="1091"/>
      <c r="PDH914" s="1091"/>
      <c r="PDI914" s="1091"/>
      <c r="PDJ914" s="1091"/>
      <c r="PDK914" s="1091"/>
      <c r="PDL914" s="1091"/>
      <c r="PDM914" s="1091"/>
      <c r="PDN914" s="1091"/>
      <c r="PDO914" s="1091"/>
      <c r="PDP914" s="1091"/>
      <c r="PDQ914" s="1091"/>
      <c r="PDR914" s="1091"/>
      <c r="PDS914" s="1091"/>
      <c r="PDT914" s="1091"/>
      <c r="PDU914" s="1091"/>
      <c r="PDV914" s="1091"/>
      <c r="PDW914" s="1091"/>
      <c r="PDX914" s="1091"/>
      <c r="PDY914" s="1091"/>
      <c r="PDZ914" s="1091"/>
      <c r="PEA914" s="1091"/>
      <c r="PEB914" s="1091"/>
      <c r="PEC914" s="1091"/>
      <c r="PED914" s="1091"/>
      <c r="PEE914" s="1091"/>
      <c r="PEF914" s="1091"/>
      <c r="PEG914" s="1091"/>
      <c r="PEH914" s="1091"/>
      <c r="PEI914" s="1091"/>
      <c r="PEJ914" s="1091"/>
      <c r="PEK914" s="1091"/>
      <c r="PEL914" s="1091"/>
      <c r="PEM914" s="1091"/>
      <c r="PEN914" s="1091"/>
      <c r="PEO914" s="1091"/>
      <c r="PEP914" s="1091"/>
      <c r="PEQ914" s="1091"/>
      <c r="PER914" s="1091"/>
      <c r="PES914" s="1091"/>
      <c r="PET914" s="1091"/>
      <c r="PEU914" s="1091"/>
      <c r="PEV914" s="1091"/>
      <c r="PEW914" s="1091"/>
      <c r="PEX914" s="1091"/>
      <c r="PEY914" s="1091"/>
      <c r="PEZ914" s="1091"/>
      <c r="PFA914" s="1091"/>
      <c r="PFB914" s="1091"/>
      <c r="PFC914" s="1091"/>
      <c r="PFD914" s="1091"/>
      <c r="PFE914" s="1091"/>
      <c r="PFF914" s="1091"/>
      <c r="PFG914" s="1091"/>
      <c r="PFH914" s="1091"/>
      <c r="PFI914" s="1091"/>
      <c r="PFJ914" s="1091"/>
      <c r="PFK914" s="1091"/>
      <c r="PFL914" s="1091"/>
      <c r="PFM914" s="1091"/>
      <c r="PFN914" s="1091"/>
      <c r="PFO914" s="1091"/>
      <c r="PFP914" s="1091"/>
      <c r="PFQ914" s="1091"/>
      <c r="PFR914" s="1091"/>
      <c r="PFS914" s="1091"/>
      <c r="PFT914" s="1091"/>
      <c r="PFU914" s="1091"/>
      <c r="PFV914" s="1091"/>
      <c r="PFW914" s="1091"/>
      <c r="PFX914" s="1091"/>
      <c r="PFY914" s="1091"/>
      <c r="PFZ914" s="1091"/>
      <c r="PGA914" s="1091"/>
      <c r="PGB914" s="1091"/>
      <c r="PGC914" s="1091"/>
      <c r="PGD914" s="1091"/>
      <c r="PGE914" s="1091"/>
      <c r="PGF914" s="1091"/>
      <c r="PGG914" s="1091"/>
      <c r="PGH914" s="1091"/>
      <c r="PGI914" s="1091"/>
      <c r="PGJ914" s="1091"/>
      <c r="PGK914" s="1091"/>
      <c r="PGL914" s="1091"/>
      <c r="PGM914" s="1091"/>
      <c r="PGN914" s="1091"/>
      <c r="PGO914" s="1091"/>
      <c r="PGP914" s="1091"/>
      <c r="PGQ914" s="1091"/>
      <c r="PGR914" s="1091"/>
      <c r="PGS914" s="1091"/>
      <c r="PGT914" s="1091"/>
      <c r="PGU914" s="1091"/>
      <c r="PGV914" s="1091"/>
      <c r="PGW914" s="1091"/>
      <c r="PGX914" s="1091"/>
      <c r="PGY914" s="1091"/>
      <c r="PGZ914" s="1091"/>
      <c r="PHA914" s="1091"/>
      <c r="PHB914" s="1091"/>
      <c r="PHC914" s="1091"/>
      <c r="PHD914" s="1091"/>
      <c r="PHE914" s="1091"/>
      <c r="PHF914" s="1091"/>
      <c r="PHG914" s="1091"/>
      <c r="PHH914" s="1091"/>
      <c r="PHI914" s="1091"/>
      <c r="PHJ914" s="1091"/>
      <c r="PHK914" s="1091"/>
      <c r="PHL914" s="1091"/>
      <c r="PHM914" s="1091"/>
      <c r="PHN914" s="1091"/>
      <c r="PHO914" s="1091"/>
      <c r="PHP914" s="1091"/>
      <c r="PHQ914" s="1091"/>
      <c r="PHR914" s="1091"/>
      <c r="PHS914" s="1091"/>
      <c r="PHT914" s="1091"/>
      <c r="PHU914" s="1091"/>
      <c r="PHV914" s="1091"/>
      <c r="PHW914" s="1091"/>
      <c r="PHX914" s="1091"/>
      <c r="PHY914" s="1091"/>
      <c r="PHZ914" s="1091"/>
      <c r="PIA914" s="1091"/>
      <c r="PIB914" s="1091"/>
      <c r="PIC914" s="1091"/>
      <c r="PID914" s="1091"/>
      <c r="PIE914" s="1091"/>
      <c r="PIF914" s="1091"/>
      <c r="PIG914" s="1091"/>
      <c r="PIH914" s="1091"/>
      <c r="PII914" s="1091"/>
      <c r="PIJ914" s="1091"/>
      <c r="PIK914" s="1091"/>
      <c r="PIL914" s="1091"/>
      <c r="PIM914" s="1091"/>
      <c r="PIN914" s="1091"/>
      <c r="PIO914" s="1091"/>
      <c r="PIP914" s="1091"/>
      <c r="PIQ914" s="1091"/>
      <c r="PIR914" s="1091"/>
      <c r="PIS914" s="1091"/>
      <c r="PIT914" s="1091"/>
      <c r="PIU914" s="1091"/>
      <c r="PIV914" s="1091"/>
      <c r="PIW914" s="1091"/>
      <c r="PIX914" s="1091"/>
      <c r="PIY914" s="1091"/>
      <c r="PIZ914" s="1091"/>
      <c r="PJA914" s="1091"/>
      <c r="PJB914" s="1091"/>
      <c r="PJC914" s="1091"/>
      <c r="PJD914" s="1091"/>
      <c r="PJE914" s="1091"/>
      <c r="PJF914" s="1091"/>
      <c r="PJG914" s="1091"/>
      <c r="PJH914" s="1091"/>
      <c r="PJI914" s="1091"/>
      <c r="PJJ914" s="1091"/>
      <c r="PJK914" s="1091"/>
      <c r="PJL914" s="1091"/>
      <c r="PJM914" s="1091"/>
      <c r="PJN914" s="1091"/>
      <c r="PJO914" s="1091"/>
      <c r="PJP914" s="1091"/>
      <c r="PJQ914" s="1091"/>
      <c r="PJR914" s="1091"/>
      <c r="PJS914" s="1091"/>
      <c r="PJT914" s="1091"/>
      <c r="PJU914" s="1091"/>
      <c r="PJV914" s="1091"/>
      <c r="PJW914" s="1091"/>
      <c r="PJX914" s="1091"/>
      <c r="PJY914" s="1091"/>
      <c r="PJZ914" s="1091"/>
      <c r="PKA914" s="1091"/>
      <c r="PKB914" s="1091"/>
      <c r="PKC914" s="1091"/>
      <c r="PKD914" s="1091"/>
      <c r="PKE914" s="1091"/>
      <c r="PKF914" s="1091"/>
      <c r="PKG914" s="1091"/>
      <c r="PKH914" s="1091"/>
      <c r="PKI914" s="1091"/>
      <c r="PKJ914" s="1091"/>
      <c r="PKK914" s="1091"/>
      <c r="PKL914" s="1091"/>
      <c r="PKM914" s="1091"/>
      <c r="PKN914" s="1091"/>
      <c r="PKO914" s="1091"/>
      <c r="PKP914" s="1091"/>
      <c r="PKQ914" s="1091"/>
      <c r="PKR914" s="1091"/>
      <c r="PKS914" s="1091"/>
      <c r="PKT914" s="1091"/>
      <c r="PKU914" s="1091"/>
      <c r="PKV914" s="1091"/>
      <c r="PKW914" s="1091"/>
      <c r="PKX914" s="1091"/>
      <c r="PKY914" s="1091"/>
      <c r="PKZ914" s="1091"/>
      <c r="PLA914" s="1091"/>
      <c r="PLB914" s="1091"/>
      <c r="PLC914" s="1091"/>
      <c r="PLD914" s="1091"/>
      <c r="PLE914" s="1091"/>
      <c r="PLF914" s="1091"/>
      <c r="PLG914" s="1091"/>
      <c r="PLH914" s="1091"/>
      <c r="PLI914" s="1091"/>
      <c r="PLJ914" s="1091"/>
      <c r="PLK914" s="1091"/>
      <c r="PLL914" s="1091"/>
      <c r="PLM914" s="1091"/>
      <c r="PLN914" s="1091"/>
      <c r="PLO914" s="1091"/>
      <c r="PLP914" s="1091"/>
      <c r="PLQ914" s="1091"/>
      <c r="PLR914" s="1091"/>
      <c r="PLS914" s="1091"/>
      <c r="PLT914" s="1091"/>
      <c r="PLU914" s="1091"/>
      <c r="PLV914" s="1091"/>
      <c r="PLW914" s="1091"/>
      <c r="PLX914" s="1091"/>
      <c r="PLY914" s="1091"/>
      <c r="PLZ914" s="1091"/>
      <c r="PMA914" s="1091"/>
      <c r="PMB914" s="1091"/>
      <c r="PMC914" s="1091"/>
      <c r="PMD914" s="1091"/>
      <c r="PME914" s="1091"/>
      <c r="PMF914" s="1091"/>
      <c r="PMG914" s="1091"/>
      <c r="PMH914" s="1091"/>
      <c r="PMI914" s="1091"/>
      <c r="PMJ914" s="1091"/>
      <c r="PMK914" s="1091"/>
      <c r="PML914" s="1091"/>
      <c r="PMM914" s="1091"/>
      <c r="PMN914" s="1091"/>
      <c r="PMO914" s="1091"/>
      <c r="PMP914" s="1091"/>
      <c r="PMQ914" s="1091"/>
      <c r="PMR914" s="1091"/>
      <c r="PMS914" s="1091"/>
      <c r="PMT914" s="1091"/>
      <c r="PMU914" s="1091"/>
      <c r="PMV914" s="1091"/>
      <c r="PMW914" s="1091"/>
      <c r="PMX914" s="1091"/>
      <c r="PMY914" s="1091"/>
      <c r="PMZ914" s="1091"/>
      <c r="PNA914" s="1091"/>
      <c r="PNB914" s="1091"/>
      <c r="PNC914" s="1091"/>
      <c r="PND914" s="1091"/>
      <c r="PNE914" s="1091"/>
      <c r="PNF914" s="1091"/>
      <c r="PNG914" s="1091"/>
      <c r="PNH914" s="1091"/>
      <c r="PNI914" s="1091"/>
      <c r="PNJ914" s="1091"/>
      <c r="PNK914" s="1091"/>
      <c r="PNL914" s="1091"/>
      <c r="PNM914" s="1091"/>
      <c r="PNN914" s="1091"/>
      <c r="PNO914" s="1091"/>
      <c r="PNP914" s="1091"/>
      <c r="PNQ914" s="1091"/>
      <c r="PNR914" s="1091"/>
      <c r="PNS914" s="1091"/>
      <c r="PNT914" s="1091"/>
      <c r="PNU914" s="1091"/>
      <c r="PNV914" s="1091"/>
      <c r="PNW914" s="1091"/>
      <c r="PNX914" s="1091"/>
      <c r="PNY914" s="1091"/>
      <c r="PNZ914" s="1091"/>
      <c r="POA914" s="1091"/>
      <c r="POB914" s="1091"/>
      <c r="POC914" s="1091"/>
      <c r="POD914" s="1091"/>
      <c r="POE914" s="1091"/>
      <c r="POF914" s="1091"/>
      <c r="POG914" s="1091"/>
      <c r="POH914" s="1091"/>
      <c r="POI914" s="1091"/>
      <c r="POJ914" s="1091"/>
      <c r="POK914" s="1091"/>
      <c r="POL914" s="1091"/>
      <c r="POM914" s="1091"/>
      <c r="PON914" s="1091"/>
      <c r="POO914" s="1091"/>
      <c r="POP914" s="1091"/>
      <c r="POQ914" s="1091"/>
      <c r="POR914" s="1091"/>
      <c r="POS914" s="1091"/>
      <c r="POT914" s="1091"/>
      <c r="POU914" s="1091"/>
      <c r="POV914" s="1091"/>
      <c r="POW914" s="1091"/>
      <c r="POX914" s="1091"/>
      <c r="POY914" s="1091"/>
      <c r="POZ914" s="1091"/>
      <c r="PPA914" s="1091"/>
      <c r="PPB914" s="1091"/>
      <c r="PPC914" s="1091"/>
      <c r="PPD914" s="1091"/>
      <c r="PPE914" s="1091"/>
      <c r="PPF914" s="1091"/>
      <c r="PPG914" s="1091"/>
      <c r="PPH914" s="1091"/>
      <c r="PPI914" s="1091"/>
      <c r="PPJ914" s="1091"/>
      <c r="PPK914" s="1091"/>
      <c r="PPL914" s="1091"/>
      <c r="PPM914" s="1091"/>
      <c r="PPN914" s="1091"/>
      <c r="PPO914" s="1091"/>
      <c r="PPP914" s="1091"/>
      <c r="PPQ914" s="1091"/>
      <c r="PPR914" s="1091"/>
      <c r="PPS914" s="1091"/>
      <c r="PPT914" s="1091"/>
      <c r="PPU914" s="1091"/>
      <c r="PPV914" s="1091"/>
      <c r="PPW914" s="1091"/>
      <c r="PPX914" s="1091"/>
      <c r="PPY914" s="1091"/>
      <c r="PPZ914" s="1091"/>
      <c r="PQA914" s="1091"/>
      <c r="PQB914" s="1091"/>
      <c r="PQC914" s="1091"/>
      <c r="PQD914" s="1091"/>
      <c r="PQE914" s="1091"/>
      <c r="PQF914" s="1091"/>
      <c r="PQG914" s="1091"/>
      <c r="PQH914" s="1091"/>
      <c r="PQI914" s="1091"/>
      <c r="PQJ914" s="1091"/>
      <c r="PQK914" s="1091"/>
      <c r="PQL914" s="1091"/>
      <c r="PQM914" s="1091"/>
      <c r="PQN914" s="1091"/>
      <c r="PQO914" s="1091"/>
      <c r="PQP914" s="1091"/>
      <c r="PQQ914" s="1091"/>
      <c r="PQR914" s="1091"/>
      <c r="PQS914" s="1091"/>
      <c r="PQT914" s="1091"/>
      <c r="PQU914" s="1091"/>
      <c r="PQV914" s="1091"/>
      <c r="PQW914" s="1091"/>
      <c r="PQX914" s="1091"/>
      <c r="PQY914" s="1091"/>
      <c r="PQZ914" s="1091"/>
      <c r="PRA914" s="1091"/>
      <c r="PRB914" s="1091"/>
      <c r="PRC914" s="1091"/>
      <c r="PRD914" s="1091"/>
      <c r="PRE914" s="1091"/>
      <c r="PRF914" s="1091"/>
      <c r="PRG914" s="1091"/>
      <c r="PRH914" s="1091"/>
      <c r="PRI914" s="1091"/>
      <c r="PRJ914" s="1091"/>
      <c r="PRK914" s="1091"/>
      <c r="PRL914" s="1091"/>
      <c r="PRM914" s="1091"/>
      <c r="PRN914" s="1091"/>
      <c r="PRO914" s="1091"/>
      <c r="PRP914" s="1091"/>
      <c r="PRQ914" s="1091"/>
      <c r="PRR914" s="1091"/>
      <c r="PRS914" s="1091"/>
      <c r="PRT914" s="1091"/>
      <c r="PRU914" s="1091"/>
      <c r="PRV914" s="1091"/>
      <c r="PRW914" s="1091"/>
      <c r="PRX914" s="1091"/>
      <c r="PRY914" s="1091"/>
      <c r="PRZ914" s="1091"/>
      <c r="PSA914" s="1091"/>
      <c r="PSB914" s="1091"/>
      <c r="PSC914" s="1091"/>
      <c r="PSD914" s="1091"/>
      <c r="PSE914" s="1091"/>
      <c r="PSF914" s="1091"/>
      <c r="PSG914" s="1091"/>
      <c r="PSH914" s="1091"/>
      <c r="PSI914" s="1091"/>
      <c r="PSJ914" s="1091"/>
      <c r="PSK914" s="1091"/>
      <c r="PSL914" s="1091"/>
      <c r="PSM914" s="1091"/>
      <c r="PSN914" s="1091"/>
      <c r="PSO914" s="1091"/>
      <c r="PSP914" s="1091"/>
      <c r="PSQ914" s="1091"/>
      <c r="PSR914" s="1091"/>
      <c r="PSS914" s="1091"/>
      <c r="PST914" s="1091"/>
      <c r="PSU914" s="1091"/>
      <c r="PSV914" s="1091"/>
      <c r="PSW914" s="1091"/>
      <c r="PSX914" s="1091"/>
      <c r="PSY914" s="1091"/>
      <c r="PSZ914" s="1091"/>
      <c r="PTA914" s="1091"/>
      <c r="PTB914" s="1091"/>
      <c r="PTC914" s="1091"/>
      <c r="PTD914" s="1091"/>
      <c r="PTE914" s="1091"/>
      <c r="PTF914" s="1091"/>
      <c r="PTG914" s="1091"/>
      <c r="PTH914" s="1091"/>
      <c r="PTI914" s="1091"/>
      <c r="PTJ914" s="1091"/>
      <c r="PTK914" s="1091"/>
      <c r="PTL914" s="1091"/>
      <c r="PTM914" s="1091"/>
      <c r="PTN914" s="1091"/>
      <c r="PTO914" s="1091"/>
      <c r="PTP914" s="1091"/>
      <c r="PTQ914" s="1091"/>
      <c r="PTR914" s="1091"/>
      <c r="PTS914" s="1091"/>
      <c r="PTT914" s="1091"/>
      <c r="PTU914" s="1091"/>
      <c r="PTV914" s="1091"/>
      <c r="PTW914" s="1091"/>
      <c r="PTX914" s="1091"/>
      <c r="PTY914" s="1091"/>
      <c r="PTZ914" s="1091"/>
      <c r="PUA914" s="1091"/>
      <c r="PUB914" s="1091"/>
      <c r="PUC914" s="1091"/>
      <c r="PUD914" s="1091"/>
      <c r="PUE914" s="1091"/>
      <c r="PUF914" s="1091"/>
      <c r="PUG914" s="1091"/>
      <c r="PUH914" s="1091"/>
      <c r="PUI914" s="1091"/>
      <c r="PUJ914" s="1091"/>
      <c r="PUK914" s="1091"/>
      <c r="PUL914" s="1091"/>
      <c r="PUM914" s="1091"/>
      <c r="PUN914" s="1091"/>
      <c r="PUO914" s="1091"/>
      <c r="PUP914" s="1091"/>
      <c r="PUQ914" s="1091"/>
      <c r="PUR914" s="1091"/>
      <c r="PUS914" s="1091"/>
      <c r="PUT914" s="1091"/>
      <c r="PUU914" s="1091"/>
      <c r="PUV914" s="1091"/>
      <c r="PUW914" s="1091"/>
      <c r="PUX914" s="1091"/>
      <c r="PUY914" s="1091"/>
      <c r="PUZ914" s="1091"/>
      <c r="PVA914" s="1091"/>
      <c r="PVB914" s="1091"/>
      <c r="PVC914" s="1091"/>
      <c r="PVD914" s="1091"/>
      <c r="PVE914" s="1091"/>
      <c r="PVF914" s="1091"/>
      <c r="PVG914" s="1091"/>
      <c r="PVH914" s="1091"/>
      <c r="PVI914" s="1091"/>
      <c r="PVJ914" s="1091"/>
      <c r="PVK914" s="1091"/>
      <c r="PVL914" s="1091"/>
      <c r="PVM914" s="1091"/>
      <c r="PVN914" s="1091"/>
      <c r="PVO914" s="1091"/>
      <c r="PVP914" s="1091"/>
      <c r="PVQ914" s="1091"/>
      <c r="PVR914" s="1091"/>
      <c r="PVS914" s="1091"/>
      <c r="PVT914" s="1091"/>
      <c r="PVU914" s="1091"/>
      <c r="PVV914" s="1091"/>
      <c r="PVW914" s="1091"/>
      <c r="PVX914" s="1091"/>
      <c r="PVY914" s="1091"/>
      <c r="PVZ914" s="1091"/>
      <c r="PWA914" s="1091"/>
      <c r="PWB914" s="1091"/>
      <c r="PWC914" s="1091"/>
      <c r="PWD914" s="1091"/>
      <c r="PWE914" s="1091"/>
      <c r="PWF914" s="1091"/>
      <c r="PWG914" s="1091"/>
      <c r="PWH914" s="1091"/>
      <c r="PWI914" s="1091"/>
      <c r="PWJ914" s="1091"/>
      <c r="PWK914" s="1091"/>
      <c r="PWL914" s="1091"/>
      <c r="PWM914" s="1091"/>
      <c r="PWN914" s="1091"/>
      <c r="PWO914" s="1091"/>
      <c r="PWP914" s="1091"/>
      <c r="PWQ914" s="1091"/>
      <c r="PWR914" s="1091"/>
      <c r="PWS914" s="1091"/>
      <c r="PWT914" s="1091"/>
      <c r="PWU914" s="1091"/>
      <c r="PWV914" s="1091"/>
      <c r="PWW914" s="1091"/>
      <c r="PWX914" s="1091"/>
      <c r="PWY914" s="1091"/>
      <c r="PWZ914" s="1091"/>
      <c r="PXA914" s="1091"/>
      <c r="PXB914" s="1091"/>
      <c r="PXC914" s="1091"/>
      <c r="PXD914" s="1091"/>
      <c r="PXE914" s="1091"/>
      <c r="PXF914" s="1091"/>
      <c r="PXG914" s="1091"/>
      <c r="PXH914" s="1091"/>
      <c r="PXI914" s="1091"/>
      <c r="PXJ914" s="1091"/>
      <c r="PXK914" s="1091"/>
      <c r="PXL914" s="1091"/>
      <c r="PXM914" s="1091"/>
      <c r="PXN914" s="1091"/>
      <c r="PXO914" s="1091"/>
      <c r="PXP914" s="1091"/>
      <c r="PXQ914" s="1091"/>
      <c r="PXR914" s="1091"/>
      <c r="PXS914" s="1091"/>
      <c r="PXT914" s="1091"/>
      <c r="PXU914" s="1091"/>
      <c r="PXV914" s="1091"/>
      <c r="PXW914" s="1091"/>
      <c r="PXX914" s="1091"/>
      <c r="PXY914" s="1091"/>
      <c r="PXZ914" s="1091"/>
      <c r="PYA914" s="1091"/>
      <c r="PYB914" s="1091"/>
      <c r="PYC914" s="1091"/>
      <c r="PYD914" s="1091"/>
      <c r="PYE914" s="1091"/>
      <c r="PYF914" s="1091"/>
      <c r="PYG914" s="1091"/>
      <c r="PYH914" s="1091"/>
      <c r="PYI914" s="1091"/>
      <c r="PYJ914" s="1091"/>
      <c r="PYK914" s="1091"/>
      <c r="PYL914" s="1091"/>
      <c r="PYM914" s="1091"/>
      <c r="PYN914" s="1091"/>
      <c r="PYO914" s="1091"/>
      <c r="PYP914" s="1091"/>
      <c r="PYQ914" s="1091"/>
      <c r="PYR914" s="1091"/>
      <c r="PYS914" s="1091"/>
      <c r="PYT914" s="1091"/>
      <c r="PYU914" s="1091"/>
      <c r="PYV914" s="1091"/>
      <c r="PYW914" s="1091"/>
      <c r="PYX914" s="1091"/>
      <c r="PYY914" s="1091"/>
      <c r="PYZ914" s="1091"/>
      <c r="PZA914" s="1091"/>
      <c r="PZB914" s="1091"/>
      <c r="PZC914" s="1091"/>
      <c r="PZD914" s="1091"/>
      <c r="PZE914" s="1091"/>
      <c r="PZF914" s="1091"/>
      <c r="PZG914" s="1091"/>
      <c r="PZH914" s="1091"/>
      <c r="PZI914" s="1091"/>
      <c r="PZJ914" s="1091"/>
      <c r="PZK914" s="1091"/>
      <c r="PZL914" s="1091"/>
      <c r="PZM914" s="1091"/>
      <c r="PZN914" s="1091"/>
      <c r="PZO914" s="1091"/>
      <c r="PZP914" s="1091"/>
      <c r="PZQ914" s="1091"/>
      <c r="PZR914" s="1091"/>
      <c r="PZS914" s="1091"/>
      <c r="PZT914" s="1091"/>
      <c r="PZU914" s="1091"/>
      <c r="PZV914" s="1091"/>
      <c r="PZW914" s="1091"/>
      <c r="PZX914" s="1091"/>
      <c r="PZY914" s="1091"/>
      <c r="PZZ914" s="1091"/>
      <c r="QAA914" s="1091"/>
      <c r="QAB914" s="1091"/>
      <c r="QAC914" s="1091"/>
      <c r="QAD914" s="1091"/>
      <c r="QAE914" s="1091"/>
      <c r="QAF914" s="1091"/>
      <c r="QAG914" s="1091"/>
      <c r="QAH914" s="1091"/>
      <c r="QAI914" s="1091"/>
      <c r="QAJ914" s="1091"/>
      <c r="QAK914" s="1091"/>
      <c r="QAL914" s="1091"/>
      <c r="QAM914" s="1091"/>
      <c r="QAN914" s="1091"/>
      <c r="QAO914" s="1091"/>
      <c r="QAP914" s="1091"/>
      <c r="QAQ914" s="1091"/>
      <c r="QAR914" s="1091"/>
      <c r="QAS914" s="1091"/>
      <c r="QAT914" s="1091"/>
      <c r="QAU914" s="1091"/>
      <c r="QAV914" s="1091"/>
      <c r="QAW914" s="1091"/>
      <c r="QAX914" s="1091"/>
      <c r="QAY914" s="1091"/>
      <c r="QAZ914" s="1091"/>
      <c r="QBA914" s="1091"/>
      <c r="QBB914" s="1091"/>
      <c r="QBC914" s="1091"/>
      <c r="QBD914" s="1091"/>
      <c r="QBE914" s="1091"/>
      <c r="QBF914" s="1091"/>
      <c r="QBG914" s="1091"/>
      <c r="QBH914" s="1091"/>
      <c r="QBI914" s="1091"/>
      <c r="QBJ914" s="1091"/>
      <c r="QBK914" s="1091"/>
      <c r="QBL914" s="1091"/>
      <c r="QBM914" s="1091"/>
      <c r="QBN914" s="1091"/>
      <c r="QBO914" s="1091"/>
      <c r="QBP914" s="1091"/>
      <c r="QBQ914" s="1091"/>
      <c r="QBR914" s="1091"/>
      <c r="QBS914" s="1091"/>
      <c r="QBT914" s="1091"/>
      <c r="QBU914" s="1091"/>
      <c r="QBV914" s="1091"/>
      <c r="QBW914" s="1091"/>
      <c r="QBX914" s="1091"/>
      <c r="QBY914" s="1091"/>
      <c r="QBZ914" s="1091"/>
      <c r="QCA914" s="1091"/>
      <c r="QCB914" s="1091"/>
      <c r="QCC914" s="1091"/>
      <c r="QCD914" s="1091"/>
      <c r="QCE914" s="1091"/>
      <c r="QCF914" s="1091"/>
      <c r="QCG914" s="1091"/>
      <c r="QCH914" s="1091"/>
      <c r="QCI914" s="1091"/>
      <c r="QCJ914" s="1091"/>
      <c r="QCK914" s="1091"/>
      <c r="QCL914" s="1091"/>
      <c r="QCM914" s="1091"/>
      <c r="QCN914" s="1091"/>
      <c r="QCO914" s="1091"/>
      <c r="QCP914" s="1091"/>
      <c r="QCQ914" s="1091"/>
      <c r="QCR914" s="1091"/>
      <c r="QCS914" s="1091"/>
      <c r="QCT914" s="1091"/>
      <c r="QCU914" s="1091"/>
      <c r="QCV914" s="1091"/>
      <c r="QCW914" s="1091"/>
      <c r="QCX914" s="1091"/>
      <c r="QCY914" s="1091"/>
      <c r="QCZ914" s="1091"/>
      <c r="QDA914" s="1091"/>
      <c r="QDB914" s="1091"/>
      <c r="QDC914" s="1091"/>
      <c r="QDD914" s="1091"/>
      <c r="QDE914" s="1091"/>
      <c r="QDF914" s="1091"/>
      <c r="QDG914" s="1091"/>
      <c r="QDH914" s="1091"/>
      <c r="QDI914" s="1091"/>
      <c r="QDJ914" s="1091"/>
      <c r="QDK914" s="1091"/>
      <c r="QDL914" s="1091"/>
      <c r="QDM914" s="1091"/>
      <c r="QDN914" s="1091"/>
      <c r="QDO914" s="1091"/>
      <c r="QDP914" s="1091"/>
      <c r="QDQ914" s="1091"/>
      <c r="QDR914" s="1091"/>
      <c r="QDS914" s="1091"/>
      <c r="QDT914" s="1091"/>
      <c r="QDU914" s="1091"/>
      <c r="QDV914" s="1091"/>
      <c r="QDW914" s="1091"/>
      <c r="QDX914" s="1091"/>
      <c r="QDY914" s="1091"/>
      <c r="QDZ914" s="1091"/>
      <c r="QEA914" s="1091"/>
      <c r="QEB914" s="1091"/>
      <c r="QEC914" s="1091"/>
      <c r="QED914" s="1091"/>
      <c r="QEE914" s="1091"/>
      <c r="QEF914" s="1091"/>
      <c r="QEG914" s="1091"/>
      <c r="QEH914" s="1091"/>
      <c r="QEI914" s="1091"/>
      <c r="QEJ914" s="1091"/>
      <c r="QEK914" s="1091"/>
      <c r="QEL914" s="1091"/>
      <c r="QEM914" s="1091"/>
      <c r="QEN914" s="1091"/>
      <c r="QEO914" s="1091"/>
      <c r="QEP914" s="1091"/>
      <c r="QEQ914" s="1091"/>
      <c r="QER914" s="1091"/>
      <c r="QES914" s="1091"/>
      <c r="QET914" s="1091"/>
      <c r="QEU914" s="1091"/>
      <c r="QEV914" s="1091"/>
      <c r="QEW914" s="1091"/>
      <c r="QEX914" s="1091"/>
      <c r="QEY914" s="1091"/>
      <c r="QEZ914" s="1091"/>
      <c r="QFA914" s="1091"/>
      <c r="QFB914" s="1091"/>
      <c r="QFC914" s="1091"/>
      <c r="QFD914" s="1091"/>
      <c r="QFE914" s="1091"/>
      <c r="QFF914" s="1091"/>
      <c r="QFG914" s="1091"/>
      <c r="QFH914" s="1091"/>
      <c r="QFI914" s="1091"/>
      <c r="QFJ914" s="1091"/>
      <c r="QFK914" s="1091"/>
      <c r="QFL914" s="1091"/>
      <c r="QFM914" s="1091"/>
      <c r="QFN914" s="1091"/>
      <c r="QFO914" s="1091"/>
      <c r="QFP914" s="1091"/>
      <c r="QFQ914" s="1091"/>
      <c r="QFR914" s="1091"/>
      <c r="QFS914" s="1091"/>
      <c r="QFT914" s="1091"/>
      <c r="QFU914" s="1091"/>
      <c r="QFV914" s="1091"/>
      <c r="QFW914" s="1091"/>
      <c r="QFX914" s="1091"/>
      <c r="QFY914" s="1091"/>
      <c r="QFZ914" s="1091"/>
      <c r="QGA914" s="1091"/>
      <c r="QGB914" s="1091"/>
      <c r="QGC914" s="1091"/>
      <c r="QGD914" s="1091"/>
      <c r="QGE914" s="1091"/>
      <c r="QGF914" s="1091"/>
      <c r="QGG914" s="1091"/>
      <c r="QGH914" s="1091"/>
      <c r="QGI914" s="1091"/>
      <c r="QGJ914" s="1091"/>
      <c r="QGK914" s="1091"/>
      <c r="QGL914" s="1091"/>
      <c r="QGM914" s="1091"/>
      <c r="QGN914" s="1091"/>
      <c r="QGO914" s="1091"/>
      <c r="QGP914" s="1091"/>
      <c r="QGQ914" s="1091"/>
      <c r="QGR914" s="1091"/>
      <c r="QGS914" s="1091"/>
      <c r="QGT914" s="1091"/>
      <c r="QGU914" s="1091"/>
      <c r="QGV914" s="1091"/>
      <c r="QGW914" s="1091"/>
      <c r="QGX914" s="1091"/>
      <c r="QGY914" s="1091"/>
      <c r="QGZ914" s="1091"/>
      <c r="QHA914" s="1091"/>
      <c r="QHB914" s="1091"/>
      <c r="QHC914" s="1091"/>
      <c r="QHD914" s="1091"/>
      <c r="QHE914" s="1091"/>
      <c r="QHF914" s="1091"/>
      <c r="QHG914" s="1091"/>
      <c r="QHH914" s="1091"/>
      <c r="QHI914" s="1091"/>
      <c r="QHJ914" s="1091"/>
      <c r="QHK914" s="1091"/>
      <c r="QHL914" s="1091"/>
      <c r="QHM914" s="1091"/>
      <c r="QHN914" s="1091"/>
      <c r="QHO914" s="1091"/>
      <c r="QHP914" s="1091"/>
      <c r="QHQ914" s="1091"/>
      <c r="QHR914" s="1091"/>
      <c r="QHS914" s="1091"/>
      <c r="QHT914" s="1091"/>
      <c r="QHU914" s="1091"/>
      <c r="QHV914" s="1091"/>
      <c r="QHW914" s="1091"/>
      <c r="QHX914" s="1091"/>
      <c r="QHY914" s="1091"/>
      <c r="QHZ914" s="1091"/>
      <c r="QIA914" s="1091"/>
      <c r="QIB914" s="1091"/>
      <c r="QIC914" s="1091"/>
      <c r="QID914" s="1091"/>
      <c r="QIE914" s="1091"/>
      <c r="QIF914" s="1091"/>
      <c r="QIG914" s="1091"/>
      <c r="QIH914" s="1091"/>
      <c r="QII914" s="1091"/>
      <c r="QIJ914" s="1091"/>
      <c r="QIK914" s="1091"/>
      <c r="QIL914" s="1091"/>
      <c r="QIM914" s="1091"/>
      <c r="QIN914" s="1091"/>
      <c r="QIO914" s="1091"/>
      <c r="QIP914" s="1091"/>
      <c r="QIQ914" s="1091"/>
      <c r="QIR914" s="1091"/>
      <c r="QIS914" s="1091"/>
      <c r="QIT914" s="1091"/>
      <c r="QIU914" s="1091"/>
      <c r="QIV914" s="1091"/>
      <c r="QIW914" s="1091"/>
      <c r="QIX914" s="1091"/>
      <c r="QIY914" s="1091"/>
      <c r="QIZ914" s="1091"/>
      <c r="QJA914" s="1091"/>
      <c r="QJB914" s="1091"/>
      <c r="QJC914" s="1091"/>
      <c r="QJD914" s="1091"/>
      <c r="QJE914" s="1091"/>
      <c r="QJF914" s="1091"/>
      <c r="QJG914" s="1091"/>
      <c r="QJH914" s="1091"/>
      <c r="QJI914" s="1091"/>
      <c r="QJJ914" s="1091"/>
      <c r="QJK914" s="1091"/>
      <c r="QJL914" s="1091"/>
      <c r="QJM914" s="1091"/>
      <c r="QJN914" s="1091"/>
      <c r="QJO914" s="1091"/>
      <c r="QJP914" s="1091"/>
      <c r="QJQ914" s="1091"/>
      <c r="QJR914" s="1091"/>
      <c r="QJS914" s="1091"/>
      <c r="QJT914" s="1091"/>
      <c r="QJU914" s="1091"/>
      <c r="QJV914" s="1091"/>
      <c r="QJW914" s="1091"/>
      <c r="QJX914" s="1091"/>
      <c r="QJY914" s="1091"/>
      <c r="QJZ914" s="1091"/>
      <c r="QKA914" s="1091"/>
      <c r="QKB914" s="1091"/>
      <c r="QKC914" s="1091"/>
      <c r="QKD914" s="1091"/>
      <c r="QKE914" s="1091"/>
      <c r="QKF914" s="1091"/>
      <c r="QKG914" s="1091"/>
      <c r="QKH914" s="1091"/>
      <c r="QKI914" s="1091"/>
      <c r="QKJ914" s="1091"/>
      <c r="QKK914" s="1091"/>
      <c r="QKL914" s="1091"/>
      <c r="QKM914" s="1091"/>
      <c r="QKN914" s="1091"/>
      <c r="QKO914" s="1091"/>
      <c r="QKP914" s="1091"/>
      <c r="QKQ914" s="1091"/>
      <c r="QKR914" s="1091"/>
      <c r="QKS914" s="1091"/>
      <c r="QKT914" s="1091"/>
      <c r="QKU914" s="1091"/>
      <c r="QKV914" s="1091"/>
      <c r="QKW914" s="1091"/>
      <c r="QKX914" s="1091"/>
      <c r="QKY914" s="1091"/>
      <c r="QKZ914" s="1091"/>
      <c r="QLA914" s="1091"/>
      <c r="QLB914" s="1091"/>
      <c r="QLC914" s="1091"/>
      <c r="QLD914" s="1091"/>
      <c r="QLE914" s="1091"/>
      <c r="QLF914" s="1091"/>
      <c r="QLG914" s="1091"/>
      <c r="QLH914" s="1091"/>
      <c r="QLI914" s="1091"/>
      <c r="QLJ914" s="1091"/>
      <c r="QLK914" s="1091"/>
      <c r="QLL914" s="1091"/>
      <c r="QLM914" s="1091"/>
      <c r="QLN914" s="1091"/>
      <c r="QLO914" s="1091"/>
      <c r="QLP914" s="1091"/>
      <c r="QLQ914" s="1091"/>
      <c r="QLR914" s="1091"/>
      <c r="QLS914" s="1091"/>
      <c r="QLT914" s="1091"/>
      <c r="QLU914" s="1091"/>
      <c r="QLV914" s="1091"/>
      <c r="QLW914" s="1091"/>
      <c r="QLX914" s="1091"/>
      <c r="QLY914" s="1091"/>
      <c r="QLZ914" s="1091"/>
      <c r="QMA914" s="1091"/>
      <c r="QMB914" s="1091"/>
      <c r="QMC914" s="1091"/>
      <c r="QMD914" s="1091"/>
      <c r="QME914" s="1091"/>
      <c r="QMF914" s="1091"/>
      <c r="QMG914" s="1091"/>
      <c r="QMH914" s="1091"/>
      <c r="QMI914" s="1091"/>
      <c r="QMJ914" s="1091"/>
      <c r="QMK914" s="1091"/>
      <c r="QML914" s="1091"/>
      <c r="QMM914" s="1091"/>
      <c r="QMN914" s="1091"/>
      <c r="QMO914" s="1091"/>
      <c r="QMP914" s="1091"/>
      <c r="QMQ914" s="1091"/>
      <c r="QMR914" s="1091"/>
      <c r="QMS914" s="1091"/>
      <c r="QMT914" s="1091"/>
      <c r="QMU914" s="1091"/>
      <c r="QMV914" s="1091"/>
      <c r="QMW914" s="1091"/>
      <c r="QMX914" s="1091"/>
      <c r="QMY914" s="1091"/>
      <c r="QMZ914" s="1091"/>
      <c r="QNA914" s="1091"/>
      <c r="QNB914" s="1091"/>
      <c r="QNC914" s="1091"/>
      <c r="QND914" s="1091"/>
      <c r="QNE914" s="1091"/>
      <c r="QNF914" s="1091"/>
      <c r="QNG914" s="1091"/>
      <c r="QNH914" s="1091"/>
      <c r="QNI914" s="1091"/>
      <c r="QNJ914" s="1091"/>
      <c r="QNK914" s="1091"/>
      <c r="QNL914" s="1091"/>
      <c r="QNM914" s="1091"/>
      <c r="QNN914" s="1091"/>
      <c r="QNO914" s="1091"/>
      <c r="QNP914" s="1091"/>
      <c r="QNQ914" s="1091"/>
      <c r="QNR914" s="1091"/>
      <c r="QNS914" s="1091"/>
      <c r="QNT914" s="1091"/>
      <c r="QNU914" s="1091"/>
      <c r="QNV914" s="1091"/>
      <c r="QNW914" s="1091"/>
      <c r="QNX914" s="1091"/>
      <c r="QNY914" s="1091"/>
      <c r="QNZ914" s="1091"/>
      <c r="QOA914" s="1091"/>
      <c r="QOB914" s="1091"/>
      <c r="QOC914" s="1091"/>
      <c r="QOD914" s="1091"/>
      <c r="QOE914" s="1091"/>
      <c r="QOF914" s="1091"/>
      <c r="QOG914" s="1091"/>
      <c r="QOH914" s="1091"/>
      <c r="QOI914" s="1091"/>
      <c r="QOJ914" s="1091"/>
      <c r="QOK914" s="1091"/>
      <c r="QOL914" s="1091"/>
      <c r="QOM914" s="1091"/>
      <c r="QON914" s="1091"/>
      <c r="QOO914" s="1091"/>
      <c r="QOP914" s="1091"/>
      <c r="QOQ914" s="1091"/>
      <c r="QOR914" s="1091"/>
      <c r="QOS914" s="1091"/>
      <c r="QOT914" s="1091"/>
      <c r="QOU914" s="1091"/>
      <c r="QOV914" s="1091"/>
      <c r="QOW914" s="1091"/>
      <c r="QOX914" s="1091"/>
      <c r="QOY914" s="1091"/>
      <c r="QOZ914" s="1091"/>
      <c r="QPA914" s="1091"/>
      <c r="QPB914" s="1091"/>
      <c r="QPC914" s="1091"/>
      <c r="QPD914" s="1091"/>
      <c r="QPE914" s="1091"/>
      <c r="QPF914" s="1091"/>
      <c r="QPG914" s="1091"/>
      <c r="QPH914" s="1091"/>
      <c r="QPI914" s="1091"/>
      <c r="QPJ914" s="1091"/>
      <c r="QPK914" s="1091"/>
      <c r="QPL914" s="1091"/>
      <c r="QPM914" s="1091"/>
      <c r="QPN914" s="1091"/>
      <c r="QPO914" s="1091"/>
      <c r="QPP914" s="1091"/>
      <c r="QPQ914" s="1091"/>
      <c r="QPR914" s="1091"/>
      <c r="QPS914" s="1091"/>
      <c r="QPT914" s="1091"/>
      <c r="QPU914" s="1091"/>
      <c r="QPV914" s="1091"/>
      <c r="QPW914" s="1091"/>
      <c r="QPX914" s="1091"/>
      <c r="QPY914" s="1091"/>
      <c r="QPZ914" s="1091"/>
      <c r="QQA914" s="1091"/>
      <c r="QQB914" s="1091"/>
      <c r="QQC914" s="1091"/>
      <c r="QQD914" s="1091"/>
      <c r="QQE914" s="1091"/>
      <c r="QQF914" s="1091"/>
      <c r="QQG914" s="1091"/>
      <c r="QQH914" s="1091"/>
      <c r="QQI914" s="1091"/>
      <c r="QQJ914" s="1091"/>
      <c r="QQK914" s="1091"/>
      <c r="QQL914" s="1091"/>
      <c r="QQM914" s="1091"/>
      <c r="QQN914" s="1091"/>
      <c r="QQO914" s="1091"/>
      <c r="QQP914" s="1091"/>
      <c r="QQQ914" s="1091"/>
      <c r="QQR914" s="1091"/>
      <c r="QQS914" s="1091"/>
      <c r="QQT914" s="1091"/>
      <c r="QQU914" s="1091"/>
      <c r="QQV914" s="1091"/>
      <c r="QQW914" s="1091"/>
      <c r="QQX914" s="1091"/>
      <c r="QQY914" s="1091"/>
      <c r="QQZ914" s="1091"/>
      <c r="QRA914" s="1091"/>
      <c r="QRB914" s="1091"/>
      <c r="QRC914" s="1091"/>
      <c r="QRD914" s="1091"/>
      <c r="QRE914" s="1091"/>
      <c r="QRF914" s="1091"/>
      <c r="QRG914" s="1091"/>
      <c r="QRH914" s="1091"/>
      <c r="QRI914" s="1091"/>
      <c r="QRJ914" s="1091"/>
      <c r="QRK914" s="1091"/>
      <c r="QRL914" s="1091"/>
      <c r="QRM914" s="1091"/>
      <c r="QRN914" s="1091"/>
      <c r="QRO914" s="1091"/>
      <c r="QRP914" s="1091"/>
      <c r="QRQ914" s="1091"/>
      <c r="QRR914" s="1091"/>
      <c r="QRS914" s="1091"/>
      <c r="QRT914" s="1091"/>
      <c r="QRU914" s="1091"/>
      <c r="QRV914" s="1091"/>
      <c r="QRW914" s="1091"/>
      <c r="QRX914" s="1091"/>
      <c r="QRY914" s="1091"/>
      <c r="QRZ914" s="1091"/>
      <c r="QSA914" s="1091"/>
      <c r="QSB914" s="1091"/>
      <c r="QSC914" s="1091"/>
      <c r="QSD914" s="1091"/>
      <c r="QSE914" s="1091"/>
      <c r="QSF914" s="1091"/>
      <c r="QSG914" s="1091"/>
      <c r="QSH914" s="1091"/>
      <c r="QSI914" s="1091"/>
      <c r="QSJ914" s="1091"/>
      <c r="QSK914" s="1091"/>
      <c r="QSL914" s="1091"/>
      <c r="QSM914" s="1091"/>
      <c r="QSN914" s="1091"/>
      <c r="QSO914" s="1091"/>
      <c r="QSP914" s="1091"/>
      <c r="QSQ914" s="1091"/>
      <c r="QSR914" s="1091"/>
      <c r="QSS914" s="1091"/>
      <c r="QST914" s="1091"/>
      <c r="QSU914" s="1091"/>
      <c r="QSV914" s="1091"/>
      <c r="QSW914" s="1091"/>
      <c r="QSX914" s="1091"/>
      <c r="QSY914" s="1091"/>
      <c r="QSZ914" s="1091"/>
      <c r="QTA914" s="1091"/>
      <c r="QTB914" s="1091"/>
      <c r="QTC914" s="1091"/>
      <c r="QTD914" s="1091"/>
      <c r="QTE914" s="1091"/>
      <c r="QTF914" s="1091"/>
      <c r="QTG914" s="1091"/>
      <c r="QTH914" s="1091"/>
      <c r="QTI914" s="1091"/>
      <c r="QTJ914" s="1091"/>
      <c r="QTK914" s="1091"/>
      <c r="QTL914" s="1091"/>
      <c r="QTM914" s="1091"/>
      <c r="QTN914" s="1091"/>
      <c r="QTO914" s="1091"/>
      <c r="QTP914" s="1091"/>
      <c r="QTQ914" s="1091"/>
      <c r="QTR914" s="1091"/>
      <c r="QTS914" s="1091"/>
      <c r="QTT914" s="1091"/>
      <c r="QTU914" s="1091"/>
      <c r="QTV914" s="1091"/>
      <c r="QTW914" s="1091"/>
      <c r="QTX914" s="1091"/>
      <c r="QTY914" s="1091"/>
      <c r="QTZ914" s="1091"/>
      <c r="QUA914" s="1091"/>
      <c r="QUB914" s="1091"/>
      <c r="QUC914" s="1091"/>
      <c r="QUD914" s="1091"/>
      <c r="QUE914" s="1091"/>
      <c r="QUF914" s="1091"/>
      <c r="QUG914" s="1091"/>
      <c r="QUH914" s="1091"/>
      <c r="QUI914" s="1091"/>
      <c r="QUJ914" s="1091"/>
      <c r="QUK914" s="1091"/>
      <c r="QUL914" s="1091"/>
      <c r="QUM914" s="1091"/>
      <c r="QUN914" s="1091"/>
      <c r="QUO914" s="1091"/>
      <c r="QUP914" s="1091"/>
      <c r="QUQ914" s="1091"/>
      <c r="QUR914" s="1091"/>
      <c r="QUS914" s="1091"/>
      <c r="QUT914" s="1091"/>
      <c r="QUU914" s="1091"/>
      <c r="QUV914" s="1091"/>
      <c r="QUW914" s="1091"/>
      <c r="QUX914" s="1091"/>
      <c r="QUY914" s="1091"/>
      <c r="QUZ914" s="1091"/>
      <c r="QVA914" s="1091"/>
      <c r="QVB914" s="1091"/>
      <c r="QVC914" s="1091"/>
      <c r="QVD914" s="1091"/>
      <c r="QVE914" s="1091"/>
      <c r="QVF914" s="1091"/>
      <c r="QVG914" s="1091"/>
      <c r="QVH914" s="1091"/>
      <c r="QVI914" s="1091"/>
      <c r="QVJ914" s="1091"/>
      <c r="QVK914" s="1091"/>
      <c r="QVL914" s="1091"/>
      <c r="QVM914" s="1091"/>
      <c r="QVN914" s="1091"/>
      <c r="QVO914" s="1091"/>
      <c r="QVP914" s="1091"/>
      <c r="QVQ914" s="1091"/>
      <c r="QVR914" s="1091"/>
      <c r="QVS914" s="1091"/>
      <c r="QVT914" s="1091"/>
      <c r="QVU914" s="1091"/>
      <c r="QVV914" s="1091"/>
      <c r="QVW914" s="1091"/>
      <c r="QVX914" s="1091"/>
      <c r="QVY914" s="1091"/>
      <c r="QVZ914" s="1091"/>
      <c r="QWA914" s="1091"/>
      <c r="QWB914" s="1091"/>
      <c r="QWC914" s="1091"/>
      <c r="QWD914" s="1091"/>
      <c r="QWE914" s="1091"/>
      <c r="QWF914" s="1091"/>
      <c r="QWG914" s="1091"/>
      <c r="QWH914" s="1091"/>
      <c r="QWI914" s="1091"/>
      <c r="QWJ914" s="1091"/>
      <c r="QWK914" s="1091"/>
      <c r="QWL914" s="1091"/>
      <c r="QWM914" s="1091"/>
      <c r="QWN914" s="1091"/>
      <c r="QWO914" s="1091"/>
      <c r="QWP914" s="1091"/>
      <c r="QWQ914" s="1091"/>
      <c r="QWR914" s="1091"/>
      <c r="QWS914" s="1091"/>
      <c r="QWT914" s="1091"/>
      <c r="QWU914" s="1091"/>
      <c r="QWV914" s="1091"/>
      <c r="QWW914" s="1091"/>
      <c r="QWX914" s="1091"/>
      <c r="QWY914" s="1091"/>
      <c r="QWZ914" s="1091"/>
      <c r="QXA914" s="1091"/>
      <c r="QXB914" s="1091"/>
      <c r="QXC914" s="1091"/>
      <c r="QXD914" s="1091"/>
      <c r="QXE914" s="1091"/>
      <c r="QXF914" s="1091"/>
      <c r="QXG914" s="1091"/>
      <c r="QXH914" s="1091"/>
      <c r="QXI914" s="1091"/>
      <c r="QXJ914" s="1091"/>
      <c r="QXK914" s="1091"/>
      <c r="QXL914" s="1091"/>
      <c r="QXM914" s="1091"/>
      <c r="QXN914" s="1091"/>
      <c r="QXO914" s="1091"/>
      <c r="QXP914" s="1091"/>
      <c r="QXQ914" s="1091"/>
      <c r="QXR914" s="1091"/>
      <c r="QXS914" s="1091"/>
      <c r="QXT914" s="1091"/>
      <c r="QXU914" s="1091"/>
      <c r="QXV914" s="1091"/>
      <c r="QXW914" s="1091"/>
      <c r="QXX914" s="1091"/>
      <c r="QXY914" s="1091"/>
      <c r="QXZ914" s="1091"/>
      <c r="QYA914" s="1091"/>
      <c r="QYB914" s="1091"/>
      <c r="QYC914" s="1091"/>
      <c r="QYD914" s="1091"/>
      <c r="QYE914" s="1091"/>
      <c r="QYF914" s="1091"/>
      <c r="QYG914" s="1091"/>
      <c r="QYH914" s="1091"/>
      <c r="QYI914" s="1091"/>
      <c r="QYJ914" s="1091"/>
      <c r="QYK914" s="1091"/>
      <c r="QYL914" s="1091"/>
      <c r="QYM914" s="1091"/>
      <c r="QYN914" s="1091"/>
      <c r="QYO914" s="1091"/>
      <c r="QYP914" s="1091"/>
      <c r="QYQ914" s="1091"/>
      <c r="QYR914" s="1091"/>
      <c r="QYS914" s="1091"/>
      <c r="QYT914" s="1091"/>
      <c r="QYU914" s="1091"/>
      <c r="QYV914" s="1091"/>
      <c r="QYW914" s="1091"/>
      <c r="QYX914" s="1091"/>
      <c r="QYY914" s="1091"/>
      <c r="QYZ914" s="1091"/>
      <c r="QZA914" s="1091"/>
      <c r="QZB914" s="1091"/>
      <c r="QZC914" s="1091"/>
      <c r="QZD914" s="1091"/>
      <c r="QZE914" s="1091"/>
      <c r="QZF914" s="1091"/>
      <c r="QZG914" s="1091"/>
      <c r="QZH914" s="1091"/>
      <c r="QZI914" s="1091"/>
      <c r="QZJ914" s="1091"/>
      <c r="QZK914" s="1091"/>
      <c r="QZL914" s="1091"/>
      <c r="QZM914" s="1091"/>
      <c r="QZN914" s="1091"/>
      <c r="QZO914" s="1091"/>
      <c r="QZP914" s="1091"/>
      <c r="QZQ914" s="1091"/>
      <c r="QZR914" s="1091"/>
      <c r="QZS914" s="1091"/>
      <c r="QZT914" s="1091"/>
      <c r="QZU914" s="1091"/>
      <c r="QZV914" s="1091"/>
      <c r="QZW914" s="1091"/>
      <c r="QZX914" s="1091"/>
      <c r="QZY914" s="1091"/>
      <c r="QZZ914" s="1091"/>
      <c r="RAA914" s="1091"/>
      <c r="RAB914" s="1091"/>
      <c r="RAC914" s="1091"/>
      <c r="RAD914" s="1091"/>
      <c r="RAE914" s="1091"/>
      <c r="RAF914" s="1091"/>
      <c r="RAG914" s="1091"/>
      <c r="RAH914" s="1091"/>
      <c r="RAI914" s="1091"/>
      <c r="RAJ914" s="1091"/>
      <c r="RAK914" s="1091"/>
      <c r="RAL914" s="1091"/>
      <c r="RAM914" s="1091"/>
      <c r="RAN914" s="1091"/>
      <c r="RAO914" s="1091"/>
      <c r="RAP914" s="1091"/>
      <c r="RAQ914" s="1091"/>
      <c r="RAR914" s="1091"/>
      <c r="RAS914" s="1091"/>
      <c r="RAT914" s="1091"/>
      <c r="RAU914" s="1091"/>
      <c r="RAV914" s="1091"/>
      <c r="RAW914" s="1091"/>
      <c r="RAX914" s="1091"/>
      <c r="RAY914" s="1091"/>
      <c r="RAZ914" s="1091"/>
      <c r="RBA914" s="1091"/>
      <c r="RBB914" s="1091"/>
      <c r="RBC914" s="1091"/>
      <c r="RBD914" s="1091"/>
      <c r="RBE914" s="1091"/>
      <c r="RBF914" s="1091"/>
      <c r="RBG914" s="1091"/>
      <c r="RBH914" s="1091"/>
      <c r="RBI914" s="1091"/>
      <c r="RBJ914" s="1091"/>
      <c r="RBK914" s="1091"/>
      <c r="RBL914" s="1091"/>
      <c r="RBM914" s="1091"/>
      <c r="RBN914" s="1091"/>
      <c r="RBO914" s="1091"/>
      <c r="RBP914" s="1091"/>
      <c r="RBQ914" s="1091"/>
      <c r="RBR914" s="1091"/>
      <c r="RBS914" s="1091"/>
      <c r="RBT914" s="1091"/>
      <c r="RBU914" s="1091"/>
      <c r="RBV914" s="1091"/>
      <c r="RBW914" s="1091"/>
      <c r="RBX914" s="1091"/>
      <c r="RBY914" s="1091"/>
      <c r="RBZ914" s="1091"/>
      <c r="RCA914" s="1091"/>
      <c r="RCB914" s="1091"/>
      <c r="RCC914" s="1091"/>
      <c r="RCD914" s="1091"/>
      <c r="RCE914" s="1091"/>
      <c r="RCF914" s="1091"/>
      <c r="RCG914" s="1091"/>
      <c r="RCH914" s="1091"/>
      <c r="RCI914" s="1091"/>
      <c r="RCJ914" s="1091"/>
      <c r="RCK914" s="1091"/>
      <c r="RCL914" s="1091"/>
      <c r="RCM914" s="1091"/>
      <c r="RCN914" s="1091"/>
      <c r="RCO914" s="1091"/>
      <c r="RCP914" s="1091"/>
      <c r="RCQ914" s="1091"/>
      <c r="RCR914" s="1091"/>
      <c r="RCS914" s="1091"/>
      <c r="RCT914" s="1091"/>
      <c r="RCU914" s="1091"/>
      <c r="RCV914" s="1091"/>
      <c r="RCW914" s="1091"/>
      <c r="RCX914" s="1091"/>
      <c r="RCY914" s="1091"/>
      <c r="RCZ914" s="1091"/>
      <c r="RDA914" s="1091"/>
      <c r="RDB914" s="1091"/>
      <c r="RDC914" s="1091"/>
      <c r="RDD914" s="1091"/>
      <c r="RDE914" s="1091"/>
      <c r="RDF914" s="1091"/>
      <c r="RDG914" s="1091"/>
      <c r="RDH914" s="1091"/>
      <c r="RDI914" s="1091"/>
      <c r="RDJ914" s="1091"/>
      <c r="RDK914" s="1091"/>
      <c r="RDL914" s="1091"/>
      <c r="RDM914" s="1091"/>
      <c r="RDN914" s="1091"/>
      <c r="RDO914" s="1091"/>
      <c r="RDP914" s="1091"/>
      <c r="RDQ914" s="1091"/>
      <c r="RDR914" s="1091"/>
      <c r="RDS914" s="1091"/>
      <c r="RDT914" s="1091"/>
      <c r="RDU914" s="1091"/>
      <c r="RDV914" s="1091"/>
      <c r="RDW914" s="1091"/>
      <c r="RDX914" s="1091"/>
      <c r="RDY914" s="1091"/>
      <c r="RDZ914" s="1091"/>
      <c r="REA914" s="1091"/>
      <c r="REB914" s="1091"/>
      <c r="REC914" s="1091"/>
      <c r="RED914" s="1091"/>
      <c r="REE914" s="1091"/>
      <c r="REF914" s="1091"/>
      <c r="REG914" s="1091"/>
      <c r="REH914" s="1091"/>
      <c r="REI914" s="1091"/>
      <c r="REJ914" s="1091"/>
      <c r="REK914" s="1091"/>
      <c r="REL914" s="1091"/>
      <c r="REM914" s="1091"/>
      <c r="REN914" s="1091"/>
      <c r="REO914" s="1091"/>
      <c r="REP914" s="1091"/>
      <c r="REQ914" s="1091"/>
      <c r="RER914" s="1091"/>
      <c r="RES914" s="1091"/>
      <c r="RET914" s="1091"/>
      <c r="REU914" s="1091"/>
      <c r="REV914" s="1091"/>
      <c r="REW914" s="1091"/>
      <c r="REX914" s="1091"/>
      <c r="REY914" s="1091"/>
      <c r="REZ914" s="1091"/>
      <c r="RFA914" s="1091"/>
      <c r="RFB914" s="1091"/>
      <c r="RFC914" s="1091"/>
      <c r="RFD914" s="1091"/>
      <c r="RFE914" s="1091"/>
      <c r="RFF914" s="1091"/>
      <c r="RFG914" s="1091"/>
      <c r="RFH914" s="1091"/>
      <c r="RFI914" s="1091"/>
      <c r="RFJ914" s="1091"/>
      <c r="RFK914" s="1091"/>
      <c r="RFL914" s="1091"/>
      <c r="RFM914" s="1091"/>
      <c r="RFN914" s="1091"/>
      <c r="RFO914" s="1091"/>
      <c r="RFP914" s="1091"/>
      <c r="RFQ914" s="1091"/>
      <c r="RFR914" s="1091"/>
      <c r="RFS914" s="1091"/>
      <c r="RFT914" s="1091"/>
      <c r="RFU914" s="1091"/>
      <c r="RFV914" s="1091"/>
      <c r="RFW914" s="1091"/>
      <c r="RFX914" s="1091"/>
      <c r="RFY914" s="1091"/>
      <c r="RFZ914" s="1091"/>
      <c r="RGA914" s="1091"/>
      <c r="RGB914" s="1091"/>
      <c r="RGC914" s="1091"/>
      <c r="RGD914" s="1091"/>
      <c r="RGE914" s="1091"/>
      <c r="RGF914" s="1091"/>
      <c r="RGG914" s="1091"/>
      <c r="RGH914" s="1091"/>
      <c r="RGI914" s="1091"/>
      <c r="RGJ914" s="1091"/>
      <c r="RGK914" s="1091"/>
      <c r="RGL914" s="1091"/>
      <c r="RGM914" s="1091"/>
      <c r="RGN914" s="1091"/>
      <c r="RGO914" s="1091"/>
      <c r="RGP914" s="1091"/>
      <c r="RGQ914" s="1091"/>
      <c r="RGR914" s="1091"/>
      <c r="RGS914" s="1091"/>
      <c r="RGT914" s="1091"/>
      <c r="RGU914" s="1091"/>
      <c r="RGV914" s="1091"/>
      <c r="RGW914" s="1091"/>
      <c r="RGX914" s="1091"/>
      <c r="RGY914" s="1091"/>
      <c r="RGZ914" s="1091"/>
      <c r="RHA914" s="1091"/>
      <c r="RHB914" s="1091"/>
      <c r="RHC914" s="1091"/>
      <c r="RHD914" s="1091"/>
      <c r="RHE914" s="1091"/>
      <c r="RHF914" s="1091"/>
      <c r="RHG914" s="1091"/>
      <c r="RHH914" s="1091"/>
      <c r="RHI914" s="1091"/>
      <c r="RHJ914" s="1091"/>
      <c r="RHK914" s="1091"/>
      <c r="RHL914" s="1091"/>
      <c r="RHM914" s="1091"/>
      <c r="RHN914" s="1091"/>
      <c r="RHO914" s="1091"/>
      <c r="RHP914" s="1091"/>
      <c r="RHQ914" s="1091"/>
      <c r="RHR914" s="1091"/>
      <c r="RHS914" s="1091"/>
      <c r="RHT914" s="1091"/>
      <c r="RHU914" s="1091"/>
      <c r="RHV914" s="1091"/>
      <c r="RHW914" s="1091"/>
      <c r="RHX914" s="1091"/>
      <c r="RHY914" s="1091"/>
      <c r="RHZ914" s="1091"/>
      <c r="RIA914" s="1091"/>
      <c r="RIB914" s="1091"/>
      <c r="RIC914" s="1091"/>
      <c r="RID914" s="1091"/>
      <c r="RIE914" s="1091"/>
      <c r="RIF914" s="1091"/>
      <c r="RIG914" s="1091"/>
      <c r="RIH914" s="1091"/>
      <c r="RII914" s="1091"/>
      <c r="RIJ914" s="1091"/>
      <c r="RIK914" s="1091"/>
      <c r="RIL914" s="1091"/>
      <c r="RIM914" s="1091"/>
      <c r="RIN914" s="1091"/>
      <c r="RIO914" s="1091"/>
      <c r="RIP914" s="1091"/>
      <c r="RIQ914" s="1091"/>
      <c r="RIR914" s="1091"/>
      <c r="RIS914" s="1091"/>
      <c r="RIT914" s="1091"/>
      <c r="RIU914" s="1091"/>
      <c r="RIV914" s="1091"/>
      <c r="RIW914" s="1091"/>
      <c r="RIX914" s="1091"/>
      <c r="RIY914" s="1091"/>
      <c r="RIZ914" s="1091"/>
      <c r="RJA914" s="1091"/>
      <c r="RJB914" s="1091"/>
      <c r="RJC914" s="1091"/>
      <c r="RJD914" s="1091"/>
      <c r="RJE914" s="1091"/>
      <c r="RJF914" s="1091"/>
      <c r="RJG914" s="1091"/>
      <c r="RJH914" s="1091"/>
      <c r="RJI914" s="1091"/>
      <c r="RJJ914" s="1091"/>
      <c r="RJK914" s="1091"/>
      <c r="RJL914" s="1091"/>
      <c r="RJM914" s="1091"/>
      <c r="RJN914" s="1091"/>
      <c r="RJO914" s="1091"/>
      <c r="RJP914" s="1091"/>
      <c r="RJQ914" s="1091"/>
      <c r="RJR914" s="1091"/>
      <c r="RJS914" s="1091"/>
      <c r="RJT914" s="1091"/>
      <c r="RJU914" s="1091"/>
      <c r="RJV914" s="1091"/>
      <c r="RJW914" s="1091"/>
      <c r="RJX914" s="1091"/>
      <c r="RJY914" s="1091"/>
      <c r="RJZ914" s="1091"/>
      <c r="RKA914" s="1091"/>
      <c r="RKB914" s="1091"/>
      <c r="RKC914" s="1091"/>
      <c r="RKD914" s="1091"/>
      <c r="RKE914" s="1091"/>
      <c r="RKF914" s="1091"/>
      <c r="RKG914" s="1091"/>
      <c r="RKH914" s="1091"/>
      <c r="RKI914" s="1091"/>
      <c r="RKJ914" s="1091"/>
      <c r="RKK914" s="1091"/>
      <c r="RKL914" s="1091"/>
      <c r="RKM914" s="1091"/>
      <c r="RKN914" s="1091"/>
      <c r="RKO914" s="1091"/>
      <c r="RKP914" s="1091"/>
      <c r="RKQ914" s="1091"/>
      <c r="RKR914" s="1091"/>
      <c r="RKS914" s="1091"/>
      <c r="RKT914" s="1091"/>
      <c r="RKU914" s="1091"/>
      <c r="RKV914" s="1091"/>
      <c r="RKW914" s="1091"/>
      <c r="RKX914" s="1091"/>
      <c r="RKY914" s="1091"/>
      <c r="RKZ914" s="1091"/>
      <c r="RLA914" s="1091"/>
      <c r="RLB914" s="1091"/>
      <c r="RLC914" s="1091"/>
      <c r="RLD914" s="1091"/>
      <c r="RLE914" s="1091"/>
      <c r="RLF914" s="1091"/>
      <c r="RLG914" s="1091"/>
      <c r="RLH914" s="1091"/>
      <c r="RLI914" s="1091"/>
      <c r="RLJ914" s="1091"/>
      <c r="RLK914" s="1091"/>
      <c r="RLL914" s="1091"/>
      <c r="RLM914" s="1091"/>
      <c r="RLN914" s="1091"/>
      <c r="RLO914" s="1091"/>
      <c r="RLP914" s="1091"/>
      <c r="RLQ914" s="1091"/>
      <c r="RLR914" s="1091"/>
      <c r="RLS914" s="1091"/>
      <c r="RLT914" s="1091"/>
      <c r="RLU914" s="1091"/>
      <c r="RLV914" s="1091"/>
      <c r="RLW914" s="1091"/>
      <c r="RLX914" s="1091"/>
      <c r="RLY914" s="1091"/>
      <c r="RLZ914" s="1091"/>
      <c r="RMA914" s="1091"/>
      <c r="RMB914" s="1091"/>
      <c r="RMC914" s="1091"/>
      <c r="RMD914" s="1091"/>
      <c r="RME914" s="1091"/>
      <c r="RMF914" s="1091"/>
      <c r="RMG914" s="1091"/>
      <c r="RMH914" s="1091"/>
      <c r="RMI914" s="1091"/>
      <c r="RMJ914" s="1091"/>
      <c r="RMK914" s="1091"/>
      <c r="RML914" s="1091"/>
      <c r="RMM914" s="1091"/>
      <c r="RMN914" s="1091"/>
      <c r="RMO914" s="1091"/>
      <c r="RMP914" s="1091"/>
      <c r="RMQ914" s="1091"/>
      <c r="RMR914" s="1091"/>
      <c r="RMS914" s="1091"/>
      <c r="RMT914" s="1091"/>
      <c r="RMU914" s="1091"/>
      <c r="RMV914" s="1091"/>
      <c r="RMW914" s="1091"/>
      <c r="RMX914" s="1091"/>
      <c r="RMY914" s="1091"/>
      <c r="RMZ914" s="1091"/>
      <c r="RNA914" s="1091"/>
      <c r="RNB914" s="1091"/>
      <c r="RNC914" s="1091"/>
      <c r="RND914" s="1091"/>
      <c r="RNE914" s="1091"/>
      <c r="RNF914" s="1091"/>
      <c r="RNG914" s="1091"/>
      <c r="RNH914" s="1091"/>
      <c r="RNI914" s="1091"/>
      <c r="RNJ914" s="1091"/>
      <c r="RNK914" s="1091"/>
      <c r="RNL914" s="1091"/>
      <c r="RNM914" s="1091"/>
      <c r="RNN914" s="1091"/>
      <c r="RNO914" s="1091"/>
      <c r="RNP914" s="1091"/>
      <c r="RNQ914" s="1091"/>
      <c r="RNR914" s="1091"/>
      <c r="RNS914" s="1091"/>
      <c r="RNT914" s="1091"/>
      <c r="RNU914" s="1091"/>
      <c r="RNV914" s="1091"/>
      <c r="RNW914" s="1091"/>
      <c r="RNX914" s="1091"/>
      <c r="RNY914" s="1091"/>
      <c r="RNZ914" s="1091"/>
      <c r="ROA914" s="1091"/>
      <c r="ROB914" s="1091"/>
      <c r="ROC914" s="1091"/>
      <c r="ROD914" s="1091"/>
      <c r="ROE914" s="1091"/>
      <c r="ROF914" s="1091"/>
      <c r="ROG914" s="1091"/>
      <c r="ROH914" s="1091"/>
      <c r="ROI914" s="1091"/>
      <c r="ROJ914" s="1091"/>
      <c r="ROK914" s="1091"/>
      <c r="ROL914" s="1091"/>
      <c r="ROM914" s="1091"/>
      <c r="RON914" s="1091"/>
      <c r="ROO914" s="1091"/>
      <c r="ROP914" s="1091"/>
      <c r="ROQ914" s="1091"/>
      <c r="ROR914" s="1091"/>
      <c r="ROS914" s="1091"/>
      <c r="ROT914" s="1091"/>
      <c r="ROU914" s="1091"/>
      <c r="ROV914" s="1091"/>
      <c r="ROW914" s="1091"/>
      <c r="ROX914" s="1091"/>
      <c r="ROY914" s="1091"/>
      <c r="ROZ914" s="1091"/>
      <c r="RPA914" s="1091"/>
      <c r="RPB914" s="1091"/>
      <c r="RPC914" s="1091"/>
      <c r="RPD914" s="1091"/>
      <c r="RPE914" s="1091"/>
      <c r="RPF914" s="1091"/>
      <c r="RPG914" s="1091"/>
      <c r="RPH914" s="1091"/>
      <c r="RPI914" s="1091"/>
      <c r="RPJ914" s="1091"/>
      <c r="RPK914" s="1091"/>
      <c r="RPL914" s="1091"/>
      <c r="RPM914" s="1091"/>
      <c r="RPN914" s="1091"/>
      <c r="RPO914" s="1091"/>
      <c r="RPP914" s="1091"/>
      <c r="RPQ914" s="1091"/>
      <c r="RPR914" s="1091"/>
      <c r="RPS914" s="1091"/>
      <c r="RPT914" s="1091"/>
      <c r="RPU914" s="1091"/>
      <c r="RPV914" s="1091"/>
      <c r="RPW914" s="1091"/>
      <c r="RPX914" s="1091"/>
      <c r="RPY914" s="1091"/>
      <c r="RPZ914" s="1091"/>
      <c r="RQA914" s="1091"/>
      <c r="RQB914" s="1091"/>
      <c r="RQC914" s="1091"/>
      <c r="RQD914" s="1091"/>
      <c r="RQE914" s="1091"/>
      <c r="RQF914" s="1091"/>
      <c r="RQG914" s="1091"/>
      <c r="RQH914" s="1091"/>
      <c r="RQI914" s="1091"/>
      <c r="RQJ914" s="1091"/>
      <c r="RQK914" s="1091"/>
      <c r="RQL914" s="1091"/>
      <c r="RQM914" s="1091"/>
      <c r="RQN914" s="1091"/>
      <c r="RQO914" s="1091"/>
      <c r="RQP914" s="1091"/>
      <c r="RQQ914" s="1091"/>
      <c r="RQR914" s="1091"/>
      <c r="RQS914" s="1091"/>
      <c r="RQT914" s="1091"/>
      <c r="RQU914" s="1091"/>
      <c r="RQV914" s="1091"/>
      <c r="RQW914" s="1091"/>
      <c r="RQX914" s="1091"/>
      <c r="RQY914" s="1091"/>
      <c r="RQZ914" s="1091"/>
      <c r="RRA914" s="1091"/>
      <c r="RRB914" s="1091"/>
      <c r="RRC914" s="1091"/>
      <c r="RRD914" s="1091"/>
      <c r="RRE914" s="1091"/>
      <c r="RRF914" s="1091"/>
      <c r="RRG914" s="1091"/>
      <c r="RRH914" s="1091"/>
      <c r="RRI914" s="1091"/>
      <c r="RRJ914" s="1091"/>
      <c r="RRK914" s="1091"/>
      <c r="RRL914" s="1091"/>
      <c r="RRM914" s="1091"/>
      <c r="RRN914" s="1091"/>
      <c r="RRO914" s="1091"/>
      <c r="RRP914" s="1091"/>
      <c r="RRQ914" s="1091"/>
      <c r="RRR914" s="1091"/>
      <c r="RRS914" s="1091"/>
      <c r="RRT914" s="1091"/>
      <c r="RRU914" s="1091"/>
      <c r="RRV914" s="1091"/>
      <c r="RRW914" s="1091"/>
      <c r="RRX914" s="1091"/>
      <c r="RRY914" s="1091"/>
      <c r="RRZ914" s="1091"/>
      <c r="RSA914" s="1091"/>
      <c r="RSB914" s="1091"/>
      <c r="RSC914" s="1091"/>
      <c r="RSD914" s="1091"/>
      <c r="RSE914" s="1091"/>
      <c r="RSF914" s="1091"/>
      <c r="RSG914" s="1091"/>
      <c r="RSH914" s="1091"/>
      <c r="RSI914" s="1091"/>
      <c r="RSJ914" s="1091"/>
      <c r="RSK914" s="1091"/>
      <c r="RSL914" s="1091"/>
      <c r="RSM914" s="1091"/>
      <c r="RSN914" s="1091"/>
      <c r="RSO914" s="1091"/>
      <c r="RSP914" s="1091"/>
      <c r="RSQ914" s="1091"/>
      <c r="RSR914" s="1091"/>
      <c r="RSS914" s="1091"/>
      <c r="RST914" s="1091"/>
      <c r="RSU914" s="1091"/>
      <c r="RSV914" s="1091"/>
      <c r="RSW914" s="1091"/>
      <c r="RSX914" s="1091"/>
      <c r="RSY914" s="1091"/>
      <c r="RSZ914" s="1091"/>
      <c r="RTA914" s="1091"/>
      <c r="RTB914" s="1091"/>
      <c r="RTC914" s="1091"/>
      <c r="RTD914" s="1091"/>
      <c r="RTE914" s="1091"/>
      <c r="RTF914" s="1091"/>
      <c r="RTG914" s="1091"/>
      <c r="RTH914" s="1091"/>
      <c r="RTI914" s="1091"/>
      <c r="RTJ914" s="1091"/>
      <c r="RTK914" s="1091"/>
      <c r="RTL914" s="1091"/>
      <c r="RTM914" s="1091"/>
      <c r="RTN914" s="1091"/>
      <c r="RTO914" s="1091"/>
      <c r="RTP914" s="1091"/>
      <c r="RTQ914" s="1091"/>
      <c r="RTR914" s="1091"/>
      <c r="RTS914" s="1091"/>
      <c r="RTT914" s="1091"/>
      <c r="RTU914" s="1091"/>
      <c r="RTV914" s="1091"/>
      <c r="RTW914" s="1091"/>
      <c r="RTX914" s="1091"/>
      <c r="RTY914" s="1091"/>
      <c r="RTZ914" s="1091"/>
      <c r="RUA914" s="1091"/>
      <c r="RUB914" s="1091"/>
      <c r="RUC914" s="1091"/>
      <c r="RUD914" s="1091"/>
      <c r="RUE914" s="1091"/>
      <c r="RUF914" s="1091"/>
      <c r="RUG914" s="1091"/>
      <c r="RUH914" s="1091"/>
      <c r="RUI914" s="1091"/>
      <c r="RUJ914" s="1091"/>
      <c r="RUK914" s="1091"/>
      <c r="RUL914" s="1091"/>
      <c r="RUM914" s="1091"/>
      <c r="RUN914" s="1091"/>
      <c r="RUO914" s="1091"/>
      <c r="RUP914" s="1091"/>
      <c r="RUQ914" s="1091"/>
      <c r="RUR914" s="1091"/>
      <c r="RUS914" s="1091"/>
      <c r="RUT914" s="1091"/>
      <c r="RUU914" s="1091"/>
      <c r="RUV914" s="1091"/>
      <c r="RUW914" s="1091"/>
      <c r="RUX914" s="1091"/>
      <c r="RUY914" s="1091"/>
      <c r="RUZ914" s="1091"/>
      <c r="RVA914" s="1091"/>
      <c r="RVB914" s="1091"/>
      <c r="RVC914" s="1091"/>
      <c r="RVD914" s="1091"/>
      <c r="RVE914" s="1091"/>
      <c r="RVF914" s="1091"/>
      <c r="RVG914" s="1091"/>
      <c r="RVH914" s="1091"/>
      <c r="RVI914" s="1091"/>
      <c r="RVJ914" s="1091"/>
      <c r="RVK914" s="1091"/>
      <c r="RVL914" s="1091"/>
      <c r="RVM914" s="1091"/>
      <c r="RVN914" s="1091"/>
      <c r="RVO914" s="1091"/>
      <c r="RVP914" s="1091"/>
      <c r="RVQ914" s="1091"/>
      <c r="RVR914" s="1091"/>
      <c r="RVS914" s="1091"/>
      <c r="RVT914" s="1091"/>
      <c r="RVU914" s="1091"/>
      <c r="RVV914" s="1091"/>
      <c r="RVW914" s="1091"/>
      <c r="RVX914" s="1091"/>
      <c r="RVY914" s="1091"/>
      <c r="RVZ914" s="1091"/>
      <c r="RWA914" s="1091"/>
      <c r="RWB914" s="1091"/>
      <c r="RWC914" s="1091"/>
      <c r="RWD914" s="1091"/>
      <c r="RWE914" s="1091"/>
      <c r="RWF914" s="1091"/>
      <c r="RWG914" s="1091"/>
      <c r="RWH914" s="1091"/>
      <c r="RWI914" s="1091"/>
      <c r="RWJ914" s="1091"/>
      <c r="RWK914" s="1091"/>
      <c r="RWL914" s="1091"/>
      <c r="RWM914" s="1091"/>
      <c r="RWN914" s="1091"/>
      <c r="RWO914" s="1091"/>
      <c r="RWP914" s="1091"/>
      <c r="RWQ914" s="1091"/>
      <c r="RWR914" s="1091"/>
      <c r="RWS914" s="1091"/>
      <c r="RWT914" s="1091"/>
      <c r="RWU914" s="1091"/>
      <c r="RWV914" s="1091"/>
      <c r="RWW914" s="1091"/>
      <c r="RWX914" s="1091"/>
      <c r="RWY914" s="1091"/>
      <c r="RWZ914" s="1091"/>
      <c r="RXA914" s="1091"/>
      <c r="RXB914" s="1091"/>
      <c r="RXC914" s="1091"/>
      <c r="RXD914" s="1091"/>
      <c r="RXE914" s="1091"/>
      <c r="RXF914" s="1091"/>
      <c r="RXG914" s="1091"/>
      <c r="RXH914" s="1091"/>
      <c r="RXI914" s="1091"/>
      <c r="RXJ914" s="1091"/>
      <c r="RXK914" s="1091"/>
      <c r="RXL914" s="1091"/>
      <c r="RXM914" s="1091"/>
      <c r="RXN914" s="1091"/>
      <c r="RXO914" s="1091"/>
      <c r="RXP914" s="1091"/>
      <c r="RXQ914" s="1091"/>
      <c r="RXR914" s="1091"/>
      <c r="RXS914" s="1091"/>
      <c r="RXT914" s="1091"/>
      <c r="RXU914" s="1091"/>
      <c r="RXV914" s="1091"/>
      <c r="RXW914" s="1091"/>
      <c r="RXX914" s="1091"/>
      <c r="RXY914" s="1091"/>
      <c r="RXZ914" s="1091"/>
      <c r="RYA914" s="1091"/>
      <c r="RYB914" s="1091"/>
      <c r="RYC914" s="1091"/>
      <c r="RYD914" s="1091"/>
      <c r="RYE914" s="1091"/>
      <c r="RYF914" s="1091"/>
      <c r="RYG914" s="1091"/>
      <c r="RYH914" s="1091"/>
      <c r="RYI914" s="1091"/>
      <c r="RYJ914" s="1091"/>
      <c r="RYK914" s="1091"/>
      <c r="RYL914" s="1091"/>
      <c r="RYM914" s="1091"/>
      <c r="RYN914" s="1091"/>
      <c r="RYO914" s="1091"/>
      <c r="RYP914" s="1091"/>
      <c r="RYQ914" s="1091"/>
      <c r="RYR914" s="1091"/>
      <c r="RYS914" s="1091"/>
      <c r="RYT914" s="1091"/>
      <c r="RYU914" s="1091"/>
      <c r="RYV914" s="1091"/>
      <c r="RYW914" s="1091"/>
      <c r="RYX914" s="1091"/>
      <c r="RYY914" s="1091"/>
      <c r="RYZ914" s="1091"/>
      <c r="RZA914" s="1091"/>
      <c r="RZB914" s="1091"/>
      <c r="RZC914" s="1091"/>
      <c r="RZD914" s="1091"/>
      <c r="RZE914" s="1091"/>
      <c r="RZF914" s="1091"/>
      <c r="RZG914" s="1091"/>
      <c r="RZH914" s="1091"/>
      <c r="RZI914" s="1091"/>
      <c r="RZJ914" s="1091"/>
      <c r="RZK914" s="1091"/>
      <c r="RZL914" s="1091"/>
      <c r="RZM914" s="1091"/>
      <c r="RZN914" s="1091"/>
      <c r="RZO914" s="1091"/>
      <c r="RZP914" s="1091"/>
      <c r="RZQ914" s="1091"/>
      <c r="RZR914" s="1091"/>
      <c r="RZS914" s="1091"/>
      <c r="RZT914" s="1091"/>
      <c r="RZU914" s="1091"/>
      <c r="RZV914" s="1091"/>
      <c r="RZW914" s="1091"/>
      <c r="RZX914" s="1091"/>
      <c r="RZY914" s="1091"/>
      <c r="RZZ914" s="1091"/>
      <c r="SAA914" s="1091"/>
      <c r="SAB914" s="1091"/>
      <c r="SAC914" s="1091"/>
      <c r="SAD914" s="1091"/>
      <c r="SAE914" s="1091"/>
      <c r="SAF914" s="1091"/>
      <c r="SAG914" s="1091"/>
      <c r="SAH914" s="1091"/>
      <c r="SAI914" s="1091"/>
      <c r="SAJ914" s="1091"/>
      <c r="SAK914" s="1091"/>
      <c r="SAL914" s="1091"/>
      <c r="SAM914" s="1091"/>
      <c r="SAN914" s="1091"/>
      <c r="SAO914" s="1091"/>
      <c r="SAP914" s="1091"/>
      <c r="SAQ914" s="1091"/>
      <c r="SAR914" s="1091"/>
      <c r="SAS914" s="1091"/>
      <c r="SAT914" s="1091"/>
      <c r="SAU914" s="1091"/>
      <c r="SAV914" s="1091"/>
      <c r="SAW914" s="1091"/>
      <c r="SAX914" s="1091"/>
      <c r="SAY914" s="1091"/>
      <c r="SAZ914" s="1091"/>
      <c r="SBA914" s="1091"/>
      <c r="SBB914" s="1091"/>
      <c r="SBC914" s="1091"/>
      <c r="SBD914" s="1091"/>
      <c r="SBE914" s="1091"/>
      <c r="SBF914" s="1091"/>
      <c r="SBG914" s="1091"/>
      <c r="SBH914" s="1091"/>
      <c r="SBI914" s="1091"/>
      <c r="SBJ914" s="1091"/>
      <c r="SBK914" s="1091"/>
      <c r="SBL914" s="1091"/>
      <c r="SBM914" s="1091"/>
      <c r="SBN914" s="1091"/>
      <c r="SBO914" s="1091"/>
      <c r="SBP914" s="1091"/>
      <c r="SBQ914" s="1091"/>
      <c r="SBR914" s="1091"/>
      <c r="SBS914" s="1091"/>
      <c r="SBT914" s="1091"/>
      <c r="SBU914" s="1091"/>
      <c r="SBV914" s="1091"/>
      <c r="SBW914" s="1091"/>
      <c r="SBX914" s="1091"/>
      <c r="SBY914" s="1091"/>
      <c r="SBZ914" s="1091"/>
      <c r="SCA914" s="1091"/>
      <c r="SCB914" s="1091"/>
      <c r="SCC914" s="1091"/>
      <c r="SCD914" s="1091"/>
      <c r="SCE914" s="1091"/>
      <c r="SCF914" s="1091"/>
      <c r="SCG914" s="1091"/>
      <c r="SCH914" s="1091"/>
      <c r="SCI914" s="1091"/>
      <c r="SCJ914" s="1091"/>
      <c r="SCK914" s="1091"/>
      <c r="SCL914" s="1091"/>
      <c r="SCM914" s="1091"/>
      <c r="SCN914" s="1091"/>
      <c r="SCO914" s="1091"/>
      <c r="SCP914" s="1091"/>
      <c r="SCQ914" s="1091"/>
      <c r="SCR914" s="1091"/>
      <c r="SCS914" s="1091"/>
      <c r="SCT914" s="1091"/>
      <c r="SCU914" s="1091"/>
      <c r="SCV914" s="1091"/>
      <c r="SCW914" s="1091"/>
      <c r="SCX914" s="1091"/>
      <c r="SCY914" s="1091"/>
      <c r="SCZ914" s="1091"/>
      <c r="SDA914" s="1091"/>
      <c r="SDB914" s="1091"/>
      <c r="SDC914" s="1091"/>
      <c r="SDD914" s="1091"/>
      <c r="SDE914" s="1091"/>
      <c r="SDF914" s="1091"/>
      <c r="SDG914" s="1091"/>
      <c r="SDH914" s="1091"/>
      <c r="SDI914" s="1091"/>
      <c r="SDJ914" s="1091"/>
      <c r="SDK914" s="1091"/>
      <c r="SDL914" s="1091"/>
      <c r="SDM914" s="1091"/>
      <c r="SDN914" s="1091"/>
      <c r="SDO914" s="1091"/>
      <c r="SDP914" s="1091"/>
      <c r="SDQ914" s="1091"/>
      <c r="SDR914" s="1091"/>
      <c r="SDS914" s="1091"/>
      <c r="SDT914" s="1091"/>
      <c r="SDU914" s="1091"/>
      <c r="SDV914" s="1091"/>
      <c r="SDW914" s="1091"/>
      <c r="SDX914" s="1091"/>
      <c r="SDY914" s="1091"/>
      <c r="SDZ914" s="1091"/>
      <c r="SEA914" s="1091"/>
      <c r="SEB914" s="1091"/>
      <c r="SEC914" s="1091"/>
      <c r="SED914" s="1091"/>
      <c r="SEE914" s="1091"/>
      <c r="SEF914" s="1091"/>
      <c r="SEG914" s="1091"/>
      <c r="SEH914" s="1091"/>
      <c r="SEI914" s="1091"/>
      <c r="SEJ914" s="1091"/>
      <c r="SEK914" s="1091"/>
      <c r="SEL914" s="1091"/>
      <c r="SEM914" s="1091"/>
      <c r="SEN914" s="1091"/>
      <c r="SEO914" s="1091"/>
      <c r="SEP914" s="1091"/>
      <c r="SEQ914" s="1091"/>
      <c r="SER914" s="1091"/>
      <c r="SES914" s="1091"/>
      <c r="SET914" s="1091"/>
      <c r="SEU914" s="1091"/>
      <c r="SEV914" s="1091"/>
      <c r="SEW914" s="1091"/>
      <c r="SEX914" s="1091"/>
      <c r="SEY914" s="1091"/>
      <c r="SEZ914" s="1091"/>
      <c r="SFA914" s="1091"/>
      <c r="SFB914" s="1091"/>
      <c r="SFC914" s="1091"/>
      <c r="SFD914" s="1091"/>
      <c r="SFE914" s="1091"/>
      <c r="SFF914" s="1091"/>
      <c r="SFG914" s="1091"/>
      <c r="SFH914" s="1091"/>
      <c r="SFI914" s="1091"/>
      <c r="SFJ914" s="1091"/>
      <c r="SFK914" s="1091"/>
      <c r="SFL914" s="1091"/>
      <c r="SFM914" s="1091"/>
      <c r="SFN914" s="1091"/>
      <c r="SFO914" s="1091"/>
      <c r="SFP914" s="1091"/>
      <c r="SFQ914" s="1091"/>
      <c r="SFR914" s="1091"/>
      <c r="SFS914" s="1091"/>
      <c r="SFT914" s="1091"/>
      <c r="SFU914" s="1091"/>
      <c r="SFV914" s="1091"/>
      <c r="SFW914" s="1091"/>
      <c r="SFX914" s="1091"/>
      <c r="SFY914" s="1091"/>
      <c r="SFZ914" s="1091"/>
      <c r="SGA914" s="1091"/>
      <c r="SGB914" s="1091"/>
      <c r="SGC914" s="1091"/>
      <c r="SGD914" s="1091"/>
      <c r="SGE914" s="1091"/>
      <c r="SGF914" s="1091"/>
      <c r="SGG914" s="1091"/>
      <c r="SGH914" s="1091"/>
      <c r="SGI914" s="1091"/>
      <c r="SGJ914" s="1091"/>
      <c r="SGK914" s="1091"/>
      <c r="SGL914" s="1091"/>
      <c r="SGM914" s="1091"/>
      <c r="SGN914" s="1091"/>
      <c r="SGO914" s="1091"/>
      <c r="SGP914" s="1091"/>
      <c r="SGQ914" s="1091"/>
      <c r="SGR914" s="1091"/>
      <c r="SGS914" s="1091"/>
      <c r="SGT914" s="1091"/>
      <c r="SGU914" s="1091"/>
      <c r="SGV914" s="1091"/>
      <c r="SGW914" s="1091"/>
      <c r="SGX914" s="1091"/>
      <c r="SGY914" s="1091"/>
      <c r="SGZ914" s="1091"/>
      <c r="SHA914" s="1091"/>
      <c r="SHB914" s="1091"/>
      <c r="SHC914" s="1091"/>
      <c r="SHD914" s="1091"/>
      <c r="SHE914" s="1091"/>
      <c r="SHF914" s="1091"/>
      <c r="SHG914" s="1091"/>
      <c r="SHH914" s="1091"/>
      <c r="SHI914" s="1091"/>
      <c r="SHJ914" s="1091"/>
      <c r="SHK914" s="1091"/>
      <c r="SHL914" s="1091"/>
      <c r="SHM914" s="1091"/>
      <c r="SHN914" s="1091"/>
      <c r="SHO914" s="1091"/>
      <c r="SHP914" s="1091"/>
      <c r="SHQ914" s="1091"/>
      <c r="SHR914" s="1091"/>
      <c r="SHS914" s="1091"/>
      <c r="SHT914" s="1091"/>
      <c r="SHU914" s="1091"/>
      <c r="SHV914" s="1091"/>
      <c r="SHW914" s="1091"/>
      <c r="SHX914" s="1091"/>
      <c r="SHY914" s="1091"/>
      <c r="SHZ914" s="1091"/>
      <c r="SIA914" s="1091"/>
      <c r="SIB914" s="1091"/>
      <c r="SIC914" s="1091"/>
      <c r="SID914" s="1091"/>
      <c r="SIE914" s="1091"/>
      <c r="SIF914" s="1091"/>
      <c r="SIG914" s="1091"/>
      <c r="SIH914" s="1091"/>
      <c r="SII914" s="1091"/>
      <c r="SIJ914" s="1091"/>
      <c r="SIK914" s="1091"/>
      <c r="SIL914" s="1091"/>
      <c r="SIM914" s="1091"/>
      <c r="SIN914" s="1091"/>
      <c r="SIO914" s="1091"/>
      <c r="SIP914" s="1091"/>
      <c r="SIQ914" s="1091"/>
      <c r="SIR914" s="1091"/>
      <c r="SIS914" s="1091"/>
      <c r="SIT914" s="1091"/>
      <c r="SIU914" s="1091"/>
      <c r="SIV914" s="1091"/>
      <c r="SIW914" s="1091"/>
      <c r="SIX914" s="1091"/>
      <c r="SIY914" s="1091"/>
      <c r="SIZ914" s="1091"/>
      <c r="SJA914" s="1091"/>
      <c r="SJB914" s="1091"/>
      <c r="SJC914" s="1091"/>
      <c r="SJD914" s="1091"/>
      <c r="SJE914" s="1091"/>
      <c r="SJF914" s="1091"/>
      <c r="SJG914" s="1091"/>
      <c r="SJH914" s="1091"/>
      <c r="SJI914" s="1091"/>
      <c r="SJJ914" s="1091"/>
      <c r="SJK914" s="1091"/>
      <c r="SJL914" s="1091"/>
      <c r="SJM914" s="1091"/>
      <c r="SJN914" s="1091"/>
      <c r="SJO914" s="1091"/>
      <c r="SJP914" s="1091"/>
      <c r="SJQ914" s="1091"/>
      <c r="SJR914" s="1091"/>
      <c r="SJS914" s="1091"/>
      <c r="SJT914" s="1091"/>
      <c r="SJU914" s="1091"/>
      <c r="SJV914" s="1091"/>
      <c r="SJW914" s="1091"/>
      <c r="SJX914" s="1091"/>
      <c r="SJY914" s="1091"/>
      <c r="SJZ914" s="1091"/>
      <c r="SKA914" s="1091"/>
      <c r="SKB914" s="1091"/>
      <c r="SKC914" s="1091"/>
      <c r="SKD914" s="1091"/>
      <c r="SKE914" s="1091"/>
      <c r="SKF914" s="1091"/>
      <c r="SKG914" s="1091"/>
      <c r="SKH914" s="1091"/>
      <c r="SKI914" s="1091"/>
      <c r="SKJ914" s="1091"/>
      <c r="SKK914" s="1091"/>
      <c r="SKL914" s="1091"/>
      <c r="SKM914" s="1091"/>
      <c r="SKN914" s="1091"/>
      <c r="SKO914" s="1091"/>
      <c r="SKP914" s="1091"/>
      <c r="SKQ914" s="1091"/>
      <c r="SKR914" s="1091"/>
      <c r="SKS914" s="1091"/>
      <c r="SKT914" s="1091"/>
      <c r="SKU914" s="1091"/>
      <c r="SKV914" s="1091"/>
      <c r="SKW914" s="1091"/>
      <c r="SKX914" s="1091"/>
      <c r="SKY914" s="1091"/>
      <c r="SKZ914" s="1091"/>
      <c r="SLA914" s="1091"/>
      <c r="SLB914" s="1091"/>
      <c r="SLC914" s="1091"/>
      <c r="SLD914" s="1091"/>
      <c r="SLE914" s="1091"/>
      <c r="SLF914" s="1091"/>
      <c r="SLG914" s="1091"/>
      <c r="SLH914" s="1091"/>
      <c r="SLI914" s="1091"/>
      <c r="SLJ914" s="1091"/>
      <c r="SLK914" s="1091"/>
      <c r="SLL914" s="1091"/>
      <c r="SLM914" s="1091"/>
      <c r="SLN914" s="1091"/>
      <c r="SLO914" s="1091"/>
      <c r="SLP914" s="1091"/>
      <c r="SLQ914" s="1091"/>
      <c r="SLR914" s="1091"/>
      <c r="SLS914" s="1091"/>
      <c r="SLT914" s="1091"/>
      <c r="SLU914" s="1091"/>
      <c r="SLV914" s="1091"/>
      <c r="SLW914" s="1091"/>
      <c r="SLX914" s="1091"/>
      <c r="SLY914" s="1091"/>
      <c r="SLZ914" s="1091"/>
      <c r="SMA914" s="1091"/>
      <c r="SMB914" s="1091"/>
      <c r="SMC914" s="1091"/>
      <c r="SMD914" s="1091"/>
      <c r="SME914" s="1091"/>
      <c r="SMF914" s="1091"/>
      <c r="SMG914" s="1091"/>
      <c r="SMH914" s="1091"/>
      <c r="SMI914" s="1091"/>
      <c r="SMJ914" s="1091"/>
      <c r="SMK914" s="1091"/>
      <c r="SML914" s="1091"/>
      <c r="SMM914" s="1091"/>
      <c r="SMN914" s="1091"/>
      <c r="SMO914" s="1091"/>
      <c r="SMP914" s="1091"/>
      <c r="SMQ914" s="1091"/>
      <c r="SMR914" s="1091"/>
      <c r="SMS914" s="1091"/>
      <c r="SMT914" s="1091"/>
      <c r="SMU914" s="1091"/>
      <c r="SMV914" s="1091"/>
      <c r="SMW914" s="1091"/>
      <c r="SMX914" s="1091"/>
      <c r="SMY914" s="1091"/>
      <c r="SMZ914" s="1091"/>
      <c r="SNA914" s="1091"/>
      <c r="SNB914" s="1091"/>
      <c r="SNC914" s="1091"/>
      <c r="SND914" s="1091"/>
      <c r="SNE914" s="1091"/>
      <c r="SNF914" s="1091"/>
      <c r="SNG914" s="1091"/>
      <c r="SNH914" s="1091"/>
      <c r="SNI914" s="1091"/>
      <c r="SNJ914" s="1091"/>
      <c r="SNK914" s="1091"/>
      <c r="SNL914" s="1091"/>
      <c r="SNM914" s="1091"/>
      <c r="SNN914" s="1091"/>
      <c r="SNO914" s="1091"/>
      <c r="SNP914" s="1091"/>
      <c r="SNQ914" s="1091"/>
      <c r="SNR914" s="1091"/>
      <c r="SNS914" s="1091"/>
      <c r="SNT914" s="1091"/>
      <c r="SNU914" s="1091"/>
      <c r="SNV914" s="1091"/>
      <c r="SNW914" s="1091"/>
      <c r="SNX914" s="1091"/>
      <c r="SNY914" s="1091"/>
      <c r="SNZ914" s="1091"/>
      <c r="SOA914" s="1091"/>
      <c r="SOB914" s="1091"/>
      <c r="SOC914" s="1091"/>
      <c r="SOD914" s="1091"/>
      <c r="SOE914" s="1091"/>
      <c r="SOF914" s="1091"/>
      <c r="SOG914" s="1091"/>
      <c r="SOH914" s="1091"/>
      <c r="SOI914" s="1091"/>
      <c r="SOJ914" s="1091"/>
      <c r="SOK914" s="1091"/>
      <c r="SOL914" s="1091"/>
      <c r="SOM914" s="1091"/>
      <c r="SON914" s="1091"/>
      <c r="SOO914" s="1091"/>
      <c r="SOP914" s="1091"/>
      <c r="SOQ914" s="1091"/>
      <c r="SOR914" s="1091"/>
      <c r="SOS914" s="1091"/>
      <c r="SOT914" s="1091"/>
      <c r="SOU914" s="1091"/>
      <c r="SOV914" s="1091"/>
      <c r="SOW914" s="1091"/>
      <c r="SOX914" s="1091"/>
      <c r="SOY914" s="1091"/>
      <c r="SOZ914" s="1091"/>
      <c r="SPA914" s="1091"/>
      <c r="SPB914" s="1091"/>
      <c r="SPC914" s="1091"/>
      <c r="SPD914" s="1091"/>
      <c r="SPE914" s="1091"/>
      <c r="SPF914" s="1091"/>
      <c r="SPG914" s="1091"/>
      <c r="SPH914" s="1091"/>
      <c r="SPI914" s="1091"/>
      <c r="SPJ914" s="1091"/>
      <c r="SPK914" s="1091"/>
      <c r="SPL914" s="1091"/>
      <c r="SPM914" s="1091"/>
      <c r="SPN914" s="1091"/>
      <c r="SPO914" s="1091"/>
      <c r="SPP914" s="1091"/>
      <c r="SPQ914" s="1091"/>
      <c r="SPR914" s="1091"/>
      <c r="SPS914" s="1091"/>
      <c r="SPT914" s="1091"/>
      <c r="SPU914" s="1091"/>
      <c r="SPV914" s="1091"/>
      <c r="SPW914" s="1091"/>
      <c r="SPX914" s="1091"/>
      <c r="SPY914" s="1091"/>
      <c r="SPZ914" s="1091"/>
      <c r="SQA914" s="1091"/>
      <c r="SQB914" s="1091"/>
      <c r="SQC914" s="1091"/>
      <c r="SQD914" s="1091"/>
      <c r="SQE914" s="1091"/>
      <c r="SQF914" s="1091"/>
      <c r="SQG914" s="1091"/>
      <c r="SQH914" s="1091"/>
      <c r="SQI914" s="1091"/>
      <c r="SQJ914" s="1091"/>
      <c r="SQK914" s="1091"/>
      <c r="SQL914" s="1091"/>
      <c r="SQM914" s="1091"/>
      <c r="SQN914" s="1091"/>
      <c r="SQO914" s="1091"/>
      <c r="SQP914" s="1091"/>
      <c r="SQQ914" s="1091"/>
      <c r="SQR914" s="1091"/>
      <c r="SQS914" s="1091"/>
      <c r="SQT914" s="1091"/>
      <c r="SQU914" s="1091"/>
      <c r="SQV914" s="1091"/>
      <c r="SQW914" s="1091"/>
      <c r="SQX914" s="1091"/>
      <c r="SQY914" s="1091"/>
      <c r="SQZ914" s="1091"/>
      <c r="SRA914" s="1091"/>
      <c r="SRB914" s="1091"/>
      <c r="SRC914" s="1091"/>
      <c r="SRD914" s="1091"/>
      <c r="SRE914" s="1091"/>
      <c r="SRF914" s="1091"/>
      <c r="SRG914" s="1091"/>
      <c r="SRH914" s="1091"/>
      <c r="SRI914" s="1091"/>
      <c r="SRJ914" s="1091"/>
      <c r="SRK914" s="1091"/>
      <c r="SRL914" s="1091"/>
      <c r="SRM914" s="1091"/>
      <c r="SRN914" s="1091"/>
      <c r="SRO914" s="1091"/>
      <c r="SRP914" s="1091"/>
      <c r="SRQ914" s="1091"/>
      <c r="SRR914" s="1091"/>
      <c r="SRS914" s="1091"/>
      <c r="SRT914" s="1091"/>
      <c r="SRU914" s="1091"/>
      <c r="SRV914" s="1091"/>
      <c r="SRW914" s="1091"/>
      <c r="SRX914" s="1091"/>
      <c r="SRY914" s="1091"/>
      <c r="SRZ914" s="1091"/>
      <c r="SSA914" s="1091"/>
      <c r="SSB914" s="1091"/>
      <c r="SSC914" s="1091"/>
      <c r="SSD914" s="1091"/>
      <c r="SSE914" s="1091"/>
      <c r="SSF914" s="1091"/>
      <c r="SSG914" s="1091"/>
      <c r="SSH914" s="1091"/>
      <c r="SSI914" s="1091"/>
      <c r="SSJ914" s="1091"/>
      <c r="SSK914" s="1091"/>
      <c r="SSL914" s="1091"/>
      <c r="SSM914" s="1091"/>
      <c r="SSN914" s="1091"/>
      <c r="SSO914" s="1091"/>
      <c r="SSP914" s="1091"/>
      <c r="SSQ914" s="1091"/>
      <c r="SSR914" s="1091"/>
      <c r="SSS914" s="1091"/>
      <c r="SST914" s="1091"/>
      <c r="SSU914" s="1091"/>
      <c r="SSV914" s="1091"/>
      <c r="SSW914" s="1091"/>
      <c r="SSX914" s="1091"/>
      <c r="SSY914" s="1091"/>
      <c r="SSZ914" s="1091"/>
      <c r="STA914" s="1091"/>
      <c r="STB914" s="1091"/>
      <c r="STC914" s="1091"/>
      <c r="STD914" s="1091"/>
      <c r="STE914" s="1091"/>
      <c r="STF914" s="1091"/>
      <c r="STG914" s="1091"/>
      <c r="STH914" s="1091"/>
      <c r="STI914" s="1091"/>
      <c r="STJ914" s="1091"/>
      <c r="STK914" s="1091"/>
      <c r="STL914" s="1091"/>
      <c r="STM914" s="1091"/>
      <c r="STN914" s="1091"/>
      <c r="STO914" s="1091"/>
      <c r="STP914" s="1091"/>
      <c r="STQ914" s="1091"/>
      <c r="STR914" s="1091"/>
      <c r="STS914" s="1091"/>
      <c r="STT914" s="1091"/>
      <c r="STU914" s="1091"/>
      <c r="STV914" s="1091"/>
      <c r="STW914" s="1091"/>
      <c r="STX914" s="1091"/>
      <c r="STY914" s="1091"/>
      <c r="STZ914" s="1091"/>
      <c r="SUA914" s="1091"/>
      <c r="SUB914" s="1091"/>
      <c r="SUC914" s="1091"/>
      <c r="SUD914" s="1091"/>
      <c r="SUE914" s="1091"/>
      <c r="SUF914" s="1091"/>
      <c r="SUG914" s="1091"/>
      <c r="SUH914" s="1091"/>
      <c r="SUI914" s="1091"/>
      <c r="SUJ914" s="1091"/>
      <c r="SUK914" s="1091"/>
      <c r="SUL914" s="1091"/>
      <c r="SUM914" s="1091"/>
      <c r="SUN914" s="1091"/>
      <c r="SUO914" s="1091"/>
      <c r="SUP914" s="1091"/>
      <c r="SUQ914" s="1091"/>
      <c r="SUR914" s="1091"/>
      <c r="SUS914" s="1091"/>
      <c r="SUT914" s="1091"/>
      <c r="SUU914" s="1091"/>
      <c r="SUV914" s="1091"/>
      <c r="SUW914" s="1091"/>
      <c r="SUX914" s="1091"/>
      <c r="SUY914" s="1091"/>
      <c r="SUZ914" s="1091"/>
      <c r="SVA914" s="1091"/>
      <c r="SVB914" s="1091"/>
      <c r="SVC914" s="1091"/>
      <c r="SVD914" s="1091"/>
      <c r="SVE914" s="1091"/>
      <c r="SVF914" s="1091"/>
      <c r="SVG914" s="1091"/>
      <c r="SVH914" s="1091"/>
      <c r="SVI914" s="1091"/>
      <c r="SVJ914" s="1091"/>
      <c r="SVK914" s="1091"/>
      <c r="SVL914" s="1091"/>
      <c r="SVM914" s="1091"/>
      <c r="SVN914" s="1091"/>
      <c r="SVO914" s="1091"/>
      <c r="SVP914" s="1091"/>
      <c r="SVQ914" s="1091"/>
      <c r="SVR914" s="1091"/>
      <c r="SVS914" s="1091"/>
      <c r="SVT914" s="1091"/>
      <c r="SVU914" s="1091"/>
      <c r="SVV914" s="1091"/>
      <c r="SVW914" s="1091"/>
      <c r="SVX914" s="1091"/>
      <c r="SVY914" s="1091"/>
      <c r="SVZ914" s="1091"/>
      <c r="SWA914" s="1091"/>
      <c r="SWB914" s="1091"/>
      <c r="SWC914" s="1091"/>
      <c r="SWD914" s="1091"/>
      <c r="SWE914" s="1091"/>
      <c r="SWF914" s="1091"/>
      <c r="SWG914" s="1091"/>
      <c r="SWH914" s="1091"/>
      <c r="SWI914" s="1091"/>
      <c r="SWJ914" s="1091"/>
      <c r="SWK914" s="1091"/>
      <c r="SWL914" s="1091"/>
      <c r="SWM914" s="1091"/>
      <c r="SWN914" s="1091"/>
      <c r="SWO914" s="1091"/>
      <c r="SWP914" s="1091"/>
      <c r="SWQ914" s="1091"/>
      <c r="SWR914" s="1091"/>
      <c r="SWS914" s="1091"/>
      <c r="SWT914" s="1091"/>
      <c r="SWU914" s="1091"/>
      <c r="SWV914" s="1091"/>
      <c r="SWW914" s="1091"/>
      <c r="SWX914" s="1091"/>
      <c r="SWY914" s="1091"/>
      <c r="SWZ914" s="1091"/>
      <c r="SXA914" s="1091"/>
      <c r="SXB914" s="1091"/>
      <c r="SXC914" s="1091"/>
      <c r="SXD914" s="1091"/>
      <c r="SXE914" s="1091"/>
      <c r="SXF914" s="1091"/>
      <c r="SXG914" s="1091"/>
      <c r="SXH914" s="1091"/>
      <c r="SXI914" s="1091"/>
      <c r="SXJ914" s="1091"/>
      <c r="SXK914" s="1091"/>
      <c r="SXL914" s="1091"/>
      <c r="SXM914" s="1091"/>
      <c r="SXN914" s="1091"/>
      <c r="SXO914" s="1091"/>
      <c r="SXP914" s="1091"/>
      <c r="SXQ914" s="1091"/>
      <c r="SXR914" s="1091"/>
      <c r="SXS914" s="1091"/>
      <c r="SXT914" s="1091"/>
      <c r="SXU914" s="1091"/>
      <c r="SXV914" s="1091"/>
      <c r="SXW914" s="1091"/>
      <c r="SXX914" s="1091"/>
      <c r="SXY914" s="1091"/>
      <c r="SXZ914" s="1091"/>
      <c r="SYA914" s="1091"/>
      <c r="SYB914" s="1091"/>
      <c r="SYC914" s="1091"/>
      <c r="SYD914" s="1091"/>
      <c r="SYE914" s="1091"/>
      <c r="SYF914" s="1091"/>
      <c r="SYG914" s="1091"/>
      <c r="SYH914" s="1091"/>
      <c r="SYI914" s="1091"/>
      <c r="SYJ914" s="1091"/>
      <c r="SYK914" s="1091"/>
      <c r="SYL914" s="1091"/>
      <c r="SYM914" s="1091"/>
      <c r="SYN914" s="1091"/>
      <c r="SYO914" s="1091"/>
      <c r="SYP914" s="1091"/>
      <c r="SYQ914" s="1091"/>
      <c r="SYR914" s="1091"/>
      <c r="SYS914" s="1091"/>
      <c r="SYT914" s="1091"/>
      <c r="SYU914" s="1091"/>
      <c r="SYV914" s="1091"/>
      <c r="SYW914" s="1091"/>
      <c r="SYX914" s="1091"/>
      <c r="SYY914" s="1091"/>
      <c r="SYZ914" s="1091"/>
      <c r="SZA914" s="1091"/>
      <c r="SZB914" s="1091"/>
      <c r="SZC914" s="1091"/>
      <c r="SZD914" s="1091"/>
      <c r="SZE914" s="1091"/>
      <c r="SZF914" s="1091"/>
      <c r="SZG914" s="1091"/>
      <c r="SZH914" s="1091"/>
      <c r="SZI914" s="1091"/>
      <c r="SZJ914" s="1091"/>
      <c r="SZK914" s="1091"/>
      <c r="SZL914" s="1091"/>
      <c r="SZM914" s="1091"/>
      <c r="SZN914" s="1091"/>
      <c r="SZO914" s="1091"/>
      <c r="SZP914" s="1091"/>
      <c r="SZQ914" s="1091"/>
      <c r="SZR914" s="1091"/>
      <c r="SZS914" s="1091"/>
      <c r="SZT914" s="1091"/>
      <c r="SZU914" s="1091"/>
      <c r="SZV914" s="1091"/>
      <c r="SZW914" s="1091"/>
      <c r="SZX914" s="1091"/>
      <c r="SZY914" s="1091"/>
      <c r="SZZ914" s="1091"/>
      <c r="TAA914" s="1091"/>
      <c r="TAB914" s="1091"/>
      <c r="TAC914" s="1091"/>
      <c r="TAD914" s="1091"/>
      <c r="TAE914" s="1091"/>
      <c r="TAF914" s="1091"/>
      <c r="TAG914" s="1091"/>
      <c r="TAH914" s="1091"/>
      <c r="TAI914" s="1091"/>
      <c r="TAJ914" s="1091"/>
      <c r="TAK914" s="1091"/>
      <c r="TAL914" s="1091"/>
      <c r="TAM914" s="1091"/>
      <c r="TAN914" s="1091"/>
      <c r="TAO914" s="1091"/>
      <c r="TAP914" s="1091"/>
      <c r="TAQ914" s="1091"/>
      <c r="TAR914" s="1091"/>
      <c r="TAS914" s="1091"/>
      <c r="TAT914" s="1091"/>
      <c r="TAU914" s="1091"/>
      <c r="TAV914" s="1091"/>
      <c r="TAW914" s="1091"/>
      <c r="TAX914" s="1091"/>
      <c r="TAY914" s="1091"/>
      <c r="TAZ914" s="1091"/>
      <c r="TBA914" s="1091"/>
      <c r="TBB914" s="1091"/>
      <c r="TBC914" s="1091"/>
      <c r="TBD914" s="1091"/>
      <c r="TBE914" s="1091"/>
      <c r="TBF914" s="1091"/>
      <c r="TBG914" s="1091"/>
      <c r="TBH914" s="1091"/>
      <c r="TBI914" s="1091"/>
      <c r="TBJ914" s="1091"/>
      <c r="TBK914" s="1091"/>
      <c r="TBL914" s="1091"/>
      <c r="TBM914" s="1091"/>
      <c r="TBN914" s="1091"/>
      <c r="TBO914" s="1091"/>
      <c r="TBP914" s="1091"/>
      <c r="TBQ914" s="1091"/>
      <c r="TBR914" s="1091"/>
      <c r="TBS914" s="1091"/>
      <c r="TBT914" s="1091"/>
      <c r="TBU914" s="1091"/>
      <c r="TBV914" s="1091"/>
      <c r="TBW914" s="1091"/>
      <c r="TBX914" s="1091"/>
      <c r="TBY914" s="1091"/>
      <c r="TBZ914" s="1091"/>
      <c r="TCA914" s="1091"/>
      <c r="TCB914" s="1091"/>
      <c r="TCC914" s="1091"/>
      <c r="TCD914" s="1091"/>
      <c r="TCE914" s="1091"/>
      <c r="TCF914" s="1091"/>
      <c r="TCG914" s="1091"/>
      <c r="TCH914" s="1091"/>
      <c r="TCI914" s="1091"/>
      <c r="TCJ914" s="1091"/>
      <c r="TCK914" s="1091"/>
      <c r="TCL914" s="1091"/>
      <c r="TCM914" s="1091"/>
      <c r="TCN914" s="1091"/>
      <c r="TCO914" s="1091"/>
      <c r="TCP914" s="1091"/>
      <c r="TCQ914" s="1091"/>
      <c r="TCR914" s="1091"/>
      <c r="TCS914" s="1091"/>
      <c r="TCT914" s="1091"/>
      <c r="TCU914" s="1091"/>
      <c r="TCV914" s="1091"/>
      <c r="TCW914" s="1091"/>
      <c r="TCX914" s="1091"/>
      <c r="TCY914" s="1091"/>
      <c r="TCZ914" s="1091"/>
      <c r="TDA914" s="1091"/>
      <c r="TDB914" s="1091"/>
      <c r="TDC914" s="1091"/>
      <c r="TDD914" s="1091"/>
      <c r="TDE914" s="1091"/>
      <c r="TDF914" s="1091"/>
      <c r="TDG914" s="1091"/>
      <c r="TDH914" s="1091"/>
      <c r="TDI914" s="1091"/>
      <c r="TDJ914" s="1091"/>
      <c r="TDK914" s="1091"/>
      <c r="TDL914" s="1091"/>
      <c r="TDM914" s="1091"/>
      <c r="TDN914" s="1091"/>
      <c r="TDO914" s="1091"/>
      <c r="TDP914" s="1091"/>
      <c r="TDQ914" s="1091"/>
      <c r="TDR914" s="1091"/>
      <c r="TDS914" s="1091"/>
      <c r="TDT914" s="1091"/>
      <c r="TDU914" s="1091"/>
      <c r="TDV914" s="1091"/>
      <c r="TDW914" s="1091"/>
      <c r="TDX914" s="1091"/>
      <c r="TDY914" s="1091"/>
      <c r="TDZ914" s="1091"/>
      <c r="TEA914" s="1091"/>
      <c r="TEB914" s="1091"/>
      <c r="TEC914" s="1091"/>
      <c r="TED914" s="1091"/>
      <c r="TEE914" s="1091"/>
      <c r="TEF914" s="1091"/>
      <c r="TEG914" s="1091"/>
      <c r="TEH914" s="1091"/>
      <c r="TEI914" s="1091"/>
      <c r="TEJ914" s="1091"/>
      <c r="TEK914" s="1091"/>
      <c r="TEL914" s="1091"/>
      <c r="TEM914" s="1091"/>
      <c r="TEN914" s="1091"/>
      <c r="TEO914" s="1091"/>
      <c r="TEP914" s="1091"/>
      <c r="TEQ914" s="1091"/>
      <c r="TER914" s="1091"/>
      <c r="TES914" s="1091"/>
      <c r="TET914" s="1091"/>
      <c r="TEU914" s="1091"/>
      <c r="TEV914" s="1091"/>
      <c r="TEW914" s="1091"/>
      <c r="TEX914" s="1091"/>
      <c r="TEY914" s="1091"/>
      <c r="TEZ914" s="1091"/>
      <c r="TFA914" s="1091"/>
      <c r="TFB914" s="1091"/>
      <c r="TFC914" s="1091"/>
      <c r="TFD914" s="1091"/>
      <c r="TFE914" s="1091"/>
      <c r="TFF914" s="1091"/>
      <c r="TFG914" s="1091"/>
      <c r="TFH914" s="1091"/>
      <c r="TFI914" s="1091"/>
      <c r="TFJ914" s="1091"/>
      <c r="TFK914" s="1091"/>
      <c r="TFL914" s="1091"/>
      <c r="TFM914" s="1091"/>
      <c r="TFN914" s="1091"/>
      <c r="TFO914" s="1091"/>
      <c r="TFP914" s="1091"/>
      <c r="TFQ914" s="1091"/>
      <c r="TFR914" s="1091"/>
      <c r="TFS914" s="1091"/>
      <c r="TFT914" s="1091"/>
      <c r="TFU914" s="1091"/>
      <c r="TFV914" s="1091"/>
      <c r="TFW914" s="1091"/>
      <c r="TFX914" s="1091"/>
      <c r="TFY914" s="1091"/>
      <c r="TFZ914" s="1091"/>
      <c r="TGA914" s="1091"/>
      <c r="TGB914" s="1091"/>
      <c r="TGC914" s="1091"/>
      <c r="TGD914" s="1091"/>
      <c r="TGE914" s="1091"/>
      <c r="TGF914" s="1091"/>
      <c r="TGG914" s="1091"/>
      <c r="TGH914" s="1091"/>
      <c r="TGI914" s="1091"/>
      <c r="TGJ914" s="1091"/>
      <c r="TGK914" s="1091"/>
      <c r="TGL914" s="1091"/>
      <c r="TGM914" s="1091"/>
      <c r="TGN914" s="1091"/>
      <c r="TGO914" s="1091"/>
      <c r="TGP914" s="1091"/>
      <c r="TGQ914" s="1091"/>
      <c r="TGR914" s="1091"/>
      <c r="TGS914" s="1091"/>
      <c r="TGT914" s="1091"/>
      <c r="TGU914" s="1091"/>
      <c r="TGV914" s="1091"/>
      <c r="TGW914" s="1091"/>
      <c r="TGX914" s="1091"/>
      <c r="TGY914" s="1091"/>
      <c r="TGZ914" s="1091"/>
      <c r="THA914" s="1091"/>
      <c r="THB914" s="1091"/>
      <c r="THC914" s="1091"/>
      <c r="THD914" s="1091"/>
      <c r="THE914" s="1091"/>
      <c r="THF914" s="1091"/>
      <c r="THG914" s="1091"/>
      <c r="THH914" s="1091"/>
      <c r="THI914" s="1091"/>
      <c r="THJ914" s="1091"/>
      <c r="THK914" s="1091"/>
      <c r="THL914" s="1091"/>
      <c r="THM914" s="1091"/>
      <c r="THN914" s="1091"/>
      <c r="THO914" s="1091"/>
      <c r="THP914" s="1091"/>
      <c r="THQ914" s="1091"/>
      <c r="THR914" s="1091"/>
      <c r="THS914" s="1091"/>
      <c r="THT914" s="1091"/>
      <c r="THU914" s="1091"/>
      <c r="THV914" s="1091"/>
      <c r="THW914" s="1091"/>
      <c r="THX914" s="1091"/>
      <c r="THY914" s="1091"/>
      <c r="THZ914" s="1091"/>
      <c r="TIA914" s="1091"/>
      <c r="TIB914" s="1091"/>
      <c r="TIC914" s="1091"/>
      <c r="TID914" s="1091"/>
      <c r="TIE914" s="1091"/>
      <c r="TIF914" s="1091"/>
      <c r="TIG914" s="1091"/>
      <c r="TIH914" s="1091"/>
      <c r="TII914" s="1091"/>
      <c r="TIJ914" s="1091"/>
      <c r="TIK914" s="1091"/>
      <c r="TIL914" s="1091"/>
      <c r="TIM914" s="1091"/>
      <c r="TIN914" s="1091"/>
      <c r="TIO914" s="1091"/>
      <c r="TIP914" s="1091"/>
      <c r="TIQ914" s="1091"/>
      <c r="TIR914" s="1091"/>
      <c r="TIS914" s="1091"/>
      <c r="TIT914" s="1091"/>
      <c r="TIU914" s="1091"/>
      <c r="TIV914" s="1091"/>
      <c r="TIW914" s="1091"/>
      <c r="TIX914" s="1091"/>
      <c r="TIY914" s="1091"/>
      <c r="TIZ914" s="1091"/>
      <c r="TJA914" s="1091"/>
      <c r="TJB914" s="1091"/>
      <c r="TJC914" s="1091"/>
      <c r="TJD914" s="1091"/>
      <c r="TJE914" s="1091"/>
      <c r="TJF914" s="1091"/>
      <c r="TJG914" s="1091"/>
      <c r="TJH914" s="1091"/>
      <c r="TJI914" s="1091"/>
      <c r="TJJ914" s="1091"/>
      <c r="TJK914" s="1091"/>
      <c r="TJL914" s="1091"/>
      <c r="TJM914" s="1091"/>
      <c r="TJN914" s="1091"/>
      <c r="TJO914" s="1091"/>
      <c r="TJP914" s="1091"/>
      <c r="TJQ914" s="1091"/>
      <c r="TJR914" s="1091"/>
      <c r="TJS914" s="1091"/>
      <c r="TJT914" s="1091"/>
      <c r="TJU914" s="1091"/>
      <c r="TJV914" s="1091"/>
      <c r="TJW914" s="1091"/>
      <c r="TJX914" s="1091"/>
      <c r="TJY914" s="1091"/>
      <c r="TJZ914" s="1091"/>
      <c r="TKA914" s="1091"/>
      <c r="TKB914" s="1091"/>
      <c r="TKC914" s="1091"/>
      <c r="TKD914" s="1091"/>
      <c r="TKE914" s="1091"/>
      <c r="TKF914" s="1091"/>
      <c r="TKG914" s="1091"/>
      <c r="TKH914" s="1091"/>
      <c r="TKI914" s="1091"/>
      <c r="TKJ914" s="1091"/>
      <c r="TKK914" s="1091"/>
      <c r="TKL914" s="1091"/>
      <c r="TKM914" s="1091"/>
      <c r="TKN914" s="1091"/>
      <c r="TKO914" s="1091"/>
      <c r="TKP914" s="1091"/>
      <c r="TKQ914" s="1091"/>
      <c r="TKR914" s="1091"/>
      <c r="TKS914" s="1091"/>
      <c r="TKT914" s="1091"/>
      <c r="TKU914" s="1091"/>
      <c r="TKV914" s="1091"/>
      <c r="TKW914" s="1091"/>
      <c r="TKX914" s="1091"/>
      <c r="TKY914" s="1091"/>
      <c r="TKZ914" s="1091"/>
      <c r="TLA914" s="1091"/>
      <c r="TLB914" s="1091"/>
      <c r="TLC914" s="1091"/>
      <c r="TLD914" s="1091"/>
      <c r="TLE914" s="1091"/>
      <c r="TLF914" s="1091"/>
      <c r="TLG914" s="1091"/>
      <c r="TLH914" s="1091"/>
      <c r="TLI914" s="1091"/>
      <c r="TLJ914" s="1091"/>
      <c r="TLK914" s="1091"/>
      <c r="TLL914" s="1091"/>
      <c r="TLM914" s="1091"/>
      <c r="TLN914" s="1091"/>
      <c r="TLO914" s="1091"/>
      <c r="TLP914" s="1091"/>
      <c r="TLQ914" s="1091"/>
      <c r="TLR914" s="1091"/>
      <c r="TLS914" s="1091"/>
      <c r="TLT914" s="1091"/>
      <c r="TLU914" s="1091"/>
      <c r="TLV914" s="1091"/>
      <c r="TLW914" s="1091"/>
      <c r="TLX914" s="1091"/>
      <c r="TLY914" s="1091"/>
      <c r="TLZ914" s="1091"/>
      <c r="TMA914" s="1091"/>
      <c r="TMB914" s="1091"/>
      <c r="TMC914" s="1091"/>
      <c r="TMD914" s="1091"/>
      <c r="TME914" s="1091"/>
      <c r="TMF914" s="1091"/>
      <c r="TMG914" s="1091"/>
      <c r="TMH914" s="1091"/>
      <c r="TMI914" s="1091"/>
      <c r="TMJ914" s="1091"/>
      <c r="TMK914" s="1091"/>
      <c r="TML914" s="1091"/>
      <c r="TMM914" s="1091"/>
      <c r="TMN914" s="1091"/>
      <c r="TMO914" s="1091"/>
      <c r="TMP914" s="1091"/>
      <c r="TMQ914" s="1091"/>
      <c r="TMR914" s="1091"/>
      <c r="TMS914" s="1091"/>
      <c r="TMT914" s="1091"/>
      <c r="TMU914" s="1091"/>
      <c r="TMV914" s="1091"/>
      <c r="TMW914" s="1091"/>
      <c r="TMX914" s="1091"/>
      <c r="TMY914" s="1091"/>
      <c r="TMZ914" s="1091"/>
      <c r="TNA914" s="1091"/>
      <c r="TNB914" s="1091"/>
      <c r="TNC914" s="1091"/>
      <c r="TND914" s="1091"/>
      <c r="TNE914" s="1091"/>
      <c r="TNF914" s="1091"/>
      <c r="TNG914" s="1091"/>
      <c r="TNH914" s="1091"/>
      <c r="TNI914" s="1091"/>
      <c r="TNJ914" s="1091"/>
      <c r="TNK914" s="1091"/>
      <c r="TNL914" s="1091"/>
      <c r="TNM914" s="1091"/>
      <c r="TNN914" s="1091"/>
      <c r="TNO914" s="1091"/>
      <c r="TNP914" s="1091"/>
      <c r="TNQ914" s="1091"/>
      <c r="TNR914" s="1091"/>
      <c r="TNS914" s="1091"/>
      <c r="TNT914" s="1091"/>
      <c r="TNU914" s="1091"/>
      <c r="TNV914" s="1091"/>
      <c r="TNW914" s="1091"/>
      <c r="TNX914" s="1091"/>
      <c r="TNY914" s="1091"/>
      <c r="TNZ914" s="1091"/>
      <c r="TOA914" s="1091"/>
      <c r="TOB914" s="1091"/>
      <c r="TOC914" s="1091"/>
      <c r="TOD914" s="1091"/>
      <c r="TOE914" s="1091"/>
      <c r="TOF914" s="1091"/>
      <c r="TOG914" s="1091"/>
      <c r="TOH914" s="1091"/>
      <c r="TOI914" s="1091"/>
      <c r="TOJ914" s="1091"/>
      <c r="TOK914" s="1091"/>
      <c r="TOL914" s="1091"/>
      <c r="TOM914" s="1091"/>
      <c r="TON914" s="1091"/>
      <c r="TOO914" s="1091"/>
      <c r="TOP914" s="1091"/>
      <c r="TOQ914" s="1091"/>
      <c r="TOR914" s="1091"/>
      <c r="TOS914" s="1091"/>
      <c r="TOT914" s="1091"/>
      <c r="TOU914" s="1091"/>
      <c r="TOV914" s="1091"/>
      <c r="TOW914" s="1091"/>
      <c r="TOX914" s="1091"/>
      <c r="TOY914" s="1091"/>
      <c r="TOZ914" s="1091"/>
      <c r="TPA914" s="1091"/>
      <c r="TPB914" s="1091"/>
      <c r="TPC914" s="1091"/>
      <c r="TPD914" s="1091"/>
      <c r="TPE914" s="1091"/>
      <c r="TPF914" s="1091"/>
      <c r="TPG914" s="1091"/>
      <c r="TPH914" s="1091"/>
      <c r="TPI914" s="1091"/>
      <c r="TPJ914" s="1091"/>
      <c r="TPK914" s="1091"/>
      <c r="TPL914" s="1091"/>
      <c r="TPM914" s="1091"/>
      <c r="TPN914" s="1091"/>
      <c r="TPO914" s="1091"/>
      <c r="TPP914" s="1091"/>
      <c r="TPQ914" s="1091"/>
      <c r="TPR914" s="1091"/>
      <c r="TPS914" s="1091"/>
      <c r="TPT914" s="1091"/>
      <c r="TPU914" s="1091"/>
      <c r="TPV914" s="1091"/>
      <c r="TPW914" s="1091"/>
      <c r="TPX914" s="1091"/>
      <c r="TPY914" s="1091"/>
      <c r="TPZ914" s="1091"/>
      <c r="TQA914" s="1091"/>
      <c r="TQB914" s="1091"/>
      <c r="TQC914" s="1091"/>
      <c r="TQD914" s="1091"/>
      <c r="TQE914" s="1091"/>
      <c r="TQF914" s="1091"/>
      <c r="TQG914" s="1091"/>
      <c r="TQH914" s="1091"/>
      <c r="TQI914" s="1091"/>
      <c r="TQJ914" s="1091"/>
      <c r="TQK914" s="1091"/>
      <c r="TQL914" s="1091"/>
      <c r="TQM914" s="1091"/>
      <c r="TQN914" s="1091"/>
      <c r="TQO914" s="1091"/>
      <c r="TQP914" s="1091"/>
      <c r="TQQ914" s="1091"/>
      <c r="TQR914" s="1091"/>
      <c r="TQS914" s="1091"/>
      <c r="TQT914" s="1091"/>
      <c r="TQU914" s="1091"/>
      <c r="TQV914" s="1091"/>
      <c r="TQW914" s="1091"/>
      <c r="TQX914" s="1091"/>
      <c r="TQY914" s="1091"/>
      <c r="TQZ914" s="1091"/>
      <c r="TRA914" s="1091"/>
      <c r="TRB914" s="1091"/>
      <c r="TRC914" s="1091"/>
      <c r="TRD914" s="1091"/>
      <c r="TRE914" s="1091"/>
      <c r="TRF914" s="1091"/>
      <c r="TRG914" s="1091"/>
      <c r="TRH914" s="1091"/>
      <c r="TRI914" s="1091"/>
      <c r="TRJ914" s="1091"/>
      <c r="TRK914" s="1091"/>
      <c r="TRL914" s="1091"/>
      <c r="TRM914" s="1091"/>
      <c r="TRN914" s="1091"/>
      <c r="TRO914" s="1091"/>
      <c r="TRP914" s="1091"/>
      <c r="TRQ914" s="1091"/>
      <c r="TRR914" s="1091"/>
      <c r="TRS914" s="1091"/>
      <c r="TRT914" s="1091"/>
      <c r="TRU914" s="1091"/>
      <c r="TRV914" s="1091"/>
      <c r="TRW914" s="1091"/>
      <c r="TRX914" s="1091"/>
      <c r="TRY914" s="1091"/>
      <c r="TRZ914" s="1091"/>
      <c r="TSA914" s="1091"/>
      <c r="TSB914" s="1091"/>
      <c r="TSC914" s="1091"/>
      <c r="TSD914" s="1091"/>
      <c r="TSE914" s="1091"/>
      <c r="TSF914" s="1091"/>
      <c r="TSG914" s="1091"/>
      <c r="TSH914" s="1091"/>
      <c r="TSI914" s="1091"/>
      <c r="TSJ914" s="1091"/>
      <c r="TSK914" s="1091"/>
      <c r="TSL914" s="1091"/>
      <c r="TSM914" s="1091"/>
      <c r="TSN914" s="1091"/>
      <c r="TSO914" s="1091"/>
      <c r="TSP914" s="1091"/>
      <c r="TSQ914" s="1091"/>
      <c r="TSR914" s="1091"/>
      <c r="TSS914" s="1091"/>
      <c r="TST914" s="1091"/>
      <c r="TSU914" s="1091"/>
      <c r="TSV914" s="1091"/>
      <c r="TSW914" s="1091"/>
      <c r="TSX914" s="1091"/>
      <c r="TSY914" s="1091"/>
      <c r="TSZ914" s="1091"/>
      <c r="TTA914" s="1091"/>
      <c r="TTB914" s="1091"/>
      <c r="TTC914" s="1091"/>
      <c r="TTD914" s="1091"/>
      <c r="TTE914" s="1091"/>
      <c r="TTF914" s="1091"/>
      <c r="TTG914" s="1091"/>
      <c r="TTH914" s="1091"/>
      <c r="TTI914" s="1091"/>
      <c r="TTJ914" s="1091"/>
      <c r="TTK914" s="1091"/>
      <c r="TTL914" s="1091"/>
      <c r="TTM914" s="1091"/>
      <c r="TTN914" s="1091"/>
      <c r="TTO914" s="1091"/>
      <c r="TTP914" s="1091"/>
      <c r="TTQ914" s="1091"/>
      <c r="TTR914" s="1091"/>
      <c r="TTS914" s="1091"/>
      <c r="TTT914" s="1091"/>
      <c r="TTU914" s="1091"/>
      <c r="TTV914" s="1091"/>
      <c r="TTW914" s="1091"/>
      <c r="TTX914" s="1091"/>
      <c r="TTY914" s="1091"/>
      <c r="TTZ914" s="1091"/>
      <c r="TUA914" s="1091"/>
      <c r="TUB914" s="1091"/>
      <c r="TUC914" s="1091"/>
      <c r="TUD914" s="1091"/>
      <c r="TUE914" s="1091"/>
      <c r="TUF914" s="1091"/>
      <c r="TUG914" s="1091"/>
      <c r="TUH914" s="1091"/>
      <c r="TUI914" s="1091"/>
      <c r="TUJ914" s="1091"/>
      <c r="TUK914" s="1091"/>
      <c r="TUL914" s="1091"/>
      <c r="TUM914" s="1091"/>
      <c r="TUN914" s="1091"/>
      <c r="TUO914" s="1091"/>
      <c r="TUP914" s="1091"/>
      <c r="TUQ914" s="1091"/>
      <c r="TUR914" s="1091"/>
      <c r="TUS914" s="1091"/>
      <c r="TUT914" s="1091"/>
      <c r="TUU914" s="1091"/>
      <c r="TUV914" s="1091"/>
      <c r="TUW914" s="1091"/>
      <c r="TUX914" s="1091"/>
      <c r="TUY914" s="1091"/>
      <c r="TUZ914" s="1091"/>
      <c r="TVA914" s="1091"/>
      <c r="TVB914" s="1091"/>
      <c r="TVC914" s="1091"/>
      <c r="TVD914" s="1091"/>
      <c r="TVE914" s="1091"/>
      <c r="TVF914" s="1091"/>
      <c r="TVG914" s="1091"/>
      <c r="TVH914" s="1091"/>
      <c r="TVI914" s="1091"/>
      <c r="TVJ914" s="1091"/>
      <c r="TVK914" s="1091"/>
      <c r="TVL914" s="1091"/>
      <c r="TVM914" s="1091"/>
      <c r="TVN914" s="1091"/>
      <c r="TVO914" s="1091"/>
      <c r="TVP914" s="1091"/>
      <c r="TVQ914" s="1091"/>
      <c r="TVR914" s="1091"/>
      <c r="TVS914" s="1091"/>
      <c r="TVT914" s="1091"/>
      <c r="TVU914" s="1091"/>
      <c r="TVV914" s="1091"/>
      <c r="TVW914" s="1091"/>
      <c r="TVX914" s="1091"/>
      <c r="TVY914" s="1091"/>
      <c r="TVZ914" s="1091"/>
      <c r="TWA914" s="1091"/>
      <c r="TWB914" s="1091"/>
      <c r="TWC914" s="1091"/>
      <c r="TWD914" s="1091"/>
      <c r="TWE914" s="1091"/>
      <c r="TWF914" s="1091"/>
      <c r="TWG914" s="1091"/>
      <c r="TWH914" s="1091"/>
      <c r="TWI914" s="1091"/>
      <c r="TWJ914" s="1091"/>
      <c r="TWK914" s="1091"/>
      <c r="TWL914" s="1091"/>
      <c r="TWM914" s="1091"/>
      <c r="TWN914" s="1091"/>
      <c r="TWO914" s="1091"/>
      <c r="TWP914" s="1091"/>
      <c r="TWQ914" s="1091"/>
      <c r="TWR914" s="1091"/>
      <c r="TWS914" s="1091"/>
      <c r="TWT914" s="1091"/>
      <c r="TWU914" s="1091"/>
      <c r="TWV914" s="1091"/>
      <c r="TWW914" s="1091"/>
      <c r="TWX914" s="1091"/>
      <c r="TWY914" s="1091"/>
      <c r="TWZ914" s="1091"/>
      <c r="TXA914" s="1091"/>
      <c r="TXB914" s="1091"/>
      <c r="TXC914" s="1091"/>
      <c r="TXD914" s="1091"/>
      <c r="TXE914" s="1091"/>
      <c r="TXF914" s="1091"/>
      <c r="TXG914" s="1091"/>
      <c r="TXH914" s="1091"/>
      <c r="TXI914" s="1091"/>
      <c r="TXJ914" s="1091"/>
      <c r="TXK914" s="1091"/>
      <c r="TXL914" s="1091"/>
      <c r="TXM914" s="1091"/>
      <c r="TXN914" s="1091"/>
      <c r="TXO914" s="1091"/>
      <c r="TXP914" s="1091"/>
      <c r="TXQ914" s="1091"/>
      <c r="TXR914" s="1091"/>
      <c r="TXS914" s="1091"/>
      <c r="TXT914" s="1091"/>
      <c r="TXU914" s="1091"/>
      <c r="TXV914" s="1091"/>
      <c r="TXW914" s="1091"/>
      <c r="TXX914" s="1091"/>
      <c r="TXY914" s="1091"/>
      <c r="TXZ914" s="1091"/>
      <c r="TYA914" s="1091"/>
      <c r="TYB914" s="1091"/>
      <c r="TYC914" s="1091"/>
      <c r="TYD914" s="1091"/>
      <c r="TYE914" s="1091"/>
      <c r="TYF914" s="1091"/>
      <c r="TYG914" s="1091"/>
      <c r="TYH914" s="1091"/>
      <c r="TYI914" s="1091"/>
      <c r="TYJ914" s="1091"/>
      <c r="TYK914" s="1091"/>
      <c r="TYL914" s="1091"/>
      <c r="TYM914" s="1091"/>
      <c r="TYN914" s="1091"/>
      <c r="TYO914" s="1091"/>
      <c r="TYP914" s="1091"/>
      <c r="TYQ914" s="1091"/>
      <c r="TYR914" s="1091"/>
      <c r="TYS914" s="1091"/>
      <c r="TYT914" s="1091"/>
      <c r="TYU914" s="1091"/>
      <c r="TYV914" s="1091"/>
      <c r="TYW914" s="1091"/>
      <c r="TYX914" s="1091"/>
      <c r="TYY914" s="1091"/>
      <c r="TYZ914" s="1091"/>
      <c r="TZA914" s="1091"/>
      <c r="TZB914" s="1091"/>
      <c r="TZC914" s="1091"/>
      <c r="TZD914" s="1091"/>
      <c r="TZE914" s="1091"/>
      <c r="TZF914" s="1091"/>
      <c r="TZG914" s="1091"/>
      <c r="TZH914" s="1091"/>
      <c r="TZI914" s="1091"/>
      <c r="TZJ914" s="1091"/>
      <c r="TZK914" s="1091"/>
      <c r="TZL914" s="1091"/>
      <c r="TZM914" s="1091"/>
      <c r="TZN914" s="1091"/>
      <c r="TZO914" s="1091"/>
      <c r="TZP914" s="1091"/>
      <c r="TZQ914" s="1091"/>
      <c r="TZR914" s="1091"/>
      <c r="TZS914" s="1091"/>
      <c r="TZT914" s="1091"/>
      <c r="TZU914" s="1091"/>
      <c r="TZV914" s="1091"/>
      <c r="TZW914" s="1091"/>
      <c r="TZX914" s="1091"/>
      <c r="TZY914" s="1091"/>
      <c r="TZZ914" s="1091"/>
      <c r="UAA914" s="1091"/>
      <c r="UAB914" s="1091"/>
      <c r="UAC914" s="1091"/>
      <c r="UAD914" s="1091"/>
      <c r="UAE914" s="1091"/>
      <c r="UAF914" s="1091"/>
      <c r="UAG914" s="1091"/>
      <c r="UAH914" s="1091"/>
      <c r="UAI914" s="1091"/>
      <c r="UAJ914" s="1091"/>
      <c r="UAK914" s="1091"/>
      <c r="UAL914" s="1091"/>
      <c r="UAM914" s="1091"/>
      <c r="UAN914" s="1091"/>
      <c r="UAO914" s="1091"/>
      <c r="UAP914" s="1091"/>
      <c r="UAQ914" s="1091"/>
      <c r="UAR914" s="1091"/>
      <c r="UAS914" s="1091"/>
      <c r="UAT914" s="1091"/>
      <c r="UAU914" s="1091"/>
      <c r="UAV914" s="1091"/>
      <c r="UAW914" s="1091"/>
      <c r="UAX914" s="1091"/>
      <c r="UAY914" s="1091"/>
      <c r="UAZ914" s="1091"/>
      <c r="UBA914" s="1091"/>
      <c r="UBB914" s="1091"/>
      <c r="UBC914" s="1091"/>
      <c r="UBD914" s="1091"/>
      <c r="UBE914" s="1091"/>
      <c r="UBF914" s="1091"/>
      <c r="UBG914" s="1091"/>
      <c r="UBH914" s="1091"/>
      <c r="UBI914" s="1091"/>
      <c r="UBJ914" s="1091"/>
      <c r="UBK914" s="1091"/>
      <c r="UBL914" s="1091"/>
      <c r="UBM914" s="1091"/>
      <c r="UBN914" s="1091"/>
      <c r="UBO914" s="1091"/>
      <c r="UBP914" s="1091"/>
      <c r="UBQ914" s="1091"/>
      <c r="UBR914" s="1091"/>
      <c r="UBS914" s="1091"/>
      <c r="UBT914" s="1091"/>
      <c r="UBU914" s="1091"/>
      <c r="UBV914" s="1091"/>
      <c r="UBW914" s="1091"/>
      <c r="UBX914" s="1091"/>
      <c r="UBY914" s="1091"/>
      <c r="UBZ914" s="1091"/>
      <c r="UCA914" s="1091"/>
      <c r="UCB914" s="1091"/>
      <c r="UCC914" s="1091"/>
      <c r="UCD914" s="1091"/>
      <c r="UCE914" s="1091"/>
      <c r="UCF914" s="1091"/>
      <c r="UCG914" s="1091"/>
      <c r="UCH914" s="1091"/>
      <c r="UCI914" s="1091"/>
      <c r="UCJ914" s="1091"/>
      <c r="UCK914" s="1091"/>
      <c r="UCL914" s="1091"/>
      <c r="UCM914" s="1091"/>
      <c r="UCN914" s="1091"/>
      <c r="UCO914" s="1091"/>
      <c r="UCP914" s="1091"/>
      <c r="UCQ914" s="1091"/>
      <c r="UCR914" s="1091"/>
      <c r="UCS914" s="1091"/>
      <c r="UCT914" s="1091"/>
      <c r="UCU914" s="1091"/>
      <c r="UCV914" s="1091"/>
      <c r="UCW914" s="1091"/>
      <c r="UCX914" s="1091"/>
      <c r="UCY914" s="1091"/>
      <c r="UCZ914" s="1091"/>
      <c r="UDA914" s="1091"/>
      <c r="UDB914" s="1091"/>
      <c r="UDC914" s="1091"/>
      <c r="UDD914" s="1091"/>
      <c r="UDE914" s="1091"/>
      <c r="UDF914" s="1091"/>
      <c r="UDG914" s="1091"/>
      <c r="UDH914" s="1091"/>
      <c r="UDI914" s="1091"/>
      <c r="UDJ914" s="1091"/>
      <c r="UDK914" s="1091"/>
      <c r="UDL914" s="1091"/>
      <c r="UDM914" s="1091"/>
      <c r="UDN914" s="1091"/>
      <c r="UDO914" s="1091"/>
      <c r="UDP914" s="1091"/>
      <c r="UDQ914" s="1091"/>
      <c r="UDR914" s="1091"/>
      <c r="UDS914" s="1091"/>
      <c r="UDT914" s="1091"/>
      <c r="UDU914" s="1091"/>
      <c r="UDV914" s="1091"/>
      <c r="UDW914" s="1091"/>
      <c r="UDX914" s="1091"/>
      <c r="UDY914" s="1091"/>
      <c r="UDZ914" s="1091"/>
      <c r="UEA914" s="1091"/>
      <c r="UEB914" s="1091"/>
      <c r="UEC914" s="1091"/>
      <c r="UED914" s="1091"/>
      <c r="UEE914" s="1091"/>
      <c r="UEF914" s="1091"/>
      <c r="UEG914" s="1091"/>
      <c r="UEH914" s="1091"/>
      <c r="UEI914" s="1091"/>
      <c r="UEJ914" s="1091"/>
      <c r="UEK914" s="1091"/>
      <c r="UEL914" s="1091"/>
      <c r="UEM914" s="1091"/>
      <c r="UEN914" s="1091"/>
      <c r="UEO914" s="1091"/>
      <c r="UEP914" s="1091"/>
      <c r="UEQ914" s="1091"/>
      <c r="UER914" s="1091"/>
      <c r="UES914" s="1091"/>
      <c r="UET914" s="1091"/>
      <c r="UEU914" s="1091"/>
      <c r="UEV914" s="1091"/>
      <c r="UEW914" s="1091"/>
      <c r="UEX914" s="1091"/>
      <c r="UEY914" s="1091"/>
      <c r="UEZ914" s="1091"/>
      <c r="UFA914" s="1091"/>
      <c r="UFB914" s="1091"/>
      <c r="UFC914" s="1091"/>
      <c r="UFD914" s="1091"/>
      <c r="UFE914" s="1091"/>
      <c r="UFF914" s="1091"/>
      <c r="UFG914" s="1091"/>
      <c r="UFH914" s="1091"/>
      <c r="UFI914" s="1091"/>
      <c r="UFJ914" s="1091"/>
      <c r="UFK914" s="1091"/>
      <c r="UFL914" s="1091"/>
      <c r="UFM914" s="1091"/>
      <c r="UFN914" s="1091"/>
      <c r="UFO914" s="1091"/>
      <c r="UFP914" s="1091"/>
      <c r="UFQ914" s="1091"/>
      <c r="UFR914" s="1091"/>
      <c r="UFS914" s="1091"/>
      <c r="UFT914" s="1091"/>
      <c r="UFU914" s="1091"/>
      <c r="UFV914" s="1091"/>
      <c r="UFW914" s="1091"/>
      <c r="UFX914" s="1091"/>
      <c r="UFY914" s="1091"/>
      <c r="UFZ914" s="1091"/>
      <c r="UGA914" s="1091"/>
      <c r="UGB914" s="1091"/>
      <c r="UGC914" s="1091"/>
      <c r="UGD914" s="1091"/>
      <c r="UGE914" s="1091"/>
      <c r="UGF914" s="1091"/>
      <c r="UGG914" s="1091"/>
      <c r="UGH914" s="1091"/>
      <c r="UGI914" s="1091"/>
      <c r="UGJ914" s="1091"/>
      <c r="UGK914" s="1091"/>
      <c r="UGL914" s="1091"/>
      <c r="UGM914" s="1091"/>
      <c r="UGN914" s="1091"/>
      <c r="UGO914" s="1091"/>
      <c r="UGP914" s="1091"/>
      <c r="UGQ914" s="1091"/>
      <c r="UGR914" s="1091"/>
      <c r="UGS914" s="1091"/>
      <c r="UGT914" s="1091"/>
      <c r="UGU914" s="1091"/>
      <c r="UGV914" s="1091"/>
      <c r="UGW914" s="1091"/>
      <c r="UGX914" s="1091"/>
      <c r="UGY914" s="1091"/>
      <c r="UGZ914" s="1091"/>
      <c r="UHA914" s="1091"/>
      <c r="UHB914" s="1091"/>
      <c r="UHC914" s="1091"/>
      <c r="UHD914" s="1091"/>
      <c r="UHE914" s="1091"/>
      <c r="UHF914" s="1091"/>
      <c r="UHG914" s="1091"/>
      <c r="UHH914" s="1091"/>
      <c r="UHI914" s="1091"/>
      <c r="UHJ914" s="1091"/>
      <c r="UHK914" s="1091"/>
      <c r="UHL914" s="1091"/>
      <c r="UHM914" s="1091"/>
      <c r="UHN914" s="1091"/>
      <c r="UHO914" s="1091"/>
      <c r="UHP914" s="1091"/>
      <c r="UHQ914" s="1091"/>
      <c r="UHR914" s="1091"/>
      <c r="UHS914" s="1091"/>
      <c r="UHT914" s="1091"/>
      <c r="UHU914" s="1091"/>
      <c r="UHV914" s="1091"/>
      <c r="UHW914" s="1091"/>
      <c r="UHX914" s="1091"/>
      <c r="UHY914" s="1091"/>
      <c r="UHZ914" s="1091"/>
      <c r="UIA914" s="1091"/>
      <c r="UIB914" s="1091"/>
      <c r="UIC914" s="1091"/>
      <c r="UID914" s="1091"/>
      <c r="UIE914" s="1091"/>
      <c r="UIF914" s="1091"/>
      <c r="UIG914" s="1091"/>
      <c r="UIH914" s="1091"/>
      <c r="UII914" s="1091"/>
      <c r="UIJ914" s="1091"/>
      <c r="UIK914" s="1091"/>
      <c r="UIL914" s="1091"/>
      <c r="UIM914" s="1091"/>
      <c r="UIN914" s="1091"/>
      <c r="UIO914" s="1091"/>
      <c r="UIP914" s="1091"/>
      <c r="UIQ914" s="1091"/>
      <c r="UIR914" s="1091"/>
      <c r="UIS914" s="1091"/>
      <c r="UIT914" s="1091"/>
      <c r="UIU914" s="1091"/>
      <c r="UIV914" s="1091"/>
      <c r="UIW914" s="1091"/>
      <c r="UIX914" s="1091"/>
      <c r="UIY914" s="1091"/>
      <c r="UIZ914" s="1091"/>
      <c r="UJA914" s="1091"/>
      <c r="UJB914" s="1091"/>
      <c r="UJC914" s="1091"/>
      <c r="UJD914" s="1091"/>
      <c r="UJE914" s="1091"/>
      <c r="UJF914" s="1091"/>
      <c r="UJG914" s="1091"/>
      <c r="UJH914" s="1091"/>
      <c r="UJI914" s="1091"/>
      <c r="UJJ914" s="1091"/>
      <c r="UJK914" s="1091"/>
      <c r="UJL914" s="1091"/>
      <c r="UJM914" s="1091"/>
      <c r="UJN914" s="1091"/>
      <c r="UJO914" s="1091"/>
      <c r="UJP914" s="1091"/>
      <c r="UJQ914" s="1091"/>
      <c r="UJR914" s="1091"/>
      <c r="UJS914" s="1091"/>
      <c r="UJT914" s="1091"/>
      <c r="UJU914" s="1091"/>
      <c r="UJV914" s="1091"/>
      <c r="UJW914" s="1091"/>
      <c r="UJX914" s="1091"/>
      <c r="UJY914" s="1091"/>
      <c r="UJZ914" s="1091"/>
      <c r="UKA914" s="1091"/>
      <c r="UKB914" s="1091"/>
      <c r="UKC914" s="1091"/>
      <c r="UKD914" s="1091"/>
      <c r="UKE914" s="1091"/>
      <c r="UKF914" s="1091"/>
      <c r="UKG914" s="1091"/>
      <c r="UKH914" s="1091"/>
      <c r="UKI914" s="1091"/>
      <c r="UKJ914" s="1091"/>
      <c r="UKK914" s="1091"/>
      <c r="UKL914" s="1091"/>
      <c r="UKM914" s="1091"/>
      <c r="UKN914" s="1091"/>
      <c r="UKO914" s="1091"/>
      <c r="UKP914" s="1091"/>
      <c r="UKQ914" s="1091"/>
      <c r="UKR914" s="1091"/>
      <c r="UKS914" s="1091"/>
      <c r="UKT914" s="1091"/>
      <c r="UKU914" s="1091"/>
      <c r="UKV914" s="1091"/>
      <c r="UKW914" s="1091"/>
      <c r="UKX914" s="1091"/>
      <c r="UKY914" s="1091"/>
      <c r="UKZ914" s="1091"/>
      <c r="ULA914" s="1091"/>
      <c r="ULB914" s="1091"/>
      <c r="ULC914" s="1091"/>
      <c r="ULD914" s="1091"/>
      <c r="ULE914" s="1091"/>
      <c r="ULF914" s="1091"/>
      <c r="ULG914" s="1091"/>
      <c r="ULH914" s="1091"/>
      <c r="ULI914" s="1091"/>
      <c r="ULJ914" s="1091"/>
      <c r="ULK914" s="1091"/>
      <c r="ULL914" s="1091"/>
      <c r="ULM914" s="1091"/>
      <c r="ULN914" s="1091"/>
      <c r="ULO914" s="1091"/>
      <c r="ULP914" s="1091"/>
      <c r="ULQ914" s="1091"/>
      <c r="ULR914" s="1091"/>
      <c r="ULS914" s="1091"/>
      <c r="ULT914" s="1091"/>
      <c r="ULU914" s="1091"/>
      <c r="ULV914" s="1091"/>
      <c r="ULW914" s="1091"/>
      <c r="ULX914" s="1091"/>
      <c r="ULY914" s="1091"/>
      <c r="ULZ914" s="1091"/>
      <c r="UMA914" s="1091"/>
      <c r="UMB914" s="1091"/>
      <c r="UMC914" s="1091"/>
      <c r="UMD914" s="1091"/>
      <c r="UME914" s="1091"/>
      <c r="UMF914" s="1091"/>
      <c r="UMG914" s="1091"/>
      <c r="UMH914" s="1091"/>
      <c r="UMI914" s="1091"/>
      <c r="UMJ914" s="1091"/>
      <c r="UMK914" s="1091"/>
      <c r="UML914" s="1091"/>
      <c r="UMM914" s="1091"/>
      <c r="UMN914" s="1091"/>
      <c r="UMO914" s="1091"/>
      <c r="UMP914" s="1091"/>
      <c r="UMQ914" s="1091"/>
      <c r="UMR914" s="1091"/>
      <c r="UMS914" s="1091"/>
      <c r="UMT914" s="1091"/>
      <c r="UMU914" s="1091"/>
      <c r="UMV914" s="1091"/>
      <c r="UMW914" s="1091"/>
      <c r="UMX914" s="1091"/>
      <c r="UMY914" s="1091"/>
      <c r="UMZ914" s="1091"/>
      <c r="UNA914" s="1091"/>
      <c r="UNB914" s="1091"/>
      <c r="UNC914" s="1091"/>
      <c r="UND914" s="1091"/>
      <c r="UNE914" s="1091"/>
      <c r="UNF914" s="1091"/>
      <c r="UNG914" s="1091"/>
      <c r="UNH914" s="1091"/>
      <c r="UNI914" s="1091"/>
      <c r="UNJ914" s="1091"/>
      <c r="UNK914" s="1091"/>
      <c r="UNL914" s="1091"/>
      <c r="UNM914" s="1091"/>
      <c r="UNN914" s="1091"/>
      <c r="UNO914" s="1091"/>
      <c r="UNP914" s="1091"/>
      <c r="UNQ914" s="1091"/>
      <c r="UNR914" s="1091"/>
      <c r="UNS914" s="1091"/>
      <c r="UNT914" s="1091"/>
      <c r="UNU914" s="1091"/>
      <c r="UNV914" s="1091"/>
      <c r="UNW914" s="1091"/>
      <c r="UNX914" s="1091"/>
      <c r="UNY914" s="1091"/>
      <c r="UNZ914" s="1091"/>
      <c r="UOA914" s="1091"/>
      <c r="UOB914" s="1091"/>
      <c r="UOC914" s="1091"/>
      <c r="UOD914" s="1091"/>
      <c r="UOE914" s="1091"/>
      <c r="UOF914" s="1091"/>
      <c r="UOG914" s="1091"/>
      <c r="UOH914" s="1091"/>
      <c r="UOI914" s="1091"/>
      <c r="UOJ914" s="1091"/>
      <c r="UOK914" s="1091"/>
      <c r="UOL914" s="1091"/>
      <c r="UOM914" s="1091"/>
      <c r="UON914" s="1091"/>
      <c r="UOO914" s="1091"/>
      <c r="UOP914" s="1091"/>
      <c r="UOQ914" s="1091"/>
      <c r="UOR914" s="1091"/>
      <c r="UOS914" s="1091"/>
      <c r="UOT914" s="1091"/>
      <c r="UOU914" s="1091"/>
      <c r="UOV914" s="1091"/>
      <c r="UOW914" s="1091"/>
      <c r="UOX914" s="1091"/>
      <c r="UOY914" s="1091"/>
      <c r="UOZ914" s="1091"/>
      <c r="UPA914" s="1091"/>
      <c r="UPB914" s="1091"/>
      <c r="UPC914" s="1091"/>
      <c r="UPD914" s="1091"/>
      <c r="UPE914" s="1091"/>
      <c r="UPF914" s="1091"/>
      <c r="UPG914" s="1091"/>
      <c r="UPH914" s="1091"/>
      <c r="UPI914" s="1091"/>
      <c r="UPJ914" s="1091"/>
      <c r="UPK914" s="1091"/>
      <c r="UPL914" s="1091"/>
      <c r="UPM914" s="1091"/>
      <c r="UPN914" s="1091"/>
      <c r="UPO914" s="1091"/>
      <c r="UPP914" s="1091"/>
      <c r="UPQ914" s="1091"/>
      <c r="UPR914" s="1091"/>
      <c r="UPS914" s="1091"/>
      <c r="UPT914" s="1091"/>
      <c r="UPU914" s="1091"/>
      <c r="UPV914" s="1091"/>
      <c r="UPW914" s="1091"/>
      <c r="UPX914" s="1091"/>
      <c r="UPY914" s="1091"/>
      <c r="UPZ914" s="1091"/>
      <c r="UQA914" s="1091"/>
      <c r="UQB914" s="1091"/>
      <c r="UQC914" s="1091"/>
      <c r="UQD914" s="1091"/>
      <c r="UQE914" s="1091"/>
      <c r="UQF914" s="1091"/>
      <c r="UQG914" s="1091"/>
      <c r="UQH914" s="1091"/>
      <c r="UQI914" s="1091"/>
      <c r="UQJ914" s="1091"/>
      <c r="UQK914" s="1091"/>
      <c r="UQL914" s="1091"/>
      <c r="UQM914" s="1091"/>
      <c r="UQN914" s="1091"/>
      <c r="UQO914" s="1091"/>
      <c r="UQP914" s="1091"/>
      <c r="UQQ914" s="1091"/>
      <c r="UQR914" s="1091"/>
      <c r="UQS914" s="1091"/>
      <c r="UQT914" s="1091"/>
      <c r="UQU914" s="1091"/>
      <c r="UQV914" s="1091"/>
      <c r="UQW914" s="1091"/>
      <c r="UQX914" s="1091"/>
      <c r="UQY914" s="1091"/>
      <c r="UQZ914" s="1091"/>
      <c r="URA914" s="1091"/>
      <c r="URB914" s="1091"/>
      <c r="URC914" s="1091"/>
      <c r="URD914" s="1091"/>
      <c r="URE914" s="1091"/>
      <c r="URF914" s="1091"/>
      <c r="URG914" s="1091"/>
      <c r="URH914" s="1091"/>
      <c r="URI914" s="1091"/>
      <c r="URJ914" s="1091"/>
      <c r="URK914" s="1091"/>
      <c r="URL914" s="1091"/>
      <c r="URM914" s="1091"/>
      <c r="URN914" s="1091"/>
      <c r="URO914" s="1091"/>
      <c r="URP914" s="1091"/>
      <c r="URQ914" s="1091"/>
      <c r="URR914" s="1091"/>
      <c r="URS914" s="1091"/>
      <c r="URT914" s="1091"/>
      <c r="URU914" s="1091"/>
      <c r="URV914" s="1091"/>
      <c r="URW914" s="1091"/>
      <c r="URX914" s="1091"/>
      <c r="URY914" s="1091"/>
      <c r="URZ914" s="1091"/>
      <c r="USA914" s="1091"/>
      <c r="USB914" s="1091"/>
      <c r="USC914" s="1091"/>
      <c r="USD914" s="1091"/>
      <c r="USE914" s="1091"/>
      <c r="USF914" s="1091"/>
      <c r="USG914" s="1091"/>
      <c r="USH914" s="1091"/>
      <c r="USI914" s="1091"/>
      <c r="USJ914" s="1091"/>
      <c r="USK914" s="1091"/>
      <c r="USL914" s="1091"/>
      <c r="USM914" s="1091"/>
      <c r="USN914" s="1091"/>
      <c r="USO914" s="1091"/>
      <c r="USP914" s="1091"/>
      <c r="USQ914" s="1091"/>
      <c r="USR914" s="1091"/>
      <c r="USS914" s="1091"/>
      <c r="UST914" s="1091"/>
      <c r="USU914" s="1091"/>
      <c r="USV914" s="1091"/>
      <c r="USW914" s="1091"/>
      <c r="USX914" s="1091"/>
      <c r="USY914" s="1091"/>
      <c r="USZ914" s="1091"/>
      <c r="UTA914" s="1091"/>
      <c r="UTB914" s="1091"/>
      <c r="UTC914" s="1091"/>
      <c r="UTD914" s="1091"/>
      <c r="UTE914" s="1091"/>
      <c r="UTF914" s="1091"/>
      <c r="UTG914" s="1091"/>
      <c r="UTH914" s="1091"/>
      <c r="UTI914" s="1091"/>
      <c r="UTJ914" s="1091"/>
      <c r="UTK914" s="1091"/>
      <c r="UTL914" s="1091"/>
      <c r="UTM914" s="1091"/>
      <c r="UTN914" s="1091"/>
      <c r="UTO914" s="1091"/>
      <c r="UTP914" s="1091"/>
      <c r="UTQ914" s="1091"/>
      <c r="UTR914" s="1091"/>
      <c r="UTS914" s="1091"/>
      <c r="UTT914" s="1091"/>
      <c r="UTU914" s="1091"/>
      <c r="UTV914" s="1091"/>
      <c r="UTW914" s="1091"/>
      <c r="UTX914" s="1091"/>
      <c r="UTY914" s="1091"/>
      <c r="UTZ914" s="1091"/>
      <c r="UUA914" s="1091"/>
      <c r="UUB914" s="1091"/>
      <c r="UUC914" s="1091"/>
      <c r="UUD914" s="1091"/>
      <c r="UUE914" s="1091"/>
      <c r="UUF914" s="1091"/>
      <c r="UUG914" s="1091"/>
      <c r="UUH914" s="1091"/>
      <c r="UUI914" s="1091"/>
      <c r="UUJ914" s="1091"/>
      <c r="UUK914" s="1091"/>
      <c r="UUL914" s="1091"/>
      <c r="UUM914" s="1091"/>
      <c r="UUN914" s="1091"/>
      <c r="UUO914" s="1091"/>
      <c r="UUP914" s="1091"/>
      <c r="UUQ914" s="1091"/>
      <c r="UUR914" s="1091"/>
      <c r="UUS914" s="1091"/>
      <c r="UUT914" s="1091"/>
      <c r="UUU914" s="1091"/>
      <c r="UUV914" s="1091"/>
      <c r="UUW914" s="1091"/>
      <c r="UUX914" s="1091"/>
      <c r="UUY914" s="1091"/>
      <c r="UUZ914" s="1091"/>
      <c r="UVA914" s="1091"/>
      <c r="UVB914" s="1091"/>
      <c r="UVC914" s="1091"/>
      <c r="UVD914" s="1091"/>
      <c r="UVE914" s="1091"/>
      <c r="UVF914" s="1091"/>
      <c r="UVG914" s="1091"/>
      <c r="UVH914" s="1091"/>
      <c r="UVI914" s="1091"/>
      <c r="UVJ914" s="1091"/>
      <c r="UVK914" s="1091"/>
      <c r="UVL914" s="1091"/>
      <c r="UVM914" s="1091"/>
      <c r="UVN914" s="1091"/>
      <c r="UVO914" s="1091"/>
      <c r="UVP914" s="1091"/>
      <c r="UVQ914" s="1091"/>
      <c r="UVR914" s="1091"/>
      <c r="UVS914" s="1091"/>
      <c r="UVT914" s="1091"/>
      <c r="UVU914" s="1091"/>
      <c r="UVV914" s="1091"/>
      <c r="UVW914" s="1091"/>
      <c r="UVX914" s="1091"/>
      <c r="UVY914" s="1091"/>
      <c r="UVZ914" s="1091"/>
      <c r="UWA914" s="1091"/>
      <c r="UWB914" s="1091"/>
      <c r="UWC914" s="1091"/>
      <c r="UWD914" s="1091"/>
      <c r="UWE914" s="1091"/>
      <c r="UWF914" s="1091"/>
      <c r="UWG914" s="1091"/>
      <c r="UWH914" s="1091"/>
      <c r="UWI914" s="1091"/>
      <c r="UWJ914" s="1091"/>
      <c r="UWK914" s="1091"/>
      <c r="UWL914" s="1091"/>
      <c r="UWM914" s="1091"/>
      <c r="UWN914" s="1091"/>
      <c r="UWO914" s="1091"/>
      <c r="UWP914" s="1091"/>
      <c r="UWQ914" s="1091"/>
      <c r="UWR914" s="1091"/>
      <c r="UWS914" s="1091"/>
      <c r="UWT914" s="1091"/>
      <c r="UWU914" s="1091"/>
      <c r="UWV914" s="1091"/>
      <c r="UWW914" s="1091"/>
      <c r="UWX914" s="1091"/>
      <c r="UWY914" s="1091"/>
      <c r="UWZ914" s="1091"/>
      <c r="UXA914" s="1091"/>
      <c r="UXB914" s="1091"/>
      <c r="UXC914" s="1091"/>
      <c r="UXD914" s="1091"/>
      <c r="UXE914" s="1091"/>
      <c r="UXF914" s="1091"/>
      <c r="UXG914" s="1091"/>
      <c r="UXH914" s="1091"/>
      <c r="UXI914" s="1091"/>
      <c r="UXJ914" s="1091"/>
      <c r="UXK914" s="1091"/>
      <c r="UXL914" s="1091"/>
      <c r="UXM914" s="1091"/>
      <c r="UXN914" s="1091"/>
      <c r="UXO914" s="1091"/>
      <c r="UXP914" s="1091"/>
      <c r="UXQ914" s="1091"/>
      <c r="UXR914" s="1091"/>
      <c r="UXS914" s="1091"/>
      <c r="UXT914" s="1091"/>
      <c r="UXU914" s="1091"/>
      <c r="UXV914" s="1091"/>
      <c r="UXW914" s="1091"/>
      <c r="UXX914" s="1091"/>
      <c r="UXY914" s="1091"/>
      <c r="UXZ914" s="1091"/>
      <c r="UYA914" s="1091"/>
      <c r="UYB914" s="1091"/>
      <c r="UYC914" s="1091"/>
      <c r="UYD914" s="1091"/>
      <c r="UYE914" s="1091"/>
      <c r="UYF914" s="1091"/>
      <c r="UYG914" s="1091"/>
      <c r="UYH914" s="1091"/>
      <c r="UYI914" s="1091"/>
      <c r="UYJ914" s="1091"/>
      <c r="UYK914" s="1091"/>
      <c r="UYL914" s="1091"/>
      <c r="UYM914" s="1091"/>
      <c r="UYN914" s="1091"/>
      <c r="UYO914" s="1091"/>
      <c r="UYP914" s="1091"/>
      <c r="UYQ914" s="1091"/>
      <c r="UYR914" s="1091"/>
      <c r="UYS914" s="1091"/>
      <c r="UYT914" s="1091"/>
      <c r="UYU914" s="1091"/>
      <c r="UYV914" s="1091"/>
      <c r="UYW914" s="1091"/>
      <c r="UYX914" s="1091"/>
      <c r="UYY914" s="1091"/>
      <c r="UYZ914" s="1091"/>
      <c r="UZA914" s="1091"/>
      <c r="UZB914" s="1091"/>
      <c r="UZC914" s="1091"/>
      <c r="UZD914" s="1091"/>
      <c r="UZE914" s="1091"/>
      <c r="UZF914" s="1091"/>
      <c r="UZG914" s="1091"/>
      <c r="UZH914" s="1091"/>
      <c r="UZI914" s="1091"/>
      <c r="UZJ914" s="1091"/>
      <c r="UZK914" s="1091"/>
      <c r="UZL914" s="1091"/>
      <c r="UZM914" s="1091"/>
      <c r="UZN914" s="1091"/>
      <c r="UZO914" s="1091"/>
      <c r="UZP914" s="1091"/>
      <c r="UZQ914" s="1091"/>
      <c r="UZR914" s="1091"/>
      <c r="UZS914" s="1091"/>
      <c r="UZT914" s="1091"/>
      <c r="UZU914" s="1091"/>
      <c r="UZV914" s="1091"/>
      <c r="UZW914" s="1091"/>
      <c r="UZX914" s="1091"/>
      <c r="UZY914" s="1091"/>
      <c r="UZZ914" s="1091"/>
      <c r="VAA914" s="1091"/>
      <c r="VAB914" s="1091"/>
      <c r="VAC914" s="1091"/>
      <c r="VAD914" s="1091"/>
      <c r="VAE914" s="1091"/>
      <c r="VAF914" s="1091"/>
      <c r="VAG914" s="1091"/>
      <c r="VAH914" s="1091"/>
      <c r="VAI914" s="1091"/>
      <c r="VAJ914" s="1091"/>
      <c r="VAK914" s="1091"/>
      <c r="VAL914" s="1091"/>
      <c r="VAM914" s="1091"/>
      <c r="VAN914" s="1091"/>
      <c r="VAO914" s="1091"/>
      <c r="VAP914" s="1091"/>
      <c r="VAQ914" s="1091"/>
      <c r="VAR914" s="1091"/>
      <c r="VAS914" s="1091"/>
      <c r="VAT914" s="1091"/>
      <c r="VAU914" s="1091"/>
      <c r="VAV914" s="1091"/>
      <c r="VAW914" s="1091"/>
      <c r="VAX914" s="1091"/>
      <c r="VAY914" s="1091"/>
      <c r="VAZ914" s="1091"/>
      <c r="VBA914" s="1091"/>
      <c r="VBB914" s="1091"/>
      <c r="VBC914" s="1091"/>
      <c r="VBD914" s="1091"/>
      <c r="VBE914" s="1091"/>
      <c r="VBF914" s="1091"/>
      <c r="VBG914" s="1091"/>
      <c r="VBH914" s="1091"/>
      <c r="VBI914" s="1091"/>
      <c r="VBJ914" s="1091"/>
      <c r="VBK914" s="1091"/>
      <c r="VBL914" s="1091"/>
      <c r="VBM914" s="1091"/>
      <c r="VBN914" s="1091"/>
      <c r="VBO914" s="1091"/>
      <c r="VBP914" s="1091"/>
      <c r="VBQ914" s="1091"/>
      <c r="VBR914" s="1091"/>
      <c r="VBS914" s="1091"/>
      <c r="VBT914" s="1091"/>
      <c r="VBU914" s="1091"/>
      <c r="VBV914" s="1091"/>
      <c r="VBW914" s="1091"/>
      <c r="VBX914" s="1091"/>
      <c r="VBY914" s="1091"/>
      <c r="VBZ914" s="1091"/>
      <c r="VCA914" s="1091"/>
      <c r="VCB914" s="1091"/>
      <c r="VCC914" s="1091"/>
      <c r="VCD914" s="1091"/>
      <c r="VCE914" s="1091"/>
      <c r="VCF914" s="1091"/>
      <c r="VCG914" s="1091"/>
      <c r="VCH914" s="1091"/>
      <c r="VCI914" s="1091"/>
      <c r="VCJ914" s="1091"/>
      <c r="VCK914" s="1091"/>
      <c r="VCL914" s="1091"/>
      <c r="VCM914" s="1091"/>
      <c r="VCN914" s="1091"/>
      <c r="VCO914" s="1091"/>
      <c r="VCP914" s="1091"/>
      <c r="VCQ914" s="1091"/>
      <c r="VCR914" s="1091"/>
      <c r="VCS914" s="1091"/>
      <c r="VCT914" s="1091"/>
      <c r="VCU914" s="1091"/>
      <c r="VCV914" s="1091"/>
      <c r="VCW914" s="1091"/>
      <c r="VCX914" s="1091"/>
      <c r="VCY914" s="1091"/>
      <c r="VCZ914" s="1091"/>
      <c r="VDA914" s="1091"/>
      <c r="VDB914" s="1091"/>
      <c r="VDC914" s="1091"/>
      <c r="VDD914" s="1091"/>
      <c r="VDE914" s="1091"/>
      <c r="VDF914" s="1091"/>
      <c r="VDG914" s="1091"/>
      <c r="VDH914" s="1091"/>
      <c r="VDI914" s="1091"/>
      <c r="VDJ914" s="1091"/>
      <c r="VDK914" s="1091"/>
      <c r="VDL914" s="1091"/>
      <c r="VDM914" s="1091"/>
      <c r="VDN914" s="1091"/>
      <c r="VDO914" s="1091"/>
      <c r="VDP914" s="1091"/>
      <c r="VDQ914" s="1091"/>
      <c r="VDR914" s="1091"/>
      <c r="VDS914" s="1091"/>
      <c r="VDT914" s="1091"/>
      <c r="VDU914" s="1091"/>
      <c r="VDV914" s="1091"/>
      <c r="VDW914" s="1091"/>
      <c r="VDX914" s="1091"/>
      <c r="VDY914" s="1091"/>
      <c r="VDZ914" s="1091"/>
      <c r="VEA914" s="1091"/>
      <c r="VEB914" s="1091"/>
      <c r="VEC914" s="1091"/>
      <c r="VED914" s="1091"/>
      <c r="VEE914" s="1091"/>
      <c r="VEF914" s="1091"/>
      <c r="VEG914" s="1091"/>
      <c r="VEH914" s="1091"/>
      <c r="VEI914" s="1091"/>
      <c r="VEJ914" s="1091"/>
      <c r="VEK914" s="1091"/>
      <c r="VEL914" s="1091"/>
      <c r="VEM914" s="1091"/>
      <c r="VEN914" s="1091"/>
      <c r="VEO914" s="1091"/>
      <c r="VEP914" s="1091"/>
      <c r="VEQ914" s="1091"/>
      <c r="VER914" s="1091"/>
      <c r="VES914" s="1091"/>
      <c r="VET914" s="1091"/>
      <c r="VEU914" s="1091"/>
      <c r="VEV914" s="1091"/>
      <c r="VEW914" s="1091"/>
      <c r="VEX914" s="1091"/>
      <c r="VEY914" s="1091"/>
      <c r="VEZ914" s="1091"/>
      <c r="VFA914" s="1091"/>
      <c r="VFB914" s="1091"/>
      <c r="VFC914" s="1091"/>
      <c r="VFD914" s="1091"/>
      <c r="VFE914" s="1091"/>
      <c r="VFF914" s="1091"/>
      <c r="VFG914" s="1091"/>
      <c r="VFH914" s="1091"/>
      <c r="VFI914" s="1091"/>
      <c r="VFJ914" s="1091"/>
      <c r="VFK914" s="1091"/>
      <c r="VFL914" s="1091"/>
      <c r="VFM914" s="1091"/>
      <c r="VFN914" s="1091"/>
      <c r="VFO914" s="1091"/>
      <c r="VFP914" s="1091"/>
      <c r="VFQ914" s="1091"/>
      <c r="VFR914" s="1091"/>
      <c r="VFS914" s="1091"/>
      <c r="VFT914" s="1091"/>
      <c r="VFU914" s="1091"/>
      <c r="VFV914" s="1091"/>
      <c r="VFW914" s="1091"/>
      <c r="VFX914" s="1091"/>
      <c r="VFY914" s="1091"/>
      <c r="VFZ914" s="1091"/>
      <c r="VGA914" s="1091"/>
      <c r="VGB914" s="1091"/>
      <c r="VGC914" s="1091"/>
      <c r="VGD914" s="1091"/>
      <c r="VGE914" s="1091"/>
      <c r="VGF914" s="1091"/>
      <c r="VGG914" s="1091"/>
      <c r="VGH914" s="1091"/>
      <c r="VGI914" s="1091"/>
      <c r="VGJ914" s="1091"/>
      <c r="VGK914" s="1091"/>
      <c r="VGL914" s="1091"/>
      <c r="VGM914" s="1091"/>
      <c r="VGN914" s="1091"/>
      <c r="VGO914" s="1091"/>
      <c r="VGP914" s="1091"/>
      <c r="VGQ914" s="1091"/>
      <c r="VGR914" s="1091"/>
      <c r="VGS914" s="1091"/>
      <c r="VGT914" s="1091"/>
      <c r="VGU914" s="1091"/>
      <c r="VGV914" s="1091"/>
      <c r="VGW914" s="1091"/>
      <c r="VGX914" s="1091"/>
      <c r="VGY914" s="1091"/>
      <c r="VGZ914" s="1091"/>
      <c r="VHA914" s="1091"/>
      <c r="VHB914" s="1091"/>
      <c r="VHC914" s="1091"/>
      <c r="VHD914" s="1091"/>
      <c r="VHE914" s="1091"/>
      <c r="VHF914" s="1091"/>
      <c r="VHG914" s="1091"/>
      <c r="VHH914" s="1091"/>
      <c r="VHI914" s="1091"/>
      <c r="VHJ914" s="1091"/>
      <c r="VHK914" s="1091"/>
      <c r="VHL914" s="1091"/>
      <c r="VHM914" s="1091"/>
      <c r="VHN914" s="1091"/>
      <c r="VHO914" s="1091"/>
      <c r="VHP914" s="1091"/>
      <c r="VHQ914" s="1091"/>
      <c r="VHR914" s="1091"/>
      <c r="VHS914" s="1091"/>
      <c r="VHT914" s="1091"/>
      <c r="VHU914" s="1091"/>
      <c r="VHV914" s="1091"/>
      <c r="VHW914" s="1091"/>
      <c r="VHX914" s="1091"/>
      <c r="VHY914" s="1091"/>
      <c r="VHZ914" s="1091"/>
      <c r="VIA914" s="1091"/>
      <c r="VIB914" s="1091"/>
      <c r="VIC914" s="1091"/>
      <c r="VID914" s="1091"/>
      <c r="VIE914" s="1091"/>
      <c r="VIF914" s="1091"/>
      <c r="VIG914" s="1091"/>
      <c r="VIH914" s="1091"/>
      <c r="VII914" s="1091"/>
      <c r="VIJ914" s="1091"/>
      <c r="VIK914" s="1091"/>
      <c r="VIL914" s="1091"/>
      <c r="VIM914" s="1091"/>
      <c r="VIN914" s="1091"/>
      <c r="VIO914" s="1091"/>
      <c r="VIP914" s="1091"/>
      <c r="VIQ914" s="1091"/>
      <c r="VIR914" s="1091"/>
      <c r="VIS914" s="1091"/>
      <c r="VIT914" s="1091"/>
      <c r="VIU914" s="1091"/>
      <c r="VIV914" s="1091"/>
      <c r="VIW914" s="1091"/>
      <c r="VIX914" s="1091"/>
      <c r="VIY914" s="1091"/>
      <c r="VIZ914" s="1091"/>
      <c r="VJA914" s="1091"/>
      <c r="VJB914" s="1091"/>
      <c r="VJC914" s="1091"/>
      <c r="VJD914" s="1091"/>
      <c r="VJE914" s="1091"/>
      <c r="VJF914" s="1091"/>
      <c r="VJG914" s="1091"/>
      <c r="VJH914" s="1091"/>
      <c r="VJI914" s="1091"/>
      <c r="VJJ914" s="1091"/>
      <c r="VJK914" s="1091"/>
      <c r="VJL914" s="1091"/>
      <c r="VJM914" s="1091"/>
      <c r="VJN914" s="1091"/>
      <c r="VJO914" s="1091"/>
      <c r="VJP914" s="1091"/>
      <c r="VJQ914" s="1091"/>
      <c r="VJR914" s="1091"/>
      <c r="VJS914" s="1091"/>
      <c r="VJT914" s="1091"/>
      <c r="VJU914" s="1091"/>
      <c r="VJV914" s="1091"/>
      <c r="VJW914" s="1091"/>
      <c r="VJX914" s="1091"/>
      <c r="VJY914" s="1091"/>
      <c r="VJZ914" s="1091"/>
      <c r="VKA914" s="1091"/>
      <c r="VKB914" s="1091"/>
      <c r="VKC914" s="1091"/>
      <c r="VKD914" s="1091"/>
      <c r="VKE914" s="1091"/>
      <c r="VKF914" s="1091"/>
      <c r="VKG914" s="1091"/>
      <c r="VKH914" s="1091"/>
      <c r="VKI914" s="1091"/>
      <c r="VKJ914" s="1091"/>
      <c r="VKK914" s="1091"/>
      <c r="VKL914" s="1091"/>
      <c r="VKM914" s="1091"/>
      <c r="VKN914" s="1091"/>
      <c r="VKO914" s="1091"/>
      <c r="VKP914" s="1091"/>
      <c r="VKQ914" s="1091"/>
      <c r="VKR914" s="1091"/>
      <c r="VKS914" s="1091"/>
      <c r="VKT914" s="1091"/>
      <c r="VKU914" s="1091"/>
      <c r="VKV914" s="1091"/>
      <c r="VKW914" s="1091"/>
      <c r="VKX914" s="1091"/>
      <c r="VKY914" s="1091"/>
      <c r="VKZ914" s="1091"/>
      <c r="VLA914" s="1091"/>
      <c r="VLB914" s="1091"/>
      <c r="VLC914" s="1091"/>
      <c r="VLD914" s="1091"/>
      <c r="VLE914" s="1091"/>
      <c r="VLF914" s="1091"/>
      <c r="VLG914" s="1091"/>
      <c r="VLH914" s="1091"/>
      <c r="VLI914" s="1091"/>
      <c r="VLJ914" s="1091"/>
      <c r="VLK914" s="1091"/>
      <c r="VLL914" s="1091"/>
      <c r="VLM914" s="1091"/>
      <c r="VLN914" s="1091"/>
      <c r="VLO914" s="1091"/>
      <c r="VLP914" s="1091"/>
      <c r="VLQ914" s="1091"/>
      <c r="VLR914" s="1091"/>
      <c r="VLS914" s="1091"/>
      <c r="VLT914" s="1091"/>
      <c r="VLU914" s="1091"/>
      <c r="VLV914" s="1091"/>
      <c r="VLW914" s="1091"/>
      <c r="VLX914" s="1091"/>
      <c r="VLY914" s="1091"/>
      <c r="VLZ914" s="1091"/>
      <c r="VMA914" s="1091"/>
      <c r="VMB914" s="1091"/>
      <c r="VMC914" s="1091"/>
      <c r="VMD914" s="1091"/>
      <c r="VME914" s="1091"/>
      <c r="VMF914" s="1091"/>
      <c r="VMG914" s="1091"/>
      <c r="VMH914" s="1091"/>
      <c r="VMI914" s="1091"/>
      <c r="VMJ914" s="1091"/>
      <c r="VMK914" s="1091"/>
      <c r="VML914" s="1091"/>
      <c r="VMM914" s="1091"/>
      <c r="VMN914" s="1091"/>
      <c r="VMO914" s="1091"/>
      <c r="VMP914" s="1091"/>
      <c r="VMQ914" s="1091"/>
      <c r="VMR914" s="1091"/>
      <c r="VMS914" s="1091"/>
      <c r="VMT914" s="1091"/>
      <c r="VMU914" s="1091"/>
      <c r="VMV914" s="1091"/>
      <c r="VMW914" s="1091"/>
      <c r="VMX914" s="1091"/>
      <c r="VMY914" s="1091"/>
      <c r="VMZ914" s="1091"/>
      <c r="VNA914" s="1091"/>
      <c r="VNB914" s="1091"/>
      <c r="VNC914" s="1091"/>
      <c r="VND914" s="1091"/>
      <c r="VNE914" s="1091"/>
      <c r="VNF914" s="1091"/>
      <c r="VNG914" s="1091"/>
      <c r="VNH914" s="1091"/>
      <c r="VNI914" s="1091"/>
      <c r="VNJ914" s="1091"/>
      <c r="VNK914" s="1091"/>
      <c r="VNL914" s="1091"/>
      <c r="VNM914" s="1091"/>
      <c r="VNN914" s="1091"/>
      <c r="VNO914" s="1091"/>
      <c r="VNP914" s="1091"/>
      <c r="VNQ914" s="1091"/>
      <c r="VNR914" s="1091"/>
      <c r="VNS914" s="1091"/>
      <c r="VNT914" s="1091"/>
      <c r="VNU914" s="1091"/>
      <c r="VNV914" s="1091"/>
      <c r="VNW914" s="1091"/>
      <c r="VNX914" s="1091"/>
      <c r="VNY914" s="1091"/>
      <c r="VNZ914" s="1091"/>
      <c r="VOA914" s="1091"/>
      <c r="VOB914" s="1091"/>
      <c r="VOC914" s="1091"/>
      <c r="VOD914" s="1091"/>
      <c r="VOE914" s="1091"/>
      <c r="VOF914" s="1091"/>
      <c r="VOG914" s="1091"/>
      <c r="VOH914" s="1091"/>
      <c r="VOI914" s="1091"/>
      <c r="VOJ914" s="1091"/>
      <c r="VOK914" s="1091"/>
      <c r="VOL914" s="1091"/>
      <c r="VOM914" s="1091"/>
      <c r="VON914" s="1091"/>
      <c r="VOO914" s="1091"/>
      <c r="VOP914" s="1091"/>
      <c r="VOQ914" s="1091"/>
      <c r="VOR914" s="1091"/>
      <c r="VOS914" s="1091"/>
      <c r="VOT914" s="1091"/>
      <c r="VOU914" s="1091"/>
      <c r="VOV914" s="1091"/>
      <c r="VOW914" s="1091"/>
      <c r="VOX914" s="1091"/>
      <c r="VOY914" s="1091"/>
      <c r="VOZ914" s="1091"/>
      <c r="VPA914" s="1091"/>
      <c r="VPB914" s="1091"/>
      <c r="VPC914" s="1091"/>
      <c r="VPD914" s="1091"/>
      <c r="VPE914" s="1091"/>
      <c r="VPF914" s="1091"/>
      <c r="VPG914" s="1091"/>
      <c r="VPH914" s="1091"/>
      <c r="VPI914" s="1091"/>
      <c r="VPJ914" s="1091"/>
      <c r="VPK914" s="1091"/>
      <c r="VPL914" s="1091"/>
      <c r="VPM914" s="1091"/>
      <c r="VPN914" s="1091"/>
      <c r="VPO914" s="1091"/>
      <c r="VPP914" s="1091"/>
      <c r="VPQ914" s="1091"/>
      <c r="VPR914" s="1091"/>
      <c r="VPS914" s="1091"/>
      <c r="VPT914" s="1091"/>
      <c r="VPU914" s="1091"/>
      <c r="VPV914" s="1091"/>
      <c r="VPW914" s="1091"/>
      <c r="VPX914" s="1091"/>
      <c r="VPY914" s="1091"/>
      <c r="VPZ914" s="1091"/>
      <c r="VQA914" s="1091"/>
      <c r="VQB914" s="1091"/>
      <c r="VQC914" s="1091"/>
      <c r="VQD914" s="1091"/>
      <c r="VQE914" s="1091"/>
      <c r="VQF914" s="1091"/>
      <c r="VQG914" s="1091"/>
      <c r="VQH914" s="1091"/>
      <c r="VQI914" s="1091"/>
      <c r="VQJ914" s="1091"/>
      <c r="VQK914" s="1091"/>
      <c r="VQL914" s="1091"/>
      <c r="VQM914" s="1091"/>
      <c r="VQN914" s="1091"/>
      <c r="VQO914" s="1091"/>
      <c r="VQP914" s="1091"/>
      <c r="VQQ914" s="1091"/>
      <c r="VQR914" s="1091"/>
      <c r="VQS914" s="1091"/>
      <c r="VQT914" s="1091"/>
      <c r="VQU914" s="1091"/>
      <c r="VQV914" s="1091"/>
      <c r="VQW914" s="1091"/>
      <c r="VQX914" s="1091"/>
      <c r="VQY914" s="1091"/>
      <c r="VQZ914" s="1091"/>
      <c r="VRA914" s="1091"/>
      <c r="VRB914" s="1091"/>
      <c r="VRC914" s="1091"/>
      <c r="VRD914" s="1091"/>
      <c r="VRE914" s="1091"/>
      <c r="VRF914" s="1091"/>
      <c r="VRG914" s="1091"/>
      <c r="VRH914" s="1091"/>
      <c r="VRI914" s="1091"/>
      <c r="VRJ914" s="1091"/>
      <c r="VRK914" s="1091"/>
      <c r="VRL914" s="1091"/>
      <c r="VRM914" s="1091"/>
      <c r="VRN914" s="1091"/>
      <c r="VRO914" s="1091"/>
      <c r="VRP914" s="1091"/>
      <c r="VRQ914" s="1091"/>
      <c r="VRR914" s="1091"/>
      <c r="VRS914" s="1091"/>
      <c r="VRT914" s="1091"/>
      <c r="VRU914" s="1091"/>
      <c r="VRV914" s="1091"/>
      <c r="VRW914" s="1091"/>
      <c r="VRX914" s="1091"/>
      <c r="VRY914" s="1091"/>
      <c r="VRZ914" s="1091"/>
      <c r="VSA914" s="1091"/>
      <c r="VSB914" s="1091"/>
      <c r="VSC914" s="1091"/>
      <c r="VSD914" s="1091"/>
      <c r="VSE914" s="1091"/>
      <c r="VSF914" s="1091"/>
      <c r="VSG914" s="1091"/>
      <c r="VSH914" s="1091"/>
      <c r="VSI914" s="1091"/>
      <c r="VSJ914" s="1091"/>
      <c r="VSK914" s="1091"/>
      <c r="VSL914" s="1091"/>
      <c r="VSM914" s="1091"/>
      <c r="VSN914" s="1091"/>
      <c r="VSO914" s="1091"/>
      <c r="VSP914" s="1091"/>
      <c r="VSQ914" s="1091"/>
      <c r="VSR914" s="1091"/>
      <c r="VSS914" s="1091"/>
      <c r="VST914" s="1091"/>
      <c r="VSU914" s="1091"/>
      <c r="VSV914" s="1091"/>
      <c r="VSW914" s="1091"/>
      <c r="VSX914" s="1091"/>
      <c r="VSY914" s="1091"/>
      <c r="VSZ914" s="1091"/>
      <c r="VTA914" s="1091"/>
      <c r="VTB914" s="1091"/>
      <c r="VTC914" s="1091"/>
      <c r="VTD914" s="1091"/>
      <c r="VTE914" s="1091"/>
      <c r="VTF914" s="1091"/>
      <c r="VTG914" s="1091"/>
      <c r="VTH914" s="1091"/>
      <c r="VTI914" s="1091"/>
      <c r="VTJ914" s="1091"/>
      <c r="VTK914" s="1091"/>
      <c r="VTL914" s="1091"/>
      <c r="VTM914" s="1091"/>
      <c r="VTN914" s="1091"/>
      <c r="VTO914" s="1091"/>
      <c r="VTP914" s="1091"/>
      <c r="VTQ914" s="1091"/>
      <c r="VTR914" s="1091"/>
      <c r="VTS914" s="1091"/>
      <c r="VTT914" s="1091"/>
      <c r="VTU914" s="1091"/>
      <c r="VTV914" s="1091"/>
      <c r="VTW914" s="1091"/>
      <c r="VTX914" s="1091"/>
      <c r="VTY914" s="1091"/>
      <c r="VTZ914" s="1091"/>
      <c r="VUA914" s="1091"/>
      <c r="VUB914" s="1091"/>
      <c r="VUC914" s="1091"/>
      <c r="VUD914" s="1091"/>
      <c r="VUE914" s="1091"/>
      <c r="VUF914" s="1091"/>
      <c r="VUG914" s="1091"/>
      <c r="VUH914" s="1091"/>
      <c r="VUI914" s="1091"/>
      <c r="VUJ914" s="1091"/>
      <c r="VUK914" s="1091"/>
      <c r="VUL914" s="1091"/>
      <c r="VUM914" s="1091"/>
      <c r="VUN914" s="1091"/>
      <c r="VUO914" s="1091"/>
      <c r="VUP914" s="1091"/>
      <c r="VUQ914" s="1091"/>
      <c r="VUR914" s="1091"/>
      <c r="VUS914" s="1091"/>
      <c r="VUT914" s="1091"/>
      <c r="VUU914" s="1091"/>
      <c r="VUV914" s="1091"/>
      <c r="VUW914" s="1091"/>
      <c r="VUX914" s="1091"/>
      <c r="VUY914" s="1091"/>
      <c r="VUZ914" s="1091"/>
      <c r="VVA914" s="1091"/>
      <c r="VVB914" s="1091"/>
      <c r="VVC914" s="1091"/>
      <c r="VVD914" s="1091"/>
      <c r="VVE914" s="1091"/>
      <c r="VVF914" s="1091"/>
      <c r="VVG914" s="1091"/>
      <c r="VVH914" s="1091"/>
      <c r="VVI914" s="1091"/>
      <c r="VVJ914" s="1091"/>
      <c r="VVK914" s="1091"/>
      <c r="VVL914" s="1091"/>
      <c r="VVM914" s="1091"/>
      <c r="VVN914" s="1091"/>
      <c r="VVO914" s="1091"/>
      <c r="VVP914" s="1091"/>
      <c r="VVQ914" s="1091"/>
      <c r="VVR914" s="1091"/>
      <c r="VVS914" s="1091"/>
      <c r="VVT914" s="1091"/>
      <c r="VVU914" s="1091"/>
      <c r="VVV914" s="1091"/>
      <c r="VVW914" s="1091"/>
      <c r="VVX914" s="1091"/>
      <c r="VVY914" s="1091"/>
      <c r="VVZ914" s="1091"/>
      <c r="VWA914" s="1091"/>
      <c r="VWB914" s="1091"/>
      <c r="VWC914" s="1091"/>
      <c r="VWD914" s="1091"/>
      <c r="VWE914" s="1091"/>
      <c r="VWF914" s="1091"/>
      <c r="VWG914" s="1091"/>
      <c r="VWH914" s="1091"/>
      <c r="VWI914" s="1091"/>
      <c r="VWJ914" s="1091"/>
      <c r="VWK914" s="1091"/>
      <c r="VWL914" s="1091"/>
      <c r="VWM914" s="1091"/>
      <c r="VWN914" s="1091"/>
      <c r="VWO914" s="1091"/>
      <c r="VWP914" s="1091"/>
      <c r="VWQ914" s="1091"/>
      <c r="VWR914" s="1091"/>
      <c r="VWS914" s="1091"/>
      <c r="VWT914" s="1091"/>
      <c r="VWU914" s="1091"/>
      <c r="VWV914" s="1091"/>
      <c r="VWW914" s="1091"/>
      <c r="VWX914" s="1091"/>
      <c r="VWY914" s="1091"/>
      <c r="VWZ914" s="1091"/>
      <c r="VXA914" s="1091"/>
      <c r="VXB914" s="1091"/>
      <c r="VXC914" s="1091"/>
      <c r="VXD914" s="1091"/>
      <c r="VXE914" s="1091"/>
      <c r="VXF914" s="1091"/>
      <c r="VXG914" s="1091"/>
      <c r="VXH914" s="1091"/>
      <c r="VXI914" s="1091"/>
      <c r="VXJ914" s="1091"/>
      <c r="VXK914" s="1091"/>
      <c r="VXL914" s="1091"/>
      <c r="VXM914" s="1091"/>
      <c r="VXN914" s="1091"/>
      <c r="VXO914" s="1091"/>
      <c r="VXP914" s="1091"/>
      <c r="VXQ914" s="1091"/>
      <c r="VXR914" s="1091"/>
      <c r="VXS914" s="1091"/>
      <c r="VXT914" s="1091"/>
      <c r="VXU914" s="1091"/>
      <c r="VXV914" s="1091"/>
      <c r="VXW914" s="1091"/>
      <c r="VXX914" s="1091"/>
      <c r="VXY914" s="1091"/>
      <c r="VXZ914" s="1091"/>
      <c r="VYA914" s="1091"/>
      <c r="VYB914" s="1091"/>
      <c r="VYC914" s="1091"/>
      <c r="VYD914" s="1091"/>
      <c r="VYE914" s="1091"/>
      <c r="VYF914" s="1091"/>
      <c r="VYG914" s="1091"/>
      <c r="VYH914" s="1091"/>
      <c r="VYI914" s="1091"/>
      <c r="VYJ914" s="1091"/>
      <c r="VYK914" s="1091"/>
      <c r="VYL914" s="1091"/>
      <c r="VYM914" s="1091"/>
      <c r="VYN914" s="1091"/>
      <c r="VYO914" s="1091"/>
      <c r="VYP914" s="1091"/>
      <c r="VYQ914" s="1091"/>
      <c r="VYR914" s="1091"/>
      <c r="VYS914" s="1091"/>
      <c r="VYT914" s="1091"/>
      <c r="VYU914" s="1091"/>
      <c r="VYV914" s="1091"/>
      <c r="VYW914" s="1091"/>
      <c r="VYX914" s="1091"/>
      <c r="VYY914" s="1091"/>
      <c r="VYZ914" s="1091"/>
      <c r="VZA914" s="1091"/>
      <c r="VZB914" s="1091"/>
      <c r="VZC914" s="1091"/>
      <c r="VZD914" s="1091"/>
      <c r="VZE914" s="1091"/>
      <c r="VZF914" s="1091"/>
      <c r="VZG914" s="1091"/>
      <c r="VZH914" s="1091"/>
      <c r="VZI914" s="1091"/>
      <c r="VZJ914" s="1091"/>
      <c r="VZK914" s="1091"/>
      <c r="VZL914" s="1091"/>
      <c r="VZM914" s="1091"/>
      <c r="VZN914" s="1091"/>
      <c r="VZO914" s="1091"/>
      <c r="VZP914" s="1091"/>
      <c r="VZQ914" s="1091"/>
      <c r="VZR914" s="1091"/>
      <c r="VZS914" s="1091"/>
      <c r="VZT914" s="1091"/>
      <c r="VZU914" s="1091"/>
      <c r="VZV914" s="1091"/>
      <c r="VZW914" s="1091"/>
      <c r="VZX914" s="1091"/>
      <c r="VZY914" s="1091"/>
      <c r="VZZ914" s="1091"/>
      <c r="WAA914" s="1091"/>
      <c r="WAB914" s="1091"/>
      <c r="WAC914" s="1091"/>
      <c r="WAD914" s="1091"/>
      <c r="WAE914" s="1091"/>
      <c r="WAF914" s="1091"/>
      <c r="WAG914" s="1091"/>
      <c r="WAH914" s="1091"/>
      <c r="WAI914" s="1091"/>
      <c r="WAJ914" s="1091"/>
      <c r="WAK914" s="1091"/>
      <c r="WAL914" s="1091"/>
      <c r="WAM914" s="1091"/>
      <c r="WAN914" s="1091"/>
      <c r="WAO914" s="1091"/>
      <c r="WAP914" s="1091"/>
      <c r="WAQ914" s="1091"/>
      <c r="WAR914" s="1091"/>
      <c r="WAS914" s="1091"/>
      <c r="WAT914" s="1091"/>
      <c r="WAU914" s="1091"/>
      <c r="WAV914" s="1091"/>
      <c r="WAW914" s="1091"/>
      <c r="WAX914" s="1091"/>
      <c r="WAY914" s="1091"/>
      <c r="WAZ914" s="1091"/>
      <c r="WBA914" s="1091"/>
      <c r="WBB914" s="1091"/>
      <c r="WBC914" s="1091"/>
      <c r="WBD914" s="1091"/>
      <c r="WBE914" s="1091"/>
      <c r="WBF914" s="1091"/>
      <c r="WBG914" s="1091"/>
      <c r="WBH914" s="1091"/>
      <c r="WBI914" s="1091"/>
      <c r="WBJ914" s="1091"/>
      <c r="WBK914" s="1091"/>
      <c r="WBL914" s="1091"/>
      <c r="WBM914" s="1091"/>
      <c r="WBN914" s="1091"/>
      <c r="WBO914" s="1091"/>
      <c r="WBP914" s="1091"/>
      <c r="WBQ914" s="1091"/>
      <c r="WBR914" s="1091"/>
      <c r="WBS914" s="1091"/>
      <c r="WBT914" s="1091"/>
      <c r="WBU914" s="1091"/>
      <c r="WBV914" s="1091"/>
      <c r="WBW914" s="1091"/>
      <c r="WBX914" s="1091"/>
      <c r="WBY914" s="1091"/>
      <c r="WBZ914" s="1091"/>
      <c r="WCA914" s="1091"/>
      <c r="WCB914" s="1091"/>
      <c r="WCC914" s="1091"/>
      <c r="WCD914" s="1091"/>
      <c r="WCE914" s="1091"/>
      <c r="WCF914" s="1091"/>
      <c r="WCG914" s="1091"/>
      <c r="WCH914" s="1091"/>
      <c r="WCI914" s="1091"/>
      <c r="WCJ914" s="1091"/>
      <c r="WCK914" s="1091"/>
      <c r="WCL914" s="1091"/>
      <c r="WCM914" s="1091"/>
      <c r="WCN914" s="1091"/>
      <c r="WCO914" s="1091"/>
      <c r="WCP914" s="1091"/>
      <c r="WCQ914" s="1091"/>
      <c r="WCR914" s="1091"/>
      <c r="WCS914" s="1091"/>
      <c r="WCT914" s="1091"/>
      <c r="WCU914" s="1091"/>
      <c r="WCV914" s="1091"/>
      <c r="WCW914" s="1091"/>
      <c r="WCX914" s="1091"/>
      <c r="WCY914" s="1091"/>
      <c r="WCZ914" s="1091"/>
      <c r="WDA914" s="1091"/>
      <c r="WDB914" s="1091"/>
      <c r="WDC914" s="1091"/>
      <c r="WDD914" s="1091"/>
      <c r="WDE914" s="1091"/>
      <c r="WDF914" s="1091"/>
      <c r="WDG914" s="1091"/>
      <c r="WDH914" s="1091"/>
      <c r="WDI914" s="1091"/>
      <c r="WDJ914" s="1091"/>
      <c r="WDK914" s="1091"/>
      <c r="WDL914" s="1091"/>
      <c r="WDM914" s="1091"/>
      <c r="WDN914" s="1091"/>
      <c r="WDO914" s="1091"/>
      <c r="WDP914" s="1091"/>
      <c r="WDQ914" s="1091"/>
      <c r="WDR914" s="1091"/>
      <c r="WDS914" s="1091"/>
      <c r="WDT914" s="1091"/>
      <c r="WDU914" s="1091"/>
      <c r="WDV914" s="1091"/>
      <c r="WDW914" s="1091"/>
      <c r="WDX914" s="1091"/>
      <c r="WDY914" s="1091"/>
      <c r="WDZ914" s="1091"/>
      <c r="WEA914" s="1091"/>
      <c r="WEB914" s="1091"/>
      <c r="WEC914" s="1091"/>
      <c r="WED914" s="1091"/>
      <c r="WEE914" s="1091"/>
      <c r="WEF914" s="1091"/>
      <c r="WEG914" s="1091"/>
      <c r="WEH914" s="1091"/>
      <c r="WEI914" s="1091"/>
      <c r="WEJ914" s="1091"/>
      <c r="WEK914" s="1091"/>
      <c r="WEL914" s="1091"/>
      <c r="WEM914" s="1091"/>
      <c r="WEN914" s="1091"/>
      <c r="WEO914" s="1091"/>
      <c r="WEP914" s="1091"/>
      <c r="WEQ914" s="1091"/>
      <c r="WER914" s="1091"/>
      <c r="WES914" s="1091"/>
      <c r="WET914" s="1091"/>
      <c r="WEU914" s="1091"/>
      <c r="WEV914" s="1091"/>
      <c r="WEW914" s="1091"/>
      <c r="WEX914" s="1091"/>
      <c r="WEY914" s="1091"/>
      <c r="WEZ914" s="1091"/>
      <c r="WFA914" s="1091"/>
      <c r="WFB914" s="1091"/>
      <c r="WFC914" s="1091"/>
      <c r="WFD914" s="1091"/>
      <c r="WFE914" s="1091"/>
      <c r="WFF914" s="1091"/>
      <c r="WFG914" s="1091"/>
      <c r="WFH914" s="1091"/>
      <c r="WFI914" s="1091"/>
      <c r="WFJ914" s="1091"/>
      <c r="WFK914" s="1091"/>
      <c r="WFL914" s="1091"/>
      <c r="WFM914" s="1091"/>
      <c r="WFN914" s="1091"/>
      <c r="WFO914" s="1091"/>
      <c r="WFP914" s="1091"/>
      <c r="WFQ914" s="1091"/>
      <c r="WFR914" s="1091"/>
      <c r="WFS914" s="1091"/>
      <c r="WFT914" s="1091"/>
      <c r="WFU914" s="1091"/>
      <c r="WFV914" s="1091"/>
      <c r="WFW914" s="1091"/>
      <c r="WFX914" s="1091"/>
      <c r="WFY914" s="1091"/>
      <c r="WFZ914" s="1091"/>
      <c r="WGA914" s="1091"/>
      <c r="WGB914" s="1091"/>
      <c r="WGC914" s="1091"/>
      <c r="WGD914" s="1091"/>
      <c r="WGE914" s="1091"/>
      <c r="WGF914" s="1091"/>
      <c r="WGG914" s="1091"/>
      <c r="WGH914" s="1091"/>
      <c r="WGI914" s="1091"/>
      <c r="WGJ914" s="1091"/>
      <c r="WGK914" s="1091"/>
      <c r="WGL914" s="1091"/>
      <c r="WGM914" s="1091"/>
      <c r="WGN914" s="1091"/>
      <c r="WGO914" s="1091"/>
      <c r="WGP914" s="1091"/>
      <c r="WGQ914" s="1091"/>
      <c r="WGR914" s="1091"/>
      <c r="WGS914" s="1091"/>
      <c r="WGT914" s="1091"/>
      <c r="WGU914" s="1091"/>
      <c r="WGV914" s="1091"/>
      <c r="WGW914" s="1091"/>
      <c r="WGX914" s="1091"/>
      <c r="WGY914" s="1091"/>
      <c r="WGZ914" s="1091"/>
      <c r="WHA914" s="1091"/>
      <c r="WHB914" s="1091"/>
      <c r="WHC914" s="1091"/>
      <c r="WHD914" s="1091"/>
      <c r="WHE914" s="1091"/>
      <c r="WHF914" s="1091"/>
      <c r="WHG914" s="1091"/>
      <c r="WHH914" s="1091"/>
      <c r="WHI914" s="1091"/>
      <c r="WHJ914" s="1091"/>
      <c r="WHK914" s="1091"/>
      <c r="WHL914" s="1091"/>
      <c r="WHM914" s="1091"/>
      <c r="WHN914" s="1091"/>
      <c r="WHO914" s="1091"/>
      <c r="WHP914" s="1091"/>
      <c r="WHQ914" s="1091"/>
      <c r="WHR914" s="1091"/>
      <c r="WHS914" s="1091"/>
      <c r="WHT914" s="1091"/>
      <c r="WHU914" s="1091"/>
      <c r="WHV914" s="1091"/>
      <c r="WHW914" s="1091"/>
      <c r="WHX914" s="1091"/>
      <c r="WHY914" s="1091"/>
      <c r="WHZ914" s="1091"/>
      <c r="WIA914" s="1091"/>
      <c r="WIB914" s="1091"/>
      <c r="WIC914" s="1091"/>
      <c r="WID914" s="1091"/>
      <c r="WIE914" s="1091"/>
      <c r="WIF914" s="1091"/>
      <c r="WIG914" s="1091"/>
      <c r="WIH914" s="1091"/>
      <c r="WII914" s="1091"/>
      <c r="WIJ914" s="1091"/>
      <c r="WIK914" s="1091"/>
      <c r="WIL914" s="1091"/>
      <c r="WIM914" s="1091"/>
      <c r="WIN914" s="1091"/>
      <c r="WIO914" s="1091"/>
      <c r="WIP914" s="1091"/>
      <c r="WIQ914" s="1091"/>
      <c r="WIR914" s="1091"/>
      <c r="WIS914" s="1091"/>
      <c r="WIT914" s="1091"/>
      <c r="WIU914" s="1091"/>
      <c r="WIV914" s="1091"/>
      <c r="WIW914" s="1091"/>
      <c r="WIX914" s="1091"/>
      <c r="WIY914" s="1091"/>
      <c r="WIZ914" s="1091"/>
      <c r="WJA914" s="1091"/>
      <c r="WJB914" s="1091"/>
      <c r="WJC914" s="1091"/>
      <c r="WJD914" s="1091"/>
      <c r="WJE914" s="1091"/>
      <c r="WJF914" s="1091"/>
      <c r="WJG914" s="1091"/>
      <c r="WJH914" s="1091"/>
      <c r="WJI914" s="1091"/>
      <c r="WJJ914" s="1091"/>
      <c r="WJK914" s="1091"/>
      <c r="WJL914" s="1091"/>
      <c r="WJM914" s="1091"/>
      <c r="WJN914" s="1091"/>
      <c r="WJO914" s="1091"/>
      <c r="WJP914" s="1091"/>
      <c r="WJQ914" s="1091"/>
      <c r="WJR914" s="1091"/>
      <c r="WJS914" s="1091"/>
      <c r="WJT914" s="1091"/>
      <c r="WJU914" s="1091"/>
      <c r="WJV914" s="1091"/>
      <c r="WJW914" s="1091"/>
      <c r="WJX914" s="1091"/>
      <c r="WJY914" s="1091"/>
      <c r="WJZ914" s="1091"/>
      <c r="WKA914" s="1091"/>
      <c r="WKB914" s="1091"/>
      <c r="WKC914" s="1091"/>
      <c r="WKD914" s="1091"/>
      <c r="WKE914" s="1091"/>
      <c r="WKF914" s="1091"/>
      <c r="WKG914" s="1091"/>
      <c r="WKH914" s="1091"/>
      <c r="WKI914" s="1091"/>
      <c r="WKJ914" s="1091"/>
      <c r="WKK914" s="1091"/>
      <c r="WKL914" s="1091"/>
      <c r="WKM914" s="1091"/>
      <c r="WKN914" s="1091"/>
      <c r="WKO914" s="1091"/>
      <c r="WKP914" s="1091"/>
      <c r="WKQ914" s="1091"/>
      <c r="WKR914" s="1091"/>
      <c r="WKS914" s="1091"/>
      <c r="WKT914" s="1091"/>
      <c r="WKU914" s="1091"/>
      <c r="WKV914" s="1091"/>
      <c r="WKW914" s="1091"/>
      <c r="WKX914" s="1091"/>
      <c r="WKY914" s="1091"/>
      <c r="WKZ914" s="1091"/>
      <c r="WLA914" s="1091"/>
      <c r="WLB914" s="1091"/>
      <c r="WLC914" s="1091"/>
      <c r="WLD914" s="1091"/>
      <c r="WLE914" s="1091"/>
      <c r="WLF914" s="1091"/>
      <c r="WLG914" s="1091"/>
      <c r="WLH914" s="1091"/>
      <c r="WLI914" s="1091"/>
      <c r="WLJ914" s="1091"/>
      <c r="WLK914" s="1091"/>
      <c r="WLL914" s="1091"/>
      <c r="WLM914" s="1091"/>
      <c r="WLN914" s="1091"/>
      <c r="WLO914" s="1091"/>
      <c r="WLP914" s="1091"/>
      <c r="WLQ914" s="1091"/>
      <c r="WLR914" s="1091"/>
      <c r="WLS914" s="1091"/>
      <c r="WLT914" s="1091"/>
      <c r="WLU914" s="1091"/>
      <c r="WLV914" s="1091"/>
      <c r="WLW914" s="1091"/>
      <c r="WLX914" s="1091"/>
      <c r="WLY914" s="1091"/>
      <c r="WLZ914" s="1091"/>
      <c r="WMA914" s="1091"/>
      <c r="WMB914" s="1091"/>
      <c r="WMC914" s="1091"/>
      <c r="WMD914" s="1091"/>
      <c r="WME914" s="1091"/>
      <c r="WMF914" s="1091"/>
      <c r="WMG914" s="1091"/>
      <c r="WMH914" s="1091"/>
      <c r="WMI914" s="1091"/>
      <c r="WMJ914" s="1091"/>
      <c r="WMK914" s="1091"/>
      <c r="WML914" s="1091"/>
      <c r="WMM914" s="1091"/>
      <c r="WMN914" s="1091"/>
      <c r="WMO914" s="1091"/>
      <c r="WMP914" s="1091"/>
      <c r="WMQ914" s="1091"/>
      <c r="WMR914" s="1091"/>
      <c r="WMS914" s="1091"/>
      <c r="WMT914" s="1091"/>
      <c r="WMU914" s="1091"/>
      <c r="WMV914" s="1091"/>
      <c r="WMW914" s="1091"/>
      <c r="WMX914" s="1091"/>
      <c r="WMY914" s="1091"/>
      <c r="WMZ914" s="1091"/>
      <c r="WNA914" s="1091"/>
      <c r="WNB914" s="1091"/>
      <c r="WNC914" s="1091"/>
      <c r="WND914" s="1091"/>
      <c r="WNE914" s="1091"/>
      <c r="WNF914" s="1091"/>
      <c r="WNG914" s="1091"/>
      <c r="WNH914" s="1091"/>
      <c r="WNI914" s="1091"/>
      <c r="WNJ914" s="1091"/>
      <c r="WNK914" s="1091"/>
      <c r="WNL914" s="1091"/>
      <c r="WNM914" s="1091"/>
      <c r="WNN914" s="1091"/>
      <c r="WNO914" s="1091"/>
      <c r="WNP914" s="1091"/>
      <c r="WNQ914" s="1091"/>
      <c r="WNR914" s="1091"/>
      <c r="WNS914" s="1091"/>
      <c r="WNT914" s="1091"/>
      <c r="WNU914" s="1091"/>
      <c r="WNV914" s="1091"/>
      <c r="WNW914" s="1091"/>
      <c r="WNX914" s="1091"/>
      <c r="WNY914" s="1091"/>
      <c r="WNZ914" s="1091"/>
      <c r="WOA914" s="1091"/>
      <c r="WOB914" s="1091"/>
      <c r="WOC914" s="1091"/>
      <c r="WOD914" s="1091"/>
      <c r="WOE914" s="1091"/>
      <c r="WOF914" s="1091"/>
      <c r="WOG914" s="1091"/>
      <c r="WOH914" s="1091"/>
      <c r="WOI914" s="1091"/>
      <c r="WOJ914" s="1091"/>
      <c r="WOK914" s="1091"/>
      <c r="WOL914" s="1091"/>
      <c r="WOM914" s="1091"/>
      <c r="WON914" s="1091"/>
      <c r="WOO914" s="1091"/>
      <c r="WOP914" s="1091"/>
      <c r="WOQ914" s="1091"/>
      <c r="WOR914" s="1091"/>
      <c r="WOS914" s="1091"/>
      <c r="WOT914" s="1091"/>
      <c r="WOU914" s="1091"/>
      <c r="WOV914" s="1091"/>
      <c r="WOW914" s="1091"/>
      <c r="WOX914" s="1091"/>
      <c r="WOY914" s="1091"/>
      <c r="WOZ914" s="1091"/>
      <c r="WPA914" s="1091"/>
      <c r="WPB914" s="1091"/>
      <c r="WPC914" s="1091"/>
      <c r="WPD914" s="1091"/>
      <c r="WPE914" s="1091"/>
      <c r="WPF914" s="1091"/>
      <c r="WPG914" s="1091"/>
      <c r="WPH914" s="1091"/>
      <c r="WPI914" s="1091"/>
      <c r="WPJ914" s="1091"/>
      <c r="WPK914" s="1091"/>
      <c r="WPL914" s="1091"/>
      <c r="WPM914" s="1091"/>
      <c r="WPN914" s="1091"/>
      <c r="WPO914" s="1091"/>
      <c r="WPP914" s="1091"/>
      <c r="WPQ914" s="1091"/>
      <c r="WPR914" s="1091"/>
      <c r="WPS914" s="1091"/>
      <c r="WPT914" s="1091"/>
      <c r="WPU914" s="1091"/>
      <c r="WPV914" s="1091"/>
      <c r="WPW914" s="1091"/>
      <c r="WPX914" s="1091"/>
      <c r="WPY914" s="1091"/>
      <c r="WPZ914" s="1091"/>
      <c r="WQA914" s="1091"/>
      <c r="WQB914" s="1091"/>
      <c r="WQC914" s="1091"/>
      <c r="WQD914" s="1091"/>
      <c r="WQE914" s="1091"/>
      <c r="WQF914" s="1091"/>
      <c r="WQG914" s="1091"/>
      <c r="WQH914" s="1091"/>
      <c r="WQI914" s="1091"/>
      <c r="WQJ914" s="1091"/>
      <c r="WQK914" s="1091"/>
      <c r="WQL914" s="1091"/>
      <c r="WQM914" s="1091"/>
      <c r="WQN914" s="1091"/>
      <c r="WQO914" s="1091"/>
      <c r="WQP914" s="1091"/>
      <c r="WQQ914" s="1091"/>
      <c r="WQR914" s="1091"/>
      <c r="WQS914" s="1091"/>
      <c r="WQT914" s="1091"/>
      <c r="WQU914" s="1091"/>
      <c r="WQV914" s="1091"/>
      <c r="WQW914" s="1091"/>
      <c r="WQX914" s="1091"/>
      <c r="WQY914" s="1091"/>
      <c r="WQZ914" s="1091"/>
      <c r="WRA914" s="1091"/>
      <c r="WRB914" s="1091"/>
      <c r="WRC914" s="1091"/>
      <c r="WRD914" s="1091"/>
      <c r="WRE914" s="1091"/>
      <c r="WRF914" s="1091"/>
      <c r="WRG914" s="1091"/>
      <c r="WRH914" s="1091"/>
      <c r="WRI914" s="1091"/>
      <c r="WRJ914" s="1091"/>
      <c r="WRK914" s="1091"/>
      <c r="WRL914" s="1091"/>
      <c r="WRM914" s="1091"/>
      <c r="WRN914" s="1091"/>
      <c r="WRO914" s="1091"/>
      <c r="WRP914" s="1091"/>
      <c r="WRQ914" s="1091"/>
      <c r="WRR914" s="1091"/>
      <c r="WRS914" s="1091"/>
      <c r="WRT914" s="1091"/>
      <c r="WRU914" s="1091"/>
      <c r="WRV914" s="1091"/>
      <c r="WRW914" s="1091"/>
      <c r="WRX914" s="1091"/>
      <c r="WRY914" s="1091"/>
      <c r="WRZ914" s="1091"/>
      <c r="WSA914" s="1091"/>
      <c r="WSB914" s="1091"/>
      <c r="WSC914" s="1091"/>
      <c r="WSD914" s="1091"/>
      <c r="WSE914" s="1091"/>
      <c r="WSF914" s="1091"/>
      <c r="WSG914" s="1091"/>
      <c r="WSH914" s="1091"/>
      <c r="WSI914" s="1091"/>
      <c r="WSJ914" s="1091"/>
      <c r="WSK914" s="1091"/>
      <c r="WSL914" s="1091"/>
      <c r="WSM914" s="1091"/>
      <c r="WSN914" s="1091"/>
      <c r="WSO914" s="1091"/>
      <c r="WSP914" s="1091"/>
      <c r="WSQ914" s="1091"/>
      <c r="WSR914" s="1091"/>
      <c r="WSS914" s="1091"/>
      <c r="WST914" s="1091"/>
      <c r="WSU914" s="1091"/>
      <c r="WSV914" s="1091"/>
      <c r="WSW914" s="1091"/>
      <c r="WSX914" s="1091"/>
      <c r="WSY914" s="1091"/>
      <c r="WSZ914" s="1091"/>
      <c r="WTA914" s="1091"/>
      <c r="WTB914" s="1091"/>
      <c r="WTC914" s="1091"/>
      <c r="WTD914" s="1091"/>
      <c r="WTE914" s="1091"/>
      <c r="WTF914" s="1091"/>
      <c r="WTG914" s="1091"/>
      <c r="WTH914" s="1091"/>
      <c r="WTI914" s="1091"/>
      <c r="WTJ914" s="1091"/>
      <c r="WTK914" s="1091"/>
      <c r="WTL914" s="1091"/>
      <c r="WTM914" s="1091"/>
      <c r="WTN914" s="1091"/>
      <c r="WTO914" s="1091"/>
      <c r="WTP914" s="1091"/>
      <c r="WTQ914" s="1091"/>
      <c r="WTR914" s="1091"/>
      <c r="WTS914" s="1091"/>
      <c r="WTT914" s="1091"/>
      <c r="WTU914" s="1091"/>
      <c r="WTV914" s="1091"/>
      <c r="WTW914" s="1091"/>
      <c r="WTX914" s="1091"/>
      <c r="WTY914" s="1091"/>
      <c r="WTZ914" s="1091"/>
      <c r="WUA914" s="1091"/>
      <c r="WUB914" s="1091"/>
      <c r="WUC914" s="1091"/>
      <c r="WUD914" s="1091"/>
      <c r="WUE914" s="1091"/>
      <c r="WUF914" s="1091"/>
      <c r="WUG914" s="1091"/>
      <c r="WUH914" s="1091"/>
      <c r="WUI914" s="1091"/>
      <c r="WUJ914" s="1091"/>
      <c r="WUK914" s="1091"/>
      <c r="WUL914" s="1091"/>
      <c r="WUM914" s="1091"/>
      <c r="WUN914" s="1091"/>
      <c r="WUO914" s="1091"/>
      <c r="WUP914" s="1091"/>
      <c r="WUQ914" s="1091"/>
      <c r="WUR914" s="1091"/>
      <c r="WUS914" s="1091"/>
      <c r="WUT914" s="1091"/>
      <c r="WUU914" s="1091"/>
      <c r="WUV914" s="1091"/>
      <c r="WUW914" s="1091"/>
      <c r="WUX914" s="1091"/>
      <c r="WUY914" s="1091"/>
      <c r="WUZ914" s="1091"/>
      <c r="WVA914" s="1091"/>
      <c r="WVB914" s="1091"/>
      <c r="WVC914" s="1091"/>
      <c r="WVD914" s="1091"/>
      <c r="WVE914" s="1091"/>
      <c r="WVF914" s="1091"/>
      <c r="WVG914" s="1091"/>
      <c r="WVH914" s="1091"/>
      <c r="WVI914" s="1091"/>
      <c r="WVJ914" s="1091"/>
      <c r="WVK914" s="1091"/>
      <c r="WVL914" s="1091"/>
      <c r="WVM914" s="1091"/>
      <c r="WVN914" s="1091"/>
      <c r="WVO914" s="1091"/>
      <c r="WVP914" s="1091"/>
      <c r="WVQ914" s="1091"/>
      <c r="WVR914" s="1091"/>
      <c r="WVS914" s="1091"/>
      <c r="WVT914" s="1091"/>
      <c r="WVU914" s="1091"/>
      <c r="WVV914" s="1091"/>
      <c r="WVW914" s="1091"/>
      <c r="WVX914" s="1091"/>
      <c r="WVY914" s="1091"/>
      <c r="WVZ914" s="1091"/>
      <c r="WWA914" s="1091"/>
      <c r="WWB914" s="1091"/>
      <c r="WWC914" s="1091"/>
      <c r="WWD914" s="1091"/>
      <c r="WWE914" s="1091"/>
      <c r="WWF914" s="1091"/>
      <c r="WWG914" s="1091"/>
      <c r="WWH914" s="1091"/>
      <c r="WWI914" s="1091"/>
      <c r="WWJ914" s="1091"/>
      <c r="WWK914" s="1091"/>
      <c r="WWL914" s="1091"/>
      <c r="WWM914" s="1091"/>
      <c r="WWN914" s="1091"/>
      <c r="WWO914" s="1091"/>
      <c r="WWP914" s="1091"/>
      <c r="WWQ914" s="1091"/>
      <c r="WWR914" s="1091"/>
      <c r="WWS914" s="1091"/>
      <c r="WWT914" s="1091"/>
      <c r="WWU914" s="1091"/>
      <c r="WWV914" s="1091"/>
      <c r="WWW914" s="1091"/>
      <c r="WWX914" s="1091"/>
      <c r="WWY914" s="1091"/>
      <c r="WWZ914" s="1091"/>
      <c r="WXA914" s="1091"/>
      <c r="WXB914" s="1091"/>
      <c r="WXC914" s="1091"/>
      <c r="WXD914" s="1091"/>
      <c r="WXE914" s="1091"/>
      <c r="WXF914" s="1091"/>
      <c r="WXG914" s="1091"/>
      <c r="WXH914" s="1091"/>
      <c r="WXI914" s="1091"/>
      <c r="WXJ914" s="1091"/>
      <c r="WXK914" s="1091"/>
      <c r="WXL914" s="1091"/>
      <c r="WXM914" s="1091"/>
      <c r="WXN914" s="1091"/>
      <c r="WXO914" s="1091"/>
      <c r="WXP914" s="1091"/>
      <c r="WXQ914" s="1091"/>
      <c r="WXR914" s="1091"/>
      <c r="WXS914" s="1091"/>
      <c r="WXT914" s="1091"/>
      <c r="WXU914" s="1091"/>
      <c r="WXV914" s="1091"/>
      <c r="WXW914" s="1091"/>
      <c r="WXX914" s="1091"/>
      <c r="WXY914" s="1091"/>
      <c r="WXZ914" s="1091"/>
      <c r="WYA914" s="1091"/>
      <c r="WYB914" s="1091"/>
      <c r="WYC914" s="1091"/>
      <c r="WYD914" s="1091"/>
      <c r="WYE914" s="1091"/>
      <c r="WYF914" s="1091"/>
      <c r="WYG914" s="1091"/>
      <c r="WYH914" s="1091"/>
      <c r="WYI914" s="1091"/>
      <c r="WYJ914" s="1091"/>
      <c r="WYK914" s="1091"/>
      <c r="WYL914" s="1091"/>
      <c r="WYM914" s="1091"/>
      <c r="WYN914" s="1091"/>
      <c r="WYO914" s="1091"/>
      <c r="WYP914" s="1091"/>
      <c r="WYQ914" s="1091"/>
      <c r="WYR914" s="1091"/>
      <c r="WYS914" s="1091"/>
      <c r="WYT914" s="1091"/>
      <c r="WYU914" s="1091"/>
      <c r="WYV914" s="1091"/>
      <c r="WYW914" s="1091"/>
      <c r="WYX914" s="1091"/>
      <c r="WYY914" s="1091"/>
      <c r="WYZ914" s="1091"/>
      <c r="WZA914" s="1091"/>
      <c r="WZB914" s="1091"/>
      <c r="WZC914" s="1091"/>
      <c r="WZD914" s="1091"/>
      <c r="WZE914" s="1091"/>
      <c r="WZF914" s="1091"/>
      <c r="WZG914" s="1091"/>
      <c r="WZH914" s="1091"/>
      <c r="WZI914" s="1091"/>
      <c r="WZJ914" s="1091"/>
      <c r="WZK914" s="1091"/>
      <c r="WZL914" s="1091"/>
      <c r="WZM914" s="1091"/>
      <c r="WZN914" s="1091"/>
      <c r="WZO914" s="1091"/>
      <c r="WZP914" s="1091"/>
      <c r="WZQ914" s="1091"/>
      <c r="WZR914" s="1091"/>
      <c r="WZS914" s="1091"/>
      <c r="WZT914" s="1091"/>
      <c r="WZU914" s="1091"/>
      <c r="WZV914" s="1091"/>
      <c r="WZW914" s="1091"/>
      <c r="WZX914" s="1091"/>
      <c r="WZY914" s="1091"/>
      <c r="WZZ914" s="1091"/>
      <c r="XAA914" s="1091"/>
      <c r="XAB914" s="1091"/>
      <c r="XAC914" s="1091"/>
      <c r="XAD914" s="1091"/>
      <c r="XAE914" s="1091"/>
      <c r="XAF914" s="1091"/>
      <c r="XAG914" s="1091"/>
      <c r="XAH914" s="1091"/>
      <c r="XAI914" s="1091"/>
      <c r="XAJ914" s="1091"/>
      <c r="XAK914" s="1091"/>
      <c r="XAL914" s="1091"/>
      <c r="XAM914" s="1091"/>
      <c r="XAN914" s="1091"/>
      <c r="XAO914" s="1091"/>
      <c r="XAP914" s="1091"/>
      <c r="XAQ914" s="1091"/>
      <c r="XAR914" s="1091"/>
      <c r="XAS914" s="1091"/>
      <c r="XAT914" s="1091"/>
      <c r="XAU914" s="1091"/>
      <c r="XAV914" s="1091"/>
      <c r="XAW914" s="1091"/>
      <c r="XAX914" s="1091"/>
      <c r="XAY914" s="1091"/>
      <c r="XAZ914" s="1091"/>
      <c r="XBA914" s="1091"/>
      <c r="XBB914" s="1091"/>
      <c r="XBC914" s="1091"/>
      <c r="XBD914" s="1091"/>
      <c r="XBE914" s="1091"/>
      <c r="XBF914" s="1091"/>
      <c r="XBG914" s="1091"/>
      <c r="XBH914" s="1091"/>
      <c r="XBI914" s="1091"/>
      <c r="XBJ914" s="1091"/>
      <c r="XBK914" s="1091"/>
      <c r="XBL914" s="1091"/>
      <c r="XBM914" s="1091"/>
      <c r="XBN914" s="1091"/>
      <c r="XBO914" s="1091"/>
      <c r="XBP914" s="1091"/>
      <c r="XBQ914" s="1091"/>
      <c r="XBR914" s="1091"/>
      <c r="XBS914" s="1091"/>
      <c r="XBT914" s="1091"/>
      <c r="XBU914" s="1091"/>
      <c r="XBV914" s="1091"/>
      <c r="XBW914" s="1091"/>
      <c r="XBX914" s="1091"/>
      <c r="XBY914" s="1091"/>
      <c r="XBZ914" s="1091"/>
      <c r="XCA914" s="1091"/>
      <c r="XCB914" s="1091"/>
      <c r="XCC914" s="1091"/>
      <c r="XCD914" s="1091"/>
      <c r="XCE914" s="1091"/>
      <c r="XCF914" s="1091"/>
      <c r="XCG914" s="1091"/>
      <c r="XCH914" s="1091"/>
      <c r="XCI914" s="1091"/>
      <c r="XCJ914" s="1091"/>
      <c r="XCK914" s="1091"/>
      <c r="XCL914" s="1091"/>
      <c r="XCM914" s="1091"/>
      <c r="XCN914" s="1091"/>
      <c r="XCO914" s="1091"/>
      <c r="XCP914" s="1091"/>
      <c r="XCQ914" s="1091"/>
      <c r="XCR914" s="1091"/>
      <c r="XCS914" s="1091"/>
      <c r="XCT914" s="1091"/>
      <c r="XCU914" s="1091"/>
      <c r="XCV914" s="1091"/>
      <c r="XCW914" s="1091"/>
      <c r="XCX914" s="1091"/>
      <c r="XCY914" s="1091"/>
      <c r="XCZ914" s="1091"/>
      <c r="XDA914" s="1091"/>
      <c r="XDB914" s="1091"/>
      <c r="XDC914" s="1091"/>
      <c r="XDD914" s="1091"/>
      <c r="XDE914" s="1091"/>
      <c r="XDF914" s="1091"/>
      <c r="XDG914" s="1091"/>
      <c r="XDH914" s="1091"/>
      <c r="XDI914" s="1091"/>
      <c r="XDJ914" s="1091"/>
      <c r="XDK914" s="1091"/>
      <c r="XDL914" s="1091"/>
      <c r="XDM914" s="1091"/>
      <c r="XDN914" s="1091"/>
      <c r="XDO914" s="1091"/>
      <c r="XDP914" s="1091"/>
      <c r="XDQ914" s="1091"/>
      <c r="XDR914" s="1091"/>
      <c r="XDS914" s="1091"/>
      <c r="XDT914" s="1091"/>
      <c r="XDU914" s="1091"/>
      <c r="XDV914" s="1091"/>
      <c r="XDW914" s="1091"/>
      <c r="XDX914" s="1091"/>
      <c r="XDY914" s="1091"/>
      <c r="XDZ914" s="1091"/>
      <c r="XEA914" s="1091"/>
      <c r="XEB914" s="1091"/>
      <c r="XEC914" s="1091"/>
      <c r="XED914" s="1091"/>
      <c r="XEE914" s="1091"/>
      <c r="XEF914" s="1091"/>
      <c r="XEG914" s="1091"/>
      <c r="XEH914" s="1091"/>
      <c r="XEI914" s="1091"/>
      <c r="XEJ914" s="1091"/>
      <c r="XEK914" s="1091"/>
      <c r="XEL914" s="1091"/>
      <c r="XEM914" s="1091"/>
      <c r="XEN914" s="1091"/>
      <c r="XEO914" s="1091"/>
      <c r="XEP914" s="1091"/>
      <c r="XEQ914" s="1091"/>
      <c r="XER914" s="1091"/>
      <c r="XES914" s="1091"/>
      <c r="XET914" s="1091"/>
      <c r="XEU914" s="1091"/>
      <c r="XEV914" s="1091"/>
      <c r="XEW914" s="1091"/>
      <c r="XEX914" s="1091"/>
      <c r="XEY914" s="1091"/>
      <c r="XEZ914" s="1091"/>
      <c r="XFA914" s="1091"/>
      <c r="XFB914" s="1091"/>
      <c r="XFC914" s="1091"/>
      <c r="XFD914" s="1091"/>
    </row>
    <row r="915" spans="1:16384" s="1071" customFormat="1" x14ac:dyDescent="0.25">
      <c r="A915" s="1071">
        <v>94512</v>
      </c>
      <c r="B915" s="1071" t="s">
        <v>2998</v>
      </c>
      <c r="C915" s="1095">
        <v>0</v>
      </c>
      <c r="E915" s="1091"/>
      <c r="F915" s="1091"/>
      <c r="G915" s="1091"/>
      <c r="H915" s="1091"/>
      <c r="I915" s="1091"/>
      <c r="J915" s="1091"/>
      <c r="K915" s="1091"/>
      <c r="L915" s="1091"/>
      <c r="M915" s="1091"/>
      <c r="N915" s="1091"/>
      <c r="O915" s="1091"/>
      <c r="P915" s="1091"/>
      <c r="Q915" s="1091"/>
      <c r="R915" s="1091"/>
      <c r="S915" s="1091"/>
      <c r="T915" s="1091"/>
      <c r="U915" s="1091"/>
      <c r="V915" s="1091"/>
      <c r="W915" s="1091"/>
      <c r="X915" s="1091"/>
      <c r="Y915" s="1091"/>
      <c r="Z915" s="1091"/>
      <c r="AA915" s="1091"/>
      <c r="AB915" s="1091"/>
      <c r="AC915" s="1091"/>
      <c r="AD915" s="1091"/>
      <c r="AE915" s="1091"/>
      <c r="AF915" s="1091"/>
      <c r="AG915" s="1091"/>
      <c r="AH915" s="1091"/>
      <c r="AI915" s="1091"/>
      <c r="AJ915" s="1091"/>
      <c r="AK915" s="1091"/>
      <c r="AL915" s="1091"/>
      <c r="AM915" s="1091"/>
      <c r="AN915" s="1091"/>
      <c r="AO915" s="1091"/>
      <c r="AP915" s="1091"/>
      <c r="AQ915" s="1091"/>
      <c r="AR915" s="1091"/>
      <c r="AS915" s="1091"/>
      <c r="AT915" s="1091"/>
      <c r="AU915" s="1091"/>
      <c r="AV915" s="1091"/>
      <c r="AW915" s="1091"/>
      <c r="AX915" s="1091"/>
      <c r="AY915" s="1091"/>
      <c r="AZ915" s="1091"/>
      <c r="BA915" s="1091"/>
      <c r="BB915" s="1091"/>
      <c r="BC915" s="1091"/>
      <c r="BD915" s="1091"/>
      <c r="BE915" s="1091"/>
      <c r="BF915" s="1091"/>
      <c r="BG915" s="1091"/>
      <c r="BH915" s="1091"/>
      <c r="BI915" s="1091"/>
      <c r="BJ915" s="1091"/>
      <c r="BK915" s="1091"/>
      <c r="BL915" s="1091"/>
      <c r="BM915" s="1091"/>
      <c r="BN915" s="1091"/>
      <c r="BO915" s="1091"/>
      <c r="BP915" s="1091"/>
      <c r="BQ915" s="1091"/>
      <c r="BR915" s="1091"/>
      <c r="BS915" s="1091"/>
      <c r="BT915" s="1091"/>
      <c r="BU915" s="1091"/>
      <c r="BV915" s="1091"/>
      <c r="BW915" s="1091"/>
      <c r="BX915" s="1091"/>
      <c r="BY915" s="1091"/>
      <c r="BZ915" s="1091"/>
      <c r="CA915" s="1091"/>
      <c r="CB915" s="1091"/>
      <c r="CC915" s="1091"/>
      <c r="CD915" s="1091"/>
      <c r="CE915" s="1091"/>
      <c r="CF915" s="1091"/>
      <c r="CG915" s="1091"/>
      <c r="CH915" s="1091"/>
      <c r="CI915" s="1091"/>
      <c r="CJ915" s="1091"/>
      <c r="CK915" s="1091"/>
      <c r="CL915" s="1091"/>
      <c r="CM915" s="1091"/>
      <c r="CN915" s="1091"/>
      <c r="CO915" s="1091"/>
      <c r="CP915" s="1091"/>
      <c r="CQ915" s="1091"/>
      <c r="CR915" s="1091"/>
      <c r="CS915" s="1091"/>
      <c r="CT915" s="1091"/>
      <c r="CU915" s="1091"/>
      <c r="CV915" s="1091"/>
      <c r="CW915" s="1091"/>
      <c r="CX915" s="1091"/>
      <c r="CY915" s="1091"/>
      <c r="CZ915" s="1091"/>
      <c r="DA915" s="1091"/>
      <c r="DB915" s="1091"/>
      <c r="DC915" s="1091"/>
      <c r="DD915" s="1091"/>
      <c r="DE915" s="1091"/>
      <c r="DF915" s="1091"/>
      <c r="DG915" s="1091"/>
      <c r="DH915" s="1091"/>
      <c r="DI915" s="1091"/>
      <c r="DJ915" s="1091"/>
      <c r="DK915" s="1091"/>
      <c r="DL915" s="1091"/>
      <c r="DM915" s="1091"/>
      <c r="DN915" s="1091"/>
      <c r="DO915" s="1091"/>
      <c r="DP915" s="1091"/>
      <c r="DQ915" s="1091"/>
      <c r="DR915" s="1091"/>
      <c r="DS915" s="1091"/>
      <c r="DT915" s="1091"/>
      <c r="DU915" s="1091"/>
      <c r="DV915" s="1091"/>
      <c r="DW915" s="1091"/>
      <c r="DX915" s="1091"/>
      <c r="DY915" s="1091"/>
      <c r="DZ915" s="1091"/>
      <c r="EA915" s="1091"/>
      <c r="EB915" s="1091"/>
      <c r="EC915" s="1091"/>
      <c r="ED915" s="1091"/>
      <c r="EE915" s="1091"/>
      <c r="EF915" s="1091"/>
      <c r="EG915" s="1091"/>
      <c r="EH915" s="1091"/>
      <c r="EI915" s="1091"/>
      <c r="EJ915" s="1091"/>
      <c r="EK915" s="1091"/>
      <c r="EL915" s="1091"/>
      <c r="EM915" s="1091"/>
      <c r="EN915" s="1091"/>
      <c r="EO915" s="1091"/>
      <c r="EP915" s="1091"/>
      <c r="EQ915" s="1091"/>
      <c r="ER915" s="1091"/>
      <c r="ES915" s="1091"/>
      <c r="ET915" s="1091"/>
      <c r="EU915" s="1091"/>
      <c r="EV915" s="1091"/>
      <c r="EW915" s="1091"/>
      <c r="EX915" s="1091"/>
      <c r="EY915" s="1091"/>
      <c r="EZ915" s="1091"/>
      <c r="FA915" s="1091"/>
      <c r="FB915" s="1091"/>
      <c r="FC915" s="1091"/>
      <c r="FD915" s="1091"/>
      <c r="FE915" s="1091"/>
      <c r="FF915" s="1091"/>
      <c r="FG915" s="1091"/>
      <c r="FH915" s="1091"/>
      <c r="FI915" s="1091"/>
      <c r="FJ915" s="1091"/>
      <c r="FK915" s="1091"/>
      <c r="FL915" s="1091"/>
      <c r="FM915" s="1091"/>
      <c r="FN915" s="1091"/>
      <c r="FO915" s="1091"/>
      <c r="FP915" s="1091"/>
      <c r="FQ915" s="1091"/>
      <c r="FR915" s="1091"/>
      <c r="FS915" s="1091"/>
      <c r="FT915" s="1091"/>
      <c r="FU915" s="1091"/>
      <c r="FV915" s="1091"/>
      <c r="FW915" s="1091"/>
      <c r="FX915" s="1091"/>
      <c r="FY915" s="1091"/>
      <c r="FZ915" s="1091"/>
      <c r="GA915" s="1091"/>
      <c r="GB915" s="1091"/>
      <c r="GC915" s="1091"/>
      <c r="GD915" s="1091"/>
      <c r="GE915" s="1091"/>
      <c r="GF915" s="1091"/>
      <c r="GG915" s="1091"/>
      <c r="GH915" s="1091"/>
      <c r="GI915" s="1091"/>
      <c r="GJ915" s="1091"/>
      <c r="GK915" s="1091"/>
      <c r="GL915" s="1091"/>
      <c r="GM915" s="1091"/>
      <c r="GN915" s="1091"/>
      <c r="GO915" s="1091"/>
      <c r="GP915" s="1091"/>
      <c r="GQ915" s="1091"/>
      <c r="GR915" s="1091"/>
      <c r="GS915" s="1091"/>
      <c r="GT915" s="1091"/>
      <c r="GU915" s="1091"/>
      <c r="GV915" s="1091"/>
      <c r="GW915" s="1091"/>
      <c r="GX915" s="1091"/>
      <c r="GY915" s="1091"/>
      <c r="GZ915" s="1091"/>
      <c r="HA915" s="1091"/>
      <c r="HB915" s="1091"/>
      <c r="HC915" s="1091"/>
      <c r="HD915" s="1091"/>
      <c r="HE915" s="1091"/>
      <c r="HF915" s="1091"/>
      <c r="HG915" s="1091"/>
      <c r="HH915" s="1091"/>
      <c r="HI915" s="1091"/>
      <c r="HJ915" s="1091"/>
      <c r="HK915" s="1091"/>
      <c r="HL915" s="1091"/>
      <c r="HM915" s="1091"/>
      <c r="HN915" s="1091"/>
      <c r="HO915" s="1091"/>
      <c r="HP915" s="1091"/>
      <c r="HQ915" s="1091"/>
      <c r="HR915" s="1091"/>
      <c r="HS915" s="1091"/>
      <c r="HT915" s="1091"/>
      <c r="HU915" s="1091"/>
      <c r="HV915" s="1091"/>
      <c r="HW915" s="1091"/>
      <c r="HX915" s="1091"/>
      <c r="HY915" s="1091"/>
      <c r="HZ915" s="1091"/>
      <c r="IA915" s="1091"/>
      <c r="IB915" s="1091"/>
      <c r="IC915" s="1091"/>
      <c r="ID915" s="1091"/>
      <c r="IE915" s="1091"/>
      <c r="IF915" s="1091"/>
      <c r="IG915" s="1091"/>
      <c r="IH915" s="1091"/>
      <c r="II915" s="1091"/>
      <c r="IJ915" s="1091"/>
      <c r="IK915" s="1091"/>
      <c r="IL915" s="1091"/>
      <c r="IM915" s="1091"/>
      <c r="IN915" s="1091"/>
      <c r="IO915" s="1091"/>
      <c r="IP915" s="1091"/>
      <c r="IQ915" s="1091"/>
      <c r="IR915" s="1091"/>
      <c r="IS915" s="1091"/>
      <c r="IT915" s="1091"/>
      <c r="IU915" s="1091"/>
      <c r="IV915" s="1091"/>
      <c r="IW915" s="1091"/>
      <c r="IX915" s="1091"/>
      <c r="IY915" s="1091"/>
      <c r="IZ915" s="1091"/>
      <c r="JA915" s="1091"/>
      <c r="JB915" s="1091"/>
      <c r="JC915" s="1091"/>
      <c r="JD915" s="1091"/>
      <c r="JE915" s="1091"/>
      <c r="JF915" s="1091"/>
      <c r="JG915" s="1091"/>
      <c r="JH915" s="1091"/>
      <c r="JI915" s="1091"/>
      <c r="JJ915" s="1091"/>
      <c r="JK915" s="1091"/>
      <c r="JL915" s="1091"/>
      <c r="JM915" s="1091"/>
      <c r="JN915" s="1091"/>
      <c r="JO915" s="1091"/>
      <c r="JP915" s="1091"/>
      <c r="JQ915" s="1091"/>
      <c r="JR915" s="1091"/>
      <c r="JS915" s="1091"/>
      <c r="JT915" s="1091"/>
      <c r="JU915" s="1091"/>
      <c r="JV915" s="1091"/>
      <c r="JW915" s="1091"/>
      <c r="JX915" s="1091"/>
      <c r="JY915" s="1091"/>
      <c r="JZ915" s="1091"/>
      <c r="KA915" s="1091"/>
      <c r="KB915" s="1091"/>
      <c r="KC915" s="1091"/>
      <c r="KD915" s="1091"/>
      <c r="KE915" s="1091"/>
      <c r="KF915" s="1091"/>
      <c r="KG915" s="1091"/>
      <c r="KH915" s="1091"/>
      <c r="KI915" s="1091"/>
      <c r="KJ915" s="1091"/>
      <c r="KK915" s="1091"/>
      <c r="KL915" s="1091"/>
      <c r="KM915" s="1091"/>
      <c r="KN915" s="1091"/>
      <c r="KO915" s="1091"/>
      <c r="KP915" s="1091"/>
      <c r="KQ915" s="1091"/>
      <c r="KR915" s="1091"/>
      <c r="KS915" s="1091"/>
      <c r="KT915" s="1091"/>
      <c r="KU915" s="1091"/>
      <c r="KV915" s="1091"/>
      <c r="KW915" s="1091"/>
      <c r="KX915" s="1091"/>
      <c r="KY915" s="1091"/>
      <c r="KZ915" s="1091"/>
      <c r="LA915" s="1091"/>
      <c r="LB915" s="1091"/>
      <c r="LC915" s="1091"/>
      <c r="LD915" s="1091"/>
      <c r="LE915" s="1091"/>
      <c r="LF915" s="1091"/>
      <c r="LG915" s="1091"/>
      <c r="LH915" s="1091"/>
      <c r="LI915" s="1091"/>
      <c r="LJ915" s="1091"/>
      <c r="LK915" s="1091"/>
      <c r="LL915" s="1091"/>
      <c r="LM915" s="1091"/>
      <c r="LN915" s="1091"/>
      <c r="LO915" s="1091"/>
      <c r="LP915" s="1091"/>
      <c r="LQ915" s="1091"/>
      <c r="LR915" s="1091"/>
      <c r="LS915" s="1091"/>
      <c r="LT915" s="1091"/>
      <c r="LU915" s="1091"/>
      <c r="LV915" s="1091"/>
      <c r="LW915" s="1091"/>
      <c r="LX915" s="1091"/>
      <c r="LY915" s="1091"/>
      <c r="LZ915" s="1091"/>
      <c r="MA915" s="1091"/>
      <c r="MB915" s="1091"/>
      <c r="MC915" s="1091"/>
      <c r="MD915" s="1091"/>
      <c r="ME915" s="1091"/>
      <c r="MF915" s="1091"/>
      <c r="MG915" s="1091"/>
      <c r="MH915" s="1091"/>
      <c r="MI915" s="1091"/>
      <c r="MJ915" s="1091"/>
      <c r="MK915" s="1091"/>
      <c r="ML915" s="1091"/>
      <c r="MM915" s="1091"/>
      <c r="MN915" s="1091"/>
      <c r="MO915" s="1091"/>
      <c r="MP915" s="1091"/>
      <c r="MQ915" s="1091"/>
      <c r="MR915" s="1091"/>
      <c r="MS915" s="1091"/>
      <c r="MT915" s="1091"/>
      <c r="MU915" s="1091"/>
      <c r="MV915" s="1091"/>
      <c r="MW915" s="1091"/>
      <c r="MX915" s="1091"/>
      <c r="MY915" s="1091"/>
      <c r="MZ915" s="1091"/>
      <c r="NA915" s="1091"/>
      <c r="NB915" s="1091"/>
      <c r="NC915" s="1091"/>
      <c r="ND915" s="1091"/>
      <c r="NE915" s="1091"/>
      <c r="NF915" s="1091"/>
      <c r="NG915" s="1091"/>
      <c r="NH915" s="1091"/>
      <c r="NI915" s="1091"/>
      <c r="NJ915" s="1091"/>
      <c r="NK915" s="1091"/>
      <c r="NL915" s="1091"/>
      <c r="NM915" s="1091"/>
      <c r="NN915" s="1091"/>
      <c r="NO915" s="1091"/>
      <c r="NP915" s="1091"/>
      <c r="NQ915" s="1091"/>
      <c r="NR915" s="1091"/>
      <c r="NS915" s="1091"/>
      <c r="NT915" s="1091"/>
      <c r="NU915" s="1091"/>
      <c r="NV915" s="1091"/>
      <c r="NW915" s="1091"/>
      <c r="NX915" s="1091"/>
      <c r="NY915" s="1091"/>
      <c r="NZ915" s="1091"/>
      <c r="OA915" s="1091"/>
      <c r="OB915" s="1091"/>
      <c r="OC915" s="1091"/>
      <c r="OD915" s="1091"/>
      <c r="OE915" s="1091"/>
      <c r="OF915" s="1091"/>
      <c r="OG915" s="1091"/>
      <c r="OH915" s="1091"/>
      <c r="OI915" s="1091"/>
      <c r="OJ915" s="1091"/>
      <c r="OK915" s="1091"/>
      <c r="OL915" s="1091"/>
      <c r="OM915" s="1091"/>
      <c r="ON915" s="1091"/>
      <c r="OO915" s="1091"/>
      <c r="OP915" s="1091"/>
      <c r="OQ915" s="1091"/>
      <c r="OR915" s="1091"/>
      <c r="OS915" s="1091"/>
      <c r="OT915" s="1091"/>
      <c r="OU915" s="1091"/>
      <c r="OV915" s="1091"/>
      <c r="OW915" s="1091"/>
      <c r="OX915" s="1091"/>
      <c r="OY915" s="1091"/>
      <c r="OZ915" s="1091"/>
      <c r="PA915" s="1091"/>
      <c r="PB915" s="1091"/>
      <c r="PC915" s="1091"/>
      <c r="PD915" s="1091"/>
      <c r="PE915" s="1091"/>
      <c r="PF915" s="1091"/>
      <c r="PG915" s="1091"/>
      <c r="PH915" s="1091"/>
      <c r="PI915" s="1091"/>
      <c r="PJ915" s="1091"/>
      <c r="PK915" s="1091"/>
      <c r="PL915" s="1091"/>
      <c r="PM915" s="1091"/>
      <c r="PN915" s="1091"/>
      <c r="PO915" s="1091"/>
      <c r="PP915" s="1091"/>
      <c r="PQ915" s="1091"/>
      <c r="PR915" s="1091"/>
      <c r="PS915" s="1091"/>
      <c r="PT915" s="1091"/>
      <c r="PU915" s="1091"/>
      <c r="PV915" s="1091"/>
      <c r="PW915" s="1091"/>
      <c r="PX915" s="1091"/>
      <c r="PY915" s="1091"/>
      <c r="PZ915" s="1091"/>
      <c r="QA915" s="1091"/>
      <c r="QB915" s="1091"/>
      <c r="QC915" s="1091"/>
      <c r="QD915" s="1091"/>
      <c r="QE915" s="1091"/>
      <c r="QF915" s="1091"/>
      <c r="QG915" s="1091"/>
      <c r="QH915" s="1091"/>
      <c r="QI915" s="1091"/>
      <c r="QJ915" s="1091"/>
      <c r="QK915" s="1091"/>
      <c r="QL915" s="1091"/>
      <c r="QM915" s="1091"/>
      <c r="QN915" s="1091"/>
      <c r="QO915" s="1091"/>
      <c r="QP915" s="1091"/>
      <c r="QQ915" s="1091"/>
      <c r="QR915" s="1091"/>
      <c r="QS915" s="1091"/>
      <c r="QT915" s="1091"/>
      <c r="QU915" s="1091"/>
      <c r="QV915" s="1091"/>
      <c r="QW915" s="1091"/>
      <c r="QX915" s="1091"/>
      <c r="QY915" s="1091"/>
      <c r="QZ915" s="1091"/>
      <c r="RA915" s="1091"/>
      <c r="RB915" s="1091"/>
      <c r="RC915" s="1091"/>
      <c r="RD915" s="1091"/>
      <c r="RE915" s="1091"/>
      <c r="RF915" s="1091"/>
      <c r="RG915" s="1091"/>
      <c r="RH915" s="1091"/>
      <c r="RI915" s="1091"/>
      <c r="RJ915" s="1091"/>
      <c r="RK915" s="1091"/>
      <c r="RL915" s="1091"/>
      <c r="RM915" s="1091"/>
      <c r="RN915" s="1091"/>
      <c r="RO915" s="1091"/>
      <c r="RP915" s="1091"/>
      <c r="RQ915" s="1091"/>
      <c r="RR915" s="1091"/>
      <c r="RS915" s="1091"/>
      <c r="RT915" s="1091"/>
      <c r="RU915" s="1091"/>
      <c r="RV915" s="1091"/>
      <c r="RW915" s="1091"/>
      <c r="RX915" s="1091"/>
      <c r="RY915" s="1091"/>
      <c r="RZ915" s="1091"/>
      <c r="SA915" s="1091"/>
      <c r="SB915" s="1091"/>
      <c r="SC915" s="1091"/>
      <c r="SD915" s="1091"/>
      <c r="SE915" s="1091"/>
      <c r="SF915" s="1091"/>
      <c r="SG915" s="1091"/>
      <c r="SH915" s="1091"/>
      <c r="SI915" s="1091"/>
      <c r="SJ915" s="1091"/>
      <c r="SK915" s="1091"/>
      <c r="SL915" s="1091"/>
      <c r="SM915" s="1091"/>
      <c r="SN915" s="1091"/>
      <c r="SO915" s="1091"/>
      <c r="SP915" s="1091"/>
      <c r="SQ915" s="1091"/>
      <c r="SR915" s="1091"/>
      <c r="SS915" s="1091"/>
      <c r="ST915" s="1091"/>
      <c r="SU915" s="1091"/>
      <c r="SV915" s="1091"/>
      <c r="SW915" s="1091"/>
      <c r="SX915" s="1091"/>
      <c r="SY915" s="1091"/>
      <c r="SZ915" s="1091"/>
      <c r="TA915" s="1091"/>
      <c r="TB915" s="1091"/>
      <c r="TC915" s="1091"/>
      <c r="TD915" s="1091"/>
      <c r="TE915" s="1091"/>
      <c r="TF915" s="1091"/>
      <c r="TG915" s="1091"/>
      <c r="TH915" s="1091"/>
      <c r="TI915" s="1091"/>
      <c r="TJ915" s="1091"/>
      <c r="TK915" s="1091"/>
      <c r="TL915" s="1091"/>
      <c r="TM915" s="1091"/>
      <c r="TN915" s="1091"/>
      <c r="TO915" s="1091"/>
      <c r="TP915" s="1091"/>
      <c r="TQ915" s="1091"/>
      <c r="TR915" s="1091"/>
      <c r="TS915" s="1091"/>
      <c r="TT915" s="1091"/>
      <c r="TU915" s="1091"/>
      <c r="TV915" s="1091"/>
      <c r="TW915" s="1091"/>
      <c r="TX915" s="1091"/>
      <c r="TY915" s="1091"/>
      <c r="TZ915" s="1091"/>
      <c r="UA915" s="1091"/>
      <c r="UB915" s="1091"/>
      <c r="UC915" s="1091"/>
      <c r="UD915" s="1091"/>
      <c r="UE915" s="1091"/>
      <c r="UF915" s="1091"/>
      <c r="UG915" s="1091"/>
      <c r="UH915" s="1091"/>
      <c r="UI915" s="1091"/>
      <c r="UJ915" s="1091"/>
      <c r="UK915" s="1091"/>
      <c r="UL915" s="1091"/>
      <c r="UM915" s="1091"/>
      <c r="UN915" s="1091"/>
      <c r="UO915" s="1091"/>
      <c r="UP915" s="1091"/>
      <c r="UQ915" s="1091"/>
      <c r="UR915" s="1091"/>
      <c r="US915" s="1091"/>
      <c r="UT915" s="1091"/>
      <c r="UU915" s="1091"/>
      <c r="UV915" s="1091"/>
      <c r="UW915" s="1091"/>
      <c r="UX915" s="1091"/>
      <c r="UY915" s="1091"/>
      <c r="UZ915" s="1091"/>
      <c r="VA915" s="1091"/>
      <c r="VB915" s="1091"/>
      <c r="VC915" s="1091"/>
      <c r="VD915" s="1091"/>
      <c r="VE915" s="1091"/>
      <c r="VF915" s="1091"/>
      <c r="VG915" s="1091"/>
      <c r="VH915" s="1091"/>
      <c r="VI915" s="1091"/>
      <c r="VJ915" s="1091"/>
      <c r="VK915" s="1091"/>
      <c r="VL915" s="1091"/>
      <c r="VM915" s="1091"/>
      <c r="VN915" s="1091"/>
      <c r="VO915" s="1091"/>
      <c r="VP915" s="1091"/>
      <c r="VQ915" s="1091"/>
      <c r="VR915" s="1091"/>
      <c r="VS915" s="1091"/>
      <c r="VT915" s="1091"/>
      <c r="VU915" s="1091"/>
      <c r="VV915" s="1091"/>
      <c r="VW915" s="1091"/>
      <c r="VX915" s="1091"/>
      <c r="VY915" s="1091"/>
      <c r="VZ915" s="1091"/>
      <c r="WA915" s="1091"/>
      <c r="WB915" s="1091"/>
      <c r="WC915" s="1091"/>
      <c r="WD915" s="1091"/>
      <c r="WE915" s="1091"/>
      <c r="WF915" s="1091"/>
      <c r="WG915" s="1091"/>
      <c r="WH915" s="1091"/>
      <c r="WI915" s="1091"/>
      <c r="WJ915" s="1091"/>
      <c r="WK915" s="1091"/>
      <c r="WL915" s="1091"/>
      <c r="WM915" s="1091"/>
      <c r="WN915" s="1091"/>
      <c r="WO915" s="1091"/>
      <c r="WP915" s="1091"/>
      <c r="WQ915" s="1091"/>
      <c r="WR915" s="1091"/>
      <c r="WS915" s="1091"/>
      <c r="WT915" s="1091"/>
      <c r="WU915" s="1091"/>
      <c r="WV915" s="1091"/>
      <c r="WW915" s="1091"/>
      <c r="WX915" s="1091"/>
      <c r="WY915" s="1091"/>
      <c r="WZ915" s="1091"/>
      <c r="XA915" s="1091"/>
      <c r="XB915" s="1091"/>
      <c r="XC915" s="1091"/>
      <c r="XD915" s="1091"/>
      <c r="XE915" s="1091"/>
      <c r="XF915" s="1091"/>
      <c r="XG915" s="1091"/>
      <c r="XH915" s="1091"/>
      <c r="XI915" s="1091"/>
      <c r="XJ915" s="1091"/>
      <c r="XK915" s="1091"/>
      <c r="XL915" s="1091"/>
      <c r="XM915" s="1091"/>
      <c r="XN915" s="1091"/>
      <c r="XO915" s="1091"/>
      <c r="XP915" s="1091"/>
      <c r="XQ915" s="1091"/>
      <c r="XR915" s="1091"/>
      <c r="XS915" s="1091"/>
      <c r="XT915" s="1091"/>
      <c r="XU915" s="1091"/>
      <c r="XV915" s="1091"/>
      <c r="XW915" s="1091"/>
      <c r="XX915" s="1091"/>
      <c r="XY915" s="1091"/>
      <c r="XZ915" s="1091"/>
      <c r="YA915" s="1091"/>
      <c r="YB915" s="1091"/>
      <c r="YC915" s="1091"/>
      <c r="YD915" s="1091"/>
      <c r="YE915" s="1091"/>
      <c r="YF915" s="1091"/>
      <c r="YG915" s="1091"/>
      <c r="YH915" s="1091"/>
      <c r="YI915" s="1091"/>
      <c r="YJ915" s="1091"/>
      <c r="YK915" s="1091"/>
      <c r="YL915" s="1091"/>
      <c r="YM915" s="1091"/>
      <c r="YN915" s="1091"/>
      <c r="YO915" s="1091"/>
      <c r="YP915" s="1091"/>
      <c r="YQ915" s="1091"/>
      <c r="YR915" s="1091"/>
      <c r="YS915" s="1091"/>
      <c r="YT915" s="1091"/>
      <c r="YU915" s="1091"/>
      <c r="YV915" s="1091"/>
      <c r="YW915" s="1091"/>
      <c r="YX915" s="1091"/>
      <c r="YY915" s="1091"/>
      <c r="YZ915" s="1091"/>
      <c r="ZA915" s="1091"/>
      <c r="ZB915" s="1091"/>
      <c r="ZC915" s="1091"/>
      <c r="ZD915" s="1091"/>
      <c r="ZE915" s="1091"/>
      <c r="ZF915" s="1091"/>
      <c r="ZG915" s="1091"/>
      <c r="ZH915" s="1091"/>
      <c r="ZI915" s="1091"/>
      <c r="ZJ915" s="1091"/>
      <c r="ZK915" s="1091"/>
      <c r="ZL915" s="1091"/>
      <c r="ZM915" s="1091"/>
      <c r="ZN915" s="1091"/>
      <c r="ZO915" s="1091"/>
      <c r="ZP915" s="1091"/>
      <c r="ZQ915" s="1091"/>
      <c r="ZR915" s="1091"/>
      <c r="ZS915" s="1091"/>
      <c r="ZT915" s="1091"/>
      <c r="ZU915" s="1091"/>
      <c r="ZV915" s="1091"/>
      <c r="ZW915" s="1091"/>
      <c r="ZX915" s="1091"/>
      <c r="ZY915" s="1091"/>
      <c r="ZZ915" s="1091"/>
      <c r="AAA915" s="1091"/>
      <c r="AAB915" s="1091"/>
      <c r="AAC915" s="1091"/>
      <c r="AAD915" s="1091"/>
      <c r="AAE915" s="1091"/>
      <c r="AAF915" s="1091"/>
      <c r="AAG915" s="1091"/>
      <c r="AAH915" s="1091"/>
      <c r="AAI915" s="1091"/>
      <c r="AAJ915" s="1091"/>
      <c r="AAK915" s="1091"/>
      <c r="AAL915" s="1091"/>
      <c r="AAM915" s="1091"/>
      <c r="AAN915" s="1091"/>
      <c r="AAO915" s="1091"/>
      <c r="AAP915" s="1091"/>
      <c r="AAQ915" s="1091"/>
      <c r="AAR915" s="1091"/>
      <c r="AAS915" s="1091"/>
      <c r="AAT915" s="1091"/>
      <c r="AAU915" s="1091"/>
      <c r="AAV915" s="1091"/>
      <c r="AAW915" s="1091"/>
      <c r="AAX915" s="1091"/>
      <c r="AAY915" s="1091"/>
      <c r="AAZ915" s="1091"/>
      <c r="ABA915" s="1091"/>
      <c r="ABB915" s="1091"/>
      <c r="ABC915" s="1091"/>
      <c r="ABD915" s="1091"/>
      <c r="ABE915" s="1091"/>
      <c r="ABF915" s="1091"/>
      <c r="ABG915" s="1091"/>
      <c r="ABH915" s="1091"/>
      <c r="ABI915" s="1091"/>
      <c r="ABJ915" s="1091"/>
      <c r="ABK915" s="1091"/>
      <c r="ABL915" s="1091"/>
      <c r="ABM915" s="1091"/>
      <c r="ABN915" s="1091"/>
      <c r="ABO915" s="1091"/>
      <c r="ABP915" s="1091"/>
      <c r="ABQ915" s="1091"/>
      <c r="ABR915" s="1091"/>
      <c r="ABS915" s="1091"/>
      <c r="ABT915" s="1091"/>
      <c r="ABU915" s="1091"/>
      <c r="ABV915" s="1091"/>
      <c r="ABW915" s="1091"/>
      <c r="ABX915" s="1091"/>
      <c r="ABY915" s="1091"/>
      <c r="ABZ915" s="1091"/>
      <c r="ACA915" s="1091"/>
      <c r="ACB915" s="1091"/>
      <c r="ACC915" s="1091"/>
      <c r="ACD915" s="1091"/>
      <c r="ACE915" s="1091"/>
      <c r="ACF915" s="1091"/>
      <c r="ACG915" s="1091"/>
      <c r="ACH915" s="1091"/>
      <c r="ACI915" s="1091"/>
      <c r="ACJ915" s="1091"/>
      <c r="ACK915" s="1091"/>
      <c r="ACL915" s="1091"/>
      <c r="ACM915" s="1091"/>
      <c r="ACN915" s="1091"/>
      <c r="ACO915" s="1091"/>
      <c r="ACP915" s="1091"/>
      <c r="ACQ915" s="1091"/>
      <c r="ACR915" s="1091"/>
      <c r="ACS915" s="1091"/>
      <c r="ACT915" s="1091"/>
      <c r="ACU915" s="1091"/>
      <c r="ACV915" s="1091"/>
      <c r="ACW915" s="1091"/>
      <c r="ACX915" s="1091"/>
      <c r="ACY915" s="1091"/>
      <c r="ACZ915" s="1091"/>
      <c r="ADA915" s="1091"/>
      <c r="ADB915" s="1091"/>
      <c r="ADC915" s="1091"/>
      <c r="ADD915" s="1091"/>
      <c r="ADE915" s="1091"/>
      <c r="ADF915" s="1091"/>
      <c r="ADG915" s="1091"/>
      <c r="ADH915" s="1091"/>
      <c r="ADI915" s="1091"/>
      <c r="ADJ915" s="1091"/>
      <c r="ADK915" s="1091"/>
      <c r="ADL915" s="1091"/>
      <c r="ADM915" s="1091"/>
      <c r="ADN915" s="1091"/>
      <c r="ADO915" s="1091"/>
      <c r="ADP915" s="1091"/>
      <c r="ADQ915" s="1091"/>
      <c r="ADR915" s="1091"/>
      <c r="ADS915" s="1091"/>
      <c r="ADT915" s="1091"/>
      <c r="ADU915" s="1091"/>
      <c r="ADV915" s="1091"/>
      <c r="ADW915" s="1091"/>
      <c r="ADX915" s="1091"/>
      <c r="ADY915" s="1091"/>
      <c r="ADZ915" s="1091"/>
      <c r="AEA915" s="1091"/>
      <c r="AEB915" s="1091"/>
      <c r="AEC915" s="1091"/>
      <c r="AED915" s="1091"/>
      <c r="AEE915" s="1091"/>
      <c r="AEF915" s="1091"/>
      <c r="AEG915" s="1091"/>
      <c r="AEH915" s="1091"/>
      <c r="AEI915" s="1091"/>
      <c r="AEJ915" s="1091"/>
      <c r="AEK915" s="1091"/>
      <c r="AEL915" s="1091"/>
      <c r="AEM915" s="1091"/>
      <c r="AEN915" s="1091"/>
      <c r="AEO915" s="1091"/>
      <c r="AEP915" s="1091"/>
      <c r="AEQ915" s="1091"/>
      <c r="AER915" s="1091"/>
      <c r="AES915" s="1091"/>
      <c r="AET915" s="1091"/>
      <c r="AEU915" s="1091"/>
      <c r="AEV915" s="1091"/>
      <c r="AEW915" s="1091"/>
      <c r="AEX915" s="1091"/>
      <c r="AEY915" s="1091"/>
      <c r="AEZ915" s="1091"/>
      <c r="AFA915" s="1091"/>
      <c r="AFB915" s="1091"/>
      <c r="AFC915" s="1091"/>
      <c r="AFD915" s="1091"/>
      <c r="AFE915" s="1091"/>
      <c r="AFF915" s="1091"/>
      <c r="AFG915" s="1091"/>
      <c r="AFH915" s="1091"/>
      <c r="AFI915" s="1091"/>
      <c r="AFJ915" s="1091"/>
      <c r="AFK915" s="1091"/>
      <c r="AFL915" s="1091"/>
      <c r="AFM915" s="1091"/>
      <c r="AFN915" s="1091"/>
      <c r="AFO915" s="1091"/>
      <c r="AFP915" s="1091"/>
      <c r="AFQ915" s="1091"/>
      <c r="AFR915" s="1091"/>
      <c r="AFS915" s="1091"/>
      <c r="AFT915" s="1091"/>
      <c r="AFU915" s="1091"/>
      <c r="AFV915" s="1091"/>
      <c r="AFW915" s="1091"/>
      <c r="AFX915" s="1091"/>
      <c r="AFY915" s="1091"/>
      <c r="AFZ915" s="1091"/>
      <c r="AGA915" s="1091"/>
      <c r="AGB915" s="1091"/>
      <c r="AGC915" s="1091"/>
      <c r="AGD915" s="1091"/>
      <c r="AGE915" s="1091"/>
      <c r="AGF915" s="1091"/>
      <c r="AGG915" s="1091"/>
      <c r="AGH915" s="1091"/>
      <c r="AGI915" s="1091"/>
      <c r="AGJ915" s="1091"/>
      <c r="AGK915" s="1091"/>
      <c r="AGL915" s="1091"/>
      <c r="AGM915" s="1091"/>
      <c r="AGN915" s="1091"/>
      <c r="AGO915" s="1091"/>
      <c r="AGP915" s="1091"/>
      <c r="AGQ915" s="1091"/>
      <c r="AGR915" s="1091"/>
      <c r="AGS915" s="1091"/>
      <c r="AGT915" s="1091"/>
      <c r="AGU915" s="1091"/>
      <c r="AGV915" s="1091"/>
      <c r="AGW915" s="1091"/>
      <c r="AGX915" s="1091"/>
      <c r="AGY915" s="1091"/>
      <c r="AGZ915" s="1091"/>
      <c r="AHA915" s="1091"/>
      <c r="AHB915" s="1091"/>
      <c r="AHC915" s="1091"/>
      <c r="AHD915" s="1091"/>
      <c r="AHE915" s="1091"/>
      <c r="AHF915" s="1091"/>
      <c r="AHG915" s="1091"/>
      <c r="AHH915" s="1091"/>
      <c r="AHI915" s="1091"/>
      <c r="AHJ915" s="1091"/>
      <c r="AHK915" s="1091"/>
      <c r="AHL915" s="1091"/>
      <c r="AHM915" s="1091"/>
      <c r="AHN915" s="1091"/>
      <c r="AHO915" s="1091"/>
      <c r="AHP915" s="1091"/>
      <c r="AHQ915" s="1091"/>
      <c r="AHR915" s="1091"/>
      <c r="AHS915" s="1091"/>
      <c r="AHT915" s="1091"/>
      <c r="AHU915" s="1091"/>
      <c r="AHV915" s="1091"/>
      <c r="AHW915" s="1091"/>
      <c r="AHX915" s="1091"/>
      <c r="AHY915" s="1091"/>
      <c r="AHZ915" s="1091"/>
      <c r="AIA915" s="1091"/>
      <c r="AIB915" s="1091"/>
      <c r="AIC915" s="1091"/>
      <c r="AID915" s="1091"/>
      <c r="AIE915" s="1091"/>
      <c r="AIF915" s="1091"/>
      <c r="AIG915" s="1091"/>
      <c r="AIH915" s="1091"/>
      <c r="AII915" s="1091"/>
      <c r="AIJ915" s="1091"/>
      <c r="AIK915" s="1091"/>
      <c r="AIL915" s="1091"/>
      <c r="AIM915" s="1091"/>
      <c r="AIN915" s="1091"/>
      <c r="AIO915" s="1091"/>
      <c r="AIP915" s="1091"/>
      <c r="AIQ915" s="1091"/>
      <c r="AIR915" s="1091"/>
      <c r="AIS915" s="1091"/>
      <c r="AIT915" s="1091"/>
      <c r="AIU915" s="1091"/>
      <c r="AIV915" s="1091"/>
      <c r="AIW915" s="1091"/>
      <c r="AIX915" s="1091"/>
      <c r="AIY915" s="1091"/>
      <c r="AIZ915" s="1091"/>
      <c r="AJA915" s="1091"/>
      <c r="AJB915" s="1091"/>
      <c r="AJC915" s="1091"/>
      <c r="AJD915" s="1091"/>
      <c r="AJE915" s="1091"/>
      <c r="AJF915" s="1091"/>
      <c r="AJG915" s="1091"/>
      <c r="AJH915" s="1091"/>
      <c r="AJI915" s="1091"/>
      <c r="AJJ915" s="1091"/>
      <c r="AJK915" s="1091"/>
      <c r="AJL915" s="1091"/>
      <c r="AJM915" s="1091"/>
      <c r="AJN915" s="1091"/>
      <c r="AJO915" s="1091"/>
      <c r="AJP915" s="1091"/>
      <c r="AJQ915" s="1091"/>
      <c r="AJR915" s="1091"/>
      <c r="AJS915" s="1091"/>
      <c r="AJT915" s="1091"/>
      <c r="AJU915" s="1091"/>
      <c r="AJV915" s="1091"/>
      <c r="AJW915" s="1091"/>
      <c r="AJX915" s="1091"/>
      <c r="AJY915" s="1091"/>
      <c r="AJZ915" s="1091"/>
      <c r="AKA915" s="1091"/>
      <c r="AKB915" s="1091"/>
      <c r="AKC915" s="1091"/>
      <c r="AKD915" s="1091"/>
      <c r="AKE915" s="1091"/>
      <c r="AKF915" s="1091"/>
      <c r="AKG915" s="1091"/>
      <c r="AKH915" s="1091"/>
      <c r="AKI915" s="1091"/>
      <c r="AKJ915" s="1091"/>
      <c r="AKK915" s="1091"/>
      <c r="AKL915" s="1091"/>
      <c r="AKM915" s="1091"/>
      <c r="AKN915" s="1091"/>
      <c r="AKO915" s="1091"/>
      <c r="AKP915" s="1091"/>
      <c r="AKQ915" s="1091"/>
      <c r="AKR915" s="1091"/>
      <c r="AKS915" s="1091"/>
      <c r="AKT915" s="1091"/>
      <c r="AKU915" s="1091"/>
      <c r="AKV915" s="1091"/>
      <c r="AKW915" s="1091"/>
      <c r="AKX915" s="1091"/>
      <c r="AKY915" s="1091"/>
      <c r="AKZ915" s="1091"/>
      <c r="ALA915" s="1091"/>
      <c r="ALB915" s="1091"/>
      <c r="ALC915" s="1091"/>
      <c r="ALD915" s="1091"/>
      <c r="ALE915" s="1091"/>
      <c r="ALF915" s="1091"/>
      <c r="ALG915" s="1091"/>
      <c r="ALH915" s="1091"/>
      <c r="ALI915" s="1091"/>
      <c r="ALJ915" s="1091"/>
      <c r="ALK915" s="1091"/>
      <c r="ALL915" s="1091"/>
      <c r="ALM915" s="1091"/>
      <c r="ALN915" s="1091"/>
      <c r="ALO915" s="1091"/>
      <c r="ALP915" s="1091"/>
      <c r="ALQ915" s="1091"/>
      <c r="ALR915" s="1091"/>
      <c r="ALS915" s="1091"/>
      <c r="ALT915" s="1091"/>
      <c r="ALU915" s="1091"/>
      <c r="ALV915" s="1091"/>
      <c r="ALW915" s="1091"/>
      <c r="ALX915" s="1091"/>
      <c r="ALY915" s="1091"/>
      <c r="ALZ915" s="1091"/>
      <c r="AMA915" s="1091"/>
      <c r="AMB915" s="1091"/>
      <c r="AMC915" s="1091"/>
      <c r="AMD915" s="1091"/>
      <c r="AME915" s="1091"/>
      <c r="AMF915" s="1091"/>
      <c r="AMG915" s="1091"/>
      <c r="AMH915" s="1091"/>
      <c r="AMI915" s="1091"/>
      <c r="AMJ915" s="1091"/>
      <c r="AMK915" s="1091"/>
      <c r="AML915" s="1091"/>
      <c r="AMM915" s="1091"/>
      <c r="AMN915" s="1091"/>
      <c r="AMO915" s="1091"/>
      <c r="AMP915" s="1091"/>
      <c r="AMQ915" s="1091"/>
      <c r="AMR915" s="1091"/>
      <c r="AMS915" s="1091"/>
      <c r="AMT915" s="1091"/>
      <c r="AMU915" s="1091"/>
      <c r="AMV915" s="1091"/>
      <c r="AMW915" s="1091"/>
      <c r="AMX915" s="1091"/>
      <c r="AMY915" s="1091"/>
      <c r="AMZ915" s="1091"/>
      <c r="ANA915" s="1091"/>
      <c r="ANB915" s="1091"/>
      <c r="ANC915" s="1091"/>
      <c r="AND915" s="1091"/>
      <c r="ANE915" s="1091"/>
      <c r="ANF915" s="1091"/>
      <c r="ANG915" s="1091"/>
      <c r="ANH915" s="1091"/>
      <c r="ANI915" s="1091"/>
      <c r="ANJ915" s="1091"/>
      <c r="ANK915" s="1091"/>
      <c r="ANL915" s="1091"/>
      <c r="ANM915" s="1091"/>
      <c r="ANN915" s="1091"/>
      <c r="ANO915" s="1091"/>
      <c r="ANP915" s="1091"/>
      <c r="ANQ915" s="1091"/>
      <c r="ANR915" s="1091"/>
      <c r="ANS915" s="1091"/>
      <c r="ANT915" s="1091"/>
      <c r="ANU915" s="1091"/>
      <c r="ANV915" s="1091"/>
      <c r="ANW915" s="1091"/>
      <c r="ANX915" s="1091"/>
      <c r="ANY915" s="1091"/>
      <c r="ANZ915" s="1091"/>
      <c r="AOA915" s="1091"/>
      <c r="AOB915" s="1091"/>
      <c r="AOC915" s="1091"/>
      <c r="AOD915" s="1091"/>
      <c r="AOE915" s="1091"/>
      <c r="AOF915" s="1091"/>
      <c r="AOG915" s="1091"/>
      <c r="AOH915" s="1091"/>
      <c r="AOI915" s="1091"/>
      <c r="AOJ915" s="1091"/>
      <c r="AOK915" s="1091"/>
      <c r="AOL915" s="1091"/>
      <c r="AOM915" s="1091"/>
      <c r="AON915" s="1091"/>
      <c r="AOO915" s="1091"/>
      <c r="AOP915" s="1091"/>
      <c r="AOQ915" s="1091"/>
      <c r="AOR915" s="1091"/>
      <c r="AOS915" s="1091"/>
      <c r="AOT915" s="1091"/>
      <c r="AOU915" s="1091"/>
      <c r="AOV915" s="1091"/>
      <c r="AOW915" s="1091"/>
      <c r="AOX915" s="1091"/>
      <c r="AOY915" s="1091"/>
      <c r="AOZ915" s="1091"/>
      <c r="APA915" s="1091"/>
      <c r="APB915" s="1091"/>
      <c r="APC915" s="1091"/>
      <c r="APD915" s="1091"/>
      <c r="APE915" s="1091"/>
      <c r="APF915" s="1091"/>
      <c r="APG915" s="1091"/>
      <c r="APH915" s="1091"/>
      <c r="API915" s="1091"/>
      <c r="APJ915" s="1091"/>
      <c r="APK915" s="1091"/>
      <c r="APL915" s="1091"/>
      <c r="APM915" s="1091"/>
      <c r="APN915" s="1091"/>
      <c r="APO915" s="1091"/>
      <c r="APP915" s="1091"/>
      <c r="APQ915" s="1091"/>
      <c r="APR915" s="1091"/>
      <c r="APS915" s="1091"/>
      <c r="APT915" s="1091"/>
      <c r="APU915" s="1091"/>
      <c r="APV915" s="1091"/>
      <c r="APW915" s="1091"/>
      <c r="APX915" s="1091"/>
      <c r="APY915" s="1091"/>
      <c r="APZ915" s="1091"/>
      <c r="AQA915" s="1091"/>
      <c r="AQB915" s="1091"/>
      <c r="AQC915" s="1091"/>
      <c r="AQD915" s="1091"/>
      <c r="AQE915" s="1091"/>
      <c r="AQF915" s="1091"/>
      <c r="AQG915" s="1091"/>
      <c r="AQH915" s="1091"/>
      <c r="AQI915" s="1091"/>
      <c r="AQJ915" s="1091"/>
      <c r="AQK915" s="1091"/>
      <c r="AQL915" s="1091"/>
      <c r="AQM915" s="1091"/>
      <c r="AQN915" s="1091"/>
      <c r="AQO915" s="1091"/>
      <c r="AQP915" s="1091"/>
      <c r="AQQ915" s="1091"/>
      <c r="AQR915" s="1091"/>
      <c r="AQS915" s="1091"/>
      <c r="AQT915" s="1091"/>
      <c r="AQU915" s="1091"/>
      <c r="AQV915" s="1091"/>
      <c r="AQW915" s="1091"/>
      <c r="AQX915" s="1091"/>
      <c r="AQY915" s="1091"/>
      <c r="AQZ915" s="1091"/>
      <c r="ARA915" s="1091"/>
      <c r="ARB915" s="1091"/>
      <c r="ARC915" s="1091"/>
      <c r="ARD915" s="1091"/>
      <c r="ARE915" s="1091"/>
      <c r="ARF915" s="1091"/>
      <c r="ARG915" s="1091"/>
      <c r="ARH915" s="1091"/>
      <c r="ARI915" s="1091"/>
      <c r="ARJ915" s="1091"/>
      <c r="ARK915" s="1091"/>
      <c r="ARL915" s="1091"/>
      <c r="ARM915" s="1091"/>
      <c r="ARN915" s="1091"/>
      <c r="ARO915" s="1091"/>
      <c r="ARP915" s="1091"/>
      <c r="ARQ915" s="1091"/>
      <c r="ARR915" s="1091"/>
      <c r="ARS915" s="1091"/>
      <c r="ART915" s="1091"/>
      <c r="ARU915" s="1091"/>
      <c r="ARV915" s="1091"/>
      <c r="ARW915" s="1091"/>
      <c r="ARX915" s="1091"/>
      <c r="ARY915" s="1091"/>
      <c r="ARZ915" s="1091"/>
      <c r="ASA915" s="1091"/>
      <c r="ASB915" s="1091"/>
      <c r="ASC915" s="1091"/>
      <c r="ASD915" s="1091"/>
      <c r="ASE915" s="1091"/>
      <c r="ASF915" s="1091"/>
      <c r="ASG915" s="1091"/>
      <c r="ASH915" s="1091"/>
      <c r="ASI915" s="1091"/>
      <c r="ASJ915" s="1091"/>
      <c r="ASK915" s="1091"/>
      <c r="ASL915" s="1091"/>
      <c r="ASM915" s="1091"/>
      <c r="ASN915" s="1091"/>
      <c r="ASO915" s="1091"/>
      <c r="ASP915" s="1091"/>
      <c r="ASQ915" s="1091"/>
      <c r="ASR915" s="1091"/>
      <c r="ASS915" s="1091"/>
      <c r="AST915" s="1091"/>
      <c r="ASU915" s="1091"/>
      <c r="ASV915" s="1091"/>
      <c r="ASW915" s="1091"/>
      <c r="ASX915" s="1091"/>
      <c r="ASY915" s="1091"/>
      <c r="ASZ915" s="1091"/>
      <c r="ATA915" s="1091"/>
      <c r="ATB915" s="1091"/>
      <c r="ATC915" s="1091"/>
      <c r="ATD915" s="1091"/>
      <c r="ATE915" s="1091"/>
      <c r="ATF915" s="1091"/>
      <c r="ATG915" s="1091"/>
      <c r="ATH915" s="1091"/>
      <c r="ATI915" s="1091"/>
      <c r="ATJ915" s="1091"/>
      <c r="ATK915" s="1091"/>
      <c r="ATL915" s="1091"/>
      <c r="ATM915" s="1091"/>
      <c r="ATN915" s="1091"/>
      <c r="ATO915" s="1091"/>
      <c r="ATP915" s="1091"/>
      <c r="ATQ915" s="1091"/>
      <c r="ATR915" s="1091"/>
      <c r="ATS915" s="1091"/>
      <c r="ATT915" s="1091"/>
      <c r="ATU915" s="1091"/>
      <c r="ATV915" s="1091"/>
      <c r="ATW915" s="1091"/>
      <c r="ATX915" s="1091"/>
      <c r="ATY915" s="1091"/>
      <c r="ATZ915" s="1091"/>
      <c r="AUA915" s="1091"/>
      <c r="AUB915" s="1091"/>
      <c r="AUC915" s="1091"/>
      <c r="AUD915" s="1091"/>
      <c r="AUE915" s="1091"/>
      <c r="AUF915" s="1091"/>
      <c r="AUG915" s="1091"/>
      <c r="AUH915" s="1091"/>
      <c r="AUI915" s="1091"/>
      <c r="AUJ915" s="1091"/>
      <c r="AUK915" s="1091"/>
      <c r="AUL915" s="1091"/>
      <c r="AUM915" s="1091"/>
      <c r="AUN915" s="1091"/>
      <c r="AUO915" s="1091"/>
      <c r="AUP915" s="1091"/>
      <c r="AUQ915" s="1091"/>
      <c r="AUR915" s="1091"/>
      <c r="AUS915" s="1091"/>
      <c r="AUT915" s="1091"/>
      <c r="AUU915" s="1091"/>
      <c r="AUV915" s="1091"/>
      <c r="AUW915" s="1091"/>
      <c r="AUX915" s="1091"/>
      <c r="AUY915" s="1091"/>
      <c r="AUZ915" s="1091"/>
      <c r="AVA915" s="1091"/>
      <c r="AVB915" s="1091"/>
      <c r="AVC915" s="1091"/>
      <c r="AVD915" s="1091"/>
      <c r="AVE915" s="1091"/>
      <c r="AVF915" s="1091"/>
      <c r="AVG915" s="1091"/>
      <c r="AVH915" s="1091"/>
      <c r="AVI915" s="1091"/>
      <c r="AVJ915" s="1091"/>
      <c r="AVK915" s="1091"/>
      <c r="AVL915" s="1091"/>
      <c r="AVM915" s="1091"/>
      <c r="AVN915" s="1091"/>
      <c r="AVO915" s="1091"/>
      <c r="AVP915" s="1091"/>
      <c r="AVQ915" s="1091"/>
      <c r="AVR915" s="1091"/>
      <c r="AVS915" s="1091"/>
      <c r="AVT915" s="1091"/>
      <c r="AVU915" s="1091"/>
      <c r="AVV915" s="1091"/>
      <c r="AVW915" s="1091"/>
      <c r="AVX915" s="1091"/>
      <c r="AVY915" s="1091"/>
      <c r="AVZ915" s="1091"/>
      <c r="AWA915" s="1091"/>
      <c r="AWB915" s="1091"/>
      <c r="AWC915" s="1091"/>
      <c r="AWD915" s="1091"/>
      <c r="AWE915" s="1091"/>
      <c r="AWF915" s="1091"/>
      <c r="AWG915" s="1091"/>
      <c r="AWH915" s="1091"/>
      <c r="AWI915" s="1091"/>
      <c r="AWJ915" s="1091"/>
      <c r="AWK915" s="1091"/>
      <c r="AWL915" s="1091"/>
      <c r="AWM915" s="1091"/>
      <c r="AWN915" s="1091"/>
      <c r="AWO915" s="1091"/>
      <c r="AWP915" s="1091"/>
      <c r="AWQ915" s="1091"/>
      <c r="AWR915" s="1091"/>
      <c r="AWS915" s="1091"/>
      <c r="AWT915" s="1091"/>
      <c r="AWU915" s="1091"/>
      <c r="AWV915" s="1091"/>
      <c r="AWW915" s="1091"/>
      <c r="AWX915" s="1091"/>
      <c r="AWY915" s="1091"/>
      <c r="AWZ915" s="1091"/>
      <c r="AXA915" s="1091"/>
      <c r="AXB915" s="1091"/>
      <c r="AXC915" s="1091"/>
      <c r="AXD915" s="1091"/>
      <c r="AXE915" s="1091"/>
      <c r="AXF915" s="1091"/>
      <c r="AXG915" s="1091"/>
      <c r="AXH915" s="1091"/>
      <c r="AXI915" s="1091"/>
      <c r="AXJ915" s="1091"/>
      <c r="AXK915" s="1091"/>
      <c r="AXL915" s="1091"/>
      <c r="AXM915" s="1091"/>
      <c r="AXN915" s="1091"/>
      <c r="AXO915" s="1091"/>
      <c r="AXP915" s="1091"/>
      <c r="AXQ915" s="1091"/>
      <c r="AXR915" s="1091"/>
      <c r="AXS915" s="1091"/>
      <c r="AXT915" s="1091"/>
      <c r="AXU915" s="1091"/>
      <c r="AXV915" s="1091"/>
      <c r="AXW915" s="1091"/>
      <c r="AXX915" s="1091"/>
      <c r="AXY915" s="1091"/>
      <c r="AXZ915" s="1091"/>
      <c r="AYA915" s="1091"/>
      <c r="AYB915" s="1091"/>
      <c r="AYC915" s="1091"/>
      <c r="AYD915" s="1091"/>
      <c r="AYE915" s="1091"/>
      <c r="AYF915" s="1091"/>
      <c r="AYG915" s="1091"/>
      <c r="AYH915" s="1091"/>
      <c r="AYI915" s="1091"/>
      <c r="AYJ915" s="1091"/>
      <c r="AYK915" s="1091"/>
      <c r="AYL915" s="1091"/>
      <c r="AYM915" s="1091"/>
      <c r="AYN915" s="1091"/>
      <c r="AYO915" s="1091"/>
      <c r="AYP915" s="1091"/>
      <c r="AYQ915" s="1091"/>
      <c r="AYR915" s="1091"/>
      <c r="AYS915" s="1091"/>
      <c r="AYT915" s="1091"/>
      <c r="AYU915" s="1091"/>
      <c r="AYV915" s="1091"/>
      <c r="AYW915" s="1091"/>
      <c r="AYX915" s="1091"/>
      <c r="AYY915" s="1091"/>
      <c r="AYZ915" s="1091"/>
      <c r="AZA915" s="1091"/>
      <c r="AZB915" s="1091"/>
      <c r="AZC915" s="1091"/>
      <c r="AZD915" s="1091"/>
      <c r="AZE915" s="1091"/>
      <c r="AZF915" s="1091"/>
      <c r="AZG915" s="1091"/>
      <c r="AZH915" s="1091"/>
      <c r="AZI915" s="1091"/>
      <c r="AZJ915" s="1091"/>
      <c r="AZK915" s="1091"/>
      <c r="AZL915" s="1091"/>
      <c r="AZM915" s="1091"/>
      <c r="AZN915" s="1091"/>
      <c r="AZO915" s="1091"/>
      <c r="AZP915" s="1091"/>
      <c r="AZQ915" s="1091"/>
      <c r="AZR915" s="1091"/>
      <c r="AZS915" s="1091"/>
      <c r="AZT915" s="1091"/>
      <c r="AZU915" s="1091"/>
      <c r="AZV915" s="1091"/>
      <c r="AZW915" s="1091"/>
      <c r="AZX915" s="1091"/>
      <c r="AZY915" s="1091"/>
      <c r="AZZ915" s="1091"/>
      <c r="BAA915" s="1091"/>
      <c r="BAB915" s="1091"/>
      <c r="BAC915" s="1091"/>
      <c r="BAD915" s="1091"/>
      <c r="BAE915" s="1091"/>
      <c r="BAF915" s="1091"/>
      <c r="BAG915" s="1091"/>
      <c r="BAH915" s="1091"/>
      <c r="BAI915" s="1091"/>
      <c r="BAJ915" s="1091"/>
      <c r="BAK915" s="1091"/>
      <c r="BAL915" s="1091"/>
      <c r="BAM915" s="1091"/>
      <c r="BAN915" s="1091"/>
      <c r="BAO915" s="1091"/>
      <c r="BAP915" s="1091"/>
      <c r="BAQ915" s="1091"/>
      <c r="BAR915" s="1091"/>
      <c r="BAS915" s="1091"/>
      <c r="BAT915" s="1091"/>
      <c r="BAU915" s="1091"/>
      <c r="BAV915" s="1091"/>
      <c r="BAW915" s="1091"/>
      <c r="BAX915" s="1091"/>
      <c r="BAY915" s="1091"/>
      <c r="BAZ915" s="1091"/>
      <c r="BBA915" s="1091"/>
      <c r="BBB915" s="1091"/>
      <c r="BBC915" s="1091"/>
      <c r="BBD915" s="1091"/>
      <c r="BBE915" s="1091"/>
      <c r="BBF915" s="1091"/>
      <c r="BBG915" s="1091"/>
      <c r="BBH915" s="1091"/>
      <c r="BBI915" s="1091"/>
      <c r="BBJ915" s="1091"/>
      <c r="BBK915" s="1091"/>
      <c r="BBL915" s="1091"/>
      <c r="BBM915" s="1091"/>
      <c r="BBN915" s="1091"/>
      <c r="BBO915" s="1091"/>
      <c r="BBP915" s="1091"/>
      <c r="BBQ915" s="1091"/>
      <c r="BBR915" s="1091"/>
      <c r="BBS915" s="1091"/>
      <c r="BBT915" s="1091"/>
      <c r="BBU915" s="1091"/>
      <c r="BBV915" s="1091"/>
      <c r="BBW915" s="1091"/>
      <c r="BBX915" s="1091"/>
      <c r="BBY915" s="1091"/>
      <c r="BBZ915" s="1091"/>
      <c r="BCA915" s="1091"/>
      <c r="BCB915" s="1091"/>
      <c r="BCC915" s="1091"/>
      <c r="BCD915" s="1091"/>
      <c r="BCE915" s="1091"/>
      <c r="BCF915" s="1091"/>
      <c r="BCG915" s="1091"/>
      <c r="BCH915" s="1091"/>
      <c r="BCI915" s="1091"/>
      <c r="BCJ915" s="1091"/>
      <c r="BCK915" s="1091"/>
      <c r="BCL915" s="1091"/>
      <c r="BCM915" s="1091"/>
      <c r="BCN915" s="1091"/>
      <c r="BCO915" s="1091"/>
      <c r="BCP915" s="1091"/>
      <c r="BCQ915" s="1091"/>
      <c r="BCR915" s="1091"/>
      <c r="BCS915" s="1091"/>
      <c r="BCT915" s="1091"/>
      <c r="BCU915" s="1091"/>
      <c r="BCV915" s="1091"/>
      <c r="BCW915" s="1091"/>
      <c r="BCX915" s="1091"/>
      <c r="BCY915" s="1091"/>
      <c r="BCZ915" s="1091"/>
      <c r="BDA915" s="1091"/>
      <c r="BDB915" s="1091"/>
      <c r="BDC915" s="1091"/>
      <c r="BDD915" s="1091"/>
      <c r="BDE915" s="1091"/>
      <c r="BDF915" s="1091"/>
      <c r="BDG915" s="1091"/>
      <c r="BDH915" s="1091"/>
      <c r="BDI915" s="1091"/>
      <c r="BDJ915" s="1091"/>
      <c r="BDK915" s="1091"/>
      <c r="BDL915" s="1091"/>
      <c r="BDM915" s="1091"/>
      <c r="BDN915" s="1091"/>
      <c r="BDO915" s="1091"/>
      <c r="BDP915" s="1091"/>
      <c r="BDQ915" s="1091"/>
      <c r="BDR915" s="1091"/>
      <c r="BDS915" s="1091"/>
      <c r="BDT915" s="1091"/>
      <c r="BDU915" s="1091"/>
      <c r="BDV915" s="1091"/>
      <c r="BDW915" s="1091"/>
      <c r="BDX915" s="1091"/>
      <c r="BDY915" s="1091"/>
      <c r="BDZ915" s="1091"/>
      <c r="BEA915" s="1091"/>
      <c r="BEB915" s="1091"/>
      <c r="BEC915" s="1091"/>
      <c r="BED915" s="1091"/>
      <c r="BEE915" s="1091"/>
      <c r="BEF915" s="1091"/>
      <c r="BEG915" s="1091"/>
      <c r="BEH915" s="1091"/>
      <c r="BEI915" s="1091"/>
      <c r="BEJ915" s="1091"/>
      <c r="BEK915" s="1091"/>
      <c r="BEL915" s="1091"/>
      <c r="BEM915" s="1091"/>
      <c r="BEN915" s="1091"/>
      <c r="BEO915" s="1091"/>
      <c r="BEP915" s="1091"/>
      <c r="BEQ915" s="1091"/>
      <c r="BER915" s="1091"/>
      <c r="BES915" s="1091"/>
      <c r="BET915" s="1091"/>
      <c r="BEU915" s="1091"/>
      <c r="BEV915" s="1091"/>
      <c r="BEW915" s="1091"/>
      <c r="BEX915" s="1091"/>
      <c r="BEY915" s="1091"/>
      <c r="BEZ915" s="1091"/>
      <c r="BFA915" s="1091"/>
      <c r="BFB915" s="1091"/>
      <c r="BFC915" s="1091"/>
      <c r="BFD915" s="1091"/>
      <c r="BFE915" s="1091"/>
      <c r="BFF915" s="1091"/>
      <c r="BFG915" s="1091"/>
      <c r="BFH915" s="1091"/>
      <c r="BFI915" s="1091"/>
      <c r="BFJ915" s="1091"/>
      <c r="BFK915" s="1091"/>
      <c r="BFL915" s="1091"/>
      <c r="BFM915" s="1091"/>
      <c r="BFN915" s="1091"/>
      <c r="BFO915" s="1091"/>
      <c r="BFP915" s="1091"/>
      <c r="BFQ915" s="1091"/>
      <c r="BFR915" s="1091"/>
      <c r="BFS915" s="1091"/>
      <c r="BFT915" s="1091"/>
      <c r="BFU915" s="1091"/>
      <c r="BFV915" s="1091"/>
      <c r="BFW915" s="1091"/>
      <c r="BFX915" s="1091"/>
      <c r="BFY915" s="1091"/>
      <c r="BFZ915" s="1091"/>
      <c r="BGA915" s="1091"/>
      <c r="BGB915" s="1091"/>
      <c r="BGC915" s="1091"/>
      <c r="BGD915" s="1091"/>
      <c r="BGE915" s="1091"/>
      <c r="BGF915" s="1091"/>
      <c r="BGG915" s="1091"/>
      <c r="BGH915" s="1091"/>
      <c r="BGI915" s="1091"/>
      <c r="BGJ915" s="1091"/>
      <c r="BGK915" s="1091"/>
      <c r="BGL915" s="1091"/>
      <c r="BGM915" s="1091"/>
      <c r="BGN915" s="1091"/>
      <c r="BGO915" s="1091"/>
      <c r="BGP915" s="1091"/>
      <c r="BGQ915" s="1091"/>
      <c r="BGR915" s="1091"/>
      <c r="BGS915" s="1091"/>
      <c r="BGT915" s="1091"/>
      <c r="BGU915" s="1091"/>
      <c r="BGV915" s="1091"/>
      <c r="BGW915" s="1091"/>
      <c r="BGX915" s="1091"/>
      <c r="BGY915" s="1091"/>
      <c r="BGZ915" s="1091"/>
      <c r="BHA915" s="1091"/>
      <c r="BHB915" s="1091"/>
      <c r="BHC915" s="1091"/>
      <c r="BHD915" s="1091"/>
      <c r="BHE915" s="1091"/>
      <c r="BHF915" s="1091"/>
      <c r="BHG915" s="1091"/>
      <c r="BHH915" s="1091"/>
      <c r="BHI915" s="1091"/>
      <c r="BHJ915" s="1091"/>
      <c r="BHK915" s="1091"/>
      <c r="BHL915" s="1091"/>
      <c r="BHM915" s="1091"/>
      <c r="BHN915" s="1091"/>
      <c r="BHO915" s="1091"/>
      <c r="BHP915" s="1091"/>
      <c r="BHQ915" s="1091"/>
      <c r="BHR915" s="1091"/>
      <c r="BHS915" s="1091"/>
      <c r="BHT915" s="1091"/>
      <c r="BHU915" s="1091"/>
      <c r="BHV915" s="1091"/>
      <c r="BHW915" s="1091"/>
      <c r="BHX915" s="1091"/>
      <c r="BHY915" s="1091"/>
      <c r="BHZ915" s="1091"/>
      <c r="BIA915" s="1091"/>
      <c r="BIB915" s="1091"/>
      <c r="BIC915" s="1091"/>
      <c r="BID915" s="1091"/>
      <c r="BIE915" s="1091"/>
      <c r="BIF915" s="1091"/>
      <c r="BIG915" s="1091"/>
      <c r="BIH915" s="1091"/>
      <c r="BII915" s="1091"/>
      <c r="BIJ915" s="1091"/>
      <c r="BIK915" s="1091"/>
      <c r="BIL915" s="1091"/>
      <c r="BIM915" s="1091"/>
      <c r="BIN915" s="1091"/>
      <c r="BIO915" s="1091"/>
      <c r="BIP915" s="1091"/>
      <c r="BIQ915" s="1091"/>
      <c r="BIR915" s="1091"/>
      <c r="BIS915" s="1091"/>
      <c r="BIT915" s="1091"/>
      <c r="BIU915" s="1091"/>
      <c r="BIV915" s="1091"/>
      <c r="BIW915" s="1091"/>
      <c r="BIX915" s="1091"/>
      <c r="BIY915" s="1091"/>
      <c r="BIZ915" s="1091"/>
      <c r="BJA915" s="1091"/>
      <c r="BJB915" s="1091"/>
      <c r="BJC915" s="1091"/>
      <c r="BJD915" s="1091"/>
      <c r="BJE915" s="1091"/>
      <c r="BJF915" s="1091"/>
      <c r="BJG915" s="1091"/>
      <c r="BJH915" s="1091"/>
      <c r="BJI915" s="1091"/>
      <c r="BJJ915" s="1091"/>
      <c r="BJK915" s="1091"/>
      <c r="BJL915" s="1091"/>
      <c r="BJM915" s="1091"/>
      <c r="BJN915" s="1091"/>
      <c r="BJO915" s="1091"/>
      <c r="BJP915" s="1091"/>
      <c r="BJQ915" s="1091"/>
      <c r="BJR915" s="1091"/>
      <c r="BJS915" s="1091"/>
      <c r="BJT915" s="1091"/>
      <c r="BJU915" s="1091"/>
      <c r="BJV915" s="1091"/>
      <c r="BJW915" s="1091"/>
      <c r="BJX915" s="1091"/>
      <c r="BJY915" s="1091"/>
      <c r="BJZ915" s="1091"/>
      <c r="BKA915" s="1091"/>
      <c r="BKB915" s="1091"/>
      <c r="BKC915" s="1091"/>
      <c r="BKD915" s="1091"/>
      <c r="BKE915" s="1091"/>
      <c r="BKF915" s="1091"/>
      <c r="BKG915" s="1091"/>
      <c r="BKH915" s="1091"/>
      <c r="BKI915" s="1091"/>
      <c r="BKJ915" s="1091"/>
      <c r="BKK915" s="1091"/>
      <c r="BKL915" s="1091"/>
      <c r="BKM915" s="1091"/>
      <c r="BKN915" s="1091"/>
      <c r="BKO915" s="1091"/>
      <c r="BKP915" s="1091"/>
      <c r="BKQ915" s="1091"/>
      <c r="BKR915" s="1091"/>
      <c r="BKS915" s="1091"/>
      <c r="BKT915" s="1091"/>
      <c r="BKU915" s="1091"/>
      <c r="BKV915" s="1091"/>
      <c r="BKW915" s="1091"/>
      <c r="BKX915" s="1091"/>
      <c r="BKY915" s="1091"/>
      <c r="BKZ915" s="1091"/>
      <c r="BLA915" s="1091"/>
      <c r="BLB915" s="1091"/>
      <c r="BLC915" s="1091"/>
      <c r="BLD915" s="1091"/>
      <c r="BLE915" s="1091"/>
      <c r="BLF915" s="1091"/>
      <c r="BLG915" s="1091"/>
      <c r="BLH915" s="1091"/>
      <c r="BLI915" s="1091"/>
      <c r="BLJ915" s="1091"/>
      <c r="BLK915" s="1091"/>
      <c r="BLL915" s="1091"/>
      <c r="BLM915" s="1091"/>
      <c r="BLN915" s="1091"/>
      <c r="BLO915" s="1091"/>
      <c r="BLP915" s="1091"/>
      <c r="BLQ915" s="1091"/>
      <c r="BLR915" s="1091"/>
      <c r="BLS915" s="1091"/>
      <c r="BLT915" s="1091"/>
      <c r="BLU915" s="1091"/>
      <c r="BLV915" s="1091"/>
      <c r="BLW915" s="1091"/>
      <c r="BLX915" s="1091"/>
      <c r="BLY915" s="1091"/>
      <c r="BLZ915" s="1091"/>
      <c r="BMA915" s="1091"/>
      <c r="BMB915" s="1091"/>
      <c r="BMC915" s="1091"/>
      <c r="BMD915" s="1091"/>
      <c r="BME915" s="1091"/>
      <c r="BMF915" s="1091"/>
      <c r="BMG915" s="1091"/>
      <c r="BMH915" s="1091"/>
      <c r="BMI915" s="1091"/>
      <c r="BMJ915" s="1091"/>
      <c r="BMK915" s="1091"/>
      <c r="BML915" s="1091"/>
      <c r="BMM915" s="1091"/>
      <c r="BMN915" s="1091"/>
      <c r="BMO915" s="1091"/>
      <c r="BMP915" s="1091"/>
      <c r="BMQ915" s="1091"/>
      <c r="BMR915" s="1091"/>
      <c r="BMS915" s="1091"/>
      <c r="BMT915" s="1091"/>
      <c r="BMU915" s="1091"/>
      <c r="BMV915" s="1091"/>
      <c r="BMW915" s="1091"/>
      <c r="BMX915" s="1091"/>
      <c r="BMY915" s="1091"/>
      <c r="BMZ915" s="1091"/>
      <c r="BNA915" s="1091"/>
      <c r="BNB915" s="1091"/>
      <c r="BNC915" s="1091"/>
      <c r="BND915" s="1091"/>
      <c r="BNE915" s="1091"/>
      <c r="BNF915" s="1091"/>
      <c r="BNG915" s="1091"/>
      <c r="BNH915" s="1091"/>
      <c r="BNI915" s="1091"/>
      <c r="BNJ915" s="1091"/>
      <c r="BNK915" s="1091"/>
      <c r="BNL915" s="1091"/>
      <c r="BNM915" s="1091"/>
      <c r="BNN915" s="1091"/>
      <c r="BNO915" s="1091"/>
      <c r="BNP915" s="1091"/>
      <c r="BNQ915" s="1091"/>
      <c r="BNR915" s="1091"/>
      <c r="BNS915" s="1091"/>
      <c r="BNT915" s="1091"/>
      <c r="BNU915" s="1091"/>
      <c r="BNV915" s="1091"/>
      <c r="BNW915" s="1091"/>
      <c r="BNX915" s="1091"/>
      <c r="BNY915" s="1091"/>
      <c r="BNZ915" s="1091"/>
      <c r="BOA915" s="1091"/>
      <c r="BOB915" s="1091"/>
      <c r="BOC915" s="1091"/>
      <c r="BOD915" s="1091"/>
      <c r="BOE915" s="1091"/>
      <c r="BOF915" s="1091"/>
      <c r="BOG915" s="1091"/>
      <c r="BOH915" s="1091"/>
      <c r="BOI915" s="1091"/>
      <c r="BOJ915" s="1091"/>
      <c r="BOK915" s="1091"/>
      <c r="BOL915" s="1091"/>
      <c r="BOM915" s="1091"/>
      <c r="BON915" s="1091"/>
      <c r="BOO915" s="1091"/>
      <c r="BOP915" s="1091"/>
      <c r="BOQ915" s="1091"/>
      <c r="BOR915" s="1091"/>
      <c r="BOS915" s="1091"/>
      <c r="BOT915" s="1091"/>
      <c r="BOU915" s="1091"/>
      <c r="BOV915" s="1091"/>
      <c r="BOW915" s="1091"/>
      <c r="BOX915" s="1091"/>
      <c r="BOY915" s="1091"/>
      <c r="BOZ915" s="1091"/>
      <c r="BPA915" s="1091"/>
      <c r="BPB915" s="1091"/>
      <c r="BPC915" s="1091"/>
      <c r="BPD915" s="1091"/>
      <c r="BPE915" s="1091"/>
      <c r="BPF915" s="1091"/>
      <c r="BPG915" s="1091"/>
      <c r="BPH915" s="1091"/>
      <c r="BPI915" s="1091"/>
      <c r="BPJ915" s="1091"/>
      <c r="BPK915" s="1091"/>
      <c r="BPL915" s="1091"/>
      <c r="BPM915" s="1091"/>
      <c r="BPN915" s="1091"/>
      <c r="BPO915" s="1091"/>
      <c r="BPP915" s="1091"/>
      <c r="BPQ915" s="1091"/>
      <c r="BPR915" s="1091"/>
      <c r="BPS915" s="1091"/>
      <c r="BPT915" s="1091"/>
      <c r="BPU915" s="1091"/>
      <c r="BPV915" s="1091"/>
      <c r="BPW915" s="1091"/>
      <c r="BPX915" s="1091"/>
      <c r="BPY915" s="1091"/>
      <c r="BPZ915" s="1091"/>
      <c r="BQA915" s="1091"/>
      <c r="BQB915" s="1091"/>
      <c r="BQC915" s="1091"/>
      <c r="BQD915" s="1091"/>
      <c r="BQE915" s="1091"/>
      <c r="BQF915" s="1091"/>
      <c r="BQG915" s="1091"/>
      <c r="BQH915" s="1091"/>
      <c r="BQI915" s="1091"/>
      <c r="BQJ915" s="1091"/>
      <c r="BQK915" s="1091"/>
      <c r="BQL915" s="1091"/>
      <c r="BQM915" s="1091"/>
      <c r="BQN915" s="1091"/>
      <c r="BQO915" s="1091"/>
      <c r="BQP915" s="1091"/>
      <c r="BQQ915" s="1091"/>
      <c r="BQR915" s="1091"/>
      <c r="BQS915" s="1091"/>
      <c r="BQT915" s="1091"/>
      <c r="BQU915" s="1091"/>
      <c r="BQV915" s="1091"/>
      <c r="BQW915" s="1091"/>
      <c r="BQX915" s="1091"/>
      <c r="BQY915" s="1091"/>
      <c r="BQZ915" s="1091"/>
      <c r="BRA915" s="1091"/>
      <c r="BRB915" s="1091"/>
      <c r="BRC915" s="1091"/>
      <c r="BRD915" s="1091"/>
      <c r="BRE915" s="1091"/>
      <c r="BRF915" s="1091"/>
      <c r="BRG915" s="1091"/>
      <c r="BRH915" s="1091"/>
      <c r="BRI915" s="1091"/>
      <c r="BRJ915" s="1091"/>
      <c r="BRK915" s="1091"/>
      <c r="BRL915" s="1091"/>
      <c r="BRM915" s="1091"/>
      <c r="BRN915" s="1091"/>
      <c r="BRO915" s="1091"/>
      <c r="BRP915" s="1091"/>
      <c r="BRQ915" s="1091"/>
      <c r="BRR915" s="1091"/>
      <c r="BRS915" s="1091"/>
      <c r="BRT915" s="1091"/>
      <c r="BRU915" s="1091"/>
      <c r="BRV915" s="1091"/>
      <c r="BRW915" s="1091"/>
      <c r="BRX915" s="1091"/>
      <c r="BRY915" s="1091"/>
      <c r="BRZ915" s="1091"/>
      <c r="BSA915" s="1091"/>
      <c r="BSB915" s="1091"/>
      <c r="BSC915" s="1091"/>
      <c r="BSD915" s="1091"/>
      <c r="BSE915" s="1091"/>
      <c r="BSF915" s="1091"/>
      <c r="BSG915" s="1091"/>
      <c r="BSH915" s="1091"/>
      <c r="BSI915" s="1091"/>
      <c r="BSJ915" s="1091"/>
      <c r="BSK915" s="1091"/>
      <c r="BSL915" s="1091"/>
      <c r="BSM915" s="1091"/>
      <c r="BSN915" s="1091"/>
      <c r="BSO915" s="1091"/>
      <c r="BSP915" s="1091"/>
      <c r="BSQ915" s="1091"/>
      <c r="BSR915" s="1091"/>
      <c r="BSS915" s="1091"/>
      <c r="BST915" s="1091"/>
      <c r="BSU915" s="1091"/>
      <c r="BSV915" s="1091"/>
      <c r="BSW915" s="1091"/>
      <c r="BSX915" s="1091"/>
      <c r="BSY915" s="1091"/>
      <c r="BSZ915" s="1091"/>
      <c r="BTA915" s="1091"/>
      <c r="BTB915" s="1091"/>
      <c r="BTC915" s="1091"/>
      <c r="BTD915" s="1091"/>
      <c r="BTE915" s="1091"/>
      <c r="BTF915" s="1091"/>
      <c r="BTG915" s="1091"/>
      <c r="BTH915" s="1091"/>
      <c r="BTI915" s="1091"/>
      <c r="BTJ915" s="1091"/>
      <c r="BTK915" s="1091"/>
      <c r="BTL915" s="1091"/>
      <c r="BTM915" s="1091"/>
      <c r="BTN915" s="1091"/>
      <c r="BTO915" s="1091"/>
      <c r="BTP915" s="1091"/>
      <c r="BTQ915" s="1091"/>
      <c r="BTR915" s="1091"/>
      <c r="BTS915" s="1091"/>
      <c r="BTT915" s="1091"/>
      <c r="BTU915" s="1091"/>
      <c r="BTV915" s="1091"/>
      <c r="BTW915" s="1091"/>
      <c r="BTX915" s="1091"/>
      <c r="BTY915" s="1091"/>
      <c r="BTZ915" s="1091"/>
      <c r="BUA915" s="1091"/>
      <c r="BUB915" s="1091"/>
      <c r="BUC915" s="1091"/>
      <c r="BUD915" s="1091"/>
      <c r="BUE915" s="1091"/>
      <c r="BUF915" s="1091"/>
      <c r="BUG915" s="1091"/>
      <c r="BUH915" s="1091"/>
      <c r="BUI915" s="1091"/>
      <c r="BUJ915" s="1091"/>
      <c r="BUK915" s="1091"/>
      <c r="BUL915" s="1091"/>
      <c r="BUM915" s="1091"/>
      <c r="BUN915" s="1091"/>
      <c r="BUO915" s="1091"/>
      <c r="BUP915" s="1091"/>
      <c r="BUQ915" s="1091"/>
      <c r="BUR915" s="1091"/>
      <c r="BUS915" s="1091"/>
      <c r="BUT915" s="1091"/>
      <c r="BUU915" s="1091"/>
      <c r="BUV915" s="1091"/>
      <c r="BUW915" s="1091"/>
      <c r="BUX915" s="1091"/>
      <c r="BUY915" s="1091"/>
      <c r="BUZ915" s="1091"/>
      <c r="BVA915" s="1091"/>
      <c r="BVB915" s="1091"/>
      <c r="BVC915" s="1091"/>
      <c r="BVD915" s="1091"/>
      <c r="BVE915" s="1091"/>
      <c r="BVF915" s="1091"/>
      <c r="BVG915" s="1091"/>
      <c r="BVH915" s="1091"/>
      <c r="BVI915" s="1091"/>
      <c r="BVJ915" s="1091"/>
      <c r="BVK915" s="1091"/>
      <c r="BVL915" s="1091"/>
      <c r="BVM915" s="1091"/>
      <c r="BVN915" s="1091"/>
      <c r="BVO915" s="1091"/>
      <c r="BVP915" s="1091"/>
      <c r="BVQ915" s="1091"/>
      <c r="BVR915" s="1091"/>
      <c r="BVS915" s="1091"/>
      <c r="BVT915" s="1091"/>
      <c r="BVU915" s="1091"/>
      <c r="BVV915" s="1091"/>
      <c r="BVW915" s="1091"/>
      <c r="BVX915" s="1091"/>
      <c r="BVY915" s="1091"/>
      <c r="BVZ915" s="1091"/>
      <c r="BWA915" s="1091"/>
      <c r="BWB915" s="1091"/>
      <c r="BWC915" s="1091"/>
      <c r="BWD915" s="1091"/>
      <c r="BWE915" s="1091"/>
      <c r="BWF915" s="1091"/>
      <c r="BWG915" s="1091"/>
      <c r="BWH915" s="1091"/>
      <c r="BWI915" s="1091"/>
      <c r="BWJ915" s="1091"/>
      <c r="BWK915" s="1091"/>
      <c r="BWL915" s="1091"/>
      <c r="BWM915" s="1091"/>
      <c r="BWN915" s="1091"/>
      <c r="BWO915" s="1091"/>
      <c r="BWP915" s="1091"/>
      <c r="BWQ915" s="1091"/>
      <c r="BWR915" s="1091"/>
      <c r="BWS915" s="1091"/>
      <c r="BWT915" s="1091"/>
      <c r="BWU915" s="1091"/>
      <c r="BWV915" s="1091"/>
      <c r="BWW915" s="1091"/>
      <c r="BWX915" s="1091"/>
      <c r="BWY915" s="1091"/>
      <c r="BWZ915" s="1091"/>
      <c r="BXA915" s="1091"/>
      <c r="BXB915" s="1091"/>
      <c r="BXC915" s="1091"/>
      <c r="BXD915" s="1091"/>
      <c r="BXE915" s="1091"/>
      <c r="BXF915" s="1091"/>
      <c r="BXG915" s="1091"/>
      <c r="BXH915" s="1091"/>
      <c r="BXI915" s="1091"/>
      <c r="BXJ915" s="1091"/>
      <c r="BXK915" s="1091"/>
      <c r="BXL915" s="1091"/>
      <c r="BXM915" s="1091"/>
      <c r="BXN915" s="1091"/>
      <c r="BXO915" s="1091"/>
      <c r="BXP915" s="1091"/>
      <c r="BXQ915" s="1091"/>
      <c r="BXR915" s="1091"/>
      <c r="BXS915" s="1091"/>
      <c r="BXT915" s="1091"/>
      <c r="BXU915" s="1091"/>
      <c r="BXV915" s="1091"/>
      <c r="BXW915" s="1091"/>
      <c r="BXX915" s="1091"/>
      <c r="BXY915" s="1091"/>
      <c r="BXZ915" s="1091"/>
      <c r="BYA915" s="1091"/>
      <c r="BYB915" s="1091"/>
      <c r="BYC915" s="1091"/>
      <c r="BYD915" s="1091"/>
      <c r="BYE915" s="1091"/>
      <c r="BYF915" s="1091"/>
      <c r="BYG915" s="1091"/>
      <c r="BYH915" s="1091"/>
      <c r="BYI915" s="1091"/>
      <c r="BYJ915" s="1091"/>
      <c r="BYK915" s="1091"/>
      <c r="BYL915" s="1091"/>
      <c r="BYM915" s="1091"/>
      <c r="BYN915" s="1091"/>
      <c r="BYO915" s="1091"/>
      <c r="BYP915" s="1091"/>
      <c r="BYQ915" s="1091"/>
      <c r="BYR915" s="1091"/>
      <c r="BYS915" s="1091"/>
      <c r="BYT915" s="1091"/>
      <c r="BYU915" s="1091"/>
      <c r="BYV915" s="1091"/>
      <c r="BYW915" s="1091"/>
      <c r="BYX915" s="1091"/>
      <c r="BYY915" s="1091"/>
      <c r="BYZ915" s="1091"/>
      <c r="BZA915" s="1091"/>
      <c r="BZB915" s="1091"/>
      <c r="BZC915" s="1091"/>
      <c r="BZD915" s="1091"/>
      <c r="BZE915" s="1091"/>
      <c r="BZF915" s="1091"/>
      <c r="BZG915" s="1091"/>
      <c r="BZH915" s="1091"/>
      <c r="BZI915" s="1091"/>
      <c r="BZJ915" s="1091"/>
      <c r="BZK915" s="1091"/>
      <c r="BZL915" s="1091"/>
      <c r="BZM915" s="1091"/>
      <c r="BZN915" s="1091"/>
      <c r="BZO915" s="1091"/>
      <c r="BZP915" s="1091"/>
      <c r="BZQ915" s="1091"/>
      <c r="BZR915" s="1091"/>
      <c r="BZS915" s="1091"/>
      <c r="BZT915" s="1091"/>
      <c r="BZU915" s="1091"/>
      <c r="BZV915" s="1091"/>
      <c r="BZW915" s="1091"/>
      <c r="BZX915" s="1091"/>
      <c r="BZY915" s="1091"/>
      <c r="BZZ915" s="1091"/>
      <c r="CAA915" s="1091"/>
      <c r="CAB915" s="1091"/>
      <c r="CAC915" s="1091"/>
      <c r="CAD915" s="1091"/>
      <c r="CAE915" s="1091"/>
      <c r="CAF915" s="1091"/>
      <c r="CAG915" s="1091"/>
      <c r="CAH915" s="1091"/>
      <c r="CAI915" s="1091"/>
      <c r="CAJ915" s="1091"/>
      <c r="CAK915" s="1091"/>
      <c r="CAL915" s="1091"/>
      <c r="CAM915" s="1091"/>
      <c r="CAN915" s="1091"/>
      <c r="CAO915" s="1091"/>
      <c r="CAP915" s="1091"/>
      <c r="CAQ915" s="1091"/>
      <c r="CAR915" s="1091"/>
      <c r="CAS915" s="1091"/>
      <c r="CAT915" s="1091"/>
      <c r="CAU915" s="1091"/>
      <c r="CAV915" s="1091"/>
      <c r="CAW915" s="1091"/>
      <c r="CAX915" s="1091"/>
      <c r="CAY915" s="1091"/>
      <c r="CAZ915" s="1091"/>
      <c r="CBA915" s="1091"/>
      <c r="CBB915" s="1091"/>
      <c r="CBC915" s="1091"/>
      <c r="CBD915" s="1091"/>
      <c r="CBE915" s="1091"/>
      <c r="CBF915" s="1091"/>
      <c r="CBG915" s="1091"/>
      <c r="CBH915" s="1091"/>
      <c r="CBI915" s="1091"/>
      <c r="CBJ915" s="1091"/>
      <c r="CBK915" s="1091"/>
      <c r="CBL915" s="1091"/>
      <c r="CBM915" s="1091"/>
      <c r="CBN915" s="1091"/>
      <c r="CBO915" s="1091"/>
      <c r="CBP915" s="1091"/>
      <c r="CBQ915" s="1091"/>
      <c r="CBR915" s="1091"/>
      <c r="CBS915" s="1091"/>
      <c r="CBT915" s="1091"/>
      <c r="CBU915" s="1091"/>
      <c r="CBV915" s="1091"/>
      <c r="CBW915" s="1091"/>
      <c r="CBX915" s="1091"/>
      <c r="CBY915" s="1091"/>
      <c r="CBZ915" s="1091"/>
      <c r="CCA915" s="1091"/>
      <c r="CCB915" s="1091"/>
      <c r="CCC915" s="1091"/>
      <c r="CCD915" s="1091"/>
      <c r="CCE915" s="1091"/>
      <c r="CCF915" s="1091"/>
      <c r="CCG915" s="1091"/>
      <c r="CCH915" s="1091"/>
      <c r="CCI915" s="1091"/>
      <c r="CCJ915" s="1091"/>
      <c r="CCK915" s="1091"/>
      <c r="CCL915" s="1091"/>
      <c r="CCM915" s="1091"/>
      <c r="CCN915" s="1091"/>
      <c r="CCO915" s="1091"/>
      <c r="CCP915" s="1091"/>
      <c r="CCQ915" s="1091"/>
      <c r="CCR915" s="1091"/>
      <c r="CCS915" s="1091"/>
      <c r="CCT915" s="1091"/>
      <c r="CCU915" s="1091"/>
      <c r="CCV915" s="1091"/>
      <c r="CCW915" s="1091"/>
      <c r="CCX915" s="1091"/>
      <c r="CCY915" s="1091"/>
      <c r="CCZ915" s="1091"/>
      <c r="CDA915" s="1091"/>
      <c r="CDB915" s="1091"/>
      <c r="CDC915" s="1091"/>
      <c r="CDD915" s="1091"/>
      <c r="CDE915" s="1091"/>
      <c r="CDF915" s="1091"/>
      <c r="CDG915" s="1091"/>
      <c r="CDH915" s="1091"/>
      <c r="CDI915" s="1091"/>
      <c r="CDJ915" s="1091"/>
      <c r="CDK915" s="1091"/>
      <c r="CDL915" s="1091"/>
      <c r="CDM915" s="1091"/>
      <c r="CDN915" s="1091"/>
      <c r="CDO915" s="1091"/>
      <c r="CDP915" s="1091"/>
      <c r="CDQ915" s="1091"/>
      <c r="CDR915" s="1091"/>
      <c r="CDS915" s="1091"/>
      <c r="CDT915" s="1091"/>
      <c r="CDU915" s="1091"/>
      <c r="CDV915" s="1091"/>
      <c r="CDW915" s="1091"/>
      <c r="CDX915" s="1091"/>
      <c r="CDY915" s="1091"/>
      <c r="CDZ915" s="1091"/>
      <c r="CEA915" s="1091"/>
      <c r="CEB915" s="1091"/>
      <c r="CEC915" s="1091"/>
      <c r="CED915" s="1091"/>
      <c r="CEE915" s="1091"/>
      <c r="CEF915" s="1091"/>
      <c r="CEG915" s="1091"/>
      <c r="CEH915" s="1091"/>
      <c r="CEI915" s="1091"/>
      <c r="CEJ915" s="1091"/>
      <c r="CEK915" s="1091"/>
      <c r="CEL915" s="1091"/>
      <c r="CEM915" s="1091"/>
      <c r="CEN915" s="1091"/>
      <c r="CEO915" s="1091"/>
      <c r="CEP915" s="1091"/>
      <c r="CEQ915" s="1091"/>
      <c r="CER915" s="1091"/>
      <c r="CES915" s="1091"/>
      <c r="CET915" s="1091"/>
      <c r="CEU915" s="1091"/>
      <c r="CEV915" s="1091"/>
      <c r="CEW915" s="1091"/>
      <c r="CEX915" s="1091"/>
      <c r="CEY915" s="1091"/>
      <c r="CEZ915" s="1091"/>
      <c r="CFA915" s="1091"/>
      <c r="CFB915" s="1091"/>
      <c r="CFC915" s="1091"/>
      <c r="CFD915" s="1091"/>
      <c r="CFE915" s="1091"/>
      <c r="CFF915" s="1091"/>
      <c r="CFG915" s="1091"/>
      <c r="CFH915" s="1091"/>
      <c r="CFI915" s="1091"/>
      <c r="CFJ915" s="1091"/>
      <c r="CFK915" s="1091"/>
      <c r="CFL915" s="1091"/>
      <c r="CFM915" s="1091"/>
      <c r="CFN915" s="1091"/>
      <c r="CFO915" s="1091"/>
      <c r="CFP915" s="1091"/>
      <c r="CFQ915" s="1091"/>
      <c r="CFR915" s="1091"/>
      <c r="CFS915" s="1091"/>
      <c r="CFT915" s="1091"/>
      <c r="CFU915" s="1091"/>
      <c r="CFV915" s="1091"/>
      <c r="CFW915" s="1091"/>
      <c r="CFX915" s="1091"/>
      <c r="CFY915" s="1091"/>
      <c r="CFZ915" s="1091"/>
      <c r="CGA915" s="1091"/>
      <c r="CGB915" s="1091"/>
      <c r="CGC915" s="1091"/>
      <c r="CGD915" s="1091"/>
      <c r="CGE915" s="1091"/>
      <c r="CGF915" s="1091"/>
      <c r="CGG915" s="1091"/>
      <c r="CGH915" s="1091"/>
      <c r="CGI915" s="1091"/>
      <c r="CGJ915" s="1091"/>
      <c r="CGK915" s="1091"/>
      <c r="CGL915" s="1091"/>
      <c r="CGM915" s="1091"/>
      <c r="CGN915" s="1091"/>
      <c r="CGO915" s="1091"/>
      <c r="CGP915" s="1091"/>
      <c r="CGQ915" s="1091"/>
      <c r="CGR915" s="1091"/>
      <c r="CGS915" s="1091"/>
      <c r="CGT915" s="1091"/>
      <c r="CGU915" s="1091"/>
      <c r="CGV915" s="1091"/>
      <c r="CGW915" s="1091"/>
      <c r="CGX915" s="1091"/>
      <c r="CGY915" s="1091"/>
      <c r="CGZ915" s="1091"/>
      <c r="CHA915" s="1091"/>
      <c r="CHB915" s="1091"/>
      <c r="CHC915" s="1091"/>
      <c r="CHD915" s="1091"/>
      <c r="CHE915" s="1091"/>
      <c r="CHF915" s="1091"/>
      <c r="CHG915" s="1091"/>
      <c r="CHH915" s="1091"/>
      <c r="CHI915" s="1091"/>
      <c r="CHJ915" s="1091"/>
      <c r="CHK915" s="1091"/>
      <c r="CHL915" s="1091"/>
      <c r="CHM915" s="1091"/>
      <c r="CHN915" s="1091"/>
      <c r="CHO915" s="1091"/>
      <c r="CHP915" s="1091"/>
      <c r="CHQ915" s="1091"/>
      <c r="CHR915" s="1091"/>
      <c r="CHS915" s="1091"/>
      <c r="CHT915" s="1091"/>
      <c r="CHU915" s="1091"/>
      <c r="CHV915" s="1091"/>
      <c r="CHW915" s="1091"/>
      <c r="CHX915" s="1091"/>
      <c r="CHY915" s="1091"/>
      <c r="CHZ915" s="1091"/>
      <c r="CIA915" s="1091"/>
      <c r="CIB915" s="1091"/>
      <c r="CIC915" s="1091"/>
      <c r="CID915" s="1091"/>
      <c r="CIE915" s="1091"/>
      <c r="CIF915" s="1091"/>
      <c r="CIG915" s="1091"/>
      <c r="CIH915" s="1091"/>
      <c r="CII915" s="1091"/>
      <c r="CIJ915" s="1091"/>
      <c r="CIK915" s="1091"/>
      <c r="CIL915" s="1091"/>
      <c r="CIM915" s="1091"/>
      <c r="CIN915" s="1091"/>
      <c r="CIO915" s="1091"/>
      <c r="CIP915" s="1091"/>
      <c r="CIQ915" s="1091"/>
      <c r="CIR915" s="1091"/>
      <c r="CIS915" s="1091"/>
      <c r="CIT915" s="1091"/>
      <c r="CIU915" s="1091"/>
      <c r="CIV915" s="1091"/>
      <c r="CIW915" s="1091"/>
      <c r="CIX915" s="1091"/>
      <c r="CIY915" s="1091"/>
      <c r="CIZ915" s="1091"/>
      <c r="CJA915" s="1091"/>
      <c r="CJB915" s="1091"/>
      <c r="CJC915" s="1091"/>
      <c r="CJD915" s="1091"/>
      <c r="CJE915" s="1091"/>
      <c r="CJF915" s="1091"/>
      <c r="CJG915" s="1091"/>
      <c r="CJH915" s="1091"/>
      <c r="CJI915" s="1091"/>
      <c r="CJJ915" s="1091"/>
      <c r="CJK915" s="1091"/>
      <c r="CJL915" s="1091"/>
      <c r="CJM915" s="1091"/>
      <c r="CJN915" s="1091"/>
      <c r="CJO915" s="1091"/>
      <c r="CJP915" s="1091"/>
      <c r="CJQ915" s="1091"/>
      <c r="CJR915" s="1091"/>
      <c r="CJS915" s="1091"/>
      <c r="CJT915" s="1091"/>
      <c r="CJU915" s="1091"/>
      <c r="CJV915" s="1091"/>
      <c r="CJW915" s="1091"/>
      <c r="CJX915" s="1091"/>
      <c r="CJY915" s="1091"/>
      <c r="CJZ915" s="1091"/>
      <c r="CKA915" s="1091"/>
      <c r="CKB915" s="1091"/>
      <c r="CKC915" s="1091"/>
      <c r="CKD915" s="1091"/>
      <c r="CKE915" s="1091"/>
      <c r="CKF915" s="1091"/>
      <c r="CKG915" s="1091"/>
      <c r="CKH915" s="1091"/>
      <c r="CKI915" s="1091"/>
      <c r="CKJ915" s="1091"/>
      <c r="CKK915" s="1091"/>
      <c r="CKL915" s="1091"/>
      <c r="CKM915" s="1091"/>
      <c r="CKN915" s="1091"/>
      <c r="CKO915" s="1091"/>
      <c r="CKP915" s="1091"/>
      <c r="CKQ915" s="1091"/>
      <c r="CKR915" s="1091"/>
      <c r="CKS915" s="1091"/>
      <c r="CKT915" s="1091"/>
      <c r="CKU915" s="1091"/>
      <c r="CKV915" s="1091"/>
      <c r="CKW915" s="1091"/>
      <c r="CKX915" s="1091"/>
      <c r="CKY915" s="1091"/>
      <c r="CKZ915" s="1091"/>
      <c r="CLA915" s="1091"/>
      <c r="CLB915" s="1091"/>
      <c r="CLC915" s="1091"/>
      <c r="CLD915" s="1091"/>
      <c r="CLE915" s="1091"/>
      <c r="CLF915" s="1091"/>
      <c r="CLG915" s="1091"/>
      <c r="CLH915" s="1091"/>
      <c r="CLI915" s="1091"/>
      <c r="CLJ915" s="1091"/>
      <c r="CLK915" s="1091"/>
      <c r="CLL915" s="1091"/>
      <c r="CLM915" s="1091"/>
      <c r="CLN915" s="1091"/>
      <c r="CLO915" s="1091"/>
      <c r="CLP915" s="1091"/>
      <c r="CLQ915" s="1091"/>
      <c r="CLR915" s="1091"/>
      <c r="CLS915" s="1091"/>
      <c r="CLT915" s="1091"/>
      <c r="CLU915" s="1091"/>
      <c r="CLV915" s="1091"/>
      <c r="CLW915" s="1091"/>
      <c r="CLX915" s="1091"/>
      <c r="CLY915" s="1091"/>
      <c r="CLZ915" s="1091"/>
      <c r="CMA915" s="1091"/>
      <c r="CMB915" s="1091"/>
      <c r="CMC915" s="1091"/>
      <c r="CMD915" s="1091"/>
      <c r="CME915" s="1091"/>
      <c r="CMF915" s="1091"/>
      <c r="CMG915" s="1091"/>
      <c r="CMH915" s="1091"/>
      <c r="CMI915" s="1091"/>
      <c r="CMJ915" s="1091"/>
      <c r="CMK915" s="1091"/>
      <c r="CML915" s="1091"/>
      <c r="CMM915" s="1091"/>
      <c r="CMN915" s="1091"/>
      <c r="CMO915" s="1091"/>
      <c r="CMP915" s="1091"/>
      <c r="CMQ915" s="1091"/>
      <c r="CMR915" s="1091"/>
      <c r="CMS915" s="1091"/>
      <c r="CMT915" s="1091"/>
      <c r="CMU915" s="1091"/>
      <c r="CMV915" s="1091"/>
      <c r="CMW915" s="1091"/>
      <c r="CMX915" s="1091"/>
      <c r="CMY915" s="1091"/>
      <c r="CMZ915" s="1091"/>
      <c r="CNA915" s="1091"/>
      <c r="CNB915" s="1091"/>
      <c r="CNC915" s="1091"/>
      <c r="CND915" s="1091"/>
      <c r="CNE915" s="1091"/>
      <c r="CNF915" s="1091"/>
      <c r="CNG915" s="1091"/>
      <c r="CNH915" s="1091"/>
      <c r="CNI915" s="1091"/>
      <c r="CNJ915" s="1091"/>
      <c r="CNK915" s="1091"/>
      <c r="CNL915" s="1091"/>
      <c r="CNM915" s="1091"/>
      <c r="CNN915" s="1091"/>
      <c r="CNO915" s="1091"/>
      <c r="CNP915" s="1091"/>
      <c r="CNQ915" s="1091"/>
      <c r="CNR915" s="1091"/>
      <c r="CNS915" s="1091"/>
      <c r="CNT915" s="1091"/>
      <c r="CNU915" s="1091"/>
      <c r="CNV915" s="1091"/>
      <c r="CNW915" s="1091"/>
      <c r="CNX915" s="1091"/>
      <c r="CNY915" s="1091"/>
      <c r="CNZ915" s="1091"/>
      <c r="COA915" s="1091"/>
      <c r="COB915" s="1091"/>
      <c r="COC915" s="1091"/>
      <c r="COD915" s="1091"/>
      <c r="COE915" s="1091"/>
      <c r="COF915" s="1091"/>
      <c r="COG915" s="1091"/>
      <c r="COH915" s="1091"/>
      <c r="COI915" s="1091"/>
      <c r="COJ915" s="1091"/>
      <c r="COK915" s="1091"/>
      <c r="COL915" s="1091"/>
      <c r="COM915" s="1091"/>
      <c r="CON915" s="1091"/>
      <c r="COO915" s="1091"/>
      <c r="COP915" s="1091"/>
      <c r="COQ915" s="1091"/>
      <c r="COR915" s="1091"/>
      <c r="COS915" s="1091"/>
      <c r="COT915" s="1091"/>
      <c r="COU915" s="1091"/>
      <c r="COV915" s="1091"/>
      <c r="COW915" s="1091"/>
      <c r="COX915" s="1091"/>
      <c r="COY915" s="1091"/>
      <c r="COZ915" s="1091"/>
      <c r="CPA915" s="1091"/>
      <c r="CPB915" s="1091"/>
      <c r="CPC915" s="1091"/>
      <c r="CPD915" s="1091"/>
      <c r="CPE915" s="1091"/>
      <c r="CPF915" s="1091"/>
      <c r="CPG915" s="1091"/>
      <c r="CPH915" s="1091"/>
      <c r="CPI915" s="1091"/>
      <c r="CPJ915" s="1091"/>
      <c r="CPK915" s="1091"/>
      <c r="CPL915" s="1091"/>
      <c r="CPM915" s="1091"/>
      <c r="CPN915" s="1091"/>
      <c r="CPO915" s="1091"/>
      <c r="CPP915" s="1091"/>
      <c r="CPQ915" s="1091"/>
      <c r="CPR915" s="1091"/>
      <c r="CPS915" s="1091"/>
      <c r="CPT915" s="1091"/>
      <c r="CPU915" s="1091"/>
      <c r="CPV915" s="1091"/>
      <c r="CPW915" s="1091"/>
      <c r="CPX915" s="1091"/>
      <c r="CPY915" s="1091"/>
      <c r="CPZ915" s="1091"/>
      <c r="CQA915" s="1091"/>
      <c r="CQB915" s="1091"/>
      <c r="CQC915" s="1091"/>
      <c r="CQD915" s="1091"/>
      <c r="CQE915" s="1091"/>
      <c r="CQF915" s="1091"/>
      <c r="CQG915" s="1091"/>
      <c r="CQH915" s="1091"/>
      <c r="CQI915" s="1091"/>
      <c r="CQJ915" s="1091"/>
      <c r="CQK915" s="1091"/>
      <c r="CQL915" s="1091"/>
      <c r="CQM915" s="1091"/>
      <c r="CQN915" s="1091"/>
      <c r="CQO915" s="1091"/>
      <c r="CQP915" s="1091"/>
      <c r="CQQ915" s="1091"/>
      <c r="CQR915" s="1091"/>
      <c r="CQS915" s="1091"/>
      <c r="CQT915" s="1091"/>
      <c r="CQU915" s="1091"/>
      <c r="CQV915" s="1091"/>
      <c r="CQW915" s="1091"/>
      <c r="CQX915" s="1091"/>
      <c r="CQY915" s="1091"/>
      <c r="CQZ915" s="1091"/>
      <c r="CRA915" s="1091"/>
      <c r="CRB915" s="1091"/>
      <c r="CRC915" s="1091"/>
      <c r="CRD915" s="1091"/>
      <c r="CRE915" s="1091"/>
      <c r="CRF915" s="1091"/>
      <c r="CRG915" s="1091"/>
      <c r="CRH915" s="1091"/>
      <c r="CRI915" s="1091"/>
      <c r="CRJ915" s="1091"/>
      <c r="CRK915" s="1091"/>
      <c r="CRL915" s="1091"/>
      <c r="CRM915" s="1091"/>
      <c r="CRN915" s="1091"/>
      <c r="CRO915" s="1091"/>
      <c r="CRP915" s="1091"/>
      <c r="CRQ915" s="1091"/>
      <c r="CRR915" s="1091"/>
      <c r="CRS915" s="1091"/>
      <c r="CRT915" s="1091"/>
      <c r="CRU915" s="1091"/>
      <c r="CRV915" s="1091"/>
      <c r="CRW915" s="1091"/>
      <c r="CRX915" s="1091"/>
      <c r="CRY915" s="1091"/>
      <c r="CRZ915" s="1091"/>
      <c r="CSA915" s="1091"/>
      <c r="CSB915" s="1091"/>
      <c r="CSC915" s="1091"/>
      <c r="CSD915" s="1091"/>
      <c r="CSE915" s="1091"/>
      <c r="CSF915" s="1091"/>
      <c r="CSG915" s="1091"/>
      <c r="CSH915" s="1091"/>
      <c r="CSI915" s="1091"/>
      <c r="CSJ915" s="1091"/>
      <c r="CSK915" s="1091"/>
      <c r="CSL915" s="1091"/>
      <c r="CSM915" s="1091"/>
      <c r="CSN915" s="1091"/>
      <c r="CSO915" s="1091"/>
      <c r="CSP915" s="1091"/>
      <c r="CSQ915" s="1091"/>
      <c r="CSR915" s="1091"/>
      <c r="CSS915" s="1091"/>
      <c r="CST915" s="1091"/>
      <c r="CSU915" s="1091"/>
      <c r="CSV915" s="1091"/>
      <c r="CSW915" s="1091"/>
      <c r="CSX915" s="1091"/>
      <c r="CSY915" s="1091"/>
      <c r="CSZ915" s="1091"/>
      <c r="CTA915" s="1091"/>
      <c r="CTB915" s="1091"/>
      <c r="CTC915" s="1091"/>
      <c r="CTD915" s="1091"/>
      <c r="CTE915" s="1091"/>
      <c r="CTF915" s="1091"/>
      <c r="CTG915" s="1091"/>
      <c r="CTH915" s="1091"/>
      <c r="CTI915" s="1091"/>
      <c r="CTJ915" s="1091"/>
      <c r="CTK915" s="1091"/>
      <c r="CTL915" s="1091"/>
      <c r="CTM915" s="1091"/>
      <c r="CTN915" s="1091"/>
      <c r="CTO915" s="1091"/>
      <c r="CTP915" s="1091"/>
      <c r="CTQ915" s="1091"/>
      <c r="CTR915" s="1091"/>
      <c r="CTS915" s="1091"/>
      <c r="CTT915" s="1091"/>
      <c r="CTU915" s="1091"/>
      <c r="CTV915" s="1091"/>
      <c r="CTW915" s="1091"/>
      <c r="CTX915" s="1091"/>
      <c r="CTY915" s="1091"/>
      <c r="CTZ915" s="1091"/>
      <c r="CUA915" s="1091"/>
      <c r="CUB915" s="1091"/>
      <c r="CUC915" s="1091"/>
      <c r="CUD915" s="1091"/>
      <c r="CUE915" s="1091"/>
      <c r="CUF915" s="1091"/>
      <c r="CUG915" s="1091"/>
      <c r="CUH915" s="1091"/>
      <c r="CUI915" s="1091"/>
      <c r="CUJ915" s="1091"/>
      <c r="CUK915" s="1091"/>
      <c r="CUL915" s="1091"/>
      <c r="CUM915" s="1091"/>
      <c r="CUN915" s="1091"/>
      <c r="CUO915" s="1091"/>
      <c r="CUP915" s="1091"/>
      <c r="CUQ915" s="1091"/>
      <c r="CUR915" s="1091"/>
      <c r="CUS915" s="1091"/>
      <c r="CUT915" s="1091"/>
      <c r="CUU915" s="1091"/>
      <c r="CUV915" s="1091"/>
      <c r="CUW915" s="1091"/>
      <c r="CUX915" s="1091"/>
      <c r="CUY915" s="1091"/>
      <c r="CUZ915" s="1091"/>
      <c r="CVA915" s="1091"/>
      <c r="CVB915" s="1091"/>
      <c r="CVC915" s="1091"/>
      <c r="CVD915" s="1091"/>
      <c r="CVE915" s="1091"/>
      <c r="CVF915" s="1091"/>
      <c r="CVG915" s="1091"/>
      <c r="CVH915" s="1091"/>
      <c r="CVI915" s="1091"/>
      <c r="CVJ915" s="1091"/>
      <c r="CVK915" s="1091"/>
      <c r="CVL915" s="1091"/>
      <c r="CVM915" s="1091"/>
      <c r="CVN915" s="1091"/>
      <c r="CVO915" s="1091"/>
      <c r="CVP915" s="1091"/>
      <c r="CVQ915" s="1091"/>
      <c r="CVR915" s="1091"/>
      <c r="CVS915" s="1091"/>
      <c r="CVT915" s="1091"/>
      <c r="CVU915" s="1091"/>
      <c r="CVV915" s="1091"/>
      <c r="CVW915" s="1091"/>
      <c r="CVX915" s="1091"/>
      <c r="CVY915" s="1091"/>
      <c r="CVZ915" s="1091"/>
      <c r="CWA915" s="1091"/>
      <c r="CWB915" s="1091"/>
      <c r="CWC915" s="1091"/>
      <c r="CWD915" s="1091"/>
      <c r="CWE915" s="1091"/>
      <c r="CWF915" s="1091"/>
      <c r="CWG915" s="1091"/>
      <c r="CWH915" s="1091"/>
      <c r="CWI915" s="1091"/>
      <c r="CWJ915" s="1091"/>
      <c r="CWK915" s="1091"/>
      <c r="CWL915" s="1091"/>
      <c r="CWM915" s="1091"/>
      <c r="CWN915" s="1091"/>
      <c r="CWO915" s="1091"/>
      <c r="CWP915" s="1091"/>
      <c r="CWQ915" s="1091"/>
      <c r="CWR915" s="1091"/>
      <c r="CWS915" s="1091"/>
      <c r="CWT915" s="1091"/>
      <c r="CWU915" s="1091"/>
      <c r="CWV915" s="1091"/>
      <c r="CWW915" s="1091"/>
      <c r="CWX915" s="1091"/>
      <c r="CWY915" s="1091"/>
      <c r="CWZ915" s="1091"/>
      <c r="CXA915" s="1091"/>
      <c r="CXB915" s="1091"/>
      <c r="CXC915" s="1091"/>
      <c r="CXD915" s="1091"/>
      <c r="CXE915" s="1091"/>
      <c r="CXF915" s="1091"/>
      <c r="CXG915" s="1091"/>
      <c r="CXH915" s="1091"/>
      <c r="CXI915" s="1091"/>
      <c r="CXJ915" s="1091"/>
      <c r="CXK915" s="1091"/>
      <c r="CXL915" s="1091"/>
      <c r="CXM915" s="1091"/>
      <c r="CXN915" s="1091"/>
      <c r="CXO915" s="1091"/>
      <c r="CXP915" s="1091"/>
      <c r="CXQ915" s="1091"/>
      <c r="CXR915" s="1091"/>
      <c r="CXS915" s="1091"/>
      <c r="CXT915" s="1091"/>
      <c r="CXU915" s="1091"/>
      <c r="CXV915" s="1091"/>
      <c r="CXW915" s="1091"/>
      <c r="CXX915" s="1091"/>
      <c r="CXY915" s="1091"/>
      <c r="CXZ915" s="1091"/>
      <c r="CYA915" s="1091"/>
      <c r="CYB915" s="1091"/>
      <c r="CYC915" s="1091"/>
      <c r="CYD915" s="1091"/>
      <c r="CYE915" s="1091"/>
      <c r="CYF915" s="1091"/>
      <c r="CYG915" s="1091"/>
      <c r="CYH915" s="1091"/>
      <c r="CYI915" s="1091"/>
      <c r="CYJ915" s="1091"/>
      <c r="CYK915" s="1091"/>
      <c r="CYL915" s="1091"/>
      <c r="CYM915" s="1091"/>
      <c r="CYN915" s="1091"/>
      <c r="CYO915" s="1091"/>
      <c r="CYP915" s="1091"/>
      <c r="CYQ915" s="1091"/>
      <c r="CYR915" s="1091"/>
      <c r="CYS915" s="1091"/>
      <c r="CYT915" s="1091"/>
      <c r="CYU915" s="1091"/>
      <c r="CYV915" s="1091"/>
      <c r="CYW915" s="1091"/>
      <c r="CYX915" s="1091"/>
      <c r="CYY915" s="1091"/>
      <c r="CYZ915" s="1091"/>
      <c r="CZA915" s="1091"/>
      <c r="CZB915" s="1091"/>
      <c r="CZC915" s="1091"/>
      <c r="CZD915" s="1091"/>
      <c r="CZE915" s="1091"/>
      <c r="CZF915" s="1091"/>
      <c r="CZG915" s="1091"/>
      <c r="CZH915" s="1091"/>
      <c r="CZI915" s="1091"/>
      <c r="CZJ915" s="1091"/>
      <c r="CZK915" s="1091"/>
      <c r="CZL915" s="1091"/>
      <c r="CZM915" s="1091"/>
      <c r="CZN915" s="1091"/>
      <c r="CZO915" s="1091"/>
      <c r="CZP915" s="1091"/>
      <c r="CZQ915" s="1091"/>
      <c r="CZR915" s="1091"/>
      <c r="CZS915" s="1091"/>
      <c r="CZT915" s="1091"/>
      <c r="CZU915" s="1091"/>
      <c r="CZV915" s="1091"/>
      <c r="CZW915" s="1091"/>
      <c r="CZX915" s="1091"/>
      <c r="CZY915" s="1091"/>
      <c r="CZZ915" s="1091"/>
      <c r="DAA915" s="1091"/>
      <c r="DAB915" s="1091"/>
      <c r="DAC915" s="1091"/>
      <c r="DAD915" s="1091"/>
      <c r="DAE915" s="1091"/>
      <c r="DAF915" s="1091"/>
      <c r="DAG915" s="1091"/>
      <c r="DAH915" s="1091"/>
      <c r="DAI915" s="1091"/>
      <c r="DAJ915" s="1091"/>
      <c r="DAK915" s="1091"/>
      <c r="DAL915" s="1091"/>
      <c r="DAM915" s="1091"/>
      <c r="DAN915" s="1091"/>
      <c r="DAO915" s="1091"/>
      <c r="DAP915" s="1091"/>
      <c r="DAQ915" s="1091"/>
      <c r="DAR915" s="1091"/>
      <c r="DAS915" s="1091"/>
      <c r="DAT915" s="1091"/>
      <c r="DAU915" s="1091"/>
      <c r="DAV915" s="1091"/>
      <c r="DAW915" s="1091"/>
      <c r="DAX915" s="1091"/>
      <c r="DAY915" s="1091"/>
      <c r="DAZ915" s="1091"/>
      <c r="DBA915" s="1091"/>
      <c r="DBB915" s="1091"/>
      <c r="DBC915" s="1091"/>
      <c r="DBD915" s="1091"/>
      <c r="DBE915" s="1091"/>
      <c r="DBF915" s="1091"/>
      <c r="DBG915" s="1091"/>
      <c r="DBH915" s="1091"/>
      <c r="DBI915" s="1091"/>
      <c r="DBJ915" s="1091"/>
      <c r="DBK915" s="1091"/>
      <c r="DBL915" s="1091"/>
      <c r="DBM915" s="1091"/>
      <c r="DBN915" s="1091"/>
      <c r="DBO915" s="1091"/>
      <c r="DBP915" s="1091"/>
      <c r="DBQ915" s="1091"/>
      <c r="DBR915" s="1091"/>
      <c r="DBS915" s="1091"/>
      <c r="DBT915" s="1091"/>
      <c r="DBU915" s="1091"/>
      <c r="DBV915" s="1091"/>
      <c r="DBW915" s="1091"/>
      <c r="DBX915" s="1091"/>
      <c r="DBY915" s="1091"/>
      <c r="DBZ915" s="1091"/>
      <c r="DCA915" s="1091"/>
      <c r="DCB915" s="1091"/>
      <c r="DCC915" s="1091"/>
      <c r="DCD915" s="1091"/>
      <c r="DCE915" s="1091"/>
      <c r="DCF915" s="1091"/>
      <c r="DCG915" s="1091"/>
      <c r="DCH915" s="1091"/>
      <c r="DCI915" s="1091"/>
      <c r="DCJ915" s="1091"/>
      <c r="DCK915" s="1091"/>
      <c r="DCL915" s="1091"/>
      <c r="DCM915" s="1091"/>
      <c r="DCN915" s="1091"/>
      <c r="DCO915" s="1091"/>
      <c r="DCP915" s="1091"/>
      <c r="DCQ915" s="1091"/>
      <c r="DCR915" s="1091"/>
      <c r="DCS915" s="1091"/>
      <c r="DCT915" s="1091"/>
      <c r="DCU915" s="1091"/>
      <c r="DCV915" s="1091"/>
      <c r="DCW915" s="1091"/>
      <c r="DCX915" s="1091"/>
      <c r="DCY915" s="1091"/>
      <c r="DCZ915" s="1091"/>
      <c r="DDA915" s="1091"/>
      <c r="DDB915" s="1091"/>
      <c r="DDC915" s="1091"/>
      <c r="DDD915" s="1091"/>
      <c r="DDE915" s="1091"/>
      <c r="DDF915" s="1091"/>
      <c r="DDG915" s="1091"/>
      <c r="DDH915" s="1091"/>
      <c r="DDI915" s="1091"/>
      <c r="DDJ915" s="1091"/>
      <c r="DDK915" s="1091"/>
      <c r="DDL915" s="1091"/>
      <c r="DDM915" s="1091"/>
      <c r="DDN915" s="1091"/>
      <c r="DDO915" s="1091"/>
      <c r="DDP915" s="1091"/>
      <c r="DDQ915" s="1091"/>
      <c r="DDR915" s="1091"/>
      <c r="DDS915" s="1091"/>
      <c r="DDT915" s="1091"/>
      <c r="DDU915" s="1091"/>
      <c r="DDV915" s="1091"/>
      <c r="DDW915" s="1091"/>
      <c r="DDX915" s="1091"/>
      <c r="DDY915" s="1091"/>
      <c r="DDZ915" s="1091"/>
      <c r="DEA915" s="1091"/>
      <c r="DEB915" s="1091"/>
      <c r="DEC915" s="1091"/>
      <c r="DED915" s="1091"/>
      <c r="DEE915" s="1091"/>
      <c r="DEF915" s="1091"/>
      <c r="DEG915" s="1091"/>
      <c r="DEH915" s="1091"/>
      <c r="DEI915" s="1091"/>
      <c r="DEJ915" s="1091"/>
      <c r="DEK915" s="1091"/>
      <c r="DEL915" s="1091"/>
      <c r="DEM915" s="1091"/>
      <c r="DEN915" s="1091"/>
      <c r="DEO915" s="1091"/>
      <c r="DEP915" s="1091"/>
      <c r="DEQ915" s="1091"/>
      <c r="DER915" s="1091"/>
      <c r="DES915" s="1091"/>
      <c r="DET915" s="1091"/>
      <c r="DEU915" s="1091"/>
      <c r="DEV915" s="1091"/>
      <c r="DEW915" s="1091"/>
      <c r="DEX915" s="1091"/>
      <c r="DEY915" s="1091"/>
      <c r="DEZ915" s="1091"/>
      <c r="DFA915" s="1091"/>
      <c r="DFB915" s="1091"/>
      <c r="DFC915" s="1091"/>
      <c r="DFD915" s="1091"/>
      <c r="DFE915" s="1091"/>
      <c r="DFF915" s="1091"/>
      <c r="DFG915" s="1091"/>
      <c r="DFH915" s="1091"/>
      <c r="DFI915" s="1091"/>
      <c r="DFJ915" s="1091"/>
      <c r="DFK915" s="1091"/>
      <c r="DFL915" s="1091"/>
      <c r="DFM915" s="1091"/>
      <c r="DFN915" s="1091"/>
      <c r="DFO915" s="1091"/>
      <c r="DFP915" s="1091"/>
      <c r="DFQ915" s="1091"/>
      <c r="DFR915" s="1091"/>
      <c r="DFS915" s="1091"/>
      <c r="DFT915" s="1091"/>
      <c r="DFU915" s="1091"/>
      <c r="DFV915" s="1091"/>
      <c r="DFW915" s="1091"/>
      <c r="DFX915" s="1091"/>
      <c r="DFY915" s="1091"/>
      <c r="DFZ915" s="1091"/>
      <c r="DGA915" s="1091"/>
      <c r="DGB915" s="1091"/>
      <c r="DGC915" s="1091"/>
      <c r="DGD915" s="1091"/>
      <c r="DGE915" s="1091"/>
      <c r="DGF915" s="1091"/>
      <c r="DGG915" s="1091"/>
      <c r="DGH915" s="1091"/>
      <c r="DGI915" s="1091"/>
      <c r="DGJ915" s="1091"/>
      <c r="DGK915" s="1091"/>
      <c r="DGL915" s="1091"/>
      <c r="DGM915" s="1091"/>
      <c r="DGN915" s="1091"/>
      <c r="DGO915" s="1091"/>
      <c r="DGP915" s="1091"/>
      <c r="DGQ915" s="1091"/>
      <c r="DGR915" s="1091"/>
      <c r="DGS915" s="1091"/>
      <c r="DGT915" s="1091"/>
      <c r="DGU915" s="1091"/>
      <c r="DGV915" s="1091"/>
      <c r="DGW915" s="1091"/>
      <c r="DGX915" s="1091"/>
      <c r="DGY915" s="1091"/>
      <c r="DGZ915" s="1091"/>
      <c r="DHA915" s="1091"/>
      <c r="DHB915" s="1091"/>
      <c r="DHC915" s="1091"/>
      <c r="DHD915" s="1091"/>
      <c r="DHE915" s="1091"/>
      <c r="DHF915" s="1091"/>
      <c r="DHG915" s="1091"/>
      <c r="DHH915" s="1091"/>
      <c r="DHI915" s="1091"/>
      <c r="DHJ915" s="1091"/>
      <c r="DHK915" s="1091"/>
      <c r="DHL915" s="1091"/>
      <c r="DHM915" s="1091"/>
      <c r="DHN915" s="1091"/>
      <c r="DHO915" s="1091"/>
      <c r="DHP915" s="1091"/>
      <c r="DHQ915" s="1091"/>
      <c r="DHR915" s="1091"/>
      <c r="DHS915" s="1091"/>
      <c r="DHT915" s="1091"/>
      <c r="DHU915" s="1091"/>
      <c r="DHV915" s="1091"/>
      <c r="DHW915" s="1091"/>
      <c r="DHX915" s="1091"/>
      <c r="DHY915" s="1091"/>
      <c r="DHZ915" s="1091"/>
      <c r="DIA915" s="1091"/>
      <c r="DIB915" s="1091"/>
      <c r="DIC915" s="1091"/>
      <c r="DID915" s="1091"/>
      <c r="DIE915" s="1091"/>
      <c r="DIF915" s="1091"/>
      <c r="DIG915" s="1091"/>
      <c r="DIH915" s="1091"/>
      <c r="DII915" s="1091"/>
      <c r="DIJ915" s="1091"/>
      <c r="DIK915" s="1091"/>
      <c r="DIL915" s="1091"/>
      <c r="DIM915" s="1091"/>
      <c r="DIN915" s="1091"/>
      <c r="DIO915" s="1091"/>
      <c r="DIP915" s="1091"/>
      <c r="DIQ915" s="1091"/>
      <c r="DIR915" s="1091"/>
      <c r="DIS915" s="1091"/>
      <c r="DIT915" s="1091"/>
      <c r="DIU915" s="1091"/>
      <c r="DIV915" s="1091"/>
      <c r="DIW915" s="1091"/>
      <c r="DIX915" s="1091"/>
      <c r="DIY915" s="1091"/>
      <c r="DIZ915" s="1091"/>
      <c r="DJA915" s="1091"/>
      <c r="DJB915" s="1091"/>
      <c r="DJC915" s="1091"/>
      <c r="DJD915" s="1091"/>
      <c r="DJE915" s="1091"/>
      <c r="DJF915" s="1091"/>
      <c r="DJG915" s="1091"/>
      <c r="DJH915" s="1091"/>
      <c r="DJI915" s="1091"/>
      <c r="DJJ915" s="1091"/>
      <c r="DJK915" s="1091"/>
      <c r="DJL915" s="1091"/>
      <c r="DJM915" s="1091"/>
      <c r="DJN915" s="1091"/>
      <c r="DJO915" s="1091"/>
      <c r="DJP915" s="1091"/>
      <c r="DJQ915" s="1091"/>
      <c r="DJR915" s="1091"/>
      <c r="DJS915" s="1091"/>
      <c r="DJT915" s="1091"/>
      <c r="DJU915" s="1091"/>
      <c r="DJV915" s="1091"/>
      <c r="DJW915" s="1091"/>
      <c r="DJX915" s="1091"/>
      <c r="DJY915" s="1091"/>
      <c r="DJZ915" s="1091"/>
      <c r="DKA915" s="1091"/>
      <c r="DKB915" s="1091"/>
      <c r="DKC915" s="1091"/>
      <c r="DKD915" s="1091"/>
      <c r="DKE915" s="1091"/>
      <c r="DKF915" s="1091"/>
      <c r="DKG915" s="1091"/>
      <c r="DKH915" s="1091"/>
      <c r="DKI915" s="1091"/>
      <c r="DKJ915" s="1091"/>
      <c r="DKK915" s="1091"/>
      <c r="DKL915" s="1091"/>
      <c r="DKM915" s="1091"/>
      <c r="DKN915" s="1091"/>
      <c r="DKO915" s="1091"/>
      <c r="DKP915" s="1091"/>
      <c r="DKQ915" s="1091"/>
      <c r="DKR915" s="1091"/>
      <c r="DKS915" s="1091"/>
      <c r="DKT915" s="1091"/>
      <c r="DKU915" s="1091"/>
      <c r="DKV915" s="1091"/>
      <c r="DKW915" s="1091"/>
      <c r="DKX915" s="1091"/>
      <c r="DKY915" s="1091"/>
      <c r="DKZ915" s="1091"/>
      <c r="DLA915" s="1091"/>
      <c r="DLB915" s="1091"/>
      <c r="DLC915" s="1091"/>
      <c r="DLD915" s="1091"/>
      <c r="DLE915" s="1091"/>
      <c r="DLF915" s="1091"/>
      <c r="DLG915" s="1091"/>
      <c r="DLH915" s="1091"/>
      <c r="DLI915" s="1091"/>
      <c r="DLJ915" s="1091"/>
      <c r="DLK915" s="1091"/>
      <c r="DLL915" s="1091"/>
      <c r="DLM915" s="1091"/>
      <c r="DLN915" s="1091"/>
      <c r="DLO915" s="1091"/>
      <c r="DLP915" s="1091"/>
      <c r="DLQ915" s="1091"/>
      <c r="DLR915" s="1091"/>
      <c r="DLS915" s="1091"/>
      <c r="DLT915" s="1091"/>
      <c r="DLU915" s="1091"/>
      <c r="DLV915" s="1091"/>
      <c r="DLW915" s="1091"/>
      <c r="DLX915" s="1091"/>
      <c r="DLY915" s="1091"/>
      <c r="DLZ915" s="1091"/>
      <c r="DMA915" s="1091"/>
      <c r="DMB915" s="1091"/>
      <c r="DMC915" s="1091"/>
      <c r="DMD915" s="1091"/>
      <c r="DME915" s="1091"/>
      <c r="DMF915" s="1091"/>
      <c r="DMG915" s="1091"/>
      <c r="DMH915" s="1091"/>
      <c r="DMI915" s="1091"/>
      <c r="DMJ915" s="1091"/>
      <c r="DMK915" s="1091"/>
      <c r="DML915" s="1091"/>
      <c r="DMM915" s="1091"/>
      <c r="DMN915" s="1091"/>
      <c r="DMO915" s="1091"/>
      <c r="DMP915" s="1091"/>
      <c r="DMQ915" s="1091"/>
      <c r="DMR915" s="1091"/>
      <c r="DMS915" s="1091"/>
      <c r="DMT915" s="1091"/>
      <c r="DMU915" s="1091"/>
      <c r="DMV915" s="1091"/>
      <c r="DMW915" s="1091"/>
      <c r="DMX915" s="1091"/>
      <c r="DMY915" s="1091"/>
      <c r="DMZ915" s="1091"/>
      <c r="DNA915" s="1091"/>
      <c r="DNB915" s="1091"/>
      <c r="DNC915" s="1091"/>
      <c r="DND915" s="1091"/>
      <c r="DNE915" s="1091"/>
      <c r="DNF915" s="1091"/>
      <c r="DNG915" s="1091"/>
      <c r="DNH915" s="1091"/>
      <c r="DNI915" s="1091"/>
      <c r="DNJ915" s="1091"/>
      <c r="DNK915" s="1091"/>
      <c r="DNL915" s="1091"/>
      <c r="DNM915" s="1091"/>
      <c r="DNN915" s="1091"/>
      <c r="DNO915" s="1091"/>
      <c r="DNP915" s="1091"/>
      <c r="DNQ915" s="1091"/>
      <c r="DNR915" s="1091"/>
      <c r="DNS915" s="1091"/>
      <c r="DNT915" s="1091"/>
      <c r="DNU915" s="1091"/>
      <c r="DNV915" s="1091"/>
      <c r="DNW915" s="1091"/>
      <c r="DNX915" s="1091"/>
      <c r="DNY915" s="1091"/>
      <c r="DNZ915" s="1091"/>
      <c r="DOA915" s="1091"/>
      <c r="DOB915" s="1091"/>
      <c r="DOC915" s="1091"/>
      <c r="DOD915" s="1091"/>
      <c r="DOE915" s="1091"/>
      <c r="DOF915" s="1091"/>
      <c r="DOG915" s="1091"/>
      <c r="DOH915" s="1091"/>
      <c r="DOI915" s="1091"/>
      <c r="DOJ915" s="1091"/>
      <c r="DOK915" s="1091"/>
      <c r="DOL915" s="1091"/>
      <c r="DOM915" s="1091"/>
      <c r="DON915" s="1091"/>
      <c r="DOO915" s="1091"/>
      <c r="DOP915" s="1091"/>
      <c r="DOQ915" s="1091"/>
      <c r="DOR915" s="1091"/>
      <c r="DOS915" s="1091"/>
      <c r="DOT915" s="1091"/>
      <c r="DOU915" s="1091"/>
      <c r="DOV915" s="1091"/>
      <c r="DOW915" s="1091"/>
      <c r="DOX915" s="1091"/>
      <c r="DOY915" s="1091"/>
      <c r="DOZ915" s="1091"/>
      <c r="DPA915" s="1091"/>
      <c r="DPB915" s="1091"/>
      <c r="DPC915" s="1091"/>
      <c r="DPD915" s="1091"/>
      <c r="DPE915" s="1091"/>
      <c r="DPF915" s="1091"/>
      <c r="DPG915" s="1091"/>
      <c r="DPH915" s="1091"/>
      <c r="DPI915" s="1091"/>
      <c r="DPJ915" s="1091"/>
      <c r="DPK915" s="1091"/>
      <c r="DPL915" s="1091"/>
      <c r="DPM915" s="1091"/>
      <c r="DPN915" s="1091"/>
      <c r="DPO915" s="1091"/>
      <c r="DPP915" s="1091"/>
      <c r="DPQ915" s="1091"/>
      <c r="DPR915" s="1091"/>
      <c r="DPS915" s="1091"/>
      <c r="DPT915" s="1091"/>
      <c r="DPU915" s="1091"/>
      <c r="DPV915" s="1091"/>
      <c r="DPW915" s="1091"/>
      <c r="DPX915" s="1091"/>
      <c r="DPY915" s="1091"/>
      <c r="DPZ915" s="1091"/>
      <c r="DQA915" s="1091"/>
      <c r="DQB915" s="1091"/>
      <c r="DQC915" s="1091"/>
      <c r="DQD915" s="1091"/>
      <c r="DQE915" s="1091"/>
      <c r="DQF915" s="1091"/>
      <c r="DQG915" s="1091"/>
      <c r="DQH915" s="1091"/>
      <c r="DQI915" s="1091"/>
      <c r="DQJ915" s="1091"/>
      <c r="DQK915" s="1091"/>
      <c r="DQL915" s="1091"/>
      <c r="DQM915" s="1091"/>
      <c r="DQN915" s="1091"/>
      <c r="DQO915" s="1091"/>
      <c r="DQP915" s="1091"/>
      <c r="DQQ915" s="1091"/>
      <c r="DQR915" s="1091"/>
      <c r="DQS915" s="1091"/>
      <c r="DQT915" s="1091"/>
      <c r="DQU915" s="1091"/>
      <c r="DQV915" s="1091"/>
      <c r="DQW915" s="1091"/>
      <c r="DQX915" s="1091"/>
      <c r="DQY915" s="1091"/>
      <c r="DQZ915" s="1091"/>
      <c r="DRA915" s="1091"/>
      <c r="DRB915" s="1091"/>
      <c r="DRC915" s="1091"/>
      <c r="DRD915" s="1091"/>
      <c r="DRE915" s="1091"/>
      <c r="DRF915" s="1091"/>
      <c r="DRG915" s="1091"/>
      <c r="DRH915" s="1091"/>
      <c r="DRI915" s="1091"/>
      <c r="DRJ915" s="1091"/>
      <c r="DRK915" s="1091"/>
      <c r="DRL915" s="1091"/>
      <c r="DRM915" s="1091"/>
      <c r="DRN915" s="1091"/>
      <c r="DRO915" s="1091"/>
      <c r="DRP915" s="1091"/>
      <c r="DRQ915" s="1091"/>
      <c r="DRR915" s="1091"/>
      <c r="DRS915" s="1091"/>
      <c r="DRT915" s="1091"/>
      <c r="DRU915" s="1091"/>
      <c r="DRV915" s="1091"/>
      <c r="DRW915" s="1091"/>
      <c r="DRX915" s="1091"/>
      <c r="DRY915" s="1091"/>
      <c r="DRZ915" s="1091"/>
      <c r="DSA915" s="1091"/>
      <c r="DSB915" s="1091"/>
      <c r="DSC915" s="1091"/>
      <c r="DSD915" s="1091"/>
      <c r="DSE915" s="1091"/>
      <c r="DSF915" s="1091"/>
      <c r="DSG915" s="1091"/>
      <c r="DSH915" s="1091"/>
      <c r="DSI915" s="1091"/>
      <c r="DSJ915" s="1091"/>
      <c r="DSK915" s="1091"/>
      <c r="DSL915" s="1091"/>
      <c r="DSM915" s="1091"/>
      <c r="DSN915" s="1091"/>
      <c r="DSO915" s="1091"/>
      <c r="DSP915" s="1091"/>
      <c r="DSQ915" s="1091"/>
      <c r="DSR915" s="1091"/>
      <c r="DSS915" s="1091"/>
      <c r="DST915" s="1091"/>
      <c r="DSU915" s="1091"/>
      <c r="DSV915" s="1091"/>
      <c r="DSW915" s="1091"/>
      <c r="DSX915" s="1091"/>
      <c r="DSY915" s="1091"/>
      <c r="DSZ915" s="1091"/>
      <c r="DTA915" s="1091"/>
      <c r="DTB915" s="1091"/>
      <c r="DTC915" s="1091"/>
      <c r="DTD915" s="1091"/>
      <c r="DTE915" s="1091"/>
      <c r="DTF915" s="1091"/>
      <c r="DTG915" s="1091"/>
      <c r="DTH915" s="1091"/>
      <c r="DTI915" s="1091"/>
      <c r="DTJ915" s="1091"/>
      <c r="DTK915" s="1091"/>
      <c r="DTL915" s="1091"/>
      <c r="DTM915" s="1091"/>
      <c r="DTN915" s="1091"/>
      <c r="DTO915" s="1091"/>
      <c r="DTP915" s="1091"/>
      <c r="DTQ915" s="1091"/>
      <c r="DTR915" s="1091"/>
      <c r="DTS915" s="1091"/>
      <c r="DTT915" s="1091"/>
      <c r="DTU915" s="1091"/>
      <c r="DTV915" s="1091"/>
      <c r="DTW915" s="1091"/>
      <c r="DTX915" s="1091"/>
      <c r="DTY915" s="1091"/>
      <c r="DTZ915" s="1091"/>
      <c r="DUA915" s="1091"/>
      <c r="DUB915" s="1091"/>
      <c r="DUC915" s="1091"/>
      <c r="DUD915" s="1091"/>
      <c r="DUE915" s="1091"/>
      <c r="DUF915" s="1091"/>
      <c r="DUG915" s="1091"/>
      <c r="DUH915" s="1091"/>
      <c r="DUI915" s="1091"/>
      <c r="DUJ915" s="1091"/>
      <c r="DUK915" s="1091"/>
      <c r="DUL915" s="1091"/>
      <c r="DUM915" s="1091"/>
      <c r="DUN915" s="1091"/>
      <c r="DUO915" s="1091"/>
      <c r="DUP915" s="1091"/>
      <c r="DUQ915" s="1091"/>
      <c r="DUR915" s="1091"/>
      <c r="DUS915" s="1091"/>
      <c r="DUT915" s="1091"/>
      <c r="DUU915" s="1091"/>
      <c r="DUV915" s="1091"/>
      <c r="DUW915" s="1091"/>
      <c r="DUX915" s="1091"/>
      <c r="DUY915" s="1091"/>
      <c r="DUZ915" s="1091"/>
      <c r="DVA915" s="1091"/>
      <c r="DVB915" s="1091"/>
      <c r="DVC915" s="1091"/>
      <c r="DVD915" s="1091"/>
      <c r="DVE915" s="1091"/>
      <c r="DVF915" s="1091"/>
      <c r="DVG915" s="1091"/>
      <c r="DVH915" s="1091"/>
      <c r="DVI915" s="1091"/>
      <c r="DVJ915" s="1091"/>
      <c r="DVK915" s="1091"/>
      <c r="DVL915" s="1091"/>
      <c r="DVM915" s="1091"/>
      <c r="DVN915" s="1091"/>
      <c r="DVO915" s="1091"/>
      <c r="DVP915" s="1091"/>
      <c r="DVQ915" s="1091"/>
      <c r="DVR915" s="1091"/>
      <c r="DVS915" s="1091"/>
      <c r="DVT915" s="1091"/>
      <c r="DVU915" s="1091"/>
      <c r="DVV915" s="1091"/>
      <c r="DVW915" s="1091"/>
      <c r="DVX915" s="1091"/>
      <c r="DVY915" s="1091"/>
      <c r="DVZ915" s="1091"/>
      <c r="DWA915" s="1091"/>
      <c r="DWB915" s="1091"/>
      <c r="DWC915" s="1091"/>
      <c r="DWD915" s="1091"/>
      <c r="DWE915" s="1091"/>
      <c r="DWF915" s="1091"/>
      <c r="DWG915" s="1091"/>
      <c r="DWH915" s="1091"/>
      <c r="DWI915" s="1091"/>
      <c r="DWJ915" s="1091"/>
      <c r="DWK915" s="1091"/>
      <c r="DWL915" s="1091"/>
      <c r="DWM915" s="1091"/>
      <c r="DWN915" s="1091"/>
      <c r="DWO915" s="1091"/>
      <c r="DWP915" s="1091"/>
      <c r="DWQ915" s="1091"/>
      <c r="DWR915" s="1091"/>
      <c r="DWS915" s="1091"/>
      <c r="DWT915" s="1091"/>
      <c r="DWU915" s="1091"/>
      <c r="DWV915" s="1091"/>
      <c r="DWW915" s="1091"/>
      <c r="DWX915" s="1091"/>
      <c r="DWY915" s="1091"/>
      <c r="DWZ915" s="1091"/>
      <c r="DXA915" s="1091"/>
      <c r="DXB915" s="1091"/>
      <c r="DXC915" s="1091"/>
      <c r="DXD915" s="1091"/>
      <c r="DXE915" s="1091"/>
      <c r="DXF915" s="1091"/>
      <c r="DXG915" s="1091"/>
      <c r="DXH915" s="1091"/>
      <c r="DXI915" s="1091"/>
      <c r="DXJ915" s="1091"/>
      <c r="DXK915" s="1091"/>
      <c r="DXL915" s="1091"/>
      <c r="DXM915" s="1091"/>
      <c r="DXN915" s="1091"/>
      <c r="DXO915" s="1091"/>
      <c r="DXP915" s="1091"/>
      <c r="DXQ915" s="1091"/>
      <c r="DXR915" s="1091"/>
      <c r="DXS915" s="1091"/>
      <c r="DXT915" s="1091"/>
      <c r="DXU915" s="1091"/>
      <c r="DXV915" s="1091"/>
      <c r="DXW915" s="1091"/>
      <c r="DXX915" s="1091"/>
      <c r="DXY915" s="1091"/>
      <c r="DXZ915" s="1091"/>
      <c r="DYA915" s="1091"/>
      <c r="DYB915" s="1091"/>
      <c r="DYC915" s="1091"/>
      <c r="DYD915" s="1091"/>
      <c r="DYE915" s="1091"/>
      <c r="DYF915" s="1091"/>
      <c r="DYG915" s="1091"/>
      <c r="DYH915" s="1091"/>
      <c r="DYI915" s="1091"/>
      <c r="DYJ915" s="1091"/>
      <c r="DYK915" s="1091"/>
      <c r="DYL915" s="1091"/>
      <c r="DYM915" s="1091"/>
      <c r="DYN915" s="1091"/>
      <c r="DYO915" s="1091"/>
      <c r="DYP915" s="1091"/>
      <c r="DYQ915" s="1091"/>
      <c r="DYR915" s="1091"/>
      <c r="DYS915" s="1091"/>
      <c r="DYT915" s="1091"/>
      <c r="DYU915" s="1091"/>
      <c r="DYV915" s="1091"/>
      <c r="DYW915" s="1091"/>
      <c r="DYX915" s="1091"/>
      <c r="DYY915" s="1091"/>
      <c r="DYZ915" s="1091"/>
      <c r="DZA915" s="1091"/>
      <c r="DZB915" s="1091"/>
      <c r="DZC915" s="1091"/>
      <c r="DZD915" s="1091"/>
      <c r="DZE915" s="1091"/>
      <c r="DZF915" s="1091"/>
      <c r="DZG915" s="1091"/>
      <c r="DZH915" s="1091"/>
      <c r="DZI915" s="1091"/>
      <c r="DZJ915" s="1091"/>
      <c r="DZK915" s="1091"/>
      <c r="DZL915" s="1091"/>
      <c r="DZM915" s="1091"/>
      <c r="DZN915" s="1091"/>
      <c r="DZO915" s="1091"/>
      <c r="DZP915" s="1091"/>
      <c r="DZQ915" s="1091"/>
      <c r="DZR915" s="1091"/>
      <c r="DZS915" s="1091"/>
      <c r="DZT915" s="1091"/>
      <c r="DZU915" s="1091"/>
      <c r="DZV915" s="1091"/>
      <c r="DZW915" s="1091"/>
      <c r="DZX915" s="1091"/>
      <c r="DZY915" s="1091"/>
      <c r="DZZ915" s="1091"/>
      <c r="EAA915" s="1091"/>
      <c r="EAB915" s="1091"/>
      <c r="EAC915" s="1091"/>
      <c r="EAD915" s="1091"/>
      <c r="EAE915" s="1091"/>
      <c r="EAF915" s="1091"/>
      <c r="EAG915" s="1091"/>
      <c r="EAH915" s="1091"/>
      <c r="EAI915" s="1091"/>
      <c r="EAJ915" s="1091"/>
      <c r="EAK915" s="1091"/>
      <c r="EAL915" s="1091"/>
      <c r="EAM915" s="1091"/>
      <c r="EAN915" s="1091"/>
      <c r="EAO915" s="1091"/>
      <c r="EAP915" s="1091"/>
      <c r="EAQ915" s="1091"/>
      <c r="EAR915" s="1091"/>
      <c r="EAS915" s="1091"/>
      <c r="EAT915" s="1091"/>
      <c r="EAU915" s="1091"/>
      <c r="EAV915" s="1091"/>
      <c r="EAW915" s="1091"/>
      <c r="EAX915" s="1091"/>
      <c r="EAY915" s="1091"/>
      <c r="EAZ915" s="1091"/>
      <c r="EBA915" s="1091"/>
      <c r="EBB915" s="1091"/>
      <c r="EBC915" s="1091"/>
      <c r="EBD915" s="1091"/>
      <c r="EBE915" s="1091"/>
      <c r="EBF915" s="1091"/>
      <c r="EBG915" s="1091"/>
      <c r="EBH915" s="1091"/>
      <c r="EBI915" s="1091"/>
      <c r="EBJ915" s="1091"/>
      <c r="EBK915" s="1091"/>
      <c r="EBL915" s="1091"/>
      <c r="EBM915" s="1091"/>
      <c r="EBN915" s="1091"/>
      <c r="EBO915" s="1091"/>
      <c r="EBP915" s="1091"/>
      <c r="EBQ915" s="1091"/>
      <c r="EBR915" s="1091"/>
      <c r="EBS915" s="1091"/>
      <c r="EBT915" s="1091"/>
      <c r="EBU915" s="1091"/>
      <c r="EBV915" s="1091"/>
      <c r="EBW915" s="1091"/>
      <c r="EBX915" s="1091"/>
      <c r="EBY915" s="1091"/>
      <c r="EBZ915" s="1091"/>
      <c r="ECA915" s="1091"/>
      <c r="ECB915" s="1091"/>
      <c r="ECC915" s="1091"/>
      <c r="ECD915" s="1091"/>
      <c r="ECE915" s="1091"/>
      <c r="ECF915" s="1091"/>
      <c r="ECG915" s="1091"/>
      <c r="ECH915" s="1091"/>
      <c r="ECI915" s="1091"/>
      <c r="ECJ915" s="1091"/>
      <c r="ECK915" s="1091"/>
      <c r="ECL915" s="1091"/>
      <c r="ECM915" s="1091"/>
      <c r="ECN915" s="1091"/>
      <c r="ECO915" s="1091"/>
      <c r="ECP915" s="1091"/>
      <c r="ECQ915" s="1091"/>
      <c r="ECR915" s="1091"/>
      <c r="ECS915" s="1091"/>
      <c r="ECT915" s="1091"/>
      <c r="ECU915" s="1091"/>
      <c r="ECV915" s="1091"/>
      <c r="ECW915" s="1091"/>
      <c r="ECX915" s="1091"/>
      <c r="ECY915" s="1091"/>
      <c r="ECZ915" s="1091"/>
      <c r="EDA915" s="1091"/>
      <c r="EDB915" s="1091"/>
      <c r="EDC915" s="1091"/>
      <c r="EDD915" s="1091"/>
      <c r="EDE915" s="1091"/>
      <c r="EDF915" s="1091"/>
      <c r="EDG915" s="1091"/>
      <c r="EDH915" s="1091"/>
      <c r="EDI915" s="1091"/>
      <c r="EDJ915" s="1091"/>
      <c r="EDK915" s="1091"/>
      <c r="EDL915" s="1091"/>
      <c r="EDM915" s="1091"/>
      <c r="EDN915" s="1091"/>
      <c r="EDO915" s="1091"/>
      <c r="EDP915" s="1091"/>
      <c r="EDQ915" s="1091"/>
      <c r="EDR915" s="1091"/>
      <c r="EDS915" s="1091"/>
      <c r="EDT915" s="1091"/>
      <c r="EDU915" s="1091"/>
      <c r="EDV915" s="1091"/>
      <c r="EDW915" s="1091"/>
      <c r="EDX915" s="1091"/>
      <c r="EDY915" s="1091"/>
      <c r="EDZ915" s="1091"/>
      <c r="EEA915" s="1091"/>
      <c r="EEB915" s="1091"/>
      <c r="EEC915" s="1091"/>
      <c r="EED915" s="1091"/>
      <c r="EEE915" s="1091"/>
      <c r="EEF915" s="1091"/>
      <c r="EEG915" s="1091"/>
      <c r="EEH915" s="1091"/>
      <c r="EEI915" s="1091"/>
      <c r="EEJ915" s="1091"/>
      <c r="EEK915" s="1091"/>
      <c r="EEL915" s="1091"/>
      <c r="EEM915" s="1091"/>
      <c r="EEN915" s="1091"/>
      <c r="EEO915" s="1091"/>
      <c r="EEP915" s="1091"/>
      <c r="EEQ915" s="1091"/>
      <c r="EER915" s="1091"/>
      <c r="EES915" s="1091"/>
      <c r="EET915" s="1091"/>
      <c r="EEU915" s="1091"/>
      <c r="EEV915" s="1091"/>
      <c r="EEW915" s="1091"/>
      <c r="EEX915" s="1091"/>
      <c r="EEY915" s="1091"/>
      <c r="EEZ915" s="1091"/>
      <c r="EFA915" s="1091"/>
      <c r="EFB915" s="1091"/>
      <c r="EFC915" s="1091"/>
      <c r="EFD915" s="1091"/>
      <c r="EFE915" s="1091"/>
      <c r="EFF915" s="1091"/>
      <c r="EFG915" s="1091"/>
      <c r="EFH915" s="1091"/>
      <c r="EFI915" s="1091"/>
      <c r="EFJ915" s="1091"/>
      <c r="EFK915" s="1091"/>
      <c r="EFL915" s="1091"/>
      <c r="EFM915" s="1091"/>
      <c r="EFN915" s="1091"/>
      <c r="EFO915" s="1091"/>
      <c r="EFP915" s="1091"/>
      <c r="EFQ915" s="1091"/>
      <c r="EFR915" s="1091"/>
      <c r="EFS915" s="1091"/>
      <c r="EFT915" s="1091"/>
      <c r="EFU915" s="1091"/>
      <c r="EFV915" s="1091"/>
      <c r="EFW915" s="1091"/>
      <c r="EFX915" s="1091"/>
      <c r="EFY915" s="1091"/>
      <c r="EFZ915" s="1091"/>
      <c r="EGA915" s="1091"/>
      <c r="EGB915" s="1091"/>
      <c r="EGC915" s="1091"/>
      <c r="EGD915" s="1091"/>
      <c r="EGE915" s="1091"/>
      <c r="EGF915" s="1091"/>
      <c r="EGG915" s="1091"/>
      <c r="EGH915" s="1091"/>
      <c r="EGI915" s="1091"/>
      <c r="EGJ915" s="1091"/>
      <c r="EGK915" s="1091"/>
      <c r="EGL915" s="1091"/>
      <c r="EGM915" s="1091"/>
      <c r="EGN915" s="1091"/>
      <c r="EGO915" s="1091"/>
      <c r="EGP915" s="1091"/>
      <c r="EGQ915" s="1091"/>
      <c r="EGR915" s="1091"/>
      <c r="EGS915" s="1091"/>
      <c r="EGT915" s="1091"/>
      <c r="EGU915" s="1091"/>
      <c r="EGV915" s="1091"/>
      <c r="EGW915" s="1091"/>
      <c r="EGX915" s="1091"/>
      <c r="EGY915" s="1091"/>
      <c r="EGZ915" s="1091"/>
      <c r="EHA915" s="1091"/>
      <c r="EHB915" s="1091"/>
      <c r="EHC915" s="1091"/>
      <c r="EHD915" s="1091"/>
      <c r="EHE915" s="1091"/>
      <c r="EHF915" s="1091"/>
      <c r="EHG915" s="1091"/>
      <c r="EHH915" s="1091"/>
      <c r="EHI915" s="1091"/>
      <c r="EHJ915" s="1091"/>
      <c r="EHK915" s="1091"/>
      <c r="EHL915" s="1091"/>
      <c r="EHM915" s="1091"/>
      <c r="EHN915" s="1091"/>
      <c r="EHO915" s="1091"/>
      <c r="EHP915" s="1091"/>
      <c r="EHQ915" s="1091"/>
      <c r="EHR915" s="1091"/>
      <c r="EHS915" s="1091"/>
      <c r="EHT915" s="1091"/>
      <c r="EHU915" s="1091"/>
      <c r="EHV915" s="1091"/>
      <c r="EHW915" s="1091"/>
      <c r="EHX915" s="1091"/>
      <c r="EHY915" s="1091"/>
      <c r="EHZ915" s="1091"/>
      <c r="EIA915" s="1091"/>
      <c r="EIB915" s="1091"/>
      <c r="EIC915" s="1091"/>
      <c r="EID915" s="1091"/>
      <c r="EIE915" s="1091"/>
      <c r="EIF915" s="1091"/>
      <c r="EIG915" s="1091"/>
      <c r="EIH915" s="1091"/>
      <c r="EII915" s="1091"/>
      <c r="EIJ915" s="1091"/>
      <c r="EIK915" s="1091"/>
      <c r="EIL915" s="1091"/>
      <c r="EIM915" s="1091"/>
      <c r="EIN915" s="1091"/>
      <c r="EIO915" s="1091"/>
      <c r="EIP915" s="1091"/>
      <c r="EIQ915" s="1091"/>
      <c r="EIR915" s="1091"/>
      <c r="EIS915" s="1091"/>
      <c r="EIT915" s="1091"/>
      <c r="EIU915" s="1091"/>
      <c r="EIV915" s="1091"/>
      <c r="EIW915" s="1091"/>
      <c r="EIX915" s="1091"/>
      <c r="EIY915" s="1091"/>
      <c r="EIZ915" s="1091"/>
      <c r="EJA915" s="1091"/>
      <c r="EJB915" s="1091"/>
      <c r="EJC915" s="1091"/>
      <c r="EJD915" s="1091"/>
      <c r="EJE915" s="1091"/>
      <c r="EJF915" s="1091"/>
      <c r="EJG915" s="1091"/>
      <c r="EJH915" s="1091"/>
      <c r="EJI915" s="1091"/>
      <c r="EJJ915" s="1091"/>
      <c r="EJK915" s="1091"/>
      <c r="EJL915" s="1091"/>
      <c r="EJM915" s="1091"/>
      <c r="EJN915" s="1091"/>
      <c r="EJO915" s="1091"/>
      <c r="EJP915" s="1091"/>
      <c r="EJQ915" s="1091"/>
      <c r="EJR915" s="1091"/>
      <c r="EJS915" s="1091"/>
      <c r="EJT915" s="1091"/>
      <c r="EJU915" s="1091"/>
      <c r="EJV915" s="1091"/>
      <c r="EJW915" s="1091"/>
      <c r="EJX915" s="1091"/>
      <c r="EJY915" s="1091"/>
      <c r="EJZ915" s="1091"/>
      <c r="EKA915" s="1091"/>
      <c r="EKB915" s="1091"/>
      <c r="EKC915" s="1091"/>
      <c r="EKD915" s="1091"/>
      <c r="EKE915" s="1091"/>
      <c r="EKF915" s="1091"/>
      <c r="EKG915" s="1091"/>
      <c r="EKH915" s="1091"/>
      <c r="EKI915" s="1091"/>
      <c r="EKJ915" s="1091"/>
      <c r="EKK915" s="1091"/>
      <c r="EKL915" s="1091"/>
      <c r="EKM915" s="1091"/>
      <c r="EKN915" s="1091"/>
      <c r="EKO915" s="1091"/>
      <c r="EKP915" s="1091"/>
      <c r="EKQ915" s="1091"/>
      <c r="EKR915" s="1091"/>
      <c r="EKS915" s="1091"/>
      <c r="EKT915" s="1091"/>
      <c r="EKU915" s="1091"/>
      <c r="EKV915" s="1091"/>
      <c r="EKW915" s="1091"/>
      <c r="EKX915" s="1091"/>
      <c r="EKY915" s="1091"/>
      <c r="EKZ915" s="1091"/>
      <c r="ELA915" s="1091"/>
      <c r="ELB915" s="1091"/>
      <c r="ELC915" s="1091"/>
      <c r="ELD915" s="1091"/>
      <c r="ELE915" s="1091"/>
      <c r="ELF915" s="1091"/>
      <c r="ELG915" s="1091"/>
      <c r="ELH915" s="1091"/>
      <c r="ELI915" s="1091"/>
      <c r="ELJ915" s="1091"/>
      <c r="ELK915" s="1091"/>
      <c r="ELL915" s="1091"/>
      <c r="ELM915" s="1091"/>
      <c r="ELN915" s="1091"/>
      <c r="ELO915" s="1091"/>
      <c r="ELP915" s="1091"/>
      <c r="ELQ915" s="1091"/>
      <c r="ELR915" s="1091"/>
      <c r="ELS915" s="1091"/>
      <c r="ELT915" s="1091"/>
      <c r="ELU915" s="1091"/>
      <c r="ELV915" s="1091"/>
      <c r="ELW915" s="1091"/>
      <c r="ELX915" s="1091"/>
      <c r="ELY915" s="1091"/>
      <c r="ELZ915" s="1091"/>
      <c r="EMA915" s="1091"/>
      <c r="EMB915" s="1091"/>
      <c r="EMC915" s="1091"/>
      <c r="EMD915" s="1091"/>
      <c r="EME915" s="1091"/>
      <c r="EMF915" s="1091"/>
      <c r="EMG915" s="1091"/>
      <c r="EMH915" s="1091"/>
      <c r="EMI915" s="1091"/>
      <c r="EMJ915" s="1091"/>
      <c r="EMK915" s="1091"/>
      <c r="EML915" s="1091"/>
      <c r="EMM915" s="1091"/>
      <c r="EMN915" s="1091"/>
      <c r="EMO915" s="1091"/>
      <c r="EMP915" s="1091"/>
      <c r="EMQ915" s="1091"/>
      <c r="EMR915" s="1091"/>
      <c r="EMS915" s="1091"/>
      <c r="EMT915" s="1091"/>
      <c r="EMU915" s="1091"/>
      <c r="EMV915" s="1091"/>
      <c r="EMW915" s="1091"/>
      <c r="EMX915" s="1091"/>
      <c r="EMY915" s="1091"/>
      <c r="EMZ915" s="1091"/>
      <c r="ENA915" s="1091"/>
      <c r="ENB915" s="1091"/>
      <c r="ENC915" s="1091"/>
      <c r="END915" s="1091"/>
      <c r="ENE915" s="1091"/>
      <c r="ENF915" s="1091"/>
      <c r="ENG915" s="1091"/>
      <c r="ENH915" s="1091"/>
      <c r="ENI915" s="1091"/>
      <c r="ENJ915" s="1091"/>
      <c r="ENK915" s="1091"/>
      <c r="ENL915" s="1091"/>
      <c r="ENM915" s="1091"/>
      <c r="ENN915" s="1091"/>
      <c r="ENO915" s="1091"/>
      <c r="ENP915" s="1091"/>
      <c r="ENQ915" s="1091"/>
      <c r="ENR915" s="1091"/>
      <c r="ENS915" s="1091"/>
      <c r="ENT915" s="1091"/>
      <c r="ENU915" s="1091"/>
      <c r="ENV915" s="1091"/>
      <c r="ENW915" s="1091"/>
      <c r="ENX915" s="1091"/>
      <c r="ENY915" s="1091"/>
      <c r="ENZ915" s="1091"/>
      <c r="EOA915" s="1091"/>
      <c r="EOB915" s="1091"/>
      <c r="EOC915" s="1091"/>
      <c r="EOD915" s="1091"/>
      <c r="EOE915" s="1091"/>
      <c r="EOF915" s="1091"/>
      <c r="EOG915" s="1091"/>
      <c r="EOH915" s="1091"/>
      <c r="EOI915" s="1091"/>
      <c r="EOJ915" s="1091"/>
      <c r="EOK915" s="1091"/>
      <c r="EOL915" s="1091"/>
      <c r="EOM915" s="1091"/>
      <c r="EON915" s="1091"/>
      <c r="EOO915" s="1091"/>
      <c r="EOP915" s="1091"/>
      <c r="EOQ915" s="1091"/>
      <c r="EOR915" s="1091"/>
      <c r="EOS915" s="1091"/>
      <c r="EOT915" s="1091"/>
      <c r="EOU915" s="1091"/>
      <c r="EOV915" s="1091"/>
      <c r="EOW915" s="1091"/>
      <c r="EOX915" s="1091"/>
      <c r="EOY915" s="1091"/>
      <c r="EOZ915" s="1091"/>
      <c r="EPA915" s="1091"/>
      <c r="EPB915" s="1091"/>
      <c r="EPC915" s="1091"/>
      <c r="EPD915" s="1091"/>
      <c r="EPE915" s="1091"/>
      <c r="EPF915" s="1091"/>
      <c r="EPG915" s="1091"/>
      <c r="EPH915" s="1091"/>
      <c r="EPI915" s="1091"/>
      <c r="EPJ915" s="1091"/>
      <c r="EPK915" s="1091"/>
      <c r="EPL915" s="1091"/>
      <c r="EPM915" s="1091"/>
      <c r="EPN915" s="1091"/>
      <c r="EPO915" s="1091"/>
      <c r="EPP915" s="1091"/>
      <c r="EPQ915" s="1091"/>
      <c r="EPR915" s="1091"/>
      <c r="EPS915" s="1091"/>
      <c r="EPT915" s="1091"/>
      <c r="EPU915" s="1091"/>
      <c r="EPV915" s="1091"/>
      <c r="EPW915" s="1091"/>
      <c r="EPX915" s="1091"/>
      <c r="EPY915" s="1091"/>
      <c r="EPZ915" s="1091"/>
      <c r="EQA915" s="1091"/>
      <c r="EQB915" s="1091"/>
      <c r="EQC915" s="1091"/>
      <c r="EQD915" s="1091"/>
      <c r="EQE915" s="1091"/>
      <c r="EQF915" s="1091"/>
      <c r="EQG915" s="1091"/>
      <c r="EQH915" s="1091"/>
      <c r="EQI915" s="1091"/>
      <c r="EQJ915" s="1091"/>
      <c r="EQK915" s="1091"/>
      <c r="EQL915" s="1091"/>
      <c r="EQM915" s="1091"/>
      <c r="EQN915" s="1091"/>
      <c r="EQO915" s="1091"/>
      <c r="EQP915" s="1091"/>
      <c r="EQQ915" s="1091"/>
      <c r="EQR915" s="1091"/>
      <c r="EQS915" s="1091"/>
      <c r="EQT915" s="1091"/>
      <c r="EQU915" s="1091"/>
      <c r="EQV915" s="1091"/>
      <c r="EQW915" s="1091"/>
      <c r="EQX915" s="1091"/>
      <c r="EQY915" s="1091"/>
      <c r="EQZ915" s="1091"/>
      <c r="ERA915" s="1091"/>
      <c r="ERB915" s="1091"/>
      <c r="ERC915" s="1091"/>
      <c r="ERD915" s="1091"/>
      <c r="ERE915" s="1091"/>
      <c r="ERF915" s="1091"/>
      <c r="ERG915" s="1091"/>
      <c r="ERH915" s="1091"/>
      <c r="ERI915" s="1091"/>
      <c r="ERJ915" s="1091"/>
      <c r="ERK915" s="1091"/>
      <c r="ERL915" s="1091"/>
      <c r="ERM915" s="1091"/>
      <c r="ERN915" s="1091"/>
      <c r="ERO915" s="1091"/>
      <c r="ERP915" s="1091"/>
      <c r="ERQ915" s="1091"/>
      <c r="ERR915" s="1091"/>
      <c r="ERS915" s="1091"/>
      <c r="ERT915" s="1091"/>
      <c r="ERU915" s="1091"/>
      <c r="ERV915" s="1091"/>
      <c r="ERW915" s="1091"/>
      <c r="ERX915" s="1091"/>
      <c r="ERY915" s="1091"/>
      <c r="ERZ915" s="1091"/>
      <c r="ESA915" s="1091"/>
      <c r="ESB915" s="1091"/>
      <c r="ESC915" s="1091"/>
      <c r="ESD915" s="1091"/>
      <c r="ESE915" s="1091"/>
      <c r="ESF915" s="1091"/>
      <c r="ESG915" s="1091"/>
      <c r="ESH915" s="1091"/>
      <c r="ESI915" s="1091"/>
      <c r="ESJ915" s="1091"/>
      <c r="ESK915" s="1091"/>
      <c r="ESL915" s="1091"/>
      <c r="ESM915" s="1091"/>
      <c r="ESN915" s="1091"/>
      <c r="ESO915" s="1091"/>
      <c r="ESP915" s="1091"/>
      <c r="ESQ915" s="1091"/>
      <c r="ESR915" s="1091"/>
      <c r="ESS915" s="1091"/>
      <c r="EST915" s="1091"/>
      <c r="ESU915" s="1091"/>
      <c r="ESV915" s="1091"/>
      <c r="ESW915" s="1091"/>
      <c r="ESX915" s="1091"/>
      <c r="ESY915" s="1091"/>
      <c r="ESZ915" s="1091"/>
      <c r="ETA915" s="1091"/>
      <c r="ETB915" s="1091"/>
      <c r="ETC915" s="1091"/>
      <c r="ETD915" s="1091"/>
      <c r="ETE915" s="1091"/>
      <c r="ETF915" s="1091"/>
      <c r="ETG915" s="1091"/>
      <c r="ETH915" s="1091"/>
      <c r="ETI915" s="1091"/>
      <c r="ETJ915" s="1091"/>
      <c r="ETK915" s="1091"/>
      <c r="ETL915" s="1091"/>
      <c r="ETM915" s="1091"/>
      <c r="ETN915" s="1091"/>
      <c r="ETO915" s="1091"/>
      <c r="ETP915" s="1091"/>
      <c r="ETQ915" s="1091"/>
      <c r="ETR915" s="1091"/>
      <c r="ETS915" s="1091"/>
      <c r="ETT915" s="1091"/>
      <c r="ETU915" s="1091"/>
      <c r="ETV915" s="1091"/>
      <c r="ETW915" s="1091"/>
      <c r="ETX915" s="1091"/>
      <c r="ETY915" s="1091"/>
      <c r="ETZ915" s="1091"/>
      <c r="EUA915" s="1091"/>
      <c r="EUB915" s="1091"/>
      <c r="EUC915" s="1091"/>
      <c r="EUD915" s="1091"/>
      <c r="EUE915" s="1091"/>
      <c r="EUF915" s="1091"/>
      <c r="EUG915" s="1091"/>
      <c r="EUH915" s="1091"/>
      <c r="EUI915" s="1091"/>
      <c r="EUJ915" s="1091"/>
      <c r="EUK915" s="1091"/>
      <c r="EUL915" s="1091"/>
      <c r="EUM915" s="1091"/>
      <c r="EUN915" s="1091"/>
      <c r="EUO915" s="1091"/>
      <c r="EUP915" s="1091"/>
      <c r="EUQ915" s="1091"/>
      <c r="EUR915" s="1091"/>
      <c r="EUS915" s="1091"/>
      <c r="EUT915" s="1091"/>
      <c r="EUU915" s="1091"/>
      <c r="EUV915" s="1091"/>
      <c r="EUW915" s="1091"/>
      <c r="EUX915" s="1091"/>
      <c r="EUY915" s="1091"/>
      <c r="EUZ915" s="1091"/>
      <c r="EVA915" s="1091"/>
      <c r="EVB915" s="1091"/>
      <c r="EVC915" s="1091"/>
      <c r="EVD915" s="1091"/>
      <c r="EVE915" s="1091"/>
      <c r="EVF915" s="1091"/>
      <c r="EVG915" s="1091"/>
      <c r="EVH915" s="1091"/>
      <c r="EVI915" s="1091"/>
      <c r="EVJ915" s="1091"/>
      <c r="EVK915" s="1091"/>
      <c r="EVL915" s="1091"/>
      <c r="EVM915" s="1091"/>
      <c r="EVN915" s="1091"/>
      <c r="EVO915" s="1091"/>
      <c r="EVP915" s="1091"/>
      <c r="EVQ915" s="1091"/>
      <c r="EVR915" s="1091"/>
      <c r="EVS915" s="1091"/>
      <c r="EVT915" s="1091"/>
      <c r="EVU915" s="1091"/>
      <c r="EVV915" s="1091"/>
      <c r="EVW915" s="1091"/>
      <c r="EVX915" s="1091"/>
      <c r="EVY915" s="1091"/>
      <c r="EVZ915" s="1091"/>
      <c r="EWA915" s="1091"/>
      <c r="EWB915" s="1091"/>
      <c r="EWC915" s="1091"/>
      <c r="EWD915" s="1091"/>
      <c r="EWE915" s="1091"/>
      <c r="EWF915" s="1091"/>
      <c r="EWG915" s="1091"/>
      <c r="EWH915" s="1091"/>
      <c r="EWI915" s="1091"/>
      <c r="EWJ915" s="1091"/>
      <c r="EWK915" s="1091"/>
      <c r="EWL915" s="1091"/>
      <c r="EWM915" s="1091"/>
      <c r="EWN915" s="1091"/>
      <c r="EWO915" s="1091"/>
      <c r="EWP915" s="1091"/>
      <c r="EWQ915" s="1091"/>
      <c r="EWR915" s="1091"/>
      <c r="EWS915" s="1091"/>
      <c r="EWT915" s="1091"/>
      <c r="EWU915" s="1091"/>
      <c r="EWV915" s="1091"/>
      <c r="EWW915" s="1091"/>
      <c r="EWX915" s="1091"/>
      <c r="EWY915" s="1091"/>
      <c r="EWZ915" s="1091"/>
      <c r="EXA915" s="1091"/>
      <c r="EXB915" s="1091"/>
      <c r="EXC915" s="1091"/>
      <c r="EXD915" s="1091"/>
      <c r="EXE915" s="1091"/>
      <c r="EXF915" s="1091"/>
      <c r="EXG915" s="1091"/>
      <c r="EXH915" s="1091"/>
      <c r="EXI915" s="1091"/>
      <c r="EXJ915" s="1091"/>
      <c r="EXK915" s="1091"/>
      <c r="EXL915" s="1091"/>
      <c r="EXM915" s="1091"/>
      <c r="EXN915" s="1091"/>
      <c r="EXO915" s="1091"/>
      <c r="EXP915" s="1091"/>
      <c r="EXQ915" s="1091"/>
      <c r="EXR915" s="1091"/>
      <c r="EXS915" s="1091"/>
      <c r="EXT915" s="1091"/>
      <c r="EXU915" s="1091"/>
      <c r="EXV915" s="1091"/>
      <c r="EXW915" s="1091"/>
      <c r="EXX915" s="1091"/>
      <c r="EXY915" s="1091"/>
      <c r="EXZ915" s="1091"/>
      <c r="EYA915" s="1091"/>
      <c r="EYB915" s="1091"/>
      <c r="EYC915" s="1091"/>
      <c r="EYD915" s="1091"/>
      <c r="EYE915" s="1091"/>
      <c r="EYF915" s="1091"/>
      <c r="EYG915" s="1091"/>
      <c r="EYH915" s="1091"/>
      <c r="EYI915" s="1091"/>
      <c r="EYJ915" s="1091"/>
      <c r="EYK915" s="1091"/>
      <c r="EYL915" s="1091"/>
      <c r="EYM915" s="1091"/>
      <c r="EYN915" s="1091"/>
      <c r="EYO915" s="1091"/>
      <c r="EYP915" s="1091"/>
      <c r="EYQ915" s="1091"/>
      <c r="EYR915" s="1091"/>
      <c r="EYS915" s="1091"/>
      <c r="EYT915" s="1091"/>
      <c r="EYU915" s="1091"/>
      <c r="EYV915" s="1091"/>
      <c r="EYW915" s="1091"/>
      <c r="EYX915" s="1091"/>
      <c r="EYY915" s="1091"/>
      <c r="EYZ915" s="1091"/>
      <c r="EZA915" s="1091"/>
      <c r="EZB915" s="1091"/>
      <c r="EZC915" s="1091"/>
      <c r="EZD915" s="1091"/>
      <c r="EZE915" s="1091"/>
      <c r="EZF915" s="1091"/>
      <c r="EZG915" s="1091"/>
      <c r="EZH915" s="1091"/>
      <c r="EZI915" s="1091"/>
      <c r="EZJ915" s="1091"/>
      <c r="EZK915" s="1091"/>
      <c r="EZL915" s="1091"/>
      <c r="EZM915" s="1091"/>
      <c r="EZN915" s="1091"/>
      <c r="EZO915" s="1091"/>
      <c r="EZP915" s="1091"/>
      <c r="EZQ915" s="1091"/>
      <c r="EZR915" s="1091"/>
      <c r="EZS915" s="1091"/>
      <c r="EZT915" s="1091"/>
      <c r="EZU915" s="1091"/>
      <c r="EZV915" s="1091"/>
      <c r="EZW915" s="1091"/>
      <c r="EZX915" s="1091"/>
      <c r="EZY915" s="1091"/>
      <c r="EZZ915" s="1091"/>
      <c r="FAA915" s="1091"/>
      <c r="FAB915" s="1091"/>
      <c r="FAC915" s="1091"/>
      <c r="FAD915" s="1091"/>
      <c r="FAE915" s="1091"/>
      <c r="FAF915" s="1091"/>
      <c r="FAG915" s="1091"/>
      <c r="FAH915" s="1091"/>
      <c r="FAI915" s="1091"/>
      <c r="FAJ915" s="1091"/>
      <c r="FAK915" s="1091"/>
      <c r="FAL915" s="1091"/>
      <c r="FAM915" s="1091"/>
      <c r="FAN915" s="1091"/>
      <c r="FAO915" s="1091"/>
      <c r="FAP915" s="1091"/>
      <c r="FAQ915" s="1091"/>
      <c r="FAR915" s="1091"/>
      <c r="FAS915" s="1091"/>
      <c r="FAT915" s="1091"/>
      <c r="FAU915" s="1091"/>
      <c r="FAV915" s="1091"/>
      <c r="FAW915" s="1091"/>
      <c r="FAX915" s="1091"/>
      <c r="FAY915" s="1091"/>
      <c r="FAZ915" s="1091"/>
      <c r="FBA915" s="1091"/>
      <c r="FBB915" s="1091"/>
      <c r="FBC915" s="1091"/>
      <c r="FBD915" s="1091"/>
      <c r="FBE915" s="1091"/>
      <c r="FBF915" s="1091"/>
      <c r="FBG915" s="1091"/>
      <c r="FBH915" s="1091"/>
      <c r="FBI915" s="1091"/>
      <c r="FBJ915" s="1091"/>
      <c r="FBK915" s="1091"/>
      <c r="FBL915" s="1091"/>
      <c r="FBM915" s="1091"/>
      <c r="FBN915" s="1091"/>
      <c r="FBO915" s="1091"/>
      <c r="FBP915" s="1091"/>
      <c r="FBQ915" s="1091"/>
      <c r="FBR915" s="1091"/>
      <c r="FBS915" s="1091"/>
      <c r="FBT915" s="1091"/>
      <c r="FBU915" s="1091"/>
      <c r="FBV915" s="1091"/>
      <c r="FBW915" s="1091"/>
      <c r="FBX915" s="1091"/>
      <c r="FBY915" s="1091"/>
      <c r="FBZ915" s="1091"/>
      <c r="FCA915" s="1091"/>
      <c r="FCB915" s="1091"/>
      <c r="FCC915" s="1091"/>
      <c r="FCD915" s="1091"/>
      <c r="FCE915" s="1091"/>
      <c r="FCF915" s="1091"/>
      <c r="FCG915" s="1091"/>
      <c r="FCH915" s="1091"/>
      <c r="FCI915" s="1091"/>
      <c r="FCJ915" s="1091"/>
      <c r="FCK915" s="1091"/>
      <c r="FCL915" s="1091"/>
      <c r="FCM915" s="1091"/>
      <c r="FCN915" s="1091"/>
      <c r="FCO915" s="1091"/>
      <c r="FCP915" s="1091"/>
      <c r="FCQ915" s="1091"/>
      <c r="FCR915" s="1091"/>
      <c r="FCS915" s="1091"/>
      <c r="FCT915" s="1091"/>
      <c r="FCU915" s="1091"/>
      <c r="FCV915" s="1091"/>
      <c r="FCW915" s="1091"/>
      <c r="FCX915" s="1091"/>
      <c r="FCY915" s="1091"/>
      <c r="FCZ915" s="1091"/>
      <c r="FDA915" s="1091"/>
      <c r="FDB915" s="1091"/>
      <c r="FDC915" s="1091"/>
      <c r="FDD915" s="1091"/>
      <c r="FDE915" s="1091"/>
      <c r="FDF915" s="1091"/>
      <c r="FDG915" s="1091"/>
      <c r="FDH915" s="1091"/>
      <c r="FDI915" s="1091"/>
      <c r="FDJ915" s="1091"/>
      <c r="FDK915" s="1091"/>
      <c r="FDL915" s="1091"/>
      <c r="FDM915" s="1091"/>
      <c r="FDN915" s="1091"/>
      <c r="FDO915" s="1091"/>
      <c r="FDP915" s="1091"/>
      <c r="FDQ915" s="1091"/>
      <c r="FDR915" s="1091"/>
      <c r="FDS915" s="1091"/>
      <c r="FDT915" s="1091"/>
      <c r="FDU915" s="1091"/>
      <c r="FDV915" s="1091"/>
      <c r="FDW915" s="1091"/>
      <c r="FDX915" s="1091"/>
      <c r="FDY915" s="1091"/>
      <c r="FDZ915" s="1091"/>
      <c r="FEA915" s="1091"/>
      <c r="FEB915" s="1091"/>
      <c r="FEC915" s="1091"/>
      <c r="FED915" s="1091"/>
      <c r="FEE915" s="1091"/>
      <c r="FEF915" s="1091"/>
      <c r="FEG915" s="1091"/>
      <c r="FEH915" s="1091"/>
      <c r="FEI915" s="1091"/>
      <c r="FEJ915" s="1091"/>
      <c r="FEK915" s="1091"/>
      <c r="FEL915" s="1091"/>
      <c r="FEM915" s="1091"/>
      <c r="FEN915" s="1091"/>
      <c r="FEO915" s="1091"/>
      <c r="FEP915" s="1091"/>
      <c r="FEQ915" s="1091"/>
      <c r="FER915" s="1091"/>
      <c r="FES915" s="1091"/>
      <c r="FET915" s="1091"/>
      <c r="FEU915" s="1091"/>
      <c r="FEV915" s="1091"/>
      <c r="FEW915" s="1091"/>
      <c r="FEX915" s="1091"/>
      <c r="FEY915" s="1091"/>
      <c r="FEZ915" s="1091"/>
      <c r="FFA915" s="1091"/>
      <c r="FFB915" s="1091"/>
      <c r="FFC915" s="1091"/>
      <c r="FFD915" s="1091"/>
      <c r="FFE915" s="1091"/>
      <c r="FFF915" s="1091"/>
      <c r="FFG915" s="1091"/>
      <c r="FFH915" s="1091"/>
      <c r="FFI915" s="1091"/>
      <c r="FFJ915" s="1091"/>
      <c r="FFK915" s="1091"/>
      <c r="FFL915" s="1091"/>
      <c r="FFM915" s="1091"/>
      <c r="FFN915" s="1091"/>
      <c r="FFO915" s="1091"/>
      <c r="FFP915" s="1091"/>
      <c r="FFQ915" s="1091"/>
      <c r="FFR915" s="1091"/>
      <c r="FFS915" s="1091"/>
      <c r="FFT915" s="1091"/>
      <c r="FFU915" s="1091"/>
      <c r="FFV915" s="1091"/>
      <c r="FFW915" s="1091"/>
      <c r="FFX915" s="1091"/>
      <c r="FFY915" s="1091"/>
      <c r="FFZ915" s="1091"/>
      <c r="FGA915" s="1091"/>
      <c r="FGB915" s="1091"/>
      <c r="FGC915" s="1091"/>
      <c r="FGD915" s="1091"/>
      <c r="FGE915" s="1091"/>
      <c r="FGF915" s="1091"/>
      <c r="FGG915" s="1091"/>
      <c r="FGH915" s="1091"/>
      <c r="FGI915" s="1091"/>
      <c r="FGJ915" s="1091"/>
      <c r="FGK915" s="1091"/>
      <c r="FGL915" s="1091"/>
      <c r="FGM915" s="1091"/>
      <c r="FGN915" s="1091"/>
      <c r="FGO915" s="1091"/>
      <c r="FGP915" s="1091"/>
      <c r="FGQ915" s="1091"/>
      <c r="FGR915" s="1091"/>
      <c r="FGS915" s="1091"/>
      <c r="FGT915" s="1091"/>
      <c r="FGU915" s="1091"/>
      <c r="FGV915" s="1091"/>
      <c r="FGW915" s="1091"/>
      <c r="FGX915" s="1091"/>
      <c r="FGY915" s="1091"/>
      <c r="FGZ915" s="1091"/>
      <c r="FHA915" s="1091"/>
      <c r="FHB915" s="1091"/>
      <c r="FHC915" s="1091"/>
      <c r="FHD915" s="1091"/>
      <c r="FHE915" s="1091"/>
      <c r="FHF915" s="1091"/>
      <c r="FHG915" s="1091"/>
      <c r="FHH915" s="1091"/>
      <c r="FHI915" s="1091"/>
      <c r="FHJ915" s="1091"/>
      <c r="FHK915" s="1091"/>
      <c r="FHL915" s="1091"/>
      <c r="FHM915" s="1091"/>
      <c r="FHN915" s="1091"/>
      <c r="FHO915" s="1091"/>
      <c r="FHP915" s="1091"/>
      <c r="FHQ915" s="1091"/>
      <c r="FHR915" s="1091"/>
      <c r="FHS915" s="1091"/>
      <c r="FHT915" s="1091"/>
      <c r="FHU915" s="1091"/>
      <c r="FHV915" s="1091"/>
      <c r="FHW915" s="1091"/>
      <c r="FHX915" s="1091"/>
      <c r="FHY915" s="1091"/>
      <c r="FHZ915" s="1091"/>
      <c r="FIA915" s="1091"/>
      <c r="FIB915" s="1091"/>
      <c r="FIC915" s="1091"/>
      <c r="FID915" s="1091"/>
      <c r="FIE915" s="1091"/>
      <c r="FIF915" s="1091"/>
      <c r="FIG915" s="1091"/>
      <c r="FIH915" s="1091"/>
      <c r="FII915" s="1091"/>
      <c r="FIJ915" s="1091"/>
      <c r="FIK915" s="1091"/>
      <c r="FIL915" s="1091"/>
      <c r="FIM915" s="1091"/>
      <c r="FIN915" s="1091"/>
      <c r="FIO915" s="1091"/>
      <c r="FIP915" s="1091"/>
      <c r="FIQ915" s="1091"/>
      <c r="FIR915" s="1091"/>
      <c r="FIS915" s="1091"/>
      <c r="FIT915" s="1091"/>
      <c r="FIU915" s="1091"/>
      <c r="FIV915" s="1091"/>
      <c r="FIW915" s="1091"/>
      <c r="FIX915" s="1091"/>
      <c r="FIY915" s="1091"/>
      <c r="FIZ915" s="1091"/>
      <c r="FJA915" s="1091"/>
      <c r="FJB915" s="1091"/>
      <c r="FJC915" s="1091"/>
      <c r="FJD915" s="1091"/>
      <c r="FJE915" s="1091"/>
      <c r="FJF915" s="1091"/>
      <c r="FJG915" s="1091"/>
      <c r="FJH915" s="1091"/>
      <c r="FJI915" s="1091"/>
      <c r="FJJ915" s="1091"/>
      <c r="FJK915" s="1091"/>
      <c r="FJL915" s="1091"/>
      <c r="FJM915" s="1091"/>
      <c r="FJN915" s="1091"/>
      <c r="FJO915" s="1091"/>
      <c r="FJP915" s="1091"/>
      <c r="FJQ915" s="1091"/>
      <c r="FJR915" s="1091"/>
      <c r="FJS915" s="1091"/>
      <c r="FJT915" s="1091"/>
      <c r="FJU915" s="1091"/>
      <c r="FJV915" s="1091"/>
      <c r="FJW915" s="1091"/>
      <c r="FJX915" s="1091"/>
      <c r="FJY915" s="1091"/>
      <c r="FJZ915" s="1091"/>
      <c r="FKA915" s="1091"/>
      <c r="FKB915" s="1091"/>
      <c r="FKC915" s="1091"/>
      <c r="FKD915" s="1091"/>
      <c r="FKE915" s="1091"/>
      <c r="FKF915" s="1091"/>
      <c r="FKG915" s="1091"/>
      <c r="FKH915" s="1091"/>
      <c r="FKI915" s="1091"/>
      <c r="FKJ915" s="1091"/>
      <c r="FKK915" s="1091"/>
      <c r="FKL915" s="1091"/>
      <c r="FKM915" s="1091"/>
      <c r="FKN915" s="1091"/>
      <c r="FKO915" s="1091"/>
      <c r="FKP915" s="1091"/>
      <c r="FKQ915" s="1091"/>
      <c r="FKR915" s="1091"/>
      <c r="FKS915" s="1091"/>
      <c r="FKT915" s="1091"/>
      <c r="FKU915" s="1091"/>
      <c r="FKV915" s="1091"/>
      <c r="FKW915" s="1091"/>
      <c r="FKX915" s="1091"/>
      <c r="FKY915" s="1091"/>
      <c r="FKZ915" s="1091"/>
      <c r="FLA915" s="1091"/>
      <c r="FLB915" s="1091"/>
      <c r="FLC915" s="1091"/>
      <c r="FLD915" s="1091"/>
      <c r="FLE915" s="1091"/>
      <c r="FLF915" s="1091"/>
      <c r="FLG915" s="1091"/>
      <c r="FLH915" s="1091"/>
      <c r="FLI915" s="1091"/>
      <c r="FLJ915" s="1091"/>
      <c r="FLK915" s="1091"/>
      <c r="FLL915" s="1091"/>
      <c r="FLM915" s="1091"/>
      <c r="FLN915" s="1091"/>
      <c r="FLO915" s="1091"/>
      <c r="FLP915" s="1091"/>
      <c r="FLQ915" s="1091"/>
      <c r="FLR915" s="1091"/>
      <c r="FLS915" s="1091"/>
      <c r="FLT915" s="1091"/>
      <c r="FLU915" s="1091"/>
      <c r="FLV915" s="1091"/>
      <c r="FLW915" s="1091"/>
      <c r="FLX915" s="1091"/>
      <c r="FLY915" s="1091"/>
      <c r="FLZ915" s="1091"/>
      <c r="FMA915" s="1091"/>
      <c r="FMB915" s="1091"/>
      <c r="FMC915" s="1091"/>
      <c r="FMD915" s="1091"/>
      <c r="FME915" s="1091"/>
      <c r="FMF915" s="1091"/>
      <c r="FMG915" s="1091"/>
      <c r="FMH915" s="1091"/>
      <c r="FMI915" s="1091"/>
      <c r="FMJ915" s="1091"/>
      <c r="FMK915" s="1091"/>
      <c r="FML915" s="1091"/>
      <c r="FMM915" s="1091"/>
      <c r="FMN915" s="1091"/>
      <c r="FMO915" s="1091"/>
      <c r="FMP915" s="1091"/>
      <c r="FMQ915" s="1091"/>
      <c r="FMR915" s="1091"/>
      <c r="FMS915" s="1091"/>
      <c r="FMT915" s="1091"/>
      <c r="FMU915" s="1091"/>
      <c r="FMV915" s="1091"/>
      <c r="FMW915" s="1091"/>
      <c r="FMX915" s="1091"/>
      <c r="FMY915" s="1091"/>
      <c r="FMZ915" s="1091"/>
      <c r="FNA915" s="1091"/>
      <c r="FNB915" s="1091"/>
      <c r="FNC915" s="1091"/>
      <c r="FND915" s="1091"/>
      <c r="FNE915" s="1091"/>
      <c r="FNF915" s="1091"/>
      <c r="FNG915" s="1091"/>
      <c r="FNH915" s="1091"/>
      <c r="FNI915" s="1091"/>
      <c r="FNJ915" s="1091"/>
      <c r="FNK915" s="1091"/>
      <c r="FNL915" s="1091"/>
      <c r="FNM915" s="1091"/>
      <c r="FNN915" s="1091"/>
      <c r="FNO915" s="1091"/>
      <c r="FNP915" s="1091"/>
      <c r="FNQ915" s="1091"/>
      <c r="FNR915" s="1091"/>
      <c r="FNS915" s="1091"/>
      <c r="FNT915" s="1091"/>
      <c r="FNU915" s="1091"/>
      <c r="FNV915" s="1091"/>
      <c r="FNW915" s="1091"/>
      <c r="FNX915" s="1091"/>
      <c r="FNY915" s="1091"/>
      <c r="FNZ915" s="1091"/>
      <c r="FOA915" s="1091"/>
      <c r="FOB915" s="1091"/>
      <c r="FOC915" s="1091"/>
      <c r="FOD915" s="1091"/>
      <c r="FOE915" s="1091"/>
      <c r="FOF915" s="1091"/>
      <c r="FOG915" s="1091"/>
      <c r="FOH915" s="1091"/>
      <c r="FOI915" s="1091"/>
      <c r="FOJ915" s="1091"/>
      <c r="FOK915" s="1091"/>
      <c r="FOL915" s="1091"/>
      <c r="FOM915" s="1091"/>
      <c r="FON915" s="1091"/>
      <c r="FOO915" s="1091"/>
      <c r="FOP915" s="1091"/>
      <c r="FOQ915" s="1091"/>
      <c r="FOR915" s="1091"/>
      <c r="FOS915" s="1091"/>
      <c r="FOT915" s="1091"/>
      <c r="FOU915" s="1091"/>
      <c r="FOV915" s="1091"/>
      <c r="FOW915" s="1091"/>
      <c r="FOX915" s="1091"/>
      <c r="FOY915" s="1091"/>
      <c r="FOZ915" s="1091"/>
      <c r="FPA915" s="1091"/>
      <c r="FPB915" s="1091"/>
      <c r="FPC915" s="1091"/>
      <c r="FPD915" s="1091"/>
      <c r="FPE915" s="1091"/>
      <c r="FPF915" s="1091"/>
      <c r="FPG915" s="1091"/>
      <c r="FPH915" s="1091"/>
      <c r="FPI915" s="1091"/>
      <c r="FPJ915" s="1091"/>
      <c r="FPK915" s="1091"/>
      <c r="FPL915" s="1091"/>
      <c r="FPM915" s="1091"/>
      <c r="FPN915" s="1091"/>
      <c r="FPO915" s="1091"/>
      <c r="FPP915" s="1091"/>
      <c r="FPQ915" s="1091"/>
      <c r="FPR915" s="1091"/>
      <c r="FPS915" s="1091"/>
      <c r="FPT915" s="1091"/>
      <c r="FPU915" s="1091"/>
      <c r="FPV915" s="1091"/>
      <c r="FPW915" s="1091"/>
      <c r="FPX915" s="1091"/>
      <c r="FPY915" s="1091"/>
      <c r="FPZ915" s="1091"/>
      <c r="FQA915" s="1091"/>
      <c r="FQB915" s="1091"/>
      <c r="FQC915" s="1091"/>
      <c r="FQD915" s="1091"/>
      <c r="FQE915" s="1091"/>
      <c r="FQF915" s="1091"/>
      <c r="FQG915" s="1091"/>
      <c r="FQH915" s="1091"/>
      <c r="FQI915" s="1091"/>
      <c r="FQJ915" s="1091"/>
      <c r="FQK915" s="1091"/>
      <c r="FQL915" s="1091"/>
      <c r="FQM915" s="1091"/>
      <c r="FQN915" s="1091"/>
      <c r="FQO915" s="1091"/>
      <c r="FQP915" s="1091"/>
      <c r="FQQ915" s="1091"/>
      <c r="FQR915" s="1091"/>
      <c r="FQS915" s="1091"/>
      <c r="FQT915" s="1091"/>
      <c r="FQU915" s="1091"/>
      <c r="FQV915" s="1091"/>
      <c r="FQW915" s="1091"/>
      <c r="FQX915" s="1091"/>
      <c r="FQY915" s="1091"/>
      <c r="FQZ915" s="1091"/>
      <c r="FRA915" s="1091"/>
      <c r="FRB915" s="1091"/>
      <c r="FRC915" s="1091"/>
      <c r="FRD915" s="1091"/>
      <c r="FRE915" s="1091"/>
      <c r="FRF915" s="1091"/>
      <c r="FRG915" s="1091"/>
      <c r="FRH915" s="1091"/>
      <c r="FRI915" s="1091"/>
      <c r="FRJ915" s="1091"/>
      <c r="FRK915" s="1091"/>
      <c r="FRL915" s="1091"/>
      <c r="FRM915" s="1091"/>
      <c r="FRN915" s="1091"/>
      <c r="FRO915" s="1091"/>
      <c r="FRP915" s="1091"/>
      <c r="FRQ915" s="1091"/>
      <c r="FRR915" s="1091"/>
      <c r="FRS915" s="1091"/>
      <c r="FRT915" s="1091"/>
      <c r="FRU915" s="1091"/>
      <c r="FRV915" s="1091"/>
      <c r="FRW915" s="1091"/>
      <c r="FRX915" s="1091"/>
      <c r="FRY915" s="1091"/>
      <c r="FRZ915" s="1091"/>
      <c r="FSA915" s="1091"/>
      <c r="FSB915" s="1091"/>
      <c r="FSC915" s="1091"/>
      <c r="FSD915" s="1091"/>
      <c r="FSE915" s="1091"/>
      <c r="FSF915" s="1091"/>
      <c r="FSG915" s="1091"/>
      <c r="FSH915" s="1091"/>
      <c r="FSI915" s="1091"/>
      <c r="FSJ915" s="1091"/>
      <c r="FSK915" s="1091"/>
      <c r="FSL915" s="1091"/>
      <c r="FSM915" s="1091"/>
      <c r="FSN915" s="1091"/>
      <c r="FSO915" s="1091"/>
      <c r="FSP915" s="1091"/>
      <c r="FSQ915" s="1091"/>
      <c r="FSR915" s="1091"/>
      <c r="FSS915" s="1091"/>
      <c r="FST915" s="1091"/>
      <c r="FSU915" s="1091"/>
      <c r="FSV915" s="1091"/>
      <c r="FSW915" s="1091"/>
      <c r="FSX915" s="1091"/>
      <c r="FSY915" s="1091"/>
      <c r="FSZ915" s="1091"/>
      <c r="FTA915" s="1091"/>
      <c r="FTB915" s="1091"/>
      <c r="FTC915" s="1091"/>
      <c r="FTD915" s="1091"/>
      <c r="FTE915" s="1091"/>
      <c r="FTF915" s="1091"/>
      <c r="FTG915" s="1091"/>
      <c r="FTH915" s="1091"/>
      <c r="FTI915" s="1091"/>
      <c r="FTJ915" s="1091"/>
      <c r="FTK915" s="1091"/>
      <c r="FTL915" s="1091"/>
      <c r="FTM915" s="1091"/>
      <c r="FTN915" s="1091"/>
      <c r="FTO915" s="1091"/>
      <c r="FTP915" s="1091"/>
      <c r="FTQ915" s="1091"/>
      <c r="FTR915" s="1091"/>
      <c r="FTS915" s="1091"/>
      <c r="FTT915" s="1091"/>
      <c r="FTU915" s="1091"/>
      <c r="FTV915" s="1091"/>
      <c r="FTW915" s="1091"/>
      <c r="FTX915" s="1091"/>
      <c r="FTY915" s="1091"/>
      <c r="FTZ915" s="1091"/>
      <c r="FUA915" s="1091"/>
      <c r="FUB915" s="1091"/>
      <c r="FUC915" s="1091"/>
      <c r="FUD915" s="1091"/>
      <c r="FUE915" s="1091"/>
      <c r="FUF915" s="1091"/>
      <c r="FUG915" s="1091"/>
      <c r="FUH915" s="1091"/>
      <c r="FUI915" s="1091"/>
      <c r="FUJ915" s="1091"/>
      <c r="FUK915" s="1091"/>
      <c r="FUL915" s="1091"/>
      <c r="FUM915" s="1091"/>
      <c r="FUN915" s="1091"/>
      <c r="FUO915" s="1091"/>
      <c r="FUP915" s="1091"/>
      <c r="FUQ915" s="1091"/>
      <c r="FUR915" s="1091"/>
      <c r="FUS915" s="1091"/>
      <c r="FUT915" s="1091"/>
      <c r="FUU915" s="1091"/>
      <c r="FUV915" s="1091"/>
      <c r="FUW915" s="1091"/>
      <c r="FUX915" s="1091"/>
      <c r="FUY915" s="1091"/>
      <c r="FUZ915" s="1091"/>
      <c r="FVA915" s="1091"/>
      <c r="FVB915" s="1091"/>
      <c r="FVC915" s="1091"/>
      <c r="FVD915" s="1091"/>
      <c r="FVE915" s="1091"/>
      <c r="FVF915" s="1091"/>
      <c r="FVG915" s="1091"/>
      <c r="FVH915" s="1091"/>
      <c r="FVI915" s="1091"/>
      <c r="FVJ915" s="1091"/>
      <c r="FVK915" s="1091"/>
      <c r="FVL915" s="1091"/>
      <c r="FVM915" s="1091"/>
      <c r="FVN915" s="1091"/>
      <c r="FVO915" s="1091"/>
      <c r="FVP915" s="1091"/>
      <c r="FVQ915" s="1091"/>
      <c r="FVR915" s="1091"/>
      <c r="FVS915" s="1091"/>
      <c r="FVT915" s="1091"/>
      <c r="FVU915" s="1091"/>
      <c r="FVV915" s="1091"/>
      <c r="FVW915" s="1091"/>
      <c r="FVX915" s="1091"/>
      <c r="FVY915" s="1091"/>
      <c r="FVZ915" s="1091"/>
      <c r="FWA915" s="1091"/>
      <c r="FWB915" s="1091"/>
      <c r="FWC915" s="1091"/>
      <c r="FWD915" s="1091"/>
      <c r="FWE915" s="1091"/>
      <c r="FWF915" s="1091"/>
      <c r="FWG915" s="1091"/>
      <c r="FWH915" s="1091"/>
      <c r="FWI915" s="1091"/>
      <c r="FWJ915" s="1091"/>
      <c r="FWK915" s="1091"/>
      <c r="FWL915" s="1091"/>
      <c r="FWM915" s="1091"/>
      <c r="FWN915" s="1091"/>
      <c r="FWO915" s="1091"/>
      <c r="FWP915" s="1091"/>
      <c r="FWQ915" s="1091"/>
      <c r="FWR915" s="1091"/>
      <c r="FWS915" s="1091"/>
      <c r="FWT915" s="1091"/>
      <c r="FWU915" s="1091"/>
      <c r="FWV915" s="1091"/>
      <c r="FWW915" s="1091"/>
      <c r="FWX915" s="1091"/>
      <c r="FWY915" s="1091"/>
      <c r="FWZ915" s="1091"/>
      <c r="FXA915" s="1091"/>
      <c r="FXB915" s="1091"/>
      <c r="FXC915" s="1091"/>
      <c r="FXD915" s="1091"/>
      <c r="FXE915" s="1091"/>
      <c r="FXF915" s="1091"/>
      <c r="FXG915" s="1091"/>
      <c r="FXH915" s="1091"/>
      <c r="FXI915" s="1091"/>
      <c r="FXJ915" s="1091"/>
      <c r="FXK915" s="1091"/>
      <c r="FXL915" s="1091"/>
      <c r="FXM915" s="1091"/>
      <c r="FXN915" s="1091"/>
      <c r="FXO915" s="1091"/>
      <c r="FXP915" s="1091"/>
      <c r="FXQ915" s="1091"/>
      <c r="FXR915" s="1091"/>
      <c r="FXS915" s="1091"/>
      <c r="FXT915" s="1091"/>
      <c r="FXU915" s="1091"/>
      <c r="FXV915" s="1091"/>
      <c r="FXW915" s="1091"/>
      <c r="FXX915" s="1091"/>
      <c r="FXY915" s="1091"/>
      <c r="FXZ915" s="1091"/>
      <c r="FYA915" s="1091"/>
      <c r="FYB915" s="1091"/>
      <c r="FYC915" s="1091"/>
      <c r="FYD915" s="1091"/>
      <c r="FYE915" s="1091"/>
      <c r="FYF915" s="1091"/>
      <c r="FYG915" s="1091"/>
      <c r="FYH915" s="1091"/>
      <c r="FYI915" s="1091"/>
      <c r="FYJ915" s="1091"/>
      <c r="FYK915" s="1091"/>
      <c r="FYL915" s="1091"/>
      <c r="FYM915" s="1091"/>
      <c r="FYN915" s="1091"/>
      <c r="FYO915" s="1091"/>
      <c r="FYP915" s="1091"/>
      <c r="FYQ915" s="1091"/>
      <c r="FYR915" s="1091"/>
      <c r="FYS915" s="1091"/>
      <c r="FYT915" s="1091"/>
      <c r="FYU915" s="1091"/>
      <c r="FYV915" s="1091"/>
      <c r="FYW915" s="1091"/>
      <c r="FYX915" s="1091"/>
      <c r="FYY915" s="1091"/>
      <c r="FYZ915" s="1091"/>
      <c r="FZA915" s="1091"/>
      <c r="FZB915" s="1091"/>
      <c r="FZC915" s="1091"/>
      <c r="FZD915" s="1091"/>
      <c r="FZE915" s="1091"/>
      <c r="FZF915" s="1091"/>
      <c r="FZG915" s="1091"/>
      <c r="FZH915" s="1091"/>
      <c r="FZI915" s="1091"/>
      <c r="FZJ915" s="1091"/>
      <c r="FZK915" s="1091"/>
      <c r="FZL915" s="1091"/>
      <c r="FZM915" s="1091"/>
      <c r="FZN915" s="1091"/>
      <c r="FZO915" s="1091"/>
      <c r="FZP915" s="1091"/>
      <c r="FZQ915" s="1091"/>
      <c r="FZR915" s="1091"/>
      <c r="FZS915" s="1091"/>
      <c r="FZT915" s="1091"/>
      <c r="FZU915" s="1091"/>
      <c r="FZV915" s="1091"/>
      <c r="FZW915" s="1091"/>
      <c r="FZX915" s="1091"/>
      <c r="FZY915" s="1091"/>
      <c r="FZZ915" s="1091"/>
      <c r="GAA915" s="1091"/>
      <c r="GAB915" s="1091"/>
      <c r="GAC915" s="1091"/>
      <c r="GAD915" s="1091"/>
      <c r="GAE915" s="1091"/>
      <c r="GAF915" s="1091"/>
      <c r="GAG915" s="1091"/>
      <c r="GAH915" s="1091"/>
      <c r="GAI915" s="1091"/>
      <c r="GAJ915" s="1091"/>
      <c r="GAK915" s="1091"/>
      <c r="GAL915" s="1091"/>
      <c r="GAM915" s="1091"/>
      <c r="GAN915" s="1091"/>
      <c r="GAO915" s="1091"/>
      <c r="GAP915" s="1091"/>
      <c r="GAQ915" s="1091"/>
      <c r="GAR915" s="1091"/>
      <c r="GAS915" s="1091"/>
      <c r="GAT915" s="1091"/>
      <c r="GAU915" s="1091"/>
      <c r="GAV915" s="1091"/>
      <c r="GAW915" s="1091"/>
      <c r="GAX915" s="1091"/>
      <c r="GAY915" s="1091"/>
      <c r="GAZ915" s="1091"/>
      <c r="GBA915" s="1091"/>
      <c r="GBB915" s="1091"/>
      <c r="GBC915" s="1091"/>
      <c r="GBD915" s="1091"/>
      <c r="GBE915" s="1091"/>
      <c r="GBF915" s="1091"/>
      <c r="GBG915" s="1091"/>
      <c r="GBH915" s="1091"/>
      <c r="GBI915" s="1091"/>
      <c r="GBJ915" s="1091"/>
      <c r="GBK915" s="1091"/>
      <c r="GBL915" s="1091"/>
      <c r="GBM915" s="1091"/>
      <c r="GBN915" s="1091"/>
      <c r="GBO915" s="1091"/>
      <c r="GBP915" s="1091"/>
      <c r="GBQ915" s="1091"/>
      <c r="GBR915" s="1091"/>
      <c r="GBS915" s="1091"/>
      <c r="GBT915" s="1091"/>
      <c r="GBU915" s="1091"/>
      <c r="GBV915" s="1091"/>
      <c r="GBW915" s="1091"/>
      <c r="GBX915" s="1091"/>
      <c r="GBY915" s="1091"/>
      <c r="GBZ915" s="1091"/>
      <c r="GCA915" s="1091"/>
      <c r="GCB915" s="1091"/>
      <c r="GCC915" s="1091"/>
      <c r="GCD915" s="1091"/>
      <c r="GCE915" s="1091"/>
      <c r="GCF915" s="1091"/>
      <c r="GCG915" s="1091"/>
      <c r="GCH915" s="1091"/>
      <c r="GCI915" s="1091"/>
      <c r="GCJ915" s="1091"/>
      <c r="GCK915" s="1091"/>
      <c r="GCL915" s="1091"/>
      <c r="GCM915" s="1091"/>
      <c r="GCN915" s="1091"/>
      <c r="GCO915" s="1091"/>
      <c r="GCP915" s="1091"/>
      <c r="GCQ915" s="1091"/>
      <c r="GCR915" s="1091"/>
      <c r="GCS915" s="1091"/>
      <c r="GCT915" s="1091"/>
      <c r="GCU915" s="1091"/>
      <c r="GCV915" s="1091"/>
      <c r="GCW915" s="1091"/>
      <c r="GCX915" s="1091"/>
      <c r="GCY915" s="1091"/>
      <c r="GCZ915" s="1091"/>
      <c r="GDA915" s="1091"/>
      <c r="GDB915" s="1091"/>
      <c r="GDC915" s="1091"/>
      <c r="GDD915" s="1091"/>
      <c r="GDE915" s="1091"/>
      <c r="GDF915" s="1091"/>
      <c r="GDG915" s="1091"/>
      <c r="GDH915" s="1091"/>
      <c r="GDI915" s="1091"/>
      <c r="GDJ915" s="1091"/>
      <c r="GDK915" s="1091"/>
      <c r="GDL915" s="1091"/>
      <c r="GDM915" s="1091"/>
      <c r="GDN915" s="1091"/>
      <c r="GDO915" s="1091"/>
      <c r="GDP915" s="1091"/>
      <c r="GDQ915" s="1091"/>
      <c r="GDR915" s="1091"/>
      <c r="GDS915" s="1091"/>
      <c r="GDT915" s="1091"/>
      <c r="GDU915" s="1091"/>
      <c r="GDV915" s="1091"/>
      <c r="GDW915" s="1091"/>
      <c r="GDX915" s="1091"/>
      <c r="GDY915" s="1091"/>
      <c r="GDZ915" s="1091"/>
      <c r="GEA915" s="1091"/>
      <c r="GEB915" s="1091"/>
      <c r="GEC915" s="1091"/>
      <c r="GED915" s="1091"/>
      <c r="GEE915" s="1091"/>
      <c r="GEF915" s="1091"/>
      <c r="GEG915" s="1091"/>
      <c r="GEH915" s="1091"/>
      <c r="GEI915" s="1091"/>
      <c r="GEJ915" s="1091"/>
      <c r="GEK915" s="1091"/>
      <c r="GEL915" s="1091"/>
      <c r="GEM915" s="1091"/>
      <c r="GEN915" s="1091"/>
      <c r="GEO915" s="1091"/>
      <c r="GEP915" s="1091"/>
      <c r="GEQ915" s="1091"/>
      <c r="GER915" s="1091"/>
      <c r="GES915" s="1091"/>
      <c r="GET915" s="1091"/>
      <c r="GEU915" s="1091"/>
      <c r="GEV915" s="1091"/>
      <c r="GEW915" s="1091"/>
      <c r="GEX915" s="1091"/>
      <c r="GEY915" s="1091"/>
      <c r="GEZ915" s="1091"/>
      <c r="GFA915" s="1091"/>
      <c r="GFB915" s="1091"/>
      <c r="GFC915" s="1091"/>
      <c r="GFD915" s="1091"/>
      <c r="GFE915" s="1091"/>
      <c r="GFF915" s="1091"/>
      <c r="GFG915" s="1091"/>
      <c r="GFH915" s="1091"/>
      <c r="GFI915" s="1091"/>
      <c r="GFJ915" s="1091"/>
      <c r="GFK915" s="1091"/>
      <c r="GFL915" s="1091"/>
      <c r="GFM915" s="1091"/>
      <c r="GFN915" s="1091"/>
      <c r="GFO915" s="1091"/>
      <c r="GFP915" s="1091"/>
      <c r="GFQ915" s="1091"/>
      <c r="GFR915" s="1091"/>
      <c r="GFS915" s="1091"/>
      <c r="GFT915" s="1091"/>
      <c r="GFU915" s="1091"/>
      <c r="GFV915" s="1091"/>
      <c r="GFW915" s="1091"/>
      <c r="GFX915" s="1091"/>
      <c r="GFY915" s="1091"/>
      <c r="GFZ915" s="1091"/>
      <c r="GGA915" s="1091"/>
      <c r="GGB915" s="1091"/>
      <c r="GGC915" s="1091"/>
      <c r="GGD915" s="1091"/>
      <c r="GGE915" s="1091"/>
      <c r="GGF915" s="1091"/>
      <c r="GGG915" s="1091"/>
      <c r="GGH915" s="1091"/>
      <c r="GGI915" s="1091"/>
      <c r="GGJ915" s="1091"/>
      <c r="GGK915" s="1091"/>
      <c r="GGL915" s="1091"/>
      <c r="GGM915" s="1091"/>
      <c r="GGN915" s="1091"/>
      <c r="GGO915" s="1091"/>
      <c r="GGP915" s="1091"/>
      <c r="GGQ915" s="1091"/>
      <c r="GGR915" s="1091"/>
      <c r="GGS915" s="1091"/>
      <c r="GGT915" s="1091"/>
      <c r="GGU915" s="1091"/>
      <c r="GGV915" s="1091"/>
      <c r="GGW915" s="1091"/>
      <c r="GGX915" s="1091"/>
      <c r="GGY915" s="1091"/>
      <c r="GGZ915" s="1091"/>
      <c r="GHA915" s="1091"/>
      <c r="GHB915" s="1091"/>
      <c r="GHC915" s="1091"/>
      <c r="GHD915" s="1091"/>
      <c r="GHE915" s="1091"/>
      <c r="GHF915" s="1091"/>
      <c r="GHG915" s="1091"/>
      <c r="GHH915" s="1091"/>
      <c r="GHI915" s="1091"/>
      <c r="GHJ915" s="1091"/>
      <c r="GHK915" s="1091"/>
      <c r="GHL915" s="1091"/>
      <c r="GHM915" s="1091"/>
      <c r="GHN915" s="1091"/>
      <c r="GHO915" s="1091"/>
      <c r="GHP915" s="1091"/>
      <c r="GHQ915" s="1091"/>
      <c r="GHR915" s="1091"/>
      <c r="GHS915" s="1091"/>
      <c r="GHT915" s="1091"/>
      <c r="GHU915" s="1091"/>
      <c r="GHV915" s="1091"/>
      <c r="GHW915" s="1091"/>
      <c r="GHX915" s="1091"/>
      <c r="GHY915" s="1091"/>
      <c r="GHZ915" s="1091"/>
      <c r="GIA915" s="1091"/>
      <c r="GIB915" s="1091"/>
      <c r="GIC915" s="1091"/>
      <c r="GID915" s="1091"/>
      <c r="GIE915" s="1091"/>
      <c r="GIF915" s="1091"/>
      <c r="GIG915" s="1091"/>
      <c r="GIH915" s="1091"/>
      <c r="GII915" s="1091"/>
      <c r="GIJ915" s="1091"/>
      <c r="GIK915" s="1091"/>
      <c r="GIL915" s="1091"/>
      <c r="GIM915" s="1091"/>
      <c r="GIN915" s="1091"/>
      <c r="GIO915" s="1091"/>
      <c r="GIP915" s="1091"/>
      <c r="GIQ915" s="1091"/>
      <c r="GIR915" s="1091"/>
      <c r="GIS915" s="1091"/>
      <c r="GIT915" s="1091"/>
      <c r="GIU915" s="1091"/>
      <c r="GIV915" s="1091"/>
      <c r="GIW915" s="1091"/>
      <c r="GIX915" s="1091"/>
      <c r="GIY915" s="1091"/>
      <c r="GIZ915" s="1091"/>
      <c r="GJA915" s="1091"/>
      <c r="GJB915" s="1091"/>
      <c r="GJC915" s="1091"/>
      <c r="GJD915" s="1091"/>
      <c r="GJE915" s="1091"/>
      <c r="GJF915" s="1091"/>
      <c r="GJG915" s="1091"/>
      <c r="GJH915" s="1091"/>
      <c r="GJI915" s="1091"/>
      <c r="GJJ915" s="1091"/>
      <c r="GJK915" s="1091"/>
      <c r="GJL915" s="1091"/>
      <c r="GJM915" s="1091"/>
      <c r="GJN915" s="1091"/>
      <c r="GJO915" s="1091"/>
      <c r="GJP915" s="1091"/>
      <c r="GJQ915" s="1091"/>
      <c r="GJR915" s="1091"/>
      <c r="GJS915" s="1091"/>
      <c r="GJT915" s="1091"/>
      <c r="GJU915" s="1091"/>
      <c r="GJV915" s="1091"/>
      <c r="GJW915" s="1091"/>
      <c r="GJX915" s="1091"/>
      <c r="GJY915" s="1091"/>
      <c r="GJZ915" s="1091"/>
      <c r="GKA915" s="1091"/>
      <c r="GKB915" s="1091"/>
      <c r="GKC915" s="1091"/>
      <c r="GKD915" s="1091"/>
      <c r="GKE915" s="1091"/>
      <c r="GKF915" s="1091"/>
      <c r="GKG915" s="1091"/>
      <c r="GKH915" s="1091"/>
      <c r="GKI915" s="1091"/>
      <c r="GKJ915" s="1091"/>
      <c r="GKK915" s="1091"/>
      <c r="GKL915" s="1091"/>
      <c r="GKM915" s="1091"/>
      <c r="GKN915" s="1091"/>
      <c r="GKO915" s="1091"/>
      <c r="GKP915" s="1091"/>
      <c r="GKQ915" s="1091"/>
      <c r="GKR915" s="1091"/>
      <c r="GKS915" s="1091"/>
      <c r="GKT915" s="1091"/>
      <c r="GKU915" s="1091"/>
      <c r="GKV915" s="1091"/>
      <c r="GKW915" s="1091"/>
      <c r="GKX915" s="1091"/>
      <c r="GKY915" s="1091"/>
      <c r="GKZ915" s="1091"/>
      <c r="GLA915" s="1091"/>
      <c r="GLB915" s="1091"/>
      <c r="GLC915" s="1091"/>
      <c r="GLD915" s="1091"/>
      <c r="GLE915" s="1091"/>
      <c r="GLF915" s="1091"/>
      <c r="GLG915" s="1091"/>
      <c r="GLH915" s="1091"/>
      <c r="GLI915" s="1091"/>
      <c r="GLJ915" s="1091"/>
      <c r="GLK915" s="1091"/>
      <c r="GLL915" s="1091"/>
      <c r="GLM915" s="1091"/>
      <c r="GLN915" s="1091"/>
      <c r="GLO915" s="1091"/>
      <c r="GLP915" s="1091"/>
      <c r="GLQ915" s="1091"/>
      <c r="GLR915" s="1091"/>
      <c r="GLS915" s="1091"/>
      <c r="GLT915" s="1091"/>
      <c r="GLU915" s="1091"/>
      <c r="GLV915" s="1091"/>
      <c r="GLW915" s="1091"/>
      <c r="GLX915" s="1091"/>
      <c r="GLY915" s="1091"/>
      <c r="GLZ915" s="1091"/>
      <c r="GMA915" s="1091"/>
      <c r="GMB915" s="1091"/>
      <c r="GMC915" s="1091"/>
      <c r="GMD915" s="1091"/>
      <c r="GME915" s="1091"/>
      <c r="GMF915" s="1091"/>
      <c r="GMG915" s="1091"/>
      <c r="GMH915" s="1091"/>
      <c r="GMI915" s="1091"/>
      <c r="GMJ915" s="1091"/>
      <c r="GMK915" s="1091"/>
      <c r="GML915" s="1091"/>
      <c r="GMM915" s="1091"/>
      <c r="GMN915" s="1091"/>
      <c r="GMO915" s="1091"/>
      <c r="GMP915" s="1091"/>
      <c r="GMQ915" s="1091"/>
      <c r="GMR915" s="1091"/>
      <c r="GMS915" s="1091"/>
      <c r="GMT915" s="1091"/>
      <c r="GMU915" s="1091"/>
      <c r="GMV915" s="1091"/>
      <c r="GMW915" s="1091"/>
      <c r="GMX915" s="1091"/>
      <c r="GMY915" s="1091"/>
      <c r="GMZ915" s="1091"/>
      <c r="GNA915" s="1091"/>
      <c r="GNB915" s="1091"/>
      <c r="GNC915" s="1091"/>
      <c r="GND915" s="1091"/>
      <c r="GNE915" s="1091"/>
      <c r="GNF915" s="1091"/>
      <c r="GNG915" s="1091"/>
      <c r="GNH915" s="1091"/>
      <c r="GNI915" s="1091"/>
      <c r="GNJ915" s="1091"/>
      <c r="GNK915" s="1091"/>
      <c r="GNL915" s="1091"/>
      <c r="GNM915" s="1091"/>
      <c r="GNN915" s="1091"/>
      <c r="GNO915" s="1091"/>
      <c r="GNP915" s="1091"/>
      <c r="GNQ915" s="1091"/>
      <c r="GNR915" s="1091"/>
      <c r="GNS915" s="1091"/>
      <c r="GNT915" s="1091"/>
      <c r="GNU915" s="1091"/>
      <c r="GNV915" s="1091"/>
      <c r="GNW915" s="1091"/>
      <c r="GNX915" s="1091"/>
      <c r="GNY915" s="1091"/>
      <c r="GNZ915" s="1091"/>
      <c r="GOA915" s="1091"/>
      <c r="GOB915" s="1091"/>
      <c r="GOC915" s="1091"/>
      <c r="GOD915" s="1091"/>
      <c r="GOE915" s="1091"/>
      <c r="GOF915" s="1091"/>
      <c r="GOG915" s="1091"/>
      <c r="GOH915" s="1091"/>
      <c r="GOI915" s="1091"/>
      <c r="GOJ915" s="1091"/>
      <c r="GOK915" s="1091"/>
      <c r="GOL915" s="1091"/>
      <c r="GOM915" s="1091"/>
      <c r="GON915" s="1091"/>
      <c r="GOO915" s="1091"/>
      <c r="GOP915" s="1091"/>
      <c r="GOQ915" s="1091"/>
      <c r="GOR915" s="1091"/>
      <c r="GOS915" s="1091"/>
      <c r="GOT915" s="1091"/>
      <c r="GOU915" s="1091"/>
      <c r="GOV915" s="1091"/>
      <c r="GOW915" s="1091"/>
      <c r="GOX915" s="1091"/>
      <c r="GOY915" s="1091"/>
      <c r="GOZ915" s="1091"/>
      <c r="GPA915" s="1091"/>
      <c r="GPB915" s="1091"/>
      <c r="GPC915" s="1091"/>
      <c r="GPD915" s="1091"/>
      <c r="GPE915" s="1091"/>
      <c r="GPF915" s="1091"/>
      <c r="GPG915" s="1091"/>
      <c r="GPH915" s="1091"/>
      <c r="GPI915" s="1091"/>
      <c r="GPJ915" s="1091"/>
      <c r="GPK915" s="1091"/>
      <c r="GPL915" s="1091"/>
      <c r="GPM915" s="1091"/>
      <c r="GPN915" s="1091"/>
      <c r="GPO915" s="1091"/>
      <c r="GPP915" s="1091"/>
      <c r="GPQ915" s="1091"/>
      <c r="GPR915" s="1091"/>
      <c r="GPS915" s="1091"/>
      <c r="GPT915" s="1091"/>
      <c r="GPU915" s="1091"/>
      <c r="GPV915" s="1091"/>
      <c r="GPW915" s="1091"/>
      <c r="GPX915" s="1091"/>
      <c r="GPY915" s="1091"/>
      <c r="GPZ915" s="1091"/>
      <c r="GQA915" s="1091"/>
      <c r="GQB915" s="1091"/>
      <c r="GQC915" s="1091"/>
      <c r="GQD915" s="1091"/>
      <c r="GQE915" s="1091"/>
      <c r="GQF915" s="1091"/>
      <c r="GQG915" s="1091"/>
      <c r="GQH915" s="1091"/>
      <c r="GQI915" s="1091"/>
      <c r="GQJ915" s="1091"/>
      <c r="GQK915" s="1091"/>
      <c r="GQL915" s="1091"/>
      <c r="GQM915" s="1091"/>
      <c r="GQN915" s="1091"/>
      <c r="GQO915" s="1091"/>
      <c r="GQP915" s="1091"/>
      <c r="GQQ915" s="1091"/>
      <c r="GQR915" s="1091"/>
      <c r="GQS915" s="1091"/>
      <c r="GQT915" s="1091"/>
      <c r="GQU915" s="1091"/>
      <c r="GQV915" s="1091"/>
      <c r="GQW915" s="1091"/>
      <c r="GQX915" s="1091"/>
      <c r="GQY915" s="1091"/>
      <c r="GQZ915" s="1091"/>
      <c r="GRA915" s="1091"/>
      <c r="GRB915" s="1091"/>
      <c r="GRC915" s="1091"/>
      <c r="GRD915" s="1091"/>
      <c r="GRE915" s="1091"/>
      <c r="GRF915" s="1091"/>
      <c r="GRG915" s="1091"/>
      <c r="GRH915" s="1091"/>
      <c r="GRI915" s="1091"/>
      <c r="GRJ915" s="1091"/>
      <c r="GRK915" s="1091"/>
      <c r="GRL915" s="1091"/>
      <c r="GRM915" s="1091"/>
      <c r="GRN915" s="1091"/>
      <c r="GRO915" s="1091"/>
      <c r="GRP915" s="1091"/>
      <c r="GRQ915" s="1091"/>
      <c r="GRR915" s="1091"/>
      <c r="GRS915" s="1091"/>
      <c r="GRT915" s="1091"/>
      <c r="GRU915" s="1091"/>
      <c r="GRV915" s="1091"/>
      <c r="GRW915" s="1091"/>
      <c r="GRX915" s="1091"/>
      <c r="GRY915" s="1091"/>
      <c r="GRZ915" s="1091"/>
      <c r="GSA915" s="1091"/>
      <c r="GSB915" s="1091"/>
      <c r="GSC915" s="1091"/>
      <c r="GSD915" s="1091"/>
      <c r="GSE915" s="1091"/>
      <c r="GSF915" s="1091"/>
      <c r="GSG915" s="1091"/>
      <c r="GSH915" s="1091"/>
      <c r="GSI915" s="1091"/>
      <c r="GSJ915" s="1091"/>
      <c r="GSK915" s="1091"/>
      <c r="GSL915" s="1091"/>
      <c r="GSM915" s="1091"/>
      <c r="GSN915" s="1091"/>
      <c r="GSO915" s="1091"/>
      <c r="GSP915" s="1091"/>
      <c r="GSQ915" s="1091"/>
      <c r="GSR915" s="1091"/>
      <c r="GSS915" s="1091"/>
      <c r="GST915" s="1091"/>
      <c r="GSU915" s="1091"/>
      <c r="GSV915" s="1091"/>
      <c r="GSW915" s="1091"/>
      <c r="GSX915" s="1091"/>
      <c r="GSY915" s="1091"/>
      <c r="GSZ915" s="1091"/>
      <c r="GTA915" s="1091"/>
      <c r="GTB915" s="1091"/>
      <c r="GTC915" s="1091"/>
      <c r="GTD915" s="1091"/>
      <c r="GTE915" s="1091"/>
      <c r="GTF915" s="1091"/>
      <c r="GTG915" s="1091"/>
      <c r="GTH915" s="1091"/>
      <c r="GTI915" s="1091"/>
      <c r="GTJ915" s="1091"/>
      <c r="GTK915" s="1091"/>
      <c r="GTL915" s="1091"/>
      <c r="GTM915" s="1091"/>
      <c r="GTN915" s="1091"/>
      <c r="GTO915" s="1091"/>
      <c r="GTP915" s="1091"/>
      <c r="GTQ915" s="1091"/>
      <c r="GTR915" s="1091"/>
      <c r="GTS915" s="1091"/>
      <c r="GTT915" s="1091"/>
      <c r="GTU915" s="1091"/>
      <c r="GTV915" s="1091"/>
      <c r="GTW915" s="1091"/>
      <c r="GTX915" s="1091"/>
      <c r="GTY915" s="1091"/>
      <c r="GTZ915" s="1091"/>
      <c r="GUA915" s="1091"/>
      <c r="GUB915" s="1091"/>
      <c r="GUC915" s="1091"/>
      <c r="GUD915" s="1091"/>
      <c r="GUE915" s="1091"/>
      <c r="GUF915" s="1091"/>
      <c r="GUG915" s="1091"/>
      <c r="GUH915" s="1091"/>
      <c r="GUI915" s="1091"/>
      <c r="GUJ915" s="1091"/>
      <c r="GUK915" s="1091"/>
      <c r="GUL915" s="1091"/>
      <c r="GUM915" s="1091"/>
      <c r="GUN915" s="1091"/>
      <c r="GUO915" s="1091"/>
      <c r="GUP915" s="1091"/>
      <c r="GUQ915" s="1091"/>
      <c r="GUR915" s="1091"/>
      <c r="GUS915" s="1091"/>
      <c r="GUT915" s="1091"/>
      <c r="GUU915" s="1091"/>
      <c r="GUV915" s="1091"/>
      <c r="GUW915" s="1091"/>
      <c r="GUX915" s="1091"/>
      <c r="GUY915" s="1091"/>
      <c r="GUZ915" s="1091"/>
      <c r="GVA915" s="1091"/>
      <c r="GVB915" s="1091"/>
      <c r="GVC915" s="1091"/>
      <c r="GVD915" s="1091"/>
      <c r="GVE915" s="1091"/>
      <c r="GVF915" s="1091"/>
      <c r="GVG915" s="1091"/>
      <c r="GVH915" s="1091"/>
      <c r="GVI915" s="1091"/>
      <c r="GVJ915" s="1091"/>
      <c r="GVK915" s="1091"/>
      <c r="GVL915" s="1091"/>
      <c r="GVM915" s="1091"/>
      <c r="GVN915" s="1091"/>
      <c r="GVO915" s="1091"/>
      <c r="GVP915" s="1091"/>
      <c r="GVQ915" s="1091"/>
      <c r="GVR915" s="1091"/>
      <c r="GVS915" s="1091"/>
      <c r="GVT915" s="1091"/>
      <c r="GVU915" s="1091"/>
      <c r="GVV915" s="1091"/>
      <c r="GVW915" s="1091"/>
      <c r="GVX915" s="1091"/>
      <c r="GVY915" s="1091"/>
      <c r="GVZ915" s="1091"/>
      <c r="GWA915" s="1091"/>
      <c r="GWB915" s="1091"/>
      <c r="GWC915" s="1091"/>
      <c r="GWD915" s="1091"/>
      <c r="GWE915" s="1091"/>
      <c r="GWF915" s="1091"/>
      <c r="GWG915" s="1091"/>
      <c r="GWH915" s="1091"/>
      <c r="GWI915" s="1091"/>
      <c r="GWJ915" s="1091"/>
      <c r="GWK915" s="1091"/>
      <c r="GWL915" s="1091"/>
      <c r="GWM915" s="1091"/>
      <c r="GWN915" s="1091"/>
      <c r="GWO915" s="1091"/>
      <c r="GWP915" s="1091"/>
      <c r="GWQ915" s="1091"/>
      <c r="GWR915" s="1091"/>
      <c r="GWS915" s="1091"/>
      <c r="GWT915" s="1091"/>
      <c r="GWU915" s="1091"/>
      <c r="GWV915" s="1091"/>
      <c r="GWW915" s="1091"/>
      <c r="GWX915" s="1091"/>
      <c r="GWY915" s="1091"/>
      <c r="GWZ915" s="1091"/>
      <c r="GXA915" s="1091"/>
      <c r="GXB915" s="1091"/>
      <c r="GXC915" s="1091"/>
      <c r="GXD915" s="1091"/>
      <c r="GXE915" s="1091"/>
      <c r="GXF915" s="1091"/>
      <c r="GXG915" s="1091"/>
      <c r="GXH915" s="1091"/>
      <c r="GXI915" s="1091"/>
      <c r="GXJ915" s="1091"/>
      <c r="GXK915" s="1091"/>
      <c r="GXL915" s="1091"/>
      <c r="GXM915" s="1091"/>
      <c r="GXN915" s="1091"/>
      <c r="GXO915" s="1091"/>
      <c r="GXP915" s="1091"/>
      <c r="GXQ915" s="1091"/>
      <c r="GXR915" s="1091"/>
      <c r="GXS915" s="1091"/>
      <c r="GXT915" s="1091"/>
      <c r="GXU915" s="1091"/>
      <c r="GXV915" s="1091"/>
      <c r="GXW915" s="1091"/>
      <c r="GXX915" s="1091"/>
      <c r="GXY915" s="1091"/>
      <c r="GXZ915" s="1091"/>
      <c r="GYA915" s="1091"/>
      <c r="GYB915" s="1091"/>
      <c r="GYC915" s="1091"/>
      <c r="GYD915" s="1091"/>
      <c r="GYE915" s="1091"/>
      <c r="GYF915" s="1091"/>
      <c r="GYG915" s="1091"/>
      <c r="GYH915" s="1091"/>
      <c r="GYI915" s="1091"/>
      <c r="GYJ915" s="1091"/>
      <c r="GYK915" s="1091"/>
      <c r="GYL915" s="1091"/>
      <c r="GYM915" s="1091"/>
      <c r="GYN915" s="1091"/>
      <c r="GYO915" s="1091"/>
      <c r="GYP915" s="1091"/>
      <c r="GYQ915" s="1091"/>
      <c r="GYR915" s="1091"/>
      <c r="GYS915" s="1091"/>
      <c r="GYT915" s="1091"/>
      <c r="GYU915" s="1091"/>
      <c r="GYV915" s="1091"/>
      <c r="GYW915" s="1091"/>
      <c r="GYX915" s="1091"/>
      <c r="GYY915" s="1091"/>
      <c r="GYZ915" s="1091"/>
      <c r="GZA915" s="1091"/>
      <c r="GZB915" s="1091"/>
      <c r="GZC915" s="1091"/>
      <c r="GZD915" s="1091"/>
      <c r="GZE915" s="1091"/>
      <c r="GZF915" s="1091"/>
      <c r="GZG915" s="1091"/>
      <c r="GZH915" s="1091"/>
      <c r="GZI915" s="1091"/>
      <c r="GZJ915" s="1091"/>
      <c r="GZK915" s="1091"/>
      <c r="GZL915" s="1091"/>
      <c r="GZM915" s="1091"/>
      <c r="GZN915" s="1091"/>
      <c r="GZO915" s="1091"/>
      <c r="GZP915" s="1091"/>
      <c r="GZQ915" s="1091"/>
      <c r="GZR915" s="1091"/>
      <c r="GZS915" s="1091"/>
      <c r="GZT915" s="1091"/>
      <c r="GZU915" s="1091"/>
      <c r="GZV915" s="1091"/>
      <c r="GZW915" s="1091"/>
      <c r="GZX915" s="1091"/>
      <c r="GZY915" s="1091"/>
      <c r="GZZ915" s="1091"/>
      <c r="HAA915" s="1091"/>
      <c r="HAB915" s="1091"/>
      <c r="HAC915" s="1091"/>
      <c r="HAD915" s="1091"/>
      <c r="HAE915" s="1091"/>
      <c r="HAF915" s="1091"/>
      <c r="HAG915" s="1091"/>
      <c r="HAH915" s="1091"/>
      <c r="HAI915" s="1091"/>
      <c r="HAJ915" s="1091"/>
      <c r="HAK915" s="1091"/>
      <c r="HAL915" s="1091"/>
      <c r="HAM915" s="1091"/>
      <c r="HAN915" s="1091"/>
      <c r="HAO915" s="1091"/>
      <c r="HAP915" s="1091"/>
      <c r="HAQ915" s="1091"/>
      <c r="HAR915" s="1091"/>
      <c r="HAS915" s="1091"/>
      <c r="HAT915" s="1091"/>
      <c r="HAU915" s="1091"/>
      <c r="HAV915" s="1091"/>
      <c r="HAW915" s="1091"/>
      <c r="HAX915" s="1091"/>
      <c r="HAY915" s="1091"/>
      <c r="HAZ915" s="1091"/>
      <c r="HBA915" s="1091"/>
      <c r="HBB915" s="1091"/>
      <c r="HBC915" s="1091"/>
      <c r="HBD915" s="1091"/>
      <c r="HBE915" s="1091"/>
      <c r="HBF915" s="1091"/>
      <c r="HBG915" s="1091"/>
      <c r="HBH915" s="1091"/>
      <c r="HBI915" s="1091"/>
      <c r="HBJ915" s="1091"/>
      <c r="HBK915" s="1091"/>
      <c r="HBL915" s="1091"/>
      <c r="HBM915" s="1091"/>
      <c r="HBN915" s="1091"/>
      <c r="HBO915" s="1091"/>
      <c r="HBP915" s="1091"/>
      <c r="HBQ915" s="1091"/>
      <c r="HBR915" s="1091"/>
      <c r="HBS915" s="1091"/>
      <c r="HBT915" s="1091"/>
      <c r="HBU915" s="1091"/>
      <c r="HBV915" s="1091"/>
      <c r="HBW915" s="1091"/>
      <c r="HBX915" s="1091"/>
      <c r="HBY915" s="1091"/>
      <c r="HBZ915" s="1091"/>
      <c r="HCA915" s="1091"/>
      <c r="HCB915" s="1091"/>
      <c r="HCC915" s="1091"/>
      <c r="HCD915" s="1091"/>
      <c r="HCE915" s="1091"/>
      <c r="HCF915" s="1091"/>
      <c r="HCG915" s="1091"/>
      <c r="HCH915" s="1091"/>
      <c r="HCI915" s="1091"/>
      <c r="HCJ915" s="1091"/>
      <c r="HCK915" s="1091"/>
      <c r="HCL915" s="1091"/>
      <c r="HCM915" s="1091"/>
      <c r="HCN915" s="1091"/>
      <c r="HCO915" s="1091"/>
      <c r="HCP915" s="1091"/>
      <c r="HCQ915" s="1091"/>
      <c r="HCR915" s="1091"/>
      <c r="HCS915" s="1091"/>
      <c r="HCT915" s="1091"/>
      <c r="HCU915" s="1091"/>
      <c r="HCV915" s="1091"/>
      <c r="HCW915" s="1091"/>
      <c r="HCX915" s="1091"/>
      <c r="HCY915" s="1091"/>
      <c r="HCZ915" s="1091"/>
      <c r="HDA915" s="1091"/>
      <c r="HDB915" s="1091"/>
      <c r="HDC915" s="1091"/>
      <c r="HDD915" s="1091"/>
      <c r="HDE915" s="1091"/>
      <c r="HDF915" s="1091"/>
      <c r="HDG915" s="1091"/>
      <c r="HDH915" s="1091"/>
      <c r="HDI915" s="1091"/>
      <c r="HDJ915" s="1091"/>
      <c r="HDK915" s="1091"/>
      <c r="HDL915" s="1091"/>
      <c r="HDM915" s="1091"/>
      <c r="HDN915" s="1091"/>
      <c r="HDO915" s="1091"/>
      <c r="HDP915" s="1091"/>
      <c r="HDQ915" s="1091"/>
      <c r="HDR915" s="1091"/>
      <c r="HDS915" s="1091"/>
      <c r="HDT915" s="1091"/>
      <c r="HDU915" s="1091"/>
      <c r="HDV915" s="1091"/>
      <c r="HDW915" s="1091"/>
      <c r="HDX915" s="1091"/>
      <c r="HDY915" s="1091"/>
      <c r="HDZ915" s="1091"/>
      <c r="HEA915" s="1091"/>
      <c r="HEB915" s="1091"/>
      <c r="HEC915" s="1091"/>
      <c r="HED915" s="1091"/>
      <c r="HEE915" s="1091"/>
      <c r="HEF915" s="1091"/>
      <c r="HEG915" s="1091"/>
      <c r="HEH915" s="1091"/>
      <c r="HEI915" s="1091"/>
      <c r="HEJ915" s="1091"/>
      <c r="HEK915" s="1091"/>
      <c r="HEL915" s="1091"/>
      <c r="HEM915" s="1091"/>
      <c r="HEN915" s="1091"/>
      <c r="HEO915" s="1091"/>
      <c r="HEP915" s="1091"/>
      <c r="HEQ915" s="1091"/>
      <c r="HER915" s="1091"/>
      <c r="HES915" s="1091"/>
      <c r="HET915" s="1091"/>
      <c r="HEU915" s="1091"/>
      <c r="HEV915" s="1091"/>
      <c r="HEW915" s="1091"/>
      <c r="HEX915" s="1091"/>
      <c r="HEY915" s="1091"/>
      <c r="HEZ915" s="1091"/>
      <c r="HFA915" s="1091"/>
      <c r="HFB915" s="1091"/>
      <c r="HFC915" s="1091"/>
      <c r="HFD915" s="1091"/>
      <c r="HFE915" s="1091"/>
      <c r="HFF915" s="1091"/>
      <c r="HFG915" s="1091"/>
      <c r="HFH915" s="1091"/>
      <c r="HFI915" s="1091"/>
      <c r="HFJ915" s="1091"/>
      <c r="HFK915" s="1091"/>
      <c r="HFL915" s="1091"/>
      <c r="HFM915" s="1091"/>
      <c r="HFN915" s="1091"/>
      <c r="HFO915" s="1091"/>
      <c r="HFP915" s="1091"/>
      <c r="HFQ915" s="1091"/>
      <c r="HFR915" s="1091"/>
      <c r="HFS915" s="1091"/>
      <c r="HFT915" s="1091"/>
      <c r="HFU915" s="1091"/>
      <c r="HFV915" s="1091"/>
      <c r="HFW915" s="1091"/>
      <c r="HFX915" s="1091"/>
      <c r="HFY915" s="1091"/>
      <c r="HFZ915" s="1091"/>
      <c r="HGA915" s="1091"/>
      <c r="HGB915" s="1091"/>
      <c r="HGC915" s="1091"/>
      <c r="HGD915" s="1091"/>
      <c r="HGE915" s="1091"/>
      <c r="HGF915" s="1091"/>
      <c r="HGG915" s="1091"/>
      <c r="HGH915" s="1091"/>
      <c r="HGI915" s="1091"/>
      <c r="HGJ915" s="1091"/>
      <c r="HGK915" s="1091"/>
      <c r="HGL915" s="1091"/>
      <c r="HGM915" s="1091"/>
      <c r="HGN915" s="1091"/>
      <c r="HGO915" s="1091"/>
      <c r="HGP915" s="1091"/>
      <c r="HGQ915" s="1091"/>
      <c r="HGR915" s="1091"/>
      <c r="HGS915" s="1091"/>
      <c r="HGT915" s="1091"/>
      <c r="HGU915" s="1091"/>
      <c r="HGV915" s="1091"/>
      <c r="HGW915" s="1091"/>
      <c r="HGX915" s="1091"/>
      <c r="HGY915" s="1091"/>
      <c r="HGZ915" s="1091"/>
      <c r="HHA915" s="1091"/>
      <c r="HHB915" s="1091"/>
      <c r="HHC915" s="1091"/>
      <c r="HHD915" s="1091"/>
      <c r="HHE915" s="1091"/>
      <c r="HHF915" s="1091"/>
      <c r="HHG915" s="1091"/>
      <c r="HHH915" s="1091"/>
      <c r="HHI915" s="1091"/>
      <c r="HHJ915" s="1091"/>
      <c r="HHK915" s="1091"/>
      <c r="HHL915" s="1091"/>
      <c r="HHM915" s="1091"/>
      <c r="HHN915" s="1091"/>
      <c r="HHO915" s="1091"/>
      <c r="HHP915" s="1091"/>
      <c r="HHQ915" s="1091"/>
      <c r="HHR915" s="1091"/>
      <c r="HHS915" s="1091"/>
      <c r="HHT915" s="1091"/>
      <c r="HHU915" s="1091"/>
      <c r="HHV915" s="1091"/>
      <c r="HHW915" s="1091"/>
      <c r="HHX915" s="1091"/>
      <c r="HHY915" s="1091"/>
      <c r="HHZ915" s="1091"/>
      <c r="HIA915" s="1091"/>
      <c r="HIB915" s="1091"/>
      <c r="HIC915" s="1091"/>
      <c r="HID915" s="1091"/>
      <c r="HIE915" s="1091"/>
      <c r="HIF915" s="1091"/>
      <c r="HIG915" s="1091"/>
      <c r="HIH915" s="1091"/>
      <c r="HII915" s="1091"/>
      <c r="HIJ915" s="1091"/>
      <c r="HIK915" s="1091"/>
      <c r="HIL915" s="1091"/>
      <c r="HIM915" s="1091"/>
      <c r="HIN915" s="1091"/>
      <c r="HIO915" s="1091"/>
      <c r="HIP915" s="1091"/>
      <c r="HIQ915" s="1091"/>
      <c r="HIR915" s="1091"/>
      <c r="HIS915" s="1091"/>
      <c r="HIT915" s="1091"/>
      <c r="HIU915" s="1091"/>
      <c r="HIV915" s="1091"/>
      <c r="HIW915" s="1091"/>
      <c r="HIX915" s="1091"/>
      <c r="HIY915" s="1091"/>
      <c r="HIZ915" s="1091"/>
      <c r="HJA915" s="1091"/>
      <c r="HJB915" s="1091"/>
      <c r="HJC915" s="1091"/>
      <c r="HJD915" s="1091"/>
      <c r="HJE915" s="1091"/>
      <c r="HJF915" s="1091"/>
      <c r="HJG915" s="1091"/>
      <c r="HJH915" s="1091"/>
      <c r="HJI915" s="1091"/>
      <c r="HJJ915" s="1091"/>
      <c r="HJK915" s="1091"/>
      <c r="HJL915" s="1091"/>
      <c r="HJM915" s="1091"/>
      <c r="HJN915" s="1091"/>
      <c r="HJO915" s="1091"/>
      <c r="HJP915" s="1091"/>
      <c r="HJQ915" s="1091"/>
      <c r="HJR915" s="1091"/>
      <c r="HJS915" s="1091"/>
      <c r="HJT915" s="1091"/>
      <c r="HJU915" s="1091"/>
      <c r="HJV915" s="1091"/>
      <c r="HJW915" s="1091"/>
      <c r="HJX915" s="1091"/>
      <c r="HJY915" s="1091"/>
      <c r="HJZ915" s="1091"/>
      <c r="HKA915" s="1091"/>
      <c r="HKB915" s="1091"/>
      <c r="HKC915" s="1091"/>
      <c r="HKD915" s="1091"/>
      <c r="HKE915" s="1091"/>
      <c r="HKF915" s="1091"/>
      <c r="HKG915" s="1091"/>
      <c r="HKH915" s="1091"/>
      <c r="HKI915" s="1091"/>
      <c r="HKJ915" s="1091"/>
      <c r="HKK915" s="1091"/>
      <c r="HKL915" s="1091"/>
      <c r="HKM915" s="1091"/>
      <c r="HKN915" s="1091"/>
      <c r="HKO915" s="1091"/>
      <c r="HKP915" s="1091"/>
      <c r="HKQ915" s="1091"/>
      <c r="HKR915" s="1091"/>
      <c r="HKS915" s="1091"/>
      <c r="HKT915" s="1091"/>
      <c r="HKU915" s="1091"/>
      <c r="HKV915" s="1091"/>
      <c r="HKW915" s="1091"/>
      <c r="HKX915" s="1091"/>
      <c r="HKY915" s="1091"/>
      <c r="HKZ915" s="1091"/>
      <c r="HLA915" s="1091"/>
      <c r="HLB915" s="1091"/>
      <c r="HLC915" s="1091"/>
      <c r="HLD915" s="1091"/>
      <c r="HLE915" s="1091"/>
      <c r="HLF915" s="1091"/>
      <c r="HLG915" s="1091"/>
      <c r="HLH915" s="1091"/>
      <c r="HLI915" s="1091"/>
      <c r="HLJ915" s="1091"/>
      <c r="HLK915" s="1091"/>
      <c r="HLL915" s="1091"/>
      <c r="HLM915" s="1091"/>
      <c r="HLN915" s="1091"/>
      <c r="HLO915" s="1091"/>
      <c r="HLP915" s="1091"/>
      <c r="HLQ915" s="1091"/>
      <c r="HLR915" s="1091"/>
      <c r="HLS915" s="1091"/>
      <c r="HLT915" s="1091"/>
      <c r="HLU915" s="1091"/>
      <c r="HLV915" s="1091"/>
      <c r="HLW915" s="1091"/>
      <c r="HLX915" s="1091"/>
      <c r="HLY915" s="1091"/>
      <c r="HLZ915" s="1091"/>
      <c r="HMA915" s="1091"/>
      <c r="HMB915" s="1091"/>
      <c r="HMC915" s="1091"/>
      <c r="HMD915" s="1091"/>
      <c r="HME915" s="1091"/>
      <c r="HMF915" s="1091"/>
      <c r="HMG915" s="1091"/>
      <c r="HMH915" s="1091"/>
      <c r="HMI915" s="1091"/>
      <c r="HMJ915" s="1091"/>
      <c r="HMK915" s="1091"/>
      <c r="HML915" s="1091"/>
      <c r="HMM915" s="1091"/>
      <c r="HMN915" s="1091"/>
      <c r="HMO915" s="1091"/>
      <c r="HMP915" s="1091"/>
      <c r="HMQ915" s="1091"/>
      <c r="HMR915" s="1091"/>
      <c r="HMS915" s="1091"/>
      <c r="HMT915" s="1091"/>
      <c r="HMU915" s="1091"/>
      <c r="HMV915" s="1091"/>
      <c r="HMW915" s="1091"/>
      <c r="HMX915" s="1091"/>
      <c r="HMY915" s="1091"/>
      <c r="HMZ915" s="1091"/>
      <c r="HNA915" s="1091"/>
      <c r="HNB915" s="1091"/>
      <c r="HNC915" s="1091"/>
      <c r="HND915" s="1091"/>
      <c r="HNE915" s="1091"/>
      <c r="HNF915" s="1091"/>
      <c r="HNG915" s="1091"/>
      <c r="HNH915" s="1091"/>
      <c r="HNI915" s="1091"/>
      <c r="HNJ915" s="1091"/>
      <c r="HNK915" s="1091"/>
      <c r="HNL915" s="1091"/>
      <c r="HNM915" s="1091"/>
      <c r="HNN915" s="1091"/>
      <c r="HNO915" s="1091"/>
      <c r="HNP915" s="1091"/>
      <c r="HNQ915" s="1091"/>
      <c r="HNR915" s="1091"/>
      <c r="HNS915" s="1091"/>
      <c r="HNT915" s="1091"/>
      <c r="HNU915" s="1091"/>
      <c r="HNV915" s="1091"/>
      <c r="HNW915" s="1091"/>
      <c r="HNX915" s="1091"/>
      <c r="HNY915" s="1091"/>
      <c r="HNZ915" s="1091"/>
      <c r="HOA915" s="1091"/>
      <c r="HOB915" s="1091"/>
      <c r="HOC915" s="1091"/>
      <c r="HOD915" s="1091"/>
      <c r="HOE915" s="1091"/>
      <c r="HOF915" s="1091"/>
      <c r="HOG915" s="1091"/>
      <c r="HOH915" s="1091"/>
      <c r="HOI915" s="1091"/>
      <c r="HOJ915" s="1091"/>
      <c r="HOK915" s="1091"/>
      <c r="HOL915" s="1091"/>
      <c r="HOM915" s="1091"/>
      <c r="HON915" s="1091"/>
      <c r="HOO915" s="1091"/>
      <c r="HOP915" s="1091"/>
      <c r="HOQ915" s="1091"/>
      <c r="HOR915" s="1091"/>
      <c r="HOS915" s="1091"/>
      <c r="HOT915" s="1091"/>
      <c r="HOU915" s="1091"/>
      <c r="HOV915" s="1091"/>
      <c r="HOW915" s="1091"/>
      <c r="HOX915" s="1091"/>
      <c r="HOY915" s="1091"/>
      <c r="HOZ915" s="1091"/>
      <c r="HPA915" s="1091"/>
      <c r="HPB915" s="1091"/>
      <c r="HPC915" s="1091"/>
      <c r="HPD915" s="1091"/>
      <c r="HPE915" s="1091"/>
      <c r="HPF915" s="1091"/>
      <c r="HPG915" s="1091"/>
      <c r="HPH915" s="1091"/>
      <c r="HPI915" s="1091"/>
      <c r="HPJ915" s="1091"/>
      <c r="HPK915" s="1091"/>
      <c r="HPL915" s="1091"/>
      <c r="HPM915" s="1091"/>
      <c r="HPN915" s="1091"/>
      <c r="HPO915" s="1091"/>
      <c r="HPP915" s="1091"/>
      <c r="HPQ915" s="1091"/>
      <c r="HPR915" s="1091"/>
      <c r="HPS915" s="1091"/>
      <c r="HPT915" s="1091"/>
      <c r="HPU915" s="1091"/>
      <c r="HPV915" s="1091"/>
      <c r="HPW915" s="1091"/>
      <c r="HPX915" s="1091"/>
      <c r="HPY915" s="1091"/>
      <c r="HPZ915" s="1091"/>
      <c r="HQA915" s="1091"/>
      <c r="HQB915" s="1091"/>
      <c r="HQC915" s="1091"/>
      <c r="HQD915" s="1091"/>
      <c r="HQE915" s="1091"/>
      <c r="HQF915" s="1091"/>
      <c r="HQG915" s="1091"/>
      <c r="HQH915" s="1091"/>
      <c r="HQI915" s="1091"/>
      <c r="HQJ915" s="1091"/>
      <c r="HQK915" s="1091"/>
      <c r="HQL915" s="1091"/>
      <c r="HQM915" s="1091"/>
      <c r="HQN915" s="1091"/>
      <c r="HQO915" s="1091"/>
      <c r="HQP915" s="1091"/>
      <c r="HQQ915" s="1091"/>
      <c r="HQR915" s="1091"/>
      <c r="HQS915" s="1091"/>
      <c r="HQT915" s="1091"/>
      <c r="HQU915" s="1091"/>
      <c r="HQV915" s="1091"/>
      <c r="HQW915" s="1091"/>
      <c r="HQX915" s="1091"/>
      <c r="HQY915" s="1091"/>
      <c r="HQZ915" s="1091"/>
      <c r="HRA915" s="1091"/>
      <c r="HRB915" s="1091"/>
      <c r="HRC915" s="1091"/>
      <c r="HRD915" s="1091"/>
      <c r="HRE915" s="1091"/>
      <c r="HRF915" s="1091"/>
      <c r="HRG915" s="1091"/>
      <c r="HRH915" s="1091"/>
      <c r="HRI915" s="1091"/>
      <c r="HRJ915" s="1091"/>
      <c r="HRK915" s="1091"/>
      <c r="HRL915" s="1091"/>
      <c r="HRM915" s="1091"/>
      <c r="HRN915" s="1091"/>
      <c r="HRO915" s="1091"/>
      <c r="HRP915" s="1091"/>
      <c r="HRQ915" s="1091"/>
      <c r="HRR915" s="1091"/>
      <c r="HRS915" s="1091"/>
      <c r="HRT915" s="1091"/>
      <c r="HRU915" s="1091"/>
      <c r="HRV915" s="1091"/>
      <c r="HRW915" s="1091"/>
      <c r="HRX915" s="1091"/>
      <c r="HRY915" s="1091"/>
      <c r="HRZ915" s="1091"/>
      <c r="HSA915" s="1091"/>
      <c r="HSB915" s="1091"/>
      <c r="HSC915" s="1091"/>
      <c r="HSD915" s="1091"/>
      <c r="HSE915" s="1091"/>
      <c r="HSF915" s="1091"/>
      <c r="HSG915" s="1091"/>
      <c r="HSH915" s="1091"/>
      <c r="HSI915" s="1091"/>
      <c r="HSJ915" s="1091"/>
      <c r="HSK915" s="1091"/>
      <c r="HSL915" s="1091"/>
      <c r="HSM915" s="1091"/>
      <c r="HSN915" s="1091"/>
      <c r="HSO915" s="1091"/>
      <c r="HSP915" s="1091"/>
      <c r="HSQ915" s="1091"/>
      <c r="HSR915" s="1091"/>
      <c r="HSS915" s="1091"/>
      <c r="HST915" s="1091"/>
      <c r="HSU915" s="1091"/>
      <c r="HSV915" s="1091"/>
      <c r="HSW915" s="1091"/>
      <c r="HSX915" s="1091"/>
      <c r="HSY915" s="1091"/>
      <c r="HSZ915" s="1091"/>
      <c r="HTA915" s="1091"/>
      <c r="HTB915" s="1091"/>
      <c r="HTC915" s="1091"/>
      <c r="HTD915" s="1091"/>
      <c r="HTE915" s="1091"/>
      <c r="HTF915" s="1091"/>
      <c r="HTG915" s="1091"/>
      <c r="HTH915" s="1091"/>
      <c r="HTI915" s="1091"/>
      <c r="HTJ915" s="1091"/>
      <c r="HTK915" s="1091"/>
      <c r="HTL915" s="1091"/>
      <c r="HTM915" s="1091"/>
      <c r="HTN915" s="1091"/>
      <c r="HTO915" s="1091"/>
      <c r="HTP915" s="1091"/>
      <c r="HTQ915" s="1091"/>
      <c r="HTR915" s="1091"/>
      <c r="HTS915" s="1091"/>
      <c r="HTT915" s="1091"/>
      <c r="HTU915" s="1091"/>
      <c r="HTV915" s="1091"/>
      <c r="HTW915" s="1091"/>
      <c r="HTX915" s="1091"/>
      <c r="HTY915" s="1091"/>
      <c r="HTZ915" s="1091"/>
      <c r="HUA915" s="1091"/>
      <c r="HUB915" s="1091"/>
      <c r="HUC915" s="1091"/>
      <c r="HUD915" s="1091"/>
      <c r="HUE915" s="1091"/>
      <c r="HUF915" s="1091"/>
      <c r="HUG915" s="1091"/>
      <c r="HUH915" s="1091"/>
      <c r="HUI915" s="1091"/>
      <c r="HUJ915" s="1091"/>
      <c r="HUK915" s="1091"/>
      <c r="HUL915" s="1091"/>
      <c r="HUM915" s="1091"/>
      <c r="HUN915" s="1091"/>
      <c r="HUO915" s="1091"/>
      <c r="HUP915" s="1091"/>
      <c r="HUQ915" s="1091"/>
      <c r="HUR915" s="1091"/>
      <c r="HUS915" s="1091"/>
      <c r="HUT915" s="1091"/>
      <c r="HUU915" s="1091"/>
      <c r="HUV915" s="1091"/>
      <c r="HUW915" s="1091"/>
      <c r="HUX915" s="1091"/>
      <c r="HUY915" s="1091"/>
      <c r="HUZ915" s="1091"/>
      <c r="HVA915" s="1091"/>
      <c r="HVB915" s="1091"/>
      <c r="HVC915" s="1091"/>
      <c r="HVD915" s="1091"/>
      <c r="HVE915" s="1091"/>
      <c r="HVF915" s="1091"/>
      <c r="HVG915" s="1091"/>
      <c r="HVH915" s="1091"/>
      <c r="HVI915" s="1091"/>
      <c r="HVJ915" s="1091"/>
      <c r="HVK915" s="1091"/>
      <c r="HVL915" s="1091"/>
      <c r="HVM915" s="1091"/>
      <c r="HVN915" s="1091"/>
      <c r="HVO915" s="1091"/>
      <c r="HVP915" s="1091"/>
      <c r="HVQ915" s="1091"/>
      <c r="HVR915" s="1091"/>
      <c r="HVS915" s="1091"/>
      <c r="HVT915" s="1091"/>
      <c r="HVU915" s="1091"/>
      <c r="HVV915" s="1091"/>
      <c r="HVW915" s="1091"/>
      <c r="HVX915" s="1091"/>
      <c r="HVY915" s="1091"/>
      <c r="HVZ915" s="1091"/>
      <c r="HWA915" s="1091"/>
      <c r="HWB915" s="1091"/>
      <c r="HWC915" s="1091"/>
      <c r="HWD915" s="1091"/>
      <c r="HWE915" s="1091"/>
      <c r="HWF915" s="1091"/>
      <c r="HWG915" s="1091"/>
      <c r="HWH915" s="1091"/>
      <c r="HWI915" s="1091"/>
      <c r="HWJ915" s="1091"/>
      <c r="HWK915" s="1091"/>
      <c r="HWL915" s="1091"/>
      <c r="HWM915" s="1091"/>
      <c r="HWN915" s="1091"/>
      <c r="HWO915" s="1091"/>
      <c r="HWP915" s="1091"/>
      <c r="HWQ915" s="1091"/>
      <c r="HWR915" s="1091"/>
      <c r="HWS915" s="1091"/>
      <c r="HWT915" s="1091"/>
      <c r="HWU915" s="1091"/>
      <c r="HWV915" s="1091"/>
      <c r="HWW915" s="1091"/>
      <c r="HWX915" s="1091"/>
      <c r="HWY915" s="1091"/>
      <c r="HWZ915" s="1091"/>
      <c r="HXA915" s="1091"/>
      <c r="HXB915" s="1091"/>
      <c r="HXC915" s="1091"/>
      <c r="HXD915" s="1091"/>
      <c r="HXE915" s="1091"/>
      <c r="HXF915" s="1091"/>
      <c r="HXG915" s="1091"/>
      <c r="HXH915" s="1091"/>
      <c r="HXI915" s="1091"/>
      <c r="HXJ915" s="1091"/>
      <c r="HXK915" s="1091"/>
      <c r="HXL915" s="1091"/>
      <c r="HXM915" s="1091"/>
      <c r="HXN915" s="1091"/>
      <c r="HXO915" s="1091"/>
      <c r="HXP915" s="1091"/>
      <c r="HXQ915" s="1091"/>
      <c r="HXR915" s="1091"/>
      <c r="HXS915" s="1091"/>
      <c r="HXT915" s="1091"/>
      <c r="HXU915" s="1091"/>
      <c r="HXV915" s="1091"/>
      <c r="HXW915" s="1091"/>
      <c r="HXX915" s="1091"/>
      <c r="HXY915" s="1091"/>
      <c r="HXZ915" s="1091"/>
      <c r="HYA915" s="1091"/>
      <c r="HYB915" s="1091"/>
      <c r="HYC915" s="1091"/>
      <c r="HYD915" s="1091"/>
      <c r="HYE915" s="1091"/>
      <c r="HYF915" s="1091"/>
      <c r="HYG915" s="1091"/>
      <c r="HYH915" s="1091"/>
      <c r="HYI915" s="1091"/>
      <c r="HYJ915" s="1091"/>
      <c r="HYK915" s="1091"/>
      <c r="HYL915" s="1091"/>
      <c r="HYM915" s="1091"/>
      <c r="HYN915" s="1091"/>
      <c r="HYO915" s="1091"/>
      <c r="HYP915" s="1091"/>
      <c r="HYQ915" s="1091"/>
      <c r="HYR915" s="1091"/>
      <c r="HYS915" s="1091"/>
      <c r="HYT915" s="1091"/>
      <c r="HYU915" s="1091"/>
      <c r="HYV915" s="1091"/>
      <c r="HYW915" s="1091"/>
      <c r="HYX915" s="1091"/>
      <c r="HYY915" s="1091"/>
      <c r="HYZ915" s="1091"/>
      <c r="HZA915" s="1091"/>
      <c r="HZB915" s="1091"/>
      <c r="HZC915" s="1091"/>
      <c r="HZD915" s="1091"/>
      <c r="HZE915" s="1091"/>
      <c r="HZF915" s="1091"/>
      <c r="HZG915" s="1091"/>
      <c r="HZH915" s="1091"/>
      <c r="HZI915" s="1091"/>
      <c r="HZJ915" s="1091"/>
      <c r="HZK915" s="1091"/>
      <c r="HZL915" s="1091"/>
      <c r="HZM915" s="1091"/>
      <c r="HZN915" s="1091"/>
      <c r="HZO915" s="1091"/>
      <c r="HZP915" s="1091"/>
      <c r="HZQ915" s="1091"/>
      <c r="HZR915" s="1091"/>
      <c r="HZS915" s="1091"/>
      <c r="HZT915" s="1091"/>
      <c r="HZU915" s="1091"/>
      <c r="HZV915" s="1091"/>
      <c r="HZW915" s="1091"/>
      <c r="HZX915" s="1091"/>
      <c r="HZY915" s="1091"/>
      <c r="HZZ915" s="1091"/>
      <c r="IAA915" s="1091"/>
      <c r="IAB915" s="1091"/>
      <c r="IAC915" s="1091"/>
      <c r="IAD915" s="1091"/>
      <c r="IAE915" s="1091"/>
      <c r="IAF915" s="1091"/>
      <c r="IAG915" s="1091"/>
      <c r="IAH915" s="1091"/>
      <c r="IAI915" s="1091"/>
      <c r="IAJ915" s="1091"/>
      <c r="IAK915" s="1091"/>
      <c r="IAL915" s="1091"/>
      <c r="IAM915" s="1091"/>
      <c r="IAN915" s="1091"/>
      <c r="IAO915" s="1091"/>
      <c r="IAP915" s="1091"/>
      <c r="IAQ915" s="1091"/>
      <c r="IAR915" s="1091"/>
      <c r="IAS915" s="1091"/>
      <c r="IAT915" s="1091"/>
      <c r="IAU915" s="1091"/>
      <c r="IAV915" s="1091"/>
      <c r="IAW915" s="1091"/>
      <c r="IAX915" s="1091"/>
      <c r="IAY915" s="1091"/>
      <c r="IAZ915" s="1091"/>
      <c r="IBA915" s="1091"/>
      <c r="IBB915" s="1091"/>
      <c r="IBC915" s="1091"/>
      <c r="IBD915" s="1091"/>
      <c r="IBE915" s="1091"/>
      <c r="IBF915" s="1091"/>
      <c r="IBG915" s="1091"/>
      <c r="IBH915" s="1091"/>
      <c r="IBI915" s="1091"/>
      <c r="IBJ915" s="1091"/>
      <c r="IBK915" s="1091"/>
      <c r="IBL915" s="1091"/>
      <c r="IBM915" s="1091"/>
      <c r="IBN915" s="1091"/>
      <c r="IBO915" s="1091"/>
      <c r="IBP915" s="1091"/>
      <c r="IBQ915" s="1091"/>
      <c r="IBR915" s="1091"/>
      <c r="IBS915" s="1091"/>
      <c r="IBT915" s="1091"/>
      <c r="IBU915" s="1091"/>
      <c r="IBV915" s="1091"/>
      <c r="IBW915" s="1091"/>
      <c r="IBX915" s="1091"/>
      <c r="IBY915" s="1091"/>
      <c r="IBZ915" s="1091"/>
      <c r="ICA915" s="1091"/>
      <c r="ICB915" s="1091"/>
      <c r="ICC915" s="1091"/>
      <c r="ICD915" s="1091"/>
      <c r="ICE915" s="1091"/>
      <c r="ICF915" s="1091"/>
      <c r="ICG915" s="1091"/>
      <c r="ICH915" s="1091"/>
      <c r="ICI915" s="1091"/>
      <c r="ICJ915" s="1091"/>
      <c r="ICK915" s="1091"/>
      <c r="ICL915" s="1091"/>
      <c r="ICM915" s="1091"/>
      <c r="ICN915" s="1091"/>
      <c r="ICO915" s="1091"/>
      <c r="ICP915" s="1091"/>
      <c r="ICQ915" s="1091"/>
      <c r="ICR915" s="1091"/>
      <c r="ICS915" s="1091"/>
      <c r="ICT915" s="1091"/>
      <c r="ICU915" s="1091"/>
      <c r="ICV915" s="1091"/>
      <c r="ICW915" s="1091"/>
      <c r="ICX915" s="1091"/>
      <c r="ICY915" s="1091"/>
      <c r="ICZ915" s="1091"/>
      <c r="IDA915" s="1091"/>
      <c r="IDB915" s="1091"/>
      <c r="IDC915" s="1091"/>
      <c r="IDD915" s="1091"/>
      <c r="IDE915" s="1091"/>
      <c r="IDF915" s="1091"/>
      <c r="IDG915" s="1091"/>
      <c r="IDH915" s="1091"/>
      <c r="IDI915" s="1091"/>
      <c r="IDJ915" s="1091"/>
      <c r="IDK915" s="1091"/>
      <c r="IDL915" s="1091"/>
      <c r="IDM915" s="1091"/>
      <c r="IDN915" s="1091"/>
      <c r="IDO915" s="1091"/>
      <c r="IDP915" s="1091"/>
      <c r="IDQ915" s="1091"/>
      <c r="IDR915" s="1091"/>
      <c r="IDS915" s="1091"/>
      <c r="IDT915" s="1091"/>
      <c r="IDU915" s="1091"/>
      <c r="IDV915" s="1091"/>
      <c r="IDW915" s="1091"/>
      <c r="IDX915" s="1091"/>
      <c r="IDY915" s="1091"/>
      <c r="IDZ915" s="1091"/>
      <c r="IEA915" s="1091"/>
      <c r="IEB915" s="1091"/>
      <c r="IEC915" s="1091"/>
      <c r="IED915" s="1091"/>
      <c r="IEE915" s="1091"/>
      <c r="IEF915" s="1091"/>
      <c r="IEG915" s="1091"/>
      <c r="IEH915" s="1091"/>
      <c r="IEI915" s="1091"/>
      <c r="IEJ915" s="1091"/>
      <c r="IEK915" s="1091"/>
      <c r="IEL915" s="1091"/>
      <c r="IEM915" s="1091"/>
      <c r="IEN915" s="1091"/>
      <c r="IEO915" s="1091"/>
      <c r="IEP915" s="1091"/>
      <c r="IEQ915" s="1091"/>
      <c r="IER915" s="1091"/>
      <c r="IES915" s="1091"/>
      <c r="IET915" s="1091"/>
      <c r="IEU915" s="1091"/>
      <c r="IEV915" s="1091"/>
      <c r="IEW915" s="1091"/>
      <c r="IEX915" s="1091"/>
      <c r="IEY915" s="1091"/>
      <c r="IEZ915" s="1091"/>
      <c r="IFA915" s="1091"/>
      <c r="IFB915" s="1091"/>
      <c r="IFC915" s="1091"/>
      <c r="IFD915" s="1091"/>
      <c r="IFE915" s="1091"/>
      <c r="IFF915" s="1091"/>
      <c r="IFG915" s="1091"/>
      <c r="IFH915" s="1091"/>
      <c r="IFI915" s="1091"/>
      <c r="IFJ915" s="1091"/>
      <c r="IFK915" s="1091"/>
      <c r="IFL915" s="1091"/>
      <c r="IFM915" s="1091"/>
      <c r="IFN915" s="1091"/>
      <c r="IFO915" s="1091"/>
      <c r="IFP915" s="1091"/>
      <c r="IFQ915" s="1091"/>
      <c r="IFR915" s="1091"/>
      <c r="IFS915" s="1091"/>
      <c r="IFT915" s="1091"/>
      <c r="IFU915" s="1091"/>
      <c r="IFV915" s="1091"/>
      <c r="IFW915" s="1091"/>
      <c r="IFX915" s="1091"/>
      <c r="IFY915" s="1091"/>
      <c r="IFZ915" s="1091"/>
      <c r="IGA915" s="1091"/>
      <c r="IGB915" s="1091"/>
      <c r="IGC915" s="1091"/>
      <c r="IGD915" s="1091"/>
      <c r="IGE915" s="1091"/>
      <c r="IGF915" s="1091"/>
      <c r="IGG915" s="1091"/>
      <c r="IGH915" s="1091"/>
      <c r="IGI915" s="1091"/>
      <c r="IGJ915" s="1091"/>
      <c r="IGK915" s="1091"/>
      <c r="IGL915" s="1091"/>
      <c r="IGM915" s="1091"/>
      <c r="IGN915" s="1091"/>
      <c r="IGO915" s="1091"/>
      <c r="IGP915" s="1091"/>
      <c r="IGQ915" s="1091"/>
      <c r="IGR915" s="1091"/>
      <c r="IGS915" s="1091"/>
      <c r="IGT915" s="1091"/>
      <c r="IGU915" s="1091"/>
      <c r="IGV915" s="1091"/>
      <c r="IGW915" s="1091"/>
      <c r="IGX915" s="1091"/>
      <c r="IGY915" s="1091"/>
      <c r="IGZ915" s="1091"/>
      <c r="IHA915" s="1091"/>
      <c r="IHB915" s="1091"/>
      <c r="IHC915" s="1091"/>
      <c r="IHD915" s="1091"/>
      <c r="IHE915" s="1091"/>
      <c r="IHF915" s="1091"/>
      <c r="IHG915" s="1091"/>
      <c r="IHH915" s="1091"/>
      <c r="IHI915" s="1091"/>
      <c r="IHJ915" s="1091"/>
      <c r="IHK915" s="1091"/>
      <c r="IHL915" s="1091"/>
      <c r="IHM915" s="1091"/>
      <c r="IHN915" s="1091"/>
      <c r="IHO915" s="1091"/>
      <c r="IHP915" s="1091"/>
      <c r="IHQ915" s="1091"/>
      <c r="IHR915" s="1091"/>
      <c r="IHS915" s="1091"/>
      <c r="IHT915" s="1091"/>
      <c r="IHU915" s="1091"/>
      <c r="IHV915" s="1091"/>
      <c r="IHW915" s="1091"/>
      <c r="IHX915" s="1091"/>
      <c r="IHY915" s="1091"/>
      <c r="IHZ915" s="1091"/>
      <c r="IIA915" s="1091"/>
      <c r="IIB915" s="1091"/>
      <c r="IIC915" s="1091"/>
      <c r="IID915" s="1091"/>
      <c r="IIE915" s="1091"/>
      <c r="IIF915" s="1091"/>
      <c r="IIG915" s="1091"/>
      <c r="IIH915" s="1091"/>
      <c r="III915" s="1091"/>
      <c r="IIJ915" s="1091"/>
      <c r="IIK915" s="1091"/>
      <c r="IIL915" s="1091"/>
      <c r="IIM915" s="1091"/>
      <c r="IIN915" s="1091"/>
      <c r="IIO915" s="1091"/>
      <c r="IIP915" s="1091"/>
      <c r="IIQ915" s="1091"/>
      <c r="IIR915" s="1091"/>
      <c r="IIS915" s="1091"/>
      <c r="IIT915" s="1091"/>
      <c r="IIU915" s="1091"/>
      <c r="IIV915" s="1091"/>
      <c r="IIW915" s="1091"/>
      <c r="IIX915" s="1091"/>
      <c r="IIY915" s="1091"/>
      <c r="IIZ915" s="1091"/>
      <c r="IJA915" s="1091"/>
      <c r="IJB915" s="1091"/>
      <c r="IJC915" s="1091"/>
      <c r="IJD915" s="1091"/>
      <c r="IJE915" s="1091"/>
      <c r="IJF915" s="1091"/>
      <c r="IJG915" s="1091"/>
      <c r="IJH915" s="1091"/>
      <c r="IJI915" s="1091"/>
      <c r="IJJ915" s="1091"/>
      <c r="IJK915" s="1091"/>
      <c r="IJL915" s="1091"/>
      <c r="IJM915" s="1091"/>
      <c r="IJN915" s="1091"/>
      <c r="IJO915" s="1091"/>
      <c r="IJP915" s="1091"/>
      <c r="IJQ915" s="1091"/>
      <c r="IJR915" s="1091"/>
      <c r="IJS915" s="1091"/>
      <c r="IJT915" s="1091"/>
      <c r="IJU915" s="1091"/>
      <c r="IJV915" s="1091"/>
      <c r="IJW915" s="1091"/>
      <c r="IJX915" s="1091"/>
      <c r="IJY915" s="1091"/>
      <c r="IJZ915" s="1091"/>
      <c r="IKA915" s="1091"/>
      <c r="IKB915" s="1091"/>
      <c r="IKC915" s="1091"/>
      <c r="IKD915" s="1091"/>
      <c r="IKE915" s="1091"/>
      <c r="IKF915" s="1091"/>
      <c r="IKG915" s="1091"/>
      <c r="IKH915" s="1091"/>
      <c r="IKI915" s="1091"/>
      <c r="IKJ915" s="1091"/>
      <c r="IKK915" s="1091"/>
      <c r="IKL915" s="1091"/>
      <c r="IKM915" s="1091"/>
      <c r="IKN915" s="1091"/>
      <c r="IKO915" s="1091"/>
      <c r="IKP915" s="1091"/>
      <c r="IKQ915" s="1091"/>
      <c r="IKR915" s="1091"/>
      <c r="IKS915" s="1091"/>
      <c r="IKT915" s="1091"/>
      <c r="IKU915" s="1091"/>
      <c r="IKV915" s="1091"/>
      <c r="IKW915" s="1091"/>
      <c r="IKX915" s="1091"/>
      <c r="IKY915" s="1091"/>
      <c r="IKZ915" s="1091"/>
      <c r="ILA915" s="1091"/>
      <c r="ILB915" s="1091"/>
      <c r="ILC915" s="1091"/>
      <c r="ILD915" s="1091"/>
      <c r="ILE915" s="1091"/>
      <c r="ILF915" s="1091"/>
      <c r="ILG915" s="1091"/>
      <c r="ILH915" s="1091"/>
      <c r="ILI915" s="1091"/>
      <c r="ILJ915" s="1091"/>
      <c r="ILK915" s="1091"/>
      <c r="ILL915" s="1091"/>
      <c r="ILM915" s="1091"/>
      <c r="ILN915" s="1091"/>
      <c r="ILO915" s="1091"/>
      <c r="ILP915" s="1091"/>
      <c r="ILQ915" s="1091"/>
      <c r="ILR915" s="1091"/>
      <c r="ILS915" s="1091"/>
      <c r="ILT915" s="1091"/>
      <c r="ILU915" s="1091"/>
      <c r="ILV915" s="1091"/>
      <c r="ILW915" s="1091"/>
      <c r="ILX915" s="1091"/>
      <c r="ILY915" s="1091"/>
      <c r="ILZ915" s="1091"/>
      <c r="IMA915" s="1091"/>
      <c r="IMB915" s="1091"/>
      <c r="IMC915" s="1091"/>
      <c r="IMD915" s="1091"/>
      <c r="IME915" s="1091"/>
      <c r="IMF915" s="1091"/>
      <c r="IMG915" s="1091"/>
      <c r="IMH915" s="1091"/>
      <c r="IMI915" s="1091"/>
      <c r="IMJ915" s="1091"/>
      <c r="IMK915" s="1091"/>
      <c r="IML915" s="1091"/>
      <c r="IMM915" s="1091"/>
      <c r="IMN915" s="1091"/>
      <c r="IMO915" s="1091"/>
      <c r="IMP915" s="1091"/>
      <c r="IMQ915" s="1091"/>
      <c r="IMR915" s="1091"/>
      <c r="IMS915" s="1091"/>
      <c r="IMT915" s="1091"/>
      <c r="IMU915" s="1091"/>
      <c r="IMV915" s="1091"/>
      <c r="IMW915" s="1091"/>
      <c r="IMX915" s="1091"/>
      <c r="IMY915" s="1091"/>
      <c r="IMZ915" s="1091"/>
      <c r="INA915" s="1091"/>
      <c r="INB915" s="1091"/>
      <c r="INC915" s="1091"/>
      <c r="IND915" s="1091"/>
      <c r="INE915" s="1091"/>
      <c r="INF915" s="1091"/>
      <c r="ING915" s="1091"/>
      <c r="INH915" s="1091"/>
      <c r="INI915" s="1091"/>
      <c r="INJ915" s="1091"/>
      <c r="INK915" s="1091"/>
      <c r="INL915" s="1091"/>
      <c r="INM915" s="1091"/>
      <c r="INN915" s="1091"/>
      <c r="INO915" s="1091"/>
      <c r="INP915" s="1091"/>
      <c r="INQ915" s="1091"/>
      <c r="INR915" s="1091"/>
      <c r="INS915" s="1091"/>
      <c r="INT915" s="1091"/>
      <c r="INU915" s="1091"/>
      <c r="INV915" s="1091"/>
      <c r="INW915" s="1091"/>
      <c r="INX915" s="1091"/>
      <c r="INY915" s="1091"/>
      <c r="INZ915" s="1091"/>
      <c r="IOA915" s="1091"/>
      <c r="IOB915" s="1091"/>
      <c r="IOC915" s="1091"/>
      <c r="IOD915" s="1091"/>
      <c r="IOE915" s="1091"/>
      <c r="IOF915" s="1091"/>
      <c r="IOG915" s="1091"/>
      <c r="IOH915" s="1091"/>
      <c r="IOI915" s="1091"/>
      <c r="IOJ915" s="1091"/>
      <c r="IOK915" s="1091"/>
      <c r="IOL915" s="1091"/>
      <c r="IOM915" s="1091"/>
      <c r="ION915" s="1091"/>
      <c r="IOO915" s="1091"/>
      <c r="IOP915" s="1091"/>
      <c r="IOQ915" s="1091"/>
      <c r="IOR915" s="1091"/>
      <c r="IOS915" s="1091"/>
      <c r="IOT915" s="1091"/>
      <c r="IOU915" s="1091"/>
      <c r="IOV915" s="1091"/>
      <c r="IOW915" s="1091"/>
      <c r="IOX915" s="1091"/>
      <c r="IOY915" s="1091"/>
      <c r="IOZ915" s="1091"/>
      <c r="IPA915" s="1091"/>
      <c r="IPB915" s="1091"/>
      <c r="IPC915" s="1091"/>
      <c r="IPD915" s="1091"/>
      <c r="IPE915" s="1091"/>
      <c r="IPF915" s="1091"/>
      <c r="IPG915" s="1091"/>
      <c r="IPH915" s="1091"/>
      <c r="IPI915" s="1091"/>
      <c r="IPJ915" s="1091"/>
      <c r="IPK915" s="1091"/>
      <c r="IPL915" s="1091"/>
      <c r="IPM915" s="1091"/>
      <c r="IPN915" s="1091"/>
      <c r="IPO915" s="1091"/>
      <c r="IPP915" s="1091"/>
      <c r="IPQ915" s="1091"/>
      <c r="IPR915" s="1091"/>
      <c r="IPS915" s="1091"/>
      <c r="IPT915" s="1091"/>
      <c r="IPU915" s="1091"/>
      <c r="IPV915" s="1091"/>
      <c r="IPW915" s="1091"/>
      <c r="IPX915" s="1091"/>
      <c r="IPY915" s="1091"/>
      <c r="IPZ915" s="1091"/>
      <c r="IQA915" s="1091"/>
      <c r="IQB915" s="1091"/>
      <c r="IQC915" s="1091"/>
      <c r="IQD915" s="1091"/>
      <c r="IQE915" s="1091"/>
      <c r="IQF915" s="1091"/>
      <c r="IQG915" s="1091"/>
      <c r="IQH915" s="1091"/>
      <c r="IQI915" s="1091"/>
      <c r="IQJ915" s="1091"/>
      <c r="IQK915" s="1091"/>
      <c r="IQL915" s="1091"/>
      <c r="IQM915" s="1091"/>
      <c r="IQN915" s="1091"/>
      <c r="IQO915" s="1091"/>
      <c r="IQP915" s="1091"/>
      <c r="IQQ915" s="1091"/>
      <c r="IQR915" s="1091"/>
      <c r="IQS915" s="1091"/>
      <c r="IQT915" s="1091"/>
      <c r="IQU915" s="1091"/>
      <c r="IQV915" s="1091"/>
      <c r="IQW915" s="1091"/>
      <c r="IQX915" s="1091"/>
      <c r="IQY915" s="1091"/>
      <c r="IQZ915" s="1091"/>
      <c r="IRA915" s="1091"/>
      <c r="IRB915" s="1091"/>
      <c r="IRC915" s="1091"/>
      <c r="IRD915" s="1091"/>
      <c r="IRE915" s="1091"/>
      <c r="IRF915" s="1091"/>
      <c r="IRG915" s="1091"/>
      <c r="IRH915" s="1091"/>
      <c r="IRI915" s="1091"/>
      <c r="IRJ915" s="1091"/>
      <c r="IRK915" s="1091"/>
      <c r="IRL915" s="1091"/>
      <c r="IRM915" s="1091"/>
      <c r="IRN915" s="1091"/>
      <c r="IRO915" s="1091"/>
      <c r="IRP915" s="1091"/>
      <c r="IRQ915" s="1091"/>
      <c r="IRR915" s="1091"/>
      <c r="IRS915" s="1091"/>
      <c r="IRT915" s="1091"/>
      <c r="IRU915" s="1091"/>
      <c r="IRV915" s="1091"/>
      <c r="IRW915" s="1091"/>
      <c r="IRX915" s="1091"/>
      <c r="IRY915" s="1091"/>
      <c r="IRZ915" s="1091"/>
      <c r="ISA915" s="1091"/>
      <c r="ISB915" s="1091"/>
      <c r="ISC915" s="1091"/>
      <c r="ISD915" s="1091"/>
      <c r="ISE915" s="1091"/>
      <c r="ISF915" s="1091"/>
      <c r="ISG915" s="1091"/>
      <c r="ISH915" s="1091"/>
      <c r="ISI915" s="1091"/>
      <c r="ISJ915" s="1091"/>
      <c r="ISK915" s="1091"/>
      <c r="ISL915" s="1091"/>
      <c r="ISM915" s="1091"/>
      <c r="ISN915" s="1091"/>
      <c r="ISO915" s="1091"/>
      <c r="ISP915" s="1091"/>
      <c r="ISQ915" s="1091"/>
      <c r="ISR915" s="1091"/>
      <c r="ISS915" s="1091"/>
      <c r="IST915" s="1091"/>
      <c r="ISU915" s="1091"/>
      <c r="ISV915" s="1091"/>
      <c r="ISW915" s="1091"/>
      <c r="ISX915" s="1091"/>
      <c r="ISY915" s="1091"/>
      <c r="ISZ915" s="1091"/>
      <c r="ITA915" s="1091"/>
      <c r="ITB915" s="1091"/>
      <c r="ITC915" s="1091"/>
      <c r="ITD915" s="1091"/>
      <c r="ITE915" s="1091"/>
      <c r="ITF915" s="1091"/>
      <c r="ITG915" s="1091"/>
      <c r="ITH915" s="1091"/>
      <c r="ITI915" s="1091"/>
      <c r="ITJ915" s="1091"/>
      <c r="ITK915" s="1091"/>
      <c r="ITL915" s="1091"/>
      <c r="ITM915" s="1091"/>
      <c r="ITN915" s="1091"/>
      <c r="ITO915" s="1091"/>
      <c r="ITP915" s="1091"/>
      <c r="ITQ915" s="1091"/>
      <c r="ITR915" s="1091"/>
      <c r="ITS915" s="1091"/>
      <c r="ITT915" s="1091"/>
      <c r="ITU915" s="1091"/>
      <c r="ITV915" s="1091"/>
      <c r="ITW915" s="1091"/>
      <c r="ITX915" s="1091"/>
      <c r="ITY915" s="1091"/>
      <c r="ITZ915" s="1091"/>
      <c r="IUA915" s="1091"/>
      <c r="IUB915" s="1091"/>
      <c r="IUC915" s="1091"/>
      <c r="IUD915" s="1091"/>
      <c r="IUE915" s="1091"/>
      <c r="IUF915" s="1091"/>
      <c r="IUG915" s="1091"/>
      <c r="IUH915" s="1091"/>
      <c r="IUI915" s="1091"/>
      <c r="IUJ915" s="1091"/>
      <c r="IUK915" s="1091"/>
      <c r="IUL915" s="1091"/>
      <c r="IUM915" s="1091"/>
      <c r="IUN915" s="1091"/>
      <c r="IUO915" s="1091"/>
      <c r="IUP915" s="1091"/>
      <c r="IUQ915" s="1091"/>
      <c r="IUR915" s="1091"/>
      <c r="IUS915" s="1091"/>
      <c r="IUT915" s="1091"/>
      <c r="IUU915" s="1091"/>
      <c r="IUV915" s="1091"/>
      <c r="IUW915" s="1091"/>
      <c r="IUX915" s="1091"/>
      <c r="IUY915" s="1091"/>
      <c r="IUZ915" s="1091"/>
      <c r="IVA915" s="1091"/>
      <c r="IVB915" s="1091"/>
      <c r="IVC915" s="1091"/>
      <c r="IVD915" s="1091"/>
      <c r="IVE915" s="1091"/>
      <c r="IVF915" s="1091"/>
      <c r="IVG915" s="1091"/>
      <c r="IVH915" s="1091"/>
      <c r="IVI915" s="1091"/>
      <c r="IVJ915" s="1091"/>
      <c r="IVK915" s="1091"/>
      <c r="IVL915" s="1091"/>
      <c r="IVM915" s="1091"/>
      <c r="IVN915" s="1091"/>
      <c r="IVO915" s="1091"/>
      <c r="IVP915" s="1091"/>
      <c r="IVQ915" s="1091"/>
      <c r="IVR915" s="1091"/>
      <c r="IVS915" s="1091"/>
      <c r="IVT915" s="1091"/>
      <c r="IVU915" s="1091"/>
      <c r="IVV915" s="1091"/>
      <c r="IVW915" s="1091"/>
      <c r="IVX915" s="1091"/>
      <c r="IVY915" s="1091"/>
      <c r="IVZ915" s="1091"/>
      <c r="IWA915" s="1091"/>
      <c r="IWB915" s="1091"/>
      <c r="IWC915" s="1091"/>
      <c r="IWD915" s="1091"/>
      <c r="IWE915" s="1091"/>
      <c r="IWF915" s="1091"/>
      <c r="IWG915" s="1091"/>
      <c r="IWH915" s="1091"/>
      <c r="IWI915" s="1091"/>
      <c r="IWJ915" s="1091"/>
      <c r="IWK915" s="1091"/>
      <c r="IWL915" s="1091"/>
      <c r="IWM915" s="1091"/>
      <c r="IWN915" s="1091"/>
      <c r="IWO915" s="1091"/>
      <c r="IWP915" s="1091"/>
      <c r="IWQ915" s="1091"/>
      <c r="IWR915" s="1091"/>
      <c r="IWS915" s="1091"/>
      <c r="IWT915" s="1091"/>
      <c r="IWU915" s="1091"/>
      <c r="IWV915" s="1091"/>
      <c r="IWW915" s="1091"/>
      <c r="IWX915" s="1091"/>
      <c r="IWY915" s="1091"/>
      <c r="IWZ915" s="1091"/>
      <c r="IXA915" s="1091"/>
      <c r="IXB915" s="1091"/>
      <c r="IXC915" s="1091"/>
      <c r="IXD915" s="1091"/>
      <c r="IXE915" s="1091"/>
      <c r="IXF915" s="1091"/>
      <c r="IXG915" s="1091"/>
      <c r="IXH915" s="1091"/>
      <c r="IXI915" s="1091"/>
      <c r="IXJ915" s="1091"/>
      <c r="IXK915" s="1091"/>
      <c r="IXL915" s="1091"/>
      <c r="IXM915" s="1091"/>
      <c r="IXN915" s="1091"/>
      <c r="IXO915" s="1091"/>
      <c r="IXP915" s="1091"/>
      <c r="IXQ915" s="1091"/>
      <c r="IXR915" s="1091"/>
      <c r="IXS915" s="1091"/>
      <c r="IXT915" s="1091"/>
      <c r="IXU915" s="1091"/>
      <c r="IXV915" s="1091"/>
      <c r="IXW915" s="1091"/>
      <c r="IXX915" s="1091"/>
      <c r="IXY915" s="1091"/>
      <c r="IXZ915" s="1091"/>
      <c r="IYA915" s="1091"/>
      <c r="IYB915" s="1091"/>
      <c r="IYC915" s="1091"/>
      <c r="IYD915" s="1091"/>
      <c r="IYE915" s="1091"/>
      <c r="IYF915" s="1091"/>
      <c r="IYG915" s="1091"/>
      <c r="IYH915" s="1091"/>
      <c r="IYI915" s="1091"/>
      <c r="IYJ915" s="1091"/>
      <c r="IYK915" s="1091"/>
      <c r="IYL915" s="1091"/>
      <c r="IYM915" s="1091"/>
      <c r="IYN915" s="1091"/>
      <c r="IYO915" s="1091"/>
      <c r="IYP915" s="1091"/>
      <c r="IYQ915" s="1091"/>
      <c r="IYR915" s="1091"/>
      <c r="IYS915" s="1091"/>
      <c r="IYT915" s="1091"/>
      <c r="IYU915" s="1091"/>
      <c r="IYV915" s="1091"/>
      <c r="IYW915" s="1091"/>
      <c r="IYX915" s="1091"/>
      <c r="IYY915" s="1091"/>
      <c r="IYZ915" s="1091"/>
      <c r="IZA915" s="1091"/>
      <c r="IZB915" s="1091"/>
      <c r="IZC915" s="1091"/>
      <c r="IZD915" s="1091"/>
      <c r="IZE915" s="1091"/>
      <c r="IZF915" s="1091"/>
      <c r="IZG915" s="1091"/>
      <c r="IZH915" s="1091"/>
      <c r="IZI915" s="1091"/>
      <c r="IZJ915" s="1091"/>
      <c r="IZK915" s="1091"/>
      <c r="IZL915" s="1091"/>
      <c r="IZM915" s="1091"/>
      <c r="IZN915" s="1091"/>
      <c r="IZO915" s="1091"/>
      <c r="IZP915" s="1091"/>
      <c r="IZQ915" s="1091"/>
      <c r="IZR915" s="1091"/>
      <c r="IZS915" s="1091"/>
      <c r="IZT915" s="1091"/>
      <c r="IZU915" s="1091"/>
      <c r="IZV915" s="1091"/>
      <c r="IZW915" s="1091"/>
      <c r="IZX915" s="1091"/>
      <c r="IZY915" s="1091"/>
      <c r="IZZ915" s="1091"/>
      <c r="JAA915" s="1091"/>
      <c r="JAB915" s="1091"/>
      <c r="JAC915" s="1091"/>
      <c r="JAD915" s="1091"/>
      <c r="JAE915" s="1091"/>
      <c r="JAF915" s="1091"/>
      <c r="JAG915" s="1091"/>
      <c r="JAH915" s="1091"/>
      <c r="JAI915" s="1091"/>
      <c r="JAJ915" s="1091"/>
      <c r="JAK915" s="1091"/>
      <c r="JAL915" s="1091"/>
      <c r="JAM915" s="1091"/>
      <c r="JAN915" s="1091"/>
      <c r="JAO915" s="1091"/>
      <c r="JAP915" s="1091"/>
      <c r="JAQ915" s="1091"/>
      <c r="JAR915" s="1091"/>
      <c r="JAS915" s="1091"/>
      <c r="JAT915" s="1091"/>
      <c r="JAU915" s="1091"/>
      <c r="JAV915" s="1091"/>
      <c r="JAW915" s="1091"/>
      <c r="JAX915" s="1091"/>
      <c r="JAY915" s="1091"/>
      <c r="JAZ915" s="1091"/>
      <c r="JBA915" s="1091"/>
      <c r="JBB915" s="1091"/>
      <c r="JBC915" s="1091"/>
      <c r="JBD915" s="1091"/>
      <c r="JBE915" s="1091"/>
      <c r="JBF915" s="1091"/>
      <c r="JBG915" s="1091"/>
      <c r="JBH915" s="1091"/>
      <c r="JBI915" s="1091"/>
      <c r="JBJ915" s="1091"/>
      <c r="JBK915" s="1091"/>
      <c r="JBL915" s="1091"/>
      <c r="JBM915" s="1091"/>
      <c r="JBN915" s="1091"/>
      <c r="JBO915" s="1091"/>
      <c r="JBP915" s="1091"/>
      <c r="JBQ915" s="1091"/>
      <c r="JBR915" s="1091"/>
      <c r="JBS915" s="1091"/>
      <c r="JBT915" s="1091"/>
      <c r="JBU915" s="1091"/>
      <c r="JBV915" s="1091"/>
      <c r="JBW915" s="1091"/>
      <c r="JBX915" s="1091"/>
      <c r="JBY915" s="1091"/>
      <c r="JBZ915" s="1091"/>
      <c r="JCA915" s="1091"/>
      <c r="JCB915" s="1091"/>
      <c r="JCC915" s="1091"/>
      <c r="JCD915" s="1091"/>
      <c r="JCE915" s="1091"/>
      <c r="JCF915" s="1091"/>
      <c r="JCG915" s="1091"/>
      <c r="JCH915" s="1091"/>
      <c r="JCI915" s="1091"/>
      <c r="JCJ915" s="1091"/>
      <c r="JCK915" s="1091"/>
      <c r="JCL915" s="1091"/>
      <c r="JCM915" s="1091"/>
      <c r="JCN915" s="1091"/>
      <c r="JCO915" s="1091"/>
      <c r="JCP915" s="1091"/>
      <c r="JCQ915" s="1091"/>
      <c r="JCR915" s="1091"/>
      <c r="JCS915" s="1091"/>
      <c r="JCT915" s="1091"/>
      <c r="JCU915" s="1091"/>
      <c r="JCV915" s="1091"/>
      <c r="JCW915" s="1091"/>
      <c r="JCX915" s="1091"/>
      <c r="JCY915" s="1091"/>
      <c r="JCZ915" s="1091"/>
      <c r="JDA915" s="1091"/>
      <c r="JDB915" s="1091"/>
      <c r="JDC915" s="1091"/>
      <c r="JDD915" s="1091"/>
      <c r="JDE915" s="1091"/>
      <c r="JDF915" s="1091"/>
      <c r="JDG915" s="1091"/>
      <c r="JDH915" s="1091"/>
      <c r="JDI915" s="1091"/>
      <c r="JDJ915" s="1091"/>
      <c r="JDK915" s="1091"/>
      <c r="JDL915" s="1091"/>
      <c r="JDM915" s="1091"/>
      <c r="JDN915" s="1091"/>
      <c r="JDO915" s="1091"/>
      <c r="JDP915" s="1091"/>
      <c r="JDQ915" s="1091"/>
      <c r="JDR915" s="1091"/>
      <c r="JDS915" s="1091"/>
      <c r="JDT915" s="1091"/>
      <c r="JDU915" s="1091"/>
      <c r="JDV915" s="1091"/>
      <c r="JDW915" s="1091"/>
      <c r="JDX915" s="1091"/>
      <c r="JDY915" s="1091"/>
      <c r="JDZ915" s="1091"/>
      <c r="JEA915" s="1091"/>
      <c r="JEB915" s="1091"/>
      <c r="JEC915" s="1091"/>
      <c r="JED915" s="1091"/>
      <c r="JEE915" s="1091"/>
      <c r="JEF915" s="1091"/>
      <c r="JEG915" s="1091"/>
      <c r="JEH915" s="1091"/>
      <c r="JEI915" s="1091"/>
      <c r="JEJ915" s="1091"/>
      <c r="JEK915" s="1091"/>
      <c r="JEL915" s="1091"/>
      <c r="JEM915" s="1091"/>
      <c r="JEN915" s="1091"/>
      <c r="JEO915" s="1091"/>
      <c r="JEP915" s="1091"/>
      <c r="JEQ915" s="1091"/>
      <c r="JER915" s="1091"/>
      <c r="JES915" s="1091"/>
      <c r="JET915" s="1091"/>
      <c r="JEU915" s="1091"/>
      <c r="JEV915" s="1091"/>
      <c r="JEW915" s="1091"/>
      <c r="JEX915" s="1091"/>
      <c r="JEY915" s="1091"/>
      <c r="JEZ915" s="1091"/>
      <c r="JFA915" s="1091"/>
      <c r="JFB915" s="1091"/>
      <c r="JFC915" s="1091"/>
      <c r="JFD915" s="1091"/>
      <c r="JFE915" s="1091"/>
      <c r="JFF915" s="1091"/>
      <c r="JFG915" s="1091"/>
      <c r="JFH915" s="1091"/>
      <c r="JFI915" s="1091"/>
      <c r="JFJ915" s="1091"/>
      <c r="JFK915" s="1091"/>
      <c r="JFL915" s="1091"/>
      <c r="JFM915" s="1091"/>
      <c r="JFN915" s="1091"/>
      <c r="JFO915" s="1091"/>
      <c r="JFP915" s="1091"/>
      <c r="JFQ915" s="1091"/>
      <c r="JFR915" s="1091"/>
      <c r="JFS915" s="1091"/>
      <c r="JFT915" s="1091"/>
      <c r="JFU915" s="1091"/>
      <c r="JFV915" s="1091"/>
      <c r="JFW915" s="1091"/>
      <c r="JFX915" s="1091"/>
      <c r="JFY915" s="1091"/>
      <c r="JFZ915" s="1091"/>
      <c r="JGA915" s="1091"/>
      <c r="JGB915" s="1091"/>
      <c r="JGC915" s="1091"/>
      <c r="JGD915" s="1091"/>
      <c r="JGE915" s="1091"/>
      <c r="JGF915" s="1091"/>
      <c r="JGG915" s="1091"/>
      <c r="JGH915" s="1091"/>
      <c r="JGI915" s="1091"/>
      <c r="JGJ915" s="1091"/>
      <c r="JGK915" s="1091"/>
      <c r="JGL915" s="1091"/>
      <c r="JGM915" s="1091"/>
      <c r="JGN915" s="1091"/>
      <c r="JGO915" s="1091"/>
      <c r="JGP915" s="1091"/>
      <c r="JGQ915" s="1091"/>
      <c r="JGR915" s="1091"/>
      <c r="JGS915" s="1091"/>
      <c r="JGT915" s="1091"/>
      <c r="JGU915" s="1091"/>
      <c r="JGV915" s="1091"/>
      <c r="JGW915" s="1091"/>
      <c r="JGX915" s="1091"/>
      <c r="JGY915" s="1091"/>
      <c r="JGZ915" s="1091"/>
      <c r="JHA915" s="1091"/>
      <c r="JHB915" s="1091"/>
      <c r="JHC915" s="1091"/>
      <c r="JHD915" s="1091"/>
      <c r="JHE915" s="1091"/>
      <c r="JHF915" s="1091"/>
      <c r="JHG915" s="1091"/>
      <c r="JHH915" s="1091"/>
      <c r="JHI915" s="1091"/>
      <c r="JHJ915" s="1091"/>
      <c r="JHK915" s="1091"/>
      <c r="JHL915" s="1091"/>
      <c r="JHM915" s="1091"/>
      <c r="JHN915" s="1091"/>
      <c r="JHO915" s="1091"/>
      <c r="JHP915" s="1091"/>
      <c r="JHQ915" s="1091"/>
      <c r="JHR915" s="1091"/>
      <c r="JHS915" s="1091"/>
      <c r="JHT915" s="1091"/>
      <c r="JHU915" s="1091"/>
      <c r="JHV915" s="1091"/>
      <c r="JHW915" s="1091"/>
      <c r="JHX915" s="1091"/>
      <c r="JHY915" s="1091"/>
      <c r="JHZ915" s="1091"/>
      <c r="JIA915" s="1091"/>
      <c r="JIB915" s="1091"/>
      <c r="JIC915" s="1091"/>
      <c r="JID915" s="1091"/>
      <c r="JIE915" s="1091"/>
      <c r="JIF915" s="1091"/>
      <c r="JIG915" s="1091"/>
      <c r="JIH915" s="1091"/>
      <c r="JII915" s="1091"/>
      <c r="JIJ915" s="1091"/>
      <c r="JIK915" s="1091"/>
      <c r="JIL915" s="1091"/>
      <c r="JIM915" s="1091"/>
      <c r="JIN915" s="1091"/>
      <c r="JIO915" s="1091"/>
      <c r="JIP915" s="1091"/>
      <c r="JIQ915" s="1091"/>
      <c r="JIR915" s="1091"/>
      <c r="JIS915" s="1091"/>
      <c r="JIT915" s="1091"/>
      <c r="JIU915" s="1091"/>
      <c r="JIV915" s="1091"/>
      <c r="JIW915" s="1091"/>
      <c r="JIX915" s="1091"/>
      <c r="JIY915" s="1091"/>
      <c r="JIZ915" s="1091"/>
      <c r="JJA915" s="1091"/>
      <c r="JJB915" s="1091"/>
      <c r="JJC915" s="1091"/>
      <c r="JJD915" s="1091"/>
      <c r="JJE915" s="1091"/>
      <c r="JJF915" s="1091"/>
      <c r="JJG915" s="1091"/>
      <c r="JJH915" s="1091"/>
      <c r="JJI915" s="1091"/>
      <c r="JJJ915" s="1091"/>
      <c r="JJK915" s="1091"/>
      <c r="JJL915" s="1091"/>
      <c r="JJM915" s="1091"/>
      <c r="JJN915" s="1091"/>
      <c r="JJO915" s="1091"/>
      <c r="JJP915" s="1091"/>
      <c r="JJQ915" s="1091"/>
      <c r="JJR915" s="1091"/>
      <c r="JJS915" s="1091"/>
      <c r="JJT915" s="1091"/>
      <c r="JJU915" s="1091"/>
      <c r="JJV915" s="1091"/>
      <c r="JJW915" s="1091"/>
      <c r="JJX915" s="1091"/>
      <c r="JJY915" s="1091"/>
      <c r="JJZ915" s="1091"/>
      <c r="JKA915" s="1091"/>
      <c r="JKB915" s="1091"/>
      <c r="JKC915" s="1091"/>
      <c r="JKD915" s="1091"/>
      <c r="JKE915" s="1091"/>
      <c r="JKF915" s="1091"/>
      <c r="JKG915" s="1091"/>
      <c r="JKH915" s="1091"/>
      <c r="JKI915" s="1091"/>
      <c r="JKJ915" s="1091"/>
      <c r="JKK915" s="1091"/>
      <c r="JKL915" s="1091"/>
      <c r="JKM915" s="1091"/>
      <c r="JKN915" s="1091"/>
      <c r="JKO915" s="1091"/>
      <c r="JKP915" s="1091"/>
      <c r="JKQ915" s="1091"/>
      <c r="JKR915" s="1091"/>
      <c r="JKS915" s="1091"/>
      <c r="JKT915" s="1091"/>
      <c r="JKU915" s="1091"/>
      <c r="JKV915" s="1091"/>
      <c r="JKW915" s="1091"/>
      <c r="JKX915" s="1091"/>
      <c r="JKY915" s="1091"/>
      <c r="JKZ915" s="1091"/>
      <c r="JLA915" s="1091"/>
      <c r="JLB915" s="1091"/>
      <c r="JLC915" s="1091"/>
      <c r="JLD915" s="1091"/>
      <c r="JLE915" s="1091"/>
      <c r="JLF915" s="1091"/>
      <c r="JLG915" s="1091"/>
      <c r="JLH915" s="1091"/>
      <c r="JLI915" s="1091"/>
      <c r="JLJ915" s="1091"/>
      <c r="JLK915" s="1091"/>
      <c r="JLL915" s="1091"/>
      <c r="JLM915" s="1091"/>
      <c r="JLN915" s="1091"/>
      <c r="JLO915" s="1091"/>
      <c r="JLP915" s="1091"/>
      <c r="JLQ915" s="1091"/>
      <c r="JLR915" s="1091"/>
      <c r="JLS915" s="1091"/>
      <c r="JLT915" s="1091"/>
      <c r="JLU915" s="1091"/>
      <c r="JLV915" s="1091"/>
      <c r="JLW915" s="1091"/>
      <c r="JLX915" s="1091"/>
      <c r="JLY915" s="1091"/>
      <c r="JLZ915" s="1091"/>
      <c r="JMA915" s="1091"/>
      <c r="JMB915" s="1091"/>
      <c r="JMC915" s="1091"/>
      <c r="JMD915" s="1091"/>
      <c r="JME915" s="1091"/>
      <c r="JMF915" s="1091"/>
      <c r="JMG915" s="1091"/>
      <c r="JMH915" s="1091"/>
      <c r="JMI915" s="1091"/>
      <c r="JMJ915" s="1091"/>
      <c r="JMK915" s="1091"/>
      <c r="JML915" s="1091"/>
      <c r="JMM915" s="1091"/>
      <c r="JMN915" s="1091"/>
      <c r="JMO915" s="1091"/>
      <c r="JMP915" s="1091"/>
      <c r="JMQ915" s="1091"/>
      <c r="JMR915" s="1091"/>
      <c r="JMS915" s="1091"/>
      <c r="JMT915" s="1091"/>
      <c r="JMU915" s="1091"/>
      <c r="JMV915" s="1091"/>
      <c r="JMW915" s="1091"/>
      <c r="JMX915" s="1091"/>
      <c r="JMY915" s="1091"/>
      <c r="JMZ915" s="1091"/>
      <c r="JNA915" s="1091"/>
      <c r="JNB915" s="1091"/>
      <c r="JNC915" s="1091"/>
      <c r="JND915" s="1091"/>
      <c r="JNE915" s="1091"/>
      <c r="JNF915" s="1091"/>
      <c r="JNG915" s="1091"/>
      <c r="JNH915" s="1091"/>
      <c r="JNI915" s="1091"/>
      <c r="JNJ915" s="1091"/>
      <c r="JNK915" s="1091"/>
      <c r="JNL915" s="1091"/>
      <c r="JNM915" s="1091"/>
      <c r="JNN915" s="1091"/>
      <c r="JNO915" s="1091"/>
      <c r="JNP915" s="1091"/>
      <c r="JNQ915" s="1091"/>
      <c r="JNR915" s="1091"/>
      <c r="JNS915" s="1091"/>
      <c r="JNT915" s="1091"/>
      <c r="JNU915" s="1091"/>
      <c r="JNV915" s="1091"/>
      <c r="JNW915" s="1091"/>
      <c r="JNX915" s="1091"/>
      <c r="JNY915" s="1091"/>
      <c r="JNZ915" s="1091"/>
      <c r="JOA915" s="1091"/>
      <c r="JOB915" s="1091"/>
      <c r="JOC915" s="1091"/>
      <c r="JOD915" s="1091"/>
      <c r="JOE915" s="1091"/>
      <c r="JOF915" s="1091"/>
      <c r="JOG915" s="1091"/>
      <c r="JOH915" s="1091"/>
      <c r="JOI915" s="1091"/>
      <c r="JOJ915" s="1091"/>
      <c r="JOK915" s="1091"/>
      <c r="JOL915" s="1091"/>
      <c r="JOM915" s="1091"/>
      <c r="JON915" s="1091"/>
      <c r="JOO915" s="1091"/>
      <c r="JOP915" s="1091"/>
      <c r="JOQ915" s="1091"/>
      <c r="JOR915" s="1091"/>
      <c r="JOS915" s="1091"/>
      <c r="JOT915" s="1091"/>
      <c r="JOU915" s="1091"/>
      <c r="JOV915" s="1091"/>
      <c r="JOW915" s="1091"/>
      <c r="JOX915" s="1091"/>
      <c r="JOY915" s="1091"/>
      <c r="JOZ915" s="1091"/>
      <c r="JPA915" s="1091"/>
      <c r="JPB915" s="1091"/>
      <c r="JPC915" s="1091"/>
      <c r="JPD915" s="1091"/>
      <c r="JPE915" s="1091"/>
      <c r="JPF915" s="1091"/>
      <c r="JPG915" s="1091"/>
      <c r="JPH915" s="1091"/>
      <c r="JPI915" s="1091"/>
      <c r="JPJ915" s="1091"/>
      <c r="JPK915" s="1091"/>
      <c r="JPL915" s="1091"/>
      <c r="JPM915" s="1091"/>
      <c r="JPN915" s="1091"/>
      <c r="JPO915" s="1091"/>
      <c r="JPP915" s="1091"/>
      <c r="JPQ915" s="1091"/>
      <c r="JPR915" s="1091"/>
      <c r="JPS915" s="1091"/>
      <c r="JPT915" s="1091"/>
      <c r="JPU915" s="1091"/>
      <c r="JPV915" s="1091"/>
      <c r="JPW915" s="1091"/>
      <c r="JPX915" s="1091"/>
      <c r="JPY915" s="1091"/>
      <c r="JPZ915" s="1091"/>
      <c r="JQA915" s="1091"/>
      <c r="JQB915" s="1091"/>
      <c r="JQC915" s="1091"/>
      <c r="JQD915" s="1091"/>
      <c r="JQE915" s="1091"/>
      <c r="JQF915" s="1091"/>
      <c r="JQG915" s="1091"/>
      <c r="JQH915" s="1091"/>
      <c r="JQI915" s="1091"/>
      <c r="JQJ915" s="1091"/>
      <c r="JQK915" s="1091"/>
      <c r="JQL915" s="1091"/>
      <c r="JQM915" s="1091"/>
      <c r="JQN915" s="1091"/>
      <c r="JQO915" s="1091"/>
      <c r="JQP915" s="1091"/>
      <c r="JQQ915" s="1091"/>
      <c r="JQR915" s="1091"/>
      <c r="JQS915" s="1091"/>
      <c r="JQT915" s="1091"/>
      <c r="JQU915" s="1091"/>
      <c r="JQV915" s="1091"/>
      <c r="JQW915" s="1091"/>
      <c r="JQX915" s="1091"/>
      <c r="JQY915" s="1091"/>
      <c r="JQZ915" s="1091"/>
      <c r="JRA915" s="1091"/>
      <c r="JRB915" s="1091"/>
      <c r="JRC915" s="1091"/>
      <c r="JRD915" s="1091"/>
      <c r="JRE915" s="1091"/>
      <c r="JRF915" s="1091"/>
      <c r="JRG915" s="1091"/>
      <c r="JRH915" s="1091"/>
      <c r="JRI915" s="1091"/>
      <c r="JRJ915" s="1091"/>
      <c r="JRK915" s="1091"/>
      <c r="JRL915" s="1091"/>
      <c r="JRM915" s="1091"/>
      <c r="JRN915" s="1091"/>
      <c r="JRO915" s="1091"/>
      <c r="JRP915" s="1091"/>
      <c r="JRQ915" s="1091"/>
      <c r="JRR915" s="1091"/>
      <c r="JRS915" s="1091"/>
      <c r="JRT915" s="1091"/>
      <c r="JRU915" s="1091"/>
      <c r="JRV915" s="1091"/>
      <c r="JRW915" s="1091"/>
      <c r="JRX915" s="1091"/>
      <c r="JRY915" s="1091"/>
      <c r="JRZ915" s="1091"/>
      <c r="JSA915" s="1091"/>
      <c r="JSB915" s="1091"/>
      <c r="JSC915" s="1091"/>
      <c r="JSD915" s="1091"/>
      <c r="JSE915" s="1091"/>
      <c r="JSF915" s="1091"/>
      <c r="JSG915" s="1091"/>
      <c r="JSH915" s="1091"/>
      <c r="JSI915" s="1091"/>
      <c r="JSJ915" s="1091"/>
      <c r="JSK915" s="1091"/>
      <c r="JSL915" s="1091"/>
      <c r="JSM915" s="1091"/>
      <c r="JSN915" s="1091"/>
      <c r="JSO915" s="1091"/>
      <c r="JSP915" s="1091"/>
      <c r="JSQ915" s="1091"/>
      <c r="JSR915" s="1091"/>
      <c r="JSS915" s="1091"/>
      <c r="JST915" s="1091"/>
      <c r="JSU915" s="1091"/>
      <c r="JSV915" s="1091"/>
      <c r="JSW915" s="1091"/>
      <c r="JSX915" s="1091"/>
      <c r="JSY915" s="1091"/>
      <c r="JSZ915" s="1091"/>
      <c r="JTA915" s="1091"/>
      <c r="JTB915" s="1091"/>
      <c r="JTC915" s="1091"/>
      <c r="JTD915" s="1091"/>
      <c r="JTE915" s="1091"/>
      <c r="JTF915" s="1091"/>
      <c r="JTG915" s="1091"/>
      <c r="JTH915" s="1091"/>
      <c r="JTI915" s="1091"/>
      <c r="JTJ915" s="1091"/>
      <c r="JTK915" s="1091"/>
      <c r="JTL915" s="1091"/>
      <c r="JTM915" s="1091"/>
      <c r="JTN915" s="1091"/>
      <c r="JTO915" s="1091"/>
      <c r="JTP915" s="1091"/>
      <c r="JTQ915" s="1091"/>
      <c r="JTR915" s="1091"/>
      <c r="JTS915" s="1091"/>
      <c r="JTT915" s="1091"/>
      <c r="JTU915" s="1091"/>
      <c r="JTV915" s="1091"/>
      <c r="JTW915" s="1091"/>
      <c r="JTX915" s="1091"/>
      <c r="JTY915" s="1091"/>
      <c r="JTZ915" s="1091"/>
      <c r="JUA915" s="1091"/>
      <c r="JUB915" s="1091"/>
      <c r="JUC915" s="1091"/>
      <c r="JUD915" s="1091"/>
      <c r="JUE915" s="1091"/>
      <c r="JUF915" s="1091"/>
      <c r="JUG915" s="1091"/>
      <c r="JUH915" s="1091"/>
      <c r="JUI915" s="1091"/>
      <c r="JUJ915" s="1091"/>
      <c r="JUK915" s="1091"/>
      <c r="JUL915" s="1091"/>
      <c r="JUM915" s="1091"/>
      <c r="JUN915" s="1091"/>
      <c r="JUO915" s="1091"/>
      <c r="JUP915" s="1091"/>
      <c r="JUQ915" s="1091"/>
      <c r="JUR915" s="1091"/>
      <c r="JUS915" s="1091"/>
      <c r="JUT915" s="1091"/>
      <c r="JUU915" s="1091"/>
      <c r="JUV915" s="1091"/>
      <c r="JUW915" s="1091"/>
      <c r="JUX915" s="1091"/>
      <c r="JUY915" s="1091"/>
      <c r="JUZ915" s="1091"/>
      <c r="JVA915" s="1091"/>
      <c r="JVB915" s="1091"/>
      <c r="JVC915" s="1091"/>
      <c r="JVD915" s="1091"/>
      <c r="JVE915" s="1091"/>
      <c r="JVF915" s="1091"/>
      <c r="JVG915" s="1091"/>
      <c r="JVH915" s="1091"/>
      <c r="JVI915" s="1091"/>
      <c r="JVJ915" s="1091"/>
      <c r="JVK915" s="1091"/>
      <c r="JVL915" s="1091"/>
      <c r="JVM915" s="1091"/>
      <c r="JVN915" s="1091"/>
      <c r="JVO915" s="1091"/>
      <c r="JVP915" s="1091"/>
      <c r="JVQ915" s="1091"/>
      <c r="JVR915" s="1091"/>
      <c r="JVS915" s="1091"/>
      <c r="JVT915" s="1091"/>
      <c r="JVU915" s="1091"/>
      <c r="JVV915" s="1091"/>
      <c r="JVW915" s="1091"/>
      <c r="JVX915" s="1091"/>
      <c r="JVY915" s="1091"/>
      <c r="JVZ915" s="1091"/>
      <c r="JWA915" s="1091"/>
      <c r="JWB915" s="1091"/>
      <c r="JWC915" s="1091"/>
      <c r="JWD915" s="1091"/>
      <c r="JWE915" s="1091"/>
      <c r="JWF915" s="1091"/>
      <c r="JWG915" s="1091"/>
      <c r="JWH915" s="1091"/>
      <c r="JWI915" s="1091"/>
      <c r="JWJ915" s="1091"/>
      <c r="JWK915" s="1091"/>
      <c r="JWL915" s="1091"/>
      <c r="JWM915" s="1091"/>
      <c r="JWN915" s="1091"/>
      <c r="JWO915" s="1091"/>
      <c r="JWP915" s="1091"/>
      <c r="JWQ915" s="1091"/>
      <c r="JWR915" s="1091"/>
      <c r="JWS915" s="1091"/>
      <c r="JWT915" s="1091"/>
      <c r="JWU915" s="1091"/>
      <c r="JWV915" s="1091"/>
      <c r="JWW915" s="1091"/>
      <c r="JWX915" s="1091"/>
      <c r="JWY915" s="1091"/>
      <c r="JWZ915" s="1091"/>
      <c r="JXA915" s="1091"/>
      <c r="JXB915" s="1091"/>
      <c r="JXC915" s="1091"/>
      <c r="JXD915" s="1091"/>
      <c r="JXE915" s="1091"/>
      <c r="JXF915" s="1091"/>
      <c r="JXG915" s="1091"/>
      <c r="JXH915" s="1091"/>
      <c r="JXI915" s="1091"/>
      <c r="JXJ915" s="1091"/>
      <c r="JXK915" s="1091"/>
      <c r="JXL915" s="1091"/>
      <c r="JXM915" s="1091"/>
      <c r="JXN915" s="1091"/>
      <c r="JXO915" s="1091"/>
      <c r="JXP915" s="1091"/>
      <c r="JXQ915" s="1091"/>
      <c r="JXR915" s="1091"/>
      <c r="JXS915" s="1091"/>
      <c r="JXT915" s="1091"/>
      <c r="JXU915" s="1091"/>
      <c r="JXV915" s="1091"/>
      <c r="JXW915" s="1091"/>
      <c r="JXX915" s="1091"/>
      <c r="JXY915" s="1091"/>
      <c r="JXZ915" s="1091"/>
      <c r="JYA915" s="1091"/>
      <c r="JYB915" s="1091"/>
      <c r="JYC915" s="1091"/>
      <c r="JYD915" s="1091"/>
      <c r="JYE915" s="1091"/>
      <c r="JYF915" s="1091"/>
      <c r="JYG915" s="1091"/>
      <c r="JYH915" s="1091"/>
      <c r="JYI915" s="1091"/>
      <c r="JYJ915" s="1091"/>
      <c r="JYK915" s="1091"/>
      <c r="JYL915" s="1091"/>
      <c r="JYM915" s="1091"/>
      <c r="JYN915" s="1091"/>
      <c r="JYO915" s="1091"/>
      <c r="JYP915" s="1091"/>
      <c r="JYQ915" s="1091"/>
      <c r="JYR915" s="1091"/>
      <c r="JYS915" s="1091"/>
      <c r="JYT915" s="1091"/>
      <c r="JYU915" s="1091"/>
      <c r="JYV915" s="1091"/>
      <c r="JYW915" s="1091"/>
      <c r="JYX915" s="1091"/>
      <c r="JYY915" s="1091"/>
      <c r="JYZ915" s="1091"/>
      <c r="JZA915" s="1091"/>
      <c r="JZB915" s="1091"/>
      <c r="JZC915" s="1091"/>
      <c r="JZD915" s="1091"/>
      <c r="JZE915" s="1091"/>
      <c r="JZF915" s="1091"/>
      <c r="JZG915" s="1091"/>
      <c r="JZH915" s="1091"/>
      <c r="JZI915" s="1091"/>
      <c r="JZJ915" s="1091"/>
      <c r="JZK915" s="1091"/>
      <c r="JZL915" s="1091"/>
      <c r="JZM915" s="1091"/>
      <c r="JZN915" s="1091"/>
      <c r="JZO915" s="1091"/>
      <c r="JZP915" s="1091"/>
      <c r="JZQ915" s="1091"/>
      <c r="JZR915" s="1091"/>
      <c r="JZS915" s="1091"/>
      <c r="JZT915" s="1091"/>
      <c r="JZU915" s="1091"/>
      <c r="JZV915" s="1091"/>
      <c r="JZW915" s="1091"/>
      <c r="JZX915" s="1091"/>
      <c r="JZY915" s="1091"/>
      <c r="JZZ915" s="1091"/>
      <c r="KAA915" s="1091"/>
      <c r="KAB915" s="1091"/>
      <c r="KAC915" s="1091"/>
      <c r="KAD915" s="1091"/>
      <c r="KAE915" s="1091"/>
      <c r="KAF915" s="1091"/>
      <c r="KAG915" s="1091"/>
      <c r="KAH915" s="1091"/>
      <c r="KAI915" s="1091"/>
      <c r="KAJ915" s="1091"/>
      <c r="KAK915" s="1091"/>
      <c r="KAL915" s="1091"/>
      <c r="KAM915" s="1091"/>
      <c r="KAN915" s="1091"/>
      <c r="KAO915" s="1091"/>
      <c r="KAP915" s="1091"/>
      <c r="KAQ915" s="1091"/>
      <c r="KAR915" s="1091"/>
      <c r="KAS915" s="1091"/>
      <c r="KAT915" s="1091"/>
      <c r="KAU915" s="1091"/>
      <c r="KAV915" s="1091"/>
      <c r="KAW915" s="1091"/>
      <c r="KAX915" s="1091"/>
      <c r="KAY915" s="1091"/>
      <c r="KAZ915" s="1091"/>
      <c r="KBA915" s="1091"/>
      <c r="KBB915" s="1091"/>
      <c r="KBC915" s="1091"/>
      <c r="KBD915" s="1091"/>
      <c r="KBE915" s="1091"/>
      <c r="KBF915" s="1091"/>
      <c r="KBG915" s="1091"/>
      <c r="KBH915" s="1091"/>
      <c r="KBI915" s="1091"/>
      <c r="KBJ915" s="1091"/>
      <c r="KBK915" s="1091"/>
      <c r="KBL915" s="1091"/>
      <c r="KBM915" s="1091"/>
      <c r="KBN915" s="1091"/>
      <c r="KBO915" s="1091"/>
      <c r="KBP915" s="1091"/>
      <c r="KBQ915" s="1091"/>
      <c r="KBR915" s="1091"/>
      <c r="KBS915" s="1091"/>
      <c r="KBT915" s="1091"/>
      <c r="KBU915" s="1091"/>
      <c r="KBV915" s="1091"/>
      <c r="KBW915" s="1091"/>
      <c r="KBX915" s="1091"/>
      <c r="KBY915" s="1091"/>
      <c r="KBZ915" s="1091"/>
      <c r="KCA915" s="1091"/>
      <c r="KCB915" s="1091"/>
      <c r="KCC915" s="1091"/>
      <c r="KCD915" s="1091"/>
      <c r="KCE915" s="1091"/>
      <c r="KCF915" s="1091"/>
      <c r="KCG915" s="1091"/>
      <c r="KCH915" s="1091"/>
      <c r="KCI915" s="1091"/>
      <c r="KCJ915" s="1091"/>
      <c r="KCK915" s="1091"/>
      <c r="KCL915" s="1091"/>
      <c r="KCM915" s="1091"/>
      <c r="KCN915" s="1091"/>
      <c r="KCO915" s="1091"/>
      <c r="KCP915" s="1091"/>
      <c r="KCQ915" s="1091"/>
      <c r="KCR915" s="1091"/>
      <c r="KCS915" s="1091"/>
      <c r="KCT915" s="1091"/>
      <c r="KCU915" s="1091"/>
      <c r="KCV915" s="1091"/>
      <c r="KCW915" s="1091"/>
      <c r="KCX915" s="1091"/>
      <c r="KCY915" s="1091"/>
      <c r="KCZ915" s="1091"/>
      <c r="KDA915" s="1091"/>
      <c r="KDB915" s="1091"/>
      <c r="KDC915" s="1091"/>
      <c r="KDD915" s="1091"/>
      <c r="KDE915" s="1091"/>
      <c r="KDF915" s="1091"/>
      <c r="KDG915" s="1091"/>
      <c r="KDH915" s="1091"/>
      <c r="KDI915" s="1091"/>
      <c r="KDJ915" s="1091"/>
      <c r="KDK915" s="1091"/>
      <c r="KDL915" s="1091"/>
      <c r="KDM915" s="1091"/>
      <c r="KDN915" s="1091"/>
      <c r="KDO915" s="1091"/>
      <c r="KDP915" s="1091"/>
      <c r="KDQ915" s="1091"/>
      <c r="KDR915" s="1091"/>
      <c r="KDS915" s="1091"/>
      <c r="KDT915" s="1091"/>
      <c r="KDU915" s="1091"/>
      <c r="KDV915" s="1091"/>
      <c r="KDW915" s="1091"/>
      <c r="KDX915" s="1091"/>
      <c r="KDY915" s="1091"/>
      <c r="KDZ915" s="1091"/>
      <c r="KEA915" s="1091"/>
      <c r="KEB915" s="1091"/>
      <c r="KEC915" s="1091"/>
      <c r="KED915" s="1091"/>
      <c r="KEE915" s="1091"/>
      <c r="KEF915" s="1091"/>
      <c r="KEG915" s="1091"/>
      <c r="KEH915" s="1091"/>
      <c r="KEI915" s="1091"/>
      <c r="KEJ915" s="1091"/>
      <c r="KEK915" s="1091"/>
      <c r="KEL915" s="1091"/>
      <c r="KEM915" s="1091"/>
      <c r="KEN915" s="1091"/>
      <c r="KEO915" s="1091"/>
      <c r="KEP915" s="1091"/>
      <c r="KEQ915" s="1091"/>
      <c r="KER915" s="1091"/>
      <c r="KES915" s="1091"/>
      <c r="KET915" s="1091"/>
      <c r="KEU915" s="1091"/>
      <c r="KEV915" s="1091"/>
      <c r="KEW915" s="1091"/>
      <c r="KEX915" s="1091"/>
      <c r="KEY915" s="1091"/>
      <c r="KEZ915" s="1091"/>
      <c r="KFA915" s="1091"/>
      <c r="KFB915" s="1091"/>
      <c r="KFC915" s="1091"/>
      <c r="KFD915" s="1091"/>
      <c r="KFE915" s="1091"/>
      <c r="KFF915" s="1091"/>
      <c r="KFG915" s="1091"/>
      <c r="KFH915" s="1091"/>
      <c r="KFI915" s="1091"/>
      <c r="KFJ915" s="1091"/>
      <c r="KFK915" s="1091"/>
      <c r="KFL915" s="1091"/>
      <c r="KFM915" s="1091"/>
      <c r="KFN915" s="1091"/>
      <c r="KFO915" s="1091"/>
      <c r="KFP915" s="1091"/>
      <c r="KFQ915" s="1091"/>
      <c r="KFR915" s="1091"/>
      <c r="KFS915" s="1091"/>
      <c r="KFT915" s="1091"/>
      <c r="KFU915" s="1091"/>
      <c r="KFV915" s="1091"/>
      <c r="KFW915" s="1091"/>
      <c r="KFX915" s="1091"/>
      <c r="KFY915" s="1091"/>
      <c r="KFZ915" s="1091"/>
      <c r="KGA915" s="1091"/>
      <c r="KGB915" s="1091"/>
      <c r="KGC915" s="1091"/>
      <c r="KGD915" s="1091"/>
      <c r="KGE915" s="1091"/>
      <c r="KGF915" s="1091"/>
      <c r="KGG915" s="1091"/>
      <c r="KGH915" s="1091"/>
      <c r="KGI915" s="1091"/>
      <c r="KGJ915" s="1091"/>
      <c r="KGK915" s="1091"/>
      <c r="KGL915" s="1091"/>
      <c r="KGM915" s="1091"/>
      <c r="KGN915" s="1091"/>
      <c r="KGO915" s="1091"/>
      <c r="KGP915" s="1091"/>
      <c r="KGQ915" s="1091"/>
      <c r="KGR915" s="1091"/>
      <c r="KGS915" s="1091"/>
      <c r="KGT915" s="1091"/>
      <c r="KGU915" s="1091"/>
      <c r="KGV915" s="1091"/>
      <c r="KGW915" s="1091"/>
      <c r="KGX915" s="1091"/>
      <c r="KGY915" s="1091"/>
      <c r="KGZ915" s="1091"/>
      <c r="KHA915" s="1091"/>
      <c r="KHB915" s="1091"/>
      <c r="KHC915" s="1091"/>
      <c r="KHD915" s="1091"/>
      <c r="KHE915" s="1091"/>
      <c r="KHF915" s="1091"/>
      <c r="KHG915" s="1091"/>
      <c r="KHH915" s="1091"/>
      <c r="KHI915" s="1091"/>
      <c r="KHJ915" s="1091"/>
      <c r="KHK915" s="1091"/>
      <c r="KHL915" s="1091"/>
      <c r="KHM915" s="1091"/>
      <c r="KHN915" s="1091"/>
      <c r="KHO915" s="1091"/>
      <c r="KHP915" s="1091"/>
      <c r="KHQ915" s="1091"/>
      <c r="KHR915" s="1091"/>
      <c r="KHS915" s="1091"/>
      <c r="KHT915" s="1091"/>
      <c r="KHU915" s="1091"/>
      <c r="KHV915" s="1091"/>
      <c r="KHW915" s="1091"/>
      <c r="KHX915" s="1091"/>
      <c r="KHY915" s="1091"/>
      <c r="KHZ915" s="1091"/>
      <c r="KIA915" s="1091"/>
      <c r="KIB915" s="1091"/>
      <c r="KIC915" s="1091"/>
      <c r="KID915" s="1091"/>
      <c r="KIE915" s="1091"/>
      <c r="KIF915" s="1091"/>
      <c r="KIG915" s="1091"/>
      <c r="KIH915" s="1091"/>
      <c r="KII915" s="1091"/>
      <c r="KIJ915" s="1091"/>
      <c r="KIK915" s="1091"/>
      <c r="KIL915" s="1091"/>
      <c r="KIM915" s="1091"/>
      <c r="KIN915" s="1091"/>
      <c r="KIO915" s="1091"/>
      <c r="KIP915" s="1091"/>
      <c r="KIQ915" s="1091"/>
      <c r="KIR915" s="1091"/>
      <c r="KIS915" s="1091"/>
      <c r="KIT915" s="1091"/>
      <c r="KIU915" s="1091"/>
      <c r="KIV915" s="1091"/>
      <c r="KIW915" s="1091"/>
      <c r="KIX915" s="1091"/>
      <c r="KIY915" s="1091"/>
      <c r="KIZ915" s="1091"/>
      <c r="KJA915" s="1091"/>
      <c r="KJB915" s="1091"/>
      <c r="KJC915" s="1091"/>
      <c r="KJD915" s="1091"/>
      <c r="KJE915" s="1091"/>
      <c r="KJF915" s="1091"/>
      <c r="KJG915" s="1091"/>
      <c r="KJH915" s="1091"/>
      <c r="KJI915" s="1091"/>
      <c r="KJJ915" s="1091"/>
      <c r="KJK915" s="1091"/>
      <c r="KJL915" s="1091"/>
      <c r="KJM915" s="1091"/>
      <c r="KJN915" s="1091"/>
      <c r="KJO915" s="1091"/>
      <c r="KJP915" s="1091"/>
      <c r="KJQ915" s="1091"/>
      <c r="KJR915" s="1091"/>
      <c r="KJS915" s="1091"/>
      <c r="KJT915" s="1091"/>
      <c r="KJU915" s="1091"/>
      <c r="KJV915" s="1091"/>
      <c r="KJW915" s="1091"/>
      <c r="KJX915" s="1091"/>
      <c r="KJY915" s="1091"/>
      <c r="KJZ915" s="1091"/>
      <c r="KKA915" s="1091"/>
      <c r="KKB915" s="1091"/>
      <c r="KKC915" s="1091"/>
      <c r="KKD915" s="1091"/>
      <c r="KKE915" s="1091"/>
      <c r="KKF915" s="1091"/>
      <c r="KKG915" s="1091"/>
      <c r="KKH915" s="1091"/>
      <c r="KKI915" s="1091"/>
      <c r="KKJ915" s="1091"/>
      <c r="KKK915" s="1091"/>
      <c r="KKL915" s="1091"/>
      <c r="KKM915" s="1091"/>
      <c r="KKN915" s="1091"/>
      <c r="KKO915" s="1091"/>
      <c r="KKP915" s="1091"/>
      <c r="KKQ915" s="1091"/>
      <c r="KKR915" s="1091"/>
      <c r="KKS915" s="1091"/>
      <c r="KKT915" s="1091"/>
      <c r="KKU915" s="1091"/>
      <c r="KKV915" s="1091"/>
      <c r="KKW915" s="1091"/>
      <c r="KKX915" s="1091"/>
      <c r="KKY915" s="1091"/>
      <c r="KKZ915" s="1091"/>
      <c r="KLA915" s="1091"/>
      <c r="KLB915" s="1091"/>
      <c r="KLC915" s="1091"/>
      <c r="KLD915" s="1091"/>
      <c r="KLE915" s="1091"/>
      <c r="KLF915" s="1091"/>
      <c r="KLG915" s="1091"/>
      <c r="KLH915" s="1091"/>
      <c r="KLI915" s="1091"/>
      <c r="KLJ915" s="1091"/>
      <c r="KLK915" s="1091"/>
      <c r="KLL915" s="1091"/>
      <c r="KLM915" s="1091"/>
      <c r="KLN915" s="1091"/>
      <c r="KLO915" s="1091"/>
      <c r="KLP915" s="1091"/>
      <c r="KLQ915" s="1091"/>
      <c r="KLR915" s="1091"/>
      <c r="KLS915" s="1091"/>
      <c r="KLT915" s="1091"/>
      <c r="KLU915" s="1091"/>
      <c r="KLV915" s="1091"/>
      <c r="KLW915" s="1091"/>
      <c r="KLX915" s="1091"/>
      <c r="KLY915" s="1091"/>
      <c r="KLZ915" s="1091"/>
      <c r="KMA915" s="1091"/>
      <c r="KMB915" s="1091"/>
      <c r="KMC915" s="1091"/>
      <c r="KMD915" s="1091"/>
      <c r="KME915" s="1091"/>
      <c r="KMF915" s="1091"/>
      <c r="KMG915" s="1091"/>
      <c r="KMH915" s="1091"/>
      <c r="KMI915" s="1091"/>
      <c r="KMJ915" s="1091"/>
      <c r="KMK915" s="1091"/>
      <c r="KML915" s="1091"/>
      <c r="KMM915" s="1091"/>
      <c r="KMN915" s="1091"/>
      <c r="KMO915" s="1091"/>
      <c r="KMP915" s="1091"/>
      <c r="KMQ915" s="1091"/>
      <c r="KMR915" s="1091"/>
      <c r="KMS915" s="1091"/>
      <c r="KMT915" s="1091"/>
      <c r="KMU915" s="1091"/>
      <c r="KMV915" s="1091"/>
      <c r="KMW915" s="1091"/>
      <c r="KMX915" s="1091"/>
      <c r="KMY915" s="1091"/>
      <c r="KMZ915" s="1091"/>
      <c r="KNA915" s="1091"/>
      <c r="KNB915" s="1091"/>
      <c r="KNC915" s="1091"/>
      <c r="KND915" s="1091"/>
      <c r="KNE915" s="1091"/>
      <c r="KNF915" s="1091"/>
      <c r="KNG915" s="1091"/>
      <c r="KNH915" s="1091"/>
      <c r="KNI915" s="1091"/>
      <c r="KNJ915" s="1091"/>
      <c r="KNK915" s="1091"/>
      <c r="KNL915" s="1091"/>
      <c r="KNM915" s="1091"/>
      <c r="KNN915" s="1091"/>
      <c r="KNO915" s="1091"/>
      <c r="KNP915" s="1091"/>
      <c r="KNQ915" s="1091"/>
      <c r="KNR915" s="1091"/>
      <c r="KNS915" s="1091"/>
      <c r="KNT915" s="1091"/>
      <c r="KNU915" s="1091"/>
      <c r="KNV915" s="1091"/>
      <c r="KNW915" s="1091"/>
      <c r="KNX915" s="1091"/>
      <c r="KNY915" s="1091"/>
      <c r="KNZ915" s="1091"/>
      <c r="KOA915" s="1091"/>
      <c r="KOB915" s="1091"/>
      <c r="KOC915" s="1091"/>
      <c r="KOD915" s="1091"/>
      <c r="KOE915" s="1091"/>
      <c r="KOF915" s="1091"/>
      <c r="KOG915" s="1091"/>
      <c r="KOH915" s="1091"/>
      <c r="KOI915" s="1091"/>
      <c r="KOJ915" s="1091"/>
      <c r="KOK915" s="1091"/>
      <c r="KOL915" s="1091"/>
      <c r="KOM915" s="1091"/>
      <c r="KON915" s="1091"/>
      <c r="KOO915" s="1091"/>
      <c r="KOP915" s="1091"/>
      <c r="KOQ915" s="1091"/>
      <c r="KOR915" s="1091"/>
      <c r="KOS915" s="1091"/>
      <c r="KOT915" s="1091"/>
      <c r="KOU915" s="1091"/>
      <c r="KOV915" s="1091"/>
      <c r="KOW915" s="1091"/>
      <c r="KOX915" s="1091"/>
      <c r="KOY915" s="1091"/>
      <c r="KOZ915" s="1091"/>
      <c r="KPA915" s="1091"/>
      <c r="KPB915" s="1091"/>
      <c r="KPC915" s="1091"/>
      <c r="KPD915" s="1091"/>
      <c r="KPE915" s="1091"/>
      <c r="KPF915" s="1091"/>
      <c r="KPG915" s="1091"/>
      <c r="KPH915" s="1091"/>
      <c r="KPI915" s="1091"/>
      <c r="KPJ915" s="1091"/>
      <c r="KPK915" s="1091"/>
      <c r="KPL915" s="1091"/>
      <c r="KPM915" s="1091"/>
      <c r="KPN915" s="1091"/>
      <c r="KPO915" s="1091"/>
      <c r="KPP915" s="1091"/>
      <c r="KPQ915" s="1091"/>
      <c r="KPR915" s="1091"/>
      <c r="KPS915" s="1091"/>
      <c r="KPT915" s="1091"/>
      <c r="KPU915" s="1091"/>
      <c r="KPV915" s="1091"/>
      <c r="KPW915" s="1091"/>
      <c r="KPX915" s="1091"/>
      <c r="KPY915" s="1091"/>
      <c r="KPZ915" s="1091"/>
      <c r="KQA915" s="1091"/>
      <c r="KQB915" s="1091"/>
      <c r="KQC915" s="1091"/>
      <c r="KQD915" s="1091"/>
      <c r="KQE915" s="1091"/>
      <c r="KQF915" s="1091"/>
      <c r="KQG915" s="1091"/>
      <c r="KQH915" s="1091"/>
      <c r="KQI915" s="1091"/>
      <c r="KQJ915" s="1091"/>
      <c r="KQK915" s="1091"/>
      <c r="KQL915" s="1091"/>
      <c r="KQM915" s="1091"/>
      <c r="KQN915" s="1091"/>
      <c r="KQO915" s="1091"/>
      <c r="KQP915" s="1091"/>
      <c r="KQQ915" s="1091"/>
      <c r="KQR915" s="1091"/>
      <c r="KQS915" s="1091"/>
      <c r="KQT915" s="1091"/>
      <c r="KQU915" s="1091"/>
      <c r="KQV915" s="1091"/>
      <c r="KQW915" s="1091"/>
      <c r="KQX915" s="1091"/>
      <c r="KQY915" s="1091"/>
      <c r="KQZ915" s="1091"/>
      <c r="KRA915" s="1091"/>
      <c r="KRB915" s="1091"/>
      <c r="KRC915" s="1091"/>
      <c r="KRD915" s="1091"/>
      <c r="KRE915" s="1091"/>
      <c r="KRF915" s="1091"/>
      <c r="KRG915" s="1091"/>
      <c r="KRH915" s="1091"/>
      <c r="KRI915" s="1091"/>
      <c r="KRJ915" s="1091"/>
      <c r="KRK915" s="1091"/>
      <c r="KRL915" s="1091"/>
      <c r="KRM915" s="1091"/>
      <c r="KRN915" s="1091"/>
      <c r="KRO915" s="1091"/>
      <c r="KRP915" s="1091"/>
      <c r="KRQ915" s="1091"/>
      <c r="KRR915" s="1091"/>
      <c r="KRS915" s="1091"/>
      <c r="KRT915" s="1091"/>
      <c r="KRU915" s="1091"/>
      <c r="KRV915" s="1091"/>
      <c r="KRW915" s="1091"/>
      <c r="KRX915" s="1091"/>
      <c r="KRY915" s="1091"/>
      <c r="KRZ915" s="1091"/>
      <c r="KSA915" s="1091"/>
      <c r="KSB915" s="1091"/>
      <c r="KSC915" s="1091"/>
      <c r="KSD915" s="1091"/>
      <c r="KSE915" s="1091"/>
      <c r="KSF915" s="1091"/>
      <c r="KSG915" s="1091"/>
      <c r="KSH915" s="1091"/>
      <c r="KSI915" s="1091"/>
      <c r="KSJ915" s="1091"/>
      <c r="KSK915" s="1091"/>
      <c r="KSL915" s="1091"/>
      <c r="KSM915" s="1091"/>
      <c r="KSN915" s="1091"/>
      <c r="KSO915" s="1091"/>
      <c r="KSP915" s="1091"/>
      <c r="KSQ915" s="1091"/>
      <c r="KSR915" s="1091"/>
      <c r="KSS915" s="1091"/>
      <c r="KST915" s="1091"/>
      <c r="KSU915" s="1091"/>
      <c r="KSV915" s="1091"/>
      <c r="KSW915" s="1091"/>
      <c r="KSX915" s="1091"/>
      <c r="KSY915" s="1091"/>
      <c r="KSZ915" s="1091"/>
      <c r="KTA915" s="1091"/>
      <c r="KTB915" s="1091"/>
      <c r="KTC915" s="1091"/>
      <c r="KTD915" s="1091"/>
      <c r="KTE915" s="1091"/>
      <c r="KTF915" s="1091"/>
      <c r="KTG915" s="1091"/>
      <c r="KTH915" s="1091"/>
      <c r="KTI915" s="1091"/>
      <c r="KTJ915" s="1091"/>
      <c r="KTK915" s="1091"/>
      <c r="KTL915" s="1091"/>
      <c r="KTM915" s="1091"/>
      <c r="KTN915" s="1091"/>
      <c r="KTO915" s="1091"/>
      <c r="KTP915" s="1091"/>
      <c r="KTQ915" s="1091"/>
      <c r="KTR915" s="1091"/>
      <c r="KTS915" s="1091"/>
      <c r="KTT915" s="1091"/>
      <c r="KTU915" s="1091"/>
      <c r="KTV915" s="1091"/>
      <c r="KTW915" s="1091"/>
      <c r="KTX915" s="1091"/>
      <c r="KTY915" s="1091"/>
      <c r="KTZ915" s="1091"/>
      <c r="KUA915" s="1091"/>
      <c r="KUB915" s="1091"/>
      <c r="KUC915" s="1091"/>
      <c r="KUD915" s="1091"/>
      <c r="KUE915" s="1091"/>
      <c r="KUF915" s="1091"/>
      <c r="KUG915" s="1091"/>
      <c r="KUH915" s="1091"/>
      <c r="KUI915" s="1091"/>
      <c r="KUJ915" s="1091"/>
      <c r="KUK915" s="1091"/>
      <c r="KUL915" s="1091"/>
      <c r="KUM915" s="1091"/>
      <c r="KUN915" s="1091"/>
      <c r="KUO915" s="1091"/>
      <c r="KUP915" s="1091"/>
      <c r="KUQ915" s="1091"/>
      <c r="KUR915" s="1091"/>
      <c r="KUS915" s="1091"/>
      <c r="KUT915" s="1091"/>
      <c r="KUU915" s="1091"/>
      <c r="KUV915" s="1091"/>
      <c r="KUW915" s="1091"/>
      <c r="KUX915" s="1091"/>
      <c r="KUY915" s="1091"/>
      <c r="KUZ915" s="1091"/>
      <c r="KVA915" s="1091"/>
      <c r="KVB915" s="1091"/>
      <c r="KVC915" s="1091"/>
      <c r="KVD915" s="1091"/>
      <c r="KVE915" s="1091"/>
      <c r="KVF915" s="1091"/>
      <c r="KVG915" s="1091"/>
      <c r="KVH915" s="1091"/>
      <c r="KVI915" s="1091"/>
      <c r="KVJ915" s="1091"/>
      <c r="KVK915" s="1091"/>
      <c r="KVL915" s="1091"/>
      <c r="KVM915" s="1091"/>
      <c r="KVN915" s="1091"/>
      <c r="KVO915" s="1091"/>
      <c r="KVP915" s="1091"/>
      <c r="KVQ915" s="1091"/>
      <c r="KVR915" s="1091"/>
      <c r="KVS915" s="1091"/>
      <c r="KVT915" s="1091"/>
      <c r="KVU915" s="1091"/>
      <c r="KVV915" s="1091"/>
      <c r="KVW915" s="1091"/>
      <c r="KVX915" s="1091"/>
      <c r="KVY915" s="1091"/>
      <c r="KVZ915" s="1091"/>
      <c r="KWA915" s="1091"/>
      <c r="KWB915" s="1091"/>
      <c r="KWC915" s="1091"/>
      <c r="KWD915" s="1091"/>
      <c r="KWE915" s="1091"/>
      <c r="KWF915" s="1091"/>
      <c r="KWG915" s="1091"/>
      <c r="KWH915" s="1091"/>
      <c r="KWI915" s="1091"/>
      <c r="KWJ915" s="1091"/>
      <c r="KWK915" s="1091"/>
      <c r="KWL915" s="1091"/>
      <c r="KWM915" s="1091"/>
      <c r="KWN915" s="1091"/>
      <c r="KWO915" s="1091"/>
      <c r="KWP915" s="1091"/>
      <c r="KWQ915" s="1091"/>
      <c r="KWR915" s="1091"/>
      <c r="KWS915" s="1091"/>
      <c r="KWT915" s="1091"/>
      <c r="KWU915" s="1091"/>
      <c r="KWV915" s="1091"/>
      <c r="KWW915" s="1091"/>
      <c r="KWX915" s="1091"/>
      <c r="KWY915" s="1091"/>
      <c r="KWZ915" s="1091"/>
      <c r="KXA915" s="1091"/>
      <c r="KXB915" s="1091"/>
      <c r="KXC915" s="1091"/>
      <c r="KXD915" s="1091"/>
      <c r="KXE915" s="1091"/>
      <c r="KXF915" s="1091"/>
      <c r="KXG915" s="1091"/>
      <c r="KXH915" s="1091"/>
      <c r="KXI915" s="1091"/>
      <c r="KXJ915" s="1091"/>
      <c r="KXK915" s="1091"/>
      <c r="KXL915" s="1091"/>
      <c r="KXM915" s="1091"/>
      <c r="KXN915" s="1091"/>
      <c r="KXO915" s="1091"/>
      <c r="KXP915" s="1091"/>
      <c r="KXQ915" s="1091"/>
      <c r="KXR915" s="1091"/>
      <c r="KXS915" s="1091"/>
      <c r="KXT915" s="1091"/>
      <c r="KXU915" s="1091"/>
      <c r="KXV915" s="1091"/>
      <c r="KXW915" s="1091"/>
      <c r="KXX915" s="1091"/>
      <c r="KXY915" s="1091"/>
      <c r="KXZ915" s="1091"/>
      <c r="KYA915" s="1091"/>
      <c r="KYB915" s="1091"/>
      <c r="KYC915" s="1091"/>
      <c r="KYD915" s="1091"/>
      <c r="KYE915" s="1091"/>
      <c r="KYF915" s="1091"/>
      <c r="KYG915" s="1091"/>
      <c r="KYH915" s="1091"/>
      <c r="KYI915" s="1091"/>
      <c r="KYJ915" s="1091"/>
      <c r="KYK915" s="1091"/>
      <c r="KYL915" s="1091"/>
      <c r="KYM915" s="1091"/>
      <c r="KYN915" s="1091"/>
      <c r="KYO915" s="1091"/>
      <c r="KYP915" s="1091"/>
      <c r="KYQ915" s="1091"/>
      <c r="KYR915" s="1091"/>
      <c r="KYS915" s="1091"/>
      <c r="KYT915" s="1091"/>
      <c r="KYU915" s="1091"/>
      <c r="KYV915" s="1091"/>
      <c r="KYW915" s="1091"/>
      <c r="KYX915" s="1091"/>
      <c r="KYY915" s="1091"/>
      <c r="KYZ915" s="1091"/>
      <c r="KZA915" s="1091"/>
      <c r="KZB915" s="1091"/>
      <c r="KZC915" s="1091"/>
      <c r="KZD915" s="1091"/>
      <c r="KZE915" s="1091"/>
      <c r="KZF915" s="1091"/>
      <c r="KZG915" s="1091"/>
      <c r="KZH915" s="1091"/>
      <c r="KZI915" s="1091"/>
      <c r="KZJ915" s="1091"/>
      <c r="KZK915" s="1091"/>
      <c r="KZL915" s="1091"/>
      <c r="KZM915" s="1091"/>
      <c r="KZN915" s="1091"/>
      <c r="KZO915" s="1091"/>
      <c r="KZP915" s="1091"/>
      <c r="KZQ915" s="1091"/>
      <c r="KZR915" s="1091"/>
      <c r="KZS915" s="1091"/>
      <c r="KZT915" s="1091"/>
      <c r="KZU915" s="1091"/>
      <c r="KZV915" s="1091"/>
      <c r="KZW915" s="1091"/>
      <c r="KZX915" s="1091"/>
      <c r="KZY915" s="1091"/>
      <c r="KZZ915" s="1091"/>
      <c r="LAA915" s="1091"/>
      <c r="LAB915" s="1091"/>
      <c r="LAC915" s="1091"/>
      <c r="LAD915" s="1091"/>
      <c r="LAE915" s="1091"/>
      <c r="LAF915" s="1091"/>
      <c r="LAG915" s="1091"/>
      <c r="LAH915" s="1091"/>
      <c r="LAI915" s="1091"/>
      <c r="LAJ915" s="1091"/>
      <c r="LAK915" s="1091"/>
      <c r="LAL915" s="1091"/>
      <c r="LAM915" s="1091"/>
      <c r="LAN915" s="1091"/>
      <c r="LAO915" s="1091"/>
      <c r="LAP915" s="1091"/>
      <c r="LAQ915" s="1091"/>
      <c r="LAR915" s="1091"/>
      <c r="LAS915" s="1091"/>
      <c r="LAT915" s="1091"/>
      <c r="LAU915" s="1091"/>
      <c r="LAV915" s="1091"/>
      <c r="LAW915" s="1091"/>
      <c r="LAX915" s="1091"/>
      <c r="LAY915" s="1091"/>
      <c r="LAZ915" s="1091"/>
      <c r="LBA915" s="1091"/>
      <c r="LBB915" s="1091"/>
      <c r="LBC915" s="1091"/>
      <c r="LBD915" s="1091"/>
      <c r="LBE915" s="1091"/>
      <c r="LBF915" s="1091"/>
      <c r="LBG915" s="1091"/>
      <c r="LBH915" s="1091"/>
      <c r="LBI915" s="1091"/>
      <c r="LBJ915" s="1091"/>
      <c r="LBK915" s="1091"/>
      <c r="LBL915" s="1091"/>
      <c r="LBM915" s="1091"/>
      <c r="LBN915" s="1091"/>
      <c r="LBO915" s="1091"/>
      <c r="LBP915" s="1091"/>
      <c r="LBQ915" s="1091"/>
      <c r="LBR915" s="1091"/>
      <c r="LBS915" s="1091"/>
      <c r="LBT915" s="1091"/>
      <c r="LBU915" s="1091"/>
      <c r="LBV915" s="1091"/>
      <c r="LBW915" s="1091"/>
      <c r="LBX915" s="1091"/>
      <c r="LBY915" s="1091"/>
      <c r="LBZ915" s="1091"/>
      <c r="LCA915" s="1091"/>
      <c r="LCB915" s="1091"/>
      <c r="LCC915" s="1091"/>
      <c r="LCD915" s="1091"/>
      <c r="LCE915" s="1091"/>
      <c r="LCF915" s="1091"/>
      <c r="LCG915" s="1091"/>
      <c r="LCH915" s="1091"/>
      <c r="LCI915" s="1091"/>
      <c r="LCJ915" s="1091"/>
      <c r="LCK915" s="1091"/>
      <c r="LCL915" s="1091"/>
      <c r="LCM915" s="1091"/>
      <c r="LCN915" s="1091"/>
      <c r="LCO915" s="1091"/>
      <c r="LCP915" s="1091"/>
      <c r="LCQ915" s="1091"/>
      <c r="LCR915" s="1091"/>
      <c r="LCS915" s="1091"/>
      <c r="LCT915" s="1091"/>
      <c r="LCU915" s="1091"/>
      <c r="LCV915" s="1091"/>
      <c r="LCW915" s="1091"/>
      <c r="LCX915" s="1091"/>
      <c r="LCY915" s="1091"/>
      <c r="LCZ915" s="1091"/>
      <c r="LDA915" s="1091"/>
      <c r="LDB915" s="1091"/>
      <c r="LDC915" s="1091"/>
      <c r="LDD915" s="1091"/>
      <c r="LDE915" s="1091"/>
      <c r="LDF915" s="1091"/>
      <c r="LDG915" s="1091"/>
      <c r="LDH915" s="1091"/>
      <c r="LDI915" s="1091"/>
      <c r="LDJ915" s="1091"/>
      <c r="LDK915" s="1091"/>
      <c r="LDL915" s="1091"/>
      <c r="LDM915" s="1091"/>
      <c r="LDN915" s="1091"/>
      <c r="LDO915" s="1091"/>
      <c r="LDP915" s="1091"/>
      <c r="LDQ915" s="1091"/>
      <c r="LDR915" s="1091"/>
      <c r="LDS915" s="1091"/>
      <c r="LDT915" s="1091"/>
      <c r="LDU915" s="1091"/>
      <c r="LDV915" s="1091"/>
      <c r="LDW915" s="1091"/>
      <c r="LDX915" s="1091"/>
      <c r="LDY915" s="1091"/>
      <c r="LDZ915" s="1091"/>
      <c r="LEA915" s="1091"/>
      <c r="LEB915" s="1091"/>
      <c r="LEC915" s="1091"/>
      <c r="LED915" s="1091"/>
      <c r="LEE915" s="1091"/>
      <c r="LEF915" s="1091"/>
      <c r="LEG915" s="1091"/>
      <c r="LEH915" s="1091"/>
      <c r="LEI915" s="1091"/>
      <c r="LEJ915" s="1091"/>
      <c r="LEK915" s="1091"/>
      <c r="LEL915" s="1091"/>
      <c r="LEM915" s="1091"/>
      <c r="LEN915" s="1091"/>
      <c r="LEO915" s="1091"/>
      <c r="LEP915" s="1091"/>
      <c r="LEQ915" s="1091"/>
      <c r="LER915" s="1091"/>
      <c r="LES915" s="1091"/>
      <c r="LET915" s="1091"/>
      <c r="LEU915" s="1091"/>
      <c r="LEV915" s="1091"/>
      <c r="LEW915" s="1091"/>
      <c r="LEX915" s="1091"/>
      <c r="LEY915" s="1091"/>
      <c r="LEZ915" s="1091"/>
      <c r="LFA915" s="1091"/>
      <c r="LFB915" s="1091"/>
      <c r="LFC915" s="1091"/>
      <c r="LFD915" s="1091"/>
      <c r="LFE915" s="1091"/>
      <c r="LFF915" s="1091"/>
      <c r="LFG915" s="1091"/>
      <c r="LFH915" s="1091"/>
      <c r="LFI915" s="1091"/>
      <c r="LFJ915" s="1091"/>
      <c r="LFK915" s="1091"/>
      <c r="LFL915" s="1091"/>
      <c r="LFM915" s="1091"/>
      <c r="LFN915" s="1091"/>
      <c r="LFO915" s="1091"/>
      <c r="LFP915" s="1091"/>
      <c r="LFQ915" s="1091"/>
      <c r="LFR915" s="1091"/>
      <c r="LFS915" s="1091"/>
      <c r="LFT915" s="1091"/>
      <c r="LFU915" s="1091"/>
      <c r="LFV915" s="1091"/>
      <c r="LFW915" s="1091"/>
      <c r="LFX915" s="1091"/>
      <c r="LFY915" s="1091"/>
      <c r="LFZ915" s="1091"/>
      <c r="LGA915" s="1091"/>
      <c r="LGB915" s="1091"/>
      <c r="LGC915" s="1091"/>
      <c r="LGD915" s="1091"/>
      <c r="LGE915" s="1091"/>
      <c r="LGF915" s="1091"/>
      <c r="LGG915" s="1091"/>
      <c r="LGH915" s="1091"/>
      <c r="LGI915" s="1091"/>
      <c r="LGJ915" s="1091"/>
      <c r="LGK915" s="1091"/>
      <c r="LGL915" s="1091"/>
      <c r="LGM915" s="1091"/>
      <c r="LGN915" s="1091"/>
      <c r="LGO915" s="1091"/>
      <c r="LGP915" s="1091"/>
      <c r="LGQ915" s="1091"/>
      <c r="LGR915" s="1091"/>
      <c r="LGS915" s="1091"/>
      <c r="LGT915" s="1091"/>
      <c r="LGU915" s="1091"/>
      <c r="LGV915" s="1091"/>
      <c r="LGW915" s="1091"/>
      <c r="LGX915" s="1091"/>
      <c r="LGY915" s="1091"/>
      <c r="LGZ915" s="1091"/>
      <c r="LHA915" s="1091"/>
      <c r="LHB915" s="1091"/>
      <c r="LHC915" s="1091"/>
      <c r="LHD915" s="1091"/>
      <c r="LHE915" s="1091"/>
      <c r="LHF915" s="1091"/>
      <c r="LHG915" s="1091"/>
      <c r="LHH915" s="1091"/>
      <c r="LHI915" s="1091"/>
      <c r="LHJ915" s="1091"/>
      <c r="LHK915" s="1091"/>
      <c r="LHL915" s="1091"/>
      <c r="LHM915" s="1091"/>
      <c r="LHN915" s="1091"/>
      <c r="LHO915" s="1091"/>
      <c r="LHP915" s="1091"/>
      <c r="LHQ915" s="1091"/>
      <c r="LHR915" s="1091"/>
      <c r="LHS915" s="1091"/>
      <c r="LHT915" s="1091"/>
      <c r="LHU915" s="1091"/>
      <c r="LHV915" s="1091"/>
      <c r="LHW915" s="1091"/>
      <c r="LHX915" s="1091"/>
      <c r="LHY915" s="1091"/>
      <c r="LHZ915" s="1091"/>
      <c r="LIA915" s="1091"/>
      <c r="LIB915" s="1091"/>
      <c r="LIC915" s="1091"/>
      <c r="LID915" s="1091"/>
      <c r="LIE915" s="1091"/>
      <c r="LIF915" s="1091"/>
      <c r="LIG915" s="1091"/>
      <c r="LIH915" s="1091"/>
      <c r="LII915" s="1091"/>
      <c r="LIJ915" s="1091"/>
      <c r="LIK915" s="1091"/>
      <c r="LIL915" s="1091"/>
      <c r="LIM915" s="1091"/>
      <c r="LIN915" s="1091"/>
      <c r="LIO915" s="1091"/>
      <c r="LIP915" s="1091"/>
      <c r="LIQ915" s="1091"/>
      <c r="LIR915" s="1091"/>
      <c r="LIS915" s="1091"/>
      <c r="LIT915" s="1091"/>
      <c r="LIU915" s="1091"/>
      <c r="LIV915" s="1091"/>
      <c r="LIW915" s="1091"/>
      <c r="LIX915" s="1091"/>
      <c r="LIY915" s="1091"/>
      <c r="LIZ915" s="1091"/>
      <c r="LJA915" s="1091"/>
      <c r="LJB915" s="1091"/>
      <c r="LJC915" s="1091"/>
      <c r="LJD915" s="1091"/>
      <c r="LJE915" s="1091"/>
      <c r="LJF915" s="1091"/>
      <c r="LJG915" s="1091"/>
      <c r="LJH915" s="1091"/>
      <c r="LJI915" s="1091"/>
      <c r="LJJ915" s="1091"/>
      <c r="LJK915" s="1091"/>
      <c r="LJL915" s="1091"/>
      <c r="LJM915" s="1091"/>
      <c r="LJN915" s="1091"/>
      <c r="LJO915" s="1091"/>
      <c r="LJP915" s="1091"/>
      <c r="LJQ915" s="1091"/>
      <c r="LJR915" s="1091"/>
      <c r="LJS915" s="1091"/>
      <c r="LJT915" s="1091"/>
      <c r="LJU915" s="1091"/>
      <c r="LJV915" s="1091"/>
      <c r="LJW915" s="1091"/>
      <c r="LJX915" s="1091"/>
      <c r="LJY915" s="1091"/>
      <c r="LJZ915" s="1091"/>
      <c r="LKA915" s="1091"/>
      <c r="LKB915" s="1091"/>
      <c r="LKC915" s="1091"/>
      <c r="LKD915" s="1091"/>
      <c r="LKE915" s="1091"/>
      <c r="LKF915" s="1091"/>
      <c r="LKG915" s="1091"/>
      <c r="LKH915" s="1091"/>
      <c r="LKI915" s="1091"/>
      <c r="LKJ915" s="1091"/>
      <c r="LKK915" s="1091"/>
      <c r="LKL915" s="1091"/>
      <c r="LKM915" s="1091"/>
      <c r="LKN915" s="1091"/>
      <c r="LKO915" s="1091"/>
      <c r="LKP915" s="1091"/>
      <c r="LKQ915" s="1091"/>
      <c r="LKR915" s="1091"/>
      <c r="LKS915" s="1091"/>
      <c r="LKT915" s="1091"/>
      <c r="LKU915" s="1091"/>
      <c r="LKV915" s="1091"/>
      <c r="LKW915" s="1091"/>
      <c r="LKX915" s="1091"/>
      <c r="LKY915" s="1091"/>
      <c r="LKZ915" s="1091"/>
      <c r="LLA915" s="1091"/>
      <c r="LLB915" s="1091"/>
      <c r="LLC915" s="1091"/>
      <c r="LLD915" s="1091"/>
      <c r="LLE915" s="1091"/>
      <c r="LLF915" s="1091"/>
      <c r="LLG915" s="1091"/>
      <c r="LLH915" s="1091"/>
      <c r="LLI915" s="1091"/>
      <c r="LLJ915" s="1091"/>
      <c r="LLK915" s="1091"/>
      <c r="LLL915" s="1091"/>
      <c r="LLM915" s="1091"/>
      <c r="LLN915" s="1091"/>
      <c r="LLO915" s="1091"/>
      <c r="LLP915" s="1091"/>
      <c r="LLQ915" s="1091"/>
      <c r="LLR915" s="1091"/>
      <c r="LLS915" s="1091"/>
      <c r="LLT915" s="1091"/>
      <c r="LLU915" s="1091"/>
      <c r="LLV915" s="1091"/>
      <c r="LLW915" s="1091"/>
      <c r="LLX915" s="1091"/>
      <c r="LLY915" s="1091"/>
      <c r="LLZ915" s="1091"/>
      <c r="LMA915" s="1091"/>
      <c r="LMB915" s="1091"/>
      <c r="LMC915" s="1091"/>
      <c r="LMD915" s="1091"/>
      <c r="LME915" s="1091"/>
      <c r="LMF915" s="1091"/>
      <c r="LMG915" s="1091"/>
      <c r="LMH915" s="1091"/>
      <c r="LMI915" s="1091"/>
      <c r="LMJ915" s="1091"/>
      <c r="LMK915" s="1091"/>
      <c r="LML915" s="1091"/>
      <c r="LMM915" s="1091"/>
      <c r="LMN915" s="1091"/>
      <c r="LMO915" s="1091"/>
      <c r="LMP915" s="1091"/>
      <c r="LMQ915" s="1091"/>
      <c r="LMR915" s="1091"/>
      <c r="LMS915" s="1091"/>
      <c r="LMT915" s="1091"/>
      <c r="LMU915" s="1091"/>
      <c r="LMV915" s="1091"/>
      <c r="LMW915" s="1091"/>
      <c r="LMX915" s="1091"/>
      <c r="LMY915" s="1091"/>
      <c r="LMZ915" s="1091"/>
      <c r="LNA915" s="1091"/>
      <c r="LNB915" s="1091"/>
      <c r="LNC915" s="1091"/>
      <c r="LND915" s="1091"/>
      <c r="LNE915" s="1091"/>
      <c r="LNF915" s="1091"/>
      <c r="LNG915" s="1091"/>
      <c r="LNH915" s="1091"/>
      <c r="LNI915" s="1091"/>
      <c r="LNJ915" s="1091"/>
      <c r="LNK915" s="1091"/>
      <c r="LNL915" s="1091"/>
      <c r="LNM915" s="1091"/>
      <c r="LNN915" s="1091"/>
      <c r="LNO915" s="1091"/>
      <c r="LNP915" s="1091"/>
      <c r="LNQ915" s="1091"/>
      <c r="LNR915" s="1091"/>
      <c r="LNS915" s="1091"/>
      <c r="LNT915" s="1091"/>
      <c r="LNU915" s="1091"/>
      <c r="LNV915" s="1091"/>
      <c r="LNW915" s="1091"/>
      <c r="LNX915" s="1091"/>
      <c r="LNY915" s="1091"/>
      <c r="LNZ915" s="1091"/>
      <c r="LOA915" s="1091"/>
      <c r="LOB915" s="1091"/>
      <c r="LOC915" s="1091"/>
      <c r="LOD915" s="1091"/>
      <c r="LOE915" s="1091"/>
      <c r="LOF915" s="1091"/>
      <c r="LOG915" s="1091"/>
      <c r="LOH915" s="1091"/>
      <c r="LOI915" s="1091"/>
      <c r="LOJ915" s="1091"/>
      <c r="LOK915" s="1091"/>
      <c r="LOL915" s="1091"/>
      <c r="LOM915" s="1091"/>
      <c r="LON915" s="1091"/>
      <c r="LOO915" s="1091"/>
      <c r="LOP915" s="1091"/>
      <c r="LOQ915" s="1091"/>
      <c r="LOR915" s="1091"/>
      <c r="LOS915" s="1091"/>
      <c r="LOT915" s="1091"/>
      <c r="LOU915" s="1091"/>
      <c r="LOV915" s="1091"/>
      <c r="LOW915" s="1091"/>
      <c r="LOX915" s="1091"/>
      <c r="LOY915" s="1091"/>
      <c r="LOZ915" s="1091"/>
      <c r="LPA915" s="1091"/>
      <c r="LPB915" s="1091"/>
      <c r="LPC915" s="1091"/>
      <c r="LPD915" s="1091"/>
      <c r="LPE915" s="1091"/>
      <c r="LPF915" s="1091"/>
      <c r="LPG915" s="1091"/>
      <c r="LPH915" s="1091"/>
      <c r="LPI915" s="1091"/>
      <c r="LPJ915" s="1091"/>
      <c r="LPK915" s="1091"/>
      <c r="LPL915" s="1091"/>
      <c r="LPM915" s="1091"/>
      <c r="LPN915" s="1091"/>
      <c r="LPO915" s="1091"/>
      <c r="LPP915" s="1091"/>
      <c r="LPQ915" s="1091"/>
      <c r="LPR915" s="1091"/>
      <c r="LPS915" s="1091"/>
      <c r="LPT915" s="1091"/>
      <c r="LPU915" s="1091"/>
      <c r="LPV915" s="1091"/>
      <c r="LPW915" s="1091"/>
      <c r="LPX915" s="1091"/>
      <c r="LPY915" s="1091"/>
      <c r="LPZ915" s="1091"/>
      <c r="LQA915" s="1091"/>
      <c r="LQB915" s="1091"/>
      <c r="LQC915" s="1091"/>
      <c r="LQD915" s="1091"/>
      <c r="LQE915" s="1091"/>
      <c r="LQF915" s="1091"/>
      <c r="LQG915" s="1091"/>
      <c r="LQH915" s="1091"/>
      <c r="LQI915" s="1091"/>
      <c r="LQJ915" s="1091"/>
      <c r="LQK915" s="1091"/>
      <c r="LQL915" s="1091"/>
      <c r="LQM915" s="1091"/>
      <c r="LQN915" s="1091"/>
      <c r="LQO915" s="1091"/>
      <c r="LQP915" s="1091"/>
      <c r="LQQ915" s="1091"/>
      <c r="LQR915" s="1091"/>
      <c r="LQS915" s="1091"/>
      <c r="LQT915" s="1091"/>
      <c r="LQU915" s="1091"/>
      <c r="LQV915" s="1091"/>
      <c r="LQW915" s="1091"/>
      <c r="LQX915" s="1091"/>
      <c r="LQY915" s="1091"/>
      <c r="LQZ915" s="1091"/>
      <c r="LRA915" s="1091"/>
      <c r="LRB915" s="1091"/>
      <c r="LRC915" s="1091"/>
      <c r="LRD915" s="1091"/>
      <c r="LRE915" s="1091"/>
      <c r="LRF915" s="1091"/>
      <c r="LRG915" s="1091"/>
      <c r="LRH915" s="1091"/>
      <c r="LRI915" s="1091"/>
      <c r="LRJ915" s="1091"/>
      <c r="LRK915" s="1091"/>
      <c r="LRL915" s="1091"/>
      <c r="LRM915" s="1091"/>
      <c r="LRN915" s="1091"/>
      <c r="LRO915" s="1091"/>
      <c r="LRP915" s="1091"/>
      <c r="LRQ915" s="1091"/>
      <c r="LRR915" s="1091"/>
      <c r="LRS915" s="1091"/>
      <c r="LRT915" s="1091"/>
      <c r="LRU915" s="1091"/>
      <c r="LRV915" s="1091"/>
      <c r="LRW915" s="1091"/>
      <c r="LRX915" s="1091"/>
      <c r="LRY915" s="1091"/>
      <c r="LRZ915" s="1091"/>
      <c r="LSA915" s="1091"/>
      <c r="LSB915" s="1091"/>
      <c r="LSC915" s="1091"/>
      <c r="LSD915" s="1091"/>
      <c r="LSE915" s="1091"/>
      <c r="LSF915" s="1091"/>
      <c r="LSG915" s="1091"/>
      <c r="LSH915" s="1091"/>
      <c r="LSI915" s="1091"/>
      <c r="LSJ915" s="1091"/>
      <c r="LSK915" s="1091"/>
      <c r="LSL915" s="1091"/>
      <c r="LSM915" s="1091"/>
      <c r="LSN915" s="1091"/>
      <c r="LSO915" s="1091"/>
      <c r="LSP915" s="1091"/>
      <c r="LSQ915" s="1091"/>
      <c r="LSR915" s="1091"/>
      <c r="LSS915" s="1091"/>
      <c r="LST915" s="1091"/>
      <c r="LSU915" s="1091"/>
      <c r="LSV915" s="1091"/>
      <c r="LSW915" s="1091"/>
      <c r="LSX915" s="1091"/>
      <c r="LSY915" s="1091"/>
      <c r="LSZ915" s="1091"/>
      <c r="LTA915" s="1091"/>
      <c r="LTB915" s="1091"/>
      <c r="LTC915" s="1091"/>
      <c r="LTD915" s="1091"/>
      <c r="LTE915" s="1091"/>
      <c r="LTF915" s="1091"/>
      <c r="LTG915" s="1091"/>
      <c r="LTH915" s="1091"/>
      <c r="LTI915" s="1091"/>
      <c r="LTJ915" s="1091"/>
      <c r="LTK915" s="1091"/>
      <c r="LTL915" s="1091"/>
      <c r="LTM915" s="1091"/>
      <c r="LTN915" s="1091"/>
      <c r="LTO915" s="1091"/>
      <c r="LTP915" s="1091"/>
      <c r="LTQ915" s="1091"/>
      <c r="LTR915" s="1091"/>
      <c r="LTS915" s="1091"/>
      <c r="LTT915" s="1091"/>
      <c r="LTU915" s="1091"/>
      <c r="LTV915" s="1091"/>
      <c r="LTW915" s="1091"/>
      <c r="LTX915" s="1091"/>
      <c r="LTY915" s="1091"/>
      <c r="LTZ915" s="1091"/>
      <c r="LUA915" s="1091"/>
      <c r="LUB915" s="1091"/>
      <c r="LUC915" s="1091"/>
      <c r="LUD915" s="1091"/>
      <c r="LUE915" s="1091"/>
      <c r="LUF915" s="1091"/>
      <c r="LUG915" s="1091"/>
      <c r="LUH915" s="1091"/>
      <c r="LUI915" s="1091"/>
      <c r="LUJ915" s="1091"/>
      <c r="LUK915" s="1091"/>
      <c r="LUL915" s="1091"/>
      <c r="LUM915" s="1091"/>
      <c r="LUN915" s="1091"/>
      <c r="LUO915" s="1091"/>
      <c r="LUP915" s="1091"/>
      <c r="LUQ915" s="1091"/>
      <c r="LUR915" s="1091"/>
      <c r="LUS915" s="1091"/>
      <c r="LUT915" s="1091"/>
      <c r="LUU915" s="1091"/>
      <c r="LUV915" s="1091"/>
      <c r="LUW915" s="1091"/>
      <c r="LUX915" s="1091"/>
      <c r="LUY915" s="1091"/>
      <c r="LUZ915" s="1091"/>
      <c r="LVA915" s="1091"/>
      <c r="LVB915" s="1091"/>
      <c r="LVC915" s="1091"/>
      <c r="LVD915" s="1091"/>
      <c r="LVE915" s="1091"/>
      <c r="LVF915" s="1091"/>
      <c r="LVG915" s="1091"/>
      <c r="LVH915" s="1091"/>
      <c r="LVI915" s="1091"/>
      <c r="LVJ915" s="1091"/>
      <c r="LVK915" s="1091"/>
      <c r="LVL915" s="1091"/>
      <c r="LVM915" s="1091"/>
      <c r="LVN915" s="1091"/>
      <c r="LVO915" s="1091"/>
      <c r="LVP915" s="1091"/>
      <c r="LVQ915" s="1091"/>
      <c r="LVR915" s="1091"/>
      <c r="LVS915" s="1091"/>
      <c r="LVT915" s="1091"/>
      <c r="LVU915" s="1091"/>
      <c r="LVV915" s="1091"/>
      <c r="LVW915" s="1091"/>
      <c r="LVX915" s="1091"/>
      <c r="LVY915" s="1091"/>
      <c r="LVZ915" s="1091"/>
      <c r="LWA915" s="1091"/>
      <c r="LWB915" s="1091"/>
      <c r="LWC915" s="1091"/>
      <c r="LWD915" s="1091"/>
      <c r="LWE915" s="1091"/>
      <c r="LWF915" s="1091"/>
      <c r="LWG915" s="1091"/>
      <c r="LWH915" s="1091"/>
      <c r="LWI915" s="1091"/>
      <c r="LWJ915" s="1091"/>
      <c r="LWK915" s="1091"/>
      <c r="LWL915" s="1091"/>
      <c r="LWM915" s="1091"/>
      <c r="LWN915" s="1091"/>
      <c r="LWO915" s="1091"/>
      <c r="LWP915" s="1091"/>
      <c r="LWQ915" s="1091"/>
      <c r="LWR915" s="1091"/>
      <c r="LWS915" s="1091"/>
      <c r="LWT915" s="1091"/>
      <c r="LWU915" s="1091"/>
      <c r="LWV915" s="1091"/>
      <c r="LWW915" s="1091"/>
      <c r="LWX915" s="1091"/>
      <c r="LWY915" s="1091"/>
      <c r="LWZ915" s="1091"/>
      <c r="LXA915" s="1091"/>
      <c r="LXB915" s="1091"/>
      <c r="LXC915" s="1091"/>
      <c r="LXD915" s="1091"/>
      <c r="LXE915" s="1091"/>
      <c r="LXF915" s="1091"/>
      <c r="LXG915" s="1091"/>
      <c r="LXH915" s="1091"/>
      <c r="LXI915" s="1091"/>
      <c r="LXJ915" s="1091"/>
      <c r="LXK915" s="1091"/>
      <c r="LXL915" s="1091"/>
      <c r="LXM915" s="1091"/>
      <c r="LXN915" s="1091"/>
      <c r="LXO915" s="1091"/>
      <c r="LXP915" s="1091"/>
      <c r="LXQ915" s="1091"/>
      <c r="LXR915" s="1091"/>
      <c r="LXS915" s="1091"/>
      <c r="LXT915" s="1091"/>
      <c r="LXU915" s="1091"/>
      <c r="LXV915" s="1091"/>
      <c r="LXW915" s="1091"/>
      <c r="LXX915" s="1091"/>
      <c r="LXY915" s="1091"/>
      <c r="LXZ915" s="1091"/>
      <c r="LYA915" s="1091"/>
      <c r="LYB915" s="1091"/>
      <c r="LYC915" s="1091"/>
      <c r="LYD915" s="1091"/>
      <c r="LYE915" s="1091"/>
      <c r="LYF915" s="1091"/>
      <c r="LYG915" s="1091"/>
      <c r="LYH915" s="1091"/>
      <c r="LYI915" s="1091"/>
      <c r="LYJ915" s="1091"/>
      <c r="LYK915" s="1091"/>
      <c r="LYL915" s="1091"/>
      <c r="LYM915" s="1091"/>
      <c r="LYN915" s="1091"/>
      <c r="LYO915" s="1091"/>
      <c r="LYP915" s="1091"/>
      <c r="LYQ915" s="1091"/>
      <c r="LYR915" s="1091"/>
      <c r="LYS915" s="1091"/>
      <c r="LYT915" s="1091"/>
      <c r="LYU915" s="1091"/>
      <c r="LYV915" s="1091"/>
      <c r="LYW915" s="1091"/>
      <c r="LYX915" s="1091"/>
      <c r="LYY915" s="1091"/>
      <c r="LYZ915" s="1091"/>
      <c r="LZA915" s="1091"/>
      <c r="LZB915" s="1091"/>
      <c r="LZC915" s="1091"/>
      <c r="LZD915" s="1091"/>
      <c r="LZE915" s="1091"/>
      <c r="LZF915" s="1091"/>
      <c r="LZG915" s="1091"/>
      <c r="LZH915" s="1091"/>
      <c r="LZI915" s="1091"/>
      <c r="LZJ915" s="1091"/>
      <c r="LZK915" s="1091"/>
      <c r="LZL915" s="1091"/>
      <c r="LZM915" s="1091"/>
      <c r="LZN915" s="1091"/>
      <c r="LZO915" s="1091"/>
      <c r="LZP915" s="1091"/>
      <c r="LZQ915" s="1091"/>
      <c r="LZR915" s="1091"/>
      <c r="LZS915" s="1091"/>
      <c r="LZT915" s="1091"/>
      <c r="LZU915" s="1091"/>
      <c r="LZV915" s="1091"/>
      <c r="LZW915" s="1091"/>
      <c r="LZX915" s="1091"/>
      <c r="LZY915" s="1091"/>
      <c r="LZZ915" s="1091"/>
      <c r="MAA915" s="1091"/>
      <c r="MAB915" s="1091"/>
      <c r="MAC915" s="1091"/>
      <c r="MAD915" s="1091"/>
      <c r="MAE915" s="1091"/>
      <c r="MAF915" s="1091"/>
      <c r="MAG915" s="1091"/>
      <c r="MAH915" s="1091"/>
      <c r="MAI915" s="1091"/>
      <c r="MAJ915" s="1091"/>
      <c r="MAK915" s="1091"/>
      <c r="MAL915" s="1091"/>
      <c r="MAM915" s="1091"/>
      <c r="MAN915" s="1091"/>
      <c r="MAO915" s="1091"/>
      <c r="MAP915" s="1091"/>
      <c r="MAQ915" s="1091"/>
      <c r="MAR915" s="1091"/>
      <c r="MAS915" s="1091"/>
      <c r="MAT915" s="1091"/>
      <c r="MAU915" s="1091"/>
      <c r="MAV915" s="1091"/>
      <c r="MAW915" s="1091"/>
      <c r="MAX915" s="1091"/>
      <c r="MAY915" s="1091"/>
      <c r="MAZ915" s="1091"/>
      <c r="MBA915" s="1091"/>
      <c r="MBB915" s="1091"/>
      <c r="MBC915" s="1091"/>
      <c r="MBD915" s="1091"/>
      <c r="MBE915" s="1091"/>
      <c r="MBF915" s="1091"/>
      <c r="MBG915" s="1091"/>
      <c r="MBH915" s="1091"/>
      <c r="MBI915" s="1091"/>
      <c r="MBJ915" s="1091"/>
      <c r="MBK915" s="1091"/>
      <c r="MBL915" s="1091"/>
      <c r="MBM915" s="1091"/>
      <c r="MBN915" s="1091"/>
      <c r="MBO915" s="1091"/>
      <c r="MBP915" s="1091"/>
      <c r="MBQ915" s="1091"/>
      <c r="MBR915" s="1091"/>
      <c r="MBS915" s="1091"/>
      <c r="MBT915" s="1091"/>
      <c r="MBU915" s="1091"/>
      <c r="MBV915" s="1091"/>
      <c r="MBW915" s="1091"/>
      <c r="MBX915" s="1091"/>
      <c r="MBY915" s="1091"/>
      <c r="MBZ915" s="1091"/>
      <c r="MCA915" s="1091"/>
      <c r="MCB915" s="1091"/>
      <c r="MCC915" s="1091"/>
      <c r="MCD915" s="1091"/>
      <c r="MCE915" s="1091"/>
      <c r="MCF915" s="1091"/>
      <c r="MCG915" s="1091"/>
      <c r="MCH915" s="1091"/>
      <c r="MCI915" s="1091"/>
      <c r="MCJ915" s="1091"/>
      <c r="MCK915" s="1091"/>
      <c r="MCL915" s="1091"/>
      <c r="MCM915" s="1091"/>
      <c r="MCN915" s="1091"/>
      <c r="MCO915" s="1091"/>
      <c r="MCP915" s="1091"/>
      <c r="MCQ915" s="1091"/>
      <c r="MCR915" s="1091"/>
      <c r="MCS915" s="1091"/>
      <c r="MCT915" s="1091"/>
      <c r="MCU915" s="1091"/>
      <c r="MCV915" s="1091"/>
      <c r="MCW915" s="1091"/>
      <c r="MCX915" s="1091"/>
      <c r="MCY915" s="1091"/>
      <c r="MCZ915" s="1091"/>
      <c r="MDA915" s="1091"/>
      <c r="MDB915" s="1091"/>
      <c r="MDC915" s="1091"/>
      <c r="MDD915" s="1091"/>
      <c r="MDE915" s="1091"/>
      <c r="MDF915" s="1091"/>
      <c r="MDG915" s="1091"/>
      <c r="MDH915" s="1091"/>
      <c r="MDI915" s="1091"/>
      <c r="MDJ915" s="1091"/>
      <c r="MDK915" s="1091"/>
      <c r="MDL915" s="1091"/>
      <c r="MDM915" s="1091"/>
      <c r="MDN915" s="1091"/>
      <c r="MDO915" s="1091"/>
      <c r="MDP915" s="1091"/>
      <c r="MDQ915" s="1091"/>
      <c r="MDR915" s="1091"/>
      <c r="MDS915" s="1091"/>
      <c r="MDT915" s="1091"/>
      <c r="MDU915" s="1091"/>
      <c r="MDV915" s="1091"/>
      <c r="MDW915" s="1091"/>
      <c r="MDX915" s="1091"/>
      <c r="MDY915" s="1091"/>
      <c r="MDZ915" s="1091"/>
      <c r="MEA915" s="1091"/>
      <c r="MEB915" s="1091"/>
      <c r="MEC915" s="1091"/>
      <c r="MED915" s="1091"/>
      <c r="MEE915" s="1091"/>
      <c r="MEF915" s="1091"/>
      <c r="MEG915" s="1091"/>
      <c r="MEH915" s="1091"/>
      <c r="MEI915" s="1091"/>
      <c r="MEJ915" s="1091"/>
      <c r="MEK915" s="1091"/>
      <c r="MEL915" s="1091"/>
      <c r="MEM915" s="1091"/>
      <c r="MEN915" s="1091"/>
      <c r="MEO915" s="1091"/>
      <c r="MEP915" s="1091"/>
      <c r="MEQ915" s="1091"/>
      <c r="MER915" s="1091"/>
      <c r="MES915" s="1091"/>
      <c r="MET915" s="1091"/>
      <c r="MEU915" s="1091"/>
      <c r="MEV915" s="1091"/>
      <c r="MEW915" s="1091"/>
      <c r="MEX915" s="1091"/>
      <c r="MEY915" s="1091"/>
      <c r="MEZ915" s="1091"/>
      <c r="MFA915" s="1091"/>
      <c r="MFB915" s="1091"/>
      <c r="MFC915" s="1091"/>
      <c r="MFD915" s="1091"/>
      <c r="MFE915" s="1091"/>
      <c r="MFF915" s="1091"/>
      <c r="MFG915" s="1091"/>
      <c r="MFH915" s="1091"/>
      <c r="MFI915" s="1091"/>
      <c r="MFJ915" s="1091"/>
      <c r="MFK915" s="1091"/>
      <c r="MFL915" s="1091"/>
      <c r="MFM915" s="1091"/>
      <c r="MFN915" s="1091"/>
      <c r="MFO915" s="1091"/>
      <c r="MFP915" s="1091"/>
      <c r="MFQ915" s="1091"/>
      <c r="MFR915" s="1091"/>
      <c r="MFS915" s="1091"/>
      <c r="MFT915" s="1091"/>
      <c r="MFU915" s="1091"/>
      <c r="MFV915" s="1091"/>
      <c r="MFW915" s="1091"/>
      <c r="MFX915" s="1091"/>
      <c r="MFY915" s="1091"/>
      <c r="MFZ915" s="1091"/>
      <c r="MGA915" s="1091"/>
      <c r="MGB915" s="1091"/>
      <c r="MGC915" s="1091"/>
      <c r="MGD915" s="1091"/>
      <c r="MGE915" s="1091"/>
      <c r="MGF915" s="1091"/>
      <c r="MGG915" s="1091"/>
      <c r="MGH915" s="1091"/>
      <c r="MGI915" s="1091"/>
      <c r="MGJ915" s="1091"/>
      <c r="MGK915" s="1091"/>
      <c r="MGL915" s="1091"/>
      <c r="MGM915" s="1091"/>
      <c r="MGN915" s="1091"/>
      <c r="MGO915" s="1091"/>
      <c r="MGP915" s="1091"/>
      <c r="MGQ915" s="1091"/>
      <c r="MGR915" s="1091"/>
      <c r="MGS915" s="1091"/>
      <c r="MGT915" s="1091"/>
      <c r="MGU915" s="1091"/>
      <c r="MGV915" s="1091"/>
      <c r="MGW915" s="1091"/>
      <c r="MGX915" s="1091"/>
      <c r="MGY915" s="1091"/>
      <c r="MGZ915" s="1091"/>
      <c r="MHA915" s="1091"/>
      <c r="MHB915" s="1091"/>
      <c r="MHC915" s="1091"/>
      <c r="MHD915" s="1091"/>
      <c r="MHE915" s="1091"/>
      <c r="MHF915" s="1091"/>
      <c r="MHG915" s="1091"/>
      <c r="MHH915" s="1091"/>
      <c r="MHI915" s="1091"/>
      <c r="MHJ915" s="1091"/>
      <c r="MHK915" s="1091"/>
      <c r="MHL915" s="1091"/>
      <c r="MHM915" s="1091"/>
      <c r="MHN915" s="1091"/>
      <c r="MHO915" s="1091"/>
      <c r="MHP915" s="1091"/>
      <c r="MHQ915" s="1091"/>
      <c r="MHR915" s="1091"/>
      <c r="MHS915" s="1091"/>
      <c r="MHT915" s="1091"/>
      <c r="MHU915" s="1091"/>
      <c r="MHV915" s="1091"/>
      <c r="MHW915" s="1091"/>
      <c r="MHX915" s="1091"/>
      <c r="MHY915" s="1091"/>
      <c r="MHZ915" s="1091"/>
      <c r="MIA915" s="1091"/>
      <c r="MIB915" s="1091"/>
      <c r="MIC915" s="1091"/>
      <c r="MID915" s="1091"/>
      <c r="MIE915" s="1091"/>
      <c r="MIF915" s="1091"/>
      <c r="MIG915" s="1091"/>
      <c r="MIH915" s="1091"/>
      <c r="MII915" s="1091"/>
      <c r="MIJ915" s="1091"/>
      <c r="MIK915" s="1091"/>
      <c r="MIL915" s="1091"/>
      <c r="MIM915" s="1091"/>
      <c r="MIN915" s="1091"/>
      <c r="MIO915" s="1091"/>
      <c r="MIP915" s="1091"/>
      <c r="MIQ915" s="1091"/>
      <c r="MIR915" s="1091"/>
      <c r="MIS915" s="1091"/>
      <c r="MIT915" s="1091"/>
      <c r="MIU915" s="1091"/>
      <c r="MIV915" s="1091"/>
      <c r="MIW915" s="1091"/>
      <c r="MIX915" s="1091"/>
      <c r="MIY915" s="1091"/>
      <c r="MIZ915" s="1091"/>
      <c r="MJA915" s="1091"/>
      <c r="MJB915" s="1091"/>
      <c r="MJC915" s="1091"/>
      <c r="MJD915" s="1091"/>
      <c r="MJE915" s="1091"/>
      <c r="MJF915" s="1091"/>
      <c r="MJG915" s="1091"/>
      <c r="MJH915" s="1091"/>
      <c r="MJI915" s="1091"/>
      <c r="MJJ915" s="1091"/>
      <c r="MJK915" s="1091"/>
      <c r="MJL915" s="1091"/>
      <c r="MJM915" s="1091"/>
      <c r="MJN915" s="1091"/>
      <c r="MJO915" s="1091"/>
      <c r="MJP915" s="1091"/>
      <c r="MJQ915" s="1091"/>
      <c r="MJR915" s="1091"/>
      <c r="MJS915" s="1091"/>
      <c r="MJT915" s="1091"/>
      <c r="MJU915" s="1091"/>
      <c r="MJV915" s="1091"/>
      <c r="MJW915" s="1091"/>
      <c r="MJX915" s="1091"/>
      <c r="MJY915" s="1091"/>
      <c r="MJZ915" s="1091"/>
      <c r="MKA915" s="1091"/>
      <c r="MKB915" s="1091"/>
      <c r="MKC915" s="1091"/>
      <c r="MKD915" s="1091"/>
      <c r="MKE915" s="1091"/>
      <c r="MKF915" s="1091"/>
      <c r="MKG915" s="1091"/>
      <c r="MKH915" s="1091"/>
      <c r="MKI915" s="1091"/>
      <c r="MKJ915" s="1091"/>
      <c r="MKK915" s="1091"/>
      <c r="MKL915" s="1091"/>
      <c r="MKM915" s="1091"/>
      <c r="MKN915" s="1091"/>
      <c r="MKO915" s="1091"/>
      <c r="MKP915" s="1091"/>
      <c r="MKQ915" s="1091"/>
      <c r="MKR915" s="1091"/>
      <c r="MKS915" s="1091"/>
      <c r="MKT915" s="1091"/>
      <c r="MKU915" s="1091"/>
      <c r="MKV915" s="1091"/>
      <c r="MKW915" s="1091"/>
      <c r="MKX915" s="1091"/>
      <c r="MKY915" s="1091"/>
      <c r="MKZ915" s="1091"/>
      <c r="MLA915" s="1091"/>
      <c r="MLB915" s="1091"/>
      <c r="MLC915" s="1091"/>
      <c r="MLD915" s="1091"/>
      <c r="MLE915" s="1091"/>
      <c r="MLF915" s="1091"/>
      <c r="MLG915" s="1091"/>
      <c r="MLH915" s="1091"/>
      <c r="MLI915" s="1091"/>
      <c r="MLJ915" s="1091"/>
      <c r="MLK915" s="1091"/>
      <c r="MLL915" s="1091"/>
      <c r="MLM915" s="1091"/>
      <c r="MLN915" s="1091"/>
      <c r="MLO915" s="1091"/>
      <c r="MLP915" s="1091"/>
      <c r="MLQ915" s="1091"/>
      <c r="MLR915" s="1091"/>
      <c r="MLS915" s="1091"/>
      <c r="MLT915" s="1091"/>
      <c r="MLU915" s="1091"/>
      <c r="MLV915" s="1091"/>
      <c r="MLW915" s="1091"/>
      <c r="MLX915" s="1091"/>
      <c r="MLY915" s="1091"/>
      <c r="MLZ915" s="1091"/>
      <c r="MMA915" s="1091"/>
      <c r="MMB915" s="1091"/>
      <c r="MMC915" s="1091"/>
      <c r="MMD915" s="1091"/>
      <c r="MME915" s="1091"/>
      <c r="MMF915" s="1091"/>
      <c r="MMG915" s="1091"/>
      <c r="MMH915" s="1091"/>
      <c r="MMI915" s="1091"/>
      <c r="MMJ915" s="1091"/>
      <c r="MMK915" s="1091"/>
      <c r="MML915" s="1091"/>
      <c r="MMM915" s="1091"/>
      <c r="MMN915" s="1091"/>
      <c r="MMO915" s="1091"/>
      <c r="MMP915" s="1091"/>
      <c r="MMQ915" s="1091"/>
      <c r="MMR915" s="1091"/>
      <c r="MMS915" s="1091"/>
      <c r="MMT915" s="1091"/>
      <c r="MMU915" s="1091"/>
      <c r="MMV915" s="1091"/>
      <c r="MMW915" s="1091"/>
      <c r="MMX915" s="1091"/>
      <c r="MMY915" s="1091"/>
      <c r="MMZ915" s="1091"/>
      <c r="MNA915" s="1091"/>
      <c r="MNB915" s="1091"/>
      <c r="MNC915" s="1091"/>
      <c r="MND915" s="1091"/>
      <c r="MNE915" s="1091"/>
      <c r="MNF915" s="1091"/>
      <c r="MNG915" s="1091"/>
      <c r="MNH915" s="1091"/>
      <c r="MNI915" s="1091"/>
      <c r="MNJ915" s="1091"/>
      <c r="MNK915" s="1091"/>
      <c r="MNL915" s="1091"/>
      <c r="MNM915" s="1091"/>
      <c r="MNN915" s="1091"/>
      <c r="MNO915" s="1091"/>
      <c r="MNP915" s="1091"/>
      <c r="MNQ915" s="1091"/>
      <c r="MNR915" s="1091"/>
      <c r="MNS915" s="1091"/>
      <c r="MNT915" s="1091"/>
      <c r="MNU915" s="1091"/>
      <c r="MNV915" s="1091"/>
      <c r="MNW915" s="1091"/>
      <c r="MNX915" s="1091"/>
      <c r="MNY915" s="1091"/>
      <c r="MNZ915" s="1091"/>
      <c r="MOA915" s="1091"/>
      <c r="MOB915" s="1091"/>
      <c r="MOC915" s="1091"/>
      <c r="MOD915" s="1091"/>
      <c r="MOE915" s="1091"/>
      <c r="MOF915" s="1091"/>
      <c r="MOG915" s="1091"/>
      <c r="MOH915" s="1091"/>
      <c r="MOI915" s="1091"/>
      <c r="MOJ915" s="1091"/>
      <c r="MOK915" s="1091"/>
      <c r="MOL915" s="1091"/>
      <c r="MOM915" s="1091"/>
      <c r="MON915" s="1091"/>
      <c r="MOO915" s="1091"/>
      <c r="MOP915" s="1091"/>
      <c r="MOQ915" s="1091"/>
      <c r="MOR915" s="1091"/>
      <c r="MOS915" s="1091"/>
      <c r="MOT915" s="1091"/>
      <c r="MOU915" s="1091"/>
      <c r="MOV915" s="1091"/>
      <c r="MOW915" s="1091"/>
      <c r="MOX915" s="1091"/>
      <c r="MOY915" s="1091"/>
      <c r="MOZ915" s="1091"/>
      <c r="MPA915" s="1091"/>
      <c r="MPB915" s="1091"/>
      <c r="MPC915" s="1091"/>
      <c r="MPD915" s="1091"/>
      <c r="MPE915" s="1091"/>
      <c r="MPF915" s="1091"/>
      <c r="MPG915" s="1091"/>
      <c r="MPH915" s="1091"/>
      <c r="MPI915" s="1091"/>
      <c r="MPJ915" s="1091"/>
      <c r="MPK915" s="1091"/>
      <c r="MPL915" s="1091"/>
      <c r="MPM915" s="1091"/>
      <c r="MPN915" s="1091"/>
      <c r="MPO915" s="1091"/>
      <c r="MPP915" s="1091"/>
      <c r="MPQ915" s="1091"/>
      <c r="MPR915" s="1091"/>
      <c r="MPS915" s="1091"/>
      <c r="MPT915" s="1091"/>
      <c r="MPU915" s="1091"/>
      <c r="MPV915" s="1091"/>
      <c r="MPW915" s="1091"/>
      <c r="MPX915" s="1091"/>
      <c r="MPY915" s="1091"/>
      <c r="MPZ915" s="1091"/>
      <c r="MQA915" s="1091"/>
      <c r="MQB915" s="1091"/>
      <c r="MQC915" s="1091"/>
      <c r="MQD915" s="1091"/>
      <c r="MQE915" s="1091"/>
      <c r="MQF915" s="1091"/>
      <c r="MQG915" s="1091"/>
      <c r="MQH915" s="1091"/>
      <c r="MQI915" s="1091"/>
      <c r="MQJ915" s="1091"/>
      <c r="MQK915" s="1091"/>
      <c r="MQL915" s="1091"/>
      <c r="MQM915" s="1091"/>
      <c r="MQN915" s="1091"/>
      <c r="MQO915" s="1091"/>
      <c r="MQP915" s="1091"/>
      <c r="MQQ915" s="1091"/>
      <c r="MQR915" s="1091"/>
      <c r="MQS915" s="1091"/>
      <c r="MQT915" s="1091"/>
      <c r="MQU915" s="1091"/>
      <c r="MQV915" s="1091"/>
      <c r="MQW915" s="1091"/>
      <c r="MQX915" s="1091"/>
      <c r="MQY915" s="1091"/>
      <c r="MQZ915" s="1091"/>
      <c r="MRA915" s="1091"/>
      <c r="MRB915" s="1091"/>
      <c r="MRC915" s="1091"/>
      <c r="MRD915" s="1091"/>
      <c r="MRE915" s="1091"/>
      <c r="MRF915" s="1091"/>
      <c r="MRG915" s="1091"/>
      <c r="MRH915" s="1091"/>
      <c r="MRI915" s="1091"/>
      <c r="MRJ915" s="1091"/>
      <c r="MRK915" s="1091"/>
      <c r="MRL915" s="1091"/>
      <c r="MRM915" s="1091"/>
      <c r="MRN915" s="1091"/>
      <c r="MRO915" s="1091"/>
      <c r="MRP915" s="1091"/>
      <c r="MRQ915" s="1091"/>
      <c r="MRR915" s="1091"/>
      <c r="MRS915" s="1091"/>
      <c r="MRT915" s="1091"/>
      <c r="MRU915" s="1091"/>
      <c r="MRV915" s="1091"/>
      <c r="MRW915" s="1091"/>
      <c r="MRX915" s="1091"/>
      <c r="MRY915" s="1091"/>
      <c r="MRZ915" s="1091"/>
      <c r="MSA915" s="1091"/>
      <c r="MSB915" s="1091"/>
      <c r="MSC915" s="1091"/>
      <c r="MSD915" s="1091"/>
      <c r="MSE915" s="1091"/>
      <c r="MSF915" s="1091"/>
      <c r="MSG915" s="1091"/>
      <c r="MSH915" s="1091"/>
      <c r="MSI915" s="1091"/>
      <c r="MSJ915" s="1091"/>
      <c r="MSK915" s="1091"/>
      <c r="MSL915" s="1091"/>
      <c r="MSM915" s="1091"/>
      <c r="MSN915" s="1091"/>
      <c r="MSO915" s="1091"/>
      <c r="MSP915" s="1091"/>
      <c r="MSQ915" s="1091"/>
      <c r="MSR915" s="1091"/>
      <c r="MSS915" s="1091"/>
      <c r="MST915" s="1091"/>
      <c r="MSU915" s="1091"/>
      <c r="MSV915" s="1091"/>
      <c r="MSW915" s="1091"/>
      <c r="MSX915" s="1091"/>
      <c r="MSY915" s="1091"/>
      <c r="MSZ915" s="1091"/>
      <c r="MTA915" s="1091"/>
      <c r="MTB915" s="1091"/>
      <c r="MTC915" s="1091"/>
      <c r="MTD915" s="1091"/>
      <c r="MTE915" s="1091"/>
      <c r="MTF915" s="1091"/>
      <c r="MTG915" s="1091"/>
      <c r="MTH915" s="1091"/>
      <c r="MTI915" s="1091"/>
      <c r="MTJ915" s="1091"/>
      <c r="MTK915" s="1091"/>
      <c r="MTL915" s="1091"/>
      <c r="MTM915" s="1091"/>
      <c r="MTN915" s="1091"/>
      <c r="MTO915" s="1091"/>
      <c r="MTP915" s="1091"/>
      <c r="MTQ915" s="1091"/>
      <c r="MTR915" s="1091"/>
      <c r="MTS915" s="1091"/>
      <c r="MTT915" s="1091"/>
      <c r="MTU915" s="1091"/>
      <c r="MTV915" s="1091"/>
      <c r="MTW915" s="1091"/>
      <c r="MTX915" s="1091"/>
      <c r="MTY915" s="1091"/>
      <c r="MTZ915" s="1091"/>
      <c r="MUA915" s="1091"/>
      <c r="MUB915" s="1091"/>
      <c r="MUC915" s="1091"/>
      <c r="MUD915" s="1091"/>
      <c r="MUE915" s="1091"/>
      <c r="MUF915" s="1091"/>
      <c r="MUG915" s="1091"/>
      <c r="MUH915" s="1091"/>
      <c r="MUI915" s="1091"/>
      <c r="MUJ915" s="1091"/>
      <c r="MUK915" s="1091"/>
      <c r="MUL915" s="1091"/>
      <c r="MUM915" s="1091"/>
      <c r="MUN915" s="1091"/>
      <c r="MUO915" s="1091"/>
      <c r="MUP915" s="1091"/>
      <c r="MUQ915" s="1091"/>
      <c r="MUR915" s="1091"/>
      <c r="MUS915" s="1091"/>
      <c r="MUT915" s="1091"/>
      <c r="MUU915" s="1091"/>
      <c r="MUV915" s="1091"/>
      <c r="MUW915" s="1091"/>
      <c r="MUX915" s="1091"/>
      <c r="MUY915" s="1091"/>
      <c r="MUZ915" s="1091"/>
      <c r="MVA915" s="1091"/>
      <c r="MVB915" s="1091"/>
      <c r="MVC915" s="1091"/>
      <c r="MVD915" s="1091"/>
      <c r="MVE915" s="1091"/>
      <c r="MVF915" s="1091"/>
      <c r="MVG915" s="1091"/>
      <c r="MVH915" s="1091"/>
      <c r="MVI915" s="1091"/>
      <c r="MVJ915" s="1091"/>
      <c r="MVK915" s="1091"/>
      <c r="MVL915" s="1091"/>
      <c r="MVM915" s="1091"/>
      <c r="MVN915" s="1091"/>
      <c r="MVO915" s="1091"/>
      <c r="MVP915" s="1091"/>
      <c r="MVQ915" s="1091"/>
      <c r="MVR915" s="1091"/>
      <c r="MVS915" s="1091"/>
      <c r="MVT915" s="1091"/>
      <c r="MVU915" s="1091"/>
      <c r="MVV915" s="1091"/>
      <c r="MVW915" s="1091"/>
      <c r="MVX915" s="1091"/>
      <c r="MVY915" s="1091"/>
      <c r="MVZ915" s="1091"/>
      <c r="MWA915" s="1091"/>
      <c r="MWB915" s="1091"/>
      <c r="MWC915" s="1091"/>
      <c r="MWD915" s="1091"/>
      <c r="MWE915" s="1091"/>
      <c r="MWF915" s="1091"/>
      <c r="MWG915" s="1091"/>
      <c r="MWH915" s="1091"/>
      <c r="MWI915" s="1091"/>
      <c r="MWJ915" s="1091"/>
      <c r="MWK915" s="1091"/>
      <c r="MWL915" s="1091"/>
      <c r="MWM915" s="1091"/>
      <c r="MWN915" s="1091"/>
      <c r="MWO915" s="1091"/>
      <c r="MWP915" s="1091"/>
      <c r="MWQ915" s="1091"/>
      <c r="MWR915" s="1091"/>
      <c r="MWS915" s="1091"/>
      <c r="MWT915" s="1091"/>
      <c r="MWU915" s="1091"/>
      <c r="MWV915" s="1091"/>
      <c r="MWW915" s="1091"/>
      <c r="MWX915" s="1091"/>
      <c r="MWY915" s="1091"/>
      <c r="MWZ915" s="1091"/>
      <c r="MXA915" s="1091"/>
      <c r="MXB915" s="1091"/>
      <c r="MXC915" s="1091"/>
      <c r="MXD915" s="1091"/>
      <c r="MXE915" s="1091"/>
      <c r="MXF915" s="1091"/>
      <c r="MXG915" s="1091"/>
      <c r="MXH915" s="1091"/>
      <c r="MXI915" s="1091"/>
      <c r="MXJ915" s="1091"/>
      <c r="MXK915" s="1091"/>
      <c r="MXL915" s="1091"/>
      <c r="MXM915" s="1091"/>
      <c r="MXN915" s="1091"/>
      <c r="MXO915" s="1091"/>
      <c r="MXP915" s="1091"/>
      <c r="MXQ915" s="1091"/>
      <c r="MXR915" s="1091"/>
      <c r="MXS915" s="1091"/>
      <c r="MXT915" s="1091"/>
      <c r="MXU915" s="1091"/>
      <c r="MXV915" s="1091"/>
      <c r="MXW915" s="1091"/>
      <c r="MXX915" s="1091"/>
      <c r="MXY915" s="1091"/>
      <c r="MXZ915" s="1091"/>
      <c r="MYA915" s="1091"/>
      <c r="MYB915" s="1091"/>
      <c r="MYC915" s="1091"/>
      <c r="MYD915" s="1091"/>
      <c r="MYE915" s="1091"/>
      <c r="MYF915" s="1091"/>
      <c r="MYG915" s="1091"/>
      <c r="MYH915" s="1091"/>
      <c r="MYI915" s="1091"/>
      <c r="MYJ915" s="1091"/>
      <c r="MYK915" s="1091"/>
      <c r="MYL915" s="1091"/>
      <c r="MYM915" s="1091"/>
      <c r="MYN915" s="1091"/>
      <c r="MYO915" s="1091"/>
      <c r="MYP915" s="1091"/>
      <c r="MYQ915" s="1091"/>
      <c r="MYR915" s="1091"/>
      <c r="MYS915" s="1091"/>
      <c r="MYT915" s="1091"/>
      <c r="MYU915" s="1091"/>
      <c r="MYV915" s="1091"/>
      <c r="MYW915" s="1091"/>
      <c r="MYX915" s="1091"/>
      <c r="MYY915" s="1091"/>
      <c r="MYZ915" s="1091"/>
      <c r="MZA915" s="1091"/>
      <c r="MZB915" s="1091"/>
      <c r="MZC915" s="1091"/>
      <c r="MZD915" s="1091"/>
      <c r="MZE915" s="1091"/>
      <c r="MZF915" s="1091"/>
      <c r="MZG915" s="1091"/>
      <c r="MZH915" s="1091"/>
      <c r="MZI915" s="1091"/>
      <c r="MZJ915" s="1091"/>
      <c r="MZK915" s="1091"/>
      <c r="MZL915" s="1091"/>
      <c r="MZM915" s="1091"/>
      <c r="MZN915" s="1091"/>
      <c r="MZO915" s="1091"/>
      <c r="MZP915" s="1091"/>
      <c r="MZQ915" s="1091"/>
      <c r="MZR915" s="1091"/>
      <c r="MZS915" s="1091"/>
      <c r="MZT915" s="1091"/>
      <c r="MZU915" s="1091"/>
      <c r="MZV915" s="1091"/>
      <c r="MZW915" s="1091"/>
      <c r="MZX915" s="1091"/>
      <c r="MZY915" s="1091"/>
      <c r="MZZ915" s="1091"/>
      <c r="NAA915" s="1091"/>
      <c r="NAB915" s="1091"/>
      <c r="NAC915" s="1091"/>
      <c r="NAD915" s="1091"/>
      <c r="NAE915" s="1091"/>
      <c r="NAF915" s="1091"/>
      <c r="NAG915" s="1091"/>
      <c r="NAH915" s="1091"/>
      <c r="NAI915" s="1091"/>
      <c r="NAJ915" s="1091"/>
      <c r="NAK915" s="1091"/>
      <c r="NAL915" s="1091"/>
      <c r="NAM915" s="1091"/>
      <c r="NAN915" s="1091"/>
      <c r="NAO915" s="1091"/>
      <c r="NAP915" s="1091"/>
      <c r="NAQ915" s="1091"/>
      <c r="NAR915" s="1091"/>
      <c r="NAS915" s="1091"/>
      <c r="NAT915" s="1091"/>
      <c r="NAU915" s="1091"/>
      <c r="NAV915" s="1091"/>
      <c r="NAW915" s="1091"/>
      <c r="NAX915" s="1091"/>
      <c r="NAY915" s="1091"/>
      <c r="NAZ915" s="1091"/>
      <c r="NBA915" s="1091"/>
      <c r="NBB915" s="1091"/>
      <c r="NBC915" s="1091"/>
      <c r="NBD915" s="1091"/>
      <c r="NBE915" s="1091"/>
      <c r="NBF915" s="1091"/>
      <c r="NBG915" s="1091"/>
      <c r="NBH915" s="1091"/>
      <c r="NBI915" s="1091"/>
      <c r="NBJ915" s="1091"/>
      <c r="NBK915" s="1091"/>
      <c r="NBL915" s="1091"/>
      <c r="NBM915" s="1091"/>
      <c r="NBN915" s="1091"/>
      <c r="NBO915" s="1091"/>
      <c r="NBP915" s="1091"/>
      <c r="NBQ915" s="1091"/>
      <c r="NBR915" s="1091"/>
      <c r="NBS915" s="1091"/>
      <c r="NBT915" s="1091"/>
      <c r="NBU915" s="1091"/>
      <c r="NBV915" s="1091"/>
      <c r="NBW915" s="1091"/>
      <c r="NBX915" s="1091"/>
      <c r="NBY915" s="1091"/>
      <c r="NBZ915" s="1091"/>
      <c r="NCA915" s="1091"/>
      <c r="NCB915" s="1091"/>
      <c r="NCC915" s="1091"/>
      <c r="NCD915" s="1091"/>
      <c r="NCE915" s="1091"/>
      <c r="NCF915" s="1091"/>
      <c r="NCG915" s="1091"/>
      <c r="NCH915" s="1091"/>
      <c r="NCI915" s="1091"/>
      <c r="NCJ915" s="1091"/>
      <c r="NCK915" s="1091"/>
      <c r="NCL915" s="1091"/>
      <c r="NCM915" s="1091"/>
      <c r="NCN915" s="1091"/>
      <c r="NCO915" s="1091"/>
      <c r="NCP915" s="1091"/>
      <c r="NCQ915" s="1091"/>
      <c r="NCR915" s="1091"/>
      <c r="NCS915" s="1091"/>
      <c r="NCT915" s="1091"/>
      <c r="NCU915" s="1091"/>
      <c r="NCV915" s="1091"/>
      <c r="NCW915" s="1091"/>
      <c r="NCX915" s="1091"/>
      <c r="NCY915" s="1091"/>
      <c r="NCZ915" s="1091"/>
      <c r="NDA915" s="1091"/>
      <c r="NDB915" s="1091"/>
      <c r="NDC915" s="1091"/>
      <c r="NDD915" s="1091"/>
      <c r="NDE915" s="1091"/>
      <c r="NDF915" s="1091"/>
      <c r="NDG915" s="1091"/>
      <c r="NDH915" s="1091"/>
      <c r="NDI915" s="1091"/>
      <c r="NDJ915" s="1091"/>
      <c r="NDK915" s="1091"/>
      <c r="NDL915" s="1091"/>
      <c r="NDM915" s="1091"/>
      <c r="NDN915" s="1091"/>
      <c r="NDO915" s="1091"/>
      <c r="NDP915" s="1091"/>
      <c r="NDQ915" s="1091"/>
      <c r="NDR915" s="1091"/>
      <c r="NDS915" s="1091"/>
      <c r="NDT915" s="1091"/>
      <c r="NDU915" s="1091"/>
      <c r="NDV915" s="1091"/>
      <c r="NDW915" s="1091"/>
      <c r="NDX915" s="1091"/>
      <c r="NDY915" s="1091"/>
      <c r="NDZ915" s="1091"/>
      <c r="NEA915" s="1091"/>
      <c r="NEB915" s="1091"/>
      <c r="NEC915" s="1091"/>
      <c r="NED915" s="1091"/>
      <c r="NEE915" s="1091"/>
      <c r="NEF915" s="1091"/>
      <c r="NEG915" s="1091"/>
      <c r="NEH915" s="1091"/>
      <c r="NEI915" s="1091"/>
      <c r="NEJ915" s="1091"/>
      <c r="NEK915" s="1091"/>
      <c r="NEL915" s="1091"/>
      <c r="NEM915" s="1091"/>
      <c r="NEN915" s="1091"/>
      <c r="NEO915" s="1091"/>
      <c r="NEP915" s="1091"/>
      <c r="NEQ915" s="1091"/>
      <c r="NER915" s="1091"/>
      <c r="NES915" s="1091"/>
      <c r="NET915" s="1091"/>
      <c r="NEU915" s="1091"/>
      <c r="NEV915" s="1091"/>
      <c r="NEW915" s="1091"/>
      <c r="NEX915" s="1091"/>
      <c r="NEY915" s="1091"/>
      <c r="NEZ915" s="1091"/>
      <c r="NFA915" s="1091"/>
      <c r="NFB915" s="1091"/>
      <c r="NFC915" s="1091"/>
      <c r="NFD915" s="1091"/>
      <c r="NFE915" s="1091"/>
      <c r="NFF915" s="1091"/>
      <c r="NFG915" s="1091"/>
      <c r="NFH915" s="1091"/>
      <c r="NFI915" s="1091"/>
      <c r="NFJ915" s="1091"/>
      <c r="NFK915" s="1091"/>
      <c r="NFL915" s="1091"/>
      <c r="NFM915" s="1091"/>
      <c r="NFN915" s="1091"/>
      <c r="NFO915" s="1091"/>
      <c r="NFP915" s="1091"/>
      <c r="NFQ915" s="1091"/>
      <c r="NFR915" s="1091"/>
      <c r="NFS915" s="1091"/>
      <c r="NFT915" s="1091"/>
      <c r="NFU915" s="1091"/>
      <c r="NFV915" s="1091"/>
      <c r="NFW915" s="1091"/>
      <c r="NFX915" s="1091"/>
      <c r="NFY915" s="1091"/>
      <c r="NFZ915" s="1091"/>
      <c r="NGA915" s="1091"/>
      <c r="NGB915" s="1091"/>
      <c r="NGC915" s="1091"/>
      <c r="NGD915" s="1091"/>
      <c r="NGE915" s="1091"/>
      <c r="NGF915" s="1091"/>
      <c r="NGG915" s="1091"/>
      <c r="NGH915" s="1091"/>
      <c r="NGI915" s="1091"/>
      <c r="NGJ915" s="1091"/>
      <c r="NGK915" s="1091"/>
      <c r="NGL915" s="1091"/>
      <c r="NGM915" s="1091"/>
      <c r="NGN915" s="1091"/>
      <c r="NGO915" s="1091"/>
      <c r="NGP915" s="1091"/>
      <c r="NGQ915" s="1091"/>
      <c r="NGR915" s="1091"/>
      <c r="NGS915" s="1091"/>
      <c r="NGT915" s="1091"/>
      <c r="NGU915" s="1091"/>
      <c r="NGV915" s="1091"/>
      <c r="NGW915" s="1091"/>
      <c r="NGX915" s="1091"/>
      <c r="NGY915" s="1091"/>
      <c r="NGZ915" s="1091"/>
      <c r="NHA915" s="1091"/>
      <c r="NHB915" s="1091"/>
      <c r="NHC915" s="1091"/>
      <c r="NHD915" s="1091"/>
      <c r="NHE915" s="1091"/>
      <c r="NHF915" s="1091"/>
      <c r="NHG915" s="1091"/>
      <c r="NHH915" s="1091"/>
      <c r="NHI915" s="1091"/>
      <c r="NHJ915" s="1091"/>
      <c r="NHK915" s="1091"/>
      <c r="NHL915" s="1091"/>
      <c r="NHM915" s="1091"/>
      <c r="NHN915" s="1091"/>
      <c r="NHO915" s="1091"/>
      <c r="NHP915" s="1091"/>
      <c r="NHQ915" s="1091"/>
      <c r="NHR915" s="1091"/>
      <c r="NHS915" s="1091"/>
      <c r="NHT915" s="1091"/>
      <c r="NHU915" s="1091"/>
      <c r="NHV915" s="1091"/>
      <c r="NHW915" s="1091"/>
      <c r="NHX915" s="1091"/>
      <c r="NHY915" s="1091"/>
      <c r="NHZ915" s="1091"/>
      <c r="NIA915" s="1091"/>
      <c r="NIB915" s="1091"/>
      <c r="NIC915" s="1091"/>
      <c r="NID915" s="1091"/>
      <c r="NIE915" s="1091"/>
      <c r="NIF915" s="1091"/>
      <c r="NIG915" s="1091"/>
      <c r="NIH915" s="1091"/>
      <c r="NII915" s="1091"/>
      <c r="NIJ915" s="1091"/>
      <c r="NIK915" s="1091"/>
      <c r="NIL915" s="1091"/>
      <c r="NIM915" s="1091"/>
      <c r="NIN915" s="1091"/>
      <c r="NIO915" s="1091"/>
      <c r="NIP915" s="1091"/>
      <c r="NIQ915" s="1091"/>
      <c r="NIR915" s="1091"/>
      <c r="NIS915" s="1091"/>
      <c r="NIT915" s="1091"/>
      <c r="NIU915" s="1091"/>
      <c r="NIV915" s="1091"/>
      <c r="NIW915" s="1091"/>
      <c r="NIX915" s="1091"/>
      <c r="NIY915" s="1091"/>
      <c r="NIZ915" s="1091"/>
      <c r="NJA915" s="1091"/>
      <c r="NJB915" s="1091"/>
      <c r="NJC915" s="1091"/>
      <c r="NJD915" s="1091"/>
      <c r="NJE915" s="1091"/>
      <c r="NJF915" s="1091"/>
      <c r="NJG915" s="1091"/>
      <c r="NJH915" s="1091"/>
      <c r="NJI915" s="1091"/>
      <c r="NJJ915" s="1091"/>
      <c r="NJK915" s="1091"/>
      <c r="NJL915" s="1091"/>
      <c r="NJM915" s="1091"/>
      <c r="NJN915" s="1091"/>
      <c r="NJO915" s="1091"/>
      <c r="NJP915" s="1091"/>
      <c r="NJQ915" s="1091"/>
      <c r="NJR915" s="1091"/>
      <c r="NJS915" s="1091"/>
      <c r="NJT915" s="1091"/>
      <c r="NJU915" s="1091"/>
      <c r="NJV915" s="1091"/>
      <c r="NJW915" s="1091"/>
      <c r="NJX915" s="1091"/>
      <c r="NJY915" s="1091"/>
      <c r="NJZ915" s="1091"/>
      <c r="NKA915" s="1091"/>
      <c r="NKB915" s="1091"/>
      <c r="NKC915" s="1091"/>
      <c r="NKD915" s="1091"/>
      <c r="NKE915" s="1091"/>
      <c r="NKF915" s="1091"/>
      <c r="NKG915" s="1091"/>
      <c r="NKH915" s="1091"/>
      <c r="NKI915" s="1091"/>
      <c r="NKJ915" s="1091"/>
      <c r="NKK915" s="1091"/>
      <c r="NKL915" s="1091"/>
      <c r="NKM915" s="1091"/>
      <c r="NKN915" s="1091"/>
      <c r="NKO915" s="1091"/>
      <c r="NKP915" s="1091"/>
      <c r="NKQ915" s="1091"/>
      <c r="NKR915" s="1091"/>
      <c r="NKS915" s="1091"/>
      <c r="NKT915" s="1091"/>
      <c r="NKU915" s="1091"/>
      <c r="NKV915" s="1091"/>
      <c r="NKW915" s="1091"/>
      <c r="NKX915" s="1091"/>
      <c r="NKY915" s="1091"/>
      <c r="NKZ915" s="1091"/>
      <c r="NLA915" s="1091"/>
      <c r="NLB915" s="1091"/>
      <c r="NLC915" s="1091"/>
      <c r="NLD915" s="1091"/>
      <c r="NLE915" s="1091"/>
      <c r="NLF915" s="1091"/>
      <c r="NLG915" s="1091"/>
      <c r="NLH915" s="1091"/>
      <c r="NLI915" s="1091"/>
      <c r="NLJ915" s="1091"/>
      <c r="NLK915" s="1091"/>
      <c r="NLL915" s="1091"/>
      <c r="NLM915" s="1091"/>
      <c r="NLN915" s="1091"/>
      <c r="NLO915" s="1091"/>
      <c r="NLP915" s="1091"/>
      <c r="NLQ915" s="1091"/>
      <c r="NLR915" s="1091"/>
      <c r="NLS915" s="1091"/>
      <c r="NLT915" s="1091"/>
      <c r="NLU915" s="1091"/>
      <c r="NLV915" s="1091"/>
      <c r="NLW915" s="1091"/>
      <c r="NLX915" s="1091"/>
      <c r="NLY915" s="1091"/>
      <c r="NLZ915" s="1091"/>
      <c r="NMA915" s="1091"/>
      <c r="NMB915" s="1091"/>
      <c r="NMC915" s="1091"/>
      <c r="NMD915" s="1091"/>
      <c r="NME915" s="1091"/>
      <c r="NMF915" s="1091"/>
      <c r="NMG915" s="1091"/>
      <c r="NMH915" s="1091"/>
      <c r="NMI915" s="1091"/>
      <c r="NMJ915" s="1091"/>
      <c r="NMK915" s="1091"/>
      <c r="NML915" s="1091"/>
      <c r="NMM915" s="1091"/>
      <c r="NMN915" s="1091"/>
      <c r="NMO915" s="1091"/>
      <c r="NMP915" s="1091"/>
      <c r="NMQ915" s="1091"/>
      <c r="NMR915" s="1091"/>
      <c r="NMS915" s="1091"/>
      <c r="NMT915" s="1091"/>
      <c r="NMU915" s="1091"/>
      <c r="NMV915" s="1091"/>
      <c r="NMW915" s="1091"/>
      <c r="NMX915" s="1091"/>
      <c r="NMY915" s="1091"/>
      <c r="NMZ915" s="1091"/>
      <c r="NNA915" s="1091"/>
      <c r="NNB915" s="1091"/>
      <c r="NNC915" s="1091"/>
      <c r="NND915" s="1091"/>
      <c r="NNE915" s="1091"/>
      <c r="NNF915" s="1091"/>
      <c r="NNG915" s="1091"/>
      <c r="NNH915" s="1091"/>
      <c r="NNI915" s="1091"/>
      <c r="NNJ915" s="1091"/>
      <c r="NNK915" s="1091"/>
      <c r="NNL915" s="1091"/>
      <c r="NNM915" s="1091"/>
      <c r="NNN915" s="1091"/>
      <c r="NNO915" s="1091"/>
      <c r="NNP915" s="1091"/>
      <c r="NNQ915" s="1091"/>
      <c r="NNR915" s="1091"/>
      <c r="NNS915" s="1091"/>
      <c r="NNT915" s="1091"/>
      <c r="NNU915" s="1091"/>
      <c r="NNV915" s="1091"/>
      <c r="NNW915" s="1091"/>
      <c r="NNX915" s="1091"/>
      <c r="NNY915" s="1091"/>
      <c r="NNZ915" s="1091"/>
      <c r="NOA915" s="1091"/>
      <c r="NOB915" s="1091"/>
      <c r="NOC915" s="1091"/>
      <c r="NOD915" s="1091"/>
      <c r="NOE915" s="1091"/>
      <c r="NOF915" s="1091"/>
      <c r="NOG915" s="1091"/>
      <c r="NOH915" s="1091"/>
      <c r="NOI915" s="1091"/>
      <c r="NOJ915" s="1091"/>
      <c r="NOK915" s="1091"/>
      <c r="NOL915" s="1091"/>
      <c r="NOM915" s="1091"/>
      <c r="NON915" s="1091"/>
      <c r="NOO915" s="1091"/>
      <c r="NOP915" s="1091"/>
      <c r="NOQ915" s="1091"/>
      <c r="NOR915" s="1091"/>
      <c r="NOS915" s="1091"/>
      <c r="NOT915" s="1091"/>
      <c r="NOU915" s="1091"/>
      <c r="NOV915" s="1091"/>
      <c r="NOW915" s="1091"/>
      <c r="NOX915" s="1091"/>
      <c r="NOY915" s="1091"/>
      <c r="NOZ915" s="1091"/>
      <c r="NPA915" s="1091"/>
      <c r="NPB915" s="1091"/>
      <c r="NPC915" s="1091"/>
      <c r="NPD915" s="1091"/>
      <c r="NPE915" s="1091"/>
      <c r="NPF915" s="1091"/>
      <c r="NPG915" s="1091"/>
      <c r="NPH915" s="1091"/>
      <c r="NPI915" s="1091"/>
      <c r="NPJ915" s="1091"/>
      <c r="NPK915" s="1091"/>
      <c r="NPL915" s="1091"/>
      <c r="NPM915" s="1091"/>
      <c r="NPN915" s="1091"/>
      <c r="NPO915" s="1091"/>
      <c r="NPP915" s="1091"/>
      <c r="NPQ915" s="1091"/>
      <c r="NPR915" s="1091"/>
      <c r="NPS915" s="1091"/>
      <c r="NPT915" s="1091"/>
      <c r="NPU915" s="1091"/>
      <c r="NPV915" s="1091"/>
      <c r="NPW915" s="1091"/>
      <c r="NPX915" s="1091"/>
      <c r="NPY915" s="1091"/>
      <c r="NPZ915" s="1091"/>
      <c r="NQA915" s="1091"/>
      <c r="NQB915" s="1091"/>
      <c r="NQC915" s="1091"/>
      <c r="NQD915" s="1091"/>
      <c r="NQE915" s="1091"/>
      <c r="NQF915" s="1091"/>
      <c r="NQG915" s="1091"/>
      <c r="NQH915" s="1091"/>
      <c r="NQI915" s="1091"/>
      <c r="NQJ915" s="1091"/>
      <c r="NQK915" s="1091"/>
      <c r="NQL915" s="1091"/>
      <c r="NQM915" s="1091"/>
      <c r="NQN915" s="1091"/>
      <c r="NQO915" s="1091"/>
      <c r="NQP915" s="1091"/>
      <c r="NQQ915" s="1091"/>
      <c r="NQR915" s="1091"/>
      <c r="NQS915" s="1091"/>
      <c r="NQT915" s="1091"/>
      <c r="NQU915" s="1091"/>
      <c r="NQV915" s="1091"/>
      <c r="NQW915" s="1091"/>
      <c r="NQX915" s="1091"/>
      <c r="NQY915" s="1091"/>
      <c r="NQZ915" s="1091"/>
      <c r="NRA915" s="1091"/>
      <c r="NRB915" s="1091"/>
      <c r="NRC915" s="1091"/>
      <c r="NRD915" s="1091"/>
      <c r="NRE915" s="1091"/>
      <c r="NRF915" s="1091"/>
      <c r="NRG915" s="1091"/>
      <c r="NRH915" s="1091"/>
      <c r="NRI915" s="1091"/>
      <c r="NRJ915" s="1091"/>
      <c r="NRK915" s="1091"/>
      <c r="NRL915" s="1091"/>
      <c r="NRM915" s="1091"/>
      <c r="NRN915" s="1091"/>
      <c r="NRO915" s="1091"/>
      <c r="NRP915" s="1091"/>
      <c r="NRQ915" s="1091"/>
      <c r="NRR915" s="1091"/>
      <c r="NRS915" s="1091"/>
      <c r="NRT915" s="1091"/>
      <c r="NRU915" s="1091"/>
      <c r="NRV915" s="1091"/>
      <c r="NRW915" s="1091"/>
      <c r="NRX915" s="1091"/>
      <c r="NRY915" s="1091"/>
      <c r="NRZ915" s="1091"/>
      <c r="NSA915" s="1091"/>
      <c r="NSB915" s="1091"/>
      <c r="NSC915" s="1091"/>
      <c r="NSD915" s="1091"/>
      <c r="NSE915" s="1091"/>
      <c r="NSF915" s="1091"/>
      <c r="NSG915" s="1091"/>
      <c r="NSH915" s="1091"/>
      <c r="NSI915" s="1091"/>
      <c r="NSJ915" s="1091"/>
      <c r="NSK915" s="1091"/>
      <c r="NSL915" s="1091"/>
      <c r="NSM915" s="1091"/>
      <c r="NSN915" s="1091"/>
      <c r="NSO915" s="1091"/>
      <c r="NSP915" s="1091"/>
      <c r="NSQ915" s="1091"/>
      <c r="NSR915" s="1091"/>
      <c r="NSS915" s="1091"/>
      <c r="NST915" s="1091"/>
      <c r="NSU915" s="1091"/>
      <c r="NSV915" s="1091"/>
      <c r="NSW915" s="1091"/>
      <c r="NSX915" s="1091"/>
      <c r="NSY915" s="1091"/>
      <c r="NSZ915" s="1091"/>
      <c r="NTA915" s="1091"/>
      <c r="NTB915" s="1091"/>
      <c r="NTC915" s="1091"/>
      <c r="NTD915" s="1091"/>
      <c r="NTE915" s="1091"/>
      <c r="NTF915" s="1091"/>
      <c r="NTG915" s="1091"/>
      <c r="NTH915" s="1091"/>
      <c r="NTI915" s="1091"/>
      <c r="NTJ915" s="1091"/>
      <c r="NTK915" s="1091"/>
      <c r="NTL915" s="1091"/>
      <c r="NTM915" s="1091"/>
      <c r="NTN915" s="1091"/>
      <c r="NTO915" s="1091"/>
      <c r="NTP915" s="1091"/>
      <c r="NTQ915" s="1091"/>
      <c r="NTR915" s="1091"/>
      <c r="NTS915" s="1091"/>
      <c r="NTT915" s="1091"/>
      <c r="NTU915" s="1091"/>
      <c r="NTV915" s="1091"/>
      <c r="NTW915" s="1091"/>
      <c r="NTX915" s="1091"/>
      <c r="NTY915" s="1091"/>
      <c r="NTZ915" s="1091"/>
      <c r="NUA915" s="1091"/>
      <c r="NUB915" s="1091"/>
      <c r="NUC915" s="1091"/>
      <c r="NUD915" s="1091"/>
      <c r="NUE915" s="1091"/>
      <c r="NUF915" s="1091"/>
      <c r="NUG915" s="1091"/>
      <c r="NUH915" s="1091"/>
      <c r="NUI915" s="1091"/>
      <c r="NUJ915" s="1091"/>
      <c r="NUK915" s="1091"/>
      <c r="NUL915" s="1091"/>
      <c r="NUM915" s="1091"/>
      <c r="NUN915" s="1091"/>
      <c r="NUO915" s="1091"/>
      <c r="NUP915" s="1091"/>
      <c r="NUQ915" s="1091"/>
      <c r="NUR915" s="1091"/>
      <c r="NUS915" s="1091"/>
      <c r="NUT915" s="1091"/>
      <c r="NUU915" s="1091"/>
      <c r="NUV915" s="1091"/>
      <c r="NUW915" s="1091"/>
      <c r="NUX915" s="1091"/>
      <c r="NUY915" s="1091"/>
      <c r="NUZ915" s="1091"/>
      <c r="NVA915" s="1091"/>
      <c r="NVB915" s="1091"/>
      <c r="NVC915" s="1091"/>
      <c r="NVD915" s="1091"/>
      <c r="NVE915" s="1091"/>
      <c r="NVF915" s="1091"/>
      <c r="NVG915" s="1091"/>
      <c r="NVH915" s="1091"/>
      <c r="NVI915" s="1091"/>
      <c r="NVJ915" s="1091"/>
      <c r="NVK915" s="1091"/>
      <c r="NVL915" s="1091"/>
      <c r="NVM915" s="1091"/>
      <c r="NVN915" s="1091"/>
      <c r="NVO915" s="1091"/>
      <c r="NVP915" s="1091"/>
      <c r="NVQ915" s="1091"/>
      <c r="NVR915" s="1091"/>
      <c r="NVS915" s="1091"/>
      <c r="NVT915" s="1091"/>
      <c r="NVU915" s="1091"/>
      <c r="NVV915" s="1091"/>
      <c r="NVW915" s="1091"/>
      <c r="NVX915" s="1091"/>
      <c r="NVY915" s="1091"/>
      <c r="NVZ915" s="1091"/>
      <c r="NWA915" s="1091"/>
      <c r="NWB915" s="1091"/>
      <c r="NWC915" s="1091"/>
      <c r="NWD915" s="1091"/>
      <c r="NWE915" s="1091"/>
      <c r="NWF915" s="1091"/>
      <c r="NWG915" s="1091"/>
      <c r="NWH915" s="1091"/>
      <c r="NWI915" s="1091"/>
      <c r="NWJ915" s="1091"/>
      <c r="NWK915" s="1091"/>
      <c r="NWL915" s="1091"/>
      <c r="NWM915" s="1091"/>
      <c r="NWN915" s="1091"/>
      <c r="NWO915" s="1091"/>
      <c r="NWP915" s="1091"/>
      <c r="NWQ915" s="1091"/>
      <c r="NWR915" s="1091"/>
      <c r="NWS915" s="1091"/>
      <c r="NWT915" s="1091"/>
      <c r="NWU915" s="1091"/>
      <c r="NWV915" s="1091"/>
      <c r="NWW915" s="1091"/>
      <c r="NWX915" s="1091"/>
      <c r="NWY915" s="1091"/>
      <c r="NWZ915" s="1091"/>
      <c r="NXA915" s="1091"/>
      <c r="NXB915" s="1091"/>
      <c r="NXC915" s="1091"/>
      <c r="NXD915" s="1091"/>
      <c r="NXE915" s="1091"/>
      <c r="NXF915" s="1091"/>
      <c r="NXG915" s="1091"/>
      <c r="NXH915" s="1091"/>
      <c r="NXI915" s="1091"/>
      <c r="NXJ915" s="1091"/>
      <c r="NXK915" s="1091"/>
      <c r="NXL915" s="1091"/>
      <c r="NXM915" s="1091"/>
      <c r="NXN915" s="1091"/>
      <c r="NXO915" s="1091"/>
      <c r="NXP915" s="1091"/>
      <c r="NXQ915" s="1091"/>
      <c r="NXR915" s="1091"/>
      <c r="NXS915" s="1091"/>
      <c r="NXT915" s="1091"/>
      <c r="NXU915" s="1091"/>
      <c r="NXV915" s="1091"/>
      <c r="NXW915" s="1091"/>
      <c r="NXX915" s="1091"/>
      <c r="NXY915" s="1091"/>
      <c r="NXZ915" s="1091"/>
      <c r="NYA915" s="1091"/>
      <c r="NYB915" s="1091"/>
      <c r="NYC915" s="1091"/>
      <c r="NYD915" s="1091"/>
      <c r="NYE915" s="1091"/>
      <c r="NYF915" s="1091"/>
      <c r="NYG915" s="1091"/>
      <c r="NYH915" s="1091"/>
      <c r="NYI915" s="1091"/>
      <c r="NYJ915" s="1091"/>
      <c r="NYK915" s="1091"/>
      <c r="NYL915" s="1091"/>
      <c r="NYM915" s="1091"/>
      <c r="NYN915" s="1091"/>
      <c r="NYO915" s="1091"/>
      <c r="NYP915" s="1091"/>
      <c r="NYQ915" s="1091"/>
      <c r="NYR915" s="1091"/>
      <c r="NYS915" s="1091"/>
      <c r="NYT915" s="1091"/>
      <c r="NYU915" s="1091"/>
      <c r="NYV915" s="1091"/>
      <c r="NYW915" s="1091"/>
      <c r="NYX915" s="1091"/>
      <c r="NYY915" s="1091"/>
      <c r="NYZ915" s="1091"/>
      <c r="NZA915" s="1091"/>
      <c r="NZB915" s="1091"/>
      <c r="NZC915" s="1091"/>
      <c r="NZD915" s="1091"/>
      <c r="NZE915" s="1091"/>
      <c r="NZF915" s="1091"/>
      <c r="NZG915" s="1091"/>
      <c r="NZH915" s="1091"/>
      <c r="NZI915" s="1091"/>
      <c r="NZJ915" s="1091"/>
      <c r="NZK915" s="1091"/>
      <c r="NZL915" s="1091"/>
      <c r="NZM915" s="1091"/>
      <c r="NZN915" s="1091"/>
      <c r="NZO915" s="1091"/>
      <c r="NZP915" s="1091"/>
      <c r="NZQ915" s="1091"/>
      <c r="NZR915" s="1091"/>
      <c r="NZS915" s="1091"/>
      <c r="NZT915" s="1091"/>
      <c r="NZU915" s="1091"/>
      <c r="NZV915" s="1091"/>
      <c r="NZW915" s="1091"/>
      <c r="NZX915" s="1091"/>
      <c r="NZY915" s="1091"/>
      <c r="NZZ915" s="1091"/>
      <c r="OAA915" s="1091"/>
      <c r="OAB915" s="1091"/>
      <c r="OAC915" s="1091"/>
      <c r="OAD915" s="1091"/>
      <c r="OAE915" s="1091"/>
      <c r="OAF915" s="1091"/>
      <c r="OAG915" s="1091"/>
      <c r="OAH915" s="1091"/>
      <c r="OAI915" s="1091"/>
      <c r="OAJ915" s="1091"/>
      <c r="OAK915" s="1091"/>
      <c r="OAL915" s="1091"/>
      <c r="OAM915" s="1091"/>
      <c r="OAN915" s="1091"/>
      <c r="OAO915" s="1091"/>
      <c r="OAP915" s="1091"/>
      <c r="OAQ915" s="1091"/>
      <c r="OAR915" s="1091"/>
      <c r="OAS915" s="1091"/>
      <c r="OAT915" s="1091"/>
      <c r="OAU915" s="1091"/>
      <c r="OAV915" s="1091"/>
      <c r="OAW915" s="1091"/>
      <c r="OAX915" s="1091"/>
      <c r="OAY915" s="1091"/>
      <c r="OAZ915" s="1091"/>
      <c r="OBA915" s="1091"/>
      <c r="OBB915" s="1091"/>
      <c r="OBC915" s="1091"/>
      <c r="OBD915" s="1091"/>
      <c r="OBE915" s="1091"/>
      <c r="OBF915" s="1091"/>
      <c r="OBG915" s="1091"/>
      <c r="OBH915" s="1091"/>
      <c r="OBI915" s="1091"/>
      <c r="OBJ915" s="1091"/>
      <c r="OBK915" s="1091"/>
      <c r="OBL915" s="1091"/>
      <c r="OBM915" s="1091"/>
      <c r="OBN915" s="1091"/>
      <c r="OBO915" s="1091"/>
      <c r="OBP915" s="1091"/>
      <c r="OBQ915" s="1091"/>
      <c r="OBR915" s="1091"/>
      <c r="OBS915" s="1091"/>
      <c r="OBT915" s="1091"/>
      <c r="OBU915" s="1091"/>
      <c r="OBV915" s="1091"/>
      <c r="OBW915" s="1091"/>
      <c r="OBX915" s="1091"/>
      <c r="OBY915" s="1091"/>
      <c r="OBZ915" s="1091"/>
      <c r="OCA915" s="1091"/>
      <c r="OCB915" s="1091"/>
      <c r="OCC915" s="1091"/>
      <c r="OCD915" s="1091"/>
      <c r="OCE915" s="1091"/>
      <c r="OCF915" s="1091"/>
      <c r="OCG915" s="1091"/>
      <c r="OCH915" s="1091"/>
      <c r="OCI915" s="1091"/>
      <c r="OCJ915" s="1091"/>
      <c r="OCK915" s="1091"/>
      <c r="OCL915" s="1091"/>
      <c r="OCM915" s="1091"/>
      <c r="OCN915" s="1091"/>
      <c r="OCO915" s="1091"/>
      <c r="OCP915" s="1091"/>
      <c r="OCQ915" s="1091"/>
      <c r="OCR915" s="1091"/>
      <c r="OCS915" s="1091"/>
      <c r="OCT915" s="1091"/>
      <c r="OCU915" s="1091"/>
      <c r="OCV915" s="1091"/>
      <c r="OCW915" s="1091"/>
      <c r="OCX915" s="1091"/>
      <c r="OCY915" s="1091"/>
      <c r="OCZ915" s="1091"/>
      <c r="ODA915" s="1091"/>
      <c r="ODB915" s="1091"/>
      <c r="ODC915" s="1091"/>
      <c r="ODD915" s="1091"/>
      <c r="ODE915" s="1091"/>
      <c r="ODF915" s="1091"/>
      <c r="ODG915" s="1091"/>
      <c r="ODH915" s="1091"/>
      <c r="ODI915" s="1091"/>
      <c r="ODJ915" s="1091"/>
      <c r="ODK915" s="1091"/>
      <c r="ODL915" s="1091"/>
      <c r="ODM915" s="1091"/>
      <c r="ODN915" s="1091"/>
      <c r="ODO915" s="1091"/>
      <c r="ODP915" s="1091"/>
      <c r="ODQ915" s="1091"/>
      <c r="ODR915" s="1091"/>
      <c r="ODS915" s="1091"/>
      <c r="ODT915" s="1091"/>
      <c r="ODU915" s="1091"/>
      <c r="ODV915" s="1091"/>
      <c r="ODW915" s="1091"/>
      <c r="ODX915" s="1091"/>
      <c r="ODY915" s="1091"/>
      <c r="ODZ915" s="1091"/>
      <c r="OEA915" s="1091"/>
      <c r="OEB915" s="1091"/>
      <c r="OEC915" s="1091"/>
      <c r="OED915" s="1091"/>
      <c r="OEE915" s="1091"/>
      <c r="OEF915" s="1091"/>
      <c r="OEG915" s="1091"/>
      <c r="OEH915" s="1091"/>
      <c r="OEI915" s="1091"/>
      <c r="OEJ915" s="1091"/>
      <c r="OEK915" s="1091"/>
      <c r="OEL915" s="1091"/>
      <c r="OEM915" s="1091"/>
      <c r="OEN915" s="1091"/>
      <c r="OEO915" s="1091"/>
      <c r="OEP915" s="1091"/>
      <c r="OEQ915" s="1091"/>
      <c r="OER915" s="1091"/>
      <c r="OES915" s="1091"/>
      <c r="OET915" s="1091"/>
      <c r="OEU915" s="1091"/>
      <c r="OEV915" s="1091"/>
      <c r="OEW915" s="1091"/>
      <c r="OEX915" s="1091"/>
      <c r="OEY915" s="1091"/>
      <c r="OEZ915" s="1091"/>
      <c r="OFA915" s="1091"/>
      <c r="OFB915" s="1091"/>
      <c r="OFC915" s="1091"/>
      <c r="OFD915" s="1091"/>
      <c r="OFE915" s="1091"/>
      <c r="OFF915" s="1091"/>
      <c r="OFG915" s="1091"/>
      <c r="OFH915" s="1091"/>
      <c r="OFI915" s="1091"/>
      <c r="OFJ915" s="1091"/>
      <c r="OFK915" s="1091"/>
      <c r="OFL915" s="1091"/>
      <c r="OFM915" s="1091"/>
      <c r="OFN915" s="1091"/>
      <c r="OFO915" s="1091"/>
      <c r="OFP915" s="1091"/>
      <c r="OFQ915" s="1091"/>
      <c r="OFR915" s="1091"/>
      <c r="OFS915" s="1091"/>
      <c r="OFT915" s="1091"/>
      <c r="OFU915" s="1091"/>
      <c r="OFV915" s="1091"/>
      <c r="OFW915" s="1091"/>
      <c r="OFX915" s="1091"/>
      <c r="OFY915" s="1091"/>
      <c r="OFZ915" s="1091"/>
      <c r="OGA915" s="1091"/>
      <c r="OGB915" s="1091"/>
      <c r="OGC915" s="1091"/>
      <c r="OGD915" s="1091"/>
      <c r="OGE915" s="1091"/>
      <c r="OGF915" s="1091"/>
      <c r="OGG915" s="1091"/>
      <c r="OGH915" s="1091"/>
      <c r="OGI915" s="1091"/>
      <c r="OGJ915" s="1091"/>
      <c r="OGK915" s="1091"/>
      <c r="OGL915" s="1091"/>
      <c r="OGM915" s="1091"/>
      <c r="OGN915" s="1091"/>
      <c r="OGO915" s="1091"/>
      <c r="OGP915" s="1091"/>
      <c r="OGQ915" s="1091"/>
      <c r="OGR915" s="1091"/>
      <c r="OGS915" s="1091"/>
      <c r="OGT915" s="1091"/>
      <c r="OGU915" s="1091"/>
      <c r="OGV915" s="1091"/>
      <c r="OGW915" s="1091"/>
      <c r="OGX915" s="1091"/>
      <c r="OGY915" s="1091"/>
      <c r="OGZ915" s="1091"/>
      <c r="OHA915" s="1091"/>
      <c r="OHB915" s="1091"/>
      <c r="OHC915" s="1091"/>
      <c r="OHD915" s="1091"/>
      <c r="OHE915" s="1091"/>
      <c r="OHF915" s="1091"/>
      <c r="OHG915" s="1091"/>
      <c r="OHH915" s="1091"/>
      <c r="OHI915" s="1091"/>
      <c r="OHJ915" s="1091"/>
      <c r="OHK915" s="1091"/>
      <c r="OHL915" s="1091"/>
      <c r="OHM915" s="1091"/>
      <c r="OHN915" s="1091"/>
      <c r="OHO915" s="1091"/>
      <c r="OHP915" s="1091"/>
      <c r="OHQ915" s="1091"/>
      <c r="OHR915" s="1091"/>
      <c r="OHS915" s="1091"/>
      <c r="OHT915" s="1091"/>
      <c r="OHU915" s="1091"/>
      <c r="OHV915" s="1091"/>
      <c r="OHW915" s="1091"/>
      <c r="OHX915" s="1091"/>
      <c r="OHY915" s="1091"/>
      <c r="OHZ915" s="1091"/>
      <c r="OIA915" s="1091"/>
      <c r="OIB915" s="1091"/>
      <c r="OIC915" s="1091"/>
      <c r="OID915" s="1091"/>
      <c r="OIE915" s="1091"/>
      <c r="OIF915" s="1091"/>
      <c r="OIG915" s="1091"/>
      <c r="OIH915" s="1091"/>
      <c r="OII915" s="1091"/>
      <c r="OIJ915" s="1091"/>
      <c r="OIK915" s="1091"/>
      <c r="OIL915" s="1091"/>
      <c r="OIM915" s="1091"/>
      <c r="OIN915" s="1091"/>
      <c r="OIO915" s="1091"/>
      <c r="OIP915" s="1091"/>
      <c r="OIQ915" s="1091"/>
      <c r="OIR915" s="1091"/>
      <c r="OIS915" s="1091"/>
      <c r="OIT915" s="1091"/>
      <c r="OIU915" s="1091"/>
      <c r="OIV915" s="1091"/>
      <c r="OIW915" s="1091"/>
      <c r="OIX915" s="1091"/>
      <c r="OIY915" s="1091"/>
      <c r="OIZ915" s="1091"/>
      <c r="OJA915" s="1091"/>
      <c r="OJB915" s="1091"/>
      <c r="OJC915" s="1091"/>
      <c r="OJD915" s="1091"/>
      <c r="OJE915" s="1091"/>
      <c r="OJF915" s="1091"/>
      <c r="OJG915" s="1091"/>
      <c r="OJH915" s="1091"/>
      <c r="OJI915" s="1091"/>
      <c r="OJJ915" s="1091"/>
      <c r="OJK915" s="1091"/>
      <c r="OJL915" s="1091"/>
      <c r="OJM915" s="1091"/>
      <c r="OJN915" s="1091"/>
      <c r="OJO915" s="1091"/>
      <c r="OJP915" s="1091"/>
      <c r="OJQ915" s="1091"/>
      <c r="OJR915" s="1091"/>
      <c r="OJS915" s="1091"/>
      <c r="OJT915" s="1091"/>
      <c r="OJU915" s="1091"/>
      <c r="OJV915" s="1091"/>
      <c r="OJW915" s="1091"/>
      <c r="OJX915" s="1091"/>
      <c r="OJY915" s="1091"/>
      <c r="OJZ915" s="1091"/>
      <c r="OKA915" s="1091"/>
      <c r="OKB915" s="1091"/>
      <c r="OKC915" s="1091"/>
      <c r="OKD915" s="1091"/>
      <c r="OKE915" s="1091"/>
      <c r="OKF915" s="1091"/>
      <c r="OKG915" s="1091"/>
      <c r="OKH915" s="1091"/>
      <c r="OKI915" s="1091"/>
      <c r="OKJ915" s="1091"/>
      <c r="OKK915" s="1091"/>
      <c r="OKL915" s="1091"/>
      <c r="OKM915" s="1091"/>
      <c r="OKN915" s="1091"/>
      <c r="OKO915" s="1091"/>
      <c r="OKP915" s="1091"/>
      <c r="OKQ915" s="1091"/>
      <c r="OKR915" s="1091"/>
      <c r="OKS915" s="1091"/>
      <c r="OKT915" s="1091"/>
      <c r="OKU915" s="1091"/>
      <c r="OKV915" s="1091"/>
      <c r="OKW915" s="1091"/>
      <c r="OKX915" s="1091"/>
      <c r="OKY915" s="1091"/>
      <c r="OKZ915" s="1091"/>
      <c r="OLA915" s="1091"/>
      <c r="OLB915" s="1091"/>
      <c r="OLC915" s="1091"/>
      <c r="OLD915" s="1091"/>
      <c r="OLE915" s="1091"/>
      <c r="OLF915" s="1091"/>
      <c r="OLG915" s="1091"/>
      <c r="OLH915" s="1091"/>
      <c r="OLI915" s="1091"/>
      <c r="OLJ915" s="1091"/>
      <c r="OLK915" s="1091"/>
      <c r="OLL915" s="1091"/>
      <c r="OLM915" s="1091"/>
      <c r="OLN915" s="1091"/>
      <c r="OLO915" s="1091"/>
      <c r="OLP915" s="1091"/>
      <c r="OLQ915" s="1091"/>
      <c r="OLR915" s="1091"/>
      <c r="OLS915" s="1091"/>
      <c r="OLT915" s="1091"/>
      <c r="OLU915" s="1091"/>
      <c r="OLV915" s="1091"/>
      <c r="OLW915" s="1091"/>
      <c r="OLX915" s="1091"/>
      <c r="OLY915" s="1091"/>
      <c r="OLZ915" s="1091"/>
      <c r="OMA915" s="1091"/>
      <c r="OMB915" s="1091"/>
      <c r="OMC915" s="1091"/>
      <c r="OMD915" s="1091"/>
      <c r="OME915" s="1091"/>
      <c r="OMF915" s="1091"/>
      <c r="OMG915" s="1091"/>
      <c r="OMH915" s="1091"/>
      <c r="OMI915" s="1091"/>
      <c r="OMJ915" s="1091"/>
      <c r="OMK915" s="1091"/>
      <c r="OML915" s="1091"/>
      <c r="OMM915" s="1091"/>
      <c r="OMN915" s="1091"/>
      <c r="OMO915" s="1091"/>
      <c r="OMP915" s="1091"/>
      <c r="OMQ915" s="1091"/>
      <c r="OMR915" s="1091"/>
      <c r="OMS915" s="1091"/>
      <c r="OMT915" s="1091"/>
      <c r="OMU915" s="1091"/>
      <c r="OMV915" s="1091"/>
      <c r="OMW915" s="1091"/>
      <c r="OMX915" s="1091"/>
      <c r="OMY915" s="1091"/>
      <c r="OMZ915" s="1091"/>
      <c r="ONA915" s="1091"/>
      <c r="ONB915" s="1091"/>
      <c r="ONC915" s="1091"/>
      <c r="OND915" s="1091"/>
      <c r="ONE915" s="1091"/>
      <c r="ONF915" s="1091"/>
      <c r="ONG915" s="1091"/>
      <c r="ONH915" s="1091"/>
      <c r="ONI915" s="1091"/>
      <c r="ONJ915" s="1091"/>
      <c r="ONK915" s="1091"/>
      <c r="ONL915" s="1091"/>
      <c r="ONM915" s="1091"/>
      <c r="ONN915" s="1091"/>
      <c r="ONO915" s="1091"/>
      <c r="ONP915" s="1091"/>
      <c r="ONQ915" s="1091"/>
      <c r="ONR915" s="1091"/>
      <c r="ONS915" s="1091"/>
      <c r="ONT915" s="1091"/>
      <c r="ONU915" s="1091"/>
      <c r="ONV915" s="1091"/>
      <c r="ONW915" s="1091"/>
      <c r="ONX915" s="1091"/>
      <c r="ONY915" s="1091"/>
      <c r="ONZ915" s="1091"/>
      <c r="OOA915" s="1091"/>
      <c r="OOB915" s="1091"/>
      <c r="OOC915" s="1091"/>
      <c r="OOD915" s="1091"/>
      <c r="OOE915" s="1091"/>
      <c r="OOF915" s="1091"/>
      <c r="OOG915" s="1091"/>
      <c r="OOH915" s="1091"/>
      <c r="OOI915" s="1091"/>
      <c r="OOJ915" s="1091"/>
      <c r="OOK915" s="1091"/>
      <c r="OOL915" s="1091"/>
      <c r="OOM915" s="1091"/>
      <c r="OON915" s="1091"/>
      <c r="OOO915" s="1091"/>
      <c r="OOP915" s="1091"/>
      <c r="OOQ915" s="1091"/>
      <c r="OOR915" s="1091"/>
      <c r="OOS915" s="1091"/>
      <c r="OOT915" s="1091"/>
      <c r="OOU915" s="1091"/>
      <c r="OOV915" s="1091"/>
      <c r="OOW915" s="1091"/>
      <c r="OOX915" s="1091"/>
      <c r="OOY915" s="1091"/>
      <c r="OOZ915" s="1091"/>
      <c r="OPA915" s="1091"/>
      <c r="OPB915" s="1091"/>
      <c r="OPC915" s="1091"/>
      <c r="OPD915" s="1091"/>
      <c r="OPE915" s="1091"/>
      <c r="OPF915" s="1091"/>
      <c r="OPG915" s="1091"/>
      <c r="OPH915" s="1091"/>
      <c r="OPI915" s="1091"/>
      <c r="OPJ915" s="1091"/>
      <c r="OPK915" s="1091"/>
      <c r="OPL915" s="1091"/>
      <c r="OPM915" s="1091"/>
      <c r="OPN915" s="1091"/>
      <c r="OPO915" s="1091"/>
      <c r="OPP915" s="1091"/>
      <c r="OPQ915" s="1091"/>
      <c r="OPR915" s="1091"/>
      <c r="OPS915" s="1091"/>
      <c r="OPT915" s="1091"/>
      <c r="OPU915" s="1091"/>
      <c r="OPV915" s="1091"/>
      <c r="OPW915" s="1091"/>
      <c r="OPX915" s="1091"/>
      <c r="OPY915" s="1091"/>
      <c r="OPZ915" s="1091"/>
      <c r="OQA915" s="1091"/>
      <c r="OQB915" s="1091"/>
      <c r="OQC915" s="1091"/>
      <c r="OQD915" s="1091"/>
      <c r="OQE915" s="1091"/>
      <c r="OQF915" s="1091"/>
      <c r="OQG915" s="1091"/>
      <c r="OQH915" s="1091"/>
      <c r="OQI915" s="1091"/>
      <c r="OQJ915" s="1091"/>
      <c r="OQK915" s="1091"/>
      <c r="OQL915" s="1091"/>
      <c r="OQM915" s="1091"/>
      <c r="OQN915" s="1091"/>
      <c r="OQO915" s="1091"/>
      <c r="OQP915" s="1091"/>
      <c r="OQQ915" s="1091"/>
      <c r="OQR915" s="1091"/>
      <c r="OQS915" s="1091"/>
      <c r="OQT915" s="1091"/>
      <c r="OQU915" s="1091"/>
      <c r="OQV915" s="1091"/>
      <c r="OQW915" s="1091"/>
      <c r="OQX915" s="1091"/>
      <c r="OQY915" s="1091"/>
      <c r="OQZ915" s="1091"/>
      <c r="ORA915" s="1091"/>
      <c r="ORB915" s="1091"/>
      <c r="ORC915" s="1091"/>
      <c r="ORD915" s="1091"/>
      <c r="ORE915" s="1091"/>
      <c r="ORF915" s="1091"/>
      <c r="ORG915" s="1091"/>
      <c r="ORH915" s="1091"/>
      <c r="ORI915" s="1091"/>
      <c r="ORJ915" s="1091"/>
      <c r="ORK915" s="1091"/>
      <c r="ORL915" s="1091"/>
      <c r="ORM915" s="1091"/>
      <c r="ORN915" s="1091"/>
      <c r="ORO915" s="1091"/>
      <c r="ORP915" s="1091"/>
      <c r="ORQ915" s="1091"/>
      <c r="ORR915" s="1091"/>
      <c r="ORS915" s="1091"/>
      <c r="ORT915" s="1091"/>
      <c r="ORU915" s="1091"/>
      <c r="ORV915" s="1091"/>
      <c r="ORW915" s="1091"/>
      <c r="ORX915" s="1091"/>
      <c r="ORY915" s="1091"/>
      <c r="ORZ915" s="1091"/>
      <c r="OSA915" s="1091"/>
      <c r="OSB915" s="1091"/>
      <c r="OSC915" s="1091"/>
      <c r="OSD915" s="1091"/>
      <c r="OSE915" s="1091"/>
      <c r="OSF915" s="1091"/>
      <c r="OSG915" s="1091"/>
      <c r="OSH915" s="1091"/>
      <c r="OSI915" s="1091"/>
      <c r="OSJ915" s="1091"/>
      <c r="OSK915" s="1091"/>
      <c r="OSL915" s="1091"/>
      <c r="OSM915" s="1091"/>
      <c r="OSN915" s="1091"/>
      <c r="OSO915" s="1091"/>
      <c r="OSP915" s="1091"/>
      <c r="OSQ915" s="1091"/>
      <c r="OSR915" s="1091"/>
      <c r="OSS915" s="1091"/>
      <c r="OST915" s="1091"/>
      <c r="OSU915" s="1091"/>
      <c r="OSV915" s="1091"/>
      <c r="OSW915" s="1091"/>
      <c r="OSX915" s="1091"/>
      <c r="OSY915" s="1091"/>
      <c r="OSZ915" s="1091"/>
      <c r="OTA915" s="1091"/>
      <c r="OTB915" s="1091"/>
      <c r="OTC915" s="1091"/>
      <c r="OTD915" s="1091"/>
      <c r="OTE915" s="1091"/>
      <c r="OTF915" s="1091"/>
      <c r="OTG915" s="1091"/>
      <c r="OTH915" s="1091"/>
      <c r="OTI915" s="1091"/>
      <c r="OTJ915" s="1091"/>
      <c r="OTK915" s="1091"/>
      <c r="OTL915" s="1091"/>
      <c r="OTM915" s="1091"/>
      <c r="OTN915" s="1091"/>
      <c r="OTO915" s="1091"/>
      <c r="OTP915" s="1091"/>
      <c r="OTQ915" s="1091"/>
      <c r="OTR915" s="1091"/>
      <c r="OTS915" s="1091"/>
      <c r="OTT915" s="1091"/>
      <c r="OTU915" s="1091"/>
      <c r="OTV915" s="1091"/>
      <c r="OTW915" s="1091"/>
      <c r="OTX915" s="1091"/>
      <c r="OTY915" s="1091"/>
      <c r="OTZ915" s="1091"/>
      <c r="OUA915" s="1091"/>
      <c r="OUB915" s="1091"/>
      <c r="OUC915" s="1091"/>
      <c r="OUD915" s="1091"/>
      <c r="OUE915" s="1091"/>
      <c r="OUF915" s="1091"/>
      <c r="OUG915" s="1091"/>
      <c r="OUH915" s="1091"/>
      <c r="OUI915" s="1091"/>
      <c r="OUJ915" s="1091"/>
      <c r="OUK915" s="1091"/>
      <c r="OUL915" s="1091"/>
      <c r="OUM915" s="1091"/>
      <c r="OUN915" s="1091"/>
      <c r="OUO915" s="1091"/>
      <c r="OUP915" s="1091"/>
      <c r="OUQ915" s="1091"/>
      <c r="OUR915" s="1091"/>
      <c r="OUS915" s="1091"/>
      <c r="OUT915" s="1091"/>
      <c r="OUU915" s="1091"/>
      <c r="OUV915" s="1091"/>
      <c r="OUW915" s="1091"/>
      <c r="OUX915" s="1091"/>
      <c r="OUY915" s="1091"/>
      <c r="OUZ915" s="1091"/>
      <c r="OVA915" s="1091"/>
      <c r="OVB915" s="1091"/>
      <c r="OVC915" s="1091"/>
      <c r="OVD915" s="1091"/>
      <c r="OVE915" s="1091"/>
      <c r="OVF915" s="1091"/>
      <c r="OVG915" s="1091"/>
      <c r="OVH915" s="1091"/>
      <c r="OVI915" s="1091"/>
      <c r="OVJ915" s="1091"/>
      <c r="OVK915" s="1091"/>
      <c r="OVL915" s="1091"/>
      <c r="OVM915" s="1091"/>
      <c r="OVN915" s="1091"/>
      <c r="OVO915" s="1091"/>
      <c r="OVP915" s="1091"/>
      <c r="OVQ915" s="1091"/>
      <c r="OVR915" s="1091"/>
      <c r="OVS915" s="1091"/>
      <c r="OVT915" s="1091"/>
      <c r="OVU915" s="1091"/>
      <c r="OVV915" s="1091"/>
      <c r="OVW915" s="1091"/>
      <c r="OVX915" s="1091"/>
      <c r="OVY915" s="1091"/>
      <c r="OVZ915" s="1091"/>
      <c r="OWA915" s="1091"/>
      <c r="OWB915" s="1091"/>
      <c r="OWC915" s="1091"/>
      <c r="OWD915" s="1091"/>
      <c r="OWE915" s="1091"/>
      <c r="OWF915" s="1091"/>
      <c r="OWG915" s="1091"/>
      <c r="OWH915" s="1091"/>
      <c r="OWI915" s="1091"/>
      <c r="OWJ915" s="1091"/>
      <c r="OWK915" s="1091"/>
      <c r="OWL915" s="1091"/>
      <c r="OWM915" s="1091"/>
      <c r="OWN915" s="1091"/>
      <c r="OWO915" s="1091"/>
      <c r="OWP915" s="1091"/>
      <c r="OWQ915" s="1091"/>
      <c r="OWR915" s="1091"/>
      <c r="OWS915" s="1091"/>
      <c r="OWT915" s="1091"/>
      <c r="OWU915" s="1091"/>
      <c r="OWV915" s="1091"/>
      <c r="OWW915" s="1091"/>
      <c r="OWX915" s="1091"/>
      <c r="OWY915" s="1091"/>
      <c r="OWZ915" s="1091"/>
      <c r="OXA915" s="1091"/>
      <c r="OXB915" s="1091"/>
      <c r="OXC915" s="1091"/>
      <c r="OXD915" s="1091"/>
      <c r="OXE915" s="1091"/>
      <c r="OXF915" s="1091"/>
      <c r="OXG915" s="1091"/>
      <c r="OXH915" s="1091"/>
      <c r="OXI915" s="1091"/>
      <c r="OXJ915" s="1091"/>
      <c r="OXK915" s="1091"/>
      <c r="OXL915" s="1091"/>
      <c r="OXM915" s="1091"/>
      <c r="OXN915" s="1091"/>
      <c r="OXO915" s="1091"/>
      <c r="OXP915" s="1091"/>
      <c r="OXQ915" s="1091"/>
      <c r="OXR915" s="1091"/>
      <c r="OXS915" s="1091"/>
      <c r="OXT915" s="1091"/>
      <c r="OXU915" s="1091"/>
      <c r="OXV915" s="1091"/>
      <c r="OXW915" s="1091"/>
      <c r="OXX915" s="1091"/>
      <c r="OXY915" s="1091"/>
      <c r="OXZ915" s="1091"/>
      <c r="OYA915" s="1091"/>
      <c r="OYB915" s="1091"/>
      <c r="OYC915" s="1091"/>
      <c r="OYD915" s="1091"/>
      <c r="OYE915" s="1091"/>
      <c r="OYF915" s="1091"/>
      <c r="OYG915" s="1091"/>
      <c r="OYH915" s="1091"/>
      <c r="OYI915" s="1091"/>
      <c r="OYJ915" s="1091"/>
      <c r="OYK915" s="1091"/>
      <c r="OYL915" s="1091"/>
      <c r="OYM915" s="1091"/>
      <c r="OYN915" s="1091"/>
      <c r="OYO915" s="1091"/>
      <c r="OYP915" s="1091"/>
      <c r="OYQ915" s="1091"/>
      <c r="OYR915" s="1091"/>
      <c r="OYS915" s="1091"/>
      <c r="OYT915" s="1091"/>
      <c r="OYU915" s="1091"/>
      <c r="OYV915" s="1091"/>
      <c r="OYW915" s="1091"/>
      <c r="OYX915" s="1091"/>
      <c r="OYY915" s="1091"/>
      <c r="OYZ915" s="1091"/>
      <c r="OZA915" s="1091"/>
      <c r="OZB915" s="1091"/>
      <c r="OZC915" s="1091"/>
      <c r="OZD915" s="1091"/>
      <c r="OZE915" s="1091"/>
      <c r="OZF915" s="1091"/>
      <c r="OZG915" s="1091"/>
      <c r="OZH915" s="1091"/>
      <c r="OZI915" s="1091"/>
      <c r="OZJ915" s="1091"/>
      <c r="OZK915" s="1091"/>
      <c r="OZL915" s="1091"/>
      <c r="OZM915" s="1091"/>
      <c r="OZN915" s="1091"/>
      <c r="OZO915" s="1091"/>
      <c r="OZP915" s="1091"/>
      <c r="OZQ915" s="1091"/>
      <c r="OZR915" s="1091"/>
      <c r="OZS915" s="1091"/>
      <c r="OZT915" s="1091"/>
      <c r="OZU915" s="1091"/>
      <c r="OZV915" s="1091"/>
      <c r="OZW915" s="1091"/>
      <c r="OZX915" s="1091"/>
      <c r="OZY915" s="1091"/>
      <c r="OZZ915" s="1091"/>
      <c r="PAA915" s="1091"/>
      <c r="PAB915" s="1091"/>
      <c r="PAC915" s="1091"/>
      <c r="PAD915" s="1091"/>
      <c r="PAE915" s="1091"/>
      <c r="PAF915" s="1091"/>
      <c r="PAG915" s="1091"/>
      <c r="PAH915" s="1091"/>
      <c r="PAI915" s="1091"/>
      <c r="PAJ915" s="1091"/>
      <c r="PAK915" s="1091"/>
      <c r="PAL915" s="1091"/>
      <c r="PAM915" s="1091"/>
      <c r="PAN915" s="1091"/>
      <c r="PAO915" s="1091"/>
      <c r="PAP915" s="1091"/>
      <c r="PAQ915" s="1091"/>
      <c r="PAR915" s="1091"/>
      <c r="PAS915" s="1091"/>
      <c r="PAT915" s="1091"/>
      <c r="PAU915" s="1091"/>
      <c r="PAV915" s="1091"/>
      <c r="PAW915" s="1091"/>
      <c r="PAX915" s="1091"/>
      <c r="PAY915" s="1091"/>
      <c r="PAZ915" s="1091"/>
      <c r="PBA915" s="1091"/>
      <c r="PBB915" s="1091"/>
      <c r="PBC915" s="1091"/>
      <c r="PBD915" s="1091"/>
      <c r="PBE915" s="1091"/>
      <c r="PBF915" s="1091"/>
      <c r="PBG915" s="1091"/>
      <c r="PBH915" s="1091"/>
      <c r="PBI915" s="1091"/>
      <c r="PBJ915" s="1091"/>
      <c r="PBK915" s="1091"/>
      <c r="PBL915" s="1091"/>
      <c r="PBM915" s="1091"/>
      <c r="PBN915" s="1091"/>
      <c r="PBO915" s="1091"/>
      <c r="PBP915" s="1091"/>
      <c r="PBQ915" s="1091"/>
      <c r="PBR915" s="1091"/>
      <c r="PBS915" s="1091"/>
      <c r="PBT915" s="1091"/>
      <c r="PBU915" s="1091"/>
      <c r="PBV915" s="1091"/>
      <c r="PBW915" s="1091"/>
      <c r="PBX915" s="1091"/>
      <c r="PBY915" s="1091"/>
      <c r="PBZ915" s="1091"/>
      <c r="PCA915" s="1091"/>
      <c r="PCB915" s="1091"/>
      <c r="PCC915" s="1091"/>
      <c r="PCD915" s="1091"/>
      <c r="PCE915" s="1091"/>
      <c r="PCF915" s="1091"/>
      <c r="PCG915" s="1091"/>
      <c r="PCH915" s="1091"/>
      <c r="PCI915" s="1091"/>
      <c r="PCJ915" s="1091"/>
      <c r="PCK915" s="1091"/>
      <c r="PCL915" s="1091"/>
      <c r="PCM915" s="1091"/>
      <c r="PCN915" s="1091"/>
      <c r="PCO915" s="1091"/>
      <c r="PCP915" s="1091"/>
      <c r="PCQ915" s="1091"/>
      <c r="PCR915" s="1091"/>
      <c r="PCS915" s="1091"/>
      <c r="PCT915" s="1091"/>
      <c r="PCU915" s="1091"/>
      <c r="PCV915" s="1091"/>
      <c r="PCW915" s="1091"/>
      <c r="PCX915" s="1091"/>
      <c r="PCY915" s="1091"/>
      <c r="PCZ915" s="1091"/>
      <c r="PDA915" s="1091"/>
      <c r="PDB915" s="1091"/>
      <c r="PDC915" s="1091"/>
      <c r="PDD915" s="1091"/>
      <c r="PDE915" s="1091"/>
      <c r="PDF915" s="1091"/>
      <c r="PDG915" s="1091"/>
      <c r="PDH915" s="1091"/>
      <c r="PDI915" s="1091"/>
      <c r="PDJ915" s="1091"/>
      <c r="PDK915" s="1091"/>
      <c r="PDL915" s="1091"/>
      <c r="PDM915" s="1091"/>
      <c r="PDN915" s="1091"/>
      <c r="PDO915" s="1091"/>
      <c r="PDP915" s="1091"/>
      <c r="PDQ915" s="1091"/>
      <c r="PDR915" s="1091"/>
      <c r="PDS915" s="1091"/>
      <c r="PDT915" s="1091"/>
      <c r="PDU915" s="1091"/>
      <c r="PDV915" s="1091"/>
      <c r="PDW915" s="1091"/>
      <c r="PDX915" s="1091"/>
      <c r="PDY915" s="1091"/>
      <c r="PDZ915" s="1091"/>
      <c r="PEA915" s="1091"/>
      <c r="PEB915" s="1091"/>
      <c r="PEC915" s="1091"/>
      <c r="PED915" s="1091"/>
      <c r="PEE915" s="1091"/>
      <c r="PEF915" s="1091"/>
      <c r="PEG915" s="1091"/>
      <c r="PEH915" s="1091"/>
      <c r="PEI915" s="1091"/>
      <c r="PEJ915" s="1091"/>
      <c r="PEK915" s="1091"/>
      <c r="PEL915" s="1091"/>
      <c r="PEM915" s="1091"/>
      <c r="PEN915" s="1091"/>
      <c r="PEO915" s="1091"/>
      <c r="PEP915" s="1091"/>
      <c r="PEQ915" s="1091"/>
      <c r="PER915" s="1091"/>
      <c r="PES915" s="1091"/>
      <c r="PET915" s="1091"/>
      <c r="PEU915" s="1091"/>
      <c r="PEV915" s="1091"/>
      <c r="PEW915" s="1091"/>
      <c r="PEX915" s="1091"/>
      <c r="PEY915" s="1091"/>
      <c r="PEZ915" s="1091"/>
      <c r="PFA915" s="1091"/>
      <c r="PFB915" s="1091"/>
      <c r="PFC915" s="1091"/>
      <c r="PFD915" s="1091"/>
      <c r="PFE915" s="1091"/>
      <c r="PFF915" s="1091"/>
      <c r="PFG915" s="1091"/>
      <c r="PFH915" s="1091"/>
      <c r="PFI915" s="1091"/>
      <c r="PFJ915" s="1091"/>
      <c r="PFK915" s="1091"/>
      <c r="PFL915" s="1091"/>
      <c r="PFM915" s="1091"/>
      <c r="PFN915" s="1091"/>
      <c r="PFO915" s="1091"/>
      <c r="PFP915" s="1091"/>
      <c r="PFQ915" s="1091"/>
      <c r="PFR915" s="1091"/>
      <c r="PFS915" s="1091"/>
      <c r="PFT915" s="1091"/>
      <c r="PFU915" s="1091"/>
      <c r="PFV915" s="1091"/>
      <c r="PFW915" s="1091"/>
      <c r="PFX915" s="1091"/>
      <c r="PFY915" s="1091"/>
      <c r="PFZ915" s="1091"/>
      <c r="PGA915" s="1091"/>
      <c r="PGB915" s="1091"/>
      <c r="PGC915" s="1091"/>
      <c r="PGD915" s="1091"/>
      <c r="PGE915" s="1091"/>
      <c r="PGF915" s="1091"/>
      <c r="PGG915" s="1091"/>
      <c r="PGH915" s="1091"/>
      <c r="PGI915" s="1091"/>
      <c r="PGJ915" s="1091"/>
      <c r="PGK915" s="1091"/>
      <c r="PGL915" s="1091"/>
      <c r="PGM915" s="1091"/>
      <c r="PGN915" s="1091"/>
      <c r="PGO915" s="1091"/>
      <c r="PGP915" s="1091"/>
      <c r="PGQ915" s="1091"/>
      <c r="PGR915" s="1091"/>
      <c r="PGS915" s="1091"/>
      <c r="PGT915" s="1091"/>
      <c r="PGU915" s="1091"/>
      <c r="PGV915" s="1091"/>
      <c r="PGW915" s="1091"/>
      <c r="PGX915" s="1091"/>
      <c r="PGY915" s="1091"/>
      <c r="PGZ915" s="1091"/>
      <c r="PHA915" s="1091"/>
      <c r="PHB915" s="1091"/>
      <c r="PHC915" s="1091"/>
      <c r="PHD915" s="1091"/>
      <c r="PHE915" s="1091"/>
      <c r="PHF915" s="1091"/>
      <c r="PHG915" s="1091"/>
      <c r="PHH915" s="1091"/>
      <c r="PHI915" s="1091"/>
      <c r="PHJ915" s="1091"/>
      <c r="PHK915" s="1091"/>
      <c r="PHL915" s="1091"/>
      <c r="PHM915" s="1091"/>
      <c r="PHN915" s="1091"/>
      <c r="PHO915" s="1091"/>
      <c r="PHP915" s="1091"/>
      <c r="PHQ915" s="1091"/>
      <c r="PHR915" s="1091"/>
      <c r="PHS915" s="1091"/>
      <c r="PHT915" s="1091"/>
      <c r="PHU915" s="1091"/>
      <c r="PHV915" s="1091"/>
      <c r="PHW915" s="1091"/>
      <c r="PHX915" s="1091"/>
      <c r="PHY915" s="1091"/>
      <c r="PHZ915" s="1091"/>
      <c r="PIA915" s="1091"/>
      <c r="PIB915" s="1091"/>
      <c r="PIC915" s="1091"/>
      <c r="PID915" s="1091"/>
      <c r="PIE915" s="1091"/>
      <c r="PIF915" s="1091"/>
      <c r="PIG915" s="1091"/>
      <c r="PIH915" s="1091"/>
      <c r="PII915" s="1091"/>
      <c r="PIJ915" s="1091"/>
      <c r="PIK915" s="1091"/>
      <c r="PIL915" s="1091"/>
      <c r="PIM915" s="1091"/>
      <c r="PIN915" s="1091"/>
      <c r="PIO915" s="1091"/>
      <c r="PIP915" s="1091"/>
      <c r="PIQ915" s="1091"/>
      <c r="PIR915" s="1091"/>
      <c r="PIS915" s="1091"/>
      <c r="PIT915" s="1091"/>
      <c r="PIU915" s="1091"/>
      <c r="PIV915" s="1091"/>
      <c r="PIW915" s="1091"/>
      <c r="PIX915" s="1091"/>
      <c r="PIY915" s="1091"/>
      <c r="PIZ915" s="1091"/>
      <c r="PJA915" s="1091"/>
      <c r="PJB915" s="1091"/>
      <c r="PJC915" s="1091"/>
      <c r="PJD915" s="1091"/>
      <c r="PJE915" s="1091"/>
      <c r="PJF915" s="1091"/>
      <c r="PJG915" s="1091"/>
      <c r="PJH915" s="1091"/>
      <c r="PJI915" s="1091"/>
      <c r="PJJ915" s="1091"/>
      <c r="PJK915" s="1091"/>
      <c r="PJL915" s="1091"/>
      <c r="PJM915" s="1091"/>
      <c r="PJN915" s="1091"/>
      <c r="PJO915" s="1091"/>
      <c r="PJP915" s="1091"/>
      <c r="PJQ915" s="1091"/>
      <c r="PJR915" s="1091"/>
      <c r="PJS915" s="1091"/>
      <c r="PJT915" s="1091"/>
      <c r="PJU915" s="1091"/>
      <c r="PJV915" s="1091"/>
      <c r="PJW915" s="1091"/>
      <c r="PJX915" s="1091"/>
      <c r="PJY915" s="1091"/>
      <c r="PJZ915" s="1091"/>
      <c r="PKA915" s="1091"/>
      <c r="PKB915" s="1091"/>
      <c r="PKC915" s="1091"/>
      <c r="PKD915" s="1091"/>
      <c r="PKE915" s="1091"/>
      <c r="PKF915" s="1091"/>
      <c r="PKG915" s="1091"/>
      <c r="PKH915" s="1091"/>
      <c r="PKI915" s="1091"/>
      <c r="PKJ915" s="1091"/>
      <c r="PKK915" s="1091"/>
      <c r="PKL915" s="1091"/>
      <c r="PKM915" s="1091"/>
      <c r="PKN915" s="1091"/>
      <c r="PKO915" s="1091"/>
      <c r="PKP915" s="1091"/>
      <c r="PKQ915" s="1091"/>
      <c r="PKR915" s="1091"/>
      <c r="PKS915" s="1091"/>
      <c r="PKT915" s="1091"/>
      <c r="PKU915" s="1091"/>
      <c r="PKV915" s="1091"/>
      <c r="PKW915" s="1091"/>
      <c r="PKX915" s="1091"/>
      <c r="PKY915" s="1091"/>
      <c r="PKZ915" s="1091"/>
      <c r="PLA915" s="1091"/>
      <c r="PLB915" s="1091"/>
      <c r="PLC915" s="1091"/>
      <c r="PLD915" s="1091"/>
      <c r="PLE915" s="1091"/>
      <c r="PLF915" s="1091"/>
      <c r="PLG915" s="1091"/>
      <c r="PLH915" s="1091"/>
      <c r="PLI915" s="1091"/>
      <c r="PLJ915" s="1091"/>
      <c r="PLK915" s="1091"/>
      <c r="PLL915" s="1091"/>
      <c r="PLM915" s="1091"/>
      <c r="PLN915" s="1091"/>
      <c r="PLO915" s="1091"/>
      <c r="PLP915" s="1091"/>
      <c r="PLQ915" s="1091"/>
      <c r="PLR915" s="1091"/>
      <c r="PLS915" s="1091"/>
      <c r="PLT915" s="1091"/>
      <c r="PLU915" s="1091"/>
      <c r="PLV915" s="1091"/>
      <c r="PLW915" s="1091"/>
      <c r="PLX915" s="1091"/>
      <c r="PLY915" s="1091"/>
      <c r="PLZ915" s="1091"/>
      <c r="PMA915" s="1091"/>
      <c r="PMB915" s="1091"/>
      <c r="PMC915" s="1091"/>
      <c r="PMD915" s="1091"/>
      <c r="PME915" s="1091"/>
      <c r="PMF915" s="1091"/>
      <c r="PMG915" s="1091"/>
      <c r="PMH915" s="1091"/>
      <c r="PMI915" s="1091"/>
      <c r="PMJ915" s="1091"/>
      <c r="PMK915" s="1091"/>
      <c r="PML915" s="1091"/>
      <c r="PMM915" s="1091"/>
      <c r="PMN915" s="1091"/>
      <c r="PMO915" s="1091"/>
      <c r="PMP915" s="1091"/>
      <c r="PMQ915" s="1091"/>
      <c r="PMR915" s="1091"/>
      <c r="PMS915" s="1091"/>
      <c r="PMT915" s="1091"/>
      <c r="PMU915" s="1091"/>
      <c r="PMV915" s="1091"/>
      <c r="PMW915" s="1091"/>
      <c r="PMX915" s="1091"/>
      <c r="PMY915" s="1091"/>
      <c r="PMZ915" s="1091"/>
      <c r="PNA915" s="1091"/>
      <c r="PNB915" s="1091"/>
      <c r="PNC915" s="1091"/>
      <c r="PND915" s="1091"/>
      <c r="PNE915" s="1091"/>
      <c r="PNF915" s="1091"/>
      <c r="PNG915" s="1091"/>
      <c r="PNH915" s="1091"/>
      <c r="PNI915" s="1091"/>
      <c r="PNJ915" s="1091"/>
      <c r="PNK915" s="1091"/>
      <c r="PNL915" s="1091"/>
      <c r="PNM915" s="1091"/>
      <c r="PNN915" s="1091"/>
      <c r="PNO915" s="1091"/>
      <c r="PNP915" s="1091"/>
      <c r="PNQ915" s="1091"/>
      <c r="PNR915" s="1091"/>
      <c r="PNS915" s="1091"/>
      <c r="PNT915" s="1091"/>
      <c r="PNU915" s="1091"/>
      <c r="PNV915" s="1091"/>
      <c r="PNW915" s="1091"/>
      <c r="PNX915" s="1091"/>
      <c r="PNY915" s="1091"/>
      <c r="PNZ915" s="1091"/>
      <c r="POA915" s="1091"/>
      <c r="POB915" s="1091"/>
      <c r="POC915" s="1091"/>
      <c r="POD915" s="1091"/>
      <c r="POE915" s="1091"/>
      <c r="POF915" s="1091"/>
      <c r="POG915" s="1091"/>
      <c r="POH915" s="1091"/>
      <c r="POI915" s="1091"/>
      <c r="POJ915" s="1091"/>
      <c r="POK915" s="1091"/>
      <c r="POL915" s="1091"/>
      <c r="POM915" s="1091"/>
      <c r="PON915" s="1091"/>
      <c r="POO915" s="1091"/>
      <c r="POP915" s="1091"/>
      <c r="POQ915" s="1091"/>
      <c r="POR915" s="1091"/>
      <c r="POS915" s="1091"/>
      <c r="POT915" s="1091"/>
      <c r="POU915" s="1091"/>
      <c r="POV915" s="1091"/>
      <c r="POW915" s="1091"/>
      <c r="POX915" s="1091"/>
      <c r="POY915" s="1091"/>
      <c r="POZ915" s="1091"/>
      <c r="PPA915" s="1091"/>
      <c r="PPB915" s="1091"/>
      <c r="PPC915" s="1091"/>
      <c r="PPD915" s="1091"/>
      <c r="PPE915" s="1091"/>
      <c r="PPF915" s="1091"/>
      <c r="PPG915" s="1091"/>
      <c r="PPH915" s="1091"/>
      <c r="PPI915" s="1091"/>
      <c r="PPJ915" s="1091"/>
      <c r="PPK915" s="1091"/>
      <c r="PPL915" s="1091"/>
      <c r="PPM915" s="1091"/>
      <c r="PPN915" s="1091"/>
      <c r="PPO915" s="1091"/>
      <c r="PPP915" s="1091"/>
      <c r="PPQ915" s="1091"/>
      <c r="PPR915" s="1091"/>
      <c r="PPS915" s="1091"/>
      <c r="PPT915" s="1091"/>
      <c r="PPU915" s="1091"/>
      <c r="PPV915" s="1091"/>
      <c r="PPW915" s="1091"/>
      <c r="PPX915" s="1091"/>
      <c r="PPY915" s="1091"/>
      <c r="PPZ915" s="1091"/>
      <c r="PQA915" s="1091"/>
      <c r="PQB915" s="1091"/>
      <c r="PQC915" s="1091"/>
      <c r="PQD915" s="1091"/>
      <c r="PQE915" s="1091"/>
      <c r="PQF915" s="1091"/>
      <c r="PQG915" s="1091"/>
      <c r="PQH915" s="1091"/>
      <c r="PQI915" s="1091"/>
      <c r="PQJ915" s="1091"/>
      <c r="PQK915" s="1091"/>
      <c r="PQL915" s="1091"/>
      <c r="PQM915" s="1091"/>
      <c r="PQN915" s="1091"/>
      <c r="PQO915" s="1091"/>
      <c r="PQP915" s="1091"/>
      <c r="PQQ915" s="1091"/>
      <c r="PQR915" s="1091"/>
      <c r="PQS915" s="1091"/>
      <c r="PQT915" s="1091"/>
      <c r="PQU915" s="1091"/>
      <c r="PQV915" s="1091"/>
      <c r="PQW915" s="1091"/>
      <c r="PQX915" s="1091"/>
      <c r="PQY915" s="1091"/>
      <c r="PQZ915" s="1091"/>
      <c r="PRA915" s="1091"/>
      <c r="PRB915" s="1091"/>
      <c r="PRC915" s="1091"/>
      <c r="PRD915" s="1091"/>
      <c r="PRE915" s="1091"/>
      <c r="PRF915" s="1091"/>
      <c r="PRG915" s="1091"/>
      <c r="PRH915" s="1091"/>
      <c r="PRI915" s="1091"/>
      <c r="PRJ915" s="1091"/>
      <c r="PRK915" s="1091"/>
      <c r="PRL915" s="1091"/>
      <c r="PRM915" s="1091"/>
      <c r="PRN915" s="1091"/>
      <c r="PRO915" s="1091"/>
      <c r="PRP915" s="1091"/>
      <c r="PRQ915" s="1091"/>
      <c r="PRR915" s="1091"/>
      <c r="PRS915" s="1091"/>
      <c r="PRT915" s="1091"/>
      <c r="PRU915" s="1091"/>
      <c r="PRV915" s="1091"/>
      <c r="PRW915" s="1091"/>
      <c r="PRX915" s="1091"/>
      <c r="PRY915" s="1091"/>
      <c r="PRZ915" s="1091"/>
      <c r="PSA915" s="1091"/>
      <c r="PSB915" s="1091"/>
      <c r="PSC915" s="1091"/>
      <c r="PSD915" s="1091"/>
      <c r="PSE915" s="1091"/>
      <c r="PSF915" s="1091"/>
      <c r="PSG915" s="1091"/>
      <c r="PSH915" s="1091"/>
      <c r="PSI915" s="1091"/>
      <c r="PSJ915" s="1091"/>
      <c r="PSK915" s="1091"/>
      <c r="PSL915" s="1091"/>
      <c r="PSM915" s="1091"/>
      <c r="PSN915" s="1091"/>
      <c r="PSO915" s="1091"/>
      <c r="PSP915" s="1091"/>
      <c r="PSQ915" s="1091"/>
      <c r="PSR915" s="1091"/>
      <c r="PSS915" s="1091"/>
      <c r="PST915" s="1091"/>
      <c r="PSU915" s="1091"/>
      <c r="PSV915" s="1091"/>
      <c r="PSW915" s="1091"/>
      <c r="PSX915" s="1091"/>
      <c r="PSY915" s="1091"/>
      <c r="PSZ915" s="1091"/>
      <c r="PTA915" s="1091"/>
      <c r="PTB915" s="1091"/>
      <c r="PTC915" s="1091"/>
      <c r="PTD915" s="1091"/>
      <c r="PTE915" s="1091"/>
      <c r="PTF915" s="1091"/>
      <c r="PTG915" s="1091"/>
      <c r="PTH915" s="1091"/>
      <c r="PTI915" s="1091"/>
      <c r="PTJ915" s="1091"/>
      <c r="PTK915" s="1091"/>
      <c r="PTL915" s="1091"/>
      <c r="PTM915" s="1091"/>
      <c r="PTN915" s="1091"/>
      <c r="PTO915" s="1091"/>
      <c r="PTP915" s="1091"/>
      <c r="PTQ915" s="1091"/>
      <c r="PTR915" s="1091"/>
      <c r="PTS915" s="1091"/>
      <c r="PTT915" s="1091"/>
      <c r="PTU915" s="1091"/>
      <c r="PTV915" s="1091"/>
      <c r="PTW915" s="1091"/>
      <c r="PTX915" s="1091"/>
      <c r="PTY915" s="1091"/>
      <c r="PTZ915" s="1091"/>
      <c r="PUA915" s="1091"/>
      <c r="PUB915" s="1091"/>
      <c r="PUC915" s="1091"/>
      <c r="PUD915" s="1091"/>
      <c r="PUE915" s="1091"/>
      <c r="PUF915" s="1091"/>
      <c r="PUG915" s="1091"/>
      <c r="PUH915" s="1091"/>
      <c r="PUI915" s="1091"/>
      <c r="PUJ915" s="1091"/>
      <c r="PUK915" s="1091"/>
      <c r="PUL915" s="1091"/>
      <c r="PUM915" s="1091"/>
      <c r="PUN915" s="1091"/>
      <c r="PUO915" s="1091"/>
      <c r="PUP915" s="1091"/>
      <c r="PUQ915" s="1091"/>
      <c r="PUR915" s="1091"/>
      <c r="PUS915" s="1091"/>
      <c r="PUT915" s="1091"/>
      <c r="PUU915" s="1091"/>
      <c r="PUV915" s="1091"/>
      <c r="PUW915" s="1091"/>
      <c r="PUX915" s="1091"/>
      <c r="PUY915" s="1091"/>
      <c r="PUZ915" s="1091"/>
      <c r="PVA915" s="1091"/>
      <c r="PVB915" s="1091"/>
      <c r="PVC915" s="1091"/>
      <c r="PVD915" s="1091"/>
      <c r="PVE915" s="1091"/>
      <c r="PVF915" s="1091"/>
      <c r="PVG915" s="1091"/>
      <c r="PVH915" s="1091"/>
      <c r="PVI915" s="1091"/>
      <c r="PVJ915" s="1091"/>
      <c r="PVK915" s="1091"/>
      <c r="PVL915" s="1091"/>
      <c r="PVM915" s="1091"/>
      <c r="PVN915" s="1091"/>
      <c r="PVO915" s="1091"/>
      <c r="PVP915" s="1091"/>
      <c r="PVQ915" s="1091"/>
      <c r="PVR915" s="1091"/>
      <c r="PVS915" s="1091"/>
      <c r="PVT915" s="1091"/>
      <c r="PVU915" s="1091"/>
      <c r="PVV915" s="1091"/>
      <c r="PVW915" s="1091"/>
      <c r="PVX915" s="1091"/>
      <c r="PVY915" s="1091"/>
      <c r="PVZ915" s="1091"/>
      <c r="PWA915" s="1091"/>
      <c r="PWB915" s="1091"/>
      <c r="PWC915" s="1091"/>
      <c r="PWD915" s="1091"/>
      <c r="PWE915" s="1091"/>
      <c r="PWF915" s="1091"/>
      <c r="PWG915" s="1091"/>
      <c r="PWH915" s="1091"/>
      <c r="PWI915" s="1091"/>
      <c r="PWJ915" s="1091"/>
      <c r="PWK915" s="1091"/>
      <c r="PWL915" s="1091"/>
      <c r="PWM915" s="1091"/>
      <c r="PWN915" s="1091"/>
      <c r="PWO915" s="1091"/>
      <c r="PWP915" s="1091"/>
      <c r="PWQ915" s="1091"/>
      <c r="PWR915" s="1091"/>
      <c r="PWS915" s="1091"/>
      <c r="PWT915" s="1091"/>
      <c r="PWU915" s="1091"/>
      <c r="PWV915" s="1091"/>
      <c r="PWW915" s="1091"/>
      <c r="PWX915" s="1091"/>
      <c r="PWY915" s="1091"/>
      <c r="PWZ915" s="1091"/>
      <c r="PXA915" s="1091"/>
      <c r="PXB915" s="1091"/>
      <c r="PXC915" s="1091"/>
      <c r="PXD915" s="1091"/>
      <c r="PXE915" s="1091"/>
      <c r="PXF915" s="1091"/>
      <c r="PXG915" s="1091"/>
      <c r="PXH915" s="1091"/>
      <c r="PXI915" s="1091"/>
      <c r="PXJ915" s="1091"/>
      <c r="PXK915" s="1091"/>
      <c r="PXL915" s="1091"/>
      <c r="PXM915" s="1091"/>
      <c r="PXN915" s="1091"/>
      <c r="PXO915" s="1091"/>
      <c r="PXP915" s="1091"/>
      <c r="PXQ915" s="1091"/>
      <c r="PXR915" s="1091"/>
      <c r="PXS915" s="1091"/>
      <c r="PXT915" s="1091"/>
      <c r="PXU915" s="1091"/>
      <c r="PXV915" s="1091"/>
      <c r="PXW915" s="1091"/>
      <c r="PXX915" s="1091"/>
      <c r="PXY915" s="1091"/>
      <c r="PXZ915" s="1091"/>
      <c r="PYA915" s="1091"/>
      <c r="PYB915" s="1091"/>
      <c r="PYC915" s="1091"/>
      <c r="PYD915" s="1091"/>
      <c r="PYE915" s="1091"/>
      <c r="PYF915" s="1091"/>
      <c r="PYG915" s="1091"/>
      <c r="PYH915" s="1091"/>
      <c r="PYI915" s="1091"/>
      <c r="PYJ915" s="1091"/>
      <c r="PYK915" s="1091"/>
      <c r="PYL915" s="1091"/>
      <c r="PYM915" s="1091"/>
      <c r="PYN915" s="1091"/>
      <c r="PYO915" s="1091"/>
      <c r="PYP915" s="1091"/>
      <c r="PYQ915" s="1091"/>
      <c r="PYR915" s="1091"/>
      <c r="PYS915" s="1091"/>
      <c r="PYT915" s="1091"/>
      <c r="PYU915" s="1091"/>
      <c r="PYV915" s="1091"/>
      <c r="PYW915" s="1091"/>
      <c r="PYX915" s="1091"/>
      <c r="PYY915" s="1091"/>
      <c r="PYZ915" s="1091"/>
      <c r="PZA915" s="1091"/>
      <c r="PZB915" s="1091"/>
      <c r="PZC915" s="1091"/>
      <c r="PZD915" s="1091"/>
      <c r="PZE915" s="1091"/>
      <c r="PZF915" s="1091"/>
      <c r="PZG915" s="1091"/>
      <c r="PZH915" s="1091"/>
      <c r="PZI915" s="1091"/>
      <c r="PZJ915" s="1091"/>
      <c r="PZK915" s="1091"/>
      <c r="PZL915" s="1091"/>
      <c r="PZM915" s="1091"/>
      <c r="PZN915" s="1091"/>
      <c r="PZO915" s="1091"/>
      <c r="PZP915" s="1091"/>
      <c r="PZQ915" s="1091"/>
      <c r="PZR915" s="1091"/>
      <c r="PZS915" s="1091"/>
      <c r="PZT915" s="1091"/>
      <c r="PZU915" s="1091"/>
      <c r="PZV915" s="1091"/>
      <c r="PZW915" s="1091"/>
      <c r="PZX915" s="1091"/>
      <c r="PZY915" s="1091"/>
      <c r="PZZ915" s="1091"/>
      <c r="QAA915" s="1091"/>
      <c r="QAB915" s="1091"/>
      <c r="QAC915" s="1091"/>
      <c r="QAD915" s="1091"/>
      <c r="QAE915" s="1091"/>
      <c r="QAF915" s="1091"/>
      <c r="QAG915" s="1091"/>
      <c r="QAH915" s="1091"/>
      <c r="QAI915" s="1091"/>
      <c r="QAJ915" s="1091"/>
      <c r="QAK915" s="1091"/>
      <c r="QAL915" s="1091"/>
      <c r="QAM915" s="1091"/>
      <c r="QAN915" s="1091"/>
      <c r="QAO915" s="1091"/>
      <c r="QAP915" s="1091"/>
      <c r="QAQ915" s="1091"/>
      <c r="QAR915" s="1091"/>
      <c r="QAS915" s="1091"/>
      <c r="QAT915" s="1091"/>
      <c r="QAU915" s="1091"/>
      <c r="QAV915" s="1091"/>
      <c r="QAW915" s="1091"/>
      <c r="QAX915" s="1091"/>
      <c r="QAY915" s="1091"/>
      <c r="QAZ915" s="1091"/>
      <c r="QBA915" s="1091"/>
      <c r="QBB915" s="1091"/>
      <c r="QBC915" s="1091"/>
      <c r="QBD915" s="1091"/>
      <c r="QBE915" s="1091"/>
      <c r="QBF915" s="1091"/>
      <c r="QBG915" s="1091"/>
      <c r="QBH915" s="1091"/>
      <c r="QBI915" s="1091"/>
      <c r="QBJ915" s="1091"/>
      <c r="QBK915" s="1091"/>
      <c r="QBL915" s="1091"/>
      <c r="QBM915" s="1091"/>
      <c r="QBN915" s="1091"/>
      <c r="QBO915" s="1091"/>
      <c r="QBP915" s="1091"/>
      <c r="QBQ915" s="1091"/>
      <c r="QBR915" s="1091"/>
      <c r="QBS915" s="1091"/>
      <c r="QBT915" s="1091"/>
      <c r="QBU915" s="1091"/>
      <c r="QBV915" s="1091"/>
      <c r="QBW915" s="1091"/>
      <c r="QBX915" s="1091"/>
      <c r="QBY915" s="1091"/>
      <c r="QBZ915" s="1091"/>
      <c r="QCA915" s="1091"/>
      <c r="QCB915" s="1091"/>
      <c r="QCC915" s="1091"/>
      <c r="QCD915" s="1091"/>
      <c r="QCE915" s="1091"/>
      <c r="QCF915" s="1091"/>
      <c r="QCG915" s="1091"/>
      <c r="QCH915" s="1091"/>
      <c r="QCI915" s="1091"/>
      <c r="QCJ915" s="1091"/>
      <c r="QCK915" s="1091"/>
      <c r="QCL915" s="1091"/>
      <c r="QCM915" s="1091"/>
      <c r="QCN915" s="1091"/>
      <c r="QCO915" s="1091"/>
      <c r="QCP915" s="1091"/>
      <c r="QCQ915" s="1091"/>
      <c r="QCR915" s="1091"/>
      <c r="QCS915" s="1091"/>
      <c r="QCT915" s="1091"/>
      <c r="QCU915" s="1091"/>
      <c r="QCV915" s="1091"/>
      <c r="QCW915" s="1091"/>
      <c r="QCX915" s="1091"/>
      <c r="QCY915" s="1091"/>
      <c r="QCZ915" s="1091"/>
      <c r="QDA915" s="1091"/>
      <c r="QDB915" s="1091"/>
      <c r="QDC915" s="1091"/>
      <c r="QDD915" s="1091"/>
      <c r="QDE915" s="1091"/>
      <c r="QDF915" s="1091"/>
      <c r="QDG915" s="1091"/>
      <c r="QDH915" s="1091"/>
      <c r="QDI915" s="1091"/>
      <c r="QDJ915" s="1091"/>
      <c r="QDK915" s="1091"/>
      <c r="QDL915" s="1091"/>
      <c r="QDM915" s="1091"/>
      <c r="QDN915" s="1091"/>
      <c r="QDO915" s="1091"/>
      <c r="QDP915" s="1091"/>
      <c r="QDQ915" s="1091"/>
      <c r="QDR915" s="1091"/>
      <c r="QDS915" s="1091"/>
      <c r="QDT915" s="1091"/>
      <c r="QDU915" s="1091"/>
      <c r="QDV915" s="1091"/>
      <c r="QDW915" s="1091"/>
      <c r="QDX915" s="1091"/>
      <c r="QDY915" s="1091"/>
      <c r="QDZ915" s="1091"/>
      <c r="QEA915" s="1091"/>
      <c r="QEB915" s="1091"/>
      <c r="QEC915" s="1091"/>
      <c r="QED915" s="1091"/>
      <c r="QEE915" s="1091"/>
      <c r="QEF915" s="1091"/>
      <c r="QEG915" s="1091"/>
      <c r="QEH915" s="1091"/>
      <c r="QEI915" s="1091"/>
      <c r="QEJ915" s="1091"/>
      <c r="QEK915" s="1091"/>
      <c r="QEL915" s="1091"/>
      <c r="QEM915" s="1091"/>
      <c r="QEN915" s="1091"/>
      <c r="QEO915" s="1091"/>
      <c r="QEP915" s="1091"/>
      <c r="QEQ915" s="1091"/>
      <c r="QER915" s="1091"/>
      <c r="QES915" s="1091"/>
      <c r="QET915" s="1091"/>
      <c r="QEU915" s="1091"/>
      <c r="QEV915" s="1091"/>
      <c r="QEW915" s="1091"/>
      <c r="QEX915" s="1091"/>
      <c r="QEY915" s="1091"/>
      <c r="QEZ915" s="1091"/>
      <c r="QFA915" s="1091"/>
      <c r="QFB915" s="1091"/>
      <c r="QFC915" s="1091"/>
      <c r="QFD915" s="1091"/>
      <c r="QFE915" s="1091"/>
      <c r="QFF915" s="1091"/>
      <c r="QFG915" s="1091"/>
      <c r="QFH915" s="1091"/>
      <c r="QFI915" s="1091"/>
      <c r="QFJ915" s="1091"/>
      <c r="QFK915" s="1091"/>
      <c r="QFL915" s="1091"/>
      <c r="QFM915" s="1091"/>
      <c r="QFN915" s="1091"/>
      <c r="QFO915" s="1091"/>
      <c r="QFP915" s="1091"/>
      <c r="QFQ915" s="1091"/>
      <c r="QFR915" s="1091"/>
      <c r="QFS915" s="1091"/>
      <c r="QFT915" s="1091"/>
      <c r="QFU915" s="1091"/>
      <c r="QFV915" s="1091"/>
      <c r="QFW915" s="1091"/>
      <c r="QFX915" s="1091"/>
      <c r="QFY915" s="1091"/>
      <c r="QFZ915" s="1091"/>
      <c r="QGA915" s="1091"/>
      <c r="QGB915" s="1091"/>
      <c r="QGC915" s="1091"/>
      <c r="QGD915" s="1091"/>
      <c r="QGE915" s="1091"/>
      <c r="QGF915" s="1091"/>
      <c r="QGG915" s="1091"/>
      <c r="QGH915" s="1091"/>
      <c r="QGI915" s="1091"/>
      <c r="QGJ915" s="1091"/>
      <c r="QGK915" s="1091"/>
      <c r="QGL915" s="1091"/>
      <c r="QGM915" s="1091"/>
      <c r="QGN915" s="1091"/>
      <c r="QGO915" s="1091"/>
      <c r="QGP915" s="1091"/>
      <c r="QGQ915" s="1091"/>
      <c r="QGR915" s="1091"/>
      <c r="QGS915" s="1091"/>
      <c r="QGT915" s="1091"/>
      <c r="QGU915" s="1091"/>
      <c r="QGV915" s="1091"/>
      <c r="QGW915" s="1091"/>
      <c r="QGX915" s="1091"/>
      <c r="QGY915" s="1091"/>
      <c r="QGZ915" s="1091"/>
      <c r="QHA915" s="1091"/>
      <c r="QHB915" s="1091"/>
      <c r="QHC915" s="1091"/>
      <c r="QHD915" s="1091"/>
      <c r="QHE915" s="1091"/>
      <c r="QHF915" s="1091"/>
      <c r="QHG915" s="1091"/>
      <c r="QHH915" s="1091"/>
      <c r="QHI915" s="1091"/>
      <c r="QHJ915" s="1091"/>
      <c r="QHK915" s="1091"/>
      <c r="QHL915" s="1091"/>
      <c r="QHM915" s="1091"/>
      <c r="QHN915" s="1091"/>
      <c r="QHO915" s="1091"/>
      <c r="QHP915" s="1091"/>
      <c r="QHQ915" s="1091"/>
      <c r="QHR915" s="1091"/>
      <c r="QHS915" s="1091"/>
      <c r="QHT915" s="1091"/>
      <c r="QHU915" s="1091"/>
      <c r="QHV915" s="1091"/>
      <c r="QHW915" s="1091"/>
      <c r="QHX915" s="1091"/>
      <c r="QHY915" s="1091"/>
      <c r="QHZ915" s="1091"/>
      <c r="QIA915" s="1091"/>
      <c r="QIB915" s="1091"/>
      <c r="QIC915" s="1091"/>
      <c r="QID915" s="1091"/>
      <c r="QIE915" s="1091"/>
      <c r="QIF915" s="1091"/>
      <c r="QIG915" s="1091"/>
      <c r="QIH915" s="1091"/>
      <c r="QII915" s="1091"/>
      <c r="QIJ915" s="1091"/>
      <c r="QIK915" s="1091"/>
      <c r="QIL915" s="1091"/>
      <c r="QIM915" s="1091"/>
      <c r="QIN915" s="1091"/>
      <c r="QIO915" s="1091"/>
      <c r="QIP915" s="1091"/>
      <c r="QIQ915" s="1091"/>
      <c r="QIR915" s="1091"/>
      <c r="QIS915" s="1091"/>
      <c r="QIT915" s="1091"/>
      <c r="QIU915" s="1091"/>
      <c r="QIV915" s="1091"/>
      <c r="QIW915" s="1091"/>
      <c r="QIX915" s="1091"/>
      <c r="QIY915" s="1091"/>
      <c r="QIZ915" s="1091"/>
      <c r="QJA915" s="1091"/>
      <c r="QJB915" s="1091"/>
      <c r="QJC915" s="1091"/>
      <c r="QJD915" s="1091"/>
      <c r="QJE915" s="1091"/>
      <c r="QJF915" s="1091"/>
      <c r="QJG915" s="1091"/>
      <c r="QJH915" s="1091"/>
      <c r="QJI915" s="1091"/>
      <c r="QJJ915" s="1091"/>
      <c r="QJK915" s="1091"/>
      <c r="QJL915" s="1091"/>
      <c r="QJM915" s="1091"/>
      <c r="QJN915" s="1091"/>
      <c r="QJO915" s="1091"/>
      <c r="QJP915" s="1091"/>
      <c r="QJQ915" s="1091"/>
      <c r="QJR915" s="1091"/>
      <c r="QJS915" s="1091"/>
      <c r="QJT915" s="1091"/>
      <c r="QJU915" s="1091"/>
      <c r="QJV915" s="1091"/>
      <c r="QJW915" s="1091"/>
      <c r="QJX915" s="1091"/>
      <c r="QJY915" s="1091"/>
      <c r="QJZ915" s="1091"/>
      <c r="QKA915" s="1091"/>
      <c r="QKB915" s="1091"/>
      <c r="QKC915" s="1091"/>
      <c r="QKD915" s="1091"/>
      <c r="QKE915" s="1091"/>
      <c r="QKF915" s="1091"/>
      <c r="QKG915" s="1091"/>
      <c r="QKH915" s="1091"/>
      <c r="QKI915" s="1091"/>
      <c r="QKJ915" s="1091"/>
      <c r="QKK915" s="1091"/>
      <c r="QKL915" s="1091"/>
      <c r="QKM915" s="1091"/>
      <c r="QKN915" s="1091"/>
      <c r="QKO915" s="1091"/>
      <c r="QKP915" s="1091"/>
      <c r="QKQ915" s="1091"/>
      <c r="QKR915" s="1091"/>
      <c r="QKS915" s="1091"/>
      <c r="QKT915" s="1091"/>
      <c r="QKU915" s="1091"/>
      <c r="QKV915" s="1091"/>
      <c r="QKW915" s="1091"/>
      <c r="QKX915" s="1091"/>
      <c r="QKY915" s="1091"/>
      <c r="QKZ915" s="1091"/>
      <c r="QLA915" s="1091"/>
      <c r="QLB915" s="1091"/>
      <c r="QLC915" s="1091"/>
      <c r="QLD915" s="1091"/>
      <c r="QLE915" s="1091"/>
      <c r="QLF915" s="1091"/>
      <c r="QLG915" s="1091"/>
      <c r="QLH915" s="1091"/>
      <c r="QLI915" s="1091"/>
      <c r="QLJ915" s="1091"/>
      <c r="QLK915" s="1091"/>
      <c r="QLL915" s="1091"/>
      <c r="QLM915" s="1091"/>
      <c r="QLN915" s="1091"/>
      <c r="QLO915" s="1091"/>
      <c r="QLP915" s="1091"/>
      <c r="QLQ915" s="1091"/>
      <c r="QLR915" s="1091"/>
      <c r="QLS915" s="1091"/>
      <c r="QLT915" s="1091"/>
      <c r="QLU915" s="1091"/>
      <c r="QLV915" s="1091"/>
      <c r="QLW915" s="1091"/>
      <c r="QLX915" s="1091"/>
      <c r="QLY915" s="1091"/>
      <c r="QLZ915" s="1091"/>
      <c r="QMA915" s="1091"/>
      <c r="QMB915" s="1091"/>
      <c r="QMC915" s="1091"/>
      <c r="QMD915" s="1091"/>
      <c r="QME915" s="1091"/>
      <c r="QMF915" s="1091"/>
      <c r="QMG915" s="1091"/>
      <c r="QMH915" s="1091"/>
      <c r="QMI915" s="1091"/>
      <c r="QMJ915" s="1091"/>
      <c r="QMK915" s="1091"/>
      <c r="QML915" s="1091"/>
      <c r="QMM915" s="1091"/>
      <c r="QMN915" s="1091"/>
      <c r="QMO915" s="1091"/>
      <c r="QMP915" s="1091"/>
      <c r="QMQ915" s="1091"/>
      <c r="QMR915" s="1091"/>
      <c r="QMS915" s="1091"/>
      <c r="QMT915" s="1091"/>
      <c r="QMU915" s="1091"/>
      <c r="QMV915" s="1091"/>
      <c r="QMW915" s="1091"/>
      <c r="QMX915" s="1091"/>
      <c r="QMY915" s="1091"/>
      <c r="QMZ915" s="1091"/>
      <c r="QNA915" s="1091"/>
      <c r="QNB915" s="1091"/>
      <c r="QNC915" s="1091"/>
      <c r="QND915" s="1091"/>
      <c r="QNE915" s="1091"/>
      <c r="QNF915" s="1091"/>
      <c r="QNG915" s="1091"/>
      <c r="QNH915" s="1091"/>
      <c r="QNI915" s="1091"/>
      <c r="QNJ915" s="1091"/>
      <c r="QNK915" s="1091"/>
      <c r="QNL915" s="1091"/>
      <c r="QNM915" s="1091"/>
      <c r="QNN915" s="1091"/>
      <c r="QNO915" s="1091"/>
      <c r="QNP915" s="1091"/>
      <c r="QNQ915" s="1091"/>
      <c r="QNR915" s="1091"/>
      <c r="QNS915" s="1091"/>
      <c r="QNT915" s="1091"/>
      <c r="QNU915" s="1091"/>
      <c r="QNV915" s="1091"/>
      <c r="QNW915" s="1091"/>
      <c r="QNX915" s="1091"/>
      <c r="QNY915" s="1091"/>
      <c r="QNZ915" s="1091"/>
      <c r="QOA915" s="1091"/>
      <c r="QOB915" s="1091"/>
      <c r="QOC915" s="1091"/>
      <c r="QOD915" s="1091"/>
      <c r="QOE915" s="1091"/>
      <c r="QOF915" s="1091"/>
      <c r="QOG915" s="1091"/>
      <c r="QOH915" s="1091"/>
      <c r="QOI915" s="1091"/>
      <c r="QOJ915" s="1091"/>
      <c r="QOK915" s="1091"/>
      <c r="QOL915" s="1091"/>
      <c r="QOM915" s="1091"/>
      <c r="QON915" s="1091"/>
      <c r="QOO915" s="1091"/>
      <c r="QOP915" s="1091"/>
      <c r="QOQ915" s="1091"/>
      <c r="QOR915" s="1091"/>
      <c r="QOS915" s="1091"/>
      <c r="QOT915" s="1091"/>
      <c r="QOU915" s="1091"/>
      <c r="QOV915" s="1091"/>
      <c r="QOW915" s="1091"/>
      <c r="QOX915" s="1091"/>
      <c r="QOY915" s="1091"/>
      <c r="QOZ915" s="1091"/>
      <c r="QPA915" s="1091"/>
      <c r="QPB915" s="1091"/>
      <c r="QPC915" s="1091"/>
      <c r="QPD915" s="1091"/>
      <c r="QPE915" s="1091"/>
      <c r="QPF915" s="1091"/>
      <c r="QPG915" s="1091"/>
      <c r="QPH915" s="1091"/>
      <c r="QPI915" s="1091"/>
      <c r="QPJ915" s="1091"/>
      <c r="QPK915" s="1091"/>
      <c r="QPL915" s="1091"/>
      <c r="QPM915" s="1091"/>
      <c r="QPN915" s="1091"/>
      <c r="QPO915" s="1091"/>
      <c r="QPP915" s="1091"/>
      <c r="QPQ915" s="1091"/>
      <c r="QPR915" s="1091"/>
      <c r="QPS915" s="1091"/>
      <c r="QPT915" s="1091"/>
      <c r="QPU915" s="1091"/>
      <c r="QPV915" s="1091"/>
      <c r="QPW915" s="1091"/>
      <c r="QPX915" s="1091"/>
      <c r="QPY915" s="1091"/>
      <c r="QPZ915" s="1091"/>
      <c r="QQA915" s="1091"/>
      <c r="QQB915" s="1091"/>
      <c r="QQC915" s="1091"/>
      <c r="QQD915" s="1091"/>
      <c r="QQE915" s="1091"/>
      <c r="QQF915" s="1091"/>
      <c r="QQG915" s="1091"/>
      <c r="QQH915" s="1091"/>
      <c r="QQI915" s="1091"/>
      <c r="QQJ915" s="1091"/>
      <c r="QQK915" s="1091"/>
      <c r="QQL915" s="1091"/>
      <c r="QQM915" s="1091"/>
      <c r="QQN915" s="1091"/>
      <c r="QQO915" s="1091"/>
      <c r="QQP915" s="1091"/>
      <c r="QQQ915" s="1091"/>
      <c r="QQR915" s="1091"/>
      <c r="QQS915" s="1091"/>
      <c r="QQT915" s="1091"/>
      <c r="QQU915" s="1091"/>
      <c r="QQV915" s="1091"/>
      <c r="QQW915" s="1091"/>
      <c r="QQX915" s="1091"/>
      <c r="QQY915" s="1091"/>
      <c r="QQZ915" s="1091"/>
      <c r="QRA915" s="1091"/>
      <c r="QRB915" s="1091"/>
      <c r="QRC915" s="1091"/>
      <c r="QRD915" s="1091"/>
      <c r="QRE915" s="1091"/>
      <c r="QRF915" s="1091"/>
      <c r="QRG915" s="1091"/>
      <c r="QRH915" s="1091"/>
      <c r="QRI915" s="1091"/>
      <c r="QRJ915" s="1091"/>
      <c r="QRK915" s="1091"/>
      <c r="QRL915" s="1091"/>
      <c r="QRM915" s="1091"/>
      <c r="QRN915" s="1091"/>
      <c r="QRO915" s="1091"/>
      <c r="QRP915" s="1091"/>
      <c r="QRQ915" s="1091"/>
      <c r="QRR915" s="1091"/>
      <c r="QRS915" s="1091"/>
      <c r="QRT915" s="1091"/>
      <c r="QRU915" s="1091"/>
      <c r="QRV915" s="1091"/>
      <c r="QRW915" s="1091"/>
      <c r="QRX915" s="1091"/>
      <c r="QRY915" s="1091"/>
      <c r="QRZ915" s="1091"/>
      <c r="QSA915" s="1091"/>
      <c r="QSB915" s="1091"/>
      <c r="QSC915" s="1091"/>
      <c r="QSD915" s="1091"/>
      <c r="QSE915" s="1091"/>
      <c r="QSF915" s="1091"/>
      <c r="QSG915" s="1091"/>
      <c r="QSH915" s="1091"/>
      <c r="QSI915" s="1091"/>
      <c r="QSJ915" s="1091"/>
      <c r="QSK915" s="1091"/>
      <c r="QSL915" s="1091"/>
      <c r="QSM915" s="1091"/>
      <c r="QSN915" s="1091"/>
      <c r="QSO915" s="1091"/>
      <c r="QSP915" s="1091"/>
      <c r="QSQ915" s="1091"/>
      <c r="QSR915" s="1091"/>
      <c r="QSS915" s="1091"/>
      <c r="QST915" s="1091"/>
      <c r="QSU915" s="1091"/>
      <c r="QSV915" s="1091"/>
      <c r="QSW915" s="1091"/>
      <c r="QSX915" s="1091"/>
      <c r="QSY915" s="1091"/>
      <c r="QSZ915" s="1091"/>
      <c r="QTA915" s="1091"/>
      <c r="QTB915" s="1091"/>
      <c r="QTC915" s="1091"/>
      <c r="QTD915" s="1091"/>
      <c r="QTE915" s="1091"/>
      <c r="QTF915" s="1091"/>
      <c r="QTG915" s="1091"/>
      <c r="QTH915" s="1091"/>
      <c r="QTI915" s="1091"/>
      <c r="QTJ915" s="1091"/>
      <c r="QTK915" s="1091"/>
      <c r="QTL915" s="1091"/>
      <c r="QTM915" s="1091"/>
      <c r="QTN915" s="1091"/>
      <c r="QTO915" s="1091"/>
      <c r="QTP915" s="1091"/>
      <c r="QTQ915" s="1091"/>
      <c r="QTR915" s="1091"/>
      <c r="QTS915" s="1091"/>
      <c r="QTT915" s="1091"/>
      <c r="QTU915" s="1091"/>
      <c r="QTV915" s="1091"/>
      <c r="QTW915" s="1091"/>
      <c r="QTX915" s="1091"/>
      <c r="QTY915" s="1091"/>
      <c r="QTZ915" s="1091"/>
      <c r="QUA915" s="1091"/>
      <c r="QUB915" s="1091"/>
      <c r="QUC915" s="1091"/>
      <c r="QUD915" s="1091"/>
      <c r="QUE915" s="1091"/>
      <c r="QUF915" s="1091"/>
      <c r="QUG915" s="1091"/>
      <c r="QUH915" s="1091"/>
      <c r="QUI915" s="1091"/>
      <c r="QUJ915" s="1091"/>
      <c r="QUK915" s="1091"/>
      <c r="QUL915" s="1091"/>
      <c r="QUM915" s="1091"/>
      <c r="QUN915" s="1091"/>
      <c r="QUO915" s="1091"/>
      <c r="QUP915" s="1091"/>
      <c r="QUQ915" s="1091"/>
      <c r="QUR915" s="1091"/>
      <c r="QUS915" s="1091"/>
      <c r="QUT915" s="1091"/>
      <c r="QUU915" s="1091"/>
      <c r="QUV915" s="1091"/>
      <c r="QUW915" s="1091"/>
      <c r="QUX915" s="1091"/>
      <c r="QUY915" s="1091"/>
      <c r="QUZ915" s="1091"/>
      <c r="QVA915" s="1091"/>
      <c r="QVB915" s="1091"/>
      <c r="QVC915" s="1091"/>
      <c r="QVD915" s="1091"/>
      <c r="QVE915" s="1091"/>
      <c r="QVF915" s="1091"/>
      <c r="QVG915" s="1091"/>
      <c r="QVH915" s="1091"/>
      <c r="QVI915" s="1091"/>
      <c r="QVJ915" s="1091"/>
      <c r="QVK915" s="1091"/>
      <c r="QVL915" s="1091"/>
      <c r="QVM915" s="1091"/>
      <c r="QVN915" s="1091"/>
      <c r="QVO915" s="1091"/>
      <c r="QVP915" s="1091"/>
      <c r="QVQ915" s="1091"/>
      <c r="QVR915" s="1091"/>
      <c r="QVS915" s="1091"/>
      <c r="QVT915" s="1091"/>
      <c r="QVU915" s="1091"/>
      <c r="QVV915" s="1091"/>
      <c r="QVW915" s="1091"/>
      <c r="QVX915" s="1091"/>
      <c r="QVY915" s="1091"/>
      <c r="QVZ915" s="1091"/>
      <c r="QWA915" s="1091"/>
      <c r="QWB915" s="1091"/>
      <c r="QWC915" s="1091"/>
      <c r="QWD915" s="1091"/>
      <c r="QWE915" s="1091"/>
      <c r="QWF915" s="1091"/>
      <c r="QWG915" s="1091"/>
      <c r="QWH915" s="1091"/>
      <c r="QWI915" s="1091"/>
      <c r="QWJ915" s="1091"/>
      <c r="QWK915" s="1091"/>
      <c r="QWL915" s="1091"/>
      <c r="QWM915" s="1091"/>
      <c r="QWN915" s="1091"/>
      <c r="QWO915" s="1091"/>
      <c r="QWP915" s="1091"/>
      <c r="QWQ915" s="1091"/>
      <c r="QWR915" s="1091"/>
      <c r="QWS915" s="1091"/>
      <c r="QWT915" s="1091"/>
      <c r="QWU915" s="1091"/>
      <c r="QWV915" s="1091"/>
      <c r="QWW915" s="1091"/>
      <c r="QWX915" s="1091"/>
      <c r="QWY915" s="1091"/>
      <c r="QWZ915" s="1091"/>
      <c r="QXA915" s="1091"/>
      <c r="QXB915" s="1091"/>
      <c r="QXC915" s="1091"/>
      <c r="QXD915" s="1091"/>
      <c r="QXE915" s="1091"/>
      <c r="QXF915" s="1091"/>
      <c r="QXG915" s="1091"/>
      <c r="QXH915" s="1091"/>
      <c r="QXI915" s="1091"/>
      <c r="QXJ915" s="1091"/>
      <c r="QXK915" s="1091"/>
      <c r="QXL915" s="1091"/>
      <c r="QXM915" s="1091"/>
      <c r="QXN915" s="1091"/>
      <c r="QXO915" s="1091"/>
      <c r="QXP915" s="1091"/>
      <c r="QXQ915" s="1091"/>
      <c r="QXR915" s="1091"/>
      <c r="QXS915" s="1091"/>
      <c r="QXT915" s="1091"/>
      <c r="QXU915" s="1091"/>
      <c r="QXV915" s="1091"/>
      <c r="QXW915" s="1091"/>
      <c r="QXX915" s="1091"/>
      <c r="QXY915" s="1091"/>
      <c r="QXZ915" s="1091"/>
      <c r="QYA915" s="1091"/>
      <c r="QYB915" s="1091"/>
      <c r="QYC915" s="1091"/>
      <c r="QYD915" s="1091"/>
      <c r="QYE915" s="1091"/>
      <c r="QYF915" s="1091"/>
      <c r="QYG915" s="1091"/>
      <c r="QYH915" s="1091"/>
      <c r="QYI915" s="1091"/>
      <c r="QYJ915" s="1091"/>
      <c r="QYK915" s="1091"/>
      <c r="QYL915" s="1091"/>
      <c r="QYM915" s="1091"/>
      <c r="QYN915" s="1091"/>
      <c r="QYO915" s="1091"/>
      <c r="QYP915" s="1091"/>
      <c r="QYQ915" s="1091"/>
      <c r="QYR915" s="1091"/>
      <c r="QYS915" s="1091"/>
      <c r="QYT915" s="1091"/>
      <c r="QYU915" s="1091"/>
      <c r="QYV915" s="1091"/>
      <c r="QYW915" s="1091"/>
      <c r="QYX915" s="1091"/>
      <c r="QYY915" s="1091"/>
      <c r="QYZ915" s="1091"/>
      <c r="QZA915" s="1091"/>
      <c r="QZB915" s="1091"/>
      <c r="QZC915" s="1091"/>
      <c r="QZD915" s="1091"/>
      <c r="QZE915" s="1091"/>
      <c r="QZF915" s="1091"/>
      <c r="QZG915" s="1091"/>
      <c r="QZH915" s="1091"/>
      <c r="QZI915" s="1091"/>
      <c r="QZJ915" s="1091"/>
      <c r="QZK915" s="1091"/>
      <c r="QZL915" s="1091"/>
      <c r="QZM915" s="1091"/>
      <c r="QZN915" s="1091"/>
      <c r="QZO915" s="1091"/>
      <c r="QZP915" s="1091"/>
      <c r="QZQ915" s="1091"/>
      <c r="QZR915" s="1091"/>
      <c r="QZS915" s="1091"/>
      <c r="QZT915" s="1091"/>
      <c r="QZU915" s="1091"/>
      <c r="QZV915" s="1091"/>
      <c r="QZW915" s="1091"/>
      <c r="QZX915" s="1091"/>
      <c r="QZY915" s="1091"/>
      <c r="QZZ915" s="1091"/>
      <c r="RAA915" s="1091"/>
      <c r="RAB915" s="1091"/>
      <c r="RAC915" s="1091"/>
      <c r="RAD915" s="1091"/>
      <c r="RAE915" s="1091"/>
      <c r="RAF915" s="1091"/>
      <c r="RAG915" s="1091"/>
      <c r="RAH915" s="1091"/>
      <c r="RAI915" s="1091"/>
      <c r="RAJ915" s="1091"/>
      <c r="RAK915" s="1091"/>
      <c r="RAL915" s="1091"/>
      <c r="RAM915" s="1091"/>
      <c r="RAN915" s="1091"/>
      <c r="RAO915" s="1091"/>
      <c r="RAP915" s="1091"/>
      <c r="RAQ915" s="1091"/>
      <c r="RAR915" s="1091"/>
      <c r="RAS915" s="1091"/>
      <c r="RAT915" s="1091"/>
      <c r="RAU915" s="1091"/>
      <c r="RAV915" s="1091"/>
      <c r="RAW915" s="1091"/>
      <c r="RAX915" s="1091"/>
      <c r="RAY915" s="1091"/>
      <c r="RAZ915" s="1091"/>
      <c r="RBA915" s="1091"/>
      <c r="RBB915" s="1091"/>
      <c r="RBC915" s="1091"/>
      <c r="RBD915" s="1091"/>
      <c r="RBE915" s="1091"/>
      <c r="RBF915" s="1091"/>
      <c r="RBG915" s="1091"/>
      <c r="RBH915" s="1091"/>
      <c r="RBI915" s="1091"/>
      <c r="RBJ915" s="1091"/>
      <c r="RBK915" s="1091"/>
      <c r="RBL915" s="1091"/>
      <c r="RBM915" s="1091"/>
      <c r="RBN915" s="1091"/>
      <c r="RBO915" s="1091"/>
      <c r="RBP915" s="1091"/>
      <c r="RBQ915" s="1091"/>
      <c r="RBR915" s="1091"/>
      <c r="RBS915" s="1091"/>
      <c r="RBT915" s="1091"/>
      <c r="RBU915" s="1091"/>
      <c r="RBV915" s="1091"/>
      <c r="RBW915" s="1091"/>
      <c r="RBX915" s="1091"/>
      <c r="RBY915" s="1091"/>
      <c r="RBZ915" s="1091"/>
      <c r="RCA915" s="1091"/>
      <c r="RCB915" s="1091"/>
      <c r="RCC915" s="1091"/>
      <c r="RCD915" s="1091"/>
      <c r="RCE915" s="1091"/>
      <c r="RCF915" s="1091"/>
      <c r="RCG915" s="1091"/>
      <c r="RCH915" s="1091"/>
      <c r="RCI915" s="1091"/>
      <c r="RCJ915" s="1091"/>
      <c r="RCK915" s="1091"/>
      <c r="RCL915" s="1091"/>
      <c r="RCM915" s="1091"/>
      <c r="RCN915" s="1091"/>
      <c r="RCO915" s="1091"/>
      <c r="RCP915" s="1091"/>
      <c r="RCQ915" s="1091"/>
      <c r="RCR915" s="1091"/>
      <c r="RCS915" s="1091"/>
      <c r="RCT915" s="1091"/>
      <c r="RCU915" s="1091"/>
      <c r="RCV915" s="1091"/>
      <c r="RCW915" s="1091"/>
      <c r="RCX915" s="1091"/>
      <c r="RCY915" s="1091"/>
      <c r="RCZ915" s="1091"/>
      <c r="RDA915" s="1091"/>
      <c r="RDB915" s="1091"/>
      <c r="RDC915" s="1091"/>
      <c r="RDD915" s="1091"/>
      <c r="RDE915" s="1091"/>
      <c r="RDF915" s="1091"/>
      <c r="RDG915" s="1091"/>
      <c r="RDH915" s="1091"/>
      <c r="RDI915" s="1091"/>
      <c r="RDJ915" s="1091"/>
      <c r="RDK915" s="1091"/>
      <c r="RDL915" s="1091"/>
      <c r="RDM915" s="1091"/>
      <c r="RDN915" s="1091"/>
      <c r="RDO915" s="1091"/>
      <c r="RDP915" s="1091"/>
      <c r="RDQ915" s="1091"/>
      <c r="RDR915" s="1091"/>
      <c r="RDS915" s="1091"/>
      <c r="RDT915" s="1091"/>
      <c r="RDU915" s="1091"/>
      <c r="RDV915" s="1091"/>
      <c r="RDW915" s="1091"/>
      <c r="RDX915" s="1091"/>
      <c r="RDY915" s="1091"/>
      <c r="RDZ915" s="1091"/>
      <c r="REA915" s="1091"/>
      <c r="REB915" s="1091"/>
      <c r="REC915" s="1091"/>
      <c r="RED915" s="1091"/>
      <c r="REE915" s="1091"/>
      <c r="REF915" s="1091"/>
      <c r="REG915" s="1091"/>
      <c r="REH915" s="1091"/>
      <c r="REI915" s="1091"/>
      <c r="REJ915" s="1091"/>
      <c r="REK915" s="1091"/>
      <c r="REL915" s="1091"/>
      <c r="REM915" s="1091"/>
      <c r="REN915" s="1091"/>
      <c r="REO915" s="1091"/>
      <c r="REP915" s="1091"/>
      <c r="REQ915" s="1091"/>
      <c r="RER915" s="1091"/>
      <c r="RES915" s="1091"/>
      <c r="RET915" s="1091"/>
      <c r="REU915" s="1091"/>
      <c r="REV915" s="1091"/>
      <c r="REW915" s="1091"/>
      <c r="REX915" s="1091"/>
      <c r="REY915" s="1091"/>
      <c r="REZ915" s="1091"/>
      <c r="RFA915" s="1091"/>
      <c r="RFB915" s="1091"/>
      <c r="RFC915" s="1091"/>
      <c r="RFD915" s="1091"/>
      <c r="RFE915" s="1091"/>
      <c r="RFF915" s="1091"/>
      <c r="RFG915" s="1091"/>
      <c r="RFH915" s="1091"/>
      <c r="RFI915" s="1091"/>
      <c r="RFJ915" s="1091"/>
      <c r="RFK915" s="1091"/>
      <c r="RFL915" s="1091"/>
      <c r="RFM915" s="1091"/>
      <c r="RFN915" s="1091"/>
      <c r="RFO915" s="1091"/>
      <c r="RFP915" s="1091"/>
      <c r="RFQ915" s="1091"/>
      <c r="RFR915" s="1091"/>
      <c r="RFS915" s="1091"/>
      <c r="RFT915" s="1091"/>
      <c r="RFU915" s="1091"/>
      <c r="RFV915" s="1091"/>
      <c r="RFW915" s="1091"/>
      <c r="RFX915" s="1091"/>
      <c r="RFY915" s="1091"/>
      <c r="RFZ915" s="1091"/>
      <c r="RGA915" s="1091"/>
      <c r="RGB915" s="1091"/>
      <c r="RGC915" s="1091"/>
      <c r="RGD915" s="1091"/>
      <c r="RGE915" s="1091"/>
      <c r="RGF915" s="1091"/>
      <c r="RGG915" s="1091"/>
      <c r="RGH915" s="1091"/>
      <c r="RGI915" s="1091"/>
      <c r="RGJ915" s="1091"/>
      <c r="RGK915" s="1091"/>
      <c r="RGL915" s="1091"/>
      <c r="RGM915" s="1091"/>
      <c r="RGN915" s="1091"/>
      <c r="RGO915" s="1091"/>
      <c r="RGP915" s="1091"/>
      <c r="RGQ915" s="1091"/>
      <c r="RGR915" s="1091"/>
      <c r="RGS915" s="1091"/>
      <c r="RGT915" s="1091"/>
      <c r="RGU915" s="1091"/>
      <c r="RGV915" s="1091"/>
      <c r="RGW915" s="1091"/>
      <c r="RGX915" s="1091"/>
      <c r="RGY915" s="1091"/>
      <c r="RGZ915" s="1091"/>
      <c r="RHA915" s="1091"/>
      <c r="RHB915" s="1091"/>
      <c r="RHC915" s="1091"/>
      <c r="RHD915" s="1091"/>
      <c r="RHE915" s="1091"/>
      <c r="RHF915" s="1091"/>
      <c r="RHG915" s="1091"/>
      <c r="RHH915" s="1091"/>
      <c r="RHI915" s="1091"/>
      <c r="RHJ915" s="1091"/>
      <c r="RHK915" s="1091"/>
      <c r="RHL915" s="1091"/>
      <c r="RHM915" s="1091"/>
      <c r="RHN915" s="1091"/>
      <c r="RHO915" s="1091"/>
      <c r="RHP915" s="1091"/>
      <c r="RHQ915" s="1091"/>
      <c r="RHR915" s="1091"/>
      <c r="RHS915" s="1091"/>
      <c r="RHT915" s="1091"/>
      <c r="RHU915" s="1091"/>
      <c r="RHV915" s="1091"/>
      <c r="RHW915" s="1091"/>
      <c r="RHX915" s="1091"/>
      <c r="RHY915" s="1091"/>
      <c r="RHZ915" s="1091"/>
      <c r="RIA915" s="1091"/>
      <c r="RIB915" s="1091"/>
      <c r="RIC915" s="1091"/>
      <c r="RID915" s="1091"/>
      <c r="RIE915" s="1091"/>
      <c r="RIF915" s="1091"/>
      <c r="RIG915" s="1091"/>
      <c r="RIH915" s="1091"/>
      <c r="RII915" s="1091"/>
      <c r="RIJ915" s="1091"/>
      <c r="RIK915" s="1091"/>
      <c r="RIL915" s="1091"/>
      <c r="RIM915" s="1091"/>
      <c r="RIN915" s="1091"/>
      <c r="RIO915" s="1091"/>
      <c r="RIP915" s="1091"/>
      <c r="RIQ915" s="1091"/>
      <c r="RIR915" s="1091"/>
      <c r="RIS915" s="1091"/>
      <c r="RIT915" s="1091"/>
      <c r="RIU915" s="1091"/>
      <c r="RIV915" s="1091"/>
      <c r="RIW915" s="1091"/>
      <c r="RIX915" s="1091"/>
      <c r="RIY915" s="1091"/>
      <c r="RIZ915" s="1091"/>
      <c r="RJA915" s="1091"/>
      <c r="RJB915" s="1091"/>
      <c r="RJC915" s="1091"/>
      <c r="RJD915" s="1091"/>
      <c r="RJE915" s="1091"/>
      <c r="RJF915" s="1091"/>
      <c r="RJG915" s="1091"/>
      <c r="RJH915" s="1091"/>
      <c r="RJI915" s="1091"/>
      <c r="RJJ915" s="1091"/>
      <c r="RJK915" s="1091"/>
      <c r="RJL915" s="1091"/>
      <c r="RJM915" s="1091"/>
      <c r="RJN915" s="1091"/>
      <c r="RJO915" s="1091"/>
      <c r="RJP915" s="1091"/>
      <c r="RJQ915" s="1091"/>
      <c r="RJR915" s="1091"/>
      <c r="RJS915" s="1091"/>
      <c r="RJT915" s="1091"/>
      <c r="RJU915" s="1091"/>
      <c r="RJV915" s="1091"/>
      <c r="RJW915" s="1091"/>
      <c r="RJX915" s="1091"/>
      <c r="RJY915" s="1091"/>
      <c r="RJZ915" s="1091"/>
      <c r="RKA915" s="1091"/>
      <c r="RKB915" s="1091"/>
      <c r="RKC915" s="1091"/>
      <c r="RKD915" s="1091"/>
      <c r="RKE915" s="1091"/>
      <c r="RKF915" s="1091"/>
      <c r="RKG915" s="1091"/>
      <c r="RKH915" s="1091"/>
      <c r="RKI915" s="1091"/>
      <c r="RKJ915" s="1091"/>
      <c r="RKK915" s="1091"/>
      <c r="RKL915" s="1091"/>
      <c r="RKM915" s="1091"/>
      <c r="RKN915" s="1091"/>
      <c r="RKO915" s="1091"/>
      <c r="RKP915" s="1091"/>
      <c r="RKQ915" s="1091"/>
      <c r="RKR915" s="1091"/>
      <c r="RKS915" s="1091"/>
      <c r="RKT915" s="1091"/>
      <c r="RKU915" s="1091"/>
      <c r="RKV915" s="1091"/>
      <c r="RKW915" s="1091"/>
      <c r="RKX915" s="1091"/>
      <c r="RKY915" s="1091"/>
      <c r="RKZ915" s="1091"/>
      <c r="RLA915" s="1091"/>
      <c r="RLB915" s="1091"/>
      <c r="RLC915" s="1091"/>
      <c r="RLD915" s="1091"/>
      <c r="RLE915" s="1091"/>
      <c r="RLF915" s="1091"/>
      <c r="RLG915" s="1091"/>
      <c r="RLH915" s="1091"/>
      <c r="RLI915" s="1091"/>
      <c r="RLJ915" s="1091"/>
      <c r="RLK915" s="1091"/>
      <c r="RLL915" s="1091"/>
      <c r="RLM915" s="1091"/>
      <c r="RLN915" s="1091"/>
      <c r="RLO915" s="1091"/>
      <c r="RLP915" s="1091"/>
      <c r="RLQ915" s="1091"/>
      <c r="RLR915" s="1091"/>
      <c r="RLS915" s="1091"/>
      <c r="RLT915" s="1091"/>
      <c r="RLU915" s="1091"/>
      <c r="RLV915" s="1091"/>
      <c r="RLW915" s="1091"/>
      <c r="RLX915" s="1091"/>
      <c r="RLY915" s="1091"/>
      <c r="RLZ915" s="1091"/>
      <c r="RMA915" s="1091"/>
      <c r="RMB915" s="1091"/>
      <c r="RMC915" s="1091"/>
      <c r="RMD915" s="1091"/>
      <c r="RME915" s="1091"/>
      <c r="RMF915" s="1091"/>
      <c r="RMG915" s="1091"/>
      <c r="RMH915" s="1091"/>
      <c r="RMI915" s="1091"/>
      <c r="RMJ915" s="1091"/>
      <c r="RMK915" s="1091"/>
      <c r="RML915" s="1091"/>
      <c r="RMM915" s="1091"/>
      <c r="RMN915" s="1091"/>
      <c r="RMO915" s="1091"/>
      <c r="RMP915" s="1091"/>
      <c r="RMQ915" s="1091"/>
      <c r="RMR915" s="1091"/>
      <c r="RMS915" s="1091"/>
      <c r="RMT915" s="1091"/>
      <c r="RMU915" s="1091"/>
      <c r="RMV915" s="1091"/>
      <c r="RMW915" s="1091"/>
      <c r="RMX915" s="1091"/>
      <c r="RMY915" s="1091"/>
      <c r="RMZ915" s="1091"/>
      <c r="RNA915" s="1091"/>
      <c r="RNB915" s="1091"/>
      <c r="RNC915" s="1091"/>
      <c r="RND915" s="1091"/>
      <c r="RNE915" s="1091"/>
      <c r="RNF915" s="1091"/>
      <c r="RNG915" s="1091"/>
      <c r="RNH915" s="1091"/>
      <c r="RNI915" s="1091"/>
      <c r="RNJ915" s="1091"/>
      <c r="RNK915" s="1091"/>
      <c r="RNL915" s="1091"/>
      <c r="RNM915" s="1091"/>
      <c r="RNN915" s="1091"/>
      <c r="RNO915" s="1091"/>
      <c r="RNP915" s="1091"/>
      <c r="RNQ915" s="1091"/>
      <c r="RNR915" s="1091"/>
      <c r="RNS915" s="1091"/>
      <c r="RNT915" s="1091"/>
      <c r="RNU915" s="1091"/>
      <c r="RNV915" s="1091"/>
      <c r="RNW915" s="1091"/>
      <c r="RNX915" s="1091"/>
      <c r="RNY915" s="1091"/>
      <c r="RNZ915" s="1091"/>
      <c r="ROA915" s="1091"/>
      <c r="ROB915" s="1091"/>
      <c r="ROC915" s="1091"/>
      <c r="ROD915" s="1091"/>
      <c r="ROE915" s="1091"/>
      <c r="ROF915" s="1091"/>
      <c r="ROG915" s="1091"/>
      <c r="ROH915" s="1091"/>
      <c r="ROI915" s="1091"/>
      <c r="ROJ915" s="1091"/>
      <c r="ROK915" s="1091"/>
      <c r="ROL915" s="1091"/>
      <c r="ROM915" s="1091"/>
      <c r="RON915" s="1091"/>
      <c r="ROO915" s="1091"/>
      <c r="ROP915" s="1091"/>
      <c r="ROQ915" s="1091"/>
      <c r="ROR915" s="1091"/>
      <c r="ROS915" s="1091"/>
      <c r="ROT915" s="1091"/>
      <c r="ROU915" s="1091"/>
      <c r="ROV915" s="1091"/>
      <c r="ROW915" s="1091"/>
      <c r="ROX915" s="1091"/>
      <c r="ROY915" s="1091"/>
      <c r="ROZ915" s="1091"/>
      <c r="RPA915" s="1091"/>
      <c r="RPB915" s="1091"/>
      <c r="RPC915" s="1091"/>
      <c r="RPD915" s="1091"/>
      <c r="RPE915" s="1091"/>
      <c r="RPF915" s="1091"/>
      <c r="RPG915" s="1091"/>
      <c r="RPH915" s="1091"/>
      <c r="RPI915" s="1091"/>
      <c r="RPJ915" s="1091"/>
      <c r="RPK915" s="1091"/>
      <c r="RPL915" s="1091"/>
      <c r="RPM915" s="1091"/>
      <c r="RPN915" s="1091"/>
      <c r="RPO915" s="1091"/>
      <c r="RPP915" s="1091"/>
      <c r="RPQ915" s="1091"/>
      <c r="RPR915" s="1091"/>
      <c r="RPS915" s="1091"/>
      <c r="RPT915" s="1091"/>
      <c r="RPU915" s="1091"/>
      <c r="RPV915" s="1091"/>
      <c r="RPW915" s="1091"/>
      <c r="RPX915" s="1091"/>
      <c r="RPY915" s="1091"/>
      <c r="RPZ915" s="1091"/>
      <c r="RQA915" s="1091"/>
      <c r="RQB915" s="1091"/>
      <c r="RQC915" s="1091"/>
      <c r="RQD915" s="1091"/>
      <c r="RQE915" s="1091"/>
      <c r="RQF915" s="1091"/>
      <c r="RQG915" s="1091"/>
      <c r="RQH915" s="1091"/>
      <c r="RQI915" s="1091"/>
      <c r="RQJ915" s="1091"/>
      <c r="RQK915" s="1091"/>
      <c r="RQL915" s="1091"/>
      <c r="RQM915" s="1091"/>
      <c r="RQN915" s="1091"/>
      <c r="RQO915" s="1091"/>
      <c r="RQP915" s="1091"/>
      <c r="RQQ915" s="1091"/>
      <c r="RQR915" s="1091"/>
      <c r="RQS915" s="1091"/>
      <c r="RQT915" s="1091"/>
      <c r="RQU915" s="1091"/>
      <c r="RQV915" s="1091"/>
      <c r="RQW915" s="1091"/>
      <c r="RQX915" s="1091"/>
      <c r="RQY915" s="1091"/>
      <c r="RQZ915" s="1091"/>
      <c r="RRA915" s="1091"/>
      <c r="RRB915" s="1091"/>
      <c r="RRC915" s="1091"/>
      <c r="RRD915" s="1091"/>
      <c r="RRE915" s="1091"/>
      <c r="RRF915" s="1091"/>
      <c r="RRG915" s="1091"/>
      <c r="RRH915" s="1091"/>
      <c r="RRI915" s="1091"/>
      <c r="RRJ915" s="1091"/>
      <c r="RRK915" s="1091"/>
      <c r="RRL915" s="1091"/>
      <c r="RRM915" s="1091"/>
      <c r="RRN915" s="1091"/>
      <c r="RRO915" s="1091"/>
      <c r="RRP915" s="1091"/>
      <c r="RRQ915" s="1091"/>
      <c r="RRR915" s="1091"/>
      <c r="RRS915" s="1091"/>
      <c r="RRT915" s="1091"/>
      <c r="RRU915" s="1091"/>
      <c r="RRV915" s="1091"/>
      <c r="RRW915" s="1091"/>
      <c r="RRX915" s="1091"/>
      <c r="RRY915" s="1091"/>
      <c r="RRZ915" s="1091"/>
      <c r="RSA915" s="1091"/>
      <c r="RSB915" s="1091"/>
      <c r="RSC915" s="1091"/>
      <c r="RSD915" s="1091"/>
      <c r="RSE915" s="1091"/>
      <c r="RSF915" s="1091"/>
      <c r="RSG915" s="1091"/>
      <c r="RSH915" s="1091"/>
      <c r="RSI915" s="1091"/>
      <c r="RSJ915" s="1091"/>
      <c r="RSK915" s="1091"/>
      <c r="RSL915" s="1091"/>
      <c r="RSM915" s="1091"/>
      <c r="RSN915" s="1091"/>
      <c r="RSO915" s="1091"/>
      <c r="RSP915" s="1091"/>
      <c r="RSQ915" s="1091"/>
      <c r="RSR915" s="1091"/>
      <c r="RSS915" s="1091"/>
      <c r="RST915" s="1091"/>
      <c r="RSU915" s="1091"/>
      <c r="RSV915" s="1091"/>
      <c r="RSW915" s="1091"/>
      <c r="RSX915" s="1091"/>
      <c r="RSY915" s="1091"/>
      <c r="RSZ915" s="1091"/>
      <c r="RTA915" s="1091"/>
      <c r="RTB915" s="1091"/>
      <c r="RTC915" s="1091"/>
      <c r="RTD915" s="1091"/>
      <c r="RTE915" s="1091"/>
      <c r="RTF915" s="1091"/>
      <c r="RTG915" s="1091"/>
      <c r="RTH915" s="1091"/>
      <c r="RTI915" s="1091"/>
      <c r="RTJ915" s="1091"/>
      <c r="RTK915" s="1091"/>
      <c r="RTL915" s="1091"/>
      <c r="RTM915" s="1091"/>
      <c r="RTN915" s="1091"/>
      <c r="RTO915" s="1091"/>
      <c r="RTP915" s="1091"/>
      <c r="RTQ915" s="1091"/>
      <c r="RTR915" s="1091"/>
      <c r="RTS915" s="1091"/>
      <c r="RTT915" s="1091"/>
      <c r="RTU915" s="1091"/>
      <c r="RTV915" s="1091"/>
      <c r="RTW915" s="1091"/>
      <c r="RTX915" s="1091"/>
      <c r="RTY915" s="1091"/>
      <c r="RTZ915" s="1091"/>
      <c r="RUA915" s="1091"/>
      <c r="RUB915" s="1091"/>
      <c r="RUC915" s="1091"/>
      <c r="RUD915" s="1091"/>
      <c r="RUE915" s="1091"/>
      <c r="RUF915" s="1091"/>
      <c r="RUG915" s="1091"/>
      <c r="RUH915" s="1091"/>
      <c r="RUI915" s="1091"/>
      <c r="RUJ915" s="1091"/>
      <c r="RUK915" s="1091"/>
      <c r="RUL915" s="1091"/>
      <c r="RUM915" s="1091"/>
      <c r="RUN915" s="1091"/>
      <c r="RUO915" s="1091"/>
      <c r="RUP915" s="1091"/>
      <c r="RUQ915" s="1091"/>
      <c r="RUR915" s="1091"/>
      <c r="RUS915" s="1091"/>
      <c r="RUT915" s="1091"/>
      <c r="RUU915" s="1091"/>
      <c r="RUV915" s="1091"/>
      <c r="RUW915" s="1091"/>
      <c r="RUX915" s="1091"/>
      <c r="RUY915" s="1091"/>
      <c r="RUZ915" s="1091"/>
      <c r="RVA915" s="1091"/>
      <c r="RVB915" s="1091"/>
      <c r="RVC915" s="1091"/>
      <c r="RVD915" s="1091"/>
      <c r="RVE915" s="1091"/>
      <c r="RVF915" s="1091"/>
      <c r="RVG915" s="1091"/>
      <c r="RVH915" s="1091"/>
      <c r="RVI915" s="1091"/>
      <c r="RVJ915" s="1091"/>
      <c r="RVK915" s="1091"/>
      <c r="RVL915" s="1091"/>
      <c r="RVM915" s="1091"/>
      <c r="RVN915" s="1091"/>
      <c r="RVO915" s="1091"/>
      <c r="RVP915" s="1091"/>
      <c r="RVQ915" s="1091"/>
      <c r="RVR915" s="1091"/>
      <c r="RVS915" s="1091"/>
      <c r="RVT915" s="1091"/>
      <c r="RVU915" s="1091"/>
      <c r="RVV915" s="1091"/>
      <c r="RVW915" s="1091"/>
      <c r="RVX915" s="1091"/>
      <c r="RVY915" s="1091"/>
      <c r="RVZ915" s="1091"/>
      <c r="RWA915" s="1091"/>
      <c r="RWB915" s="1091"/>
      <c r="RWC915" s="1091"/>
      <c r="RWD915" s="1091"/>
      <c r="RWE915" s="1091"/>
      <c r="RWF915" s="1091"/>
      <c r="RWG915" s="1091"/>
      <c r="RWH915" s="1091"/>
      <c r="RWI915" s="1091"/>
      <c r="RWJ915" s="1091"/>
      <c r="RWK915" s="1091"/>
      <c r="RWL915" s="1091"/>
      <c r="RWM915" s="1091"/>
      <c r="RWN915" s="1091"/>
      <c r="RWO915" s="1091"/>
      <c r="RWP915" s="1091"/>
      <c r="RWQ915" s="1091"/>
      <c r="RWR915" s="1091"/>
      <c r="RWS915" s="1091"/>
      <c r="RWT915" s="1091"/>
      <c r="RWU915" s="1091"/>
      <c r="RWV915" s="1091"/>
      <c r="RWW915" s="1091"/>
      <c r="RWX915" s="1091"/>
      <c r="RWY915" s="1091"/>
      <c r="RWZ915" s="1091"/>
      <c r="RXA915" s="1091"/>
      <c r="RXB915" s="1091"/>
      <c r="RXC915" s="1091"/>
      <c r="RXD915" s="1091"/>
      <c r="RXE915" s="1091"/>
      <c r="RXF915" s="1091"/>
      <c r="RXG915" s="1091"/>
      <c r="RXH915" s="1091"/>
      <c r="RXI915" s="1091"/>
      <c r="RXJ915" s="1091"/>
      <c r="RXK915" s="1091"/>
      <c r="RXL915" s="1091"/>
      <c r="RXM915" s="1091"/>
      <c r="RXN915" s="1091"/>
      <c r="RXO915" s="1091"/>
      <c r="RXP915" s="1091"/>
      <c r="RXQ915" s="1091"/>
      <c r="RXR915" s="1091"/>
      <c r="RXS915" s="1091"/>
      <c r="RXT915" s="1091"/>
      <c r="RXU915" s="1091"/>
      <c r="RXV915" s="1091"/>
      <c r="RXW915" s="1091"/>
      <c r="RXX915" s="1091"/>
      <c r="RXY915" s="1091"/>
      <c r="RXZ915" s="1091"/>
      <c r="RYA915" s="1091"/>
      <c r="RYB915" s="1091"/>
      <c r="RYC915" s="1091"/>
      <c r="RYD915" s="1091"/>
      <c r="RYE915" s="1091"/>
      <c r="RYF915" s="1091"/>
      <c r="RYG915" s="1091"/>
      <c r="RYH915" s="1091"/>
      <c r="RYI915" s="1091"/>
      <c r="RYJ915" s="1091"/>
      <c r="RYK915" s="1091"/>
      <c r="RYL915" s="1091"/>
      <c r="RYM915" s="1091"/>
      <c r="RYN915" s="1091"/>
      <c r="RYO915" s="1091"/>
      <c r="RYP915" s="1091"/>
      <c r="RYQ915" s="1091"/>
      <c r="RYR915" s="1091"/>
      <c r="RYS915" s="1091"/>
      <c r="RYT915" s="1091"/>
      <c r="RYU915" s="1091"/>
      <c r="RYV915" s="1091"/>
      <c r="RYW915" s="1091"/>
      <c r="RYX915" s="1091"/>
      <c r="RYY915" s="1091"/>
      <c r="RYZ915" s="1091"/>
      <c r="RZA915" s="1091"/>
      <c r="RZB915" s="1091"/>
      <c r="RZC915" s="1091"/>
      <c r="RZD915" s="1091"/>
      <c r="RZE915" s="1091"/>
      <c r="RZF915" s="1091"/>
      <c r="RZG915" s="1091"/>
      <c r="RZH915" s="1091"/>
      <c r="RZI915" s="1091"/>
      <c r="RZJ915" s="1091"/>
      <c r="RZK915" s="1091"/>
      <c r="RZL915" s="1091"/>
      <c r="RZM915" s="1091"/>
      <c r="RZN915" s="1091"/>
      <c r="RZO915" s="1091"/>
      <c r="RZP915" s="1091"/>
      <c r="RZQ915" s="1091"/>
      <c r="RZR915" s="1091"/>
      <c r="RZS915" s="1091"/>
      <c r="RZT915" s="1091"/>
      <c r="RZU915" s="1091"/>
      <c r="RZV915" s="1091"/>
      <c r="RZW915" s="1091"/>
      <c r="RZX915" s="1091"/>
      <c r="RZY915" s="1091"/>
      <c r="RZZ915" s="1091"/>
      <c r="SAA915" s="1091"/>
      <c r="SAB915" s="1091"/>
      <c r="SAC915" s="1091"/>
      <c r="SAD915" s="1091"/>
      <c r="SAE915" s="1091"/>
      <c r="SAF915" s="1091"/>
      <c r="SAG915" s="1091"/>
      <c r="SAH915" s="1091"/>
      <c r="SAI915" s="1091"/>
      <c r="SAJ915" s="1091"/>
      <c r="SAK915" s="1091"/>
      <c r="SAL915" s="1091"/>
      <c r="SAM915" s="1091"/>
      <c r="SAN915" s="1091"/>
      <c r="SAO915" s="1091"/>
      <c r="SAP915" s="1091"/>
      <c r="SAQ915" s="1091"/>
      <c r="SAR915" s="1091"/>
      <c r="SAS915" s="1091"/>
      <c r="SAT915" s="1091"/>
      <c r="SAU915" s="1091"/>
      <c r="SAV915" s="1091"/>
      <c r="SAW915" s="1091"/>
      <c r="SAX915" s="1091"/>
      <c r="SAY915" s="1091"/>
      <c r="SAZ915" s="1091"/>
      <c r="SBA915" s="1091"/>
      <c r="SBB915" s="1091"/>
      <c r="SBC915" s="1091"/>
      <c r="SBD915" s="1091"/>
      <c r="SBE915" s="1091"/>
      <c r="SBF915" s="1091"/>
      <c r="SBG915" s="1091"/>
      <c r="SBH915" s="1091"/>
      <c r="SBI915" s="1091"/>
      <c r="SBJ915" s="1091"/>
      <c r="SBK915" s="1091"/>
      <c r="SBL915" s="1091"/>
      <c r="SBM915" s="1091"/>
      <c r="SBN915" s="1091"/>
      <c r="SBO915" s="1091"/>
      <c r="SBP915" s="1091"/>
      <c r="SBQ915" s="1091"/>
      <c r="SBR915" s="1091"/>
      <c r="SBS915" s="1091"/>
      <c r="SBT915" s="1091"/>
      <c r="SBU915" s="1091"/>
      <c r="SBV915" s="1091"/>
      <c r="SBW915" s="1091"/>
      <c r="SBX915" s="1091"/>
      <c r="SBY915" s="1091"/>
      <c r="SBZ915" s="1091"/>
      <c r="SCA915" s="1091"/>
      <c r="SCB915" s="1091"/>
      <c r="SCC915" s="1091"/>
      <c r="SCD915" s="1091"/>
      <c r="SCE915" s="1091"/>
      <c r="SCF915" s="1091"/>
      <c r="SCG915" s="1091"/>
      <c r="SCH915" s="1091"/>
      <c r="SCI915" s="1091"/>
      <c r="SCJ915" s="1091"/>
      <c r="SCK915" s="1091"/>
      <c r="SCL915" s="1091"/>
      <c r="SCM915" s="1091"/>
      <c r="SCN915" s="1091"/>
      <c r="SCO915" s="1091"/>
      <c r="SCP915" s="1091"/>
      <c r="SCQ915" s="1091"/>
      <c r="SCR915" s="1091"/>
      <c r="SCS915" s="1091"/>
      <c r="SCT915" s="1091"/>
      <c r="SCU915" s="1091"/>
      <c r="SCV915" s="1091"/>
      <c r="SCW915" s="1091"/>
      <c r="SCX915" s="1091"/>
      <c r="SCY915" s="1091"/>
      <c r="SCZ915" s="1091"/>
      <c r="SDA915" s="1091"/>
      <c r="SDB915" s="1091"/>
      <c r="SDC915" s="1091"/>
      <c r="SDD915" s="1091"/>
      <c r="SDE915" s="1091"/>
      <c r="SDF915" s="1091"/>
      <c r="SDG915" s="1091"/>
      <c r="SDH915" s="1091"/>
      <c r="SDI915" s="1091"/>
      <c r="SDJ915" s="1091"/>
      <c r="SDK915" s="1091"/>
      <c r="SDL915" s="1091"/>
      <c r="SDM915" s="1091"/>
      <c r="SDN915" s="1091"/>
      <c r="SDO915" s="1091"/>
      <c r="SDP915" s="1091"/>
      <c r="SDQ915" s="1091"/>
      <c r="SDR915" s="1091"/>
      <c r="SDS915" s="1091"/>
      <c r="SDT915" s="1091"/>
      <c r="SDU915" s="1091"/>
      <c r="SDV915" s="1091"/>
      <c r="SDW915" s="1091"/>
      <c r="SDX915" s="1091"/>
      <c r="SDY915" s="1091"/>
      <c r="SDZ915" s="1091"/>
      <c r="SEA915" s="1091"/>
      <c r="SEB915" s="1091"/>
      <c r="SEC915" s="1091"/>
      <c r="SED915" s="1091"/>
      <c r="SEE915" s="1091"/>
      <c r="SEF915" s="1091"/>
      <c r="SEG915" s="1091"/>
      <c r="SEH915" s="1091"/>
      <c r="SEI915" s="1091"/>
      <c r="SEJ915" s="1091"/>
      <c r="SEK915" s="1091"/>
      <c r="SEL915" s="1091"/>
      <c r="SEM915" s="1091"/>
      <c r="SEN915" s="1091"/>
      <c r="SEO915" s="1091"/>
      <c r="SEP915" s="1091"/>
      <c r="SEQ915" s="1091"/>
      <c r="SER915" s="1091"/>
      <c r="SES915" s="1091"/>
      <c r="SET915" s="1091"/>
      <c r="SEU915" s="1091"/>
      <c r="SEV915" s="1091"/>
      <c r="SEW915" s="1091"/>
      <c r="SEX915" s="1091"/>
      <c r="SEY915" s="1091"/>
      <c r="SEZ915" s="1091"/>
      <c r="SFA915" s="1091"/>
      <c r="SFB915" s="1091"/>
      <c r="SFC915" s="1091"/>
      <c r="SFD915" s="1091"/>
      <c r="SFE915" s="1091"/>
      <c r="SFF915" s="1091"/>
      <c r="SFG915" s="1091"/>
      <c r="SFH915" s="1091"/>
      <c r="SFI915" s="1091"/>
      <c r="SFJ915" s="1091"/>
      <c r="SFK915" s="1091"/>
      <c r="SFL915" s="1091"/>
      <c r="SFM915" s="1091"/>
      <c r="SFN915" s="1091"/>
      <c r="SFO915" s="1091"/>
      <c r="SFP915" s="1091"/>
      <c r="SFQ915" s="1091"/>
      <c r="SFR915" s="1091"/>
      <c r="SFS915" s="1091"/>
      <c r="SFT915" s="1091"/>
      <c r="SFU915" s="1091"/>
      <c r="SFV915" s="1091"/>
      <c r="SFW915" s="1091"/>
      <c r="SFX915" s="1091"/>
      <c r="SFY915" s="1091"/>
      <c r="SFZ915" s="1091"/>
      <c r="SGA915" s="1091"/>
      <c r="SGB915" s="1091"/>
      <c r="SGC915" s="1091"/>
      <c r="SGD915" s="1091"/>
      <c r="SGE915" s="1091"/>
      <c r="SGF915" s="1091"/>
      <c r="SGG915" s="1091"/>
      <c r="SGH915" s="1091"/>
      <c r="SGI915" s="1091"/>
      <c r="SGJ915" s="1091"/>
      <c r="SGK915" s="1091"/>
      <c r="SGL915" s="1091"/>
      <c r="SGM915" s="1091"/>
      <c r="SGN915" s="1091"/>
      <c r="SGO915" s="1091"/>
      <c r="SGP915" s="1091"/>
      <c r="SGQ915" s="1091"/>
      <c r="SGR915" s="1091"/>
      <c r="SGS915" s="1091"/>
      <c r="SGT915" s="1091"/>
      <c r="SGU915" s="1091"/>
      <c r="SGV915" s="1091"/>
      <c r="SGW915" s="1091"/>
      <c r="SGX915" s="1091"/>
      <c r="SGY915" s="1091"/>
      <c r="SGZ915" s="1091"/>
      <c r="SHA915" s="1091"/>
      <c r="SHB915" s="1091"/>
      <c r="SHC915" s="1091"/>
      <c r="SHD915" s="1091"/>
      <c r="SHE915" s="1091"/>
      <c r="SHF915" s="1091"/>
      <c r="SHG915" s="1091"/>
      <c r="SHH915" s="1091"/>
      <c r="SHI915" s="1091"/>
      <c r="SHJ915" s="1091"/>
      <c r="SHK915" s="1091"/>
      <c r="SHL915" s="1091"/>
      <c r="SHM915" s="1091"/>
      <c r="SHN915" s="1091"/>
      <c r="SHO915" s="1091"/>
      <c r="SHP915" s="1091"/>
      <c r="SHQ915" s="1091"/>
      <c r="SHR915" s="1091"/>
      <c r="SHS915" s="1091"/>
      <c r="SHT915" s="1091"/>
      <c r="SHU915" s="1091"/>
      <c r="SHV915" s="1091"/>
      <c r="SHW915" s="1091"/>
      <c r="SHX915" s="1091"/>
      <c r="SHY915" s="1091"/>
      <c r="SHZ915" s="1091"/>
      <c r="SIA915" s="1091"/>
      <c r="SIB915" s="1091"/>
      <c r="SIC915" s="1091"/>
      <c r="SID915" s="1091"/>
      <c r="SIE915" s="1091"/>
      <c r="SIF915" s="1091"/>
      <c r="SIG915" s="1091"/>
      <c r="SIH915" s="1091"/>
      <c r="SII915" s="1091"/>
      <c r="SIJ915" s="1091"/>
      <c r="SIK915" s="1091"/>
      <c r="SIL915" s="1091"/>
      <c r="SIM915" s="1091"/>
      <c r="SIN915" s="1091"/>
      <c r="SIO915" s="1091"/>
      <c r="SIP915" s="1091"/>
      <c r="SIQ915" s="1091"/>
      <c r="SIR915" s="1091"/>
      <c r="SIS915" s="1091"/>
      <c r="SIT915" s="1091"/>
      <c r="SIU915" s="1091"/>
      <c r="SIV915" s="1091"/>
      <c r="SIW915" s="1091"/>
      <c r="SIX915" s="1091"/>
      <c r="SIY915" s="1091"/>
      <c r="SIZ915" s="1091"/>
      <c r="SJA915" s="1091"/>
      <c r="SJB915" s="1091"/>
      <c r="SJC915" s="1091"/>
      <c r="SJD915" s="1091"/>
      <c r="SJE915" s="1091"/>
      <c r="SJF915" s="1091"/>
      <c r="SJG915" s="1091"/>
      <c r="SJH915" s="1091"/>
      <c r="SJI915" s="1091"/>
      <c r="SJJ915" s="1091"/>
      <c r="SJK915" s="1091"/>
      <c r="SJL915" s="1091"/>
      <c r="SJM915" s="1091"/>
      <c r="SJN915" s="1091"/>
      <c r="SJO915" s="1091"/>
      <c r="SJP915" s="1091"/>
      <c r="SJQ915" s="1091"/>
      <c r="SJR915" s="1091"/>
      <c r="SJS915" s="1091"/>
      <c r="SJT915" s="1091"/>
      <c r="SJU915" s="1091"/>
      <c r="SJV915" s="1091"/>
      <c r="SJW915" s="1091"/>
      <c r="SJX915" s="1091"/>
      <c r="SJY915" s="1091"/>
      <c r="SJZ915" s="1091"/>
      <c r="SKA915" s="1091"/>
      <c r="SKB915" s="1091"/>
      <c r="SKC915" s="1091"/>
      <c r="SKD915" s="1091"/>
      <c r="SKE915" s="1091"/>
      <c r="SKF915" s="1091"/>
      <c r="SKG915" s="1091"/>
      <c r="SKH915" s="1091"/>
      <c r="SKI915" s="1091"/>
      <c r="SKJ915" s="1091"/>
      <c r="SKK915" s="1091"/>
      <c r="SKL915" s="1091"/>
      <c r="SKM915" s="1091"/>
      <c r="SKN915" s="1091"/>
      <c r="SKO915" s="1091"/>
      <c r="SKP915" s="1091"/>
      <c r="SKQ915" s="1091"/>
      <c r="SKR915" s="1091"/>
      <c r="SKS915" s="1091"/>
      <c r="SKT915" s="1091"/>
      <c r="SKU915" s="1091"/>
      <c r="SKV915" s="1091"/>
      <c r="SKW915" s="1091"/>
      <c r="SKX915" s="1091"/>
      <c r="SKY915" s="1091"/>
      <c r="SKZ915" s="1091"/>
      <c r="SLA915" s="1091"/>
      <c r="SLB915" s="1091"/>
      <c r="SLC915" s="1091"/>
      <c r="SLD915" s="1091"/>
      <c r="SLE915" s="1091"/>
      <c r="SLF915" s="1091"/>
      <c r="SLG915" s="1091"/>
      <c r="SLH915" s="1091"/>
      <c r="SLI915" s="1091"/>
      <c r="SLJ915" s="1091"/>
      <c r="SLK915" s="1091"/>
      <c r="SLL915" s="1091"/>
      <c r="SLM915" s="1091"/>
      <c r="SLN915" s="1091"/>
      <c r="SLO915" s="1091"/>
      <c r="SLP915" s="1091"/>
      <c r="SLQ915" s="1091"/>
      <c r="SLR915" s="1091"/>
      <c r="SLS915" s="1091"/>
      <c r="SLT915" s="1091"/>
      <c r="SLU915" s="1091"/>
      <c r="SLV915" s="1091"/>
      <c r="SLW915" s="1091"/>
      <c r="SLX915" s="1091"/>
      <c r="SLY915" s="1091"/>
      <c r="SLZ915" s="1091"/>
      <c r="SMA915" s="1091"/>
      <c r="SMB915" s="1091"/>
      <c r="SMC915" s="1091"/>
      <c r="SMD915" s="1091"/>
      <c r="SME915" s="1091"/>
      <c r="SMF915" s="1091"/>
      <c r="SMG915" s="1091"/>
      <c r="SMH915" s="1091"/>
      <c r="SMI915" s="1091"/>
      <c r="SMJ915" s="1091"/>
      <c r="SMK915" s="1091"/>
      <c r="SML915" s="1091"/>
      <c r="SMM915" s="1091"/>
      <c r="SMN915" s="1091"/>
      <c r="SMO915" s="1091"/>
      <c r="SMP915" s="1091"/>
      <c r="SMQ915" s="1091"/>
      <c r="SMR915" s="1091"/>
      <c r="SMS915" s="1091"/>
      <c r="SMT915" s="1091"/>
      <c r="SMU915" s="1091"/>
      <c r="SMV915" s="1091"/>
      <c r="SMW915" s="1091"/>
      <c r="SMX915" s="1091"/>
      <c r="SMY915" s="1091"/>
      <c r="SMZ915" s="1091"/>
      <c r="SNA915" s="1091"/>
      <c r="SNB915" s="1091"/>
      <c r="SNC915" s="1091"/>
      <c r="SND915" s="1091"/>
      <c r="SNE915" s="1091"/>
      <c r="SNF915" s="1091"/>
      <c r="SNG915" s="1091"/>
      <c r="SNH915" s="1091"/>
      <c r="SNI915" s="1091"/>
      <c r="SNJ915" s="1091"/>
      <c r="SNK915" s="1091"/>
      <c r="SNL915" s="1091"/>
      <c r="SNM915" s="1091"/>
      <c r="SNN915" s="1091"/>
      <c r="SNO915" s="1091"/>
      <c r="SNP915" s="1091"/>
      <c r="SNQ915" s="1091"/>
      <c r="SNR915" s="1091"/>
      <c r="SNS915" s="1091"/>
      <c r="SNT915" s="1091"/>
      <c r="SNU915" s="1091"/>
      <c r="SNV915" s="1091"/>
      <c r="SNW915" s="1091"/>
      <c r="SNX915" s="1091"/>
      <c r="SNY915" s="1091"/>
      <c r="SNZ915" s="1091"/>
      <c r="SOA915" s="1091"/>
      <c r="SOB915" s="1091"/>
      <c r="SOC915" s="1091"/>
      <c r="SOD915" s="1091"/>
      <c r="SOE915" s="1091"/>
      <c r="SOF915" s="1091"/>
      <c r="SOG915" s="1091"/>
      <c r="SOH915" s="1091"/>
      <c r="SOI915" s="1091"/>
      <c r="SOJ915" s="1091"/>
      <c r="SOK915" s="1091"/>
      <c r="SOL915" s="1091"/>
      <c r="SOM915" s="1091"/>
      <c r="SON915" s="1091"/>
      <c r="SOO915" s="1091"/>
      <c r="SOP915" s="1091"/>
      <c r="SOQ915" s="1091"/>
      <c r="SOR915" s="1091"/>
      <c r="SOS915" s="1091"/>
      <c r="SOT915" s="1091"/>
      <c r="SOU915" s="1091"/>
      <c r="SOV915" s="1091"/>
      <c r="SOW915" s="1091"/>
      <c r="SOX915" s="1091"/>
      <c r="SOY915" s="1091"/>
      <c r="SOZ915" s="1091"/>
      <c r="SPA915" s="1091"/>
      <c r="SPB915" s="1091"/>
      <c r="SPC915" s="1091"/>
      <c r="SPD915" s="1091"/>
      <c r="SPE915" s="1091"/>
      <c r="SPF915" s="1091"/>
      <c r="SPG915" s="1091"/>
      <c r="SPH915" s="1091"/>
      <c r="SPI915" s="1091"/>
      <c r="SPJ915" s="1091"/>
      <c r="SPK915" s="1091"/>
      <c r="SPL915" s="1091"/>
      <c r="SPM915" s="1091"/>
      <c r="SPN915" s="1091"/>
      <c r="SPO915" s="1091"/>
      <c r="SPP915" s="1091"/>
      <c r="SPQ915" s="1091"/>
      <c r="SPR915" s="1091"/>
      <c r="SPS915" s="1091"/>
      <c r="SPT915" s="1091"/>
      <c r="SPU915" s="1091"/>
      <c r="SPV915" s="1091"/>
      <c r="SPW915" s="1091"/>
      <c r="SPX915" s="1091"/>
      <c r="SPY915" s="1091"/>
      <c r="SPZ915" s="1091"/>
      <c r="SQA915" s="1091"/>
      <c r="SQB915" s="1091"/>
      <c r="SQC915" s="1091"/>
      <c r="SQD915" s="1091"/>
      <c r="SQE915" s="1091"/>
      <c r="SQF915" s="1091"/>
      <c r="SQG915" s="1091"/>
      <c r="SQH915" s="1091"/>
      <c r="SQI915" s="1091"/>
      <c r="SQJ915" s="1091"/>
      <c r="SQK915" s="1091"/>
      <c r="SQL915" s="1091"/>
      <c r="SQM915" s="1091"/>
      <c r="SQN915" s="1091"/>
      <c r="SQO915" s="1091"/>
      <c r="SQP915" s="1091"/>
      <c r="SQQ915" s="1091"/>
      <c r="SQR915" s="1091"/>
      <c r="SQS915" s="1091"/>
      <c r="SQT915" s="1091"/>
      <c r="SQU915" s="1091"/>
      <c r="SQV915" s="1091"/>
      <c r="SQW915" s="1091"/>
      <c r="SQX915" s="1091"/>
      <c r="SQY915" s="1091"/>
      <c r="SQZ915" s="1091"/>
      <c r="SRA915" s="1091"/>
      <c r="SRB915" s="1091"/>
      <c r="SRC915" s="1091"/>
      <c r="SRD915" s="1091"/>
      <c r="SRE915" s="1091"/>
      <c r="SRF915" s="1091"/>
      <c r="SRG915" s="1091"/>
      <c r="SRH915" s="1091"/>
      <c r="SRI915" s="1091"/>
      <c r="SRJ915" s="1091"/>
      <c r="SRK915" s="1091"/>
      <c r="SRL915" s="1091"/>
      <c r="SRM915" s="1091"/>
      <c r="SRN915" s="1091"/>
      <c r="SRO915" s="1091"/>
      <c r="SRP915" s="1091"/>
      <c r="SRQ915" s="1091"/>
      <c r="SRR915" s="1091"/>
      <c r="SRS915" s="1091"/>
      <c r="SRT915" s="1091"/>
      <c r="SRU915" s="1091"/>
      <c r="SRV915" s="1091"/>
      <c r="SRW915" s="1091"/>
      <c r="SRX915" s="1091"/>
      <c r="SRY915" s="1091"/>
      <c r="SRZ915" s="1091"/>
      <c r="SSA915" s="1091"/>
      <c r="SSB915" s="1091"/>
      <c r="SSC915" s="1091"/>
      <c r="SSD915" s="1091"/>
      <c r="SSE915" s="1091"/>
      <c r="SSF915" s="1091"/>
      <c r="SSG915" s="1091"/>
      <c r="SSH915" s="1091"/>
      <c r="SSI915" s="1091"/>
      <c r="SSJ915" s="1091"/>
      <c r="SSK915" s="1091"/>
      <c r="SSL915" s="1091"/>
      <c r="SSM915" s="1091"/>
      <c r="SSN915" s="1091"/>
      <c r="SSO915" s="1091"/>
      <c r="SSP915" s="1091"/>
      <c r="SSQ915" s="1091"/>
      <c r="SSR915" s="1091"/>
      <c r="SSS915" s="1091"/>
      <c r="SST915" s="1091"/>
      <c r="SSU915" s="1091"/>
      <c r="SSV915" s="1091"/>
      <c r="SSW915" s="1091"/>
      <c r="SSX915" s="1091"/>
      <c r="SSY915" s="1091"/>
      <c r="SSZ915" s="1091"/>
      <c r="STA915" s="1091"/>
      <c r="STB915" s="1091"/>
      <c r="STC915" s="1091"/>
      <c r="STD915" s="1091"/>
      <c r="STE915" s="1091"/>
      <c r="STF915" s="1091"/>
      <c r="STG915" s="1091"/>
      <c r="STH915" s="1091"/>
      <c r="STI915" s="1091"/>
      <c r="STJ915" s="1091"/>
      <c r="STK915" s="1091"/>
      <c r="STL915" s="1091"/>
      <c r="STM915" s="1091"/>
      <c r="STN915" s="1091"/>
      <c r="STO915" s="1091"/>
      <c r="STP915" s="1091"/>
      <c r="STQ915" s="1091"/>
      <c r="STR915" s="1091"/>
      <c r="STS915" s="1091"/>
      <c r="STT915" s="1091"/>
      <c r="STU915" s="1091"/>
      <c r="STV915" s="1091"/>
      <c r="STW915" s="1091"/>
      <c r="STX915" s="1091"/>
      <c r="STY915" s="1091"/>
      <c r="STZ915" s="1091"/>
      <c r="SUA915" s="1091"/>
      <c r="SUB915" s="1091"/>
      <c r="SUC915" s="1091"/>
      <c r="SUD915" s="1091"/>
      <c r="SUE915" s="1091"/>
      <c r="SUF915" s="1091"/>
      <c r="SUG915" s="1091"/>
      <c r="SUH915" s="1091"/>
      <c r="SUI915" s="1091"/>
      <c r="SUJ915" s="1091"/>
      <c r="SUK915" s="1091"/>
      <c r="SUL915" s="1091"/>
      <c r="SUM915" s="1091"/>
      <c r="SUN915" s="1091"/>
      <c r="SUO915" s="1091"/>
      <c r="SUP915" s="1091"/>
      <c r="SUQ915" s="1091"/>
      <c r="SUR915" s="1091"/>
      <c r="SUS915" s="1091"/>
      <c r="SUT915" s="1091"/>
      <c r="SUU915" s="1091"/>
      <c r="SUV915" s="1091"/>
      <c r="SUW915" s="1091"/>
      <c r="SUX915" s="1091"/>
      <c r="SUY915" s="1091"/>
      <c r="SUZ915" s="1091"/>
      <c r="SVA915" s="1091"/>
      <c r="SVB915" s="1091"/>
      <c r="SVC915" s="1091"/>
      <c r="SVD915" s="1091"/>
      <c r="SVE915" s="1091"/>
      <c r="SVF915" s="1091"/>
      <c r="SVG915" s="1091"/>
      <c r="SVH915" s="1091"/>
      <c r="SVI915" s="1091"/>
      <c r="SVJ915" s="1091"/>
      <c r="SVK915" s="1091"/>
      <c r="SVL915" s="1091"/>
      <c r="SVM915" s="1091"/>
      <c r="SVN915" s="1091"/>
      <c r="SVO915" s="1091"/>
      <c r="SVP915" s="1091"/>
      <c r="SVQ915" s="1091"/>
      <c r="SVR915" s="1091"/>
      <c r="SVS915" s="1091"/>
      <c r="SVT915" s="1091"/>
      <c r="SVU915" s="1091"/>
      <c r="SVV915" s="1091"/>
      <c r="SVW915" s="1091"/>
      <c r="SVX915" s="1091"/>
      <c r="SVY915" s="1091"/>
      <c r="SVZ915" s="1091"/>
      <c r="SWA915" s="1091"/>
      <c r="SWB915" s="1091"/>
      <c r="SWC915" s="1091"/>
      <c r="SWD915" s="1091"/>
      <c r="SWE915" s="1091"/>
      <c r="SWF915" s="1091"/>
      <c r="SWG915" s="1091"/>
      <c r="SWH915" s="1091"/>
      <c r="SWI915" s="1091"/>
      <c r="SWJ915" s="1091"/>
      <c r="SWK915" s="1091"/>
      <c r="SWL915" s="1091"/>
      <c r="SWM915" s="1091"/>
      <c r="SWN915" s="1091"/>
      <c r="SWO915" s="1091"/>
      <c r="SWP915" s="1091"/>
      <c r="SWQ915" s="1091"/>
      <c r="SWR915" s="1091"/>
      <c r="SWS915" s="1091"/>
      <c r="SWT915" s="1091"/>
      <c r="SWU915" s="1091"/>
      <c r="SWV915" s="1091"/>
      <c r="SWW915" s="1091"/>
      <c r="SWX915" s="1091"/>
      <c r="SWY915" s="1091"/>
      <c r="SWZ915" s="1091"/>
      <c r="SXA915" s="1091"/>
      <c r="SXB915" s="1091"/>
      <c r="SXC915" s="1091"/>
      <c r="SXD915" s="1091"/>
      <c r="SXE915" s="1091"/>
      <c r="SXF915" s="1091"/>
      <c r="SXG915" s="1091"/>
      <c r="SXH915" s="1091"/>
      <c r="SXI915" s="1091"/>
      <c r="SXJ915" s="1091"/>
      <c r="SXK915" s="1091"/>
      <c r="SXL915" s="1091"/>
      <c r="SXM915" s="1091"/>
      <c r="SXN915" s="1091"/>
      <c r="SXO915" s="1091"/>
      <c r="SXP915" s="1091"/>
      <c r="SXQ915" s="1091"/>
      <c r="SXR915" s="1091"/>
      <c r="SXS915" s="1091"/>
      <c r="SXT915" s="1091"/>
      <c r="SXU915" s="1091"/>
      <c r="SXV915" s="1091"/>
      <c r="SXW915" s="1091"/>
      <c r="SXX915" s="1091"/>
      <c r="SXY915" s="1091"/>
      <c r="SXZ915" s="1091"/>
      <c r="SYA915" s="1091"/>
      <c r="SYB915" s="1091"/>
      <c r="SYC915" s="1091"/>
      <c r="SYD915" s="1091"/>
      <c r="SYE915" s="1091"/>
      <c r="SYF915" s="1091"/>
      <c r="SYG915" s="1091"/>
      <c r="SYH915" s="1091"/>
      <c r="SYI915" s="1091"/>
      <c r="SYJ915" s="1091"/>
      <c r="SYK915" s="1091"/>
      <c r="SYL915" s="1091"/>
      <c r="SYM915" s="1091"/>
      <c r="SYN915" s="1091"/>
      <c r="SYO915" s="1091"/>
      <c r="SYP915" s="1091"/>
      <c r="SYQ915" s="1091"/>
      <c r="SYR915" s="1091"/>
      <c r="SYS915" s="1091"/>
      <c r="SYT915" s="1091"/>
      <c r="SYU915" s="1091"/>
      <c r="SYV915" s="1091"/>
      <c r="SYW915" s="1091"/>
      <c r="SYX915" s="1091"/>
      <c r="SYY915" s="1091"/>
      <c r="SYZ915" s="1091"/>
      <c r="SZA915" s="1091"/>
      <c r="SZB915" s="1091"/>
      <c r="SZC915" s="1091"/>
      <c r="SZD915" s="1091"/>
      <c r="SZE915" s="1091"/>
      <c r="SZF915" s="1091"/>
      <c r="SZG915" s="1091"/>
      <c r="SZH915" s="1091"/>
      <c r="SZI915" s="1091"/>
      <c r="SZJ915" s="1091"/>
      <c r="SZK915" s="1091"/>
      <c r="SZL915" s="1091"/>
      <c r="SZM915" s="1091"/>
      <c r="SZN915" s="1091"/>
      <c r="SZO915" s="1091"/>
      <c r="SZP915" s="1091"/>
      <c r="SZQ915" s="1091"/>
      <c r="SZR915" s="1091"/>
      <c r="SZS915" s="1091"/>
      <c r="SZT915" s="1091"/>
      <c r="SZU915" s="1091"/>
      <c r="SZV915" s="1091"/>
      <c r="SZW915" s="1091"/>
      <c r="SZX915" s="1091"/>
      <c r="SZY915" s="1091"/>
      <c r="SZZ915" s="1091"/>
      <c r="TAA915" s="1091"/>
      <c r="TAB915" s="1091"/>
      <c r="TAC915" s="1091"/>
      <c r="TAD915" s="1091"/>
      <c r="TAE915" s="1091"/>
      <c r="TAF915" s="1091"/>
      <c r="TAG915" s="1091"/>
      <c r="TAH915" s="1091"/>
      <c r="TAI915" s="1091"/>
      <c r="TAJ915" s="1091"/>
      <c r="TAK915" s="1091"/>
      <c r="TAL915" s="1091"/>
      <c r="TAM915" s="1091"/>
      <c r="TAN915" s="1091"/>
      <c r="TAO915" s="1091"/>
      <c r="TAP915" s="1091"/>
      <c r="TAQ915" s="1091"/>
      <c r="TAR915" s="1091"/>
      <c r="TAS915" s="1091"/>
      <c r="TAT915" s="1091"/>
      <c r="TAU915" s="1091"/>
      <c r="TAV915" s="1091"/>
      <c r="TAW915" s="1091"/>
      <c r="TAX915" s="1091"/>
      <c r="TAY915" s="1091"/>
      <c r="TAZ915" s="1091"/>
      <c r="TBA915" s="1091"/>
      <c r="TBB915" s="1091"/>
      <c r="TBC915" s="1091"/>
      <c r="TBD915" s="1091"/>
      <c r="TBE915" s="1091"/>
      <c r="TBF915" s="1091"/>
      <c r="TBG915" s="1091"/>
      <c r="TBH915" s="1091"/>
      <c r="TBI915" s="1091"/>
      <c r="TBJ915" s="1091"/>
      <c r="TBK915" s="1091"/>
      <c r="TBL915" s="1091"/>
      <c r="TBM915" s="1091"/>
      <c r="TBN915" s="1091"/>
      <c r="TBO915" s="1091"/>
      <c r="TBP915" s="1091"/>
      <c r="TBQ915" s="1091"/>
      <c r="TBR915" s="1091"/>
      <c r="TBS915" s="1091"/>
      <c r="TBT915" s="1091"/>
      <c r="TBU915" s="1091"/>
      <c r="TBV915" s="1091"/>
      <c r="TBW915" s="1091"/>
      <c r="TBX915" s="1091"/>
      <c r="TBY915" s="1091"/>
      <c r="TBZ915" s="1091"/>
      <c r="TCA915" s="1091"/>
      <c r="TCB915" s="1091"/>
      <c r="TCC915" s="1091"/>
      <c r="TCD915" s="1091"/>
      <c r="TCE915" s="1091"/>
      <c r="TCF915" s="1091"/>
      <c r="TCG915" s="1091"/>
      <c r="TCH915" s="1091"/>
      <c r="TCI915" s="1091"/>
      <c r="TCJ915" s="1091"/>
      <c r="TCK915" s="1091"/>
      <c r="TCL915" s="1091"/>
      <c r="TCM915" s="1091"/>
      <c r="TCN915" s="1091"/>
      <c r="TCO915" s="1091"/>
      <c r="TCP915" s="1091"/>
      <c r="TCQ915" s="1091"/>
      <c r="TCR915" s="1091"/>
      <c r="TCS915" s="1091"/>
      <c r="TCT915" s="1091"/>
      <c r="TCU915" s="1091"/>
      <c r="TCV915" s="1091"/>
      <c r="TCW915" s="1091"/>
      <c r="TCX915" s="1091"/>
      <c r="TCY915" s="1091"/>
      <c r="TCZ915" s="1091"/>
      <c r="TDA915" s="1091"/>
      <c r="TDB915" s="1091"/>
      <c r="TDC915" s="1091"/>
      <c r="TDD915" s="1091"/>
      <c r="TDE915" s="1091"/>
      <c r="TDF915" s="1091"/>
      <c r="TDG915" s="1091"/>
      <c r="TDH915" s="1091"/>
      <c r="TDI915" s="1091"/>
      <c r="TDJ915" s="1091"/>
      <c r="TDK915" s="1091"/>
      <c r="TDL915" s="1091"/>
      <c r="TDM915" s="1091"/>
      <c r="TDN915" s="1091"/>
      <c r="TDO915" s="1091"/>
      <c r="TDP915" s="1091"/>
      <c r="TDQ915" s="1091"/>
      <c r="TDR915" s="1091"/>
      <c r="TDS915" s="1091"/>
      <c r="TDT915" s="1091"/>
      <c r="TDU915" s="1091"/>
      <c r="TDV915" s="1091"/>
      <c r="TDW915" s="1091"/>
      <c r="TDX915" s="1091"/>
      <c r="TDY915" s="1091"/>
      <c r="TDZ915" s="1091"/>
      <c r="TEA915" s="1091"/>
      <c r="TEB915" s="1091"/>
      <c r="TEC915" s="1091"/>
      <c r="TED915" s="1091"/>
      <c r="TEE915" s="1091"/>
      <c r="TEF915" s="1091"/>
      <c r="TEG915" s="1091"/>
      <c r="TEH915" s="1091"/>
      <c r="TEI915" s="1091"/>
      <c r="TEJ915" s="1091"/>
      <c r="TEK915" s="1091"/>
      <c r="TEL915" s="1091"/>
      <c r="TEM915" s="1091"/>
      <c r="TEN915" s="1091"/>
      <c r="TEO915" s="1091"/>
      <c r="TEP915" s="1091"/>
      <c r="TEQ915" s="1091"/>
      <c r="TER915" s="1091"/>
      <c r="TES915" s="1091"/>
      <c r="TET915" s="1091"/>
      <c r="TEU915" s="1091"/>
      <c r="TEV915" s="1091"/>
      <c r="TEW915" s="1091"/>
      <c r="TEX915" s="1091"/>
      <c r="TEY915" s="1091"/>
      <c r="TEZ915" s="1091"/>
      <c r="TFA915" s="1091"/>
      <c r="TFB915" s="1091"/>
      <c r="TFC915" s="1091"/>
      <c r="TFD915" s="1091"/>
      <c r="TFE915" s="1091"/>
      <c r="TFF915" s="1091"/>
      <c r="TFG915" s="1091"/>
      <c r="TFH915" s="1091"/>
      <c r="TFI915" s="1091"/>
      <c r="TFJ915" s="1091"/>
      <c r="TFK915" s="1091"/>
      <c r="TFL915" s="1091"/>
      <c r="TFM915" s="1091"/>
      <c r="TFN915" s="1091"/>
      <c r="TFO915" s="1091"/>
      <c r="TFP915" s="1091"/>
      <c r="TFQ915" s="1091"/>
      <c r="TFR915" s="1091"/>
      <c r="TFS915" s="1091"/>
      <c r="TFT915" s="1091"/>
      <c r="TFU915" s="1091"/>
      <c r="TFV915" s="1091"/>
      <c r="TFW915" s="1091"/>
      <c r="TFX915" s="1091"/>
      <c r="TFY915" s="1091"/>
      <c r="TFZ915" s="1091"/>
      <c r="TGA915" s="1091"/>
      <c r="TGB915" s="1091"/>
      <c r="TGC915" s="1091"/>
      <c r="TGD915" s="1091"/>
      <c r="TGE915" s="1091"/>
      <c r="TGF915" s="1091"/>
      <c r="TGG915" s="1091"/>
      <c r="TGH915" s="1091"/>
      <c r="TGI915" s="1091"/>
      <c r="TGJ915" s="1091"/>
      <c r="TGK915" s="1091"/>
      <c r="TGL915" s="1091"/>
      <c r="TGM915" s="1091"/>
      <c r="TGN915" s="1091"/>
      <c r="TGO915" s="1091"/>
      <c r="TGP915" s="1091"/>
      <c r="TGQ915" s="1091"/>
      <c r="TGR915" s="1091"/>
      <c r="TGS915" s="1091"/>
      <c r="TGT915" s="1091"/>
      <c r="TGU915" s="1091"/>
      <c r="TGV915" s="1091"/>
      <c r="TGW915" s="1091"/>
      <c r="TGX915" s="1091"/>
      <c r="TGY915" s="1091"/>
      <c r="TGZ915" s="1091"/>
      <c r="THA915" s="1091"/>
      <c r="THB915" s="1091"/>
      <c r="THC915" s="1091"/>
      <c r="THD915" s="1091"/>
      <c r="THE915" s="1091"/>
      <c r="THF915" s="1091"/>
      <c r="THG915" s="1091"/>
      <c r="THH915" s="1091"/>
      <c r="THI915" s="1091"/>
      <c r="THJ915" s="1091"/>
      <c r="THK915" s="1091"/>
      <c r="THL915" s="1091"/>
      <c r="THM915" s="1091"/>
      <c r="THN915" s="1091"/>
      <c r="THO915" s="1091"/>
      <c r="THP915" s="1091"/>
      <c r="THQ915" s="1091"/>
      <c r="THR915" s="1091"/>
      <c r="THS915" s="1091"/>
      <c r="THT915" s="1091"/>
      <c r="THU915" s="1091"/>
      <c r="THV915" s="1091"/>
      <c r="THW915" s="1091"/>
      <c r="THX915" s="1091"/>
      <c r="THY915" s="1091"/>
      <c r="THZ915" s="1091"/>
      <c r="TIA915" s="1091"/>
      <c r="TIB915" s="1091"/>
      <c r="TIC915" s="1091"/>
      <c r="TID915" s="1091"/>
      <c r="TIE915" s="1091"/>
      <c r="TIF915" s="1091"/>
      <c r="TIG915" s="1091"/>
      <c r="TIH915" s="1091"/>
      <c r="TII915" s="1091"/>
      <c r="TIJ915" s="1091"/>
      <c r="TIK915" s="1091"/>
      <c r="TIL915" s="1091"/>
      <c r="TIM915" s="1091"/>
      <c r="TIN915" s="1091"/>
      <c r="TIO915" s="1091"/>
      <c r="TIP915" s="1091"/>
      <c r="TIQ915" s="1091"/>
      <c r="TIR915" s="1091"/>
      <c r="TIS915" s="1091"/>
      <c r="TIT915" s="1091"/>
      <c r="TIU915" s="1091"/>
      <c r="TIV915" s="1091"/>
      <c r="TIW915" s="1091"/>
      <c r="TIX915" s="1091"/>
      <c r="TIY915" s="1091"/>
      <c r="TIZ915" s="1091"/>
      <c r="TJA915" s="1091"/>
      <c r="TJB915" s="1091"/>
      <c r="TJC915" s="1091"/>
      <c r="TJD915" s="1091"/>
      <c r="TJE915" s="1091"/>
      <c r="TJF915" s="1091"/>
      <c r="TJG915" s="1091"/>
      <c r="TJH915" s="1091"/>
      <c r="TJI915" s="1091"/>
      <c r="TJJ915" s="1091"/>
      <c r="TJK915" s="1091"/>
      <c r="TJL915" s="1091"/>
      <c r="TJM915" s="1091"/>
      <c r="TJN915" s="1091"/>
      <c r="TJO915" s="1091"/>
      <c r="TJP915" s="1091"/>
      <c r="TJQ915" s="1091"/>
      <c r="TJR915" s="1091"/>
      <c r="TJS915" s="1091"/>
      <c r="TJT915" s="1091"/>
      <c r="TJU915" s="1091"/>
      <c r="TJV915" s="1091"/>
      <c r="TJW915" s="1091"/>
      <c r="TJX915" s="1091"/>
      <c r="TJY915" s="1091"/>
      <c r="TJZ915" s="1091"/>
      <c r="TKA915" s="1091"/>
      <c r="TKB915" s="1091"/>
      <c r="TKC915" s="1091"/>
      <c r="TKD915" s="1091"/>
      <c r="TKE915" s="1091"/>
      <c r="TKF915" s="1091"/>
      <c r="TKG915" s="1091"/>
      <c r="TKH915" s="1091"/>
      <c r="TKI915" s="1091"/>
      <c r="TKJ915" s="1091"/>
      <c r="TKK915" s="1091"/>
      <c r="TKL915" s="1091"/>
      <c r="TKM915" s="1091"/>
      <c r="TKN915" s="1091"/>
      <c r="TKO915" s="1091"/>
      <c r="TKP915" s="1091"/>
      <c r="TKQ915" s="1091"/>
      <c r="TKR915" s="1091"/>
      <c r="TKS915" s="1091"/>
      <c r="TKT915" s="1091"/>
      <c r="TKU915" s="1091"/>
      <c r="TKV915" s="1091"/>
      <c r="TKW915" s="1091"/>
      <c r="TKX915" s="1091"/>
      <c r="TKY915" s="1091"/>
      <c r="TKZ915" s="1091"/>
      <c r="TLA915" s="1091"/>
      <c r="TLB915" s="1091"/>
      <c r="TLC915" s="1091"/>
      <c r="TLD915" s="1091"/>
      <c r="TLE915" s="1091"/>
      <c r="TLF915" s="1091"/>
      <c r="TLG915" s="1091"/>
      <c r="TLH915" s="1091"/>
      <c r="TLI915" s="1091"/>
      <c r="TLJ915" s="1091"/>
      <c r="TLK915" s="1091"/>
      <c r="TLL915" s="1091"/>
      <c r="TLM915" s="1091"/>
      <c r="TLN915" s="1091"/>
      <c r="TLO915" s="1091"/>
      <c r="TLP915" s="1091"/>
      <c r="TLQ915" s="1091"/>
      <c r="TLR915" s="1091"/>
      <c r="TLS915" s="1091"/>
      <c r="TLT915" s="1091"/>
      <c r="TLU915" s="1091"/>
      <c r="TLV915" s="1091"/>
      <c r="TLW915" s="1091"/>
      <c r="TLX915" s="1091"/>
      <c r="TLY915" s="1091"/>
      <c r="TLZ915" s="1091"/>
      <c r="TMA915" s="1091"/>
      <c r="TMB915" s="1091"/>
      <c r="TMC915" s="1091"/>
      <c r="TMD915" s="1091"/>
      <c r="TME915" s="1091"/>
      <c r="TMF915" s="1091"/>
      <c r="TMG915" s="1091"/>
      <c r="TMH915" s="1091"/>
      <c r="TMI915" s="1091"/>
      <c r="TMJ915" s="1091"/>
      <c r="TMK915" s="1091"/>
      <c r="TML915" s="1091"/>
      <c r="TMM915" s="1091"/>
      <c r="TMN915" s="1091"/>
      <c r="TMO915" s="1091"/>
      <c r="TMP915" s="1091"/>
      <c r="TMQ915" s="1091"/>
      <c r="TMR915" s="1091"/>
      <c r="TMS915" s="1091"/>
      <c r="TMT915" s="1091"/>
      <c r="TMU915" s="1091"/>
      <c r="TMV915" s="1091"/>
      <c r="TMW915" s="1091"/>
      <c r="TMX915" s="1091"/>
      <c r="TMY915" s="1091"/>
      <c r="TMZ915" s="1091"/>
      <c r="TNA915" s="1091"/>
      <c r="TNB915" s="1091"/>
      <c r="TNC915" s="1091"/>
      <c r="TND915" s="1091"/>
      <c r="TNE915" s="1091"/>
      <c r="TNF915" s="1091"/>
      <c r="TNG915" s="1091"/>
      <c r="TNH915" s="1091"/>
      <c r="TNI915" s="1091"/>
      <c r="TNJ915" s="1091"/>
      <c r="TNK915" s="1091"/>
      <c r="TNL915" s="1091"/>
      <c r="TNM915" s="1091"/>
      <c r="TNN915" s="1091"/>
      <c r="TNO915" s="1091"/>
      <c r="TNP915" s="1091"/>
      <c r="TNQ915" s="1091"/>
      <c r="TNR915" s="1091"/>
      <c r="TNS915" s="1091"/>
      <c r="TNT915" s="1091"/>
      <c r="TNU915" s="1091"/>
      <c r="TNV915" s="1091"/>
      <c r="TNW915" s="1091"/>
      <c r="TNX915" s="1091"/>
      <c r="TNY915" s="1091"/>
      <c r="TNZ915" s="1091"/>
      <c r="TOA915" s="1091"/>
      <c r="TOB915" s="1091"/>
      <c r="TOC915" s="1091"/>
      <c r="TOD915" s="1091"/>
      <c r="TOE915" s="1091"/>
      <c r="TOF915" s="1091"/>
      <c r="TOG915" s="1091"/>
      <c r="TOH915" s="1091"/>
      <c r="TOI915" s="1091"/>
      <c r="TOJ915" s="1091"/>
      <c r="TOK915" s="1091"/>
      <c r="TOL915" s="1091"/>
      <c r="TOM915" s="1091"/>
      <c r="TON915" s="1091"/>
      <c r="TOO915" s="1091"/>
      <c r="TOP915" s="1091"/>
      <c r="TOQ915" s="1091"/>
      <c r="TOR915" s="1091"/>
      <c r="TOS915" s="1091"/>
      <c r="TOT915" s="1091"/>
      <c r="TOU915" s="1091"/>
      <c r="TOV915" s="1091"/>
      <c r="TOW915" s="1091"/>
      <c r="TOX915" s="1091"/>
      <c r="TOY915" s="1091"/>
      <c r="TOZ915" s="1091"/>
      <c r="TPA915" s="1091"/>
      <c r="TPB915" s="1091"/>
      <c r="TPC915" s="1091"/>
      <c r="TPD915" s="1091"/>
      <c r="TPE915" s="1091"/>
      <c r="TPF915" s="1091"/>
      <c r="TPG915" s="1091"/>
      <c r="TPH915" s="1091"/>
      <c r="TPI915" s="1091"/>
      <c r="TPJ915" s="1091"/>
      <c r="TPK915" s="1091"/>
      <c r="TPL915" s="1091"/>
      <c r="TPM915" s="1091"/>
      <c r="TPN915" s="1091"/>
      <c r="TPO915" s="1091"/>
      <c r="TPP915" s="1091"/>
      <c r="TPQ915" s="1091"/>
      <c r="TPR915" s="1091"/>
      <c r="TPS915" s="1091"/>
      <c r="TPT915" s="1091"/>
      <c r="TPU915" s="1091"/>
      <c r="TPV915" s="1091"/>
      <c r="TPW915" s="1091"/>
      <c r="TPX915" s="1091"/>
      <c r="TPY915" s="1091"/>
      <c r="TPZ915" s="1091"/>
      <c r="TQA915" s="1091"/>
      <c r="TQB915" s="1091"/>
      <c r="TQC915" s="1091"/>
      <c r="TQD915" s="1091"/>
      <c r="TQE915" s="1091"/>
      <c r="TQF915" s="1091"/>
      <c r="TQG915" s="1091"/>
      <c r="TQH915" s="1091"/>
      <c r="TQI915" s="1091"/>
      <c r="TQJ915" s="1091"/>
      <c r="TQK915" s="1091"/>
      <c r="TQL915" s="1091"/>
      <c r="TQM915" s="1091"/>
      <c r="TQN915" s="1091"/>
      <c r="TQO915" s="1091"/>
      <c r="TQP915" s="1091"/>
      <c r="TQQ915" s="1091"/>
      <c r="TQR915" s="1091"/>
      <c r="TQS915" s="1091"/>
      <c r="TQT915" s="1091"/>
      <c r="TQU915" s="1091"/>
      <c r="TQV915" s="1091"/>
      <c r="TQW915" s="1091"/>
      <c r="TQX915" s="1091"/>
      <c r="TQY915" s="1091"/>
      <c r="TQZ915" s="1091"/>
      <c r="TRA915" s="1091"/>
      <c r="TRB915" s="1091"/>
      <c r="TRC915" s="1091"/>
      <c r="TRD915" s="1091"/>
      <c r="TRE915" s="1091"/>
      <c r="TRF915" s="1091"/>
      <c r="TRG915" s="1091"/>
      <c r="TRH915" s="1091"/>
      <c r="TRI915" s="1091"/>
      <c r="TRJ915" s="1091"/>
      <c r="TRK915" s="1091"/>
      <c r="TRL915" s="1091"/>
      <c r="TRM915" s="1091"/>
      <c r="TRN915" s="1091"/>
      <c r="TRO915" s="1091"/>
      <c r="TRP915" s="1091"/>
      <c r="TRQ915" s="1091"/>
      <c r="TRR915" s="1091"/>
      <c r="TRS915" s="1091"/>
      <c r="TRT915" s="1091"/>
      <c r="TRU915" s="1091"/>
      <c r="TRV915" s="1091"/>
      <c r="TRW915" s="1091"/>
      <c r="TRX915" s="1091"/>
      <c r="TRY915" s="1091"/>
      <c r="TRZ915" s="1091"/>
      <c r="TSA915" s="1091"/>
      <c r="TSB915" s="1091"/>
      <c r="TSC915" s="1091"/>
      <c r="TSD915" s="1091"/>
      <c r="TSE915" s="1091"/>
      <c r="TSF915" s="1091"/>
      <c r="TSG915" s="1091"/>
      <c r="TSH915" s="1091"/>
      <c r="TSI915" s="1091"/>
      <c r="TSJ915" s="1091"/>
      <c r="TSK915" s="1091"/>
      <c r="TSL915" s="1091"/>
      <c r="TSM915" s="1091"/>
      <c r="TSN915" s="1091"/>
      <c r="TSO915" s="1091"/>
      <c r="TSP915" s="1091"/>
      <c r="TSQ915" s="1091"/>
      <c r="TSR915" s="1091"/>
      <c r="TSS915" s="1091"/>
      <c r="TST915" s="1091"/>
      <c r="TSU915" s="1091"/>
      <c r="TSV915" s="1091"/>
      <c r="TSW915" s="1091"/>
      <c r="TSX915" s="1091"/>
      <c r="TSY915" s="1091"/>
      <c r="TSZ915" s="1091"/>
      <c r="TTA915" s="1091"/>
      <c r="TTB915" s="1091"/>
      <c r="TTC915" s="1091"/>
      <c r="TTD915" s="1091"/>
      <c r="TTE915" s="1091"/>
      <c r="TTF915" s="1091"/>
      <c r="TTG915" s="1091"/>
      <c r="TTH915" s="1091"/>
      <c r="TTI915" s="1091"/>
      <c r="TTJ915" s="1091"/>
      <c r="TTK915" s="1091"/>
      <c r="TTL915" s="1091"/>
      <c r="TTM915" s="1091"/>
      <c r="TTN915" s="1091"/>
      <c r="TTO915" s="1091"/>
      <c r="TTP915" s="1091"/>
      <c r="TTQ915" s="1091"/>
      <c r="TTR915" s="1091"/>
      <c r="TTS915" s="1091"/>
      <c r="TTT915" s="1091"/>
      <c r="TTU915" s="1091"/>
      <c r="TTV915" s="1091"/>
      <c r="TTW915" s="1091"/>
      <c r="TTX915" s="1091"/>
      <c r="TTY915" s="1091"/>
      <c r="TTZ915" s="1091"/>
      <c r="TUA915" s="1091"/>
      <c r="TUB915" s="1091"/>
      <c r="TUC915" s="1091"/>
      <c r="TUD915" s="1091"/>
      <c r="TUE915" s="1091"/>
      <c r="TUF915" s="1091"/>
      <c r="TUG915" s="1091"/>
      <c r="TUH915" s="1091"/>
      <c r="TUI915" s="1091"/>
      <c r="TUJ915" s="1091"/>
      <c r="TUK915" s="1091"/>
      <c r="TUL915" s="1091"/>
      <c r="TUM915" s="1091"/>
      <c r="TUN915" s="1091"/>
      <c r="TUO915" s="1091"/>
      <c r="TUP915" s="1091"/>
      <c r="TUQ915" s="1091"/>
      <c r="TUR915" s="1091"/>
      <c r="TUS915" s="1091"/>
      <c r="TUT915" s="1091"/>
      <c r="TUU915" s="1091"/>
      <c r="TUV915" s="1091"/>
      <c r="TUW915" s="1091"/>
      <c r="TUX915" s="1091"/>
      <c r="TUY915" s="1091"/>
      <c r="TUZ915" s="1091"/>
      <c r="TVA915" s="1091"/>
      <c r="TVB915" s="1091"/>
      <c r="TVC915" s="1091"/>
      <c r="TVD915" s="1091"/>
      <c r="TVE915" s="1091"/>
      <c r="TVF915" s="1091"/>
      <c r="TVG915" s="1091"/>
      <c r="TVH915" s="1091"/>
      <c r="TVI915" s="1091"/>
      <c r="TVJ915" s="1091"/>
      <c r="TVK915" s="1091"/>
      <c r="TVL915" s="1091"/>
      <c r="TVM915" s="1091"/>
      <c r="TVN915" s="1091"/>
      <c r="TVO915" s="1091"/>
      <c r="TVP915" s="1091"/>
      <c r="TVQ915" s="1091"/>
      <c r="TVR915" s="1091"/>
      <c r="TVS915" s="1091"/>
      <c r="TVT915" s="1091"/>
      <c r="TVU915" s="1091"/>
      <c r="TVV915" s="1091"/>
      <c r="TVW915" s="1091"/>
      <c r="TVX915" s="1091"/>
      <c r="TVY915" s="1091"/>
      <c r="TVZ915" s="1091"/>
      <c r="TWA915" s="1091"/>
      <c r="TWB915" s="1091"/>
      <c r="TWC915" s="1091"/>
      <c r="TWD915" s="1091"/>
      <c r="TWE915" s="1091"/>
      <c r="TWF915" s="1091"/>
      <c r="TWG915" s="1091"/>
      <c r="TWH915" s="1091"/>
      <c r="TWI915" s="1091"/>
      <c r="TWJ915" s="1091"/>
      <c r="TWK915" s="1091"/>
      <c r="TWL915" s="1091"/>
      <c r="TWM915" s="1091"/>
      <c r="TWN915" s="1091"/>
      <c r="TWO915" s="1091"/>
      <c r="TWP915" s="1091"/>
      <c r="TWQ915" s="1091"/>
      <c r="TWR915" s="1091"/>
      <c r="TWS915" s="1091"/>
      <c r="TWT915" s="1091"/>
      <c r="TWU915" s="1091"/>
      <c r="TWV915" s="1091"/>
      <c r="TWW915" s="1091"/>
      <c r="TWX915" s="1091"/>
      <c r="TWY915" s="1091"/>
      <c r="TWZ915" s="1091"/>
      <c r="TXA915" s="1091"/>
      <c r="TXB915" s="1091"/>
      <c r="TXC915" s="1091"/>
      <c r="TXD915" s="1091"/>
      <c r="TXE915" s="1091"/>
      <c r="TXF915" s="1091"/>
      <c r="TXG915" s="1091"/>
      <c r="TXH915" s="1091"/>
      <c r="TXI915" s="1091"/>
      <c r="TXJ915" s="1091"/>
      <c r="TXK915" s="1091"/>
      <c r="TXL915" s="1091"/>
      <c r="TXM915" s="1091"/>
      <c r="TXN915" s="1091"/>
      <c r="TXO915" s="1091"/>
      <c r="TXP915" s="1091"/>
      <c r="TXQ915" s="1091"/>
      <c r="TXR915" s="1091"/>
      <c r="TXS915" s="1091"/>
      <c r="TXT915" s="1091"/>
      <c r="TXU915" s="1091"/>
      <c r="TXV915" s="1091"/>
      <c r="TXW915" s="1091"/>
      <c r="TXX915" s="1091"/>
      <c r="TXY915" s="1091"/>
      <c r="TXZ915" s="1091"/>
      <c r="TYA915" s="1091"/>
      <c r="TYB915" s="1091"/>
      <c r="TYC915" s="1091"/>
      <c r="TYD915" s="1091"/>
      <c r="TYE915" s="1091"/>
      <c r="TYF915" s="1091"/>
      <c r="TYG915" s="1091"/>
      <c r="TYH915" s="1091"/>
      <c r="TYI915" s="1091"/>
      <c r="TYJ915" s="1091"/>
      <c r="TYK915" s="1091"/>
      <c r="TYL915" s="1091"/>
      <c r="TYM915" s="1091"/>
      <c r="TYN915" s="1091"/>
      <c r="TYO915" s="1091"/>
      <c r="TYP915" s="1091"/>
      <c r="TYQ915" s="1091"/>
      <c r="TYR915" s="1091"/>
      <c r="TYS915" s="1091"/>
      <c r="TYT915" s="1091"/>
      <c r="TYU915" s="1091"/>
      <c r="TYV915" s="1091"/>
      <c r="TYW915" s="1091"/>
      <c r="TYX915" s="1091"/>
      <c r="TYY915" s="1091"/>
      <c r="TYZ915" s="1091"/>
      <c r="TZA915" s="1091"/>
      <c r="TZB915" s="1091"/>
      <c r="TZC915" s="1091"/>
      <c r="TZD915" s="1091"/>
      <c r="TZE915" s="1091"/>
      <c r="TZF915" s="1091"/>
      <c r="TZG915" s="1091"/>
      <c r="TZH915" s="1091"/>
      <c r="TZI915" s="1091"/>
      <c r="TZJ915" s="1091"/>
      <c r="TZK915" s="1091"/>
      <c r="TZL915" s="1091"/>
      <c r="TZM915" s="1091"/>
      <c r="TZN915" s="1091"/>
      <c r="TZO915" s="1091"/>
      <c r="TZP915" s="1091"/>
      <c r="TZQ915" s="1091"/>
      <c r="TZR915" s="1091"/>
      <c r="TZS915" s="1091"/>
      <c r="TZT915" s="1091"/>
      <c r="TZU915" s="1091"/>
      <c r="TZV915" s="1091"/>
      <c r="TZW915" s="1091"/>
      <c r="TZX915" s="1091"/>
      <c r="TZY915" s="1091"/>
      <c r="TZZ915" s="1091"/>
      <c r="UAA915" s="1091"/>
      <c r="UAB915" s="1091"/>
      <c r="UAC915" s="1091"/>
      <c r="UAD915" s="1091"/>
      <c r="UAE915" s="1091"/>
      <c r="UAF915" s="1091"/>
      <c r="UAG915" s="1091"/>
      <c r="UAH915" s="1091"/>
      <c r="UAI915" s="1091"/>
      <c r="UAJ915" s="1091"/>
      <c r="UAK915" s="1091"/>
      <c r="UAL915" s="1091"/>
      <c r="UAM915" s="1091"/>
      <c r="UAN915" s="1091"/>
      <c r="UAO915" s="1091"/>
      <c r="UAP915" s="1091"/>
      <c r="UAQ915" s="1091"/>
      <c r="UAR915" s="1091"/>
      <c r="UAS915" s="1091"/>
      <c r="UAT915" s="1091"/>
      <c r="UAU915" s="1091"/>
      <c r="UAV915" s="1091"/>
      <c r="UAW915" s="1091"/>
      <c r="UAX915" s="1091"/>
      <c r="UAY915" s="1091"/>
      <c r="UAZ915" s="1091"/>
      <c r="UBA915" s="1091"/>
      <c r="UBB915" s="1091"/>
      <c r="UBC915" s="1091"/>
      <c r="UBD915" s="1091"/>
      <c r="UBE915" s="1091"/>
      <c r="UBF915" s="1091"/>
      <c r="UBG915" s="1091"/>
      <c r="UBH915" s="1091"/>
      <c r="UBI915" s="1091"/>
      <c r="UBJ915" s="1091"/>
      <c r="UBK915" s="1091"/>
      <c r="UBL915" s="1091"/>
      <c r="UBM915" s="1091"/>
      <c r="UBN915" s="1091"/>
      <c r="UBO915" s="1091"/>
      <c r="UBP915" s="1091"/>
      <c r="UBQ915" s="1091"/>
      <c r="UBR915" s="1091"/>
      <c r="UBS915" s="1091"/>
      <c r="UBT915" s="1091"/>
      <c r="UBU915" s="1091"/>
      <c r="UBV915" s="1091"/>
      <c r="UBW915" s="1091"/>
      <c r="UBX915" s="1091"/>
      <c r="UBY915" s="1091"/>
      <c r="UBZ915" s="1091"/>
      <c r="UCA915" s="1091"/>
      <c r="UCB915" s="1091"/>
      <c r="UCC915" s="1091"/>
      <c r="UCD915" s="1091"/>
      <c r="UCE915" s="1091"/>
      <c r="UCF915" s="1091"/>
      <c r="UCG915" s="1091"/>
      <c r="UCH915" s="1091"/>
      <c r="UCI915" s="1091"/>
      <c r="UCJ915" s="1091"/>
      <c r="UCK915" s="1091"/>
      <c r="UCL915" s="1091"/>
      <c r="UCM915" s="1091"/>
      <c r="UCN915" s="1091"/>
      <c r="UCO915" s="1091"/>
      <c r="UCP915" s="1091"/>
      <c r="UCQ915" s="1091"/>
      <c r="UCR915" s="1091"/>
      <c r="UCS915" s="1091"/>
      <c r="UCT915" s="1091"/>
      <c r="UCU915" s="1091"/>
      <c r="UCV915" s="1091"/>
      <c r="UCW915" s="1091"/>
      <c r="UCX915" s="1091"/>
      <c r="UCY915" s="1091"/>
      <c r="UCZ915" s="1091"/>
      <c r="UDA915" s="1091"/>
      <c r="UDB915" s="1091"/>
      <c r="UDC915" s="1091"/>
      <c r="UDD915" s="1091"/>
      <c r="UDE915" s="1091"/>
      <c r="UDF915" s="1091"/>
      <c r="UDG915" s="1091"/>
      <c r="UDH915" s="1091"/>
      <c r="UDI915" s="1091"/>
      <c r="UDJ915" s="1091"/>
      <c r="UDK915" s="1091"/>
      <c r="UDL915" s="1091"/>
      <c r="UDM915" s="1091"/>
      <c r="UDN915" s="1091"/>
      <c r="UDO915" s="1091"/>
      <c r="UDP915" s="1091"/>
      <c r="UDQ915" s="1091"/>
      <c r="UDR915" s="1091"/>
      <c r="UDS915" s="1091"/>
      <c r="UDT915" s="1091"/>
      <c r="UDU915" s="1091"/>
      <c r="UDV915" s="1091"/>
      <c r="UDW915" s="1091"/>
      <c r="UDX915" s="1091"/>
      <c r="UDY915" s="1091"/>
      <c r="UDZ915" s="1091"/>
      <c r="UEA915" s="1091"/>
      <c r="UEB915" s="1091"/>
      <c r="UEC915" s="1091"/>
      <c r="UED915" s="1091"/>
      <c r="UEE915" s="1091"/>
      <c r="UEF915" s="1091"/>
      <c r="UEG915" s="1091"/>
      <c r="UEH915" s="1091"/>
      <c r="UEI915" s="1091"/>
      <c r="UEJ915" s="1091"/>
      <c r="UEK915" s="1091"/>
      <c r="UEL915" s="1091"/>
      <c r="UEM915" s="1091"/>
      <c r="UEN915" s="1091"/>
      <c r="UEO915" s="1091"/>
      <c r="UEP915" s="1091"/>
      <c r="UEQ915" s="1091"/>
      <c r="UER915" s="1091"/>
      <c r="UES915" s="1091"/>
      <c r="UET915" s="1091"/>
      <c r="UEU915" s="1091"/>
      <c r="UEV915" s="1091"/>
      <c r="UEW915" s="1091"/>
      <c r="UEX915" s="1091"/>
      <c r="UEY915" s="1091"/>
      <c r="UEZ915" s="1091"/>
      <c r="UFA915" s="1091"/>
      <c r="UFB915" s="1091"/>
      <c r="UFC915" s="1091"/>
      <c r="UFD915" s="1091"/>
      <c r="UFE915" s="1091"/>
      <c r="UFF915" s="1091"/>
      <c r="UFG915" s="1091"/>
      <c r="UFH915" s="1091"/>
      <c r="UFI915" s="1091"/>
      <c r="UFJ915" s="1091"/>
      <c r="UFK915" s="1091"/>
      <c r="UFL915" s="1091"/>
      <c r="UFM915" s="1091"/>
      <c r="UFN915" s="1091"/>
      <c r="UFO915" s="1091"/>
      <c r="UFP915" s="1091"/>
      <c r="UFQ915" s="1091"/>
      <c r="UFR915" s="1091"/>
      <c r="UFS915" s="1091"/>
      <c r="UFT915" s="1091"/>
      <c r="UFU915" s="1091"/>
      <c r="UFV915" s="1091"/>
      <c r="UFW915" s="1091"/>
      <c r="UFX915" s="1091"/>
      <c r="UFY915" s="1091"/>
      <c r="UFZ915" s="1091"/>
      <c r="UGA915" s="1091"/>
      <c r="UGB915" s="1091"/>
      <c r="UGC915" s="1091"/>
      <c r="UGD915" s="1091"/>
      <c r="UGE915" s="1091"/>
      <c r="UGF915" s="1091"/>
      <c r="UGG915" s="1091"/>
      <c r="UGH915" s="1091"/>
      <c r="UGI915" s="1091"/>
      <c r="UGJ915" s="1091"/>
      <c r="UGK915" s="1091"/>
      <c r="UGL915" s="1091"/>
      <c r="UGM915" s="1091"/>
      <c r="UGN915" s="1091"/>
      <c r="UGO915" s="1091"/>
      <c r="UGP915" s="1091"/>
      <c r="UGQ915" s="1091"/>
      <c r="UGR915" s="1091"/>
      <c r="UGS915" s="1091"/>
      <c r="UGT915" s="1091"/>
      <c r="UGU915" s="1091"/>
      <c r="UGV915" s="1091"/>
      <c r="UGW915" s="1091"/>
      <c r="UGX915" s="1091"/>
      <c r="UGY915" s="1091"/>
      <c r="UGZ915" s="1091"/>
      <c r="UHA915" s="1091"/>
      <c r="UHB915" s="1091"/>
      <c r="UHC915" s="1091"/>
      <c r="UHD915" s="1091"/>
      <c r="UHE915" s="1091"/>
      <c r="UHF915" s="1091"/>
      <c r="UHG915" s="1091"/>
      <c r="UHH915" s="1091"/>
      <c r="UHI915" s="1091"/>
      <c r="UHJ915" s="1091"/>
      <c r="UHK915" s="1091"/>
      <c r="UHL915" s="1091"/>
      <c r="UHM915" s="1091"/>
      <c r="UHN915" s="1091"/>
      <c r="UHO915" s="1091"/>
      <c r="UHP915" s="1091"/>
      <c r="UHQ915" s="1091"/>
      <c r="UHR915" s="1091"/>
      <c r="UHS915" s="1091"/>
      <c r="UHT915" s="1091"/>
      <c r="UHU915" s="1091"/>
      <c r="UHV915" s="1091"/>
      <c r="UHW915" s="1091"/>
      <c r="UHX915" s="1091"/>
      <c r="UHY915" s="1091"/>
      <c r="UHZ915" s="1091"/>
      <c r="UIA915" s="1091"/>
      <c r="UIB915" s="1091"/>
      <c r="UIC915" s="1091"/>
      <c r="UID915" s="1091"/>
      <c r="UIE915" s="1091"/>
      <c r="UIF915" s="1091"/>
      <c r="UIG915" s="1091"/>
      <c r="UIH915" s="1091"/>
      <c r="UII915" s="1091"/>
      <c r="UIJ915" s="1091"/>
      <c r="UIK915" s="1091"/>
      <c r="UIL915" s="1091"/>
      <c r="UIM915" s="1091"/>
      <c r="UIN915" s="1091"/>
      <c r="UIO915" s="1091"/>
      <c r="UIP915" s="1091"/>
      <c r="UIQ915" s="1091"/>
      <c r="UIR915" s="1091"/>
      <c r="UIS915" s="1091"/>
      <c r="UIT915" s="1091"/>
      <c r="UIU915" s="1091"/>
      <c r="UIV915" s="1091"/>
      <c r="UIW915" s="1091"/>
      <c r="UIX915" s="1091"/>
      <c r="UIY915" s="1091"/>
      <c r="UIZ915" s="1091"/>
      <c r="UJA915" s="1091"/>
      <c r="UJB915" s="1091"/>
      <c r="UJC915" s="1091"/>
      <c r="UJD915" s="1091"/>
      <c r="UJE915" s="1091"/>
      <c r="UJF915" s="1091"/>
      <c r="UJG915" s="1091"/>
      <c r="UJH915" s="1091"/>
      <c r="UJI915" s="1091"/>
      <c r="UJJ915" s="1091"/>
      <c r="UJK915" s="1091"/>
      <c r="UJL915" s="1091"/>
      <c r="UJM915" s="1091"/>
      <c r="UJN915" s="1091"/>
      <c r="UJO915" s="1091"/>
      <c r="UJP915" s="1091"/>
      <c r="UJQ915" s="1091"/>
      <c r="UJR915" s="1091"/>
      <c r="UJS915" s="1091"/>
      <c r="UJT915" s="1091"/>
      <c r="UJU915" s="1091"/>
      <c r="UJV915" s="1091"/>
      <c r="UJW915" s="1091"/>
      <c r="UJX915" s="1091"/>
      <c r="UJY915" s="1091"/>
      <c r="UJZ915" s="1091"/>
      <c r="UKA915" s="1091"/>
      <c r="UKB915" s="1091"/>
      <c r="UKC915" s="1091"/>
      <c r="UKD915" s="1091"/>
      <c r="UKE915" s="1091"/>
      <c r="UKF915" s="1091"/>
      <c r="UKG915" s="1091"/>
      <c r="UKH915" s="1091"/>
      <c r="UKI915" s="1091"/>
      <c r="UKJ915" s="1091"/>
      <c r="UKK915" s="1091"/>
      <c r="UKL915" s="1091"/>
      <c r="UKM915" s="1091"/>
      <c r="UKN915" s="1091"/>
      <c r="UKO915" s="1091"/>
      <c r="UKP915" s="1091"/>
      <c r="UKQ915" s="1091"/>
      <c r="UKR915" s="1091"/>
      <c r="UKS915" s="1091"/>
      <c r="UKT915" s="1091"/>
      <c r="UKU915" s="1091"/>
      <c r="UKV915" s="1091"/>
      <c r="UKW915" s="1091"/>
      <c r="UKX915" s="1091"/>
      <c r="UKY915" s="1091"/>
      <c r="UKZ915" s="1091"/>
      <c r="ULA915" s="1091"/>
      <c r="ULB915" s="1091"/>
      <c r="ULC915" s="1091"/>
      <c r="ULD915" s="1091"/>
      <c r="ULE915" s="1091"/>
      <c r="ULF915" s="1091"/>
      <c r="ULG915" s="1091"/>
      <c r="ULH915" s="1091"/>
      <c r="ULI915" s="1091"/>
      <c r="ULJ915" s="1091"/>
      <c r="ULK915" s="1091"/>
      <c r="ULL915" s="1091"/>
      <c r="ULM915" s="1091"/>
      <c r="ULN915" s="1091"/>
      <c r="ULO915" s="1091"/>
      <c r="ULP915" s="1091"/>
      <c r="ULQ915" s="1091"/>
      <c r="ULR915" s="1091"/>
      <c r="ULS915" s="1091"/>
      <c r="ULT915" s="1091"/>
      <c r="ULU915" s="1091"/>
      <c r="ULV915" s="1091"/>
      <c r="ULW915" s="1091"/>
      <c r="ULX915" s="1091"/>
      <c r="ULY915" s="1091"/>
      <c r="ULZ915" s="1091"/>
      <c r="UMA915" s="1091"/>
      <c r="UMB915" s="1091"/>
      <c r="UMC915" s="1091"/>
      <c r="UMD915" s="1091"/>
      <c r="UME915" s="1091"/>
      <c r="UMF915" s="1091"/>
      <c r="UMG915" s="1091"/>
      <c r="UMH915" s="1091"/>
      <c r="UMI915" s="1091"/>
      <c r="UMJ915" s="1091"/>
      <c r="UMK915" s="1091"/>
      <c r="UML915" s="1091"/>
      <c r="UMM915" s="1091"/>
      <c r="UMN915" s="1091"/>
      <c r="UMO915" s="1091"/>
      <c r="UMP915" s="1091"/>
      <c r="UMQ915" s="1091"/>
      <c r="UMR915" s="1091"/>
      <c r="UMS915" s="1091"/>
      <c r="UMT915" s="1091"/>
      <c r="UMU915" s="1091"/>
      <c r="UMV915" s="1091"/>
      <c r="UMW915" s="1091"/>
      <c r="UMX915" s="1091"/>
      <c r="UMY915" s="1091"/>
      <c r="UMZ915" s="1091"/>
      <c r="UNA915" s="1091"/>
      <c r="UNB915" s="1091"/>
      <c r="UNC915" s="1091"/>
      <c r="UND915" s="1091"/>
      <c r="UNE915" s="1091"/>
      <c r="UNF915" s="1091"/>
      <c r="UNG915" s="1091"/>
      <c r="UNH915" s="1091"/>
      <c r="UNI915" s="1091"/>
      <c r="UNJ915" s="1091"/>
      <c r="UNK915" s="1091"/>
      <c r="UNL915" s="1091"/>
      <c r="UNM915" s="1091"/>
      <c r="UNN915" s="1091"/>
      <c r="UNO915" s="1091"/>
      <c r="UNP915" s="1091"/>
      <c r="UNQ915" s="1091"/>
      <c r="UNR915" s="1091"/>
      <c r="UNS915" s="1091"/>
      <c r="UNT915" s="1091"/>
      <c r="UNU915" s="1091"/>
      <c r="UNV915" s="1091"/>
      <c r="UNW915" s="1091"/>
      <c r="UNX915" s="1091"/>
      <c r="UNY915" s="1091"/>
      <c r="UNZ915" s="1091"/>
      <c r="UOA915" s="1091"/>
      <c r="UOB915" s="1091"/>
      <c r="UOC915" s="1091"/>
      <c r="UOD915" s="1091"/>
      <c r="UOE915" s="1091"/>
      <c r="UOF915" s="1091"/>
      <c r="UOG915" s="1091"/>
      <c r="UOH915" s="1091"/>
      <c r="UOI915" s="1091"/>
      <c r="UOJ915" s="1091"/>
      <c r="UOK915" s="1091"/>
      <c r="UOL915" s="1091"/>
      <c r="UOM915" s="1091"/>
      <c r="UON915" s="1091"/>
      <c r="UOO915" s="1091"/>
      <c r="UOP915" s="1091"/>
      <c r="UOQ915" s="1091"/>
      <c r="UOR915" s="1091"/>
      <c r="UOS915" s="1091"/>
      <c r="UOT915" s="1091"/>
      <c r="UOU915" s="1091"/>
      <c r="UOV915" s="1091"/>
      <c r="UOW915" s="1091"/>
      <c r="UOX915" s="1091"/>
      <c r="UOY915" s="1091"/>
      <c r="UOZ915" s="1091"/>
      <c r="UPA915" s="1091"/>
      <c r="UPB915" s="1091"/>
      <c r="UPC915" s="1091"/>
      <c r="UPD915" s="1091"/>
      <c r="UPE915" s="1091"/>
      <c r="UPF915" s="1091"/>
      <c r="UPG915" s="1091"/>
      <c r="UPH915" s="1091"/>
      <c r="UPI915" s="1091"/>
      <c r="UPJ915" s="1091"/>
      <c r="UPK915" s="1091"/>
      <c r="UPL915" s="1091"/>
      <c r="UPM915" s="1091"/>
      <c r="UPN915" s="1091"/>
      <c r="UPO915" s="1091"/>
      <c r="UPP915" s="1091"/>
      <c r="UPQ915" s="1091"/>
      <c r="UPR915" s="1091"/>
      <c r="UPS915" s="1091"/>
      <c r="UPT915" s="1091"/>
      <c r="UPU915" s="1091"/>
      <c r="UPV915" s="1091"/>
      <c r="UPW915" s="1091"/>
      <c r="UPX915" s="1091"/>
      <c r="UPY915" s="1091"/>
      <c r="UPZ915" s="1091"/>
      <c r="UQA915" s="1091"/>
      <c r="UQB915" s="1091"/>
      <c r="UQC915" s="1091"/>
      <c r="UQD915" s="1091"/>
      <c r="UQE915" s="1091"/>
      <c r="UQF915" s="1091"/>
      <c r="UQG915" s="1091"/>
      <c r="UQH915" s="1091"/>
      <c r="UQI915" s="1091"/>
      <c r="UQJ915" s="1091"/>
      <c r="UQK915" s="1091"/>
      <c r="UQL915" s="1091"/>
      <c r="UQM915" s="1091"/>
      <c r="UQN915" s="1091"/>
      <c r="UQO915" s="1091"/>
      <c r="UQP915" s="1091"/>
      <c r="UQQ915" s="1091"/>
      <c r="UQR915" s="1091"/>
      <c r="UQS915" s="1091"/>
      <c r="UQT915" s="1091"/>
      <c r="UQU915" s="1091"/>
      <c r="UQV915" s="1091"/>
      <c r="UQW915" s="1091"/>
      <c r="UQX915" s="1091"/>
      <c r="UQY915" s="1091"/>
      <c r="UQZ915" s="1091"/>
      <c r="URA915" s="1091"/>
      <c r="URB915" s="1091"/>
      <c r="URC915" s="1091"/>
      <c r="URD915" s="1091"/>
      <c r="URE915" s="1091"/>
      <c r="URF915" s="1091"/>
      <c r="URG915" s="1091"/>
      <c r="URH915" s="1091"/>
      <c r="URI915" s="1091"/>
      <c r="URJ915" s="1091"/>
      <c r="URK915" s="1091"/>
      <c r="URL915" s="1091"/>
      <c r="URM915" s="1091"/>
      <c r="URN915" s="1091"/>
      <c r="URO915" s="1091"/>
      <c r="URP915" s="1091"/>
      <c r="URQ915" s="1091"/>
      <c r="URR915" s="1091"/>
      <c r="URS915" s="1091"/>
      <c r="URT915" s="1091"/>
      <c r="URU915" s="1091"/>
      <c r="URV915" s="1091"/>
      <c r="URW915" s="1091"/>
      <c r="URX915" s="1091"/>
      <c r="URY915" s="1091"/>
      <c r="URZ915" s="1091"/>
      <c r="USA915" s="1091"/>
      <c r="USB915" s="1091"/>
      <c r="USC915" s="1091"/>
      <c r="USD915" s="1091"/>
      <c r="USE915" s="1091"/>
      <c r="USF915" s="1091"/>
      <c r="USG915" s="1091"/>
      <c r="USH915" s="1091"/>
      <c r="USI915" s="1091"/>
      <c r="USJ915" s="1091"/>
      <c r="USK915" s="1091"/>
      <c r="USL915" s="1091"/>
      <c r="USM915" s="1091"/>
      <c r="USN915" s="1091"/>
      <c r="USO915" s="1091"/>
      <c r="USP915" s="1091"/>
      <c r="USQ915" s="1091"/>
      <c r="USR915" s="1091"/>
      <c r="USS915" s="1091"/>
      <c r="UST915" s="1091"/>
      <c r="USU915" s="1091"/>
      <c r="USV915" s="1091"/>
      <c r="USW915" s="1091"/>
      <c r="USX915" s="1091"/>
      <c r="USY915" s="1091"/>
      <c r="USZ915" s="1091"/>
      <c r="UTA915" s="1091"/>
      <c r="UTB915" s="1091"/>
      <c r="UTC915" s="1091"/>
      <c r="UTD915" s="1091"/>
      <c r="UTE915" s="1091"/>
      <c r="UTF915" s="1091"/>
      <c r="UTG915" s="1091"/>
      <c r="UTH915" s="1091"/>
      <c r="UTI915" s="1091"/>
      <c r="UTJ915" s="1091"/>
      <c r="UTK915" s="1091"/>
      <c r="UTL915" s="1091"/>
      <c r="UTM915" s="1091"/>
      <c r="UTN915" s="1091"/>
      <c r="UTO915" s="1091"/>
      <c r="UTP915" s="1091"/>
      <c r="UTQ915" s="1091"/>
      <c r="UTR915" s="1091"/>
      <c r="UTS915" s="1091"/>
      <c r="UTT915" s="1091"/>
      <c r="UTU915" s="1091"/>
      <c r="UTV915" s="1091"/>
      <c r="UTW915" s="1091"/>
      <c r="UTX915" s="1091"/>
      <c r="UTY915" s="1091"/>
      <c r="UTZ915" s="1091"/>
      <c r="UUA915" s="1091"/>
      <c r="UUB915" s="1091"/>
      <c r="UUC915" s="1091"/>
      <c r="UUD915" s="1091"/>
      <c r="UUE915" s="1091"/>
      <c r="UUF915" s="1091"/>
      <c r="UUG915" s="1091"/>
      <c r="UUH915" s="1091"/>
      <c r="UUI915" s="1091"/>
      <c r="UUJ915" s="1091"/>
      <c r="UUK915" s="1091"/>
      <c r="UUL915" s="1091"/>
      <c r="UUM915" s="1091"/>
      <c r="UUN915" s="1091"/>
      <c r="UUO915" s="1091"/>
      <c r="UUP915" s="1091"/>
      <c r="UUQ915" s="1091"/>
      <c r="UUR915" s="1091"/>
      <c r="UUS915" s="1091"/>
      <c r="UUT915" s="1091"/>
      <c r="UUU915" s="1091"/>
      <c r="UUV915" s="1091"/>
      <c r="UUW915" s="1091"/>
      <c r="UUX915" s="1091"/>
      <c r="UUY915" s="1091"/>
      <c r="UUZ915" s="1091"/>
      <c r="UVA915" s="1091"/>
      <c r="UVB915" s="1091"/>
      <c r="UVC915" s="1091"/>
      <c r="UVD915" s="1091"/>
      <c r="UVE915" s="1091"/>
      <c r="UVF915" s="1091"/>
      <c r="UVG915" s="1091"/>
      <c r="UVH915" s="1091"/>
      <c r="UVI915" s="1091"/>
      <c r="UVJ915" s="1091"/>
      <c r="UVK915" s="1091"/>
      <c r="UVL915" s="1091"/>
      <c r="UVM915" s="1091"/>
      <c r="UVN915" s="1091"/>
      <c r="UVO915" s="1091"/>
      <c r="UVP915" s="1091"/>
      <c r="UVQ915" s="1091"/>
      <c r="UVR915" s="1091"/>
      <c r="UVS915" s="1091"/>
      <c r="UVT915" s="1091"/>
      <c r="UVU915" s="1091"/>
      <c r="UVV915" s="1091"/>
      <c r="UVW915" s="1091"/>
      <c r="UVX915" s="1091"/>
      <c r="UVY915" s="1091"/>
      <c r="UVZ915" s="1091"/>
      <c r="UWA915" s="1091"/>
      <c r="UWB915" s="1091"/>
      <c r="UWC915" s="1091"/>
      <c r="UWD915" s="1091"/>
      <c r="UWE915" s="1091"/>
      <c r="UWF915" s="1091"/>
      <c r="UWG915" s="1091"/>
      <c r="UWH915" s="1091"/>
      <c r="UWI915" s="1091"/>
      <c r="UWJ915" s="1091"/>
      <c r="UWK915" s="1091"/>
      <c r="UWL915" s="1091"/>
      <c r="UWM915" s="1091"/>
      <c r="UWN915" s="1091"/>
      <c r="UWO915" s="1091"/>
      <c r="UWP915" s="1091"/>
      <c r="UWQ915" s="1091"/>
      <c r="UWR915" s="1091"/>
      <c r="UWS915" s="1091"/>
      <c r="UWT915" s="1091"/>
      <c r="UWU915" s="1091"/>
      <c r="UWV915" s="1091"/>
      <c r="UWW915" s="1091"/>
      <c r="UWX915" s="1091"/>
      <c r="UWY915" s="1091"/>
      <c r="UWZ915" s="1091"/>
      <c r="UXA915" s="1091"/>
      <c r="UXB915" s="1091"/>
      <c r="UXC915" s="1091"/>
      <c r="UXD915" s="1091"/>
      <c r="UXE915" s="1091"/>
      <c r="UXF915" s="1091"/>
      <c r="UXG915" s="1091"/>
      <c r="UXH915" s="1091"/>
      <c r="UXI915" s="1091"/>
      <c r="UXJ915" s="1091"/>
      <c r="UXK915" s="1091"/>
      <c r="UXL915" s="1091"/>
      <c r="UXM915" s="1091"/>
      <c r="UXN915" s="1091"/>
      <c r="UXO915" s="1091"/>
      <c r="UXP915" s="1091"/>
      <c r="UXQ915" s="1091"/>
      <c r="UXR915" s="1091"/>
      <c r="UXS915" s="1091"/>
      <c r="UXT915" s="1091"/>
      <c r="UXU915" s="1091"/>
      <c r="UXV915" s="1091"/>
      <c r="UXW915" s="1091"/>
      <c r="UXX915" s="1091"/>
      <c r="UXY915" s="1091"/>
      <c r="UXZ915" s="1091"/>
      <c r="UYA915" s="1091"/>
      <c r="UYB915" s="1091"/>
      <c r="UYC915" s="1091"/>
      <c r="UYD915" s="1091"/>
      <c r="UYE915" s="1091"/>
      <c r="UYF915" s="1091"/>
      <c r="UYG915" s="1091"/>
      <c r="UYH915" s="1091"/>
      <c r="UYI915" s="1091"/>
      <c r="UYJ915" s="1091"/>
      <c r="UYK915" s="1091"/>
      <c r="UYL915" s="1091"/>
      <c r="UYM915" s="1091"/>
      <c r="UYN915" s="1091"/>
      <c r="UYO915" s="1091"/>
      <c r="UYP915" s="1091"/>
      <c r="UYQ915" s="1091"/>
      <c r="UYR915" s="1091"/>
      <c r="UYS915" s="1091"/>
      <c r="UYT915" s="1091"/>
      <c r="UYU915" s="1091"/>
      <c r="UYV915" s="1091"/>
      <c r="UYW915" s="1091"/>
      <c r="UYX915" s="1091"/>
      <c r="UYY915" s="1091"/>
      <c r="UYZ915" s="1091"/>
      <c r="UZA915" s="1091"/>
      <c r="UZB915" s="1091"/>
      <c r="UZC915" s="1091"/>
      <c r="UZD915" s="1091"/>
      <c r="UZE915" s="1091"/>
      <c r="UZF915" s="1091"/>
      <c r="UZG915" s="1091"/>
      <c r="UZH915" s="1091"/>
      <c r="UZI915" s="1091"/>
      <c r="UZJ915" s="1091"/>
      <c r="UZK915" s="1091"/>
      <c r="UZL915" s="1091"/>
      <c r="UZM915" s="1091"/>
      <c r="UZN915" s="1091"/>
      <c r="UZO915" s="1091"/>
      <c r="UZP915" s="1091"/>
      <c r="UZQ915" s="1091"/>
      <c r="UZR915" s="1091"/>
      <c r="UZS915" s="1091"/>
      <c r="UZT915" s="1091"/>
      <c r="UZU915" s="1091"/>
      <c r="UZV915" s="1091"/>
      <c r="UZW915" s="1091"/>
      <c r="UZX915" s="1091"/>
      <c r="UZY915" s="1091"/>
      <c r="UZZ915" s="1091"/>
      <c r="VAA915" s="1091"/>
      <c r="VAB915" s="1091"/>
      <c r="VAC915" s="1091"/>
      <c r="VAD915" s="1091"/>
      <c r="VAE915" s="1091"/>
      <c r="VAF915" s="1091"/>
      <c r="VAG915" s="1091"/>
      <c r="VAH915" s="1091"/>
      <c r="VAI915" s="1091"/>
      <c r="VAJ915" s="1091"/>
      <c r="VAK915" s="1091"/>
      <c r="VAL915" s="1091"/>
      <c r="VAM915" s="1091"/>
      <c r="VAN915" s="1091"/>
      <c r="VAO915" s="1091"/>
      <c r="VAP915" s="1091"/>
      <c r="VAQ915" s="1091"/>
      <c r="VAR915" s="1091"/>
      <c r="VAS915" s="1091"/>
      <c r="VAT915" s="1091"/>
      <c r="VAU915" s="1091"/>
      <c r="VAV915" s="1091"/>
      <c r="VAW915" s="1091"/>
      <c r="VAX915" s="1091"/>
      <c r="VAY915" s="1091"/>
      <c r="VAZ915" s="1091"/>
      <c r="VBA915" s="1091"/>
      <c r="VBB915" s="1091"/>
      <c r="VBC915" s="1091"/>
      <c r="VBD915" s="1091"/>
      <c r="VBE915" s="1091"/>
      <c r="VBF915" s="1091"/>
      <c r="VBG915" s="1091"/>
      <c r="VBH915" s="1091"/>
      <c r="VBI915" s="1091"/>
      <c r="VBJ915" s="1091"/>
      <c r="VBK915" s="1091"/>
      <c r="VBL915" s="1091"/>
      <c r="VBM915" s="1091"/>
      <c r="VBN915" s="1091"/>
      <c r="VBO915" s="1091"/>
      <c r="VBP915" s="1091"/>
      <c r="VBQ915" s="1091"/>
      <c r="VBR915" s="1091"/>
      <c r="VBS915" s="1091"/>
      <c r="VBT915" s="1091"/>
      <c r="VBU915" s="1091"/>
      <c r="VBV915" s="1091"/>
      <c r="VBW915" s="1091"/>
      <c r="VBX915" s="1091"/>
      <c r="VBY915" s="1091"/>
      <c r="VBZ915" s="1091"/>
      <c r="VCA915" s="1091"/>
      <c r="VCB915" s="1091"/>
      <c r="VCC915" s="1091"/>
      <c r="VCD915" s="1091"/>
      <c r="VCE915" s="1091"/>
      <c r="VCF915" s="1091"/>
      <c r="VCG915" s="1091"/>
      <c r="VCH915" s="1091"/>
      <c r="VCI915" s="1091"/>
      <c r="VCJ915" s="1091"/>
      <c r="VCK915" s="1091"/>
      <c r="VCL915" s="1091"/>
      <c r="VCM915" s="1091"/>
      <c r="VCN915" s="1091"/>
      <c r="VCO915" s="1091"/>
      <c r="VCP915" s="1091"/>
      <c r="VCQ915" s="1091"/>
      <c r="VCR915" s="1091"/>
      <c r="VCS915" s="1091"/>
      <c r="VCT915" s="1091"/>
      <c r="VCU915" s="1091"/>
      <c r="VCV915" s="1091"/>
      <c r="VCW915" s="1091"/>
      <c r="VCX915" s="1091"/>
      <c r="VCY915" s="1091"/>
      <c r="VCZ915" s="1091"/>
      <c r="VDA915" s="1091"/>
      <c r="VDB915" s="1091"/>
      <c r="VDC915" s="1091"/>
      <c r="VDD915" s="1091"/>
      <c r="VDE915" s="1091"/>
      <c r="VDF915" s="1091"/>
      <c r="VDG915" s="1091"/>
      <c r="VDH915" s="1091"/>
      <c r="VDI915" s="1091"/>
      <c r="VDJ915" s="1091"/>
      <c r="VDK915" s="1091"/>
      <c r="VDL915" s="1091"/>
      <c r="VDM915" s="1091"/>
      <c r="VDN915" s="1091"/>
      <c r="VDO915" s="1091"/>
      <c r="VDP915" s="1091"/>
      <c r="VDQ915" s="1091"/>
      <c r="VDR915" s="1091"/>
      <c r="VDS915" s="1091"/>
      <c r="VDT915" s="1091"/>
      <c r="VDU915" s="1091"/>
      <c r="VDV915" s="1091"/>
      <c r="VDW915" s="1091"/>
      <c r="VDX915" s="1091"/>
      <c r="VDY915" s="1091"/>
      <c r="VDZ915" s="1091"/>
      <c r="VEA915" s="1091"/>
      <c r="VEB915" s="1091"/>
      <c r="VEC915" s="1091"/>
      <c r="VED915" s="1091"/>
      <c r="VEE915" s="1091"/>
      <c r="VEF915" s="1091"/>
      <c r="VEG915" s="1091"/>
      <c r="VEH915" s="1091"/>
      <c r="VEI915" s="1091"/>
      <c r="VEJ915" s="1091"/>
      <c r="VEK915" s="1091"/>
      <c r="VEL915" s="1091"/>
      <c r="VEM915" s="1091"/>
      <c r="VEN915" s="1091"/>
      <c r="VEO915" s="1091"/>
      <c r="VEP915" s="1091"/>
      <c r="VEQ915" s="1091"/>
      <c r="VER915" s="1091"/>
      <c r="VES915" s="1091"/>
      <c r="VET915" s="1091"/>
      <c r="VEU915" s="1091"/>
      <c r="VEV915" s="1091"/>
      <c r="VEW915" s="1091"/>
      <c r="VEX915" s="1091"/>
      <c r="VEY915" s="1091"/>
      <c r="VEZ915" s="1091"/>
      <c r="VFA915" s="1091"/>
      <c r="VFB915" s="1091"/>
      <c r="VFC915" s="1091"/>
      <c r="VFD915" s="1091"/>
      <c r="VFE915" s="1091"/>
      <c r="VFF915" s="1091"/>
      <c r="VFG915" s="1091"/>
      <c r="VFH915" s="1091"/>
      <c r="VFI915" s="1091"/>
      <c r="VFJ915" s="1091"/>
      <c r="VFK915" s="1091"/>
      <c r="VFL915" s="1091"/>
      <c r="VFM915" s="1091"/>
      <c r="VFN915" s="1091"/>
      <c r="VFO915" s="1091"/>
      <c r="VFP915" s="1091"/>
      <c r="VFQ915" s="1091"/>
      <c r="VFR915" s="1091"/>
      <c r="VFS915" s="1091"/>
      <c r="VFT915" s="1091"/>
      <c r="VFU915" s="1091"/>
      <c r="VFV915" s="1091"/>
      <c r="VFW915" s="1091"/>
      <c r="VFX915" s="1091"/>
      <c r="VFY915" s="1091"/>
      <c r="VFZ915" s="1091"/>
      <c r="VGA915" s="1091"/>
      <c r="VGB915" s="1091"/>
      <c r="VGC915" s="1091"/>
      <c r="VGD915" s="1091"/>
      <c r="VGE915" s="1091"/>
      <c r="VGF915" s="1091"/>
      <c r="VGG915" s="1091"/>
      <c r="VGH915" s="1091"/>
      <c r="VGI915" s="1091"/>
      <c r="VGJ915" s="1091"/>
      <c r="VGK915" s="1091"/>
      <c r="VGL915" s="1091"/>
      <c r="VGM915" s="1091"/>
      <c r="VGN915" s="1091"/>
      <c r="VGO915" s="1091"/>
      <c r="VGP915" s="1091"/>
      <c r="VGQ915" s="1091"/>
      <c r="VGR915" s="1091"/>
      <c r="VGS915" s="1091"/>
      <c r="VGT915" s="1091"/>
      <c r="VGU915" s="1091"/>
      <c r="VGV915" s="1091"/>
      <c r="VGW915" s="1091"/>
      <c r="VGX915" s="1091"/>
      <c r="VGY915" s="1091"/>
      <c r="VGZ915" s="1091"/>
      <c r="VHA915" s="1091"/>
      <c r="VHB915" s="1091"/>
      <c r="VHC915" s="1091"/>
      <c r="VHD915" s="1091"/>
      <c r="VHE915" s="1091"/>
      <c r="VHF915" s="1091"/>
      <c r="VHG915" s="1091"/>
      <c r="VHH915" s="1091"/>
      <c r="VHI915" s="1091"/>
      <c r="VHJ915" s="1091"/>
      <c r="VHK915" s="1091"/>
      <c r="VHL915" s="1091"/>
      <c r="VHM915" s="1091"/>
      <c r="VHN915" s="1091"/>
      <c r="VHO915" s="1091"/>
      <c r="VHP915" s="1091"/>
      <c r="VHQ915" s="1091"/>
      <c r="VHR915" s="1091"/>
      <c r="VHS915" s="1091"/>
      <c r="VHT915" s="1091"/>
      <c r="VHU915" s="1091"/>
      <c r="VHV915" s="1091"/>
      <c r="VHW915" s="1091"/>
      <c r="VHX915" s="1091"/>
      <c r="VHY915" s="1091"/>
      <c r="VHZ915" s="1091"/>
      <c r="VIA915" s="1091"/>
      <c r="VIB915" s="1091"/>
      <c r="VIC915" s="1091"/>
      <c r="VID915" s="1091"/>
      <c r="VIE915" s="1091"/>
      <c r="VIF915" s="1091"/>
      <c r="VIG915" s="1091"/>
      <c r="VIH915" s="1091"/>
      <c r="VII915" s="1091"/>
      <c r="VIJ915" s="1091"/>
      <c r="VIK915" s="1091"/>
      <c r="VIL915" s="1091"/>
      <c r="VIM915" s="1091"/>
      <c r="VIN915" s="1091"/>
      <c r="VIO915" s="1091"/>
      <c r="VIP915" s="1091"/>
      <c r="VIQ915" s="1091"/>
      <c r="VIR915" s="1091"/>
      <c r="VIS915" s="1091"/>
      <c r="VIT915" s="1091"/>
      <c r="VIU915" s="1091"/>
      <c r="VIV915" s="1091"/>
      <c r="VIW915" s="1091"/>
      <c r="VIX915" s="1091"/>
      <c r="VIY915" s="1091"/>
      <c r="VIZ915" s="1091"/>
      <c r="VJA915" s="1091"/>
      <c r="VJB915" s="1091"/>
      <c r="VJC915" s="1091"/>
      <c r="VJD915" s="1091"/>
      <c r="VJE915" s="1091"/>
      <c r="VJF915" s="1091"/>
      <c r="VJG915" s="1091"/>
      <c r="VJH915" s="1091"/>
      <c r="VJI915" s="1091"/>
      <c r="VJJ915" s="1091"/>
      <c r="VJK915" s="1091"/>
      <c r="VJL915" s="1091"/>
      <c r="VJM915" s="1091"/>
      <c r="VJN915" s="1091"/>
      <c r="VJO915" s="1091"/>
      <c r="VJP915" s="1091"/>
      <c r="VJQ915" s="1091"/>
      <c r="VJR915" s="1091"/>
      <c r="VJS915" s="1091"/>
      <c r="VJT915" s="1091"/>
      <c r="VJU915" s="1091"/>
      <c r="VJV915" s="1091"/>
      <c r="VJW915" s="1091"/>
      <c r="VJX915" s="1091"/>
      <c r="VJY915" s="1091"/>
      <c r="VJZ915" s="1091"/>
      <c r="VKA915" s="1091"/>
      <c r="VKB915" s="1091"/>
      <c r="VKC915" s="1091"/>
      <c r="VKD915" s="1091"/>
      <c r="VKE915" s="1091"/>
      <c r="VKF915" s="1091"/>
      <c r="VKG915" s="1091"/>
      <c r="VKH915" s="1091"/>
      <c r="VKI915" s="1091"/>
      <c r="VKJ915" s="1091"/>
      <c r="VKK915" s="1091"/>
      <c r="VKL915" s="1091"/>
      <c r="VKM915" s="1091"/>
      <c r="VKN915" s="1091"/>
      <c r="VKO915" s="1091"/>
      <c r="VKP915" s="1091"/>
      <c r="VKQ915" s="1091"/>
      <c r="VKR915" s="1091"/>
      <c r="VKS915" s="1091"/>
      <c r="VKT915" s="1091"/>
      <c r="VKU915" s="1091"/>
      <c r="VKV915" s="1091"/>
      <c r="VKW915" s="1091"/>
      <c r="VKX915" s="1091"/>
      <c r="VKY915" s="1091"/>
      <c r="VKZ915" s="1091"/>
      <c r="VLA915" s="1091"/>
      <c r="VLB915" s="1091"/>
      <c r="VLC915" s="1091"/>
      <c r="VLD915" s="1091"/>
      <c r="VLE915" s="1091"/>
      <c r="VLF915" s="1091"/>
      <c r="VLG915" s="1091"/>
      <c r="VLH915" s="1091"/>
      <c r="VLI915" s="1091"/>
      <c r="VLJ915" s="1091"/>
      <c r="VLK915" s="1091"/>
      <c r="VLL915" s="1091"/>
      <c r="VLM915" s="1091"/>
      <c r="VLN915" s="1091"/>
      <c r="VLO915" s="1091"/>
      <c r="VLP915" s="1091"/>
      <c r="VLQ915" s="1091"/>
      <c r="VLR915" s="1091"/>
      <c r="VLS915" s="1091"/>
      <c r="VLT915" s="1091"/>
      <c r="VLU915" s="1091"/>
      <c r="VLV915" s="1091"/>
      <c r="VLW915" s="1091"/>
      <c r="VLX915" s="1091"/>
      <c r="VLY915" s="1091"/>
      <c r="VLZ915" s="1091"/>
      <c r="VMA915" s="1091"/>
      <c r="VMB915" s="1091"/>
      <c r="VMC915" s="1091"/>
      <c r="VMD915" s="1091"/>
      <c r="VME915" s="1091"/>
      <c r="VMF915" s="1091"/>
      <c r="VMG915" s="1091"/>
      <c r="VMH915" s="1091"/>
      <c r="VMI915" s="1091"/>
      <c r="VMJ915" s="1091"/>
      <c r="VMK915" s="1091"/>
      <c r="VML915" s="1091"/>
      <c r="VMM915" s="1091"/>
      <c r="VMN915" s="1091"/>
      <c r="VMO915" s="1091"/>
      <c r="VMP915" s="1091"/>
      <c r="VMQ915" s="1091"/>
      <c r="VMR915" s="1091"/>
      <c r="VMS915" s="1091"/>
      <c r="VMT915" s="1091"/>
      <c r="VMU915" s="1091"/>
      <c r="VMV915" s="1091"/>
      <c r="VMW915" s="1091"/>
      <c r="VMX915" s="1091"/>
      <c r="VMY915" s="1091"/>
      <c r="VMZ915" s="1091"/>
      <c r="VNA915" s="1091"/>
      <c r="VNB915" s="1091"/>
      <c r="VNC915" s="1091"/>
      <c r="VND915" s="1091"/>
      <c r="VNE915" s="1091"/>
      <c r="VNF915" s="1091"/>
      <c r="VNG915" s="1091"/>
      <c r="VNH915" s="1091"/>
      <c r="VNI915" s="1091"/>
      <c r="VNJ915" s="1091"/>
      <c r="VNK915" s="1091"/>
      <c r="VNL915" s="1091"/>
      <c r="VNM915" s="1091"/>
      <c r="VNN915" s="1091"/>
      <c r="VNO915" s="1091"/>
      <c r="VNP915" s="1091"/>
      <c r="VNQ915" s="1091"/>
      <c r="VNR915" s="1091"/>
      <c r="VNS915" s="1091"/>
      <c r="VNT915" s="1091"/>
      <c r="VNU915" s="1091"/>
      <c r="VNV915" s="1091"/>
      <c r="VNW915" s="1091"/>
      <c r="VNX915" s="1091"/>
      <c r="VNY915" s="1091"/>
      <c r="VNZ915" s="1091"/>
      <c r="VOA915" s="1091"/>
      <c r="VOB915" s="1091"/>
      <c r="VOC915" s="1091"/>
      <c r="VOD915" s="1091"/>
      <c r="VOE915" s="1091"/>
      <c r="VOF915" s="1091"/>
      <c r="VOG915" s="1091"/>
      <c r="VOH915" s="1091"/>
      <c r="VOI915" s="1091"/>
      <c r="VOJ915" s="1091"/>
      <c r="VOK915" s="1091"/>
      <c r="VOL915" s="1091"/>
      <c r="VOM915" s="1091"/>
      <c r="VON915" s="1091"/>
      <c r="VOO915" s="1091"/>
      <c r="VOP915" s="1091"/>
      <c r="VOQ915" s="1091"/>
      <c r="VOR915" s="1091"/>
      <c r="VOS915" s="1091"/>
      <c r="VOT915" s="1091"/>
      <c r="VOU915" s="1091"/>
      <c r="VOV915" s="1091"/>
      <c r="VOW915" s="1091"/>
      <c r="VOX915" s="1091"/>
      <c r="VOY915" s="1091"/>
      <c r="VOZ915" s="1091"/>
      <c r="VPA915" s="1091"/>
      <c r="VPB915" s="1091"/>
      <c r="VPC915" s="1091"/>
      <c r="VPD915" s="1091"/>
      <c r="VPE915" s="1091"/>
      <c r="VPF915" s="1091"/>
      <c r="VPG915" s="1091"/>
      <c r="VPH915" s="1091"/>
      <c r="VPI915" s="1091"/>
      <c r="VPJ915" s="1091"/>
      <c r="VPK915" s="1091"/>
      <c r="VPL915" s="1091"/>
      <c r="VPM915" s="1091"/>
      <c r="VPN915" s="1091"/>
      <c r="VPO915" s="1091"/>
      <c r="VPP915" s="1091"/>
      <c r="VPQ915" s="1091"/>
      <c r="VPR915" s="1091"/>
      <c r="VPS915" s="1091"/>
      <c r="VPT915" s="1091"/>
      <c r="VPU915" s="1091"/>
      <c r="VPV915" s="1091"/>
      <c r="VPW915" s="1091"/>
      <c r="VPX915" s="1091"/>
      <c r="VPY915" s="1091"/>
      <c r="VPZ915" s="1091"/>
      <c r="VQA915" s="1091"/>
      <c r="VQB915" s="1091"/>
      <c r="VQC915" s="1091"/>
      <c r="VQD915" s="1091"/>
      <c r="VQE915" s="1091"/>
      <c r="VQF915" s="1091"/>
      <c r="VQG915" s="1091"/>
      <c r="VQH915" s="1091"/>
      <c r="VQI915" s="1091"/>
      <c r="VQJ915" s="1091"/>
      <c r="VQK915" s="1091"/>
      <c r="VQL915" s="1091"/>
      <c r="VQM915" s="1091"/>
      <c r="VQN915" s="1091"/>
      <c r="VQO915" s="1091"/>
      <c r="VQP915" s="1091"/>
      <c r="VQQ915" s="1091"/>
      <c r="VQR915" s="1091"/>
      <c r="VQS915" s="1091"/>
      <c r="VQT915" s="1091"/>
      <c r="VQU915" s="1091"/>
      <c r="VQV915" s="1091"/>
      <c r="VQW915" s="1091"/>
      <c r="VQX915" s="1091"/>
      <c r="VQY915" s="1091"/>
      <c r="VQZ915" s="1091"/>
      <c r="VRA915" s="1091"/>
      <c r="VRB915" s="1091"/>
      <c r="VRC915" s="1091"/>
      <c r="VRD915" s="1091"/>
      <c r="VRE915" s="1091"/>
      <c r="VRF915" s="1091"/>
      <c r="VRG915" s="1091"/>
      <c r="VRH915" s="1091"/>
      <c r="VRI915" s="1091"/>
      <c r="VRJ915" s="1091"/>
      <c r="VRK915" s="1091"/>
      <c r="VRL915" s="1091"/>
      <c r="VRM915" s="1091"/>
      <c r="VRN915" s="1091"/>
      <c r="VRO915" s="1091"/>
      <c r="VRP915" s="1091"/>
      <c r="VRQ915" s="1091"/>
      <c r="VRR915" s="1091"/>
      <c r="VRS915" s="1091"/>
      <c r="VRT915" s="1091"/>
      <c r="VRU915" s="1091"/>
      <c r="VRV915" s="1091"/>
      <c r="VRW915" s="1091"/>
      <c r="VRX915" s="1091"/>
      <c r="VRY915" s="1091"/>
      <c r="VRZ915" s="1091"/>
      <c r="VSA915" s="1091"/>
      <c r="VSB915" s="1091"/>
      <c r="VSC915" s="1091"/>
      <c r="VSD915" s="1091"/>
      <c r="VSE915" s="1091"/>
      <c r="VSF915" s="1091"/>
      <c r="VSG915" s="1091"/>
      <c r="VSH915" s="1091"/>
      <c r="VSI915" s="1091"/>
      <c r="VSJ915" s="1091"/>
      <c r="VSK915" s="1091"/>
      <c r="VSL915" s="1091"/>
      <c r="VSM915" s="1091"/>
      <c r="VSN915" s="1091"/>
      <c r="VSO915" s="1091"/>
      <c r="VSP915" s="1091"/>
      <c r="VSQ915" s="1091"/>
      <c r="VSR915" s="1091"/>
      <c r="VSS915" s="1091"/>
      <c r="VST915" s="1091"/>
      <c r="VSU915" s="1091"/>
      <c r="VSV915" s="1091"/>
      <c r="VSW915" s="1091"/>
      <c r="VSX915" s="1091"/>
      <c r="VSY915" s="1091"/>
      <c r="VSZ915" s="1091"/>
      <c r="VTA915" s="1091"/>
      <c r="VTB915" s="1091"/>
      <c r="VTC915" s="1091"/>
      <c r="VTD915" s="1091"/>
      <c r="VTE915" s="1091"/>
      <c r="VTF915" s="1091"/>
      <c r="VTG915" s="1091"/>
      <c r="VTH915" s="1091"/>
      <c r="VTI915" s="1091"/>
      <c r="VTJ915" s="1091"/>
      <c r="VTK915" s="1091"/>
      <c r="VTL915" s="1091"/>
      <c r="VTM915" s="1091"/>
      <c r="VTN915" s="1091"/>
      <c r="VTO915" s="1091"/>
      <c r="VTP915" s="1091"/>
      <c r="VTQ915" s="1091"/>
      <c r="VTR915" s="1091"/>
      <c r="VTS915" s="1091"/>
      <c r="VTT915" s="1091"/>
      <c r="VTU915" s="1091"/>
      <c r="VTV915" s="1091"/>
      <c r="VTW915" s="1091"/>
      <c r="VTX915" s="1091"/>
      <c r="VTY915" s="1091"/>
      <c r="VTZ915" s="1091"/>
      <c r="VUA915" s="1091"/>
      <c r="VUB915" s="1091"/>
      <c r="VUC915" s="1091"/>
      <c r="VUD915" s="1091"/>
      <c r="VUE915" s="1091"/>
      <c r="VUF915" s="1091"/>
      <c r="VUG915" s="1091"/>
      <c r="VUH915" s="1091"/>
      <c r="VUI915" s="1091"/>
      <c r="VUJ915" s="1091"/>
      <c r="VUK915" s="1091"/>
      <c r="VUL915" s="1091"/>
      <c r="VUM915" s="1091"/>
      <c r="VUN915" s="1091"/>
      <c r="VUO915" s="1091"/>
      <c r="VUP915" s="1091"/>
      <c r="VUQ915" s="1091"/>
      <c r="VUR915" s="1091"/>
      <c r="VUS915" s="1091"/>
      <c r="VUT915" s="1091"/>
      <c r="VUU915" s="1091"/>
      <c r="VUV915" s="1091"/>
      <c r="VUW915" s="1091"/>
      <c r="VUX915" s="1091"/>
      <c r="VUY915" s="1091"/>
      <c r="VUZ915" s="1091"/>
      <c r="VVA915" s="1091"/>
      <c r="VVB915" s="1091"/>
      <c r="VVC915" s="1091"/>
      <c r="VVD915" s="1091"/>
      <c r="VVE915" s="1091"/>
      <c r="VVF915" s="1091"/>
      <c r="VVG915" s="1091"/>
      <c r="VVH915" s="1091"/>
      <c r="VVI915" s="1091"/>
      <c r="VVJ915" s="1091"/>
      <c r="VVK915" s="1091"/>
      <c r="VVL915" s="1091"/>
      <c r="VVM915" s="1091"/>
      <c r="VVN915" s="1091"/>
      <c r="VVO915" s="1091"/>
      <c r="VVP915" s="1091"/>
      <c r="VVQ915" s="1091"/>
      <c r="VVR915" s="1091"/>
      <c r="VVS915" s="1091"/>
      <c r="VVT915" s="1091"/>
      <c r="VVU915" s="1091"/>
      <c r="VVV915" s="1091"/>
      <c r="VVW915" s="1091"/>
      <c r="VVX915" s="1091"/>
      <c r="VVY915" s="1091"/>
      <c r="VVZ915" s="1091"/>
      <c r="VWA915" s="1091"/>
      <c r="VWB915" s="1091"/>
      <c r="VWC915" s="1091"/>
      <c r="VWD915" s="1091"/>
      <c r="VWE915" s="1091"/>
      <c r="VWF915" s="1091"/>
      <c r="VWG915" s="1091"/>
      <c r="VWH915" s="1091"/>
      <c r="VWI915" s="1091"/>
      <c r="VWJ915" s="1091"/>
      <c r="VWK915" s="1091"/>
      <c r="VWL915" s="1091"/>
      <c r="VWM915" s="1091"/>
      <c r="VWN915" s="1091"/>
      <c r="VWO915" s="1091"/>
      <c r="VWP915" s="1091"/>
      <c r="VWQ915" s="1091"/>
      <c r="VWR915" s="1091"/>
      <c r="VWS915" s="1091"/>
      <c r="VWT915" s="1091"/>
      <c r="VWU915" s="1091"/>
      <c r="VWV915" s="1091"/>
      <c r="VWW915" s="1091"/>
      <c r="VWX915" s="1091"/>
      <c r="VWY915" s="1091"/>
      <c r="VWZ915" s="1091"/>
      <c r="VXA915" s="1091"/>
      <c r="VXB915" s="1091"/>
      <c r="VXC915" s="1091"/>
      <c r="VXD915" s="1091"/>
      <c r="VXE915" s="1091"/>
      <c r="VXF915" s="1091"/>
      <c r="VXG915" s="1091"/>
      <c r="VXH915" s="1091"/>
      <c r="VXI915" s="1091"/>
      <c r="VXJ915" s="1091"/>
      <c r="VXK915" s="1091"/>
      <c r="VXL915" s="1091"/>
      <c r="VXM915" s="1091"/>
      <c r="VXN915" s="1091"/>
      <c r="VXO915" s="1091"/>
      <c r="VXP915" s="1091"/>
      <c r="VXQ915" s="1091"/>
      <c r="VXR915" s="1091"/>
      <c r="VXS915" s="1091"/>
      <c r="VXT915" s="1091"/>
      <c r="VXU915" s="1091"/>
      <c r="VXV915" s="1091"/>
      <c r="VXW915" s="1091"/>
      <c r="VXX915" s="1091"/>
      <c r="VXY915" s="1091"/>
      <c r="VXZ915" s="1091"/>
      <c r="VYA915" s="1091"/>
      <c r="VYB915" s="1091"/>
      <c r="VYC915" s="1091"/>
      <c r="VYD915" s="1091"/>
      <c r="VYE915" s="1091"/>
      <c r="VYF915" s="1091"/>
      <c r="VYG915" s="1091"/>
      <c r="VYH915" s="1091"/>
      <c r="VYI915" s="1091"/>
      <c r="VYJ915" s="1091"/>
      <c r="VYK915" s="1091"/>
      <c r="VYL915" s="1091"/>
      <c r="VYM915" s="1091"/>
      <c r="VYN915" s="1091"/>
      <c r="VYO915" s="1091"/>
      <c r="VYP915" s="1091"/>
      <c r="VYQ915" s="1091"/>
      <c r="VYR915" s="1091"/>
      <c r="VYS915" s="1091"/>
      <c r="VYT915" s="1091"/>
      <c r="VYU915" s="1091"/>
      <c r="VYV915" s="1091"/>
      <c r="VYW915" s="1091"/>
      <c r="VYX915" s="1091"/>
      <c r="VYY915" s="1091"/>
      <c r="VYZ915" s="1091"/>
      <c r="VZA915" s="1091"/>
      <c r="VZB915" s="1091"/>
      <c r="VZC915" s="1091"/>
      <c r="VZD915" s="1091"/>
      <c r="VZE915" s="1091"/>
      <c r="VZF915" s="1091"/>
      <c r="VZG915" s="1091"/>
      <c r="VZH915" s="1091"/>
      <c r="VZI915" s="1091"/>
      <c r="VZJ915" s="1091"/>
      <c r="VZK915" s="1091"/>
      <c r="VZL915" s="1091"/>
      <c r="VZM915" s="1091"/>
      <c r="VZN915" s="1091"/>
      <c r="VZO915" s="1091"/>
      <c r="VZP915" s="1091"/>
      <c r="VZQ915" s="1091"/>
      <c r="VZR915" s="1091"/>
      <c r="VZS915" s="1091"/>
      <c r="VZT915" s="1091"/>
      <c r="VZU915" s="1091"/>
      <c r="VZV915" s="1091"/>
      <c r="VZW915" s="1091"/>
      <c r="VZX915" s="1091"/>
      <c r="VZY915" s="1091"/>
      <c r="VZZ915" s="1091"/>
      <c r="WAA915" s="1091"/>
      <c r="WAB915" s="1091"/>
      <c r="WAC915" s="1091"/>
      <c r="WAD915" s="1091"/>
      <c r="WAE915" s="1091"/>
      <c r="WAF915" s="1091"/>
      <c r="WAG915" s="1091"/>
      <c r="WAH915" s="1091"/>
      <c r="WAI915" s="1091"/>
      <c r="WAJ915" s="1091"/>
      <c r="WAK915" s="1091"/>
      <c r="WAL915" s="1091"/>
      <c r="WAM915" s="1091"/>
      <c r="WAN915" s="1091"/>
      <c r="WAO915" s="1091"/>
      <c r="WAP915" s="1091"/>
      <c r="WAQ915" s="1091"/>
      <c r="WAR915" s="1091"/>
      <c r="WAS915" s="1091"/>
      <c r="WAT915" s="1091"/>
      <c r="WAU915" s="1091"/>
      <c r="WAV915" s="1091"/>
      <c r="WAW915" s="1091"/>
      <c r="WAX915" s="1091"/>
      <c r="WAY915" s="1091"/>
      <c r="WAZ915" s="1091"/>
      <c r="WBA915" s="1091"/>
      <c r="WBB915" s="1091"/>
      <c r="WBC915" s="1091"/>
      <c r="WBD915" s="1091"/>
      <c r="WBE915" s="1091"/>
      <c r="WBF915" s="1091"/>
      <c r="WBG915" s="1091"/>
      <c r="WBH915" s="1091"/>
      <c r="WBI915" s="1091"/>
      <c r="WBJ915" s="1091"/>
      <c r="WBK915" s="1091"/>
      <c r="WBL915" s="1091"/>
      <c r="WBM915" s="1091"/>
      <c r="WBN915" s="1091"/>
      <c r="WBO915" s="1091"/>
      <c r="WBP915" s="1091"/>
      <c r="WBQ915" s="1091"/>
      <c r="WBR915" s="1091"/>
      <c r="WBS915" s="1091"/>
      <c r="WBT915" s="1091"/>
      <c r="WBU915" s="1091"/>
      <c r="WBV915" s="1091"/>
      <c r="WBW915" s="1091"/>
      <c r="WBX915" s="1091"/>
      <c r="WBY915" s="1091"/>
      <c r="WBZ915" s="1091"/>
      <c r="WCA915" s="1091"/>
      <c r="WCB915" s="1091"/>
      <c r="WCC915" s="1091"/>
      <c r="WCD915" s="1091"/>
      <c r="WCE915" s="1091"/>
      <c r="WCF915" s="1091"/>
      <c r="WCG915" s="1091"/>
      <c r="WCH915" s="1091"/>
      <c r="WCI915" s="1091"/>
      <c r="WCJ915" s="1091"/>
      <c r="WCK915" s="1091"/>
      <c r="WCL915" s="1091"/>
      <c r="WCM915" s="1091"/>
      <c r="WCN915" s="1091"/>
      <c r="WCO915" s="1091"/>
      <c r="WCP915" s="1091"/>
      <c r="WCQ915" s="1091"/>
      <c r="WCR915" s="1091"/>
      <c r="WCS915" s="1091"/>
      <c r="WCT915" s="1091"/>
      <c r="WCU915" s="1091"/>
      <c r="WCV915" s="1091"/>
      <c r="WCW915" s="1091"/>
      <c r="WCX915" s="1091"/>
      <c r="WCY915" s="1091"/>
      <c r="WCZ915" s="1091"/>
      <c r="WDA915" s="1091"/>
      <c r="WDB915" s="1091"/>
      <c r="WDC915" s="1091"/>
      <c r="WDD915" s="1091"/>
      <c r="WDE915" s="1091"/>
      <c r="WDF915" s="1091"/>
      <c r="WDG915" s="1091"/>
      <c r="WDH915" s="1091"/>
      <c r="WDI915" s="1091"/>
      <c r="WDJ915" s="1091"/>
      <c r="WDK915" s="1091"/>
      <c r="WDL915" s="1091"/>
      <c r="WDM915" s="1091"/>
      <c r="WDN915" s="1091"/>
      <c r="WDO915" s="1091"/>
      <c r="WDP915" s="1091"/>
      <c r="WDQ915" s="1091"/>
      <c r="WDR915" s="1091"/>
      <c r="WDS915" s="1091"/>
      <c r="WDT915" s="1091"/>
      <c r="WDU915" s="1091"/>
      <c r="WDV915" s="1091"/>
      <c r="WDW915" s="1091"/>
      <c r="WDX915" s="1091"/>
      <c r="WDY915" s="1091"/>
      <c r="WDZ915" s="1091"/>
      <c r="WEA915" s="1091"/>
      <c r="WEB915" s="1091"/>
      <c r="WEC915" s="1091"/>
      <c r="WED915" s="1091"/>
      <c r="WEE915" s="1091"/>
      <c r="WEF915" s="1091"/>
      <c r="WEG915" s="1091"/>
      <c r="WEH915" s="1091"/>
      <c r="WEI915" s="1091"/>
      <c r="WEJ915" s="1091"/>
      <c r="WEK915" s="1091"/>
      <c r="WEL915" s="1091"/>
      <c r="WEM915" s="1091"/>
      <c r="WEN915" s="1091"/>
      <c r="WEO915" s="1091"/>
      <c r="WEP915" s="1091"/>
      <c r="WEQ915" s="1091"/>
      <c r="WER915" s="1091"/>
      <c r="WES915" s="1091"/>
      <c r="WET915" s="1091"/>
      <c r="WEU915" s="1091"/>
      <c r="WEV915" s="1091"/>
      <c r="WEW915" s="1091"/>
      <c r="WEX915" s="1091"/>
      <c r="WEY915" s="1091"/>
      <c r="WEZ915" s="1091"/>
      <c r="WFA915" s="1091"/>
      <c r="WFB915" s="1091"/>
      <c r="WFC915" s="1091"/>
      <c r="WFD915" s="1091"/>
      <c r="WFE915" s="1091"/>
      <c r="WFF915" s="1091"/>
      <c r="WFG915" s="1091"/>
      <c r="WFH915" s="1091"/>
      <c r="WFI915" s="1091"/>
      <c r="WFJ915" s="1091"/>
      <c r="WFK915" s="1091"/>
      <c r="WFL915" s="1091"/>
      <c r="WFM915" s="1091"/>
      <c r="WFN915" s="1091"/>
      <c r="WFO915" s="1091"/>
      <c r="WFP915" s="1091"/>
      <c r="WFQ915" s="1091"/>
      <c r="WFR915" s="1091"/>
      <c r="WFS915" s="1091"/>
      <c r="WFT915" s="1091"/>
      <c r="WFU915" s="1091"/>
      <c r="WFV915" s="1091"/>
      <c r="WFW915" s="1091"/>
      <c r="WFX915" s="1091"/>
      <c r="WFY915" s="1091"/>
      <c r="WFZ915" s="1091"/>
      <c r="WGA915" s="1091"/>
      <c r="WGB915" s="1091"/>
      <c r="WGC915" s="1091"/>
      <c r="WGD915" s="1091"/>
      <c r="WGE915" s="1091"/>
      <c r="WGF915" s="1091"/>
      <c r="WGG915" s="1091"/>
      <c r="WGH915" s="1091"/>
      <c r="WGI915" s="1091"/>
      <c r="WGJ915" s="1091"/>
      <c r="WGK915" s="1091"/>
      <c r="WGL915" s="1091"/>
      <c r="WGM915" s="1091"/>
      <c r="WGN915" s="1091"/>
      <c r="WGO915" s="1091"/>
      <c r="WGP915" s="1091"/>
      <c r="WGQ915" s="1091"/>
      <c r="WGR915" s="1091"/>
      <c r="WGS915" s="1091"/>
      <c r="WGT915" s="1091"/>
      <c r="WGU915" s="1091"/>
      <c r="WGV915" s="1091"/>
      <c r="WGW915" s="1091"/>
      <c r="WGX915" s="1091"/>
      <c r="WGY915" s="1091"/>
      <c r="WGZ915" s="1091"/>
      <c r="WHA915" s="1091"/>
      <c r="WHB915" s="1091"/>
      <c r="WHC915" s="1091"/>
      <c r="WHD915" s="1091"/>
      <c r="WHE915" s="1091"/>
      <c r="WHF915" s="1091"/>
      <c r="WHG915" s="1091"/>
      <c r="WHH915" s="1091"/>
      <c r="WHI915" s="1091"/>
      <c r="WHJ915" s="1091"/>
      <c r="WHK915" s="1091"/>
      <c r="WHL915" s="1091"/>
      <c r="WHM915" s="1091"/>
      <c r="WHN915" s="1091"/>
      <c r="WHO915" s="1091"/>
      <c r="WHP915" s="1091"/>
      <c r="WHQ915" s="1091"/>
      <c r="WHR915" s="1091"/>
      <c r="WHS915" s="1091"/>
      <c r="WHT915" s="1091"/>
      <c r="WHU915" s="1091"/>
      <c r="WHV915" s="1091"/>
      <c r="WHW915" s="1091"/>
      <c r="WHX915" s="1091"/>
      <c r="WHY915" s="1091"/>
      <c r="WHZ915" s="1091"/>
      <c r="WIA915" s="1091"/>
      <c r="WIB915" s="1091"/>
      <c r="WIC915" s="1091"/>
      <c r="WID915" s="1091"/>
      <c r="WIE915" s="1091"/>
      <c r="WIF915" s="1091"/>
      <c r="WIG915" s="1091"/>
      <c r="WIH915" s="1091"/>
      <c r="WII915" s="1091"/>
      <c r="WIJ915" s="1091"/>
      <c r="WIK915" s="1091"/>
      <c r="WIL915" s="1091"/>
      <c r="WIM915" s="1091"/>
      <c r="WIN915" s="1091"/>
      <c r="WIO915" s="1091"/>
      <c r="WIP915" s="1091"/>
      <c r="WIQ915" s="1091"/>
      <c r="WIR915" s="1091"/>
      <c r="WIS915" s="1091"/>
      <c r="WIT915" s="1091"/>
      <c r="WIU915" s="1091"/>
      <c r="WIV915" s="1091"/>
      <c r="WIW915" s="1091"/>
      <c r="WIX915" s="1091"/>
      <c r="WIY915" s="1091"/>
      <c r="WIZ915" s="1091"/>
      <c r="WJA915" s="1091"/>
      <c r="WJB915" s="1091"/>
      <c r="WJC915" s="1091"/>
      <c r="WJD915" s="1091"/>
      <c r="WJE915" s="1091"/>
      <c r="WJF915" s="1091"/>
      <c r="WJG915" s="1091"/>
      <c r="WJH915" s="1091"/>
      <c r="WJI915" s="1091"/>
      <c r="WJJ915" s="1091"/>
      <c r="WJK915" s="1091"/>
      <c r="WJL915" s="1091"/>
      <c r="WJM915" s="1091"/>
      <c r="WJN915" s="1091"/>
      <c r="WJO915" s="1091"/>
      <c r="WJP915" s="1091"/>
      <c r="WJQ915" s="1091"/>
      <c r="WJR915" s="1091"/>
      <c r="WJS915" s="1091"/>
      <c r="WJT915" s="1091"/>
      <c r="WJU915" s="1091"/>
      <c r="WJV915" s="1091"/>
      <c r="WJW915" s="1091"/>
      <c r="WJX915" s="1091"/>
      <c r="WJY915" s="1091"/>
      <c r="WJZ915" s="1091"/>
      <c r="WKA915" s="1091"/>
      <c r="WKB915" s="1091"/>
      <c r="WKC915" s="1091"/>
      <c r="WKD915" s="1091"/>
      <c r="WKE915" s="1091"/>
      <c r="WKF915" s="1091"/>
      <c r="WKG915" s="1091"/>
      <c r="WKH915" s="1091"/>
      <c r="WKI915" s="1091"/>
      <c r="WKJ915" s="1091"/>
      <c r="WKK915" s="1091"/>
      <c r="WKL915" s="1091"/>
      <c r="WKM915" s="1091"/>
      <c r="WKN915" s="1091"/>
      <c r="WKO915" s="1091"/>
      <c r="WKP915" s="1091"/>
      <c r="WKQ915" s="1091"/>
      <c r="WKR915" s="1091"/>
      <c r="WKS915" s="1091"/>
      <c r="WKT915" s="1091"/>
      <c r="WKU915" s="1091"/>
      <c r="WKV915" s="1091"/>
      <c r="WKW915" s="1091"/>
      <c r="WKX915" s="1091"/>
      <c r="WKY915" s="1091"/>
      <c r="WKZ915" s="1091"/>
      <c r="WLA915" s="1091"/>
      <c r="WLB915" s="1091"/>
      <c r="WLC915" s="1091"/>
      <c r="WLD915" s="1091"/>
      <c r="WLE915" s="1091"/>
      <c r="WLF915" s="1091"/>
      <c r="WLG915" s="1091"/>
      <c r="WLH915" s="1091"/>
      <c r="WLI915" s="1091"/>
      <c r="WLJ915" s="1091"/>
      <c r="WLK915" s="1091"/>
      <c r="WLL915" s="1091"/>
      <c r="WLM915" s="1091"/>
      <c r="WLN915" s="1091"/>
      <c r="WLO915" s="1091"/>
      <c r="WLP915" s="1091"/>
      <c r="WLQ915" s="1091"/>
      <c r="WLR915" s="1091"/>
      <c r="WLS915" s="1091"/>
      <c r="WLT915" s="1091"/>
      <c r="WLU915" s="1091"/>
      <c r="WLV915" s="1091"/>
      <c r="WLW915" s="1091"/>
      <c r="WLX915" s="1091"/>
      <c r="WLY915" s="1091"/>
      <c r="WLZ915" s="1091"/>
      <c r="WMA915" s="1091"/>
      <c r="WMB915" s="1091"/>
      <c r="WMC915" s="1091"/>
      <c r="WMD915" s="1091"/>
      <c r="WME915" s="1091"/>
      <c r="WMF915" s="1091"/>
      <c r="WMG915" s="1091"/>
      <c r="WMH915" s="1091"/>
      <c r="WMI915" s="1091"/>
      <c r="WMJ915" s="1091"/>
      <c r="WMK915" s="1091"/>
      <c r="WML915" s="1091"/>
      <c r="WMM915" s="1091"/>
      <c r="WMN915" s="1091"/>
      <c r="WMO915" s="1091"/>
      <c r="WMP915" s="1091"/>
      <c r="WMQ915" s="1091"/>
      <c r="WMR915" s="1091"/>
      <c r="WMS915" s="1091"/>
      <c r="WMT915" s="1091"/>
      <c r="WMU915" s="1091"/>
      <c r="WMV915" s="1091"/>
      <c r="WMW915" s="1091"/>
      <c r="WMX915" s="1091"/>
      <c r="WMY915" s="1091"/>
      <c r="WMZ915" s="1091"/>
      <c r="WNA915" s="1091"/>
      <c r="WNB915" s="1091"/>
      <c r="WNC915" s="1091"/>
      <c r="WND915" s="1091"/>
      <c r="WNE915" s="1091"/>
      <c r="WNF915" s="1091"/>
      <c r="WNG915" s="1091"/>
      <c r="WNH915" s="1091"/>
      <c r="WNI915" s="1091"/>
      <c r="WNJ915" s="1091"/>
      <c r="WNK915" s="1091"/>
      <c r="WNL915" s="1091"/>
      <c r="WNM915" s="1091"/>
      <c r="WNN915" s="1091"/>
      <c r="WNO915" s="1091"/>
      <c r="WNP915" s="1091"/>
      <c r="WNQ915" s="1091"/>
      <c r="WNR915" s="1091"/>
      <c r="WNS915" s="1091"/>
      <c r="WNT915" s="1091"/>
      <c r="WNU915" s="1091"/>
      <c r="WNV915" s="1091"/>
      <c r="WNW915" s="1091"/>
      <c r="WNX915" s="1091"/>
      <c r="WNY915" s="1091"/>
      <c r="WNZ915" s="1091"/>
      <c r="WOA915" s="1091"/>
      <c r="WOB915" s="1091"/>
      <c r="WOC915" s="1091"/>
      <c r="WOD915" s="1091"/>
      <c r="WOE915" s="1091"/>
      <c r="WOF915" s="1091"/>
      <c r="WOG915" s="1091"/>
      <c r="WOH915" s="1091"/>
      <c r="WOI915" s="1091"/>
      <c r="WOJ915" s="1091"/>
      <c r="WOK915" s="1091"/>
      <c r="WOL915" s="1091"/>
      <c r="WOM915" s="1091"/>
      <c r="WON915" s="1091"/>
      <c r="WOO915" s="1091"/>
      <c r="WOP915" s="1091"/>
      <c r="WOQ915" s="1091"/>
      <c r="WOR915" s="1091"/>
      <c r="WOS915" s="1091"/>
      <c r="WOT915" s="1091"/>
      <c r="WOU915" s="1091"/>
      <c r="WOV915" s="1091"/>
      <c r="WOW915" s="1091"/>
      <c r="WOX915" s="1091"/>
      <c r="WOY915" s="1091"/>
      <c r="WOZ915" s="1091"/>
      <c r="WPA915" s="1091"/>
      <c r="WPB915" s="1091"/>
      <c r="WPC915" s="1091"/>
      <c r="WPD915" s="1091"/>
      <c r="WPE915" s="1091"/>
      <c r="WPF915" s="1091"/>
      <c r="WPG915" s="1091"/>
      <c r="WPH915" s="1091"/>
      <c r="WPI915" s="1091"/>
      <c r="WPJ915" s="1091"/>
      <c r="WPK915" s="1091"/>
      <c r="WPL915" s="1091"/>
      <c r="WPM915" s="1091"/>
      <c r="WPN915" s="1091"/>
      <c r="WPO915" s="1091"/>
      <c r="WPP915" s="1091"/>
      <c r="WPQ915" s="1091"/>
      <c r="WPR915" s="1091"/>
      <c r="WPS915" s="1091"/>
      <c r="WPT915" s="1091"/>
      <c r="WPU915" s="1091"/>
      <c r="WPV915" s="1091"/>
      <c r="WPW915" s="1091"/>
      <c r="WPX915" s="1091"/>
      <c r="WPY915" s="1091"/>
      <c r="WPZ915" s="1091"/>
      <c r="WQA915" s="1091"/>
      <c r="WQB915" s="1091"/>
      <c r="WQC915" s="1091"/>
      <c r="WQD915" s="1091"/>
      <c r="WQE915" s="1091"/>
      <c r="WQF915" s="1091"/>
      <c r="WQG915" s="1091"/>
      <c r="WQH915" s="1091"/>
      <c r="WQI915" s="1091"/>
      <c r="WQJ915" s="1091"/>
      <c r="WQK915" s="1091"/>
      <c r="WQL915" s="1091"/>
      <c r="WQM915" s="1091"/>
      <c r="WQN915" s="1091"/>
      <c r="WQO915" s="1091"/>
      <c r="WQP915" s="1091"/>
      <c r="WQQ915" s="1091"/>
      <c r="WQR915" s="1091"/>
      <c r="WQS915" s="1091"/>
      <c r="WQT915" s="1091"/>
      <c r="WQU915" s="1091"/>
      <c r="WQV915" s="1091"/>
      <c r="WQW915" s="1091"/>
      <c r="WQX915" s="1091"/>
      <c r="WQY915" s="1091"/>
      <c r="WQZ915" s="1091"/>
      <c r="WRA915" s="1091"/>
      <c r="WRB915" s="1091"/>
      <c r="WRC915" s="1091"/>
      <c r="WRD915" s="1091"/>
      <c r="WRE915" s="1091"/>
      <c r="WRF915" s="1091"/>
      <c r="WRG915" s="1091"/>
      <c r="WRH915" s="1091"/>
      <c r="WRI915" s="1091"/>
      <c r="WRJ915" s="1091"/>
      <c r="WRK915" s="1091"/>
      <c r="WRL915" s="1091"/>
      <c r="WRM915" s="1091"/>
      <c r="WRN915" s="1091"/>
      <c r="WRO915" s="1091"/>
      <c r="WRP915" s="1091"/>
      <c r="WRQ915" s="1091"/>
      <c r="WRR915" s="1091"/>
      <c r="WRS915" s="1091"/>
      <c r="WRT915" s="1091"/>
      <c r="WRU915" s="1091"/>
      <c r="WRV915" s="1091"/>
      <c r="WRW915" s="1091"/>
      <c r="WRX915" s="1091"/>
      <c r="WRY915" s="1091"/>
      <c r="WRZ915" s="1091"/>
      <c r="WSA915" s="1091"/>
      <c r="WSB915" s="1091"/>
      <c r="WSC915" s="1091"/>
      <c r="WSD915" s="1091"/>
      <c r="WSE915" s="1091"/>
      <c r="WSF915" s="1091"/>
      <c r="WSG915" s="1091"/>
      <c r="WSH915" s="1091"/>
      <c r="WSI915" s="1091"/>
      <c r="WSJ915" s="1091"/>
      <c r="WSK915" s="1091"/>
      <c r="WSL915" s="1091"/>
      <c r="WSM915" s="1091"/>
      <c r="WSN915" s="1091"/>
      <c r="WSO915" s="1091"/>
      <c r="WSP915" s="1091"/>
      <c r="WSQ915" s="1091"/>
      <c r="WSR915" s="1091"/>
      <c r="WSS915" s="1091"/>
      <c r="WST915" s="1091"/>
      <c r="WSU915" s="1091"/>
      <c r="WSV915" s="1091"/>
      <c r="WSW915" s="1091"/>
      <c r="WSX915" s="1091"/>
      <c r="WSY915" s="1091"/>
      <c r="WSZ915" s="1091"/>
      <c r="WTA915" s="1091"/>
      <c r="WTB915" s="1091"/>
      <c r="WTC915" s="1091"/>
      <c r="WTD915" s="1091"/>
      <c r="WTE915" s="1091"/>
      <c r="WTF915" s="1091"/>
      <c r="WTG915" s="1091"/>
      <c r="WTH915" s="1091"/>
      <c r="WTI915" s="1091"/>
      <c r="WTJ915" s="1091"/>
      <c r="WTK915" s="1091"/>
      <c r="WTL915" s="1091"/>
      <c r="WTM915" s="1091"/>
      <c r="WTN915" s="1091"/>
      <c r="WTO915" s="1091"/>
      <c r="WTP915" s="1091"/>
      <c r="WTQ915" s="1091"/>
      <c r="WTR915" s="1091"/>
      <c r="WTS915" s="1091"/>
      <c r="WTT915" s="1091"/>
      <c r="WTU915" s="1091"/>
      <c r="WTV915" s="1091"/>
      <c r="WTW915" s="1091"/>
      <c r="WTX915" s="1091"/>
      <c r="WTY915" s="1091"/>
      <c r="WTZ915" s="1091"/>
      <c r="WUA915" s="1091"/>
      <c r="WUB915" s="1091"/>
      <c r="WUC915" s="1091"/>
      <c r="WUD915" s="1091"/>
      <c r="WUE915" s="1091"/>
      <c r="WUF915" s="1091"/>
      <c r="WUG915" s="1091"/>
      <c r="WUH915" s="1091"/>
      <c r="WUI915" s="1091"/>
      <c r="WUJ915" s="1091"/>
      <c r="WUK915" s="1091"/>
      <c r="WUL915" s="1091"/>
      <c r="WUM915" s="1091"/>
      <c r="WUN915" s="1091"/>
      <c r="WUO915" s="1091"/>
      <c r="WUP915" s="1091"/>
      <c r="WUQ915" s="1091"/>
      <c r="WUR915" s="1091"/>
      <c r="WUS915" s="1091"/>
      <c r="WUT915" s="1091"/>
      <c r="WUU915" s="1091"/>
      <c r="WUV915" s="1091"/>
      <c r="WUW915" s="1091"/>
      <c r="WUX915" s="1091"/>
      <c r="WUY915" s="1091"/>
      <c r="WUZ915" s="1091"/>
      <c r="WVA915" s="1091"/>
      <c r="WVB915" s="1091"/>
      <c r="WVC915" s="1091"/>
      <c r="WVD915" s="1091"/>
      <c r="WVE915" s="1091"/>
      <c r="WVF915" s="1091"/>
      <c r="WVG915" s="1091"/>
      <c r="WVH915" s="1091"/>
      <c r="WVI915" s="1091"/>
      <c r="WVJ915" s="1091"/>
      <c r="WVK915" s="1091"/>
      <c r="WVL915" s="1091"/>
      <c r="WVM915" s="1091"/>
      <c r="WVN915" s="1091"/>
      <c r="WVO915" s="1091"/>
      <c r="WVP915" s="1091"/>
      <c r="WVQ915" s="1091"/>
      <c r="WVR915" s="1091"/>
      <c r="WVS915" s="1091"/>
      <c r="WVT915" s="1091"/>
      <c r="WVU915" s="1091"/>
      <c r="WVV915" s="1091"/>
      <c r="WVW915" s="1091"/>
      <c r="WVX915" s="1091"/>
      <c r="WVY915" s="1091"/>
      <c r="WVZ915" s="1091"/>
      <c r="WWA915" s="1091"/>
      <c r="WWB915" s="1091"/>
      <c r="WWC915" s="1091"/>
      <c r="WWD915" s="1091"/>
      <c r="WWE915" s="1091"/>
      <c r="WWF915" s="1091"/>
      <c r="WWG915" s="1091"/>
      <c r="WWH915" s="1091"/>
      <c r="WWI915" s="1091"/>
      <c r="WWJ915" s="1091"/>
      <c r="WWK915" s="1091"/>
      <c r="WWL915" s="1091"/>
      <c r="WWM915" s="1091"/>
      <c r="WWN915" s="1091"/>
      <c r="WWO915" s="1091"/>
      <c r="WWP915" s="1091"/>
      <c r="WWQ915" s="1091"/>
      <c r="WWR915" s="1091"/>
      <c r="WWS915" s="1091"/>
      <c r="WWT915" s="1091"/>
      <c r="WWU915" s="1091"/>
      <c r="WWV915" s="1091"/>
      <c r="WWW915" s="1091"/>
      <c r="WWX915" s="1091"/>
      <c r="WWY915" s="1091"/>
      <c r="WWZ915" s="1091"/>
      <c r="WXA915" s="1091"/>
      <c r="WXB915" s="1091"/>
      <c r="WXC915" s="1091"/>
      <c r="WXD915" s="1091"/>
      <c r="WXE915" s="1091"/>
      <c r="WXF915" s="1091"/>
      <c r="WXG915" s="1091"/>
      <c r="WXH915" s="1091"/>
      <c r="WXI915" s="1091"/>
      <c r="WXJ915" s="1091"/>
      <c r="WXK915" s="1091"/>
      <c r="WXL915" s="1091"/>
      <c r="WXM915" s="1091"/>
      <c r="WXN915" s="1091"/>
      <c r="WXO915" s="1091"/>
      <c r="WXP915" s="1091"/>
      <c r="WXQ915" s="1091"/>
      <c r="WXR915" s="1091"/>
      <c r="WXS915" s="1091"/>
      <c r="WXT915" s="1091"/>
      <c r="WXU915" s="1091"/>
      <c r="WXV915" s="1091"/>
      <c r="WXW915" s="1091"/>
      <c r="WXX915" s="1091"/>
      <c r="WXY915" s="1091"/>
      <c r="WXZ915" s="1091"/>
      <c r="WYA915" s="1091"/>
      <c r="WYB915" s="1091"/>
      <c r="WYC915" s="1091"/>
      <c r="WYD915" s="1091"/>
      <c r="WYE915" s="1091"/>
      <c r="WYF915" s="1091"/>
      <c r="WYG915" s="1091"/>
      <c r="WYH915" s="1091"/>
      <c r="WYI915" s="1091"/>
      <c r="WYJ915" s="1091"/>
      <c r="WYK915" s="1091"/>
      <c r="WYL915" s="1091"/>
      <c r="WYM915" s="1091"/>
      <c r="WYN915" s="1091"/>
      <c r="WYO915" s="1091"/>
      <c r="WYP915" s="1091"/>
      <c r="WYQ915" s="1091"/>
      <c r="WYR915" s="1091"/>
      <c r="WYS915" s="1091"/>
      <c r="WYT915" s="1091"/>
      <c r="WYU915" s="1091"/>
      <c r="WYV915" s="1091"/>
      <c r="WYW915" s="1091"/>
      <c r="WYX915" s="1091"/>
      <c r="WYY915" s="1091"/>
      <c r="WYZ915" s="1091"/>
      <c r="WZA915" s="1091"/>
      <c r="WZB915" s="1091"/>
      <c r="WZC915" s="1091"/>
      <c r="WZD915" s="1091"/>
      <c r="WZE915" s="1091"/>
      <c r="WZF915" s="1091"/>
      <c r="WZG915" s="1091"/>
      <c r="WZH915" s="1091"/>
      <c r="WZI915" s="1091"/>
      <c r="WZJ915" s="1091"/>
      <c r="WZK915" s="1091"/>
      <c r="WZL915" s="1091"/>
      <c r="WZM915" s="1091"/>
      <c r="WZN915" s="1091"/>
      <c r="WZO915" s="1091"/>
      <c r="WZP915" s="1091"/>
      <c r="WZQ915" s="1091"/>
      <c r="WZR915" s="1091"/>
      <c r="WZS915" s="1091"/>
      <c r="WZT915" s="1091"/>
      <c r="WZU915" s="1091"/>
      <c r="WZV915" s="1091"/>
      <c r="WZW915" s="1091"/>
      <c r="WZX915" s="1091"/>
      <c r="WZY915" s="1091"/>
      <c r="WZZ915" s="1091"/>
      <c r="XAA915" s="1091"/>
      <c r="XAB915" s="1091"/>
      <c r="XAC915" s="1091"/>
      <c r="XAD915" s="1091"/>
      <c r="XAE915" s="1091"/>
      <c r="XAF915" s="1091"/>
      <c r="XAG915" s="1091"/>
      <c r="XAH915" s="1091"/>
      <c r="XAI915" s="1091"/>
      <c r="XAJ915" s="1091"/>
      <c r="XAK915" s="1091"/>
      <c r="XAL915" s="1091"/>
      <c r="XAM915" s="1091"/>
      <c r="XAN915" s="1091"/>
      <c r="XAO915" s="1091"/>
      <c r="XAP915" s="1091"/>
      <c r="XAQ915" s="1091"/>
      <c r="XAR915" s="1091"/>
      <c r="XAS915" s="1091"/>
      <c r="XAT915" s="1091"/>
      <c r="XAU915" s="1091"/>
      <c r="XAV915" s="1091"/>
      <c r="XAW915" s="1091"/>
      <c r="XAX915" s="1091"/>
      <c r="XAY915" s="1091"/>
      <c r="XAZ915" s="1091"/>
      <c r="XBA915" s="1091"/>
      <c r="XBB915" s="1091"/>
      <c r="XBC915" s="1091"/>
      <c r="XBD915" s="1091"/>
      <c r="XBE915" s="1091"/>
      <c r="XBF915" s="1091"/>
      <c r="XBG915" s="1091"/>
      <c r="XBH915" s="1091"/>
      <c r="XBI915" s="1091"/>
      <c r="XBJ915" s="1091"/>
      <c r="XBK915" s="1091"/>
      <c r="XBL915" s="1091"/>
      <c r="XBM915" s="1091"/>
      <c r="XBN915" s="1091"/>
      <c r="XBO915" s="1091"/>
      <c r="XBP915" s="1091"/>
      <c r="XBQ915" s="1091"/>
      <c r="XBR915" s="1091"/>
      <c r="XBS915" s="1091"/>
      <c r="XBT915" s="1091"/>
      <c r="XBU915" s="1091"/>
      <c r="XBV915" s="1091"/>
      <c r="XBW915" s="1091"/>
      <c r="XBX915" s="1091"/>
      <c r="XBY915" s="1091"/>
      <c r="XBZ915" s="1091"/>
      <c r="XCA915" s="1091"/>
      <c r="XCB915" s="1091"/>
      <c r="XCC915" s="1091"/>
      <c r="XCD915" s="1091"/>
      <c r="XCE915" s="1091"/>
      <c r="XCF915" s="1091"/>
      <c r="XCG915" s="1091"/>
      <c r="XCH915" s="1091"/>
      <c r="XCI915" s="1091"/>
      <c r="XCJ915" s="1091"/>
      <c r="XCK915" s="1091"/>
      <c r="XCL915" s="1091"/>
      <c r="XCM915" s="1091"/>
      <c r="XCN915" s="1091"/>
      <c r="XCO915" s="1091"/>
      <c r="XCP915" s="1091"/>
      <c r="XCQ915" s="1091"/>
      <c r="XCR915" s="1091"/>
      <c r="XCS915" s="1091"/>
      <c r="XCT915" s="1091"/>
      <c r="XCU915" s="1091"/>
      <c r="XCV915" s="1091"/>
      <c r="XCW915" s="1091"/>
      <c r="XCX915" s="1091"/>
      <c r="XCY915" s="1091"/>
      <c r="XCZ915" s="1091"/>
      <c r="XDA915" s="1091"/>
      <c r="XDB915" s="1091"/>
      <c r="XDC915" s="1091"/>
      <c r="XDD915" s="1091"/>
      <c r="XDE915" s="1091"/>
      <c r="XDF915" s="1091"/>
      <c r="XDG915" s="1091"/>
      <c r="XDH915" s="1091"/>
      <c r="XDI915" s="1091"/>
      <c r="XDJ915" s="1091"/>
      <c r="XDK915" s="1091"/>
      <c r="XDL915" s="1091"/>
      <c r="XDM915" s="1091"/>
      <c r="XDN915" s="1091"/>
      <c r="XDO915" s="1091"/>
      <c r="XDP915" s="1091"/>
      <c r="XDQ915" s="1091"/>
      <c r="XDR915" s="1091"/>
      <c r="XDS915" s="1091"/>
      <c r="XDT915" s="1091"/>
      <c r="XDU915" s="1091"/>
      <c r="XDV915" s="1091"/>
      <c r="XDW915" s="1091"/>
      <c r="XDX915" s="1091"/>
      <c r="XDY915" s="1091"/>
      <c r="XDZ915" s="1091"/>
      <c r="XEA915" s="1091"/>
      <c r="XEB915" s="1091"/>
      <c r="XEC915" s="1091"/>
      <c r="XED915" s="1091"/>
      <c r="XEE915" s="1091"/>
      <c r="XEF915" s="1091"/>
      <c r="XEG915" s="1091"/>
      <c r="XEH915" s="1091"/>
      <c r="XEI915" s="1091"/>
      <c r="XEJ915" s="1091"/>
      <c r="XEK915" s="1091"/>
      <c r="XEL915" s="1091"/>
      <c r="XEM915" s="1091"/>
      <c r="XEN915" s="1091"/>
      <c r="XEO915" s="1091"/>
      <c r="XEP915" s="1091"/>
      <c r="XEQ915" s="1091"/>
      <c r="XER915" s="1091"/>
      <c r="XES915" s="1091"/>
      <c r="XET915" s="1091"/>
      <c r="XEU915" s="1091"/>
      <c r="XEV915" s="1091"/>
      <c r="XEW915" s="1091"/>
      <c r="XEX915" s="1091"/>
      <c r="XEY915" s="1091"/>
      <c r="XEZ915" s="1091"/>
      <c r="XFA915" s="1091"/>
      <c r="XFB915" s="1091"/>
      <c r="XFC915" s="1091"/>
      <c r="XFD915" s="1091"/>
    </row>
    <row r="916" spans="1:16384" s="1071" customFormat="1" x14ac:dyDescent="0.25">
      <c r="A916" s="1071">
        <v>97010</v>
      </c>
      <c r="B916" s="1071" t="s">
        <v>3199</v>
      </c>
      <c r="C916" s="1095">
        <v>0</v>
      </c>
      <c r="E916" s="1091"/>
      <c r="F916" s="1091"/>
      <c r="G916" s="1091"/>
      <c r="H916" s="1091"/>
      <c r="I916" s="1091"/>
      <c r="J916" s="1091"/>
      <c r="K916" s="1091"/>
      <c r="L916" s="1091"/>
      <c r="M916" s="1091"/>
      <c r="N916" s="1091"/>
      <c r="O916" s="1091"/>
      <c r="P916" s="1091"/>
      <c r="Q916" s="1091"/>
      <c r="R916" s="1091"/>
      <c r="S916" s="1091"/>
      <c r="T916" s="1091"/>
      <c r="U916" s="1091"/>
      <c r="V916" s="1091"/>
      <c r="W916" s="1091"/>
      <c r="X916" s="1091"/>
      <c r="Y916" s="1091"/>
      <c r="Z916" s="1091"/>
      <c r="AA916" s="1091"/>
      <c r="AB916" s="1091"/>
      <c r="AC916" s="1091"/>
      <c r="AD916" s="1091"/>
      <c r="AE916" s="1091"/>
      <c r="AF916" s="1091"/>
      <c r="AG916" s="1091"/>
      <c r="AH916" s="1091"/>
      <c r="AI916" s="1091"/>
      <c r="AJ916" s="1091"/>
      <c r="AK916" s="1091"/>
      <c r="AL916" s="1091"/>
      <c r="AM916" s="1091"/>
      <c r="AN916" s="1091"/>
      <c r="AO916" s="1091"/>
      <c r="AP916" s="1091"/>
      <c r="AQ916" s="1091"/>
      <c r="AR916" s="1091"/>
      <c r="AS916" s="1091"/>
      <c r="AT916" s="1091"/>
      <c r="AU916" s="1091"/>
      <c r="AV916" s="1091"/>
      <c r="AW916" s="1091"/>
      <c r="AX916" s="1091"/>
      <c r="AY916" s="1091"/>
      <c r="AZ916" s="1091"/>
      <c r="BA916" s="1091"/>
      <c r="BB916" s="1091"/>
      <c r="BC916" s="1091"/>
      <c r="BD916" s="1091"/>
      <c r="BE916" s="1091"/>
      <c r="BF916" s="1091"/>
      <c r="BG916" s="1091"/>
      <c r="BH916" s="1091"/>
      <c r="BI916" s="1091"/>
      <c r="BJ916" s="1091"/>
      <c r="BK916" s="1091"/>
      <c r="BL916" s="1091"/>
      <c r="BM916" s="1091"/>
      <c r="BN916" s="1091"/>
      <c r="BO916" s="1091"/>
      <c r="BP916" s="1091"/>
      <c r="BQ916" s="1091"/>
      <c r="BR916" s="1091"/>
      <c r="BS916" s="1091"/>
      <c r="BT916" s="1091"/>
      <c r="BU916" s="1091"/>
      <c r="BV916" s="1091"/>
      <c r="BW916" s="1091"/>
      <c r="BX916" s="1091"/>
      <c r="BY916" s="1091"/>
      <c r="BZ916" s="1091"/>
      <c r="CA916" s="1091"/>
      <c r="CB916" s="1091"/>
      <c r="CC916" s="1091"/>
      <c r="CD916" s="1091"/>
      <c r="CE916" s="1091"/>
      <c r="CF916" s="1091"/>
      <c r="CG916" s="1091"/>
      <c r="CH916" s="1091"/>
      <c r="CI916" s="1091"/>
      <c r="CJ916" s="1091"/>
      <c r="CK916" s="1091"/>
      <c r="CL916" s="1091"/>
      <c r="CM916" s="1091"/>
      <c r="CN916" s="1091"/>
      <c r="CO916" s="1091"/>
      <c r="CP916" s="1091"/>
      <c r="CQ916" s="1091"/>
      <c r="CR916" s="1091"/>
      <c r="CS916" s="1091"/>
      <c r="CT916" s="1091"/>
      <c r="CU916" s="1091"/>
      <c r="CV916" s="1091"/>
      <c r="CW916" s="1091"/>
      <c r="CX916" s="1091"/>
      <c r="CY916" s="1091"/>
      <c r="CZ916" s="1091"/>
      <c r="DA916" s="1091"/>
      <c r="DB916" s="1091"/>
      <c r="DC916" s="1091"/>
      <c r="DD916" s="1091"/>
      <c r="DE916" s="1091"/>
      <c r="DF916" s="1091"/>
      <c r="DG916" s="1091"/>
      <c r="DH916" s="1091"/>
      <c r="DI916" s="1091"/>
      <c r="DJ916" s="1091"/>
      <c r="DK916" s="1091"/>
      <c r="DL916" s="1091"/>
      <c r="DM916" s="1091"/>
      <c r="DN916" s="1091"/>
      <c r="DO916" s="1091"/>
      <c r="DP916" s="1091"/>
      <c r="DQ916" s="1091"/>
      <c r="DR916" s="1091"/>
      <c r="DS916" s="1091"/>
      <c r="DT916" s="1091"/>
      <c r="DU916" s="1091"/>
      <c r="DV916" s="1091"/>
      <c r="DW916" s="1091"/>
      <c r="DX916" s="1091"/>
      <c r="DY916" s="1091"/>
      <c r="DZ916" s="1091"/>
      <c r="EA916" s="1091"/>
      <c r="EB916" s="1091"/>
      <c r="EC916" s="1091"/>
      <c r="ED916" s="1091"/>
      <c r="EE916" s="1091"/>
      <c r="EF916" s="1091"/>
      <c r="EG916" s="1091"/>
      <c r="EH916" s="1091"/>
      <c r="EI916" s="1091"/>
      <c r="EJ916" s="1091"/>
      <c r="EK916" s="1091"/>
      <c r="EL916" s="1091"/>
      <c r="EM916" s="1091"/>
      <c r="EN916" s="1091"/>
      <c r="EO916" s="1091"/>
      <c r="EP916" s="1091"/>
      <c r="EQ916" s="1091"/>
      <c r="ER916" s="1091"/>
      <c r="ES916" s="1091"/>
      <c r="ET916" s="1091"/>
      <c r="EU916" s="1091"/>
      <c r="EV916" s="1091"/>
      <c r="EW916" s="1091"/>
      <c r="EX916" s="1091"/>
      <c r="EY916" s="1091"/>
      <c r="EZ916" s="1091"/>
      <c r="FA916" s="1091"/>
      <c r="FB916" s="1091"/>
      <c r="FC916" s="1091"/>
      <c r="FD916" s="1091"/>
      <c r="FE916" s="1091"/>
      <c r="FF916" s="1091"/>
      <c r="FG916" s="1091"/>
      <c r="FH916" s="1091"/>
      <c r="FI916" s="1091"/>
      <c r="FJ916" s="1091"/>
      <c r="FK916" s="1091"/>
      <c r="FL916" s="1091"/>
      <c r="FM916" s="1091"/>
      <c r="FN916" s="1091"/>
      <c r="FO916" s="1091"/>
      <c r="FP916" s="1091"/>
      <c r="FQ916" s="1091"/>
      <c r="FR916" s="1091"/>
      <c r="FS916" s="1091"/>
      <c r="FT916" s="1091"/>
      <c r="FU916" s="1091"/>
      <c r="FV916" s="1091"/>
      <c r="FW916" s="1091"/>
      <c r="FX916" s="1091"/>
      <c r="FY916" s="1091"/>
      <c r="FZ916" s="1091"/>
      <c r="GA916" s="1091"/>
      <c r="GB916" s="1091"/>
      <c r="GC916" s="1091"/>
      <c r="GD916" s="1091"/>
      <c r="GE916" s="1091"/>
      <c r="GF916" s="1091"/>
      <c r="GG916" s="1091"/>
      <c r="GH916" s="1091"/>
      <c r="GI916" s="1091"/>
      <c r="GJ916" s="1091"/>
      <c r="GK916" s="1091"/>
      <c r="GL916" s="1091"/>
      <c r="GM916" s="1091"/>
      <c r="GN916" s="1091"/>
      <c r="GO916" s="1091"/>
      <c r="GP916" s="1091"/>
      <c r="GQ916" s="1091"/>
      <c r="GR916" s="1091"/>
      <c r="GS916" s="1091"/>
      <c r="GT916" s="1091"/>
      <c r="GU916" s="1091"/>
      <c r="GV916" s="1091"/>
      <c r="GW916" s="1091"/>
      <c r="GX916" s="1091"/>
      <c r="GY916" s="1091"/>
      <c r="GZ916" s="1091"/>
      <c r="HA916" s="1091"/>
      <c r="HB916" s="1091"/>
      <c r="HC916" s="1091"/>
      <c r="HD916" s="1091"/>
      <c r="HE916" s="1091"/>
      <c r="HF916" s="1091"/>
      <c r="HG916" s="1091"/>
      <c r="HH916" s="1091"/>
      <c r="HI916" s="1091"/>
      <c r="HJ916" s="1091"/>
      <c r="HK916" s="1091"/>
      <c r="HL916" s="1091"/>
      <c r="HM916" s="1091"/>
      <c r="HN916" s="1091"/>
      <c r="HO916" s="1091"/>
      <c r="HP916" s="1091"/>
      <c r="HQ916" s="1091"/>
      <c r="HR916" s="1091"/>
      <c r="HS916" s="1091"/>
      <c r="HT916" s="1091"/>
      <c r="HU916" s="1091"/>
      <c r="HV916" s="1091"/>
      <c r="HW916" s="1091"/>
      <c r="HX916" s="1091"/>
      <c r="HY916" s="1091"/>
      <c r="HZ916" s="1091"/>
      <c r="IA916" s="1091"/>
      <c r="IB916" s="1091"/>
      <c r="IC916" s="1091"/>
      <c r="ID916" s="1091"/>
      <c r="IE916" s="1091"/>
      <c r="IF916" s="1091"/>
      <c r="IG916" s="1091"/>
      <c r="IH916" s="1091"/>
      <c r="II916" s="1091"/>
      <c r="IJ916" s="1091"/>
      <c r="IK916" s="1091"/>
      <c r="IL916" s="1091"/>
      <c r="IM916" s="1091"/>
      <c r="IN916" s="1091"/>
      <c r="IO916" s="1091"/>
      <c r="IP916" s="1091"/>
      <c r="IQ916" s="1091"/>
      <c r="IR916" s="1091"/>
      <c r="IS916" s="1091"/>
      <c r="IT916" s="1091"/>
      <c r="IU916" s="1091"/>
      <c r="IV916" s="1091"/>
      <c r="IW916" s="1091"/>
      <c r="IX916" s="1091"/>
      <c r="IY916" s="1091"/>
      <c r="IZ916" s="1091"/>
      <c r="JA916" s="1091"/>
      <c r="JB916" s="1091"/>
      <c r="JC916" s="1091"/>
      <c r="JD916" s="1091"/>
      <c r="JE916" s="1091"/>
      <c r="JF916" s="1091"/>
      <c r="JG916" s="1091"/>
      <c r="JH916" s="1091"/>
      <c r="JI916" s="1091"/>
      <c r="JJ916" s="1091"/>
      <c r="JK916" s="1091"/>
      <c r="JL916" s="1091"/>
      <c r="JM916" s="1091"/>
      <c r="JN916" s="1091"/>
      <c r="JO916" s="1091"/>
      <c r="JP916" s="1091"/>
      <c r="JQ916" s="1091"/>
      <c r="JR916" s="1091"/>
      <c r="JS916" s="1091"/>
      <c r="JT916" s="1091"/>
      <c r="JU916" s="1091"/>
      <c r="JV916" s="1091"/>
      <c r="JW916" s="1091"/>
      <c r="JX916" s="1091"/>
      <c r="JY916" s="1091"/>
      <c r="JZ916" s="1091"/>
      <c r="KA916" s="1091"/>
      <c r="KB916" s="1091"/>
      <c r="KC916" s="1091"/>
      <c r="KD916" s="1091"/>
      <c r="KE916" s="1091"/>
      <c r="KF916" s="1091"/>
      <c r="KG916" s="1091"/>
      <c r="KH916" s="1091"/>
      <c r="KI916" s="1091"/>
      <c r="KJ916" s="1091"/>
      <c r="KK916" s="1091"/>
      <c r="KL916" s="1091"/>
      <c r="KM916" s="1091"/>
      <c r="KN916" s="1091"/>
      <c r="KO916" s="1091"/>
      <c r="KP916" s="1091"/>
      <c r="KQ916" s="1091"/>
      <c r="KR916" s="1091"/>
      <c r="KS916" s="1091"/>
      <c r="KT916" s="1091"/>
      <c r="KU916" s="1091"/>
      <c r="KV916" s="1091"/>
      <c r="KW916" s="1091"/>
      <c r="KX916" s="1091"/>
      <c r="KY916" s="1091"/>
      <c r="KZ916" s="1091"/>
      <c r="LA916" s="1091"/>
      <c r="LB916" s="1091"/>
      <c r="LC916" s="1091"/>
      <c r="LD916" s="1091"/>
      <c r="LE916" s="1091"/>
      <c r="LF916" s="1091"/>
      <c r="LG916" s="1091"/>
      <c r="LH916" s="1091"/>
      <c r="LI916" s="1091"/>
      <c r="LJ916" s="1091"/>
      <c r="LK916" s="1091"/>
      <c r="LL916" s="1091"/>
      <c r="LM916" s="1091"/>
      <c r="LN916" s="1091"/>
      <c r="LO916" s="1091"/>
      <c r="LP916" s="1091"/>
      <c r="LQ916" s="1091"/>
      <c r="LR916" s="1091"/>
      <c r="LS916" s="1091"/>
      <c r="LT916" s="1091"/>
      <c r="LU916" s="1091"/>
      <c r="LV916" s="1091"/>
      <c r="LW916" s="1091"/>
      <c r="LX916" s="1091"/>
      <c r="LY916" s="1091"/>
      <c r="LZ916" s="1091"/>
      <c r="MA916" s="1091"/>
      <c r="MB916" s="1091"/>
      <c r="MC916" s="1091"/>
      <c r="MD916" s="1091"/>
      <c r="ME916" s="1091"/>
      <c r="MF916" s="1091"/>
      <c r="MG916" s="1091"/>
      <c r="MH916" s="1091"/>
      <c r="MI916" s="1091"/>
      <c r="MJ916" s="1091"/>
      <c r="MK916" s="1091"/>
      <c r="ML916" s="1091"/>
      <c r="MM916" s="1091"/>
      <c r="MN916" s="1091"/>
      <c r="MO916" s="1091"/>
      <c r="MP916" s="1091"/>
      <c r="MQ916" s="1091"/>
      <c r="MR916" s="1091"/>
      <c r="MS916" s="1091"/>
      <c r="MT916" s="1091"/>
      <c r="MU916" s="1091"/>
      <c r="MV916" s="1091"/>
      <c r="MW916" s="1091"/>
      <c r="MX916" s="1091"/>
      <c r="MY916" s="1091"/>
      <c r="MZ916" s="1091"/>
      <c r="NA916" s="1091"/>
      <c r="NB916" s="1091"/>
      <c r="NC916" s="1091"/>
      <c r="ND916" s="1091"/>
      <c r="NE916" s="1091"/>
      <c r="NF916" s="1091"/>
      <c r="NG916" s="1091"/>
      <c r="NH916" s="1091"/>
      <c r="NI916" s="1091"/>
      <c r="NJ916" s="1091"/>
      <c r="NK916" s="1091"/>
      <c r="NL916" s="1091"/>
      <c r="NM916" s="1091"/>
      <c r="NN916" s="1091"/>
      <c r="NO916" s="1091"/>
      <c r="NP916" s="1091"/>
      <c r="NQ916" s="1091"/>
      <c r="NR916" s="1091"/>
      <c r="NS916" s="1091"/>
      <c r="NT916" s="1091"/>
      <c r="NU916" s="1091"/>
      <c r="NV916" s="1091"/>
      <c r="NW916" s="1091"/>
      <c r="NX916" s="1091"/>
      <c r="NY916" s="1091"/>
      <c r="NZ916" s="1091"/>
      <c r="OA916" s="1091"/>
      <c r="OB916" s="1091"/>
      <c r="OC916" s="1091"/>
      <c r="OD916" s="1091"/>
      <c r="OE916" s="1091"/>
      <c r="OF916" s="1091"/>
      <c r="OG916" s="1091"/>
      <c r="OH916" s="1091"/>
      <c r="OI916" s="1091"/>
      <c r="OJ916" s="1091"/>
      <c r="OK916" s="1091"/>
      <c r="OL916" s="1091"/>
      <c r="OM916" s="1091"/>
      <c r="ON916" s="1091"/>
      <c r="OO916" s="1091"/>
      <c r="OP916" s="1091"/>
      <c r="OQ916" s="1091"/>
      <c r="OR916" s="1091"/>
      <c r="OS916" s="1091"/>
      <c r="OT916" s="1091"/>
      <c r="OU916" s="1091"/>
      <c r="OV916" s="1091"/>
      <c r="OW916" s="1091"/>
      <c r="OX916" s="1091"/>
      <c r="OY916" s="1091"/>
      <c r="OZ916" s="1091"/>
      <c r="PA916" s="1091"/>
      <c r="PB916" s="1091"/>
      <c r="PC916" s="1091"/>
      <c r="PD916" s="1091"/>
      <c r="PE916" s="1091"/>
      <c r="PF916" s="1091"/>
      <c r="PG916" s="1091"/>
      <c r="PH916" s="1091"/>
      <c r="PI916" s="1091"/>
      <c r="PJ916" s="1091"/>
      <c r="PK916" s="1091"/>
      <c r="PL916" s="1091"/>
      <c r="PM916" s="1091"/>
      <c r="PN916" s="1091"/>
      <c r="PO916" s="1091"/>
      <c r="PP916" s="1091"/>
      <c r="PQ916" s="1091"/>
      <c r="PR916" s="1091"/>
      <c r="PS916" s="1091"/>
      <c r="PT916" s="1091"/>
      <c r="PU916" s="1091"/>
      <c r="PV916" s="1091"/>
      <c r="PW916" s="1091"/>
      <c r="PX916" s="1091"/>
      <c r="PY916" s="1091"/>
      <c r="PZ916" s="1091"/>
      <c r="QA916" s="1091"/>
      <c r="QB916" s="1091"/>
      <c r="QC916" s="1091"/>
      <c r="QD916" s="1091"/>
      <c r="QE916" s="1091"/>
      <c r="QF916" s="1091"/>
      <c r="QG916" s="1091"/>
      <c r="QH916" s="1091"/>
      <c r="QI916" s="1091"/>
      <c r="QJ916" s="1091"/>
      <c r="QK916" s="1091"/>
      <c r="QL916" s="1091"/>
      <c r="QM916" s="1091"/>
      <c r="QN916" s="1091"/>
      <c r="QO916" s="1091"/>
      <c r="QP916" s="1091"/>
      <c r="QQ916" s="1091"/>
      <c r="QR916" s="1091"/>
      <c r="QS916" s="1091"/>
      <c r="QT916" s="1091"/>
      <c r="QU916" s="1091"/>
      <c r="QV916" s="1091"/>
      <c r="QW916" s="1091"/>
      <c r="QX916" s="1091"/>
      <c r="QY916" s="1091"/>
      <c r="QZ916" s="1091"/>
      <c r="RA916" s="1091"/>
      <c r="RB916" s="1091"/>
      <c r="RC916" s="1091"/>
      <c r="RD916" s="1091"/>
      <c r="RE916" s="1091"/>
      <c r="RF916" s="1091"/>
      <c r="RG916" s="1091"/>
      <c r="RH916" s="1091"/>
      <c r="RI916" s="1091"/>
      <c r="RJ916" s="1091"/>
      <c r="RK916" s="1091"/>
      <c r="RL916" s="1091"/>
      <c r="RM916" s="1091"/>
      <c r="RN916" s="1091"/>
      <c r="RO916" s="1091"/>
      <c r="RP916" s="1091"/>
      <c r="RQ916" s="1091"/>
      <c r="RR916" s="1091"/>
      <c r="RS916" s="1091"/>
      <c r="RT916" s="1091"/>
      <c r="RU916" s="1091"/>
      <c r="RV916" s="1091"/>
      <c r="RW916" s="1091"/>
      <c r="RX916" s="1091"/>
      <c r="RY916" s="1091"/>
      <c r="RZ916" s="1091"/>
      <c r="SA916" s="1091"/>
      <c r="SB916" s="1091"/>
      <c r="SC916" s="1091"/>
      <c r="SD916" s="1091"/>
      <c r="SE916" s="1091"/>
      <c r="SF916" s="1091"/>
      <c r="SG916" s="1091"/>
      <c r="SH916" s="1091"/>
      <c r="SI916" s="1091"/>
      <c r="SJ916" s="1091"/>
      <c r="SK916" s="1091"/>
      <c r="SL916" s="1091"/>
      <c r="SM916" s="1091"/>
      <c r="SN916" s="1091"/>
      <c r="SO916" s="1091"/>
      <c r="SP916" s="1091"/>
      <c r="SQ916" s="1091"/>
      <c r="SR916" s="1091"/>
      <c r="SS916" s="1091"/>
      <c r="ST916" s="1091"/>
      <c r="SU916" s="1091"/>
      <c r="SV916" s="1091"/>
      <c r="SW916" s="1091"/>
      <c r="SX916" s="1091"/>
      <c r="SY916" s="1091"/>
      <c r="SZ916" s="1091"/>
      <c r="TA916" s="1091"/>
      <c r="TB916" s="1091"/>
      <c r="TC916" s="1091"/>
      <c r="TD916" s="1091"/>
      <c r="TE916" s="1091"/>
      <c r="TF916" s="1091"/>
      <c r="TG916" s="1091"/>
      <c r="TH916" s="1091"/>
      <c r="TI916" s="1091"/>
      <c r="TJ916" s="1091"/>
      <c r="TK916" s="1091"/>
      <c r="TL916" s="1091"/>
      <c r="TM916" s="1091"/>
      <c r="TN916" s="1091"/>
      <c r="TO916" s="1091"/>
      <c r="TP916" s="1091"/>
      <c r="TQ916" s="1091"/>
      <c r="TR916" s="1091"/>
      <c r="TS916" s="1091"/>
      <c r="TT916" s="1091"/>
      <c r="TU916" s="1091"/>
      <c r="TV916" s="1091"/>
      <c r="TW916" s="1091"/>
      <c r="TX916" s="1091"/>
      <c r="TY916" s="1091"/>
      <c r="TZ916" s="1091"/>
      <c r="UA916" s="1091"/>
      <c r="UB916" s="1091"/>
      <c r="UC916" s="1091"/>
      <c r="UD916" s="1091"/>
      <c r="UE916" s="1091"/>
      <c r="UF916" s="1091"/>
      <c r="UG916" s="1091"/>
      <c r="UH916" s="1091"/>
      <c r="UI916" s="1091"/>
      <c r="UJ916" s="1091"/>
      <c r="UK916" s="1091"/>
      <c r="UL916" s="1091"/>
      <c r="UM916" s="1091"/>
      <c r="UN916" s="1091"/>
      <c r="UO916" s="1091"/>
      <c r="UP916" s="1091"/>
      <c r="UQ916" s="1091"/>
      <c r="UR916" s="1091"/>
      <c r="US916" s="1091"/>
      <c r="UT916" s="1091"/>
      <c r="UU916" s="1091"/>
      <c r="UV916" s="1091"/>
      <c r="UW916" s="1091"/>
      <c r="UX916" s="1091"/>
      <c r="UY916" s="1091"/>
      <c r="UZ916" s="1091"/>
      <c r="VA916" s="1091"/>
      <c r="VB916" s="1091"/>
      <c r="VC916" s="1091"/>
      <c r="VD916" s="1091"/>
      <c r="VE916" s="1091"/>
      <c r="VF916" s="1091"/>
      <c r="VG916" s="1091"/>
      <c r="VH916" s="1091"/>
      <c r="VI916" s="1091"/>
      <c r="VJ916" s="1091"/>
      <c r="VK916" s="1091"/>
      <c r="VL916" s="1091"/>
      <c r="VM916" s="1091"/>
      <c r="VN916" s="1091"/>
      <c r="VO916" s="1091"/>
      <c r="VP916" s="1091"/>
      <c r="VQ916" s="1091"/>
      <c r="VR916" s="1091"/>
      <c r="VS916" s="1091"/>
      <c r="VT916" s="1091"/>
      <c r="VU916" s="1091"/>
      <c r="VV916" s="1091"/>
      <c r="VW916" s="1091"/>
      <c r="VX916" s="1091"/>
      <c r="VY916" s="1091"/>
      <c r="VZ916" s="1091"/>
      <c r="WA916" s="1091"/>
      <c r="WB916" s="1091"/>
      <c r="WC916" s="1091"/>
      <c r="WD916" s="1091"/>
      <c r="WE916" s="1091"/>
      <c r="WF916" s="1091"/>
      <c r="WG916" s="1091"/>
      <c r="WH916" s="1091"/>
      <c r="WI916" s="1091"/>
      <c r="WJ916" s="1091"/>
      <c r="WK916" s="1091"/>
      <c r="WL916" s="1091"/>
      <c r="WM916" s="1091"/>
      <c r="WN916" s="1091"/>
      <c r="WO916" s="1091"/>
      <c r="WP916" s="1091"/>
      <c r="WQ916" s="1091"/>
      <c r="WR916" s="1091"/>
      <c r="WS916" s="1091"/>
      <c r="WT916" s="1091"/>
      <c r="WU916" s="1091"/>
      <c r="WV916" s="1091"/>
      <c r="WW916" s="1091"/>
      <c r="WX916" s="1091"/>
      <c r="WY916" s="1091"/>
      <c r="WZ916" s="1091"/>
      <c r="XA916" s="1091"/>
      <c r="XB916" s="1091"/>
      <c r="XC916" s="1091"/>
      <c r="XD916" s="1091"/>
      <c r="XE916" s="1091"/>
      <c r="XF916" s="1091"/>
      <c r="XG916" s="1091"/>
      <c r="XH916" s="1091"/>
      <c r="XI916" s="1091"/>
      <c r="XJ916" s="1091"/>
      <c r="XK916" s="1091"/>
      <c r="XL916" s="1091"/>
      <c r="XM916" s="1091"/>
      <c r="XN916" s="1091"/>
      <c r="XO916" s="1091"/>
      <c r="XP916" s="1091"/>
      <c r="XQ916" s="1091"/>
      <c r="XR916" s="1091"/>
      <c r="XS916" s="1091"/>
      <c r="XT916" s="1091"/>
      <c r="XU916" s="1091"/>
      <c r="XV916" s="1091"/>
      <c r="XW916" s="1091"/>
      <c r="XX916" s="1091"/>
      <c r="XY916" s="1091"/>
      <c r="XZ916" s="1091"/>
      <c r="YA916" s="1091"/>
      <c r="YB916" s="1091"/>
      <c r="YC916" s="1091"/>
      <c r="YD916" s="1091"/>
      <c r="YE916" s="1091"/>
      <c r="YF916" s="1091"/>
      <c r="YG916" s="1091"/>
      <c r="YH916" s="1091"/>
      <c r="YI916" s="1091"/>
      <c r="YJ916" s="1091"/>
      <c r="YK916" s="1091"/>
      <c r="YL916" s="1091"/>
      <c r="YM916" s="1091"/>
      <c r="YN916" s="1091"/>
      <c r="YO916" s="1091"/>
      <c r="YP916" s="1091"/>
      <c r="YQ916" s="1091"/>
      <c r="YR916" s="1091"/>
      <c r="YS916" s="1091"/>
      <c r="YT916" s="1091"/>
      <c r="YU916" s="1091"/>
      <c r="YV916" s="1091"/>
      <c r="YW916" s="1091"/>
      <c r="YX916" s="1091"/>
      <c r="YY916" s="1091"/>
      <c r="YZ916" s="1091"/>
      <c r="ZA916" s="1091"/>
      <c r="ZB916" s="1091"/>
      <c r="ZC916" s="1091"/>
      <c r="ZD916" s="1091"/>
      <c r="ZE916" s="1091"/>
      <c r="ZF916" s="1091"/>
      <c r="ZG916" s="1091"/>
      <c r="ZH916" s="1091"/>
      <c r="ZI916" s="1091"/>
      <c r="ZJ916" s="1091"/>
      <c r="ZK916" s="1091"/>
      <c r="ZL916" s="1091"/>
      <c r="ZM916" s="1091"/>
      <c r="ZN916" s="1091"/>
      <c r="ZO916" s="1091"/>
      <c r="ZP916" s="1091"/>
      <c r="ZQ916" s="1091"/>
      <c r="ZR916" s="1091"/>
      <c r="ZS916" s="1091"/>
      <c r="ZT916" s="1091"/>
      <c r="ZU916" s="1091"/>
      <c r="ZV916" s="1091"/>
      <c r="ZW916" s="1091"/>
      <c r="ZX916" s="1091"/>
      <c r="ZY916" s="1091"/>
      <c r="ZZ916" s="1091"/>
      <c r="AAA916" s="1091"/>
      <c r="AAB916" s="1091"/>
      <c r="AAC916" s="1091"/>
      <c r="AAD916" s="1091"/>
      <c r="AAE916" s="1091"/>
      <c r="AAF916" s="1091"/>
      <c r="AAG916" s="1091"/>
      <c r="AAH916" s="1091"/>
      <c r="AAI916" s="1091"/>
      <c r="AAJ916" s="1091"/>
      <c r="AAK916" s="1091"/>
      <c r="AAL916" s="1091"/>
      <c r="AAM916" s="1091"/>
      <c r="AAN916" s="1091"/>
      <c r="AAO916" s="1091"/>
      <c r="AAP916" s="1091"/>
      <c r="AAQ916" s="1091"/>
      <c r="AAR916" s="1091"/>
      <c r="AAS916" s="1091"/>
      <c r="AAT916" s="1091"/>
      <c r="AAU916" s="1091"/>
      <c r="AAV916" s="1091"/>
      <c r="AAW916" s="1091"/>
      <c r="AAX916" s="1091"/>
      <c r="AAY916" s="1091"/>
      <c r="AAZ916" s="1091"/>
      <c r="ABA916" s="1091"/>
      <c r="ABB916" s="1091"/>
      <c r="ABC916" s="1091"/>
      <c r="ABD916" s="1091"/>
      <c r="ABE916" s="1091"/>
      <c r="ABF916" s="1091"/>
      <c r="ABG916" s="1091"/>
      <c r="ABH916" s="1091"/>
      <c r="ABI916" s="1091"/>
      <c r="ABJ916" s="1091"/>
      <c r="ABK916" s="1091"/>
      <c r="ABL916" s="1091"/>
      <c r="ABM916" s="1091"/>
      <c r="ABN916" s="1091"/>
      <c r="ABO916" s="1091"/>
      <c r="ABP916" s="1091"/>
      <c r="ABQ916" s="1091"/>
      <c r="ABR916" s="1091"/>
      <c r="ABS916" s="1091"/>
      <c r="ABT916" s="1091"/>
      <c r="ABU916" s="1091"/>
      <c r="ABV916" s="1091"/>
      <c r="ABW916" s="1091"/>
      <c r="ABX916" s="1091"/>
      <c r="ABY916" s="1091"/>
      <c r="ABZ916" s="1091"/>
      <c r="ACA916" s="1091"/>
      <c r="ACB916" s="1091"/>
      <c r="ACC916" s="1091"/>
      <c r="ACD916" s="1091"/>
      <c r="ACE916" s="1091"/>
      <c r="ACF916" s="1091"/>
      <c r="ACG916" s="1091"/>
      <c r="ACH916" s="1091"/>
      <c r="ACI916" s="1091"/>
      <c r="ACJ916" s="1091"/>
      <c r="ACK916" s="1091"/>
      <c r="ACL916" s="1091"/>
      <c r="ACM916" s="1091"/>
      <c r="ACN916" s="1091"/>
      <c r="ACO916" s="1091"/>
      <c r="ACP916" s="1091"/>
      <c r="ACQ916" s="1091"/>
      <c r="ACR916" s="1091"/>
      <c r="ACS916" s="1091"/>
      <c r="ACT916" s="1091"/>
      <c r="ACU916" s="1091"/>
      <c r="ACV916" s="1091"/>
      <c r="ACW916" s="1091"/>
      <c r="ACX916" s="1091"/>
      <c r="ACY916" s="1091"/>
      <c r="ACZ916" s="1091"/>
      <c r="ADA916" s="1091"/>
      <c r="ADB916" s="1091"/>
      <c r="ADC916" s="1091"/>
      <c r="ADD916" s="1091"/>
      <c r="ADE916" s="1091"/>
      <c r="ADF916" s="1091"/>
      <c r="ADG916" s="1091"/>
      <c r="ADH916" s="1091"/>
      <c r="ADI916" s="1091"/>
      <c r="ADJ916" s="1091"/>
      <c r="ADK916" s="1091"/>
      <c r="ADL916" s="1091"/>
      <c r="ADM916" s="1091"/>
      <c r="ADN916" s="1091"/>
      <c r="ADO916" s="1091"/>
      <c r="ADP916" s="1091"/>
      <c r="ADQ916" s="1091"/>
      <c r="ADR916" s="1091"/>
      <c r="ADS916" s="1091"/>
      <c r="ADT916" s="1091"/>
      <c r="ADU916" s="1091"/>
      <c r="ADV916" s="1091"/>
      <c r="ADW916" s="1091"/>
      <c r="ADX916" s="1091"/>
      <c r="ADY916" s="1091"/>
      <c r="ADZ916" s="1091"/>
      <c r="AEA916" s="1091"/>
      <c r="AEB916" s="1091"/>
      <c r="AEC916" s="1091"/>
      <c r="AED916" s="1091"/>
      <c r="AEE916" s="1091"/>
      <c r="AEF916" s="1091"/>
      <c r="AEG916" s="1091"/>
      <c r="AEH916" s="1091"/>
      <c r="AEI916" s="1091"/>
      <c r="AEJ916" s="1091"/>
      <c r="AEK916" s="1091"/>
      <c r="AEL916" s="1091"/>
      <c r="AEM916" s="1091"/>
      <c r="AEN916" s="1091"/>
      <c r="AEO916" s="1091"/>
      <c r="AEP916" s="1091"/>
      <c r="AEQ916" s="1091"/>
      <c r="AER916" s="1091"/>
      <c r="AES916" s="1091"/>
      <c r="AET916" s="1091"/>
      <c r="AEU916" s="1091"/>
      <c r="AEV916" s="1091"/>
      <c r="AEW916" s="1091"/>
      <c r="AEX916" s="1091"/>
      <c r="AEY916" s="1091"/>
      <c r="AEZ916" s="1091"/>
      <c r="AFA916" s="1091"/>
      <c r="AFB916" s="1091"/>
      <c r="AFC916" s="1091"/>
      <c r="AFD916" s="1091"/>
      <c r="AFE916" s="1091"/>
      <c r="AFF916" s="1091"/>
      <c r="AFG916" s="1091"/>
      <c r="AFH916" s="1091"/>
      <c r="AFI916" s="1091"/>
      <c r="AFJ916" s="1091"/>
      <c r="AFK916" s="1091"/>
      <c r="AFL916" s="1091"/>
      <c r="AFM916" s="1091"/>
      <c r="AFN916" s="1091"/>
      <c r="AFO916" s="1091"/>
      <c r="AFP916" s="1091"/>
      <c r="AFQ916" s="1091"/>
      <c r="AFR916" s="1091"/>
      <c r="AFS916" s="1091"/>
      <c r="AFT916" s="1091"/>
      <c r="AFU916" s="1091"/>
      <c r="AFV916" s="1091"/>
      <c r="AFW916" s="1091"/>
      <c r="AFX916" s="1091"/>
      <c r="AFY916" s="1091"/>
      <c r="AFZ916" s="1091"/>
      <c r="AGA916" s="1091"/>
      <c r="AGB916" s="1091"/>
      <c r="AGC916" s="1091"/>
      <c r="AGD916" s="1091"/>
      <c r="AGE916" s="1091"/>
      <c r="AGF916" s="1091"/>
      <c r="AGG916" s="1091"/>
      <c r="AGH916" s="1091"/>
      <c r="AGI916" s="1091"/>
      <c r="AGJ916" s="1091"/>
      <c r="AGK916" s="1091"/>
      <c r="AGL916" s="1091"/>
      <c r="AGM916" s="1091"/>
      <c r="AGN916" s="1091"/>
      <c r="AGO916" s="1091"/>
      <c r="AGP916" s="1091"/>
      <c r="AGQ916" s="1091"/>
      <c r="AGR916" s="1091"/>
      <c r="AGS916" s="1091"/>
      <c r="AGT916" s="1091"/>
      <c r="AGU916" s="1091"/>
      <c r="AGV916" s="1091"/>
      <c r="AGW916" s="1091"/>
      <c r="AGX916" s="1091"/>
      <c r="AGY916" s="1091"/>
      <c r="AGZ916" s="1091"/>
      <c r="AHA916" s="1091"/>
      <c r="AHB916" s="1091"/>
      <c r="AHC916" s="1091"/>
      <c r="AHD916" s="1091"/>
      <c r="AHE916" s="1091"/>
      <c r="AHF916" s="1091"/>
      <c r="AHG916" s="1091"/>
      <c r="AHH916" s="1091"/>
      <c r="AHI916" s="1091"/>
      <c r="AHJ916" s="1091"/>
      <c r="AHK916" s="1091"/>
      <c r="AHL916" s="1091"/>
      <c r="AHM916" s="1091"/>
      <c r="AHN916" s="1091"/>
      <c r="AHO916" s="1091"/>
      <c r="AHP916" s="1091"/>
      <c r="AHQ916" s="1091"/>
      <c r="AHR916" s="1091"/>
      <c r="AHS916" s="1091"/>
      <c r="AHT916" s="1091"/>
      <c r="AHU916" s="1091"/>
      <c r="AHV916" s="1091"/>
      <c r="AHW916" s="1091"/>
      <c r="AHX916" s="1091"/>
      <c r="AHY916" s="1091"/>
      <c r="AHZ916" s="1091"/>
      <c r="AIA916" s="1091"/>
      <c r="AIB916" s="1091"/>
      <c r="AIC916" s="1091"/>
      <c r="AID916" s="1091"/>
      <c r="AIE916" s="1091"/>
      <c r="AIF916" s="1091"/>
      <c r="AIG916" s="1091"/>
      <c r="AIH916" s="1091"/>
      <c r="AII916" s="1091"/>
      <c r="AIJ916" s="1091"/>
      <c r="AIK916" s="1091"/>
      <c r="AIL916" s="1091"/>
      <c r="AIM916" s="1091"/>
      <c r="AIN916" s="1091"/>
      <c r="AIO916" s="1091"/>
      <c r="AIP916" s="1091"/>
      <c r="AIQ916" s="1091"/>
      <c r="AIR916" s="1091"/>
      <c r="AIS916" s="1091"/>
      <c r="AIT916" s="1091"/>
      <c r="AIU916" s="1091"/>
      <c r="AIV916" s="1091"/>
      <c r="AIW916" s="1091"/>
      <c r="AIX916" s="1091"/>
      <c r="AIY916" s="1091"/>
      <c r="AIZ916" s="1091"/>
      <c r="AJA916" s="1091"/>
      <c r="AJB916" s="1091"/>
      <c r="AJC916" s="1091"/>
      <c r="AJD916" s="1091"/>
      <c r="AJE916" s="1091"/>
      <c r="AJF916" s="1091"/>
      <c r="AJG916" s="1091"/>
      <c r="AJH916" s="1091"/>
      <c r="AJI916" s="1091"/>
      <c r="AJJ916" s="1091"/>
      <c r="AJK916" s="1091"/>
      <c r="AJL916" s="1091"/>
      <c r="AJM916" s="1091"/>
      <c r="AJN916" s="1091"/>
      <c r="AJO916" s="1091"/>
      <c r="AJP916" s="1091"/>
      <c r="AJQ916" s="1091"/>
      <c r="AJR916" s="1091"/>
      <c r="AJS916" s="1091"/>
      <c r="AJT916" s="1091"/>
      <c r="AJU916" s="1091"/>
      <c r="AJV916" s="1091"/>
      <c r="AJW916" s="1091"/>
      <c r="AJX916" s="1091"/>
      <c r="AJY916" s="1091"/>
      <c r="AJZ916" s="1091"/>
      <c r="AKA916" s="1091"/>
      <c r="AKB916" s="1091"/>
      <c r="AKC916" s="1091"/>
      <c r="AKD916" s="1091"/>
      <c r="AKE916" s="1091"/>
      <c r="AKF916" s="1091"/>
      <c r="AKG916" s="1091"/>
      <c r="AKH916" s="1091"/>
      <c r="AKI916" s="1091"/>
      <c r="AKJ916" s="1091"/>
      <c r="AKK916" s="1091"/>
      <c r="AKL916" s="1091"/>
      <c r="AKM916" s="1091"/>
      <c r="AKN916" s="1091"/>
      <c r="AKO916" s="1091"/>
      <c r="AKP916" s="1091"/>
      <c r="AKQ916" s="1091"/>
      <c r="AKR916" s="1091"/>
      <c r="AKS916" s="1091"/>
      <c r="AKT916" s="1091"/>
      <c r="AKU916" s="1091"/>
      <c r="AKV916" s="1091"/>
      <c r="AKW916" s="1091"/>
      <c r="AKX916" s="1091"/>
      <c r="AKY916" s="1091"/>
      <c r="AKZ916" s="1091"/>
      <c r="ALA916" s="1091"/>
      <c r="ALB916" s="1091"/>
      <c r="ALC916" s="1091"/>
      <c r="ALD916" s="1091"/>
      <c r="ALE916" s="1091"/>
      <c r="ALF916" s="1091"/>
      <c r="ALG916" s="1091"/>
      <c r="ALH916" s="1091"/>
      <c r="ALI916" s="1091"/>
      <c r="ALJ916" s="1091"/>
      <c r="ALK916" s="1091"/>
      <c r="ALL916" s="1091"/>
      <c r="ALM916" s="1091"/>
      <c r="ALN916" s="1091"/>
      <c r="ALO916" s="1091"/>
      <c r="ALP916" s="1091"/>
      <c r="ALQ916" s="1091"/>
      <c r="ALR916" s="1091"/>
      <c r="ALS916" s="1091"/>
      <c r="ALT916" s="1091"/>
      <c r="ALU916" s="1091"/>
      <c r="ALV916" s="1091"/>
      <c r="ALW916" s="1091"/>
      <c r="ALX916" s="1091"/>
      <c r="ALY916" s="1091"/>
      <c r="ALZ916" s="1091"/>
      <c r="AMA916" s="1091"/>
      <c r="AMB916" s="1091"/>
      <c r="AMC916" s="1091"/>
      <c r="AMD916" s="1091"/>
      <c r="AME916" s="1091"/>
      <c r="AMF916" s="1091"/>
      <c r="AMG916" s="1091"/>
      <c r="AMH916" s="1091"/>
      <c r="AMI916" s="1091"/>
      <c r="AMJ916" s="1091"/>
      <c r="AMK916" s="1091"/>
      <c r="AML916" s="1091"/>
      <c r="AMM916" s="1091"/>
      <c r="AMN916" s="1091"/>
      <c r="AMO916" s="1091"/>
      <c r="AMP916" s="1091"/>
      <c r="AMQ916" s="1091"/>
      <c r="AMR916" s="1091"/>
      <c r="AMS916" s="1091"/>
      <c r="AMT916" s="1091"/>
      <c r="AMU916" s="1091"/>
      <c r="AMV916" s="1091"/>
      <c r="AMW916" s="1091"/>
      <c r="AMX916" s="1091"/>
      <c r="AMY916" s="1091"/>
      <c r="AMZ916" s="1091"/>
      <c r="ANA916" s="1091"/>
      <c r="ANB916" s="1091"/>
      <c r="ANC916" s="1091"/>
      <c r="AND916" s="1091"/>
      <c r="ANE916" s="1091"/>
      <c r="ANF916" s="1091"/>
      <c r="ANG916" s="1091"/>
      <c r="ANH916" s="1091"/>
      <c r="ANI916" s="1091"/>
      <c r="ANJ916" s="1091"/>
      <c r="ANK916" s="1091"/>
      <c r="ANL916" s="1091"/>
      <c r="ANM916" s="1091"/>
      <c r="ANN916" s="1091"/>
      <c r="ANO916" s="1091"/>
      <c r="ANP916" s="1091"/>
      <c r="ANQ916" s="1091"/>
      <c r="ANR916" s="1091"/>
      <c r="ANS916" s="1091"/>
      <c r="ANT916" s="1091"/>
      <c r="ANU916" s="1091"/>
      <c r="ANV916" s="1091"/>
      <c r="ANW916" s="1091"/>
      <c r="ANX916" s="1091"/>
      <c r="ANY916" s="1091"/>
      <c r="ANZ916" s="1091"/>
      <c r="AOA916" s="1091"/>
      <c r="AOB916" s="1091"/>
      <c r="AOC916" s="1091"/>
      <c r="AOD916" s="1091"/>
      <c r="AOE916" s="1091"/>
      <c r="AOF916" s="1091"/>
      <c r="AOG916" s="1091"/>
      <c r="AOH916" s="1091"/>
      <c r="AOI916" s="1091"/>
      <c r="AOJ916" s="1091"/>
      <c r="AOK916" s="1091"/>
      <c r="AOL916" s="1091"/>
      <c r="AOM916" s="1091"/>
      <c r="AON916" s="1091"/>
      <c r="AOO916" s="1091"/>
      <c r="AOP916" s="1091"/>
      <c r="AOQ916" s="1091"/>
      <c r="AOR916" s="1091"/>
      <c r="AOS916" s="1091"/>
      <c r="AOT916" s="1091"/>
      <c r="AOU916" s="1091"/>
      <c r="AOV916" s="1091"/>
      <c r="AOW916" s="1091"/>
      <c r="AOX916" s="1091"/>
      <c r="AOY916" s="1091"/>
      <c r="AOZ916" s="1091"/>
      <c r="APA916" s="1091"/>
      <c r="APB916" s="1091"/>
      <c r="APC916" s="1091"/>
      <c r="APD916" s="1091"/>
      <c r="APE916" s="1091"/>
      <c r="APF916" s="1091"/>
      <c r="APG916" s="1091"/>
      <c r="APH916" s="1091"/>
      <c r="API916" s="1091"/>
      <c r="APJ916" s="1091"/>
      <c r="APK916" s="1091"/>
      <c r="APL916" s="1091"/>
      <c r="APM916" s="1091"/>
      <c r="APN916" s="1091"/>
      <c r="APO916" s="1091"/>
      <c r="APP916" s="1091"/>
      <c r="APQ916" s="1091"/>
      <c r="APR916" s="1091"/>
      <c r="APS916" s="1091"/>
      <c r="APT916" s="1091"/>
      <c r="APU916" s="1091"/>
      <c r="APV916" s="1091"/>
      <c r="APW916" s="1091"/>
      <c r="APX916" s="1091"/>
      <c r="APY916" s="1091"/>
      <c r="APZ916" s="1091"/>
      <c r="AQA916" s="1091"/>
      <c r="AQB916" s="1091"/>
      <c r="AQC916" s="1091"/>
      <c r="AQD916" s="1091"/>
      <c r="AQE916" s="1091"/>
      <c r="AQF916" s="1091"/>
      <c r="AQG916" s="1091"/>
      <c r="AQH916" s="1091"/>
      <c r="AQI916" s="1091"/>
      <c r="AQJ916" s="1091"/>
      <c r="AQK916" s="1091"/>
      <c r="AQL916" s="1091"/>
      <c r="AQM916" s="1091"/>
      <c r="AQN916" s="1091"/>
      <c r="AQO916" s="1091"/>
      <c r="AQP916" s="1091"/>
      <c r="AQQ916" s="1091"/>
      <c r="AQR916" s="1091"/>
      <c r="AQS916" s="1091"/>
      <c r="AQT916" s="1091"/>
      <c r="AQU916" s="1091"/>
      <c r="AQV916" s="1091"/>
      <c r="AQW916" s="1091"/>
      <c r="AQX916" s="1091"/>
      <c r="AQY916" s="1091"/>
      <c r="AQZ916" s="1091"/>
      <c r="ARA916" s="1091"/>
      <c r="ARB916" s="1091"/>
      <c r="ARC916" s="1091"/>
      <c r="ARD916" s="1091"/>
      <c r="ARE916" s="1091"/>
      <c r="ARF916" s="1091"/>
      <c r="ARG916" s="1091"/>
      <c r="ARH916" s="1091"/>
      <c r="ARI916" s="1091"/>
      <c r="ARJ916" s="1091"/>
      <c r="ARK916" s="1091"/>
      <c r="ARL916" s="1091"/>
      <c r="ARM916" s="1091"/>
      <c r="ARN916" s="1091"/>
      <c r="ARO916" s="1091"/>
      <c r="ARP916" s="1091"/>
      <c r="ARQ916" s="1091"/>
      <c r="ARR916" s="1091"/>
      <c r="ARS916" s="1091"/>
      <c r="ART916" s="1091"/>
      <c r="ARU916" s="1091"/>
      <c r="ARV916" s="1091"/>
      <c r="ARW916" s="1091"/>
      <c r="ARX916" s="1091"/>
      <c r="ARY916" s="1091"/>
      <c r="ARZ916" s="1091"/>
      <c r="ASA916" s="1091"/>
      <c r="ASB916" s="1091"/>
      <c r="ASC916" s="1091"/>
      <c r="ASD916" s="1091"/>
      <c r="ASE916" s="1091"/>
      <c r="ASF916" s="1091"/>
      <c r="ASG916" s="1091"/>
      <c r="ASH916" s="1091"/>
      <c r="ASI916" s="1091"/>
      <c r="ASJ916" s="1091"/>
      <c r="ASK916" s="1091"/>
      <c r="ASL916" s="1091"/>
      <c r="ASM916" s="1091"/>
      <c r="ASN916" s="1091"/>
      <c r="ASO916" s="1091"/>
      <c r="ASP916" s="1091"/>
      <c r="ASQ916" s="1091"/>
      <c r="ASR916" s="1091"/>
      <c r="ASS916" s="1091"/>
      <c r="AST916" s="1091"/>
      <c r="ASU916" s="1091"/>
      <c r="ASV916" s="1091"/>
      <c r="ASW916" s="1091"/>
      <c r="ASX916" s="1091"/>
      <c r="ASY916" s="1091"/>
      <c r="ASZ916" s="1091"/>
      <c r="ATA916" s="1091"/>
      <c r="ATB916" s="1091"/>
      <c r="ATC916" s="1091"/>
      <c r="ATD916" s="1091"/>
      <c r="ATE916" s="1091"/>
      <c r="ATF916" s="1091"/>
      <c r="ATG916" s="1091"/>
      <c r="ATH916" s="1091"/>
      <c r="ATI916" s="1091"/>
      <c r="ATJ916" s="1091"/>
      <c r="ATK916" s="1091"/>
      <c r="ATL916" s="1091"/>
      <c r="ATM916" s="1091"/>
      <c r="ATN916" s="1091"/>
      <c r="ATO916" s="1091"/>
      <c r="ATP916" s="1091"/>
      <c r="ATQ916" s="1091"/>
      <c r="ATR916" s="1091"/>
      <c r="ATS916" s="1091"/>
      <c r="ATT916" s="1091"/>
      <c r="ATU916" s="1091"/>
      <c r="ATV916" s="1091"/>
      <c r="ATW916" s="1091"/>
      <c r="ATX916" s="1091"/>
      <c r="ATY916" s="1091"/>
      <c r="ATZ916" s="1091"/>
      <c r="AUA916" s="1091"/>
      <c r="AUB916" s="1091"/>
      <c r="AUC916" s="1091"/>
      <c r="AUD916" s="1091"/>
      <c r="AUE916" s="1091"/>
      <c r="AUF916" s="1091"/>
      <c r="AUG916" s="1091"/>
      <c r="AUH916" s="1091"/>
      <c r="AUI916" s="1091"/>
      <c r="AUJ916" s="1091"/>
      <c r="AUK916" s="1091"/>
      <c r="AUL916" s="1091"/>
      <c r="AUM916" s="1091"/>
      <c r="AUN916" s="1091"/>
      <c r="AUO916" s="1091"/>
      <c r="AUP916" s="1091"/>
      <c r="AUQ916" s="1091"/>
      <c r="AUR916" s="1091"/>
      <c r="AUS916" s="1091"/>
      <c r="AUT916" s="1091"/>
      <c r="AUU916" s="1091"/>
      <c r="AUV916" s="1091"/>
      <c r="AUW916" s="1091"/>
      <c r="AUX916" s="1091"/>
      <c r="AUY916" s="1091"/>
      <c r="AUZ916" s="1091"/>
      <c r="AVA916" s="1091"/>
      <c r="AVB916" s="1091"/>
      <c r="AVC916" s="1091"/>
      <c r="AVD916" s="1091"/>
      <c r="AVE916" s="1091"/>
      <c r="AVF916" s="1091"/>
      <c r="AVG916" s="1091"/>
      <c r="AVH916" s="1091"/>
      <c r="AVI916" s="1091"/>
      <c r="AVJ916" s="1091"/>
      <c r="AVK916" s="1091"/>
      <c r="AVL916" s="1091"/>
      <c r="AVM916" s="1091"/>
      <c r="AVN916" s="1091"/>
      <c r="AVO916" s="1091"/>
      <c r="AVP916" s="1091"/>
      <c r="AVQ916" s="1091"/>
      <c r="AVR916" s="1091"/>
      <c r="AVS916" s="1091"/>
      <c r="AVT916" s="1091"/>
      <c r="AVU916" s="1091"/>
      <c r="AVV916" s="1091"/>
      <c r="AVW916" s="1091"/>
      <c r="AVX916" s="1091"/>
      <c r="AVY916" s="1091"/>
      <c r="AVZ916" s="1091"/>
      <c r="AWA916" s="1091"/>
      <c r="AWB916" s="1091"/>
      <c r="AWC916" s="1091"/>
      <c r="AWD916" s="1091"/>
      <c r="AWE916" s="1091"/>
      <c r="AWF916" s="1091"/>
      <c r="AWG916" s="1091"/>
      <c r="AWH916" s="1091"/>
      <c r="AWI916" s="1091"/>
      <c r="AWJ916" s="1091"/>
      <c r="AWK916" s="1091"/>
      <c r="AWL916" s="1091"/>
      <c r="AWM916" s="1091"/>
      <c r="AWN916" s="1091"/>
      <c r="AWO916" s="1091"/>
      <c r="AWP916" s="1091"/>
      <c r="AWQ916" s="1091"/>
      <c r="AWR916" s="1091"/>
      <c r="AWS916" s="1091"/>
      <c r="AWT916" s="1091"/>
      <c r="AWU916" s="1091"/>
      <c r="AWV916" s="1091"/>
      <c r="AWW916" s="1091"/>
      <c r="AWX916" s="1091"/>
      <c r="AWY916" s="1091"/>
      <c r="AWZ916" s="1091"/>
      <c r="AXA916" s="1091"/>
      <c r="AXB916" s="1091"/>
      <c r="AXC916" s="1091"/>
      <c r="AXD916" s="1091"/>
      <c r="AXE916" s="1091"/>
      <c r="AXF916" s="1091"/>
      <c r="AXG916" s="1091"/>
      <c r="AXH916" s="1091"/>
      <c r="AXI916" s="1091"/>
      <c r="AXJ916" s="1091"/>
      <c r="AXK916" s="1091"/>
      <c r="AXL916" s="1091"/>
      <c r="AXM916" s="1091"/>
      <c r="AXN916" s="1091"/>
      <c r="AXO916" s="1091"/>
      <c r="AXP916" s="1091"/>
      <c r="AXQ916" s="1091"/>
      <c r="AXR916" s="1091"/>
      <c r="AXS916" s="1091"/>
      <c r="AXT916" s="1091"/>
      <c r="AXU916" s="1091"/>
      <c r="AXV916" s="1091"/>
      <c r="AXW916" s="1091"/>
      <c r="AXX916" s="1091"/>
      <c r="AXY916" s="1091"/>
      <c r="AXZ916" s="1091"/>
      <c r="AYA916" s="1091"/>
      <c r="AYB916" s="1091"/>
      <c r="AYC916" s="1091"/>
      <c r="AYD916" s="1091"/>
      <c r="AYE916" s="1091"/>
      <c r="AYF916" s="1091"/>
      <c r="AYG916" s="1091"/>
      <c r="AYH916" s="1091"/>
      <c r="AYI916" s="1091"/>
      <c r="AYJ916" s="1091"/>
      <c r="AYK916" s="1091"/>
      <c r="AYL916" s="1091"/>
      <c r="AYM916" s="1091"/>
      <c r="AYN916" s="1091"/>
      <c r="AYO916" s="1091"/>
      <c r="AYP916" s="1091"/>
      <c r="AYQ916" s="1091"/>
      <c r="AYR916" s="1091"/>
      <c r="AYS916" s="1091"/>
      <c r="AYT916" s="1091"/>
      <c r="AYU916" s="1091"/>
      <c r="AYV916" s="1091"/>
      <c r="AYW916" s="1091"/>
      <c r="AYX916" s="1091"/>
      <c r="AYY916" s="1091"/>
      <c r="AYZ916" s="1091"/>
      <c r="AZA916" s="1091"/>
      <c r="AZB916" s="1091"/>
      <c r="AZC916" s="1091"/>
      <c r="AZD916" s="1091"/>
      <c r="AZE916" s="1091"/>
      <c r="AZF916" s="1091"/>
      <c r="AZG916" s="1091"/>
      <c r="AZH916" s="1091"/>
      <c r="AZI916" s="1091"/>
      <c r="AZJ916" s="1091"/>
      <c r="AZK916" s="1091"/>
      <c r="AZL916" s="1091"/>
      <c r="AZM916" s="1091"/>
      <c r="AZN916" s="1091"/>
      <c r="AZO916" s="1091"/>
      <c r="AZP916" s="1091"/>
      <c r="AZQ916" s="1091"/>
      <c r="AZR916" s="1091"/>
      <c r="AZS916" s="1091"/>
      <c r="AZT916" s="1091"/>
      <c r="AZU916" s="1091"/>
      <c r="AZV916" s="1091"/>
      <c r="AZW916" s="1091"/>
      <c r="AZX916" s="1091"/>
      <c r="AZY916" s="1091"/>
      <c r="AZZ916" s="1091"/>
      <c r="BAA916" s="1091"/>
      <c r="BAB916" s="1091"/>
      <c r="BAC916" s="1091"/>
      <c r="BAD916" s="1091"/>
      <c r="BAE916" s="1091"/>
      <c r="BAF916" s="1091"/>
      <c r="BAG916" s="1091"/>
      <c r="BAH916" s="1091"/>
      <c r="BAI916" s="1091"/>
      <c r="BAJ916" s="1091"/>
      <c r="BAK916" s="1091"/>
      <c r="BAL916" s="1091"/>
      <c r="BAM916" s="1091"/>
      <c r="BAN916" s="1091"/>
      <c r="BAO916" s="1091"/>
      <c r="BAP916" s="1091"/>
      <c r="BAQ916" s="1091"/>
      <c r="BAR916" s="1091"/>
      <c r="BAS916" s="1091"/>
      <c r="BAT916" s="1091"/>
      <c r="BAU916" s="1091"/>
      <c r="BAV916" s="1091"/>
      <c r="BAW916" s="1091"/>
      <c r="BAX916" s="1091"/>
      <c r="BAY916" s="1091"/>
      <c r="BAZ916" s="1091"/>
      <c r="BBA916" s="1091"/>
      <c r="BBB916" s="1091"/>
      <c r="BBC916" s="1091"/>
      <c r="BBD916" s="1091"/>
      <c r="BBE916" s="1091"/>
      <c r="BBF916" s="1091"/>
      <c r="BBG916" s="1091"/>
      <c r="BBH916" s="1091"/>
      <c r="BBI916" s="1091"/>
      <c r="BBJ916" s="1091"/>
      <c r="BBK916" s="1091"/>
      <c r="BBL916" s="1091"/>
      <c r="BBM916" s="1091"/>
      <c r="BBN916" s="1091"/>
      <c r="BBO916" s="1091"/>
      <c r="BBP916" s="1091"/>
      <c r="BBQ916" s="1091"/>
      <c r="BBR916" s="1091"/>
      <c r="BBS916" s="1091"/>
      <c r="BBT916" s="1091"/>
      <c r="BBU916" s="1091"/>
      <c r="BBV916" s="1091"/>
      <c r="BBW916" s="1091"/>
      <c r="BBX916" s="1091"/>
      <c r="BBY916" s="1091"/>
      <c r="BBZ916" s="1091"/>
      <c r="BCA916" s="1091"/>
      <c r="BCB916" s="1091"/>
      <c r="BCC916" s="1091"/>
      <c r="BCD916" s="1091"/>
      <c r="BCE916" s="1091"/>
      <c r="BCF916" s="1091"/>
      <c r="BCG916" s="1091"/>
      <c r="BCH916" s="1091"/>
      <c r="BCI916" s="1091"/>
      <c r="BCJ916" s="1091"/>
      <c r="BCK916" s="1091"/>
      <c r="BCL916" s="1091"/>
      <c r="BCM916" s="1091"/>
      <c r="BCN916" s="1091"/>
      <c r="BCO916" s="1091"/>
      <c r="BCP916" s="1091"/>
      <c r="BCQ916" s="1091"/>
      <c r="BCR916" s="1091"/>
      <c r="BCS916" s="1091"/>
      <c r="BCT916" s="1091"/>
      <c r="BCU916" s="1091"/>
      <c r="BCV916" s="1091"/>
      <c r="BCW916" s="1091"/>
      <c r="BCX916" s="1091"/>
      <c r="BCY916" s="1091"/>
      <c r="BCZ916" s="1091"/>
      <c r="BDA916" s="1091"/>
      <c r="BDB916" s="1091"/>
      <c r="BDC916" s="1091"/>
      <c r="BDD916" s="1091"/>
      <c r="BDE916" s="1091"/>
      <c r="BDF916" s="1091"/>
      <c r="BDG916" s="1091"/>
      <c r="BDH916" s="1091"/>
      <c r="BDI916" s="1091"/>
      <c r="BDJ916" s="1091"/>
      <c r="BDK916" s="1091"/>
      <c r="BDL916" s="1091"/>
      <c r="BDM916" s="1091"/>
      <c r="BDN916" s="1091"/>
      <c r="BDO916" s="1091"/>
      <c r="BDP916" s="1091"/>
      <c r="BDQ916" s="1091"/>
      <c r="BDR916" s="1091"/>
      <c r="BDS916" s="1091"/>
      <c r="BDT916" s="1091"/>
      <c r="BDU916" s="1091"/>
      <c r="BDV916" s="1091"/>
      <c r="BDW916" s="1091"/>
      <c r="BDX916" s="1091"/>
      <c r="BDY916" s="1091"/>
      <c r="BDZ916" s="1091"/>
      <c r="BEA916" s="1091"/>
      <c r="BEB916" s="1091"/>
      <c r="BEC916" s="1091"/>
      <c r="BED916" s="1091"/>
      <c r="BEE916" s="1091"/>
      <c r="BEF916" s="1091"/>
      <c r="BEG916" s="1091"/>
      <c r="BEH916" s="1091"/>
      <c r="BEI916" s="1091"/>
      <c r="BEJ916" s="1091"/>
      <c r="BEK916" s="1091"/>
      <c r="BEL916" s="1091"/>
      <c r="BEM916" s="1091"/>
      <c r="BEN916" s="1091"/>
      <c r="BEO916" s="1091"/>
      <c r="BEP916" s="1091"/>
      <c r="BEQ916" s="1091"/>
      <c r="BER916" s="1091"/>
      <c r="BES916" s="1091"/>
      <c r="BET916" s="1091"/>
      <c r="BEU916" s="1091"/>
      <c r="BEV916" s="1091"/>
      <c r="BEW916" s="1091"/>
      <c r="BEX916" s="1091"/>
      <c r="BEY916" s="1091"/>
      <c r="BEZ916" s="1091"/>
      <c r="BFA916" s="1091"/>
      <c r="BFB916" s="1091"/>
      <c r="BFC916" s="1091"/>
      <c r="BFD916" s="1091"/>
      <c r="BFE916" s="1091"/>
      <c r="BFF916" s="1091"/>
      <c r="BFG916" s="1091"/>
      <c r="BFH916" s="1091"/>
      <c r="BFI916" s="1091"/>
      <c r="BFJ916" s="1091"/>
      <c r="BFK916" s="1091"/>
      <c r="BFL916" s="1091"/>
      <c r="BFM916" s="1091"/>
      <c r="BFN916" s="1091"/>
      <c r="BFO916" s="1091"/>
      <c r="BFP916" s="1091"/>
      <c r="BFQ916" s="1091"/>
      <c r="BFR916" s="1091"/>
      <c r="BFS916" s="1091"/>
      <c r="BFT916" s="1091"/>
      <c r="BFU916" s="1091"/>
      <c r="BFV916" s="1091"/>
      <c r="BFW916" s="1091"/>
      <c r="BFX916" s="1091"/>
      <c r="BFY916" s="1091"/>
      <c r="BFZ916" s="1091"/>
      <c r="BGA916" s="1091"/>
      <c r="BGB916" s="1091"/>
      <c r="BGC916" s="1091"/>
      <c r="BGD916" s="1091"/>
      <c r="BGE916" s="1091"/>
      <c r="BGF916" s="1091"/>
      <c r="BGG916" s="1091"/>
      <c r="BGH916" s="1091"/>
      <c r="BGI916" s="1091"/>
      <c r="BGJ916" s="1091"/>
      <c r="BGK916" s="1091"/>
      <c r="BGL916" s="1091"/>
      <c r="BGM916" s="1091"/>
      <c r="BGN916" s="1091"/>
      <c r="BGO916" s="1091"/>
      <c r="BGP916" s="1091"/>
      <c r="BGQ916" s="1091"/>
      <c r="BGR916" s="1091"/>
      <c r="BGS916" s="1091"/>
      <c r="BGT916" s="1091"/>
      <c r="BGU916" s="1091"/>
      <c r="BGV916" s="1091"/>
      <c r="BGW916" s="1091"/>
      <c r="BGX916" s="1091"/>
      <c r="BGY916" s="1091"/>
      <c r="BGZ916" s="1091"/>
      <c r="BHA916" s="1091"/>
      <c r="BHB916" s="1091"/>
      <c r="BHC916" s="1091"/>
      <c r="BHD916" s="1091"/>
      <c r="BHE916" s="1091"/>
      <c r="BHF916" s="1091"/>
      <c r="BHG916" s="1091"/>
      <c r="BHH916" s="1091"/>
      <c r="BHI916" s="1091"/>
      <c r="BHJ916" s="1091"/>
      <c r="BHK916" s="1091"/>
      <c r="BHL916" s="1091"/>
      <c r="BHM916" s="1091"/>
      <c r="BHN916" s="1091"/>
      <c r="BHO916" s="1091"/>
      <c r="BHP916" s="1091"/>
      <c r="BHQ916" s="1091"/>
      <c r="BHR916" s="1091"/>
      <c r="BHS916" s="1091"/>
      <c r="BHT916" s="1091"/>
      <c r="BHU916" s="1091"/>
      <c r="BHV916" s="1091"/>
      <c r="BHW916" s="1091"/>
      <c r="BHX916" s="1091"/>
      <c r="BHY916" s="1091"/>
      <c r="BHZ916" s="1091"/>
      <c r="BIA916" s="1091"/>
      <c r="BIB916" s="1091"/>
      <c r="BIC916" s="1091"/>
      <c r="BID916" s="1091"/>
      <c r="BIE916" s="1091"/>
      <c r="BIF916" s="1091"/>
      <c r="BIG916" s="1091"/>
      <c r="BIH916" s="1091"/>
      <c r="BII916" s="1091"/>
      <c r="BIJ916" s="1091"/>
      <c r="BIK916" s="1091"/>
      <c r="BIL916" s="1091"/>
      <c r="BIM916" s="1091"/>
      <c r="BIN916" s="1091"/>
      <c r="BIO916" s="1091"/>
      <c r="BIP916" s="1091"/>
      <c r="BIQ916" s="1091"/>
      <c r="BIR916" s="1091"/>
      <c r="BIS916" s="1091"/>
      <c r="BIT916" s="1091"/>
      <c r="BIU916" s="1091"/>
      <c r="BIV916" s="1091"/>
      <c r="BIW916" s="1091"/>
      <c r="BIX916" s="1091"/>
      <c r="BIY916" s="1091"/>
      <c r="BIZ916" s="1091"/>
      <c r="BJA916" s="1091"/>
      <c r="BJB916" s="1091"/>
      <c r="BJC916" s="1091"/>
      <c r="BJD916" s="1091"/>
      <c r="BJE916" s="1091"/>
      <c r="BJF916" s="1091"/>
      <c r="BJG916" s="1091"/>
      <c r="BJH916" s="1091"/>
      <c r="BJI916" s="1091"/>
      <c r="BJJ916" s="1091"/>
      <c r="BJK916" s="1091"/>
      <c r="BJL916" s="1091"/>
      <c r="BJM916" s="1091"/>
      <c r="BJN916" s="1091"/>
      <c r="BJO916" s="1091"/>
      <c r="BJP916" s="1091"/>
      <c r="BJQ916" s="1091"/>
      <c r="BJR916" s="1091"/>
      <c r="BJS916" s="1091"/>
      <c r="BJT916" s="1091"/>
      <c r="BJU916" s="1091"/>
      <c r="BJV916" s="1091"/>
      <c r="BJW916" s="1091"/>
      <c r="BJX916" s="1091"/>
      <c r="BJY916" s="1091"/>
      <c r="BJZ916" s="1091"/>
      <c r="BKA916" s="1091"/>
      <c r="BKB916" s="1091"/>
      <c r="BKC916" s="1091"/>
      <c r="BKD916" s="1091"/>
      <c r="BKE916" s="1091"/>
      <c r="BKF916" s="1091"/>
      <c r="BKG916" s="1091"/>
      <c r="BKH916" s="1091"/>
      <c r="BKI916" s="1091"/>
      <c r="BKJ916" s="1091"/>
      <c r="BKK916" s="1091"/>
      <c r="BKL916" s="1091"/>
      <c r="BKM916" s="1091"/>
      <c r="BKN916" s="1091"/>
      <c r="BKO916" s="1091"/>
      <c r="BKP916" s="1091"/>
      <c r="BKQ916" s="1091"/>
      <c r="BKR916" s="1091"/>
      <c r="BKS916" s="1091"/>
      <c r="BKT916" s="1091"/>
      <c r="BKU916" s="1091"/>
      <c r="BKV916" s="1091"/>
      <c r="BKW916" s="1091"/>
      <c r="BKX916" s="1091"/>
      <c r="BKY916" s="1091"/>
      <c r="BKZ916" s="1091"/>
      <c r="BLA916" s="1091"/>
      <c r="BLB916" s="1091"/>
      <c r="BLC916" s="1091"/>
      <c r="BLD916" s="1091"/>
      <c r="BLE916" s="1091"/>
      <c r="BLF916" s="1091"/>
      <c r="BLG916" s="1091"/>
      <c r="BLH916" s="1091"/>
      <c r="BLI916" s="1091"/>
      <c r="BLJ916" s="1091"/>
      <c r="BLK916" s="1091"/>
      <c r="BLL916" s="1091"/>
      <c r="BLM916" s="1091"/>
      <c r="BLN916" s="1091"/>
      <c r="BLO916" s="1091"/>
      <c r="BLP916" s="1091"/>
      <c r="BLQ916" s="1091"/>
      <c r="BLR916" s="1091"/>
      <c r="BLS916" s="1091"/>
      <c r="BLT916" s="1091"/>
      <c r="BLU916" s="1091"/>
      <c r="BLV916" s="1091"/>
      <c r="BLW916" s="1091"/>
      <c r="BLX916" s="1091"/>
      <c r="BLY916" s="1091"/>
      <c r="BLZ916" s="1091"/>
      <c r="BMA916" s="1091"/>
      <c r="BMB916" s="1091"/>
      <c r="BMC916" s="1091"/>
      <c r="BMD916" s="1091"/>
      <c r="BME916" s="1091"/>
      <c r="BMF916" s="1091"/>
      <c r="BMG916" s="1091"/>
      <c r="BMH916" s="1091"/>
      <c r="BMI916" s="1091"/>
      <c r="BMJ916" s="1091"/>
      <c r="BMK916" s="1091"/>
      <c r="BML916" s="1091"/>
      <c r="BMM916" s="1091"/>
      <c r="BMN916" s="1091"/>
      <c r="BMO916" s="1091"/>
      <c r="BMP916" s="1091"/>
      <c r="BMQ916" s="1091"/>
      <c r="BMR916" s="1091"/>
      <c r="BMS916" s="1091"/>
      <c r="BMT916" s="1091"/>
      <c r="BMU916" s="1091"/>
      <c r="BMV916" s="1091"/>
      <c r="BMW916" s="1091"/>
      <c r="BMX916" s="1091"/>
      <c r="BMY916" s="1091"/>
      <c r="BMZ916" s="1091"/>
      <c r="BNA916" s="1091"/>
      <c r="BNB916" s="1091"/>
      <c r="BNC916" s="1091"/>
      <c r="BND916" s="1091"/>
      <c r="BNE916" s="1091"/>
      <c r="BNF916" s="1091"/>
      <c r="BNG916" s="1091"/>
      <c r="BNH916" s="1091"/>
      <c r="BNI916" s="1091"/>
      <c r="BNJ916" s="1091"/>
      <c r="BNK916" s="1091"/>
      <c r="BNL916" s="1091"/>
      <c r="BNM916" s="1091"/>
      <c r="BNN916" s="1091"/>
      <c r="BNO916" s="1091"/>
      <c r="BNP916" s="1091"/>
      <c r="BNQ916" s="1091"/>
      <c r="BNR916" s="1091"/>
      <c r="BNS916" s="1091"/>
      <c r="BNT916" s="1091"/>
      <c r="BNU916" s="1091"/>
      <c r="BNV916" s="1091"/>
      <c r="BNW916" s="1091"/>
      <c r="BNX916" s="1091"/>
      <c r="BNY916" s="1091"/>
      <c r="BNZ916" s="1091"/>
      <c r="BOA916" s="1091"/>
      <c r="BOB916" s="1091"/>
      <c r="BOC916" s="1091"/>
      <c r="BOD916" s="1091"/>
      <c r="BOE916" s="1091"/>
      <c r="BOF916" s="1091"/>
      <c r="BOG916" s="1091"/>
      <c r="BOH916" s="1091"/>
      <c r="BOI916" s="1091"/>
      <c r="BOJ916" s="1091"/>
      <c r="BOK916" s="1091"/>
      <c r="BOL916" s="1091"/>
      <c r="BOM916" s="1091"/>
      <c r="BON916" s="1091"/>
      <c r="BOO916" s="1091"/>
      <c r="BOP916" s="1091"/>
      <c r="BOQ916" s="1091"/>
      <c r="BOR916" s="1091"/>
      <c r="BOS916" s="1091"/>
      <c r="BOT916" s="1091"/>
      <c r="BOU916" s="1091"/>
      <c r="BOV916" s="1091"/>
      <c r="BOW916" s="1091"/>
      <c r="BOX916" s="1091"/>
      <c r="BOY916" s="1091"/>
      <c r="BOZ916" s="1091"/>
      <c r="BPA916" s="1091"/>
      <c r="BPB916" s="1091"/>
      <c r="BPC916" s="1091"/>
      <c r="BPD916" s="1091"/>
      <c r="BPE916" s="1091"/>
      <c r="BPF916" s="1091"/>
      <c r="BPG916" s="1091"/>
      <c r="BPH916" s="1091"/>
      <c r="BPI916" s="1091"/>
      <c r="BPJ916" s="1091"/>
      <c r="BPK916" s="1091"/>
      <c r="BPL916" s="1091"/>
      <c r="BPM916" s="1091"/>
      <c r="BPN916" s="1091"/>
      <c r="BPO916" s="1091"/>
      <c r="BPP916" s="1091"/>
      <c r="BPQ916" s="1091"/>
      <c r="BPR916" s="1091"/>
      <c r="BPS916" s="1091"/>
      <c r="BPT916" s="1091"/>
      <c r="BPU916" s="1091"/>
      <c r="BPV916" s="1091"/>
      <c r="BPW916" s="1091"/>
      <c r="BPX916" s="1091"/>
      <c r="BPY916" s="1091"/>
      <c r="BPZ916" s="1091"/>
      <c r="BQA916" s="1091"/>
      <c r="BQB916" s="1091"/>
      <c r="BQC916" s="1091"/>
      <c r="BQD916" s="1091"/>
      <c r="BQE916" s="1091"/>
      <c r="BQF916" s="1091"/>
      <c r="BQG916" s="1091"/>
      <c r="BQH916" s="1091"/>
      <c r="BQI916" s="1091"/>
      <c r="BQJ916" s="1091"/>
      <c r="BQK916" s="1091"/>
      <c r="BQL916" s="1091"/>
      <c r="BQM916" s="1091"/>
      <c r="BQN916" s="1091"/>
      <c r="BQO916" s="1091"/>
      <c r="BQP916" s="1091"/>
      <c r="BQQ916" s="1091"/>
      <c r="BQR916" s="1091"/>
      <c r="BQS916" s="1091"/>
      <c r="BQT916" s="1091"/>
      <c r="BQU916" s="1091"/>
      <c r="BQV916" s="1091"/>
      <c r="BQW916" s="1091"/>
      <c r="BQX916" s="1091"/>
      <c r="BQY916" s="1091"/>
      <c r="BQZ916" s="1091"/>
      <c r="BRA916" s="1091"/>
      <c r="BRB916" s="1091"/>
      <c r="BRC916" s="1091"/>
      <c r="BRD916" s="1091"/>
      <c r="BRE916" s="1091"/>
      <c r="BRF916" s="1091"/>
      <c r="BRG916" s="1091"/>
      <c r="BRH916" s="1091"/>
      <c r="BRI916" s="1091"/>
      <c r="BRJ916" s="1091"/>
      <c r="BRK916" s="1091"/>
      <c r="BRL916" s="1091"/>
      <c r="BRM916" s="1091"/>
      <c r="BRN916" s="1091"/>
      <c r="BRO916" s="1091"/>
      <c r="BRP916" s="1091"/>
      <c r="BRQ916" s="1091"/>
      <c r="BRR916" s="1091"/>
      <c r="BRS916" s="1091"/>
      <c r="BRT916" s="1091"/>
      <c r="BRU916" s="1091"/>
      <c r="BRV916" s="1091"/>
      <c r="BRW916" s="1091"/>
      <c r="BRX916" s="1091"/>
      <c r="BRY916" s="1091"/>
      <c r="BRZ916" s="1091"/>
      <c r="BSA916" s="1091"/>
      <c r="BSB916" s="1091"/>
      <c r="BSC916" s="1091"/>
      <c r="BSD916" s="1091"/>
      <c r="BSE916" s="1091"/>
      <c r="BSF916" s="1091"/>
      <c r="BSG916" s="1091"/>
      <c r="BSH916" s="1091"/>
      <c r="BSI916" s="1091"/>
      <c r="BSJ916" s="1091"/>
      <c r="BSK916" s="1091"/>
      <c r="BSL916" s="1091"/>
      <c r="BSM916" s="1091"/>
      <c r="BSN916" s="1091"/>
      <c r="BSO916" s="1091"/>
      <c r="BSP916" s="1091"/>
      <c r="BSQ916" s="1091"/>
      <c r="BSR916" s="1091"/>
      <c r="BSS916" s="1091"/>
      <c r="BST916" s="1091"/>
      <c r="BSU916" s="1091"/>
      <c r="BSV916" s="1091"/>
      <c r="BSW916" s="1091"/>
      <c r="BSX916" s="1091"/>
      <c r="BSY916" s="1091"/>
      <c r="BSZ916" s="1091"/>
      <c r="BTA916" s="1091"/>
      <c r="BTB916" s="1091"/>
      <c r="BTC916" s="1091"/>
      <c r="BTD916" s="1091"/>
      <c r="BTE916" s="1091"/>
      <c r="BTF916" s="1091"/>
      <c r="BTG916" s="1091"/>
      <c r="BTH916" s="1091"/>
      <c r="BTI916" s="1091"/>
      <c r="BTJ916" s="1091"/>
      <c r="BTK916" s="1091"/>
      <c r="BTL916" s="1091"/>
      <c r="BTM916" s="1091"/>
      <c r="BTN916" s="1091"/>
      <c r="BTO916" s="1091"/>
      <c r="BTP916" s="1091"/>
      <c r="BTQ916" s="1091"/>
      <c r="BTR916" s="1091"/>
      <c r="BTS916" s="1091"/>
      <c r="BTT916" s="1091"/>
      <c r="BTU916" s="1091"/>
      <c r="BTV916" s="1091"/>
      <c r="BTW916" s="1091"/>
      <c r="BTX916" s="1091"/>
      <c r="BTY916" s="1091"/>
      <c r="BTZ916" s="1091"/>
      <c r="BUA916" s="1091"/>
      <c r="BUB916" s="1091"/>
      <c r="BUC916" s="1091"/>
      <c r="BUD916" s="1091"/>
      <c r="BUE916" s="1091"/>
      <c r="BUF916" s="1091"/>
      <c r="BUG916" s="1091"/>
      <c r="BUH916" s="1091"/>
      <c r="BUI916" s="1091"/>
      <c r="BUJ916" s="1091"/>
      <c r="BUK916" s="1091"/>
      <c r="BUL916" s="1091"/>
      <c r="BUM916" s="1091"/>
      <c r="BUN916" s="1091"/>
      <c r="BUO916" s="1091"/>
      <c r="BUP916" s="1091"/>
      <c r="BUQ916" s="1091"/>
      <c r="BUR916" s="1091"/>
      <c r="BUS916" s="1091"/>
      <c r="BUT916" s="1091"/>
      <c r="BUU916" s="1091"/>
      <c r="BUV916" s="1091"/>
      <c r="BUW916" s="1091"/>
      <c r="BUX916" s="1091"/>
      <c r="BUY916" s="1091"/>
      <c r="BUZ916" s="1091"/>
      <c r="BVA916" s="1091"/>
      <c r="BVB916" s="1091"/>
      <c r="BVC916" s="1091"/>
      <c r="BVD916" s="1091"/>
      <c r="BVE916" s="1091"/>
      <c r="BVF916" s="1091"/>
      <c r="BVG916" s="1091"/>
      <c r="BVH916" s="1091"/>
      <c r="BVI916" s="1091"/>
      <c r="BVJ916" s="1091"/>
      <c r="BVK916" s="1091"/>
      <c r="BVL916" s="1091"/>
      <c r="BVM916" s="1091"/>
      <c r="BVN916" s="1091"/>
      <c r="BVO916" s="1091"/>
      <c r="BVP916" s="1091"/>
      <c r="BVQ916" s="1091"/>
      <c r="BVR916" s="1091"/>
      <c r="BVS916" s="1091"/>
      <c r="BVT916" s="1091"/>
      <c r="BVU916" s="1091"/>
      <c r="BVV916" s="1091"/>
      <c r="BVW916" s="1091"/>
      <c r="BVX916" s="1091"/>
      <c r="BVY916" s="1091"/>
      <c r="BVZ916" s="1091"/>
      <c r="BWA916" s="1091"/>
      <c r="BWB916" s="1091"/>
      <c r="BWC916" s="1091"/>
      <c r="BWD916" s="1091"/>
      <c r="BWE916" s="1091"/>
      <c r="BWF916" s="1091"/>
      <c r="BWG916" s="1091"/>
      <c r="BWH916" s="1091"/>
      <c r="BWI916" s="1091"/>
      <c r="BWJ916" s="1091"/>
      <c r="BWK916" s="1091"/>
      <c r="BWL916" s="1091"/>
      <c r="BWM916" s="1091"/>
      <c r="BWN916" s="1091"/>
      <c r="BWO916" s="1091"/>
      <c r="BWP916" s="1091"/>
      <c r="BWQ916" s="1091"/>
      <c r="BWR916" s="1091"/>
      <c r="BWS916" s="1091"/>
      <c r="BWT916" s="1091"/>
      <c r="BWU916" s="1091"/>
      <c r="BWV916" s="1091"/>
      <c r="BWW916" s="1091"/>
      <c r="BWX916" s="1091"/>
      <c r="BWY916" s="1091"/>
      <c r="BWZ916" s="1091"/>
      <c r="BXA916" s="1091"/>
      <c r="BXB916" s="1091"/>
      <c r="BXC916" s="1091"/>
      <c r="BXD916" s="1091"/>
      <c r="BXE916" s="1091"/>
      <c r="BXF916" s="1091"/>
      <c r="BXG916" s="1091"/>
      <c r="BXH916" s="1091"/>
      <c r="BXI916" s="1091"/>
      <c r="BXJ916" s="1091"/>
      <c r="BXK916" s="1091"/>
      <c r="BXL916" s="1091"/>
      <c r="BXM916" s="1091"/>
      <c r="BXN916" s="1091"/>
      <c r="BXO916" s="1091"/>
      <c r="BXP916" s="1091"/>
      <c r="BXQ916" s="1091"/>
      <c r="BXR916" s="1091"/>
      <c r="BXS916" s="1091"/>
      <c r="BXT916" s="1091"/>
      <c r="BXU916" s="1091"/>
      <c r="BXV916" s="1091"/>
      <c r="BXW916" s="1091"/>
      <c r="BXX916" s="1091"/>
      <c r="BXY916" s="1091"/>
      <c r="BXZ916" s="1091"/>
      <c r="BYA916" s="1091"/>
      <c r="BYB916" s="1091"/>
      <c r="BYC916" s="1091"/>
      <c r="BYD916" s="1091"/>
      <c r="BYE916" s="1091"/>
      <c r="BYF916" s="1091"/>
      <c r="BYG916" s="1091"/>
      <c r="BYH916" s="1091"/>
      <c r="BYI916" s="1091"/>
      <c r="BYJ916" s="1091"/>
      <c r="BYK916" s="1091"/>
      <c r="BYL916" s="1091"/>
      <c r="BYM916" s="1091"/>
      <c r="BYN916" s="1091"/>
      <c r="BYO916" s="1091"/>
      <c r="BYP916" s="1091"/>
      <c r="BYQ916" s="1091"/>
      <c r="BYR916" s="1091"/>
      <c r="BYS916" s="1091"/>
      <c r="BYT916" s="1091"/>
      <c r="BYU916" s="1091"/>
      <c r="BYV916" s="1091"/>
      <c r="BYW916" s="1091"/>
      <c r="BYX916" s="1091"/>
      <c r="BYY916" s="1091"/>
      <c r="BYZ916" s="1091"/>
      <c r="BZA916" s="1091"/>
      <c r="BZB916" s="1091"/>
      <c r="BZC916" s="1091"/>
      <c r="BZD916" s="1091"/>
      <c r="BZE916" s="1091"/>
      <c r="BZF916" s="1091"/>
      <c r="BZG916" s="1091"/>
      <c r="BZH916" s="1091"/>
      <c r="BZI916" s="1091"/>
      <c r="BZJ916" s="1091"/>
      <c r="BZK916" s="1091"/>
      <c r="BZL916" s="1091"/>
      <c r="BZM916" s="1091"/>
      <c r="BZN916" s="1091"/>
      <c r="BZO916" s="1091"/>
      <c r="BZP916" s="1091"/>
      <c r="BZQ916" s="1091"/>
      <c r="BZR916" s="1091"/>
      <c r="BZS916" s="1091"/>
      <c r="BZT916" s="1091"/>
      <c r="BZU916" s="1091"/>
      <c r="BZV916" s="1091"/>
      <c r="BZW916" s="1091"/>
      <c r="BZX916" s="1091"/>
      <c r="BZY916" s="1091"/>
      <c r="BZZ916" s="1091"/>
      <c r="CAA916" s="1091"/>
      <c r="CAB916" s="1091"/>
      <c r="CAC916" s="1091"/>
      <c r="CAD916" s="1091"/>
      <c r="CAE916" s="1091"/>
      <c r="CAF916" s="1091"/>
      <c r="CAG916" s="1091"/>
      <c r="CAH916" s="1091"/>
      <c r="CAI916" s="1091"/>
      <c r="CAJ916" s="1091"/>
      <c r="CAK916" s="1091"/>
      <c r="CAL916" s="1091"/>
      <c r="CAM916" s="1091"/>
      <c r="CAN916" s="1091"/>
      <c r="CAO916" s="1091"/>
      <c r="CAP916" s="1091"/>
      <c r="CAQ916" s="1091"/>
      <c r="CAR916" s="1091"/>
      <c r="CAS916" s="1091"/>
      <c r="CAT916" s="1091"/>
      <c r="CAU916" s="1091"/>
      <c r="CAV916" s="1091"/>
      <c r="CAW916" s="1091"/>
      <c r="CAX916" s="1091"/>
      <c r="CAY916" s="1091"/>
      <c r="CAZ916" s="1091"/>
      <c r="CBA916" s="1091"/>
      <c r="CBB916" s="1091"/>
      <c r="CBC916" s="1091"/>
      <c r="CBD916" s="1091"/>
      <c r="CBE916" s="1091"/>
      <c r="CBF916" s="1091"/>
      <c r="CBG916" s="1091"/>
      <c r="CBH916" s="1091"/>
      <c r="CBI916" s="1091"/>
      <c r="CBJ916" s="1091"/>
      <c r="CBK916" s="1091"/>
      <c r="CBL916" s="1091"/>
      <c r="CBM916" s="1091"/>
      <c r="CBN916" s="1091"/>
      <c r="CBO916" s="1091"/>
      <c r="CBP916" s="1091"/>
      <c r="CBQ916" s="1091"/>
      <c r="CBR916" s="1091"/>
      <c r="CBS916" s="1091"/>
      <c r="CBT916" s="1091"/>
      <c r="CBU916" s="1091"/>
      <c r="CBV916" s="1091"/>
      <c r="CBW916" s="1091"/>
      <c r="CBX916" s="1091"/>
      <c r="CBY916" s="1091"/>
      <c r="CBZ916" s="1091"/>
      <c r="CCA916" s="1091"/>
      <c r="CCB916" s="1091"/>
      <c r="CCC916" s="1091"/>
      <c r="CCD916" s="1091"/>
      <c r="CCE916" s="1091"/>
      <c r="CCF916" s="1091"/>
      <c r="CCG916" s="1091"/>
      <c r="CCH916" s="1091"/>
      <c r="CCI916" s="1091"/>
      <c r="CCJ916" s="1091"/>
      <c r="CCK916" s="1091"/>
      <c r="CCL916" s="1091"/>
      <c r="CCM916" s="1091"/>
      <c r="CCN916" s="1091"/>
      <c r="CCO916" s="1091"/>
      <c r="CCP916" s="1091"/>
      <c r="CCQ916" s="1091"/>
      <c r="CCR916" s="1091"/>
      <c r="CCS916" s="1091"/>
      <c r="CCT916" s="1091"/>
      <c r="CCU916" s="1091"/>
      <c r="CCV916" s="1091"/>
      <c r="CCW916" s="1091"/>
      <c r="CCX916" s="1091"/>
      <c r="CCY916" s="1091"/>
      <c r="CCZ916" s="1091"/>
      <c r="CDA916" s="1091"/>
      <c r="CDB916" s="1091"/>
      <c r="CDC916" s="1091"/>
      <c r="CDD916" s="1091"/>
      <c r="CDE916" s="1091"/>
      <c r="CDF916" s="1091"/>
      <c r="CDG916" s="1091"/>
      <c r="CDH916" s="1091"/>
      <c r="CDI916" s="1091"/>
      <c r="CDJ916" s="1091"/>
      <c r="CDK916" s="1091"/>
      <c r="CDL916" s="1091"/>
      <c r="CDM916" s="1091"/>
      <c r="CDN916" s="1091"/>
      <c r="CDO916" s="1091"/>
      <c r="CDP916" s="1091"/>
      <c r="CDQ916" s="1091"/>
      <c r="CDR916" s="1091"/>
      <c r="CDS916" s="1091"/>
      <c r="CDT916" s="1091"/>
      <c r="CDU916" s="1091"/>
      <c r="CDV916" s="1091"/>
      <c r="CDW916" s="1091"/>
      <c r="CDX916" s="1091"/>
      <c r="CDY916" s="1091"/>
      <c r="CDZ916" s="1091"/>
      <c r="CEA916" s="1091"/>
      <c r="CEB916" s="1091"/>
      <c r="CEC916" s="1091"/>
      <c r="CED916" s="1091"/>
      <c r="CEE916" s="1091"/>
      <c r="CEF916" s="1091"/>
      <c r="CEG916" s="1091"/>
      <c r="CEH916" s="1091"/>
      <c r="CEI916" s="1091"/>
      <c r="CEJ916" s="1091"/>
      <c r="CEK916" s="1091"/>
      <c r="CEL916" s="1091"/>
      <c r="CEM916" s="1091"/>
      <c r="CEN916" s="1091"/>
      <c r="CEO916" s="1091"/>
      <c r="CEP916" s="1091"/>
      <c r="CEQ916" s="1091"/>
      <c r="CER916" s="1091"/>
      <c r="CES916" s="1091"/>
      <c r="CET916" s="1091"/>
      <c r="CEU916" s="1091"/>
      <c r="CEV916" s="1091"/>
      <c r="CEW916" s="1091"/>
      <c r="CEX916" s="1091"/>
      <c r="CEY916" s="1091"/>
      <c r="CEZ916" s="1091"/>
      <c r="CFA916" s="1091"/>
      <c r="CFB916" s="1091"/>
      <c r="CFC916" s="1091"/>
      <c r="CFD916" s="1091"/>
      <c r="CFE916" s="1091"/>
      <c r="CFF916" s="1091"/>
      <c r="CFG916" s="1091"/>
      <c r="CFH916" s="1091"/>
      <c r="CFI916" s="1091"/>
      <c r="CFJ916" s="1091"/>
      <c r="CFK916" s="1091"/>
      <c r="CFL916" s="1091"/>
      <c r="CFM916" s="1091"/>
      <c r="CFN916" s="1091"/>
      <c r="CFO916" s="1091"/>
      <c r="CFP916" s="1091"/>
      <c r="CFQ916" s="1091"/>
      <c r="CFR916" s="1091"/>
      <c r="CFS916" s="1091"/>
      <c r="CFT916" s="1091"/>
      <c r="CFU916" s="1091"/>
      <c r="CFV916" s="1091"/>
      <c r="CFW916" s="1091"/>
      <c r="CFX916" s="1091"/>
      <c r="CFY916" s="1091"/>
      <c r="CFZ916" s="1091"/>
      <c r="CGA916" s="1091"/>
      <c r="CGB916" s="1091"/>
      <c r="CGC916" s="1091"/>
      <c r="CGD916" s="1091"/>
      <c r="CGE916" s="1091"/>
      <c r="CGF916" s="1091"/>
      <c r="CGG916" s="1091"/>
      <c r="CGH916" s="1091"/>
      <c r="CGI916" s="1091"/>
      <c r="CGJ916" s="1091"/>
      <c r="CGK916" s="1091"/>
      <c r="CGL916" s="1091"/>
      <c r="CGM916" s="1091"/>
      <c r="CGN916" s="1091"/>
      <c r="CGO916" s="1091"/>
      <c r="CGP916" s="1091"/>
      <c r="CGQ916" s="1091"/>
      <c r="CGR916" s="1091"/>
      <c r="CGS916" s="1091"/>
      <c r="CGT916" s="1091"/>
      <c r="CGU916" s="1091"/>
      <c r="CGV916" s="1091"/>
      <c r="CGW916" s="1091"/>
      <c r="CGX916" s="1091"/>
      <c r="CGY916" s="1091"/>
      <c r="CGZ916" s="1091"/>
      <c r="CHA916" s="1091"/>
      <c r="CHB916" s="1091"/>
      <c r="CHC916" s="1091"/>
      <c r="CHD916" s="1091"/>
      <c r="CHE916" s="1091"/>
      <c r="CHF916" s="1091"/>
      <c r="CHG916" s="1091"/>
      <c r="CHH916" s="1091"/>
      <c r="CHI916" s="1091"/>
      <c r="CHJ916" s="1091"/>
      <c r="CHK916" s="1091"/>
      <c r="CHL916" s="1091"/>
      <c r="CHM916" s="1091"/>
      <c r="CHN916" s="1091"/>
      <c r="CHO916" s="1091"/>
      <c r="CHP916" s="1091"/>
      <c r="CHQ916" s="1091"/>
      <c r="CHR916" s="1091"/>
      <c r="CHS916" s="1091"/>
      <c r="CHT916" s="1091"/>
      <c r="CHU916" s="1091"/>
      <c r="CHV916" s="1091"/>
      <c r="CHW916" s="1091"/>
      <c r="CHX916" s="1091"/>
      <c r="CHY916" s="1091"/>
      <c r="CHZ916" s="1091"/>
      <c r="CIA916" s="1091"/>
      <c r="CIB916" s="1091"/>
      <c r="CIC916" s="1091"/>
      <c r="CID916" s="1091"/>
      <c r="CIE916" s="1091"/>
      <c r="CIF916" s="1091"/>
      <c r="CIG916" s="1091"/>
      <c r="CIH916" s="1091"/>
      <c r="CII916" s="1091"/>
      <c r="CIJ916" s="1091"/>
      <c r="CIK916" s="1091"/>
      <c r="CIL916" s="1091"/>
      <c r="CIM916" s="1091"/>
      <c r="CIN916" s="1091"/>
      <c r="CIO916" s="1091"/>
      <c r="CIP916" s="1091"/>
      <c r="CIQ916" s="1091"/>
      <c r="CIR916" s="1091"/>
      <c r="CIS916" s="1091"/>
      <c r="CIT916" s="1091"/>
      <c r="CIU916" s="1091"/>
      <c r="CIV916" s="1091"/>
      <c r="CIW916" s="1091"/>
      <c r="CIX916" s="1091"/>
      <c r="CIY916" s="1091"/>
      <c r="CIZ916" s="1091"/>
      <c r="CJA916" s="1091"/>
      <c r="CJB916" s="1091"/>
      <c r="CJC916" s="1091"/>
      <c r="CJD916" s="1091"/>
      <c r="CJE916" s="1091"/>
      <c r="CJF916" s="1091"/>
      <c r="CJG916" s="1091"/>
      <c r="CJH916" s="1091"/>
      <c r="CJI916" s="1091"/>
      <c r="CJJ916" s="1091"/>
      <c r="CJK916" s="1091"/>
      <c r="CJL916" s="1091"/>
      <c r="CJM916" s="1091"/>
      <c r="CJN916" s="1091"/>
      <c r="CJO916" s="1091"/>
      <c r="CJP916" s="1091"/>
      <c r="CJQ916" s="1091"/>
      <c r="CJR916" s="1091"/>
      <c r="CJS916" s="1091"/>
      <c r="CJT916" s="1091"/>
      <c r="CJU916" s="1091"/>
      <c r="CJV916" s="1091"/>
      <c r="CJW916" s="1091"/>
      <c r="CJX916" s="1091"/>
      <c r="CJY916" s="1091"/>
      <c r="CJZ916" s="1091"/>
      <c r="CKA916" s="1091"/>
      <c r="CKB916" s="1091"/>
      <c r="CKC916" s="1091"/>
      <c r="CKD916" s="1091"/>
      <c r="CKE916" s="1091"/>
      <c r="CKF916" s="1091"/>
      <c r="CKG916" s="1091"/>
      <c r="CKH916" s="1091"/>
      <c r="CKI916" s="1091"/>
      <c r="CKJ916" s="1091"/>
      <c r="CKK916" s="1091"/>
      <c r="CKL916" s="1091"/>
      <c r="CKM916" s="1091"/>
      <c r="CKN916" s="1091"/>
      <c r="CKO916" s="1091"/>
      <c r="CKP916" s="1091"/>
      <c r="CKQ916" s="1091"/>
      <c r="CKR916" s="1091"/>
      <c r="CKS916" s="1091"/>
      <c r="CKT916" s="1091"/>
      <c r="CKU916" s="1091"/>
      <c r="CKV916" s="1091"/>
      <c r="CKW916" s="1091"/>
      <c r="CKX916" s="1091"/>
      <c r="CKY916" s="1091"/>
      <c r="CKZ916" s="1091"/>
      <c r="CLA916" s="1091"/>
      <c r="CLB916" s="1091"/>
      <c r="CLC916" s="1091"/>
      <c r="CLD916" s="1091"/>
      <c r="CLE916" s="1091"/>
      <c r="CLF916" s="1091"/>
      <c r="CLG916" s="1091"/>
      <c r="CLH916" s="1091"/>
      <c r="CLI916" s="1091"/>
      <c r="CLJ916" s="1091"/>
      <c r="CLK916" s="1091"/>
      <c r="CLL916" s="1091"/>
      <c r="CLM916" s="1091"/>
      <c r="CLN916" s="1091"/>
      <c r="CLO916" s="1091"/>
      <c r="CLP916" s="1091"/>
      <c r="CLQ916" s="1091"/>
      <c r="CLR916" s="1091"/>
      <c r="CLS916" s="1091"/>
      <c r="CLT916" s="1091"/>
      <c r="CLU916" s="1091"/>
      <c r="CLV916" s="1091"/>
      <c r="CLW916" s="1091"/>
      <c r="CLX916" s="1091"/>
      <c r="CLY916" s="1091"/>
      <c r="CLZ916" s="1091"/>
      <c r="CMA916" s="1091"/>
      <c r="CMB916" s="1091"/>
      <c r="CMC916" s="1091"/>
      <c r="CMD916" s="1091"/>
      <c r="CME916" s="1091"/>
      <c r="CMF916" s="1091"/>
      <c r="CMG916" s="1091"/>
      <c r="CMH916" s="1091"/>
      <c r="CMI916" s="1091"/>
      <c r="CMJ916" s="1091"/>
      <c r="CMK916" s="1091"/>
      <c r="CML916" s="1091"/>
      <c r="CMM916" s="1091"/>
      <c r="CMN916" s="1091"/>
      <c r="CMO916" s="1091"/>
      <c r="CMP916" s="1091"/>
      <c r="CMQ916" s="1091"/>
      <c r="CMR916" s="1091"/>
      <c r="CMS916" s="1091"/>
      <c r="CMT916" s="1091"/>
      <c r="CMU916" s="1091"/>
      <c r="CMV916" s="1091"/>
      <c r="CMW916" s="1091"/>
      <c r="CMX916" s="1091"/>
      <c r="CMY916" s="1091"/>
      <c r="CMZ916" s="1091"/>
      <c r="CNA916" s="1091"/>
      <c r="CNB916" s="1091"/>
      <c r="CNC916" s="1091"/>
      <c r="CND916" s="1091"/>
      <c r="CNE916" s="1091"/>
      <c r="CNF916" s="1091"/>
      <c r="CNG916" s="1091"/>
      <c r="CNH916" s="1091"/>
      <c r="CNI916" s="1091"/>
      <c r="CNJ916" s="1091"/>
      <c r="CNK916" s="1091"/>
      <c r="CNL916" s="1091"/>
      <c r="CNM916" s="1091"/>
      <c r="CNN916" s="1091"/>
      <c r="CNO916" s="1091"/>
      <c r="CNP916" s="1091"/>
      <c r="CNQ916" s="1091"/>
      <c r="CNR916" s="1091"/>
      <c r="CNS916" s="1091"/>
      <c r="CNT916" s="1091"/>
      <c r="CNU916" s="1091"/>
      <c r="CNV916" s="1091"/>
      <c r="CNW916" s="1091"/>
      <c r="CNX916" s="1091"/>
      <c r="CNY916" s="1091"/>
      <c r="CNZ916" s="1091"/>
      <c r="COA916" s="1091"/>
      <c r="COB916" s="1091"/>
      <c r="COC916" s="1091"/>
      <c r="COD916" s="1091"/>
      <c r="COE916" s="1091"/>
      <c r="COF916" s="1091"/>
      <c r="COG916" s="1091"/>
      <c r="COH916" s="1091"/>
      <c r="COI916" s="1091"/>
      <c r="COJ916" s="1091"/>
      <c r="COK916" s="1091"/>
      <c r="COL916" s="1091"/>
      <c r="COM916" s="1091"/>
      <c r="CON916" s="1091"/>
      <c r="COO916" s="1091"/>
      <c r="COP916" s="1091"/>
      <c r="COQ916" s="1091"/>
      <c r="COR916" s="1091"/>
      <c r="COS916" s="1091"/>
      <c r="COT916" s="1091"/>
      <c r="COU916" s="1091"/>
      <c r="COV916" s="1091"/>
      <c r="COW916" s="1091"/>
      <c r="COX916" s="1091"/>
      <c r="COY916" s="1091"/>
      <c r="COZ916" s="1091"/>
      <c r="CPA916" s="1091"/>
      <c r="CPB916" s="1091"/>
      <c r="CPC916" s="1091"/>
      <c r="CPD916" s="1091"/>
      <c r="CPE916" s="1091"/>
      <c r="CPF916" s="1091"/>
      <c r="CPG916" s="1091"/>
      <c r="CPH916" s="1091"/>
      <c r="CPI916" s="1091"/>
      <c r="CPJ916" s="1091"/>
      <c r="CPK916" s="1091"/>
      <c r="CPL916" s="1091"/>
      <c r="CPM916" s="1091"/>
      <c r="CPN916" s="1091"/>
      <c r="CPO916" s="1091"/>
      <c r="CPP916" s="1091"/>
      <c r="CPQ916" s="1091"/>
      <c r="CPR916" s="1091"/>
      <c r="CPS916" s="1091"/>
      <c r="CPT916" s="1091"/>
      <c r="CPU916" s="1091"/>
      <c r="CPV916" s="1091"/>
      <c r="CPW916" s="1091"/>
      <c r="CPX916" s="1091"/>
      <c r="CPY916" s="1091"/>
      <c r="CPZ916" s="1091"/>
      <c r="CQA916" s="1091"/>
      <c r="CQB916" s="1091"/>
      <c r="CQC916" s="1091"/>
      <c r="CQD916" s="1091"/>
      <c r="CQE916" s="1091"/>
      <c r="CQF916" s="1091"/>
      <c r="CQG916" s="1091"/>
      <c r="CQH916" s="1091"/>
      <c r="CQI916" s="1091"/>
      <c r="CQJ916" s="1091"/>
      <c r="CQK916" s="1091"/>
      <c r="CQL916" s="1091"/>
      <c r="CQM916" s="1091"/>
      <c r="CQN916" s="1091"/>
      <c r="CQO916" s="1091"/>
      <c r="CQP916" s="1091"/>
      <c r="CQQ916" s="1091"/>
      <c r="CQR916" s="1091"/>
      <c r="CQS916" s="1091"/>
      <c r="CQT916" s="1091"/>
      <c r="CQU916" s="1091"/>
      <c r="CQV916" s="1091"/>
      <c r="CQW916" s="1091"/>
      <c r="CQX916" s="1091"/>
      <c r="CQY916" s="1091"/>
      <c r="CQZ916" s="1091"/>
      <c r="CRA916" s="1091"/>
      <c r="CRB916" s="1091"/>
      <c r="CRC916" s="1091"/>
      <c r="CRD916" s="1091"/>
      <c r="CRE916" s="1091"/>
      <c r="CRF916" s="1091"/>
      <c r="CRG916" s="1091"/>
      <c r="CRH916" s="1091"/>
      <c r="CRI916" s="1091"/>
      <c r="CRJ916" s="1091"/>
      <c r="CRK916" s="1091"/>
      <c r="CRL916" s="1091"/>
      <c r="CRM916" s="1091"/>
      <c r="CRN916" s="1091"/>
      <c r="CRO916" s="1091"/>
      <c r="CRP916" s="1091"/>
      <c r="CRQ916" s="1091"/>
      <c r="CRR916" s="1091"/>
      <c r="CRS916" s="1091"/>
      <c r="CRT916" s="1091"/>
      <c r="CRU916" s="1091"/>
      <c r="CRV916" s="1091"/>
      <c r="CRW916" s="1091"/>
      <c r="CRX916" s="1091"/>
      <c r="CRY916" s="1091"/>
      <c r="CRZ916" s="1091"/>
      <c r="CSA916" s="1091"/>
      <c r="CSB916" s="1091"/>
      <c r="CSC916" s="1091"/>
      <c r="CSD916" s="1091"/>
      <c r="CSE916" s="1091"/>
      <c r="CSF916" s="1091"/>
      <c r="CSG916" s="1091"/>
      <c r="CSH916" s="1091"/>
      <c r="CSI916" s="1091"/>
      <c r="CSJ916" s="1091"/>
      <c r="CSK916" s="1091"/>
      <c r="CSL916" s="1091"/>
      <c r="CSM916" s="1091"/>
      <c r="CSN916" s="1091"/>
      <c r="CSO916" s="1091"/>
      <c r="CSP916" s="1091"/>
      <c r="CSQ916" s="1091"/>
      <c r="CSR916" s="1091"/>
      <c r="CSS916" s="1091"/>
      <c r="CST916" s="1091"/>
      <c r="CSU916" s="1091"/>
      <c r="CSV916" s="1091"/>
      <c r="CSW916" s="1091"/>
      <c r="CSX916" s="1091"/>
      <c r="CSY916" s="1091"/>
      <c r="CSZ916" s="1091"/>
      <c r="CTA916" s="1091"/>
      <c r="CTB916" s="1091"/>
      <c r="CTC916" s="1091"/>
      <c r="CTD916" s="1091"/>
      <c r="CTE916" s="1091"/>
      <c r="CTF916" s="1091"/>
      <c r="CTG916" s="1091"/>
      <c r="CTH916" s="1091"/>
      <c r="CTI916" s="1091"/>
      <c r="CTJ916" s="1091"/>
      <c r="CTK916" s="1091"/>
      <c r="CTL916" s="1091"/>
      <c r="CTM916" s="1091"/>
      <c r="CTN916" s="1091"/>
      <c r="CTO916" s="1091"/>
      <c r="CTP916" s="1091"/>
      <c r="CTQ916" s="1091"/>
      <c r="CTR916" s="1091"/>
      <c r="CTS916" s="1091"/>
      <c r="CTT916" s="1091"/>
      <c r="CTU916" s="1091"/>
      <c r="CTV916" s="1091"/>
      <c r="CTW916" s="1091"/>
      <c r="CTX916" s="1091"/>
      <c r="CTY916" s="1091"/>
      <c r="CTZ916" s="1091"/>
      <c r="CUA916" s="1091"/>
      <c r="CUB916" s="1091"/>
      <c r="CUC916" s="1091"/>
      <c r="CUD916" s="1091"/>
      <c r="CUE916" s="1091"/>
      <c r="CUF916" s="1091"/>
      <c r="CUG916" s="1091"/>
      <c r="CUH916" s="1091"/>
      <c r="CUI916" s="1091"/>
      <c r="CUJ916" s="1091"/>
      <c r="CUK916" s="1091"/>
      <c r="CUL916" s="1091"/>
      <c r="CUM916" s="1091"/>
      <c r="CUN916" s="1091"/>
      <c r="CUO916" s="1091"/>
      <c r="CUP916" s="1091"/>
      <c r="CUQ916" s="1091"/>
      <c r="CUR916" s="1091"/>
      <c r="CUS916" s="1091"/>
      <c r="CUT916" s="1091"/>
      <c r="CUU916" s="1091"/>
      <c r="CUV916" s="1091"/>
      <c r="CUW916" s="1091"/>
      <c r="CUX916" s="1091"/>
      <c r="CUY916" s="1091"/>
      <c r="CUZ916" s="1091"/>
      <c r="CVA916" s="1091"/>
      <c r="CVB916" s="1091"/>
      <c r="CVC916" s="1091"/>
      <c r="CVD916" s="1091"/>
      <c r="CVE916" s="1091"/>
      <c r="CVF916" s="1091"/>
      <c r="CVG916" s="1091"/>
      <c r="CVH916" s="1091"/>
      <c r="CVI916" s="1091"/>
      <c r="CVJ916" s="1091"/>
      <c r="CVK916" s="1091"/>
      <c r="CVL916" s="1091"/>
      <c r="CVM916" s="1091"/>
      <c r="CVN916" s="1091"/>
      <c r="CVO916" s="1091"/>
      <c r="CVP916" s="1091"/>
      <c r="CVQ916" s="1091"/>
      <c r="CVR916" s="1091"/>
      <c r="CVS916" s="1091"/>
      <c r="CVT916" s="1091"/>
      <c r="CVU916" s="1091"/>
      <c r="CVV916" s="1091"/>
      <c r="CVW916" s="1091"/>
      <c r="CVX916" s="1091"/>
      <c r="CVY916" s="1091"/>
      <c r="CVZ916" s="1091"/>
      <c r="CWA916" s="1091"/>
      <c r="CWB916" s="1091"/>
      <c r="CWC916" s="1091"/>
      <c r="CWD916" s="1091"/>
      <c r="CWE916" s="1091"/>
      <c r="CWF916" s="1091"/>
      <c r="CWG916" s="1091"/>
      <c r="CWH916" s="1091"/>
      <c r="CWI916" s="1091"/>
      <c r="CWJ916" s="1091"/>
      <c r="CWK916" s="1091"/>
      <c r="CWL916" s="1091"/>
      <c r="CWM916" s="1091"/>
      <c r="CWN916" s="1091"/>
      <c r="CWO916" s="1091"/>
      <c r="CWP916" s="1091"/>
      <c r="CWQ916" s="1091"/>
      <c r="CWR916" s="1091"/>
      <c r="CWS916" s="1091"/>
      <c r="CWT916" s="1091"/>
      <c r="CWU916" s="1091"/>
      <c r="CWV916" s="1091"/>
      <c r="CWW916" s="1091"/>
      <c r="CWX916" s="1091"/>
      <c r="CWY916" s="1091"/>
      <c r="CWZ916" s="1091"/>
      <c r="CXA916" s="1091"/>
      <c r="CXB916" s="1091"/>
      <c r="CXC916" s="1091"/>
      <c r="CXD916" s="1091"/>
      <c r="CXE916" s="1091"/>
      <c r="CXF916" s="1091"/>
      <c r="CXG916" s="1091"/>
      <c r="CXH916" s="1091"/>
      <c r="CXI916" s="1091"/>
      <c r="CXJ916" s="1091"/>
      <c r="CXK916" s="1091"/>
      <c r="CXL916" s="1091"/>
      <c r="CXM916" s="1091"/>
      <c r="CXN916" s="1091"/>
      <c r="CXO916" s="1091"/>
      <c r="CXP916" s="1091"/>
      <c r="CXQ916" s="1091"/>
      <c r="CXR916" s="1091"/>
      <c r="CXS916" s="1091"/>
      <c r="CXT916" s="1091"/>
      <c r="CXU916" s="1091"/>
      <c r="CXV916" s="1091"/>
      <c r="CXW916" s="1091"/>
      <c r="CXX916" s="1091"/>
      <c r="CXY916" s="1091"/>
      <c r="CXZ916" s="1091"/>
      <c r="CYA916" s="1091"/>
      <c r="CYB916" s="1091"/>
      <c r="CYC916" s="1091"/>
      <c r="CYD916" s="1091"/>
      <c r="CYE916" s="1091"/>
      <c r="CYF916" s="1091"/>
      <c r="CYG916" s="1091"/>
      <c r="CYH916" s="1091"/>
      <c r="CYI916" s="1091"/>
      <c r="CYJ916" s="1091"/>
      <c r="CYK916" s="1091"/>
      <c r="CYL916" s="1091"/>
      <c r="CYM916" s="1091"/>
      <c r="CYN916" s="1091"/>
      <c r="CYO916" s="1091"/>
      <c r="CYP916" s="1091"/>
      <c r="CYQ916" s="1091"/>
      <c r="CYR916" s="1091"/>
      <c r="CYS916" s="1091"/>
      <c r="CYT916" s="1091"/>
      <c r="CYU916" s="1091"/>
      <c r="CYV916" s="1091"/>
      <c r="CYW916" s="1091"/>
      <c r="CYX916" s="1091"/>
      <c r="CYY916" s="1091"/>
      <c r="CYZ916" s="1091"/>
      <c r="CZA916" s="1091"/>
      <c r="CZB916" s="1091"/>
      <c r="CZC916" s="1091"/>
      <c r="CZD916" s="1091"/>
      <c r="CZE916" s="1091"/>
      <c r="CZF916" s="1091"/>
      <c r="CZG916" s="1091"/>
      <c r="CZH916" s="1091"/>
      <c r="CZI916" s="1091"/>
      <c r="CZJ916" s="1091"/>
      <c r="CZK916" s="1091"/>
      <c r="CZL916" s="1091"/>
      <c r="CZM916" s="1091"/>
      <c r="CZN916" s="1091"/>
      <c r="CZO916" s="1091"/>
      <c r="CZP916" s="1091"/>
      <c r="CZQ916" s="1091"/>
      <c r="CZR916" s="1091"/>
      <c r="CZS916" s="1091"/>
      <c r="CZT916" s="1091"/>
      <c r="CZU916" s="1091"/>
      <c r="CZV916" s="1091"/>
      <c r="CZW916" s="1091"/>
      <c r="CZX916" s="1091"/>
      <c r="CZY916" s="1091"/>
      <c r="CZZ916" s="1091"/>
      <c r="DAA916" s="1091"/>
      <c r="DAB916" s="1091"/>
      <c r="DAC916" s="1091"/>
      <c r="DAD916" s="1091"/>
      <c r="DAE916" s="1091"/>
      <c r="DAF916" s="1091"/>
      <c r="DAG916" s="1091"/>
      <c r="DAH916" s="1091"/>
      <c r="DAI916" s="1091"/>
      <c r="DAJ916" s="1091"/>
      <c r="DAK916" s="1091"/>
      <c r="DAL916" s="1091"/>
      <c r="DAM916" s="1091"/>
      <c r="DAN916" s="1091"/>
      <c r="DAO916" s="1091"/>
      <c r="DAP916" s="1091"/>
      <c r="DAQ916" s="1091"/>
      <c r="DAR916" s="1091"/>
      <c r="DAS916" s="1091"/>
      <c r="DAT916" s="1091"/>
      <c r="DAU916" s="1091"/>
      <c r="DAV916" s="1091"/>
      <c r="DAW916" s="1091"/>
      <c r="DAX916" s="1091"/>
      <c r="DAY916" s="1091"/>
      <c r="DAZ916" s="1091"/>
      <c r="DBA916" s="1091"/>
      <c r="DBB916" s="1091"/>
      <c r="DBC916" s="1091"/>
      <c r="DBD916" s="1091"/>
      <c r="DBE916" s="1091"/>
      <c r="DBF916" s="1091"/>
      <c r="DBG916" s="1091"/>
      <c r="DBH916" s="1091"/>
      <c r="DBI916" s="1091"/>
      <c r="DBJ916" s="1091"/>
      <c r="DBK916" s="1091"/>
      <c r="DBL916" s="1091"/>
      <c r="DBM916" s="1091"/>
      <c r="DBN916" s="1091"/>
      <c r="DBO916" s="1091"/>
      <c r="DBP916" s="1091"/>
      <c r="DBQ916" s="1091"/>
      <c r="DBR916" s="1091"/>
      <c r="DBS916" s="1091"/>
      <c r="DBT916" s="1091"/>
      <c r="DBU916" s="1091"/>
      <c r="DBV916" s="1091"/>
      <c r="DBW916" s="1091"/>
      <c r="DBX916" s="1091"/>
      <c r="DBY916" s="1091"/>
      <c r="DBZ916" s="1091"/>
      <c r="DCA916" s="1091"/>
      <c r="DCB916" s="1091"/>
      <c r="DCC916" s="1091"/>
      <c r="DCD916" s="1091"/>
      <c r="DCE916" s="1091"/>
      <c r="DCF916" s="1091"/>
      <c r="DCG916" s="1091"/>
      <c r="DCH916" s="1091"/>
      <c r="DCI916" s="1091"/>
      <c r="DCJ916" s="1091"/>
      <c r="DCK916" s="1091"/>
      <c r="DCL916" s="1091"/>
      <c r="DCM916" s="1091"/>
      <c r="DCN916" s="1091"/>
      <c r="DCO916" s="1091"/>
      <c r="DCP916" s="1091"/>
      <c r="DCQ916" s="1091"/>
      <c r="DCR916" s="1091"/>
      <c r="DCS916" s="1091"/>
      <c r="DCT916" s="1091"/>
      <c r="DCU916" s="1091"/>
      <c r="DCV916" s="1091"/>
      <c r="DCW916" s="1091"/>
      <c r="DCX916" s="1091"/>
      <c r="DCY916" s="1091"/>
      <c r="DCZ916" s="1091"/>
      <c r="DDA916" s="1091"/>
      <c r="DDB916" s="1091"/>
      <c r="DDC916" s="1091"/>
      <c r="DDD916" s="1091"/>
      <c r="DDE916" s="1091"/>
      <c r="DDF916" s="1091"/>
      <c r="DDG916" s="1091"/>
      <c r="DDH916" s="1091"/>
      <c r="DDI916" s="1091"/>
      <c r="DDJ916" s="1091"/>
      <c r="DDK916" s="1091"/>
      <c r="DDL916" s="1091"/>
      <c r="DDM916" s="1091"/>
      <c r="DDN916" s="1091"/>
      <c r="DDO916" s="1091"/>
      <c r="DDP916" s="1091"/>
      <c r="DDQ916" s="1091"/>
      <c r="DDR916" s="1091"/>
      <c r="DDS916" s="1091"/>
      <c r="DDT916" s="1091"/>
      <c r="DDU916" s="1091"/>
      <c r="DDV916" s="1091"/>
      <c r="DDW916" s="1091"/>
      <c r="DDX916" s="1091"/>
      <c r="DDY916" s="1091"/>
      <c r="DDZ916" s="1091"/>
      <c r="DEA916" s="1091"/>
      <c r="DEB916" s="1091"/>
      <c r="DEC916" s="1091"/>
      <c r="DED916" s="1091"/>
      <c r="DEE916" s="1091"/>
      <c r="DEF916" s="1091"/>
      <c r="DEG916" s="1091"/>
      <c r="DEH916" s="1091"/>
      <c r="DEI916" s="1091"/>
      <c r="DEJ916" s="1091"/>
      <c r="DEK916" s="1091"/>
      <c r="DEL916" s="1091"/>
      <c r="DEM916" s="1091"/>
      <c r="DEN916" s="1091"/>
      <c r="DEO916" s="1091"/>
      <c r="DEP916" s="1091"/>
      <c r="DEQ916" s="1091"/>
      <c r="DER916" s="1091"/>
      <c r="DES916" s="1091"/>
      <c r="DET916" s="1091"/>
      <c r="DEU916" s="1091"/>
      <c r="DEV916" s="1091"/>
      <c r="DEW916" s="1091"/>
      <c r="DEX916" s="1091"/>
      <c r="DEY916" s="1091"/>
      <c r="DEZ916" s="1091"/>
      <c r="DFA916" s="1091"/>
      <c r="DFB916" s="1091"/>
      <c r="DFC916" s="1091"/>
      <c r="DFD916" s="1091"/>
      <c r="DFE916" s="1091"/>
      <c r="DFF916" s="1091"/>
      <c r="DFG916" s="1091"/>
      <c r="DFH916" s="1091"/>
      <c r="DFI916" s="1091"/>
      <c r="DFJ916" s="1091"/>
      <c r="DFK916" s="1091"/>
      <c r="DFL916" s="1091"/>
      <c r="DFM916" s="1091"/>
      <c r="DFN916" s="1091"/>
      <c r="DFO916" s="1091"/>
      <c r="DFP916" s="1091"/>
      <c r="DFQ916" s="1091"/>
      <c r="DFR916" s="1091"/>
      <c r="DFS916" s="1091"/>
      <c r="DFT916" s="1091"/>
      <c r="DFU916" s="1091"/>
      <c r="DFV916" s="1091"/>
      <c r="DFW916" s="1091"/>
      <c r="DFX916" s="1091"/>
      <c r="DFY916" s="1091"/>
      <c r="DFZ916" s="1091"/>
      <c r="DGA916" s="1091"/>
      <c r="DGB916" s="1091"/>
      <c r="DGC916" s="1091"/>
      <c r="DGD916" s="1091"/>
      <c r="DGE916" s="1091"/>
      <c r="DGF916" s="1091"/>
      <c r="DGG916" s="1091"/>
      <c r="DGH916" s="1091"/>
      <c r="DGI916" s="1091"/>
      <c r="DGJ916" s="1091"/>
      <c r="DGK916" s="1091"/>
      <c r="DGL916" s="1091"/>
      <c r="DGM916" s="1091"/>
      <c r="DGN916" s="1091"/>
      <c r="DGO916" s="1091"/>
      <c r="DGP916" s="1091"/>
      <c r="DGQ916" s="1091"/>
      <c r="DGR916" s="1091"/>
      <c r="DGS916" s="1091"/>
      <c r="DGT916" s="1091"/>
      <c r="DGU916" s="1091"/>
      <c r="DGV916" s="1091"/>
      <c r="DGW916" s="1091"/>
      <c r="DGX916" s="1091"/>
      <c r="DGY916" s="1091"/>
      <c r="DGZ916" s="1091"/>
      <c r="DHA916" s="1091"/>
      <c r="DHB916" s="1091"/>
      <c r="DHC916" s="1091"/>
      <c r="DHD916" s="1091"/>
      <c r="DHE916" s="1091"/>
      <c r="DHF916" s="1091"/>
      <c r="DHG916" s="1091"/>
      <c r="DHH916" s="1091"/>
      <c r="DHI916" s="1091"/>
      <c r="DHJ916" s="1091"/>
      <c r="DHK916" s="1091"/>
      <c r="DHL916" s="1091"/>
      <c r="DHM916" s="1091"/>
      <c r="DHN916" s="1091"/>
      <c r="DHO916" s="1091"/>
      <c r="DHP916" s="1091"/>
      <c r="DHQ916" s="1091"/>
      <c r="DHR916" s="1091"/>
      <c r="DHS916" s="1091"/>
      <c r="DHT916" s="1091"/>
      <c r="DHU916" s="1091"/>
      <c r="DHV916" s="1091"/>
      <c r="DHW916" s="1091"/>
      <c r="DHX916" s="1091"/>
      <c r="DHY916" s="1091"/>
      <c r="DHZ916" s="1091"/>
      <c r="DIA916" s="1091"/>
      <c r="DIB916" s="1091"/>
      <c r="DIC916" s="1091"/>
      <c r="DID916" s="1091"/>
      <c r="DIE916" s="1091"/>
      <c r="DIF916" s="1091"/>
      <c r="DIG916" s="1091"/>
      <c r="DIH916" s="1091"/>
      <c r="DII916" s="1091"/>
      <c r="DIJ916" s="1091"/>
      <c r="DIK916" s="1091"/>
      <c r="DIL916" s="1091"/>
      <c r="DIM916" s="1091"/>
      <c r="DIN916" s="1091"/>
      <c r="DIO916" s="1091"/>
      <c r="DIP916" s="1091"/>
      <c r="DIQ916" s="1091"/>
      <c r="DIR916" s="1091"/>
      <c r="DIS916" s="1091"/>
      <c r="DIT916" s="1091"/>
      <c r="DIU916" s="1091"/>
      <c r="DIV916" s="1091"/>
      <c r="DIW916" s="1091"/>
      <c r="DIX916" s="1091"/>
      <c r="DIY916" s="1091"/>
      <c r="DIZ916" s="1091"/>
      <c r="DJA916" s="1091"/>
      <c r="DJB916" s="1091"/>
      <c r="DJC916" s="1091"/>
      <c r="DJD916" s="1091"/>
      <c r="DJE916" s="1091"/>
      <c r="DJF916" s="1091"/>
      <c r="DJG916" s="1091"/>
      <c r="DJH916" s="1091"/>
      <c r="DJI916" s="1091"/>
      <c r="DJJ916" s="1091"/>
      <c r="DJK916" s="1091"/>
      <c r="DJL916" s="1091"/>
      <c r="DJM916" s="1091"/>
      <c r="DJN916" s="1091"/>
      <c r="DJO916" s="1091"/>
      <c r="DJP916" s="1091"/>
      <c r="DJQ916" s="1091"/>
      <c r="DJR916" s="1091"/>
      <c r="DJS916" s="1091"/>
      <c r="DJT916" s="1091"/>
      <c r="DJU916" s="1091"/>
      <c r="DJV916" s="1091"/>
      <c r="DJW916" s="1091"/>
      <c r="DJX916" s="1091"/>
      <c r="DJY916" s="1091"/>
      <c r="DJZ916" s="1091"/>
      <c r="DKA916" s="1091"/>
      <c r="DKB916" s="1091"/>
      <c r="DKC916" s="1091"/>
      <c r="DKD916" s="1091"/>
      <c r="DKE916" s="1091"/>
      <c r="DKF916" s="1091"/>
      <c r="DKG916" s="1091"/>
      <c r="DKH916" s="1091"/>
      <c r="DKI916" s="1091"/>
      <c r="DKJ916" s="1091"/>
      <c r="DKK916" s="1091"/>
      <c r="DKL916" s="1091"/>
      <c r="DKM916" s="1091"/>
      <c r="DKN916" s="1091"/>
      <c r="DKO916" s="1091"/>
      <c r="DKP916" s="1091"/>
      <c r="DKQ916" s="1091"/>
      <c r="DKR916" s="1091"/>
      <c r="DKS916" s="1091"/>
      <c r="DKT916" s="1091"/>
      <c r="DKU916" s="1091"/>
      <c r="DKV916" s="1091"/>
      <c r="DKW916" s="1091"/>
      <c r="DKX916" s="1091"/>
      <c r="DKY916" s="1091"/>
      <c r="DKZ916" s="1091"/>
      <c r="DLA916" s="1091"/>
      <c r="DLB916" s="1091"/>
      <c r="DLC916" s="1091"/>
      <c r="DLD916" s="1091"/>
      <c r="DLE916" s="1091"/>
      <c r="DLF916" s="1091"/>
      <c r="DLG916" s="1091"/>
      <c r="DLH916" s="1091"/>
      <c r="DLI916" s="1091"/>
      <c r="DLJ916" s="1091"/>
      <c r="DLK916" s="1091"/>
      <c r="DLL916" s="1091"/>
      <c r="DLM916" s="1091"/>
      <c r="DLN916" s="1091"/>
      <c r="DLO916" s="1091"/>
      <c r="DLP916" s="1091"/>
      <c r="DLQ916" s="1091"/>
      <c r="DLR916" s="1091"/>
      <c r="DLS916" s="1091"/>
      <c r="DLT916" s="1091"/>
      <c r="DLU916" s="1091"/>
      <c r="DLV916" s="1091"/>
      <c r="DLW916" s="1091"/>
      <c r="DLX916" s="1091"/>
      <c r="DLY916" s="1091"/>
      <c r="DLZ916" s="1091"/>
      <c r="DMA916" s="1091"/>
      <c r="DMB916" s="1091"/>
      <c r="DMC916" s="1091"/>
      <c r="DMD916" s="1091"/>
      <c r="DME916" s="1091"/>
      <c r="DMF916" s="1091"/>
      <c r="DMG916" s="1091"/>
      <c r="DMH916" s="1091"/>
      <c r="DMI916" s="1091"/>
      <c r="DMJ916" s="1091"/>
      <c r="DMK916" s="1091"/>
      <c r="DML916" s="1091"/>
      <c r="DMM916" s="1091"/>
      <c r="DMN916" s="1091"/>
      <c r="DMO916" s="1091"/>
      <c r="DMP916" s="1091"/>
      <c r="DMQ916" s="1091"/>
      <c r="DMR916" s="1091"/>
      <c r="DMS916" s="1091"/>
      <c r="DMT916" s="1091"/>
      <c r="DMU916" s="1091"/>
      <c r="DMV916" s="1091"/>
      <c r="DMW916" s="1091"/>
      <c r="DMX916" s="1091"/>
      <c r="DMY916" s="1091"/>
      <c r="DMZ916" s="1091"/>
      <c r="DNA916" s="1091"/>
      <c r="DNB916" s="1091"/>
      <c r="DNC916" s="1091"/>
      <c r="DND916" s="1091"/>
      <c r="DNE916" s="1091"/>
      <c r="DNF916" s="1091"/>
      <c r="DNG916" s="1091"/>
      <c r="DNH916" s="1091"/>
      <c r="DNI916" s="1091"/>
      <c r="DNJ916" s="1091"/>
      <c r="DNK916" s="1091"/>
      <c r="DNL916" s="1091"/>
      <c r="DNM916" s="1091"/>
      <c r="DNN916" s="1091"/>
      <c r="DNO916" s="1091"/>
      <c r="DNP916" s="1091"/>
      <c r="DNQ916" s="1091"/>
      <c r="DNR916" s="1091"/>
      <c r="DNS916" s="1091"/>
      <c r="DNT916" s="1091"/>
      <c r="DNU916" s="1091"/>
      <c r="DNV916" s="1091"/>
      <c r="DNW916" s="1091"/>
      <c r="DNX916" s="1091"/>
      <c r="DNY916" s="1091"/>
      <c r="DNZ916" s="1091"/>
      <c r="DOA916" s="1091"/>
      <c r="DOB916" s="1091"/>
      <c r="DOC916" s="1091"/>
      <c r="DOD916" s="1091"/>
      <c r="DOE916" s="1091"/>
      <c r="DOF916" s="1091"/>
      <c r="DOG916" s="1091"/>
      <c r="DOH916" s="1091"/>
      <c r="DOI916" s="1091"/>
      <c r="DOJ916" s="1091"/>
      <c r="DOK916" s="1091"/>
      <c r="DOL916" s="1091"/>
      <c r="DOM916" s="1091"/>
      <c r="DON916" s="1091"/>
      <c r="DOO916" s="1091"/>
      <c r="DOP916" s="1091"/>
      <c r="DOQ916" s="1091"/>
      <c r="DOR916" s="1091"/>
      <c r="DOS916" s="1091"/>
      <c r="DOT916" s="1091"/>
      <c r="DOU916" s="1091"/>
      <c r="DOV916" s="1091"/>
      <c r="DOW916" s="1091"/>
      <c r="DOX916" s="1091"/>
      <c r="DOY916" s="1091"/>
      <c r="DOZ916" s="1091"/>
      <c r="DPA916" s="1091"/>
      <c r="DPB916" s="1091"/>
      <c r="DPC916" s="1091"/>
      <c r="DPD916" s="1091"/>
      <c r="DPE916" s="1091"/>
      <c r="DPF916" s="1091"/>
      <c r="DPG916" s="1091"/>
      <c r="DPH916" s="1091"/>
      <c r="DPI916" s="1091"/>
      <c r="DPJ916" s="1091"/>
      <c r="DPK916" s="1091"/>
      <c r="DPL916" s="1091"/>
      <c r="DPM916" s="1091"/>
      <c r="DPN916" s="1091"/>
      <c r="DPO916" s="1091"/>
      <c r="DPP916" s="1091"/>
      <c r="DPQ916" s="1091"/>
      <c r="DPR916" s="1091"/>
      <c r="DPS916" s="1091"/>
      <c r="DPT916" s="1091"/>
      <c r="DPU916" s="1091"/>
      <c r="DPV916" s="1091"/>
      <c r="DPW916" s="1091"/>
      <c r="DPX916" s="1091"/>
      <c r="DPY916" s="1091"/>
      <c r="DPZ916" s="1091"/>
      <c r="DQA916" s="1091"/>
      <c r="DQB916" s="1091"/>
      <c r="DQC916" s="1091"/>
      <c r="DQD916" s="1091"/>
      <c r="DQE916" s="1091"/>
      <c r="DQF916" s="1091"/>
      <c r="DQG916" s="1091"/>
      <c r="DQH916" s="1091"/>
      <c r="DQI916" s="1091"/>
      <c r="DQJ916" s="1091"/>
      <c r="DQK916" s="1091"/>
      <c r="DQL916" s="1091"/>
      <c r="DQM916" s="1091"/>
      <c r="DQN916" s="1091"/>
      <c r="DQO916" s="1091"/>
      <c r="DQP916" s="1091"/>
      <c r="DQQ916" s="1091"/>
      <c r="DQR916" s="1091"/>
      <c r="DQS916" s="1091"/>
      <c r="DQT916" s="1091"/>
      <c r="DQU916" s="1091"/>
      <c r="DQV916" s="1091"/>
      <c r="DQW916" s="1091"/>
      <c r="DQX916" s="1091"/>
      <c r="DQY916" s="1091"/>
      <c r="DQZ916" s="1091"/>
      <c r="DRA916" s="1091"/>
      <c r="DRB916" s="1091"/>
      <c r="DRC916" s="1091"/>
      <c r="DRD916" s="1091"/>
      <c r="DRE916" s="1091"/>
      <c r="DRF916" s="1091"/>
      <c r="DRG916" s="1091"/>
      <c r="DRH916" s="1091"/>
      <c r="DRI916" s="1091"/>
      <c r="DRJ916" s="1091"/>
      <c r="DRK916" s="1091"/>
      <c r="DRL916" s="1091"/>
      <c r="DRM916" s="1091"/>
      <c r="DRN916" s="1091"/>
      <c r="DRO916" s="1091"/>
      <c r="DRP916" s="1091"/>
      <c r="DRQ916" s="1091"/>
      <c r="DRR916" s="1091"/>
      <c r="DRS916" s="1091"/>
      <c r="DRT916" s="1091"/>
      <c r="DRU916" s="1091"/>
      <c r="DRV916" s="1091"/>
      <c r="DRW916" s="1091"/>
      <c r="DRX916" s="1091"/>
      <c r="DRY916" s="1091"/>
      <c r="DRZ916" s="1091"/>
      <c r="DSA916" s="1091"/>
      <c r="DSB916" s="1091"/>
      <c r="DSC916" s="1091"/>
      <c r="DSD916" s="1091"/>
      <c r="DSE916" s="1091"/>
      <c r="DSF916" s="1091"/>
      <c r="DSG916" s="1091"/>
      <c r="DSH916" s="1091"/>
      <c r="DSI916" s="1091"/>
      <c r="DSJ916" s="1091"/>
      <c r="DSK916" s="1091"/>
      <c r="DSL916" s="1091"/>
      <c r="DSM916" s="1091"/>
      <c r="DSN916" s="1091"/>
      <c r="DSO916" s="1091"/>
      <c r="DSP916" s="1091"/>
      <c r="DSQ916" s="1091"/>
      <c r="DSR916" s="1091"/>
      <c r="DSS916" s="1091"/>
      <c r="DST916" s="1091"/>
      <c r="DSU916" s="1091"/>
      <c r="DSV916" s="1091"/>
      <c r="DSW916" s="1091"/>
      <c r="DSX916" s="1091"/>
      <c r="DSY916" s="1091"/>
      <c r="DSZ916" s="1091"/>
      <c r="DTA916" s="1091"/>
      <c r="DTB916" s="1091"/>
      <c r="DTC916" s="1091"/>
      <c r="DTD916" s="1091"/>
      <c r="DTE916" s="1091"/>
      <c r="DTF916" s="1091"/>
      <c r="DTG916" s="1091"/>
      <c r="DTH916" s="1091"/>
      <c r="DTI916" s="1091"/>
      <c r="DTJ916" s="1091"/>
      <c r="DTK916" s="1091"/>
      <c r="DTL916" s="1091"/>
      <c r="DTM916" s="1091"/>
      <c r="DTN916" s="1091"/>
      <c r="DTO916" s="1091"/>
      <c r="DTP916" s="1091"/>
      <c r="DTQ916" s="1091"/>
      <c r="DTR916" s="1091"/>
      <c r="DTS916" s="1091"/>
      <c r="DTT916" s="1091"/>
      <c r="DTU916" s="1091"/>
      <c r="DTV916" s="1091"/>
      <c r="DTW916" s="1091"/>
      <c r="DTX916" s="1091"/>
      <c r="DTY916" s="1091"/>
      <c r="DTZ916" s="1091"/>
      <c r="DUA916" s="1091"/>
      <c r="DUB916" s="1091"/>
      <c r="DUC916" s="1091"/>
      <c r="DUD916" s="1091"/>
      <c r="DUE916" s="1091"/>
      <c r="DUF916" s="1091"/>
      <c r="DUG916" s="1091"/>
      <c r="DUH916" s="1091"/>
      <c r="DUI916" s="1091"/>
      <c r="DUJ916" s="1091"/>
      <c r="DUK916" s="1091"/>
      <c r="DUL916" s="1091"/>
      <c r="DUM916" s="1091"/>
      <c r="DUN916" s="1091"/>
      <c r="DUO916" s="1091"/>
      <c r="DUP916" s="1091"/>
      <c r="DUQ916" s="1091"/>
      <c r="DUR916" s="1091"/>
      <c r="DUS916" s="1091"/>
      <c r="DUT916" s="1091"/>
      <c r="DUU916" s="1091"/>
      <c r="DUV916" s="1091"/>
      <c r="DUW916" s="1091"/>
      <c r="DUX916" s="1091"/>
      <c r="DUY916" s="1091"/>
      <c r="DUZ916" s="1091"/>
      <c r="DVA916" s="1091"/>
      <c r="DVB916" s="1091"/>
      <c r="DVC916" s="1091"/>
      <c r="DVD916" s="1091"/>
      <c r="DVE916" s="1091"/>
      <c r="DVF916" s="1091"/>
      <c r="DVG916" s="1091"/>
      <c r="DVH916" s="1091"/>
      <c r="DVI916" s="1091"/>
      <c r="DVJ916" s="1091"/>
      <c r="DVK916" s="1091"/>
      <c r="DVL916" s="1091"/>
      <c r="DVM916" s="1091"/>
      <c r="DVN916" s="1091"/>
      <c r="DVO916" s="1091"/>
      <c r="DVP916" s="1091"/>
      <c r="DVQ916" s="1091"/>
      <c r="DVR916" s="1091"/>
      <c r="DVS916" s="1091"/>
      <c r="DVT916" s="1091"/>
      <c r="DVU916" s="1091"/>
      <c r="DVV916" s="1091"/>
      <c r="DVW916" s="1091"/>
      <c r="DVX916" s="1091"/>
      <c r="DVY916" s="1091"/>
      <c r="DVZ916" s="1091"/>
      <c r="DWA916" s="1091"/>
      <c r="DWB916" s="1091"/>
      <c r="DWC916" s="1091"/>
      <c r="DWD916" s="1091"/>
      <c r="DWE916" s="1091"/>
      <c r="DWF916" s="1091"/>
      <c r="DWG916" s="1091"/>
      <c r="DWH916" s="1091"/>
      <c r="DWI916" s="1091"/>
      <c r="DWJ916" s="1091"/>
      <c r="DWK916" s="1091"/>
      <c r="DWL916" s="1091"/>
      <c r="DWM916" s="1091"/>
      <c r="DWN916" s="1091"/>
      <c r="DWO916" s="1091"/>
      <c r="DWP916" s="1091"/>
      <c r="DWQ916" s="1091"/>
      <c r="DWR916" s="1091"/>
      <c r="DWS916" s="1091"/>
      <c r="DWT916" s="1091"/>
      <c r="DWU916" s="1091"/>
      <c r="DWV916" s="1091"/>
      <c r="DWW916" s="1091"/>
      <c r="DWX916" s="1091"/>
      <c r="DWY916" s="1091"/>
      <c r="DWZ916" s="1091"/>
      <c r="DXA916" s="1091"/>
      <c r="DXB916" s="1091"/>
      <c r="DXC916" s="1091"/>
      <c r="DXD916" s="1091"/>
      <c r="DXE916" s="1091"/>
      <c r="DXF916" s="1091"/>
      <c r="DXG916" s="1091"/>
      <c r="DXH916" s="1091"/>
      <c r="DXI916" s="1091"/>
      <c r="DXJ916" s="1091"/>
      <c r="DXK916" s="1091"/>
      <c r="DXL916" s="1091"/>
      <c r="DXM916" s="1091"/>
      <c r="DXN916" s="1091"/>
      <c r="DXO916" s="1091"/>
      <c r="DXP916" s="1091"/>
      <c r="DXQ916" s="1091"/>
      <c r="DXR916" s="1091"/>
      <c r="DXS916" s="1091"/>
      <c r="DXT916" s="1091"/>
      <c r="DXU916" s="1091"/>
      <c r="DXV916" s="1091"/>
      <c r="DXW916" s="1091"/>
      <c r="DXX916" s="1091"/>
      <c r="DXY916" s="1091"/>
      <c r="DXZ916" s="1091"/>
      <c r="DYA916" s="1091"/>
      <c r="DYB916" s="1091"/>
      <c r="DYC916" s="1091"/>
      <c r="DYD916" s="1091"/>
      <c r="DYE916" s="1091"/>
      <c r="DYF916" s="1091"/>
      <c r="DYG916" s="1091"/>
      <c r="DYH916" s="1091"/>
      <c r="DYI916" s="1091"/>
      <c r="DYJ916" s="1091"/>
      <c r="DYK916" s="1091"/>
      <c r="DYL916" s="1091"/>
      <c r="DYM916" s="1091"/>
      <c r="DYN916" s="1091"/>
      <c r="DYO916" s="1091"/>
      <c r="DYP916" s="1091"/>
      <c r="DYQ916" s="1091"/>
      <c r="DYR916" s="1091"/>
      <c r="DYS916" s="1091"/>
      <c r="DYT916" s="1091"/>
      <c r="DYU916" s="1091"/>
      <c r="DYV916" s="1091"/>
      <c r="DYW916" s="1091"/>
      <c r="DYX916" s="1091"/>
      <c r="DYY916" s="1091"/>
      <c r="DYZ916" s="1091"/>
      <c r="DZA916" s="1091"/>
      <c r="DZB916" s="1091"/>
      <c r="DZC916" s="1091"/>
      <c r="DZD916" s="1091"/>
      <c r="DZE916" s="1091"/>
      <c r="DZF916" s="1091"/>
      <c r="DZG916" s="1091"/>
      <c r="DZH916" s="1091"/>
      <c r="DZI916" s="1091"/>
      <c r="DZJ916" s="1091"/>
      <c r="DZK916" s="1091"/>
      <c r="DZL916" s="1091"/>
      <c r="DZM916" s="1091"/>
      <c r="DZN916" s="1091"/>
      <c r="DZO916" s="1091"/>
      <c r="DZP916" s="1091"/>
      <c r="DZQ916" s="1091"/>
      <c r="DZR916" s="1091"/>
      <c r="DZS916" s="1091"/>
      <c r="DZT916" s="1091"/>
      <c r="DZU916" s="1091"/>
      <c r="DZV916" s="1091"/>
      <c r="DZW916" s="1091"/>
      <c r="DZX916" s="1091"/>
      <c r="DZY916" s="1091"/>
      <c r="DZZ916" s="1091"/>
      <c r="EAA916" s="1091"/>
      <c r="EAB916" s="1091"/>
      <c r="EAC916" s="1091"/>
      <c r="EAD916" s="1091"/>
      <c r="EAE916" s="1091"/>
      <c r="EAF916" s="1091"/>
      <c r="EAG916" s="1091"/>
      <c r="EAH916" s="1091"/>
      <c r="EAI916" s="1091"/>
      <c r="EAJ916" s="1091"/>
      <c r="EAK916" s="1091"/>
      <c r="EAL916" s="1091"/>
      <c r="EAM916" s="1091"/>
      <c r="EAN916" s="1091"/>
      <c r="EAO916" s="1091"/>
      <c r="EAP916" s="1091"/>
      <c r="EAQ916" s="1091"/>
      <c r="EAR916" s="1091"/>
      <c r="EAS916" s="1091"/>
      <c r="EAT916" s="1091"/>
      <c r="EAU916" s="1091"/>
      <c r="EAV916" s="1091"/>
      <c r="EAW916" s="1091"/>
      <c r="EAX916" s="1091"/>
      <c r="EAY916" s="1091"/>
      <c r="EAZ916" s="1091"/>
      <c r="EBA916" s="1091"/>
      <c r="EBB916" s="1091"/>
      <c r="EBC916" s="1091"/>
      <c r="EBD916" s="1091"/>
      <c r="EBE916" s="1091"/>
      <c r="EBF916" s="1091"/>
      <c r="EBG916" s="1091"/>
      <c r="EBH916" s="1091"/>
      <c r="EBI916" s="1091"/>
      <c r="EBJ916" s="1091"/>
      <c r="EBK916" s="1091"/>
      <c r="EBL916" s="1091"/>
      <c r="EBM916" s="1091"/>
      <c r="EBN916" s="1091"/>
      <c r="EBO916" s="1091"/>
      <c r="EBP916" s="1091"/>
      <c r="EBQ916" s="1091"/>
      <c r="EBR916" s="1091"/>
      <c r="EBS916" s="1091"/>
      <c r="EBT916" s="1091"/>
      <c r="EBU916" s="1091"/>
      <c r="EBV916" s="1091"/>
      <c r="EBW916" s="1091"/>
      <c r="EBX916" s="1091"/>
      <c r="EBY916" s="1091"/>
      <c r="EBZ916" s="1091"/>
      <c r="ECA916" s="1091"/>
      <c r="ECB916" s="1091"/>
      <c r="ECC916" s="1091"/>
      <c r="ECD916" s="1091"/>
      <c r="ECE916" s="1091"/>
      <c r="ECF916" s="1091"/>
      <c r="ECG916" s="1091"/>
      <c r="ECH916" s="1091"/>
      <c r="ECI916" s="1091"/>
      <c r="ECJ916" s="1091"/>
      <c r="ECK916" s="1091"/>
      <c r="ECL916" s="1091"/>
      <c r="ECM916" s="1091"/>
      <c r="ECN916" s="1091"/>
      <c r="ECO916" s="1091"/>
      <c r="ECP916" s="1091"/>
      <c r="ECQ916" s="1091"/>
      <c r="ECR916" s="1091"/>
      <c r="ECS916" s="1091"/>
      <c r="ECT916" s="1091"/>
      <c r="ECU916" s="1091"/>
      <c r="ECV916" s="1091"/>
      <c r="ECW916" s="1091"/>
      <c r="ECX916" s="1091"/>
      <c r="ECY916" s="1091"/>
      <c r="ECZ916" s="1091"/>
      <c r="EDA916" s="1091"/>
      <c r="EDB916" s="1091"/>
      <c r="EDC916" s="1091"/>
      <c r="EDD916" s="1091"/>
      <c r="EDE916" s="1091"/>
      <c r="EDF916" s="1091"/>
      <c r="EDG916" s="1091"/>
      <c r="EDH916" s="1091"/>
      <c r="EDI916" s="1091"/>
      <c r="EDJ916" s="1091"/>
      <c r="EDK916" s="1091"/>
      <c r="EDL916" s="1091"/>
      <c r="EDM916" s="1091"/>
      <c r="EDN916" s="1091"/>
      <c r="EDO916" s="1091"/>
      <c r="EDP916" s="1091"/>
      <c r="EDQ916" s="1091"/>
      <c r="EDR916" s="1091"/>
      <c r="EDS916" s="1091"/>
      <c r="EDT916" s="1091"/>
      <c r="EDU916" s="1091"/>
      <c r="EDV916" s="1091"/>
      <c r="EDW916" s="1091"/>
      <c r="EDX916" s="1091"/>
      <c r="EDY916" s="1091"/>
      <c r="EDZ916" s="1091"/>
      <c r="EEA916" s="1091"/>
      <c r="EEB916" s="1091"/>
      <c r="EEC916" s="1091"/>
      <c r="EED916" s="1091"/>
      <c r="EEE916" s="1091"/>
      <c r="EEF916" s="1091"/>
      <c r="EEG916" s="1091"/>
      <c r="EEH916" s="1091"/>
      <c r="EEI916" s="1091"/>
      <c r="EEJ916" s="1091"/>
      <c r="EEK916" s="1091"/>
      <c r="EEL916" s="1091"/>
      <c r="EEM916" s="1091"/>
      <c r="EEN916" s="1091"/>
      <c r="EEO916" s="1091"/>
      <c r="EEP916" s="1091"/>
      <c r="EEQ916" s="1091"/>
      <c r="EER916" s="1091"/>
      <c r="EES916" s="1091"/>
      <c r="EET916" s="1091"/>
      <c r="EEU916" s="1091"/>
      <c r="EEV916" s="1091"/>
      <c r="EEW916" s="1091"/>
      <c r="EEX916" s="1091"/>
      <c r="EEY916" s="1091"/>
      <c r="EEZ916" s="1091"/>
      <c r="EFA916" s="1091"/>
      <c r="EFB916" s="1091"/>
      <c r="EFC916" s="1091"/>
      <c r="EFD916" s="1091"/>
      <c r="EFE916" s="1091"/>
      <c r="EFF916" s="1091"/>
      <c r="EFG916" s="1091"/>
      <c r="EFH916" s="1091"/>
      <c r="EFI916" s="1091"/>
      <c r="EFJ916" s="1091"/>
      <c r="EFK916" s="1091"/>
      <c r="EFL916" s="1091"/>
      <c r="EFM916" s="1091"/>
      <c r="EFN916" s="1091"/>
      <c r="EFO916" s="1091"/>
      <c r="EFP916" s="1091"/>
      <c r="EFQ916" s="1091"/>
      <c r="EFR916" s="1091"/>
      <c r="EFS916" s="1091"/>
      <c r="EFT916" s="1091"/>
      <c r="EFU916" s="1091"/>
      <c r="EFV916" s="1091"/>
      <c r="EFW916" s="1091"/>
      <c r="EFX916" s="1091"/>
      <c r="EFY916" s="1091"/>
      <c r="EFZ916" s="1091"/>
      <c r="EGA916" s="1091"/>
      <c r="EGB916" s="1091"/>
      <c r="EGC916" s="1091"/>
      <c r="EGD916" s="1091"/>
      <c r="EGE916" s="1091"/>
      <c r="EGF916" s="1091"/>
      <c r="EGG916" s="1091"/>
      <c r="EGH916" s="1091"/>
      <c r="EGI916" s="1091"/>
      <c r="EGJ916" s="1091"/>
      <c r="EGK916" s="1091"/>
      <c r="EGL916" s="1091"/>
      <c r="EGM916" s="1091"/>
      <c r="EGN916" s="1091"/>
      <c r="EGO916" s="1091"/>
      <c r="EGP916" s="1091"/>
      <c r="EGQ916" s="1091"/>
      <c r="EGR916" s="1091"/>
      <c r="EGS916" s="1091"/>
      <c r="EGT916" s="1091"/>
      <c r="EGU916" s="1091"/>
      <c r="EGV916" s="1091"/>
      <c r="EGW916" s="1091"/>
      <c r="EGX916" s="1091"/>
      <c r="EGY916" s="1091"/>
      <c r="EGZ916" s="1091"/>
      <c r="EHA916" s="1091"/>
      <c r="EHB916" s="1091"/>
      <c r="EHC916" s="1091"/>
      <c r="EHD916" s="1091"/>
      <c r="EHE916" s="1091"/>
      <c r="EHF916" s="1091"/>
      <c r="EHG916" s="1091"/>
      <c r="EHH916" s="1091"/>
      <c r="EHI916" s="1091"/>
      <c r="EHJ916" s="1091"/>
      <c r="EHK916" s="1091"/>
      <c r="EHL916" s="1091"/>
      <c r="EHM916" s="1091"/>
      <c r="EHN916" s="1091"/>
      <c r="EHO916" s="1091"/>
      <c r="EHP916" s="1091"/>
      <c r="EHQ916" s="1091"/>
      <c r="EHR916" s="1091"/>
      <c r="EHS916" s="1091"/>
      <c r="EHT916" s="1091"/>
      <c r="EHU916" s="1091"/>
      <c r="EHV916" s="1091"/>
      <c r="EHW916" s="1091"/>
      <c r="EHX916" s="1091"/>
      <c r="EHY916" s="1091"/>
      <c r="EHZ916" s="1091"/>
      <c r="EIA916" s="1091"/>
      <c r="EIB916" s="1091"/>
      <c r="EIC916" s="1091"/>
      <c r="EID916" s="1091"/>
      <c r="EIE916" s="1091"/>
      <c r="EIF916" s="1091"/>
      <c r="EIG916" s="1091"/>
      <c r="EIH916" s="1091"/>
      <c r="EII916" s="1091"/>
      <c r="EIJ916" s="1091"/>
      <c r="EIK916" s="1091"/>
      <c r="EIL916" s="1091"/>
      <c r="EIM916" s="1091"/>
      <c r="EIN916" s="1091"/>
      <c r="EIO916" s="1091"/>
      <c r="EIP916" s="1091"/>
      <c r="EIQ916" s="1091"/>
      <c r="EIR916" s="1091"/>
      <c r="EIS916" s="1091"/>
      <c r="EIT916" s="1091"/>
      <c r="EIU916" s="1091"/>
      <c r="EIV916" s="1091"/>
      <c r="EIW916" s="1091"/>
      <c r="EIX916" s="1091"/>
      <c r="EIY916" s="1091"/>
      <c r="EIZ916" s="1091"/>
      <c r="EJA916" s="1091"/>
      <c r="EJB916" s="1091"/>
      <c r="EJC916" s="1091"/>
      <c r="EJD916" s="1091"/>
      <c r="EJE916" s="1091"/>
      <c r="EJF916" s="1091"/>
      <c r="EJG916" s="1091"/>
      <c r="EJH916" s="1091"/>
      <c r="EJI916" s="1091"/>
      <c r="EJJ916" s="1091"/>
      <c r="EJK916" s="1091"/>
      <c r="EJL916" s="1091"/>
      <c r="EJM916" s="1091"/>
      <c r="EJN916" s="1091"/>
      <c r="EJO916" s="1091"/>
      <c r="EJP916" s="1091"/>
      <c r="EJQ916" s="1091"/>
      <c r="EJR916" s="1091"/>
      <c r="EJS916" s="1091"/>
      <c r="EJT916" s="1091"/>
      <c r="EJU916" s="1091"/>
      <c r="EJV916" s="1091"/>
      <c r="EJW916" s="1091"/>
      <c r="EJX916" s="1091"/>
      <c r="EJY916" s="1091"/>
      <c r="EJZ916" s="1091"/>
      <c r="EKA916" s="1091"/>
      <c r="EKB916" s="1091"/>
      <c r="EKC916" s="1091"/>
      <c r="EKD916" s="1091"/>
      <c r="EKE916" s="1091"/>
      <c r="EKF916" s="1091"/>
      <c r="EKG916" s="1091"/>
      <c r="EKH916" s="1091"/>
      <c r="EKI916" s="1091"/>
      <c r="EKJ916" s="1091"/>
      <c r="EKK916" s="1091"/>
      <c r="EKL916" s="1091"/>
      <c r="EKM916" s="1091"/>
      <c r="EKN916" s="1091"/>
      <c r="EKO916" s="1091"/>
      <c r="EKP916" s="1091"/>
      <c r="EKQ916" s="1091"/>
      <c r="EKR916" s="1091"/>
      <c r="EKS916" s="1091"/>
      <c r="EKT916" s="1091"/>
      <c r="EKU916" s="1091"/>
      <c r="EKV916" s="1091"/>
      <c r="EKW916" s="1091"/>
      <c r="EKX916" s="1091"/>
      <c r="EKY916" s="1091"/>
      <c r="EKZ916" s="1091"/>
      <c r="ELA916" s="1091"/>
      <c r="ELB916" s="1091"/>
      <c r="ELC916" s="1091"/>
      <c r="ELD916" s="1091"/>
      <c r="ELE916" s="1091"/>
      <c r="ELF916" s="1091"/>
      <c r="ELG916" s="1091"/>
      <c r="ELH916" s="1091"/>
      <c r="ELI916" s="1091"/>
      <c r="ELJ916" s="1091"/>
      <c r="ELK916" s="1091"/>
      <c r="ELL916" s="1091"/>
      <c r="ELM916" s="1091"/>
      <c r="ELN916" s="1091"/>
      <c r="ELO916" s="1091"/>
      <c r="ELP916" s="1091"/>
      <c r="ELQ916" s="1091"/>
      <c r="ELR916" s="1091"/>
      <c r="ELS916" s="1091"/>
      <c r="ELT916" s="1091"/>
      <c r="ELU916" s="1091"/>
      <c r="ELV916" s="1091"/>
      <c r="ELW916" s="1091"/>
      <c r="ELX916" s="1091"/>
      <c r="ELY916" s="1091"/>
      <c r="ELZ916" s="1091"/>
      <c r="EMA916" s="1091"/>
      <c r="EMB916" s="1091"/>
      <c r="EMC916" s="1091"/>
      <c r="EMD916" s="1091"/>
      <c r="EME916" s="1091"/>
      <c r="EMF916" s="1091"/>
      <c r="EMG916" s="1091"/>
      <c r="EMH916" s="1091"/>
      <c r="EMI916" s="1091"/>
      <c r="EMJ916" s="1091"/>
      <c r="EMK916" s="1091"/>
      <c r="EML916" s="1091"/>
      <c r="EMM916" s="1091"/>
      <c r="EMN916" s="1091"/>
      <c r="EMO916" s="1091"/>
      <c r="EMP916" s="1091"/>
      <c r="EMQ916" s="1091"/>
      <c r="EMR916" s="1091"/>
      <c r="EMS916" s="1091"/>
      <c r="EMT916" s="1091"/>
      <c r="EMU916" s="1091"/>
      <c r="EMV916" s="1091"/>
      <c r="EMW916" s="1091"/>
      <c r="EMX916" s="1091"/>
      <c r="EMY916" s="1091"/>
      <c r="EMZ916" s="1091"/>
      <c r="ENA916" s="1091"/>
      <c r="ENB916" s="1091"/>
      <c r="ENC916" s="1091"/>
      <c r="END916" s="1091"/>
      <c r="ENE916" s="1091"/>
      <c r="ENF916" s="1091"/>
      <c r="ENG916" s="1091"/>
      <c r="ENH916" s="1091"/>
      <c r="ENI916" s="1091"/>
      <c r="ENJ916" s="1091"/>
      <c r="ENK916" s="1091"/>
      <c r="ENL916" s="1091"/>
      <c r="ENM916" s="1091"/>
      <c r="ENN916" s="1091"/>
      <c r="ENO916" s="1091"/>
      <c r="ENP916" s="1091"/>
      <c r="ENQ916" s="1091"/>
      <c r="ENR916" s="1091"/>
      <c r="ENS916" s="1091"/>
      <c r="ENT916" s="1091"/>
      <c r="ENU916" s="1091"/>
      <c r="ENV916" s="1091"/>
      <c r="ENW916" s="1091"/>
      <c r="ENX916" s="1091"/>
      <c r="ENY916" s="1091"/>
      <c r="ENZ916" s="1091"/>
      <c r="EOA916" s="1091"/>
      <c r="EOB916" s="1091"/>
      <c r="EOC916" s="1091"/>
      <c r="EOD916" s="1091"/>
      <c r="EOE916" s="1091"/>
      <c r="EOF916" s="1091"/>
      <c r="EOG916" s="1091"/>
      <c r="EOH916" s="1091"/>
      <c r="EOI916" s="1091"/>
      <c r="EOJ916" s="1091"/>
      <c r="EOK916" s="1091"/>
      <c r="EOL916" s="1091"/>
      <c r="EOM916" s="1091"/>
      <c r="EON916" s="1091"/>
      <c r="EOO916" s="1091"/>
      <c r="EOP916" s="1091"/>
      <c r="EOQ916" s="1091"/>
      <c r="EOR916" s="1091"/>
      <c r="EOS916" s="1091"/>
      <c r="EOT916" s="1091"/>
      <c r="EOU916" s="1091"/>
      <c r="EOV916" s="1091"/>
      <c r="EOW916" s="1091"/>
      <c r="EOX916" s="1091"/>
      <c r="EOY916" s="1091"/>
      <c r="EOZ916" s="1091"/>
      <c r="EPA916" s="1091"/>
      <c r="EPB916" s="1091"/>
      <c r="EPC916" s="1091"/>
      <c r="EPD916" s="1091"/>
      <c r="EPE916" s="1091"/>
      <c r="EPF916" s="1091"/>
      <c r="EPG916" s="1091"/>
      <c r="EPH916" s="1091"/>
      <c r="EPI916" s="1091"/>
      <c r="EPJ916" s="1091"/>
      <c r="EPK916" s="1091"/>
      <c r="EPL916" s="1091"/>
      <c r="EPM916" s="1091"/>
      <c r="EPN916" s="1091"/>
      <c r="EPO916" s="1091"/>
      <c r="EPP916" s="1091"/>
      <c r="EPQ916" s="1091"/>
      <c r="EPR916" s="1091"/>
      <c r="EPS916" s="1091"/>
      <c r="EPT916" s="1091"/>
      <c r="EPU916" s="1091"/>
      <c r="EPV916" s="1091"/>
      <c r="EPW916" s="1091"/>
      <c r="EPX916" s="1091"/>
      <c r="EPY916" s="1091"/>
      <c r="EPZ916" s="1091"/>
      <c r="EQA916" s="1091"/>
      <c r="EQB916" s="1091"/>
      <c r="EQC916" s="1091"/>
      <c r="EQD916" s="1091"/>
      <c r="EQE916" s="1091"/>
      <c r="EQF916" s="1091"/>
      <c r="EQG916" s="1091"/>
      <c r="EQH916" s="1091"/>
      <c r="EQI916" s="1091"/>
      <c r="EQJ916" s="1091"/>
      <c r="EQK916" s="1091"/>
      <c r="EQL916" s="1091"/>
      <c r="EQM916" s="1091"/>
      <c r="EQN916" s="1091"/>
      <c r="EQO916" s="1091"/>
      <c r="EQP916" s="1091"/>
      <c r="EQQ916" s="1091"/>
      <c r="EQR916" s="1091"/>
      <c r="EQS916" s="1091"/>
      <c r="EQT916" s="1091"/>
      <c r="EQU916" s="1091"/>
      <c r="EQV916" s="1091"/>
      <c r="EQW916" s="1091"/>
      <c r="EQX916" s="1091"/>
      <c r="EQY916" s="1091"/>
      <c r="EQZ916" s="1091"/>
      <c r="ERA916" s="1091"/>
      <c r="ERB916" s="1091"/>
      <c r="ERC916" s="1091"/>
      <c r="ERD916" s="1091"/>
      <c r="ERE916" s="1091"/>
      <c r="ERF916" s="1091"/>
      <c r="ERG916" s="1091"/>
      <c r="ERH916" s="1091"/>
      <c r="ERI916" s="1091"/>
      <c r="ERJ916" s="1091"/>
      <c r="ERK916" s="1091"/>
      <c r="ERL916" s="1091"/>
      <c r="ERM916" s="1091"/>
      <c r="ERN916" s="1091"/>
      <c r="ERO916" s="1091"/>
      <c r="ERP916" s="1091"/>
      <c r="ERQ916" s="1091"/>
      <c r="ERR916" s="1091"/>
      <c r="ERS916" s="1091"/>
      <c r="ERT916" s="1091"/>
      <c r="ERU916" s="1091"/>
      <c r="ERV916" s="1091"/>
      <c r="ERW916" s="1091"/>
      <c r="ERX916" s="1091"/>
      <c r="ERY916" s="1091"/>
      <c r="ERZ916" s="1091"/>
      <c r="ESA916" s="1091"/>
      <c r="ESB916" s="1091"/>
      <c r="ESC916" s="1091"/>
      <c r="ESD916" s="1091"/>
      <c r="ESE916" s="1091"/>
      <c r="ESF916" s="1091"/>
      <c r="ESG916" s="1091"/>
      <c r="ESH916" s="1091"/>
      <c r="ESI916" s="1091"/>
      <c r="ESJ916" s="1091"/>
      <c r="ESK916" s="1091"/>
      <c r="ESL916" s="1091"/>
      <c r="ESM916" s="1091"/>
      <c r="ESN916" s="1091"/>
      <c r="ESO916" s="1091"/>
      <c r="ESP916" s="1091"/>
      <c r="ESQ916" s="1091"/>
      <c r="ESR916" s="1091"/>
      <c r="ESS916" s="1091"/>
      <c r="EST916" s="1091"/>
      <c r="ESU916" s="1091"/>
      <c r="ESV916" s="1091"/>
      <c r="ESW916" s="1091"/>
      <c r="ESX916" s="1091"/>
      <c r="ESY916" s="1091"/>
      <c r="ESZ916" s="1091"/>
      <c r="ETA916" s="1091"/>
      <c r="ETB916" s="1091"/>
      <c r="ETC916" s="1091"/>
      <c r="ETD916" s="1091"/>
      <c r="ETE916" s="1091"/>
      <c r="ETF916" s="1091"/>
      <c r="ETG916" s="1091"/>
      <c r="ETH916" s="1091"/>
      <c r="ETI916" s="1091"/>
      <c r="ETJ916" s="1091"/>
      <c r="ETK916" s="1091"/>
      <c r="ETL916" s="1091"/>
      <c r="ETM916" s="1091"/>
      <c r="ETN916" s="1091"/>
      <c r="ETO916" s="1091"/>
      <c r="ETP916" s="1091"/>
      <c r="ETQ916" s="1091"/>
      <c r="ETR916" s="1091"/>
      <c r="ETS916" s="1091"/>
      <c r="ETT916" s="1091"/>
      <c r="ETU916" s="1091"/>
      <c r="ETV916" s="1091"/>
      <c r="ETW916" s="1091"/>
      <c r="ETX916" s="1091"/>
      <c r="ETY916" s="1091"/>
      <c r="ETZ916" s="1091"/>
      <c r="EUA916" s="1091"/>
      <c r="EUB916" s="1091"/>
      <c r="EUC916" s="1091"/>
      <c r="EUD916" s="1091"/>
      <c r="EUE916" s="1091"/>
      <c r="EUF916" s="1091"/>
      <c r="EUG916" s="1091"/>
      <c r="EUH916" s="1091"/>
      <c r="EUI916" s="1091"/>
      <c r="EUJ916" s="1091"/>
      <c r="EUK916" s="1091"/>
      <c r="EUL916" s="1091"/>
      <c r="EUM916" s="1091"/>
      <c r="EUN916" s="1091"/>
      <c r="EUO916" s="1091"/>
      <c r="EUP916" s="1091"/>
      <c r="EUQ916" s="1091"/>
      <c r="EUR916" s="1091"/>
      <c r="EUS916" s="1091"/>
      <c r="EUT916" s="1091"/>
      <c r="EUU916" s="1091"/>
      <c r="EUV916" s="1091"/>
      <c r="EUW916" s="1091"/>
      <c r="EUX916" s="1091"/>
      <c r="EUY916" s="1091"/>
      <c r="EUZ916" s="1091"/>
      <c r="EVA916" s="1091"/>
      <c r="EVB916" s="1091"/>
      <c r="EVC916" s="1091"/>
      <c r="EVD916" s="1091"/>
      <c r="EVE916" s="1091"/>
      <c r="EVF916" s="1091"/>
      <c r="EVG916" s="1091"/>
      <c r="EVH916" s="1091"/>
      <c r="EVI916" s="1091"/>
      <c r="EVJ916" s="1091"/>
      <c r="EVK916" s="1091"/>
      <c r="EVL916" s="1091"/>
      <c r="EVM916" s="1091"/>
      <c r="EVN916" s="1091"/>
      <c r="EVO916" s="1091"/>
      <c r="EVP916" s="1091"/>
      <c r="EVQ916" s="1091"/>
      <c r="EVR916" s="1091"/>
      <c r="EVS916" s="1091"/>
      <c r="EVT916" s="1091"/>
      <c r="EVU916" s="1091"/>
      <c r="EVV916" s="1091"/>
      <c r="EVW916" s="1091"/>
      <c r="EVX916" s="1091"/>
      <c r="EVY916" s="1091"/>
      <c r="EVZ916" s="1091"/>
      <c r="EWA916" s="1091"/>
      <c r="EWB916" s="1091"/>
      <c r="EWC916" s="1091"/>
      <c r="EWD916" s="1091"/>
      <c r="EWE916" s="1091"/>
      <c r="EWF916" s="1091"/>
      <c r="EWG916" s="1091"/>
      <c r="EWH916" s="1091"/>
      <c r="EWI916" s="1091"/>
      <c r="EWJ916" s="1091"/>
      <c r="EWK916" s="1091"/>
      <c r="EWL916" s="1091"/>
      <c r="EWM916" s="1091"/>
      <c r="EWN916" s="1091"/>
      <c r="EWO916" s="1091"/>
      <c r="EWP916" s="1091"/>
      <c r="EWQ916" s="1091"/>
      <c r="EWR916" s="1091"/>
      <c r="EWS916" s="1091"/>
      <c r="EWT916" s="1091"/>
      <c r="EWU916" s="1091"/>
      <c r="EWV916" s="1091"/>
      <c r="EWW916" s="1091"/>
      <c r="EWX916" s="1091"/>
      <c r="EWY916" s="1091"/>
      <c r="EWZ916" s="1091"/>
      <c r="EXA916" s="1091"/>
      <c r="EXB916" s="1091"/>
      <c r="EXC916" s="1091"/>
      <c r="EXD916" s="1091"/>
      <c r="EXE916" s="1091"/>
      <c r="EXF916" s="1091"/>
      <c r="EXG916" s="1091"/>
      <c r="EXH916" s="1091"/>
      <c r="EXI916" s="1091"/>
      <c r="EXJ916" s="1091"/>
      <c r="EXK916" s="1091"/>
      <c r="EXL916" s="1091"/>
      <c r="EXM916" s="1091"/>
      <c r="EXN916" s="1091"/>
      <c r="EXO916" s="1091"/>
      <c r="EXP916" s="1091"/>
      <c r="EXQ916" s="1091"/>
      <c r="EXR916" s="1091"/>
      <c r="EXS916" s="1091"/>
      <c r="EXT916" s="1091"/>
      <c r="EXU916" s="1091"/>
      <c r="EXV916" s="1091"/>
      <c r="EXW916" s="1091"/>
      <c r="EXX916" s="1091"/>
      <c r="EXY916" s="1091"/>
      <c r="EXZ916" s="1091"/>
      <c r="EYA916" s="1091"/>
      <c r="EYB916" s="1091"/>
      <c r="EYC916" s="1091"/>
      <c r="EYD916" s="1091"/>
      <c r="EYE916" s="1091"/>
      <c r="EYF916" s="1091"/>
      <c r="EYG916" s="1091"/>
      <c r="EYH916" s="1091"/>
      <c r="EYI916" s="1091"/>
      <c r="EYJ916" s="1091"/>
      <c r="EYK916" s="1091"/>
      <c r="EYL916" s="1091"/>
      <c r="EYM916" s="1091"/>
      <c r="EYN916" s="1091"/>
      <c r="EYO916" s="1091"/>
      <c r="EYP916" s="1091"/>
      <c r="EYQ916" s="1091"/>
      <c r="EYR916" s="1091"/>
      <c r="EYS916" s="1091"/>
      <c r="EYT916" s="1091"/>
      <c r="EYU916" s="1091"/>
      <c r="EYV916" s="1091"/>
      <c r="EYW916" s="1091"/>
      <c r="EYX916" s="1091"/>
      <c r="EYY916" s="1091"/>
      <c r="EYZ916" s="1091"/>
      <c r="EZA916" s="1091"/>
      <c r="EZB916" s="1091"/>
      <c r="EZC916" s="1091"/>
      <c r="EZD916" s="1091"/>
      <c r="EZE916" s="1091"/>
      <c r="EZF916" s="1091"/>
      <c r="EZG916" s="1091"/>
      <c r="EZH916" s="1091"/>
      <c r="EZI916" s="1091"/>
      <c r="EZJ916" s="1091"/>
      <c r="EZK916" s="1091"/>
      <c r="EZL916" s="1091"/>
      <c r="EZM916" s="1091"/>
      <c r="EZN916" s="1091"/>
      <c r="EZO916" s="1091"/>
      <c r="EZP916" s="1091"/>
      <c r="EZQ916" s="1091"/>
      <c r="EZR916" s="1091"/>
      <c r="EZS916" s="1091"/>
      <c r="EZT916" s="1091"/>
      <c r="EZU916" s="1091"/>
      <c r="EZV916" s="1091"/>
      <c r="EZW916" s="1091"/>
      <c r="EZX916" s="1091"/>
      <c r="EZY916" s="1091"/>
      <c r="EZZ916" s="1091"/>
      <c r="FAA916" s="1091"/>
      <c r="FAB916" s="1091"/>
      <c r="FAC916" s="1091"/>
      <c r="FAD916" s="1091"/>
      <c r="FAE916" s="1091"/>
      <c r="FAF916" s="1091"/>
      <c r="FAG916" s="1091"/>
      <c r="FAH916" s="1091"/>
      <c r="FAI916" s="1091"/>
      <c r="FAJ916" s="1091"/>
      <c r="FAK916" s="1091"/>
      <c r="FAL916" s="1091"/>
      <c r="FAM916" s="1091"/>
      <c r="FAN916" s="1091"/>
      <c r="FAO916" s="1091"/>
      <c r="FAP916" s="1091"/>
      <c r="FAQ916" s="1091"/>
      <c r="FAR916" s="1091"/>
      <c r="FAS916" s="1091"/>
      <c r="FAT916" s="1091"/>
      <c r="FAU916" s="1091"/>
      <c r="FAV916" s="1091"/>
      <c r="FAW916" s="1091"/>
      <c r="FAX916" s="1091"/>
      <c r="FAY916" s="1091"/>
      <c r="FAZ916" s="1091"/>
      <c r="FBA916" s="1091"/>
      <c r="FBB916" s="1091"/>
      <c r="FBC916" s="1091"/>
      <c r="FBD916" s="1091"/>
      <c r="FBE916" s="1091"/>
      <c r="FBF916" s="1091"/>
      <c r="FBG916" s="1091"/>
      <c r="FBH916" s="1091"/>
      <c r="FBI916" s="1091"/>
      <c r="FBJ916" s="1091"/>
      <c r="FBK916" s="1091"/>
      <c r="FBL916" s="1091"/>
      <c r="FBM916" s="1091"/>
      <c r="FBN916" s="1091"/>
      <c r="FBO916" s="1091"/>
      <c r="FBP916" s="1091"/>
      <c r="FBQ916" s="1091"/>
      <c r="FBR916" s="1091"/>
      <c r="FBS916" s="1091"/>
      <c r="FBT916" s="1091"/>
      <c r="FBU916" s="1091"/>
      <c r="FBV916" s="1091"/>
      <c r="FBW916" s="1091"/>
      <c r="FBX916" s="1091"/>
      <c r="FBY916" s="1091"/>
      <c r="FBZ916" s="1091"/>
      <c r="FCA916" s="1091"/>
      <c r="FCB916" s="1091"/>
      <c r="FCC916" s="1091"/>
      <c r="FCD916" s="1091"/>
      <c r="FCE916" s="1091"/>
      <c r="FCF916" s="1091"/>
      <c r="FCG916" s="1091"/>
      <c r="FCH916" s="1091"/>
      <c r="FCI916" s="1091"/>
      <c r="FCJ916" s="1091"/>
      <c r="FCK916" s="1091"/>
      <c r="FCL916" s="1091"/>
      <c r="FCM916" s="1091"/>
      <c r="FCN916" s="1091"/>
      <c r="FCO916" s="1091"/>
      <c r="FCP916" s="1091"/>
      <c r="FCQ916" s="1091"/>
      <c r="FCR916" s="1091"/>
      <c r="FCS916" s="1091"/>
      <c r="FCT916" s="1091"/>
      <c r="FCU916" s="1091"/>
      <c r="FCV916" s="1091"/>
      <c r="FCW916" s="1091"/>
      <c r="FCX916" s="1091"/>
      <c r="FCY916" s="1091"/>
      <c r="FCZ916" s="1091"/>
      <c r="FDA916" s="1091"/>
      <c r="FDB916" s="1091"/>
      <c r="FDC916" s="1091"/>
      <c r="FDD916" s="1091"/>
      <c r="FDE916" s="1091"/>
      <c r="FDF916" s="1091"/>
      <c r="FDG916" s="1091"/>
      <c r="FDH916" s="1091"/>
      <c r="FDI916" s="1091"/>
      <c r="FDJ916" s="1091"/>
      <c r="FDK916" s="1091"/>
      <c r="FDL916" s="1091"/>
      <c r="FDM916" s="1091"/>
      <c r="FDN916" s="1091"/>
      <c r="FDO916" s="1091"/>
      <c r="FDP916" s="1091"/>
      <c r="FDQ916" s="1091"/>
      <c r="FDR916" s="1091"/>
      <c r="FDS916" s="1091"/>
      <c r="FDT916" s="1091"/>
      <c r="FDU916" s="1091"/>
      <c r="FDV916" s="1091"/>
      <c r="FDW916" s="1091"/>
      <c r="FDX916" s="1091"/>
      <c r="FDY916" s="1091"/>
      <c r="FDZ916" s="1091"/>
      <c r="FEA916" s="1091"/>
      <c r="FEB916" s="1091"/>
      <c r="FEC916" s="1091"/>
      <c r="FED916" s="1091"/>
      <c r="FEE916" s="1091"/>
      <c r="FEF916" s="1091"/>
      <c r="FEG916" s="1091"/>
      <c r="FEH916" s="1091"/>
      <c r="FEI916" s="1091"/>
      <c r="FEJ916" s="1091"/>
      <c r="FEK916" s="1091"/>
      <c r="FEL916" s="1091"/>
      <c r="FEM916" s="1091"/>
      <c r="FEN916" s="1091"/>
      <c r="FEO916" s="1091"/>
      <c r="FEP916" s="1091"/>
      <c r="FEQ916" s="1091"/>
      <c r="FER916" s="1091"/>
      <c r="FES916" s="1091"/>
      <c r="FET916" s="1091"/>
      <c r="FEU916" s="1091"/>
      <c r="FEV916" s="1091"/>
      <c r="FEW916" s="1091"/>
      <c r="FEX916" s="1091"/>
      <c r="FEY916" s="1091"/>
      <c r="FEZ916" s="1091"/>
      <c r="FFA916" s="1091"/>
      <c r="FFB916" s="1091"/>
      <c r="FFC916" s="1091"/>
      <c r="FFD916" s="1091"/>
      <c r="FFE916" s="1091"/>
      <c r="FFF916" s="1091"/>
      <c r="FFG916" s="1091"/>
      <c r="FFH916" s="1091"/>
      <c r="FFI916" s="1091"/>
      <c r="FFJ916" s="1091"/>
      <c r="FFK916" s="1091"/>
      <c r="FFL916" s="1091"/>
      <c r="FFM916" s="1091"/>
      <c r="FFN916" s="1091"/>
      <c r="FFO916" s="1091"/>
      <c r="FFP916" s="1091"/>
      <c r="FFQ916" s="1091"/>
      <c r="FFR916" s="1091"/>
      <c r="FFS916" s="1091"/>
      <c r="FFT916" s="1091"/>
      <c r="FFU916" s="1091"/>
      <c r="FFV916" s="1091"/>
      <c r="FFW916" s="1091"/>
      <c r="FFX916" s="1091"/>
      <c r="FFY916" s="1091"/>
      <c r="FFZ916" s="1091"/>
      <c r="FGA916" s="1091"/>
      <c r="FGB916" s="1091"/>
      <c r="FGC916" s="1091"/>
      <c r="FGD916" s="1091"/>
      <c r="FGE916" s="1091"/>
      <c r="FGF916" s="1091"/>
      <c r="FGG916" s="1091"/>
      <c r="FGH916" s="1091"/>
      <c r="FGI916" s="1091"/>
      <c r="FGJ916" s="1091"/>
      <c r="FGK916" s="1091"/>
      <c r="FGL916" s="1091"/>
      <c r="FGM916" s="1091"/>
      <c r="FGN916" s="1091"/>
      <c r="FGO916" s="1091"/>
      <c r="FGP916" s="1091"/>
      <c r="FGQ916" s="1091"/>
      <c r="FGR916" s="1091"/>
      <c r="FGS916" s="1091"/>
      <c r="FGT916" s="1091"/>
      <c r="FGU916" s="1091"/>
      <c r="FGV916" s="1091"/>
      <c r="FGW916" s="1091"/>
      <c r="FGX916" s="1091"/>
      <c r="FGY916" s="1091"/>
      <c r="FGZ916" s="1091"/>
      <c r="FHA916" s="1091"/>
      <c r="FHB916" s="1091"/>
      <c r="FHC916" s="1091"/>
      <c r="FHD916" s="1091"/>
      <c r="FHE916" s="1091"/>
      <c r="FHF916" s="1091"/>
      <c r="FHG916" s="1091"/>
      <c r="FHH916" s="1091"/>
      <c r="FHI916" s="1091"/>
      <c r="FHJ916" s="1091"/>
      <c r="FHK916" s="1091"/>
      <c r="FHL916" s="1091"/>
      <c r="FHM916" s="1091"/>
      <c r="FHN916" s="1091"/>
      <c r="FHO916" s="1091"/>
      <c r="FHP916" s="1091"/>
      <c r="FHQ916" s="1091"/>
      <c r="FHR916" s="1091"/>
      <c r="FHS916" s="1091"/>
      <c r="FHT916" s="1091"/>
      <c r="FHU916" s="1091"/>
      <c r="FHV916" s="1091"/>
      <c r="FHW916" s="1091"/>
      <c r="FHX916" s="1091"/>
      <c r="FHY916" s="1091"/>
      <c r="FHZ916" s="1091"/>
      <c r="FIA916" s="1091"/>
      <c r="FIB916" s="1091"/>
      <c r="FIC916" s="1091"/>
      <c r="FID916" s="1091"/>
      <c r="FIE916" s="1091"/>
      <c r="FIF916" s="1091"/>
      <c r="FIG916" s="1091"/>
      <c r="FIH916" s="1091"/>
      <c r="FII916" s="1091"/>
      <c r="FIJ916" s="1091"/>
      <c r="FIK916" s="1091"/>
      <c r="FIL916" s="1091"/>
      <c r="FIM916" s="1091"/>
      <c r="FIN916" s="1091"/>
      <c r="FIO916" s="1091"/>
      <c r="FIP916" s="1091"/>
      <c r="FIQ916" s="1091"/>
      <c r="FIR916" s="1091"/>
      <c r="FIS916" s="1091"/>
      <c r="FIT916" s="1091"/>
      <c r="FIU916" s="1091"/>
      <c r="FIV916" s="1091"/>
      <c r="FIW916" s="1091"/>
      <c r="FIX916" s="1091"/>
      <c r="FIY916" s="1091"/>
      <c r="FIZ916" s="1091"/>
      <c r="FJA916" s="1091"/>
      <c r="FJB916" s="1091"/>
      <c r="FJC916" s="1091"/>
      <c r="FJD916" s="1091"/>
      <c r="FJE916" s="1091"/>
      <c r="FJF916" s="1091"/>
      <c r="FJG916" s="1091"/>
      <c r="FJH916" s="1091"/>
      <c r="FJI916" s="1091"/>
      <c r="FJJ916" s="1091"/>
      <c r="FJK916" s="1091"/>
      <c r="FJL916" s="1091"/>
      <c r="FJM916" s="1091"/>
      <c r="FJN916" s="1091"/>
      <c r="FJO916" s="1091"/>
      <c r="FJP916" s="1091"/>
      <c r="FJQ916" s="1091"/>
      <c r="FJR916" s="1091"/>
      <c r="FJS916" s="1091"/>
      <c r="FJT916" s="1091"/>
      <c r="FJU916" s="1091"/>
      <c r="FJV916" s="1091"/>
      <c r="FJW916" s="1091"/>
      <c r="FJX916" s="1091"/>
      <c r="FJY916" s="1091"/>
      <c r="FJZ916" s="1091"/>
      <c r="FKA916" s="1091"/>
      <c r="FKB916" s="1091"/>
      <c r="FKC916" s="1091"/>
      <c r="FKD916" s="1091"/>
      <c r="FKE916" s="1091"/>
      <c r="FKF916" s="1091"/>
      <c r="FKG916" s="1091"/>
      <c r="FKH916" s="1091"/>
      <c r="FKI916" s="1091"/>
      <c r="FKJ916" s="1091"/>
      <c r="FKK916" s="1091"/>
      <c r="FKL916" s="1091"/>
      <c r="FKM916" s="1091"/>
      <c r="FKN916" s="1091"/>
      <c r="FKO916" s="1091"/>
      <c r="FKP916" s="1091"/>
      <c r="FKQ916" s="1091"/>
      <c r="FKR916" s="1091"/>
      <c r="FKS916" s="1091"/>
      <c r="FKT916" s="1091"/>
      <c r="FKU916" s="1091"/>
      <c r="FKV916" s="1091"/>
      <c r="FKW916" s="1091"/>
      <c r="FKX916" s="1091"/>
      <c r="FKY916" s="1091"/>
      <c r="FKZ916" s="1091"/>
      <c r="FLA916" s="1091"/>
      <c r="FLB916" s="1091"/>
      <c r="FLC916" s="1091"/>
      <c r="FLD916" s="1091"/>
      <c r="FLE916" s="1091"/>
      <c r="FLF916" s="1091"/>
      <c r="FLG916" s="1091"/>
      <c r="FLH916" s="1091"/>
      <c r="FLI916" s="1091"/>
      <c r="FLJ916" s="1091"/>
      <c r="FLK916" s="1091"/>
      <c r="FLL916" s="1091"/>
      <c r="FLM916" s="1091"/>
      <c r="FLN916" s="1091"/>
      <c r="FLO916" s="1091"/>
      <c r="FLP916" s="1091"/>
      <c r="FLQ916" s="1091"/>
      <c r="FLR916" s="1091"/>
      <c r="FLS916" s="1091"/>
      <c r="FLT916" s="1091"/>
      <c r="FLU916" s="1091"/>
      <c r="FLV916" s="1091"/>
      <c r="FLW916" s="1091"/>
      <c r="FLX916" s="1091"/>
      <c r="FLY916" s="1091"/>
      <c r="FLZ916" s="1091"/>
      <c r="FMA916" s="1091"/>
      <c r="FMB916" s="1091"/>
      <c r="FMC916" s="1091"/>
      <c r="FMD916" s="1091"/>
      <c r="FME916" s="1091"/>
      <c r="FMF916" s="1091"/>
      <c r="FMG916" s="1091"/>
      <c r="FMH916" s="1091"/>
      <c r="FMI916" s="1091"/>
      <c r="FMJ916" s="1091"/>
      <c r="FMK916" s="1091"/>
      <c r="FML916" s="1091"/>
      <c r="FMM916" s="1091"/>
      <c r="FMN916" s="1091"/>
      <c r="FMO916" s="1091"/>
      <c r="FMP916" s="1091"/>
      <c r="FMQ916" s="1091"/>
      <c r="FMR916" s="1091"/>
      <c r="FMS916" s="1091"/>
      <c r="FMT916" s="1091"/>
      <c r="FMU916" s="1091"/>
      <c r="FMV916" s="1091"/>
      <c r="FMW916" s="1091"/>
      <c r="FMX916" s="1091"/>
      <c r="FMY916" s="1091"/>
      <c r="FMZ916" s="1091"/>
      <c r="FNA916" s="1091"/>
      <c r="FNB916" s="1091"/>
      <c r="FNC916" s="1091"/>
      <c r="FND916" s="1091"/>
      <c r="FNE916" s="1091"/>
      <c r="FNF916" s="1091"/>
      <c r="FNG916" s="1091"/>
      <c r="FNH916" s="1091"/>
      <c r="FNI916" s="1091"/>
      <c r="FNJ916" s="1091"/>
      <c r="FNK916" s="1091"/>
      <c r="FNL916" s="1091"/>
      <c r="FNM916" s="1091"/>
      <c r="FNN916" s="1091"/>
      <c r="FNO916" s="1091"/>
      <c r="FNP916" s="1091"/>
      <c r="FNQ916" s="1091"/>
      <c r="FNR916" s="1091"/>
      <c r="FNS916" s="1091"/>
      <c r="FNT916" s="1091"/>
      <c r="FNU916" s="1091"/>
      <c r="FNV916" s="1091"/>
      <c r="FNW916" s="1091"/>
      <c r="FNX916" s="1091"/>
      <c r="FNY916" s="1091"/>
      <c r="FNZ916" s="1091"/>
      <c r="FOA916" s="1091"/>
      <c r="FOB916" s="1091"/>
      <c r="FOC916" s="1091"/>
      <c r="FOD916" s="1091"/>
      <c r="FOE916" s="1091"/>
      <c r="FOF916" s="1091"/>
      <c r="FOG916" s="1091"/>
      <c r="FOH916" s="1091"/>
      <c r="FOI916" s="1091"/>
      <c r="FOJ916" s="1091"/>
      <c r="FOK916" s="1091"/>
      <c r="FOL916" s="1091"/>
      <c r="FOM916" s="1091"/>
      <c r="FON916" s="1091"/>
      <c r="FOO916" s="1091"/>
      <c r="FOP916" s="1091"/>
      <c r="FOQ916" s="1091"/>
      <c r="FOR916" s="1091"/>
      <c r="FOS916" s="1091"/>
      <c r="FOT916" s="1091"/>
      <c r="FOU916" s="1091"/>
      <c r="FOV916" s="1091"/>
      <c r="FOW916" s="1091"/>
      <c r="FOX916" s="1091"/>
      <c r="FOY916" s="1091"/>
      <c r="FOZ916" s="1091"/>
      <c r="FPA916" s="1091"/>
      <c r="FPB916" s="1091"/>
      <c r="FPC916" s="1091"/>
      <c r="FPD916" s="1091"/>
      <c r="FPE916" s="1091"/>
      <c r="FPF916" s="1091"/>
      <c r="FPG916" s="1091"/>
      <c r="FPH916" s="1091"/>
      <c r="FPI916" s="1091"/>
      <c r="FPJ916" s="1091"/>
      <c r="FPK916" s="1091"/>
      <c r="FPL916" s="1091"/>
      <c r="FPM916" s="1091"/>
      <c r="FPN916" s="1091"/>
      <c r="FPO916" s="1091"/>
      <c r="FPP916" s="1091"/>
      <c r="FPQ916" s="1091"/>
      <c r="FPR916" s="1091"/>
      <c r="FPS916" s="1091"/>
      <c r="FPT916" s="1091"/>
      <c r="FPU916" s="1091"/>
      <c r="FPV916" s="1091"/>
      <c r="FPW916" s="1091"/>
      <c r="FPX916" s="1091"/>
      <c r="FPY916" s="1091"/>
      <c r="FPZ916" s="1091"/>
      <c r="FQA916" s="1091"/>
      <c r="FQB916" s="1091"/>
      <c r="FQC916" s="1091"/>
      <c r="FQD916" s="1091"/>
      <c r="FQE916" s="1091"/>
      <c r="FQF916" s="1091"/>
      <c r="FQG916" s="1091"/>
      <c r="FQH916" s="1091"/>
      <c r="FQI916" s="1091"/>
      <c r="FQJ916" s="1091"/>
      <c r="FQK916" s="1091"/>
      <c r="FQL916" s="1091"/>
      <c r="FQM916" s="1091"/>
      <c r="FQN916" s="1091"/>
      <c r="FQO916" s="1091"/>
      <c r="FQP916" s="1091"/>
      <c r="FQQ916" s="1091"/>
      <c r="FQR916" s="1091"/>
      <c r="FQS916" s="1091"/>
      <c r="FQT916" s="1091"/>
      <c r="FQU916" s="1091"/>
      <c r="FQV916" s="1091"/>
      <c r="FQW916" s="1091"/>
      <c r="FQX916" s="1091"/>
      <c r="FQY916" s="1091"/>
      <c r="FQZ916" s="1091"/>
      <c r="FRA916" s="1091"/>
      <c r="FRB916" s="1091"/>
      <c r="FRC916" s="1091"/>
      <c r="FRD916" s="1091"/>
      <c r="FRE916" s="1091"/>
      <c r="FRF916" s="1091"/>
      <c r="FRG916" s="1091"/>
      <c r="FRH916" s="1091"/>
      <c r="FRI916" s="1091"/>
      <c r="FRJ916" s="1091"/>
      <c r="FRK916" s="1091"/>
      <c r="FRL916" s="1091"/>
      <c r="FRM916" s="1091"/>
      <c r="FRN916" s="1091"/>
      <c r="FRO916" s="1091"/>
      <c r="FRP916" s="1091"/>
      <c r="FRQ916" s="1091"/>
      <c r="FRR916" s="1091"/>
      <c r="FRS916" s="1091"/>
      <c r="FRT916" s="1091"/>
      <c r="FRU916" s="1091"/>
      <c r="FRV916" s="1091"/>
      <c r="FRW916" s="1091"/>
      <c r="FRX916" s="1091"/>
      <c r="FRY916" s="1091"/>
      <c r="FRZ916" s="1091"/>
      <c r="FSA916" s="1091"/>
      <c r="FSB916" s="1091"/>
      <c r="FSC916" s="1091"/>
      <c r="FSD916" s="1091"/>
      <c r="FSE916" s="1091"/>
      <c r="FSF916" s="1091"/>
      <c r="FSG916" s="1091"/>
      <c r="FSH916" s="1091"/>
      <c r="FSI916" s="1091"/>
      <c r="FSJ916" s="1091"/>
      <c r="FSK916" s="1091"/>
      <c r="FSL916" s="1091"/>
      <c r="FSM916" s="1091"/>
      <c r="FSN916" s="1091"/>
      <c r="FSO916" s="1091"/>
      <c r="FSP916" s="1091"/>
      <c r="FSQ916" s="1091"/>
      <c r="FSR916" s="1091"/>
      <c r="FSS916" s="1091"/>
      <c r="FST916" s="1091"/>
      <c r="FSU916" s="1091"/>
      <c r="FSV916" s="1091"/>
      <c r="FSW916" s="1091"/>
      <c r="FSX916" s="1091"/>
      <c r="FSY916" s="1091"/>
      <c r="FSZ916" s="1091"/>
      <c r="FTA916" s="1091"/>
      <c r="FTB916" s="1091"/>
      <c r="FTC916" s="1091"/>
      <c r="FTD916" s="1091"/>
      <c r="FTE916" s="1091"/>
      <c r="FTF916" s="1091"/>
      <c r="FTG916" s="1091"/>
      <c r="FTH916" s="1091"/>
      <c r="FTI916" s="1091"/>
      <c r="FTJ916" s="1091"/>
      <c r="FTK916" s="1091"/>
      <c r="FTL916" s="1091"/>
      <c r="FTM916" s="1091"/>
      <c r="FTN916" s="1091"/>
      <c r="FTO916" s="1091"/>
      <c r="FTP916" s="1091"/>
      <c r="FTQ916" s="1091"/>
      <c r="FTR916" s="1091"/>
      <c r="FTS916" s="1091"/>
      <c r="FTT916" s="1091"/>
      <c r="FTU916" s="1091"/>
      <c r="FTV916" s="1091"/>
      <c r="FTW916" s="1091"/>
      <c r="FTX916" s="1091"/>
      <c r="FTY916" s="1091"/>
      <c r="FTZ916" s="1091"/>
      <c r="FUA916" s="1091"/>
      <c r="FUB916" s="1091"/>
      <c r="FUC916" s="1091"/>
      <c r="FUD916" s="1091"/>
      <c r="FUE916" s="1091"/>
      <c r="FUF916" s="1091"/>
      <c r="FUG916" s="1091"/>
      <c r="FUH916" s="1091"/>
      <c r="FUI916" s="1091"/>
      <c r="FUJ916" s="1091"/>
      <c r="FUK916" s="1091"/>
      <c r="FUL916" s="1091"/>
      <c r="FUM916" s="1091"/>
      <c r="FUN916" s="1091"/>
      <c r="FUO916" s="1091"/>
      <c r="FUP916" s="1091"/>
      <c r="FUQ916" s="1091"/>
      <c r="FUR916" s="1091"/>
      <c r="FUS916" s="1091"/>
      <c r="FUT916" s="1091"/>
      <c r="FUU916" s="1091"/>
      <c r="FUV916" s="1091"/>
      <c r="FUW916" s="1091"/>
      <c r="FUX916" s="1091"/>
      <c r="FUY916" s="1091"/>
      <c r="FUZ916" s="1091"/>
      <c r="FVA916" s="1091"/>
      <c r="FVB916" s="1091"/>
      <c r="FVC916" s="1091"/>
      <c r="FVD916" s="1091"/>
      <c r="FVE916" s="1091"/>
      <c r="FVF916" s="1091"/>
      <c r="FVG916" s="1091"/>
      <c r="FVH916" s="1091"/>
      <c r="FVI916" s="1091"/>
      <c r="FVJ916" s="1091"/>
      <c r="FVK916" s="1091"/>
      <c r="FVL916" s="1091"/>
      <c r="FVM916" s="1091"/>
      <c r="FVN916" s="1091"/>
      <c r="FVO916" s="1091"/>
      <c r="FVP916" s="1091"/>
      <c r="FVQ916" s="1091"/>
      <c r="FVR916" s="1091"/>
      <c r="FVS916" s="1091"/>
      <c r="FVT916" s="1091"/>
      <c r="FVU916" s="1091"/>
      <c r="FVV916" s="1091"/>
      <c r="FVW916" s="1091"/>
      <c r="FVX916" s="1091"/>
      <c r="FVY916" s="1091"/>
      <c r="FVZ916" s="1091"/>
      <c r="FWA916" s="1091"/>
      <c r="FWB916" s="1091"/>
      <c r="FWC916" s="1091"/>
      <c r="FWD916" s="1091"/>
      <c r="FWE916" s="1091"/>
      <c r="FWF916" s="1091"/>
      <c r="FWG916" s="1091"/>
      <c r="FWH916" s="1091"/>
      <c r="FWI916" s="1091"/>
      <c r="FWJ916" s="1091"/>
      <c r="FWK916" s="1091"/>
      <c r="FWL916" s="1091"/>
      <c r="FWM916" s="1091"/>
      <c r="FWN916" s="1091"/>
      <c r="FWO916" s="1091"/>
      <c r="FWP916" s="1091"/>
      <c r="FWQ916" s="1091"/>
      <c r="FWR916" s="1091"/>
      <c r="FWS916" s="1091"/>
      <c r="FWT916" s="1091"/>
      <c r="FWU916" s="1091"/>
      <c r="FWV916" s="1091"/>
      <c r="FWW916" s="1091"/>
      <c r="FWX916" s="1091"/>
      <c r="FWY916" s="1091"/>
      <c r="FWZ916" s="1091"/>
      <c r="FXA916" s="1091"/>
      <c r="FXB916" s="1091"/>
      <c r="FXC916" s="1091"/>
      <c r="FXD916" s="1091"/>
      <c r="FXE916" s="1091"/>
      <c r="FXF916" s="1091"/>
      <c r="FXG916" s="1091"/>
      <c r="FXH916" s="1091"/>
      <c r="FXI916" s="1091"/>
      <c r="FXJ916" s="1091"/>
      <c r="FXK916" s="1091"/>
      <c r="FXL916" s="1091"/>
      <c r="FXM916" s="1091"/>
      <c r="FXN916" s="1091"/>
      <c r="FXO916" s="1091"/>
      <c r="FXP916" s="1091"/>
      <c r="FXQ916" s="1091"/>
      <c r="FXR916" s="1091"/>
      <c r="FXS916" s="1091"/>
      <c r="FXT916" s="1091"/>
      <c r="FXU916" s="1091"/>
      <c r="FXV916" s="1091"/>
      <c r="FXW916" s="1091"/>
      <c r="FXX916" s="1091"/>
      <c r="FXY916" s="1091"/>
      <c r="FXZ916" s="1091"/>
      <c r="FYA916" s="1091"/>
      <c r="FYB916" s="1091"/>
      <c r="FYC916" s="1091"/>
      <c r="FYD916" s="1091"/>
      <c r="FYE916" s="1091"/>
      <c r="FYF916" s="1091"/>
      <c r="FYG916" s="1091"/>
      <c r="FYH916" s="1091"/>
      <c r="FYI916" s="1091"/>
      <c r="FYJ916" s="1091"/>
      <c r="FYK916" s="1091"/>
      <c r="FYL916" s="1091"/>
      <c r="FYM916" s="1091"/>
      <c r="FYN916" s="1091"/>
      <c r="FYO916" s="1091"/>
      <c r="FYP916" s="1091"/>
      <c r="FYQ916" s="1091"/>
      <c r="FYR916" s="1091"/>
      <c r="FYS916" s="1091"/>
      <c r="FYT916" s="1091"/>
      <c r="FYU916" s="1091"/>
      <c r="FYV916" s="1091"/>
      <c r="FYW916" s="1091"/>
      <c r="FYX916" s="1091"/>
      <c r="FYY916" s="1091"/>
      <c r="FYZ916" s="1091"/>
      <c r="FZA916" s="1091"/>
      <c r="FZB916" s="1091"/>
      <c r="FZC916" s="1091"/>
      <c r="FZD916" s="1091"/>
      <c r="FZE916" s="1091"/>
      <c r="FZF916" s="1091"/>
      <c r="FZG916" s="1091"/>
      <c r="FZH916" s="1091"/>
      <c r="FZI916" s="1091"/>
      <c r="FZJ916" s="1091"/>
      <c r="FZK916" s="1091"/>
      <c r="FZL916" s="1091"/>
      <c r="FZM916" s="1091"/>
      <c r="FZN916" s="1091"/>
      <c r="FZO916" s="1091"/>
      <c r="FZP916" s="1091"/>
      <c r="FZQ916" s="1091"/>
      <c r="FZR916" s="1091"/>
      <c r="FZS916" s="1091"/>
      <c r="FZT916" s="1091"/>
      <c r="FZU916" s="1091"/>
      <c r="FZV916" s="1091"/>
      <c r="FZW916" s="1091"/>
      <c r="FZX916" s="1091"/>
      <c r="FZY916" s="1091"/>
      <c r="FZZ916" s="1091"/>
      <c r="GAA916" s="1091"/>
      <c r="GAB916" s="1091"/>
      <c r="GAC916" s="1091"/>
      <c r="GAD916" s="1091"/>
      <c r="GAE916" s="1091"/>
      <c r="GAF916" s="1091"/>
      <c r="GAG916" s="1091"/>
      <c r="GAH916" s="1091"/>
      <c r="GAI916" s="1091"/>
      <c r="GAJ916" s="1091"/>
      <c r="GAK916" s="1091"/>
      <c r="GAL916" s="1091"/>
      <c r="GAM916" s="1091"/>
      <c r="GAN916" s="1091"/>
      <c r="GAO916" s="1091"/>
      <c r="GAP916" s="1091"/>
      <c r="GAQ916" s="1091"/>
      <c r="GAR916" s="1091"/>
      <c r="GAS916" s="1091"/>
      <c r="GAT916" s="1091"/>
      <c r="GAU916" s="1091"/>
      <c r="GAV916" s="1091"/>
      <c r="GAW916" s="1091"/>
      <c r="GAX916" s="1091"/>
      <c r="GAY916" s="1091"/>
      <c r="GAZ916" s="1091"/>
      <c r="GBA916" s="1091"/>
      <c r="GBB916" s="1091"/>
      <c r="GBC916" s="1091"/>
      <c r="GBD916" s="1091"/>
      <c r="GBE916" s="1091"/>
      <c r="GBF916" s="1091"/>
      <c r="GBG916" s="1091"/>
      <c r="GBH916" s="1091"/>
      <c r="GBI916" s="1091"/>
      <c r="GBJ916" s="1091"/>
      <c r="GBK916" s="1091"/>
      <c r="GBL916" s="1091"/>
      <c r="GBM916" s="1091"/>
      <c r="GBN916" s="1091"/>
      <c r="GBO916" s="1091"/>
      <c r="GBP916" s="1091"/>
      <c r="GBQ916" s="1091"/>
      <c r="GBR916" s="1091"/>
      <c r="GBS916" s="1091"/>
      <c r="GBT916" s="1091"/>
      <c r="GBU916" s="1091"/>
      <c r="GBV916" s="1091"/>
      <c r="GBW916" s="1091"/>
      <c r="GBX916" s="1091"/>
      <c r="GBY916" s="1091"/>
      <c r="GBZ916" s="1091"/>
      <c r="GCA916" s="1091"/>
      <c r="GCB916" s="1091"/>
      <c r="GCC916" s="1091"/>
      <c r="GCD916" s="1091"/>
      <c r="GCE916" s="1091"/>
      <c r="GCF916" s="1091"/>
      <c r="GCG916" s="1091"/>
      <c r="GCH916" s="1091"/>
      <c r="GCI916" s="1091"/>
      <c r="GCJ916" s="1091"/>
      <c r="GCK916" s="1091"/>
      <c r="GCL916" s="1091"/>
      <c r="GCM916" s="1091"/>
      <c r="GCN916" s="1091"/>
      <c r="GCO916" s="1091"/>
      <c r="GCP916" s="1091"/>
      <c r="GCQ916" s="1091"/>
      <c r="GCR916" s="1091"/>
      <c r="GCS916" s="1091"/>
      <c r="GCT916" s="1091"/>
      <c r="GCU916" s="1091"/>
      <c r="GCV916" s="1091"/>
      <c r="GCW916" s="1091"/>
      <c r="GCX916" s="1091"/>
      <c r="GCY916" s="1091"/>
      <c r="GCZ916" s="1091"/>
      <c r="GDA916" s="1091"/>
      <c r="GDB916" s="1091"/>
      <c r="GDC916" s="1091"/>
      <c r="GDD916" s="1091"/>
      <c r="GDE916" s="1091"/>
      <c r="GDF916" s="1091"/>
      <c r="GDG916" s="1091"/>
      <c r="GDH916" s="1091"/>
      <c r="GDI916" s="1091"/>
      <c r="GDJ916" s="1091"/>
      <c r="GDK916" s="1091"/>
      <c r="GDL916" s="1091"/>
      <c r="GDM916" s="1091"/>
      <c r="GDN916" s="1091"/>
      <c r="GDO916" s="1091"/>
      <c r="GDP916" s="1091"/>
      <c r="GDQ916" s="1091"/>
      <c r="GDR916" s="1091"/>
      <c r="GDS916" s="1091"/>
      <c r="GDT916" s="1091"/>
      <c r="GDU916" s="1091"/>
      <c r="GDV916" s="1091"/>
      <c r="GDW916" s="1091"/>
      <c r="GDX916" s="1091"/>
      <c r="GDY916" s="1091"/>
      <c r="GDZ916" s="1091"/>
      <c r="GEA916" s="1091"/>
      <c r="GEB916" s="1091"/>
      <c r="GEC916" s="1091"/>
      <c r="GED916" s="1091"/>
      <c r="GEE916" s="1091"/>
      <c r="GEF916" s="1091"/>
      <c r="GEG916" s="1091"/>
      <c r="GEH916" s="1091"/>
      <c r="GEI916" s="1091"/>
      <c r="GEJ916" s="1091"/>
      <c r="GEK916" s="1091"/>
      <c r="GEL916" s="1091"/>
      <c r="GEM916" s="1091"/>
      <c r="GEN916" s="1091"/>
      <c r="GEO916" s="1091"/>
      <c r="GEP916" s="1091"/>
      <c r="GEQ916" s="1091"/>
      <c r="GER916" s="1091"/>
      <c r="GES916" s="1091"/>
      <c r="GET916" s="1091"/>
      <c r="GEU916" s="1091"/>
      <c r="GEV916" s="1091"/>
      <c r="GEW916" s="1091"/>
      <c r="GEX916" s="1091"/>
      <c r="GEY916" s="1091"/>
      <c r="GEZ916" s="1091"/>
      <c r="GFA916" s="1091"/>
      <c r="GFB916" s="1091"/>
      <c r="GFC916" s="1091"/>
      <c r="GFD916" s="1091"/>
      <c r="GFE916" s="1091"/>
      <c r="GFF916" s="1091"/>
      <c r="GFG916" s="1091"/>
      <c r="GFH916" s="1091"/>
      <c r="GFI916" s="1091"/>
      <c r="GFJ916" s="1091"/>
      <c r="GFK916" s="1091"/>
      <c r="GFL916" s="1091"/>
      <c r="GFM916" s="1091"/>
      <c r="GFN916" s="1091"/>
      <c r="GFO916" s="1091"/>
      <c r="GFP916" s="1091"/>
      <c r="GFQ916" s="1091"/>
      <c r="GFR916" s="1091"/>
      <c r="GFS916" s="1091"/>
      <c r="GFT916" s="1091"/>
      <c r="GFU916" s="1091"/>
      <c r="GFV916" s="1091"/>
      <c r="GFW916" s="1091"/>
      <c r="GFX916" s="1091"/>
      <c r="GFY916" s="1091"/>
      <c r="GFZ916" s="1091"/>
      <c r="GGA916" s="1091"/>
      <c r="GGB916" s="1091"/>
      <c r="GGC916" s="1091"/>
      <c r="GGD916" s="1091"/>
      <c r="GGE916" s="1091"/>
      <c r="GGF916" s="1091"/>
      <c r="GGG916" s="1091"/>
      <c r="GGH916" s="1091"/>
      <c r="GGI916" s="1091"/>
      <c r="GGJ916" s="1091"/>
      <c r="GGK916" s="1091"/>
      <c r="GGL916" s="1091"/>
      <c r="GGM916" s="1091"/>
      <c r="GGN916" s="1091"/>
      <c r="GGO916" s="1091"/>
      <c r="GGP916" s="1091"/>
      <c r="GGQ916" s="1091"/>
      <c r="GGR916" s="1091"/>
      <c r="GGS916" s="1091"/>
      <c r="GGT916" s="1091"/>
      <c r="GGU916" s="1091"/>
      <c r="GGV916" s="1091"/>
      <c r="GGW916" s="1091"/>
      <c r="GGX916" s="1091"/>
      <c r="GGY916" s="1091"/>
      <c r="GGZ916" s="1091"/>
      <c r="GHA916" s="1091"/>
      <c r="GHB916" s="1091"/>
      <c r="GHC916" s="1091"/>
      <c r="GHD916" s="1091"/>
      <c r="GHE916" s="1091"/>
      <c r="GHF916" s="1091"/>
      <c r="GHG916" s="1091"/>
      <c r="GHH916" s="1091"/>
      <c r="GHI916" s="1091"/>
      <c r="GHJ916" s="1091"/>
      <c r="GHK916" s="1091"/>
      <c r="GHL916" s="1091"/>
      <c r="GHM916" s="1091"/>
      <c r="GHN916" s="1091"/>
      <c r="GHO916" s="1091"/>
      <c r="GHP916" s="1091"/>
      <c r="GHQ916" s="1091"/>
      <c r="GHR916" s="1091"/>
      <c r="GHS916" s="1091"/>
      <c r="GHT916" s="1091"/>
      <c r="GHU916" s="1091"/>
      <c r="GHV916" s="1091"/>
      <c r="GHW916" s="1091"/>
      <c r="GHX916" s="1091"/>
      <c r="GHY916" s="1091"/>
      <c r="GHZ916" s="1091"/>
      <c r="GIA916" s="1091"/>
      <c r="GIB916" s="1091"/>
      <c r="GIC916" s="1091"/>
      <c r="GID916" s="1091"/>
      <c r="GIE916" s="1091"/>
      <c r="GIF916" s="1091"/>
      <c r="GIG916" s="1091"/>
      <c r="GIH916" s="1091"/>
      <c r="GII916" s="1091"/>
      <c r="GIJ916" s="1091"/>
      <c r="GIK916" s="1091"/>
      <c r="GIL916" s="1091"/>
      <c r="GIM916" s="1091"/>
      <c r="GIN916" s="1091"/>
      <c r="GIO916" s="1091"/>
      <c r="GIP916" s="1091"/>
      <c r="GIQ916" s="1091"/>
      <c r="GIR916" s="1091"/>
      <c r="GIS916" s="1091"/>
      <c r="GIT916" s="1091"/>
      <c r="GIU916" s="1091"/>
      <c r="GIV916" s="1091"/>
      <c r="GIW916" s="1091"/>
      <c r="GIX916" s="1091"/>
      <c r="GIY916" s="1091"/>
      <c r="GIZ916" s="1091"/>
      <c r="GJA916" s="1091"/>
      <c r="GJB916" s="1091"/>
      <c r="GJC916" s="1091"/>
      <c r="GJD916" s="1091"/>
      <c r="GJE916" s="1091"/>
      <c r="GJF916" s="1091"/>
      <c r="GJG916" s="1091"/>
      <c r="GJH916" s="1091"/>
      <c r="GJI916" s="1091"/>
      <c r="GJJ916" s="1091"/>
      <c r="GJK916" s="1091"/>
      <c r="GJL916" s="1091"/>
      <c r="GJM916" s="1091"/>
      <c r="GJN916" s="1091"/>
      <c r="GJO916" s="1091"/>
      <c r="GJP916" s="1091"/>
      <c r="GJQ916" s="1091"/>
      <c r="GJR916" s="1091"/>
      <c r="GJS916" s="1091"/>
      <c r="GJT916" s="1091"/>
      <c r="GJU916" s="1091"/>
      <c r="GJV916" s="1091"/>
      <c r="GJW916" s="1091"/>
      <c r="GJX916" s="1091"/>
      <c r="GJY916" s="1091"/>
      <c r="GJZ916" s="1091"/>
      <c r="GKA916" s="1091"/>
      <c r="GKB916" s="1091"/>
      <c r="GKC916" s="1091"/>
      <c r="GKD916" s="1091"/>
      <c r="GKE916" s="1091"/>
      <c r="GKF916" s="1091"/>
      <c r="GKG916" s="1091"/>
      <c r="GKH916" s="1091"/>
      <c r="GKI916" s="1091"/>
      <c r="GKJ916" s="1091"/>
      <c r="GKK916" s="1091"/>
      <c r="GKL916" s="1091"/>
      <c r="GKM916" s="1091"/>
      <c r="GKN916" s="1091"/>
      <c r="GKO916" s="1091"/>
      <c r="GKP916" s="1091"/>
      <c r="GKQ916" s="1091"/>
      <c r="GKR916" s="1091"/>
      <c r="GKS916" s="1091"/>
      <c r="GKT916" s="1091"/>
      <c r="GKU916" s="1091"/>
      <c r="GKV916" s="1091"/>
      <c r="GKW916" s="1091"/>
      <c r="GKX916" s="1091"/>
      <c r="GKY916" s="1091"/>
      <c r="GKZ916" s="1091"/>
      <c r="GLA916" s="1091"/>
      <c r="GLB916" s="1091"/>
      <c r="GLC916" s="1091"/>
      <c r="GLD916" s="1091"/>
      <c r="GLE916" s="1091"/>
      <c r="GLF916" s="1091"/>
      <c r="GLG916" s="1091"/>
      <c r="GLH916" s="1091"/>
      <c r="GLI916" s="1091"/>
      <c r="GLJ916" s="1091"/>
      <c r="GLK916" s="1091"/>
      <c r="GLL916" s="1091"/>
      <c r="GLM916" s="1091"/>
      <c r="GLN916" s="1091"/>
      <c r="GLO916" s="1091"/>
      <c r="GLP916" s="1091"/>
      <c r="GLQ916" s="1091"/>
      <c r="GLR916" s="1091"/>
      <c r="GLS916" s="1091"/>
      <c r="GLT916" s="1091"/>
      <c r="GLU916" s="1091"/>
      <c r="GLV916" s="1091"/>
      <c r="GLW916" s="1091"/>
      <c r="GLX916" s="1091"/>
      <c r="GLY916" s="1091"/>
      <c r="GLZ916" s="1091"/>
      <c r="GMA916" s="1091"/>
      <c r="GMB916" s="1091"/>
      <c r="GMC916" s="1091"/>
      <c r="GMD916" s="1091"/>
      <c r="GME916" s="1091"/>
      <c r="GMF916" s="1091"/>
      <c r="GMG916" s="1091"/>
      <c r="GMH916" s="1091"/>
      <c r="GMI916" s="1091"/>
      <c r="GMJ916" s="1091"/>
      <c r="GMK916" s="1091"/>
      <c r="GML916" s="1091"/>
      <c r="GMM916" s="1091"/>
      <c r="GMN916" s="1091"/>
      <c r="GMO916" s="1091"/>
      <c r="GMP916" s="1091"/>
      <c r="GMQ916" s="1091"/>
      <c r="GMR916" s="1091"/>
      <c r="GMS916" s="1091"/>
      <c r="GMT916" s="1091"/>
      <c r="GMU916" s="1091"/>
      <c r="GMV916" s="1091"/>
      <c r="GMW916" s="1091"/>
      <c r="GMX916" s="1091"/>
      <c r="GMY916" s="1091"/>
      <c r="GMZ916" s="1091"/>
      <c r="GNA916" s="1091"/>
      <c r="GNB916" s="1091"/>
      <c r="GNC916" s="1091"/>
      <c r="GND916" s="1091"/>
      <c r="GNE916" s="1091"/>
      <c r="GNF916" s="1091"/>
      <c r="GNG916" s="1091"/>
      <c r="GNH916" s="1091"/>
      <c r="GNI916" s="1091"/>
      <c r="GNJ916" s="1091"/>
      <c r="GNK916" s="1091"/>
      <c r="GNL916" s="1091"/>
      <c r="GNM916" s="1091"/>
      <c r="GNN916" s="1091"/>
      <c r="GNO916" s="1091"/>
      <c r="GNP916" s="1091"/>
      <c r="GNQ916" s="1091"/>
      <c r="GNR916" s="1091"/>
      <c r="GNS916" s="1091"/>
      <c r="GNT916" s="1091"/>
      <c r="GNU916" s="1091"/>
      <c r="GNV916" s="1091"/>
      <c r="GNW916" s="1091"/>
      <c r="GNX916" s="1091"/>
      <c r="GNY916" s="1091"/>
      <c r="GNZ916" s="1091"/>
      <c r="GOA916" s="1091"/>
      <c r="GOB916" s="1091"/>
      <c r="GOC916" s="1091"/>
      <c r="GOD916" s="1091"/>
      <c r="GOE916" s="1091"/>
      <c r="GOF916" s="1091"/>
      <c r="GOG916" s="1091"/>
      <c r="GOH916" s="1091"/>
      <c r="GOI916" s="1091"/>
      <c r="GOJ916" s="1091"/>
      <c r="GOK916" s="1091"/>
      <c r="GOL916" s="1091"/>
      <c r="GOM916" s="1091"/>
      <c r="GON916" s="1091"/>
      <c r="GOO916" s="1091"/>
      <c r="GOP916" s="1091"/>
      <c r="GOQ916" s="1091"/>
      <c r="GOR916" s="1091"/>
      <c r="GOS916" s="1091"/>
      <c r="GOT916" s="1091"/>
      <c r="GOU916" s="1091"/>
      <c r="GOV916" s="1091"/>
      <c r="GOW916" s="1091"/>
      <c r="GOX916" s="1091"/>
      <c r="GOY916" s="1091"/>
      <c r="GOZ916" s="1091"/>
      <c r="GPA916" s="1091"/>
      <c r="GPB916" s="1091"/>
      <c r="GPC916" s="1091"/>
      <c r="GPD916" s="1091"/>
      <c r="GPE916" s="1091"/>
      <c r="GPF916" s="1091"/>
      <c r="GPG916" s="1091"/>
      <c r="GPH916" s="1091"/>
      <c r="GPI916" s="1091"/>
      <c r="GPJ916" s="1091"/>
      <c r="GPK916" s="1091"/>
      <c r="GPL916" s="1091"/>
      <c r="GPM916" s="1091"/>
      <c r="GPN916" s="1091"/>
      <c r="GPO916" s="1091"/>
      <c r="GPP916" s="1091"/>
      <c r="GPQ916" s="1091"/>
      <c r="GPR916" s="1091"/>
      <c r="GPS916" s="1091"/>
      <c r="GPT916" s="1091"/>
      <c r="GPU916" s="1091"/>
      <c r="GPV916" s="1091"/>
      <c r="GPW916" s="1091"/>
      <c r="GPX916" s="1091"/>
      <c r="GPY916" s="1091"/>
      <c r="GPZ916" s="1091"/>
      <c r="GQA916" s="1091"/>
      <c r="GQB916" s="1091"/>
      <c r="GQC916" s="1091"/>
      <c r="GQD916" s="1091"/>
      <c r="GQE916" s="1091"/>
      <c r="GQF916" s="1091"/>
      <c r="GQG916" s="1091"/>
      <c r="GQH916" s="1091"/>
      <c r="GQI916" s="1091"/>
      <c r="GQJ916" s="1091"/>
      <c r="GQK916" s="1091"/>
      <c r="GQL916" s="1091"/>
      <c r="GQM916" s="1091"/>
      <c r="GQN916" s="1091"/>
      <c r="GQO916" s="1091"/>
      <c r="GQP916" s="1091"/>
      <c r="GQQ916" s="1091"/>
      <c r="GQR916" s="1091"/>
      <c r="GQS916" s="1091"/>
      <c r="GQT916" s="1091"/>
      <c r="GQU916" s="1091"/>
      <c r="GQV916" s="1091"/>
      <c r="GQW916" s="1091"/>
      <c r="GQX916" s="1091"/>
      <c r="GQY916" s="1091"/>
      <c r="GQZ916" s="1091"/>
      <c r="GRA916" s="1091"/>
      <c r="GRB916" s="1091"/>
      <c r="GRC916" s="1091"/>
      <c r="GRD916" s="1091"/>
      <c r="GRE916" s="1091"/>
      <c r="GRF916" s="1091"/>
      <c r="GRG916" s="1091"/>
      <c r="GRH916" s="1091"/>
      <c r="GRI916" s="1091"/>
      <c r="GRJ916" s="1091"/>
      <c r="GRK916" s="1091"/>
      <c r="GRL916" s="1091"/>
      <c r="GRM916" s="1091"/>
      <c r="GRN916" s="1091"/>
      <c r="GRO916" s="1091"/>
      <c r="GRP916" s="1091"/>
      <c r="GRQ916" s="1091"/>
      <c r="GRR916" s="1091"/>
      <c r="GRS916" s="1091"/>
      <c r="GRT916" s="1091"/>
      <c r="GRU916" s="1091"/>
      <c r="GRV916" s="1091"/>
      <c r="GRW916" s="1091"/>
      <c r="GRX916" s="1091"/>
      <c r="GRY916" s="1091"/>
      <c r="GRZ916" s="1091"/>
      <c r="GSA916" s="1091"/>
      <c r="GSB916" s="1091"/>
      <c r="GSC916" s="1091"/>
      <c r="GSD916" s="1091"/>
      <c r="GSE916" s="1091"/>
      <c r="GSF916" s="1091"/>
      <c r="GSG916" s="1091"/>
      <c r="GSH916" s="1091"/>
      <c r="GSI916" s="1091"/>
      <c r="GSJ916" s="1091"/>
      <c r="GSK916" s="1091"/>
      <c r="GSL916" s="1091"/>
      <c r="GSM916" s="1091"/>
      <c r="GSN916" s="1091"/>
      <c r="GSO916" s="1091"/>
      <c r="GSP916" s="1091"/>
      <c r="GSQ916" s="1091"/>
      <c r="GSR916" s="1091"/>
      <c r="GSS916" s="1091"/>
      <c r="GST916" s="1091"/>
      <c r="GSU916" s="1091"/>
      <c r="GSV916" s="1091"/>
      <c r="GSW916" s="1091"/>
      <c r="GSX916" s="1091"/>
      <c r="GSY916" s="1091"/>
      <c r="GSZ916" s="1091"/>
      <c r="GTA916" s="1091"/>
      <c r="GTB916" s="1091"/>
      <c r="GTC916" s="1091"/>
      <c r="GTD916" s="1091"/>
      <c r="GTE916" s="1091"/>
      <c r="GTF916" s="1091"/>
      <c r="GTG916" s="1091"/>
      <c r="GTH916" s="1091"/>
      <c r="GTI916" s="1091"/>
      <c r="GTJ916" s="1091"/>
      <c r="GTK916" s="1091"/>
      <c r="GTL916" s="1091"/>
      <c r="GTM916" s="1091"/>
      <c r="GTN916" s="1091"/>
      <c r="GTO916" s="1091"/>
      <c r="GTP916" s="1091"/>
      <c r="GTQ916" s="1091"/>
      <c r="GTR916" s="1091"/>
      <c r="GTS916" s="1091"/>
      <c r="GTT916" s="1091"/>
      <c r="GTU916" s="1091"/>
      <c r="GTV916" s="1091"/>
      <c r="GTW916" s="1091"/>
      <c r="GTX916" s="1091"/>
      <c r="GTY916" s="1091"/>
      <c r="GTZ916" s="1091"/>
      <c r="GUA916" s="1091"/>
      <c r="GUB916" s="1091"/>
      <c r="GUC916" s="1091"/>
      <c r="GUD916" s="1091"/>
      <c r="GUE916" s="1091"/>
      <c r="GUF916" s="1091"/>
      <c r="GUG916" s="1091"/>
      <c r="GUH916" s="1091"/>
      <c r="GUI916" s="1091"/>
      <c r="GUJ916" s="1091"/>
      <c r="GUK916" s="1091"/>
      <c r="GUL916" s="1091"/>
      <c r="GUM916" s="1091"/>
      <c r="GUN916" s="1091"/>
      <c r="GUO916" s="1091"/>
      <c r="GUP916" s="1091"/>
      <c r="GUQ916" s="1091"/>
      <c r="GUR916" s="1091"/>
      <c r="GUS916" s="1091"/>
      <c r="GUT916" s="1091"/>
      <c r="GUU916" s="1091"/>
      <c r="GUV916" s="1091"/>
      <c r="GUW916" s="1091"/>
      <c r="GUX916" s="1091"/>
      <c r="GUY916" s="1091"/>
      <c r="GUZ916" s="1091"/>
      <c r="GVA916" s="1091"/>
      <c r="GVB916" s="1091"/>
      <c r="GVC916" s="1091"/>
      <c r="GVD916" s="1091"/>
      <c r="GVE916" s="1091"/>
      <c r="GVF916" s="1091"/>
      <c r="GVG916" s="1091"/>
      <c r="GVH916" s="1091"/>
      <c r="GVI916" s="1091"/>
      <c r="GVJ916" s="1091"/>
      <c r="GVK916" s="1091"/>
      <c r="GVL916" s="1091"/>
      <c r="GVM916" s="1091"/>
      <c r="GVN916" s="1091"/>
      <c r="GVO916" s="1091"/>
      <c r="GVP916" s="1091"/>
      <c r="GVQ916" s="1091"/>
      <c r="GVR916" s="1091"/>
      <c r="GVS916" s="1091"/>
      <c r="GVT916" s="1091"/>
      <c r="GVU916" s="1091"/>
      <c r="GVV916" s="1091"/>
      <c r="GVW916" s="1091"/>
      <c r="GVX916" s="1091"/>
      <c r="GVY916" s="1091"/>
      <c r="GVZ916" s="1091"/>
      <c r="GWA916" s="1091"/>
      <c r="GWB916" s="1091"/>
      <c r="GWC916" s="1091"/>
      <c r="GWD916" s="1091"/>
      <c r="GWE916" s="1091"/>
      <c r="GWF916" s="1091"/>
      <c r="GWG916" s="1091"/>
      <c r="GWH916" s="1091"/>
      <c r="GWI916" s="1091"/>
      <c r="GWJ916" s="1091"/>
      <c r="GWK916" s="1091"/>
      <c r="GWL916" s="1091"/>
      <c r="GWM916" s="1091"/>
      <c r="GWN916" s="1091"/>
      <c r="GWO916" s="1091"/>
      <c r="GWP916" s="1091"/>
      <c r="GWQ916" s="1091"/>
      <c r="GWR916" s="1091"/>
      <c r="GWS916" s="1091"/>
      <c r="GWT916" s="1091"/>
      <c r="GWU916" s="1091"/>
      <c r="GWV916" s="1091"/>
      <c r="GWW916" s="1091"/>
      <c r="GWX916" s="1091"/>
      <c r="GWY916" s="1091"/>
      <c r="GWZ916" s="1091"/>
      <c r="GXA916" s="1091"/>
      <c r="GXB916" s="1091"/>
      <c r="GXC916" s="1091"/>
      <c r="GXD916" s="1091"/>
      <c r="GXE916" s="1091"/>
      <c r="GXF916" s="1091"/>
      <c r="GXG916" s="1091"/>
      <c r="GXH916" s="1091"/>
      <c r="GXI916" s="1091"/>
      <c r="GXJ916" s="1091"/>
      <c r="GXK916" s="1091"/>
      <c r="GXL916" s="1091"/>
      <c r="GXM916" s="1091"/>
      <c r="GXN916" s="1091"/>
      <c r="GXO916" s="1091"/>
      <c r="GXP916" s="1091"/>
      <c r="GXQ916" s="1091"/>
      <c r="GXR916" s="1091"/>
      <c r="GXS916" s="1091"/>
      <c r="GXT916" s="1091"/>
      <c r="GXU916" s="1091"/>
      <c r="GXV916" s="1091"/>
      <c r="GXW916" s="1091"/>
      <c r="GXX916" s="1091"/>
      <c r="GXY916" s="1091"/>
      <c r="GXZ916" s="1091"/>
      <c r="GYA916" s="1091"/>
      <c r="GYB916" s="1091"/>
      <c r="GYC916" s="1091"/>
      <c r="GYD916" s="1091"/>
      <c r="GYE916" s="1091"/>
      <c r="GYF916" s="1091"/>
      <c r="GYG916" s="1091"/>
      <c r="GYH916" s="1091"/>
      <c r="GYI916" s="1091"/>
      <c r="GYJ916" s="1091"/>
      <c r="GYK916" s="1091"/>
      <c r="GYL916" s="1091"/>
      <c r="GYM916" s="1091"/>
      <c r="GYN916" s="1091"/>
      <c r="GYO916" s="1091"/>
      <c r="GYP916" s="1091"/>
      <c r="GYQ916" s="1091"/>
      <c r="GYR916" s="1091"/>
      <c r="GYS916" s="1091"/>
      <c r="GYT916" s="1091"/>
      <c r="GYU916" s="1091"/>
      <c r="GYV916" s="1091"/>
      <c r="GYW916" s="1091"/>
      <c r="GYX916" s="1091"/>
      <c r="GYY916" s="1091"/>
      <c r="GYZ916" s="1091"/>
      <c r="GZA916" s="1091"/>
      <c r="GZB916" s="1091"/>
      <c r="GZC916" s="1091"/>
      <c r="GZD916" s="1091"/>
      <c r="GZE916" s="1091"/>
      <c r="GZF916" s="1091"/>
      <c r="GZG916" s="1091"/>
      <c r="GZH916" s="1091"/>
      <c r="GZI916" s="1091"/>
      <c r="GZJ916" s="1091"/>
      <c r="GZK916" s="1091"/>
      <c r="GZL916" s="1091"/>
      <c r="GZM916" s="1091"/>
      <c r="GZN916" s="1091"/>
      <c r="GZO916" s="1091"/>
      <c r="GZP916" s="1091"/>
      <c r="GZQ916" s="1091"/>
      <c r="GZR916" s="1091"/>
      <c r="GZS916" s="1091"/>
      <c r="GZT916" s="1091"/>
      <c r="GZU916" s="1091"/>
      <c r="GZV916" s="1091"/>
      <c r="GZW916" s="1091"/>
      <c r="GZX916" s="1091"/>
      <c r="GZY916" s="1091"/>
      <c r="GZZ916" s="1091"/>
      <c r="HAA916" s="1091"/>
      <c r="HAB916" s="1091"/>
      <c r="HAC916" s="1091"/>
      <c r="HAD916" s="1091"/>
      <c r="HAE916" s="1091"/>
      <c r="HAF916" s="1091"/>
      <c r="HAG916" s="1091"/>
      <c r="HAH916" s="1091"/>
      <c r="HAI916" s="1091"/>
      <c r="HAJ916" s="1091"/>
      <c r="HAK916" s="1091"/>
      <c r="HAL916" s="1091"/>
      <c r="HAM916" s="1091"/>
      <c r="HAN916" s="1091"/>
      <c r="HAO916" s="1091"/>
      <c r="HAP916" s="1091"/>
      <c r="HAQ916" s="1091"/>
      <c r="HAR916" s="1091"/>
      <c r="HAS916" s="1091"/>
      <c r="HAT916" s="1091"/>
      <c r="HAU916" s="1091"/>
      <c r="HAV916" s="1091"/>
      <c r="HAW916" s="1091"/>
      <c r="HAX916" s="1091"/>
      <c r="HAY916" s="1091"/>
      <c r="HAZ916" s="1091"/>
      <c r="HBA916" s="1091"/>
      <c r="HBB916" s="1091"/>
      <c r="HBC916" s="1091"/>
      <c r="HBD916" s="1091"/>
      <c r="HBE916" s="1091"/>
      <c r="HBF916" s="1091"/>
      <c r="HBG916" s="1091"/>
      <c r="HBH916" s="1091"/>
      <c r="HBI916" s="1091"/>
      <c r="HBJ916" s="1091"/>
      <c r="HBK916" s="1091"/>
      <c r="HBL916" s="1091"/>
      <c r="HBM916" s="1091"/>
      <c r="HBN916" s="1091"/>
      <c r="HBO916" s="1091"/>
      <c r="HBP916" s="1091"/>
      <c r="HBQ916" s="1091"/>
      <c r="HBR916" s="1091"/>
      <c r="HBS916" s="1091"/>
      <c r="HBT916" s="1091"/>
      <c r="HBU916" s="1091"/>
      <c r="HBV916" s="1091"/>
      <c r="HBW916" s="1091"/>
      <c r="HBX916" s="1091"/>
      <c r="HBY916" s="1091"/>
      <c r="HBZ916" s="1091"/>
      <c r="HCA916" s="1091"/>
      <c r="HCB916" s="1091"/>
      <c r="HCC916" s="1091"/>
      <c r="HCD916" s="1091"/>
      <c r="HCE916" s="1091"/>
      <c r="HCF916" s="1091"/>
      <c r="HCG916" s="1091"/>
      <c r="HCH916" s="1091"/>
      <c r="HCI916" s="1091"/>
      <c r="HCJ916" s="1091"/>
      <c r="HCK916" s="1091"/>
      <c r="HCL916" s="1091"/>
      <c r="HCM916" s="1091"/>
      <c r="HCN916" s="1091"/>
      <c r="HCO916" s="1091"/>
      <c r="HCP916" s="1091"/>
      <c r="HCQ916" s="1091"/>
      <c r="HCR916" s="1091"/>
      <c r="HCS916" s="1091"/>
      <c r="HCT916" s="1091"/>
      <c r="HCU916" s="1091"/>
      <c r="HCV916" s="1091"/>
      <c r="HCW916" s="1091"/>
      <c r="HCX916" s="1091"/>
      <c r="HCY916" s="1091"/>
      <c r="HCZ916" s="1091"/>
      <c r="HDA916" s="1091"/>
      <c r="HDB916" s="1091"/>
      <c r="HDC916" s="1091"/>
      <c r="HDD916" s="1091"/>
      <c r="HDE916" s="1091"/>
      <c r="HDF916" s="1091"/>
      <c r="HDG916" s="1091"/>
      <c r="HDH916" s="1091"/>
      <c r="HDI916" s="1091"/>
      <c r="HDJ916" s="1091"/>
      <c r="HDK916" s="1091"/>
      <c r="HDL916" s="1091"/>
      <c r="HDM916" s="1091"/>
      <c r="HDN916" s="1091"/>
      <c r="HDO916" s="1091"/>
      <c r="HDP916" s="1091"/>
      <c r="HDQ916" s="1091"/>
      <c r="HDR916" s="1091"/>
      <c r="HDS916" s="1091"/>
      <c r="HDT916" s="1091"/>
      <c r="HDU916" s="1091"/>
      <c r="HDV916" s="1091"/>
      <c r="HDW916" s="1091"/>
      <c r="HDX916" s="1091"/>
      <c r="HDY916" s="1091"/>
      <c r="HDZ916" s="1091"/>
      <c r="HEA916" s="1091"/>
      <c r="HEB916" s="1091"/>
      <c r="HEC916" s="1091"/>
      <c r="HED916" s="1091"/>
      <c r="HEE916" s="1091"/>
      <c r="HEF916" s="1091"/>
      <c r="HEG916" s="1091"/>
      <c r="HEH916" s="1091"/>
      <c r="HEI916" s="1091"/>
      <c r="HEJ916" s="1091"/>
      <c r="HEK916" s="1091"/>
      <c r="HEL916" s="1091"/>
      <c r="HEM916" s="1091"/>
      <c r="HEN916" s="1091"/>
      <c r="HEO916" s="1091"/>
      <c r="HEP916" s="1091"/>
      <c r="HEQ916" s="1091"/>
      <c r="HER916" s="1091"/>
      <c r="HES916" s="1091"/>
      <c r="HET916" s="1091"/>
      <c r="HEU916" s="1091"/>
      <c r="HEV916" s="1091"/>
      <c r="HEW916" s="1091"/>
      <c r="HEX916" s="1091"/>
      <c r="HEY916" s="1091"/>
      <c r="HEZ916" s="1091"/>
      <c r="HFA916" s="1091"/>
      <c r="HFB916" s="1091"/>
      <c r="HFC916" s="1091"/>
      <c r="HFD916" s="1091"/>
      <c r="HFE916" s="1091"/>
      <c r="HFF916" s="1091"/>
      <c r="HFG916" s="1091"/>
      <c r="HFH916" s="1091"/>
      <c r="HFI916" s="1091"/>
      <c r="HFJ916" s="1091"/>
      <c r="HFK916" s="1091"/>
      <c r="HFL916" s="1091"/>
      <c r="HFM916" s="1091"/>
      <c r="HFN916" s="1091"/>
      <c r="HFO916" s="1091"/>
      <c r="HFP916" s="1091"/>
      <c r="HFQ916" s="1091"/>
      <c r="HFR916" s="1091"/>
      <c r="HFS916" s="1091"/>
      <c r="HFT916" s="1091"/>
      <c r="HFU916" s="1091"/>
      <c r="HFV916" s="1091"/>
      <c r="HFW916" s="1091"/>
      <c r="HFX916" s="1091"/>
      <c r="HFY916" s="1091"/>
      <c r="HFZ916" s="1091"/>
      <c r="HGA916" s="1091"/>
      <c r="HGB916" s="1091"/>
      <c r="HGC916" s="1091"/>
      <c r="HGD916" s="1091"/>
      <c r="HGE916" s="1091"/>
      <c r="HGF916" s="1091"/>
      <c r="HGG916" s="1091"/>
      <c r="HGH916" s="1091"/>
      <c r="HGI916" s="1091"/>
      <c r="HGJ916" s="1091"/>
      <c r="HGK916" s="1091"/>
      <c r="HGL916" s="1091"/>
      <c r="HGM916" s="1091"/>
      <c r="HGN916" s="1091"/>
      <c r="HGO916" s="1091"/>
      <c r="HGP916" s="1091"/>
      <c r="HGQ916" s="1091"/>
      <c r="HGR916" s="1091"/>
      <c r="HGS916" s="1091"/>
      <c r="HGT916" s="1091"/>
      <c r="HGU916" s="1091"/>
      <c r="HGV916" s="1091"/>
      <c r="HGW916" s="1091"/>
      <c r="HGX916" s="1091"/>
      <c r="HGY916" s="1091"/>
      <c r="HGZ916" s="1091"/>
      <c r="HHA916" s="1091"/>
      <c r="HHB916" s="1091"/>
      <c r="HHC916" s="1091"/>
      <c r="HHD916" s="1091"/>
      <c r="HHE916" s="1091"/>
      <c r="HHF916" s="1091"/>
      <c r="HHG916" s="1091"/>
      <c r="HHH916" s="1091"/>
      <c r="HHI916" s="1091"/>
      <c r="HHJ916" s="1091"/>
      <c r="HHK916" s="1091"/>
      <c r="HHL916" s="1091"/>
      <c r="HHM916" s="1091"/>
      <c r="HHN916" s="1091"/>
      <c r="HHO916" s="1091"/>
      <c r="HHP916" s="1091"/>
      <c r="HHQ916" s="1091"/>
      <c r="HHR916" s="1091"/>
      <c r="HHS916" s="1091"/>
      <c r="HHT916" s="1091"/>
      <c r="HHU916" s="1091"/>
      <c r="HHV916" s="1091"/>
      <c r="HHW916" s="1091"/>
      <c r="HHX916" s="1091"/>
      <c r="HHY916" s="1091"/>
      <c r="HHZ916" s="1091"/>
      <c r="HIA916" s="1091"/>
      <c r="HIB916" s="1091"/>
      <c r="HIC916" s="1091"/>
      <c r="HID916" s="1091"/>
      <c r="HIE916" s="1091"/>
      <c r="HIF916" s="1091"/>
      <c r="HIG916" s="1091"/>
      <c r="HIH916" s="1091"/>
      <c r="HII916" s="1091"/>
      <c r="HIJ916" s="1091"/>
      <c r="HIK916" s="1091"/>
      <c r="HIL916" s="1091"/>
      <c r="HIM916" s="1091"/>
      <c r="HIN916" s="1091"/>
      <c r="HIO916" s="1091"/>
      <c r="HIP916" s="1091"/>
      <c r="HIQ916" s="1091"/>
      <c r="HIR916" s="1091"/>
      <c r="HIS916" s="1091"/>
      <c r="HIT916" s="1091"/>
      <c r="HIU916" s="1091"/>
      <c r="HIV916" s="1091"/>
      <c r="HIW916" s="1091"/>
      <c r="HIX916" s="1091"/>
      <c r="HIY916" s="1091"/>
      <c r="HIZ916" s="1091"/>
      <c r="HJA916" s="1091"/>
      <c r="HJB916" s="1091"/>
      <c r="HJC916" s="1091"/>
      <c r="HJD916" s="1091"/>
      <c r="HJE916" s="1091"/>
      <c r="HJF916" s="1091"/>
      <c r="HJG916" s="1091"/>
      <c r="HJH916" s="1091"/>
      <c r="HJI916" s="1091"/>
      <c r="HJJ916" s="1091"/>
      <c r="HJK916" s="1091"/>
      <c r="HJL916" s="1091"/>
      <c r="HJM916" s="1091"/>
      <c r="HJN916" s="1091"/>
      <c r="HJO916" s="1091"/>
      <c r="HJP916" s="1091"/>
      <c r="HJQ916" s="1091"/>
      <c r="HJR916" s="1091"/>
      <c r="HJS916" s="1091"/>
      <c r="HJT916" s="1091"/>
      <c r="HJU916" s="1091"/>
      <c r="HJV916" s="1091"/>
      <c r="HJW916" s="1091"/>
      <c r="HJX916" s="1091"/>
      <c r="HJY916" s="1091"/>
      <c r="HJZ916" s="1091"/>
      <c r="HKA916" s="1091"/>
      <c r="HKB916" s="1091"/>
      <c r="HKC916" s="1091"/>
      <c r="HKD916" s="1091"/>
      <c r="HKE916" s="1091"/>
      <c r="HKF916" s="1091"/>
      <c r="HKG916" s="1091"/>
      <c r="HKH916" s="1091"/>
      <c r="HKI916" s="1091"/>
      <c r="HKJ916" s="1091"/>
      <c r="HKK916" s="1091"/>
      <c r="HKL916" s="1091"/>
      <c r="HKM916" s="1091"/>
      <c r="HKN916" s="1091"/>
      <c r="HKO916" s="1091"/>
      <c r="HKP916" s="1091"/>
      <c r="HKQ916" s="1091"/>
      <c r="HKR916" s="1091"/>
      <c r="HKS916" s="1091"/>
      <c r="HKT916" s="1091"/>
      <c r="HKU916" s="1091"/>
      <c r="HKV916" s="1091"/>
      <c r="HKW916" s="1091"/>
      <c r="HKX916" s="1091"/>
      <c r="HKY916" s="1091"/>
      <c r="HKZ916" s="1091"/>
      <c r="HLA916" s="1091"/>
      <c r="HLB916" s="1091"/>
      <c r="HLC916" s="1091"/>
      <c r="HLD916" s="1091"/>
      <c r="HLE916" s="1091"/>
      <c r="HLF916" s="1091"/>
      <c r="HLG916" s="1091"/>
      <c r="HLH916" s="1091"/>
      <c r="HLI916" s="1091"/>
      <c r="HLJ916" s="1091"/>
      <c r="HLK916" s="1091"/>
      <c r="HLL916" s="1091"/>
      <c r="HLM916" s="1091"/>
      <c r="HLN916" s="1091"/>
      <c r="HLO916" s="1091"/>
      <c r="HLP916" s="1091"/>
      <c r="HLQ916" s="1091"/>
      <c r="HLR916" s="1091"/>
      <c r="HLS916" s="1091"/>
      <c r="HLT916" s="1091"/>
      <c r="HLU916" s="1091"/>
      <c r="HLV916" s="1091"/>
      <c r="HLW916" s="1091"/>
      <c r="HLX916" s="1091"/>
      <c r="HLY916" s="1091"/>
      <c r="HLZ916" s="1091"/>
      <c r="HMA916" s="1091"/>
      <c r="HMB916" s="1091"/>
      <c r="HMC916" s="1091"/>
      <c r="HMD916" s="1091"/>
      <c r="HME916" s="1091"/>
      <c r="HMF916" s="1091"/>
      <c r="HMG916" s="1091"/>
      <c r="HMH916" s="1091"/>
      <c r="HMI916" s="1091"/>
      <c r="HMJ916" s="1091"/>
      <c r="HMK916" s="1091"/>
      <c r="HML916" s="1091"/>
      <c r="HMM916" s="1091"/>
      <c r="HMN916" s="1091"/>
      <c r="HMO916" s="1091"/>
      <c r="HMP916" s="1091"/>
      <c r="HMQ916" s="1091"/>
      <c r="HMR916" s="1091"/>
      <c r="HMS916" s="1091"/>
      <c r="HMT916" s="1091"/>
      <c r="HMU916" s="1091"/>
      <c r="HMV916" s="1091"/>
      <c r="HMW916" s="1091"/>
      <c r="HMX916" s="1091"/>
      <c r="HMY916" s="1091"/>
      <c r="HMZ916" s="1091"/>
      <c r="HNA916" s="1091"/>
      <c r="HNB916" s="1091"/>
      <c r="HNC916" s="1091"/>
      <c r="HND916" s="1091"/>
      <c r="HNE916" s="1091"/>
      <c r="HNF916" s="1091"/>
      <c r="HNG916" s="1091"/>
      <c r="HNH916" s="1091"/>
      <c r="HNI916" s="1091"/>
      <c r="HNJ916" s="1091"/>
      <c r="HNK916" s="1091"/>
      <c r="HNL916" s="1091"/>
      <c r="HNM916" s="1091"/>
      <c r="HNN916" s="1091"/>
      <c r="HNO916" s="1091"/>
      <c r="HNP916" s="1091"/>
      <c r="HNQ916" s="1091"/>
      <c r="HNR916" s="1091"/>
      <c r="HNS916" s="1091"/>
      <c r="HNT916" s="1091"/>
      <c r="HNU916" s="1091"/>
      <c r="HNV916" s="1091"/>
      <c r="HNW916" s="1091"/>
      <c r="HNX916" s="1091"/>
      <c r="HNY916" s="1091"/>
      <c r="HNZ916" s="1091"/>
      <c r="HOA916" s="1091"/>
      <c r="HOB916" s="1091"/>
      <c r="HOC916" s="1091"/>
      <c r="HOD916" s="1091"/>
      <c r="HOE916" s="1091"/>
      <c r="HOF916" s="1091"/>
      <c r="HOG916" s="1091"/>
      <c r="HOH916" s="1091"/>
      <c r="HOI916" s="1091"/>
      <c r="HOJ916" s="1091"/>
      <c r="HOK916" s="1091"/>
      <c r="HOL916" s="1091"/>
      <c r="HOM916" s="1091"/>
      <c r="HON916" s="1091"/>
      <c r="HOO916" s="1091"/>
      <c r="HOP916" s="1091"/>
      <c r="HOQ916" s="1091"/>
      <c r="HOR916" s="1091"/>
      <c r="HOS916" s="1091"/>
      <c r="HOT916" s="1091"/>
      <c r="HOU916" s="1091"/>
      <c r="HOV916" s="1091"/>
      <c r="HOW916" s="1091"/>
      <c r="HOX916" s="1091"/>
      <c r="HOY916" s="1091"/>
      <c r="HOZ916" s="1091"/>
      <c r="HPA916" s="1091"/>
      <c r="HPB916" s="1091"/>
      <c r="HPC916" s="1091"/>
      <c r="HPD916" s="1091"/>
      <c r="HPE916" s="1091"/>
      <c r="HPF916" s="1091"/>
      <c r="HPG916" s="1091"/>
      <c r="HPH916" s="1091"/>
      <c r="HPI916" s="1091"/>
      <c r="HPJ916" s="1091"/>
      <c r="HPK916" s="1091"/>
      <c r="HPL916" s="1091"/>
      <c r="HPM916" s="1091"/>
      <c r="HPN916" s="1091"/>
      <c r="HPO916" s="1091"/>
      <c r="HPP916" s="1091"/>
      <c r="HPQ916" s="1091"/>
      <c r="HPR916" s="1091"/>
      <c r="HPS916" s="1091"/>
      <c r="HPT916" s="1091"/>
      <c r="HPU916" s="1091"/>
      <c r="HPV916" s="1091"/>
      <c r="HPW916" s="1091"/>
      <c r="HPX916" s="1091"/>
      <c r="HPY916" s="1091"/>
      <c r="HPZ916" s="1091"/>
      <c r="HQA916" s="1091"/>
      <c r="HQB916" s="1091"/>
      <c r="HQC916" s="1091"/>
      <c r="HQD916" s="1091"/>
      <c r="HQE916" s="1091"/>
      <c r="HQF916" s="1091"/>
      <c r="HQG916" s="1091"/>
      <c r="HQH916" s="1091"/>
      <c r="HQI916" s="1091"/>
      <c r="HQJ916" s="1091"/>
      <c r="HQK916" s="1091"/>
      <c r="HQL916" s="1091"/>
      <c r="HQM916" s="1091"/>
      <c r="HQN916" s="1091"/>
      <c r="HQO916" s="1091"/>
      <c r="HQP916" s="1091"/>
      <c r="HQQ916" s="1091"/>
      <c r="HQR916" s="1091"/>
      <c r="HQS916" s="1091"/>
      <c r="HQT916" s="1091"/>
      <c r="HQU916" s="1091"/>
      <c r="HQV916" s="1091"/>
      <c r="HQW916" s="1091"/>
      <c r="HQX916" s="1091"/>
      <c r="HQY916" s="1091"/>
      <c r="HQZ916" s="1091"/>
      <c r="HRA916" s="1091"/>
      <c r="HRB916" s="1091"/>
      <c r="HRC916" s="1091"/>
      <c r="HRD916" s="1091"/>
      <c r="HRE916" s="1091"/>
      <c r="HRF916" s="1091"/>
      <c r="HRG916" s="1091"/>
      <c r="HRH916" s="1091"/>
      <c r="HRI916" s="1091"/>
      <c r="HRJ916" s="1091"/>
      <c r="HRK916" s="1091"/>
      <c r="HRL916" s="1091"/>
      <c r="HRM916" s="1091"/>
      <c r="HRN916" s="1091"/>
      <c r="HRO916" s="1091"/>
      <c r="HRP916" s="1091"/>
      <c r="HRQ916" s="1091"/>
      <c r="HRR916" s="1091"/>
      <c r="HRS916" s="1091"/>
      <c r="HRT916" s="1091"/>
      <c r="HRU916" s="1091"/>
      <c r="HRV916" s="1091"/>
      <c r="HRW916" s="1091"/>
      <c r="HRX916" s="1091"/>
      <c r="HRY916" s="1091"/>
      <c r="HRZ916" s="1091"/>
      <c r="HSA916" s="1091"/>
      <c r="HSB916" s="1091"/>
      <c r="HSC916" s="1091"/>
      <c r="HSD916" s="1091"/>
      <c r="HSE916" s="1091"/>
      <c r="HSF916" s="1091"/>
      <c r="HSG916" s="1091"/>
      <c r="HSH916" s="1091"/>
      <c r="HSI916" s="1091"/>
      <c r="HSJ916" s="1091"/>
      <c r="HSK916" s="1091"/>
      <c r="HSL916" s="1091"/>
      <c r="HSM916" s="1091"/>
      <c r="HSN916" s="1091"/>
      <c r="HSO916" s="1091"/>
      <c r="HSP916" s="1091"/>
      <c r="HSQ916" s="1091"/>
      <c r="HSR916" s="1091"/>
      <c r="HSS916" s="1091"/>
      <c r="HST916" s="1091"/>
      <c r="HSU916" s="1091"/>
      <c r="HSV916" s="1091"/>
      <c r="HSW916" s="1091"/>
      <c r="HSX916" s="1091"/>
      <c r="HSY916" s="1091"/>
      <c r="HSZ916" s="1091"/>
      <c r="HTA916" s="1091"/>
      <c r="HTB916" s="1091"/>
      <c r="HTC916" s="1091"/>
      <c r="HTD916" s="1091"/>
      <c r="HTE916" s="1091"/>
      <c r="HTF916" s="1091"/>
      <c r="HTG916" s="1091"/>
      <c r="HTH916" s="1091"/>
      <c r="HTI916" s="1091"/>
      <c r="HTJ916" s="1091"/>
      <c r="HTK916" s="1091"/>
      <c r="HTL916" s="1091"/>
      <c r="HTM916" s="1091"/>
      <c r="HTN916" s="1091"/>
      <c r="HTO916" s="1091"/>
      <c r="HTP916" s="1091"/>
      <c r="HTQ916" s="1091"/>
      <c r="HTR916" s="1091"/>
      <c r="HTS916" s="1091"/>
      <c r="HTT916" s="1091"/>
      <c r="HTU916" s="1091"/>
      <c r="HTV916" s="1091"/>
      <c r="HTW916" s="1091"/>
      <c r="HTX916" s="1091"/>
      <c r="HTY916" s="1091"/>
      <c r="HTZ916" s="1091"/>
      <c r="HUA916" s="1091"/>
      <c r="HUB916" s="1091"/>
      <c r="HUC916" s="1091"/>
      <c r="HUD916" s="1091"/>
      <c r="HUE916" s="1091"/>
      <c r="HUF916" s="1091"/>
      <c r="HUG916" s="1091"/>
      <c r="HUH916" s="1091"/>
      <c r="HUI916" s="1091"/>
      <c r="HUJ916" s="1091"/>
      <c r="HUK916" s="1091"/>
      <c r="HUL916" s="1091"/>
      <c r="HUM916" s="1091"/>
      <c r="HUN916" s="1091"/>
      <c r="HUO916" s="1091"/>
      <c r="HUP916" s="1091"/>
      <c r="HUQ916" s="1091"/>
      <c r="HUR916" s="1091"/>
      <c r="HUS916" s="1091"/>
      <c r="HUT916" s="1091"/>
      <c r="HUU916" s="1091"/>
      <c r="HUV916" s="1091"/>
      <c r="HUW916" s="1091"/>
      <c r="HUX916" s="1091"/>
      <c r="HUY916" s="1091"/>
      <c r="HUZ916" s="1091"/>
      <c r="HVA916" s="1091"/>
      <c r="HVB916" s="1091"/>
      <c r="HVC916" s="1091"/>
      <c r="HVD916" s="1091"/>
      <c r="HVE916" s="1091"/>
      <c r="HVF916" s="1091"/>
      <c r="HVG916" s="1091"/>
      <c r="HVH916" s="1091"/>
      <c r="HVI916" s="1091"/>
      <c r="HVJ916" s="1091"/>
      <c r="HVK916" s="1091"/>
      <c r="HVL916" s="1091"/>
      <c r="HVM916" s="1091"/>
      <c r="HVN916" s="1091"/>
      <c r="HVO916" s="1091"/>
      <c r="HVP916" s="1091"/>
      <c r="HVQ916" s="1091"/>
      <c r="HVR916" s="1091"/>
      <c r="HVS916" s="1091"/>
      <c r="HVT916" s="1091"/>
      <c r="HVU916" s="1091"/>
      <c r="HVV916" s="1091"/>
      <c r="HVW916" s="1091"/>
      <c r="HVX916" s="1091"/>
      <c r="HVY916" s="1091"/>
      <c r="HVZ916" s="1091"/>
      <c r="HWA916" s="1091"/>
      <c r="HWB916" s="1091"/>
      <c r="HWC916" s="1091"/>
      <c r="HWD916" s="1091"/>
      <c r="HWE916" s="1091"/>
      <c r="HWF916" s="1091"/>
      <c r="HWG916" s="1091"/>
      <c r="HWH916" s="1091"/>
      <c r="HWI916" s="1091"/>
      <c r="HWJ916" s="1091"/>
      <c r="HWK916" s="1091"/>
      <c r="HWL916" s="1091"/>
      <c r="HWM916" s="1091"/>
      <c r="HWN916" s="1091"/>
      <c r="HWO916" s="1091"/>
      <c r="HWP916" s="1091"/>
      <c r="HWQ916" s="1091"/>
      <c r="HWR916" s="1091"/>
      <c r="HWS916" s="1091"/>
      <c r="HWT916" s="1091"/>
      <c r="HWU916" s="1091"/>
      <c r="HWV916" s="1091"/>
      <c r="HWW916" s="1091"/>
      <c r="HWX916" s="1091"/>
      <c r="HWY916" s="1091"/>
      <c r="HWZ916" s="1091"/>
      <c r="HXA916" s="1091"/>
      <c r="HXB916" s="1091"/>
      <c r="HXC916" s="1091"/>
      <c r="HXD916" s="1091"/>
      <c r="HXE916" s="1091"/>
      <c r="HXF916" s="1091"/>
      <c r="HXG916" s="1091"/>
      <c r="HXH916" s="1091"/>
      <c r="HXI916" s="1091"/>
      <c r="HXJ916" s="1091"/>
      <c r="HXK916" s="1091"/>
      <c r="HXL916" s="1091"/>
      <c r="HXM916" s="1091"/>
      <c r="HXN916" s="1091"/>
      <c r="HXO916" s="1091"/>
      <c r="HXP916" s="1091"/>
      <c r="HXQ916" s="1091"/>
      <c r="HXR916" s="1091"/>
      <c r="HXS916" s="1091"/>
      <c r="HXT916" s="1091"/>
      <c r="HXU916" s="1091"/>
      <c r="HXV916" s="1091"/>
      <c r="HXW916" s="1091"/>
      <c r="HXX916" s="1091"/>
      <c r="HXY916" s="1091"/>
      <c r="HXZ916" s="1091"/>
      <c r="HYA916" s="1091"/>
      <c r="HYB916" s="1091"/>
      <c r="HYC916" s="1091"/>
      <c r="HYD916" s="1091"/>
      <c r="HYE916" s="1091"/>
      <c r="HYF916" s="1091"/>
      <c r="HYG916" s="1091"/>
      <c r="HYH916" s="1091"/>
      <c r="HYI916" s="1091"/>
      <c r="HYJ916" s="1091"/>
      <c r="HYK916" s="1091"/>
      <c r="HYL916" s="1091"/>
      <c r="HYM916" s="1091"/>
      <c r="HYN916" s="1091"/>
      <c r="HYO916" s="1091"/>
      <c r="HYP916" s="1091"/>
      <c r="HYQ916" s="1091"/>
      <c r="HYR916" s="1091"/>
      <c r="HYS916" s="1091"/>
      <c r="HYT916" s="1091"/>
      <c r="HYU916" s="1091"/>
      <c r="HYV916" s="1091"/>
      <c r="HYW916" s="1091"/>
      <c r="HYX916" s="1091"/>
      <c r="HYY916" s="1091"/>
      <c r="HYZ916" s="1091"/>
      <c r="HZA916" s="1091"/>
      <c r="HZB916" s="1091"/>
      <c r="HZC916" s="1091"/>
      <c r="HZD916" s="1091"/>
      <c r="HZE916" s="1091"/>
      <c r="HZF916" s="1091"/>
      <c r="HZG916" s="1091"/>
      <c r="HZH916" s="1091"/>
      <c r="HZI916" s="1091"/>
      <c r="HZJ916" s="1091"/>
      <c r="HZK916" s="1091"/>
      <c r="HZL916" s="1091"/>
      <c r="HZM916" s="1091"/>
      <c r="HZN916" s="1091"/>
      <c r="HZO916" s="1091"/>
      <c r="HZP916" s="1091"/>
      <c r="HZQ916" s="1091"/>
      <c r="HZR916" s="1091"/>
      <c r="HZS916" s="1091"/>
      <c r="HZT916" s="1091"/>
      <c r="HZU916" s="1091"/>
      <c r="HZV916" s="1091"/>
      <c r="HZW916" s="1091"/>
      <c r="HZX916" s="1091"/>
      <c r="HZY916" s="1091"/>
      <c r="HZZ916" s="1091"/>
      <c r="IAA916" s="1091"/>
      <c r="IAB916" s="1091"/>
      <c r="IAC916" s="1091"/>
      <c r="IAD916" s="1091"/>
      <c r="IAE916" s="1091"/>
      <c r="IAF916" s="1091"/>
      <c r="IAG916" s="1091"/>
      <c r="IAH916" s="1091"/>
      <c r="IAI916" s="1091"/>
      <c r="IAJ916" s="1091"/>
      <c r="IAK916" s="1091"/>
      <c r="IAL916" s="1091"/>
      <c r="IAM916" s="1091"/>
      <c r="IAN916" s="1091"/>
      <c r="IAO916" s="1091"/>
      <c r="IAP916" s="1091"/>
      <c r="IAQ916" s="1091"/>
      <c r="IAR916" s="1091"/>
      <c r="IAS916" s="1091"/>
      <c r="IAT916" s="1091"/>
      <c r="IAU916" s="1091"/>
      <c r="IAV916" s="1091"/>
      <c r="IAW916" s="1091"/>
      <c r="IAX916" s="1091"/>
      <c r="IAY916" s="1091"/>
      <c r="IAZ916" s="1091"/>
      <c r="IBA916" s="1091"/>
      <c r="IBB916" s="1091"/>
      <c r="IBC916" s="1091"/>
      <c r="IBD916" s="1091"/>
      <c r="IBE916" s="1091"/>
      <c r="IBF916" s="1091"/>
      <c r="IBG916" s="1091"/>
      <c r="IBH916" s="1091"/>
      <c r="IBI916" s="1091"/>
      <c r="IBJ916" s="1091"/>
      <c r="IBK916" s="1091"/>
      <c r="IBL916" s="1091"/>
      <c r="IBM916" s="1091"/>
      <c r="IBN916" s="1091"/>
      <c r="IBO916" s="1091"/>
      <c r="IBP916" s="1091"/>
      <c r="IBQ916" s="1091"/>
      <c r="IBR916" s="1091"/>
      <c r="IBS916" s="1091"/>
      <c r="IBT916" s="1091"/>
      <c r="IBU916" s="1091"/>
      <c r="IBV916" s="1091"/>
      <c r="IBW916" s="1091"/>
      <c r="IBX916" s="1091"/>
      <c r="IBY916" s="1091"/>
      <c r="IBZ916" s="1091"/>
      <c r="ICA916" s="1091"/>
      <c r="ICB916" s="1091"/>
      <c r="ICC916" s="1091"/>
      <c r="ICD916" s="1091"/>
      <c r="ICE916" s="1091"/>
      <c r="ICF916" s="1091"/>
      <c r="ICG916" s="1091"/>
      <c r="ICH916" s="1091"/>
      <c r="ICI916" s="1091"/>
      <c r="ICJ916" s="1091"/>
      <c r="ICK916" s="1091"/>
      <c r="ICL916" s="1091"/>
      <c r="ICM916" s="1091"/>
      <c r="ICN916" s="1091"/>
      <c r="ICO916" s="1091"/>
      <c r="ICP916" s="1091"/>
      <c r="ICQ916" s="1091"/>
      <c r="ICR916" s="1091"/>
      <c r="ICS916" s="1091"/>
      <c r="ICT916" s="1091"/>
      <c r="ICU916" s="1091"/>
      <c r="ICV916" s="1091"/>
      <c r="ICW916" s="1091"/>
      <c r="ICX916" s="1091"/>
      <c r="ICY916" s="1091"/>
      <c r="ICZ916" s="1091"/>
      <c r="IDA916" s="1091"/>
      <c r="IDB916" s="1091"/>
      <c r="IDC916" s="1091"/>
      <c r="IDD916" s="1091"/>
      <c r="IDE916" s="1091"/>
      <c r="IDF916" s="1091"/>
      <c r="IDG916" s="1091"/>
      <c r="IDH916" s="1091"/>
      <c r="IDI916" s="1091"/>
      <c r="IDJ916" s="1091"/>
      <c r="IDK916" s="1091"/>
      <c r="IDL916" s="1091"/>
      <c r="IDM916" s="1091"/>
      <c r="IDN916" s="1091"/>
      <c r="IDO916" s="1091"/>
      <c r="IDP916" s="1091"/>
      <c r="IDQ916" s="1091"/>
      <c r="IDR916" s="1091"/>
      <c r="IDS916" s="1091"/>
      <c r="IDT916" s="1091"/>
      <c r="IDU916" s="1091"/>
      <c r="IDV916" s="1091"/>
      <c r="IDW916" s="1091"/>
      <c r="IDX916" s="1091"/>
      <c r="IDY916" s="1091"/>
      <c r="IDZ916" s="1091"/>
      <c r="IEA916" s="1091"/>
      <c r="IEB916" s="1091"/>
      <c r="IEC916" s="1091"/>
      <c r="IED916" s="1091"/>
      <c r="IEE916" s="1091"/>
      <c r="IEF916" s="1091"/>
      <c r="IEG916" s="1091"/>
      <c r="IEH916" s="1091"/>
      <c r="IEI916" s="1091"/>
      <c r="IEJ916" s="1091"/>
      <c r="IEK916" s="1091"/>
      <c r="IEL916" s="1091"/>
      <c r="IEM916" s="1091"/>
      <c r="IEN916" s="1091"/>
      <c r="IEO916" s="1091"/>
      <c r="IEP916" s="1091"/>
      <c r="IEQ916" s="1091"/>
      <c r="IER916" s="1091"/>
      <c r="IES916" s="1091"/>
      <c r="IET916" s="1091"/>
      <c r="IEU916" s="1091"/>
      <c r="IEV916" s="1091"/>
      <c r="IEW916" s="1091"/>
      <c r="IEX916" s="1091"/>
      <c r="IEY916" s="1091"/>
      <c r="IEZ916" s="1091"/>
      <c r="IFA916" s="1091"/>
      <c r="IFB916" s="1091"/>
      <c r="IFC916" s="1091"/>
      <c r="IFD916" s="1091"/>
      <c r="IFE916" s="1091"/>
      <c r="IFF916" s="1091"/>
      <c r="IFG916" s="1091"/>
      <c r="IFH916" s="1091"/>
      <c r="IFI916" s="1091"/>
      <c r="IFJ916" s="1091"/>
      <c r="IFK916" s="1091"/>
      <c r="IFL916" s="1091"/>
      <c r="IFM916" s="1091"/>
      <c r="IFN916" s="1091"/>
      <c r="IFO916" s="1091"/>
      <c r="IFP916" s="1091"/>
      <c r="IFQ916" s="1091"/>
      <c r="IFR916" s="1091"/>
      <c r="IFS916" s="1091"/>
      <c r="IFT916" s="1091"/>
      <c r="IFU916" s="1091"/>
      <c r="IFV916" s="1091"/>
      <c r="IFW916" s="1091"/>
      <c r="IFX916" s="1091"/>
      <c r="IFY916" s="1091"/>
      <c r="IFZ916" s="1091"/>
      <c r="IGA916" s="1091"/>
      <c r="IGB916" s="1091"/>
      <c r="IGC916" s="1091"/>
      <c r="IGD916" s="1091"/>
      <c r="IGE916" s="1091"/>
      <c r="IGF916" s="1091"/>
      <c r="IGG916" s="1091"/>
      <c r="IGH916" s="1091"/>
      <c r="IGI916" s="1091"/>
      <c r="IGJ916" s="1091"/>
      <c r="IGK916" s="1091"/>
      <c r="IGL916" s="1091"/>
      <c r="IGM916" s="1091"/>
      <c r="IGN916" s="1091"/>
      <c r="IGO916" s="1091"/>
      <c r="IGP916" s="1091"/>
      <c r="IGQ916" s="1091"/>
      <c r="IGR916" s="1091"/>
      <c r="IGS916" s="1091"/>
      <c r="IGT916" s="1091"/>
      <c r="IGU916" s="1091"/>
      <c r="IGV916" s="1091"/>
      <c r="IGW916" s="1091"/>
      <c r="IGX916" s="1091"/>
      <c r="IGY916" s="1091"/>
      <c r="IGZ916" s="1091"/>
      <c r="IHA916" s="1091"/>
      <c r="IHB916" s="1091"/>
      <c r="IHC916" s="1091"/>
      <c r="IHD916" s="1091"/>
      <c r="IHE916" s="1091"/>
      <c r="IHF916" s="1091"/>
      <c r="IHG916" s="1091"/>
      <c r="IHH916" s="1091"/>
      <c r="IHI916" s="1091"/>
      <c r="IHJ916" s="1091"/>
      <c r="IHK916" s="1091"/>
      <c r="IHL916" s="1091"/>
      <c r="IHM916" s="1091"/>
      <c r="IHN916" s="1091"/>
      <c r="IHO916" s="1091"/>
      <c r="IHP916" s="1091"/>
      <c r="IHQ916" s="1091"/>
      <c r="IHR916" s="1091"/>
      <c r="IHS916" s="1091"/>
      <c r="IHT916" s="1091"/>
      <c r="IHU916" s="1091"/>
      <c r="IHV916" s="1091"/>
      <c r="IHW916" s="1091"/>
      <c r="IHX916" s="1091"/>
      <c r="IHY916" s="1091"/>
      <c r="IHZ916" s="1091"/>
      <c r="IIA916" s="1091"/>
      <c r="IIB916" s="1091"/>
      <c r="IIC916" s="1091"/>
      <c r="IID916" s="1091"/>
      <c r="IIE916" s="1091"/>
      <c r="IIF916" s="1091"/>
      <c r="IIG916" s="1091"/>
      <c r="IIH916" s="1091"/>
      <c r="III916" s="1091"/>
      <c r="IIJ916" s="1091"/>
      <c r="IIK916" s="1091"/>
      <c r="IIL916" s="1091"/>
      <c r="IIM916" s="1091"/>
      <c r="IIN916" s="1091"/>
      <c r="IIO916" s="1091"/>
      <c r="IIP916" s="1091"/>
      <c r="IIQ916" s="1091"/>
      <c r="IIR916" s="1091"/>
      <c r="IIS916" s="1091"/>
      <c r="IIT916" s="1091"/>
      <c r="IIU916" s="1091"/>
      <c r="IIV916" s="1091"/>
      <c r="IIW916" s="1091"/>
      <c r="IIX916" s="1091"/>
      <c r="IIY916" s="1091"/>
      <c r="IIZ916" s="1091"/>
      <c r="IJA916" s="1091"/>
      <c r="IJB916" s="1091"/>
      <c r="IJC916" s="1091"/>
      <c r="IJD916" s="1091"/>
      <c r="IJE916" s="1091"/>
      <c r="IJF916" s="1091"/>
      <c r="IJG916" s="1091"/>
      <c r="IJH916" s="1091"/>
      <c r="IJI916" s="1091"/>
      <c r="IJJ916" s="1091"/>
      <c r="IJK916" s="1091"/>
      <c r="IJL916" s="1091"/>
      <c r="IJM916" s="1091"/>
      <c r="IJN916" s="1091"/>
      <c r="IJO916" s="1091"/>
      <c r="IJP916" s="1091"/>
      <c r="IJQ916" s="1091"/>
      <c r="IJR916" s="1091"/>
      <c r="IJS916" s="1091"/>
      <c r="IJT916" s="1091"/>
      <c r="IJU916" s="1091"/>
      <c r="IJV916" s="1091"/>
      <c r="IJW916" s="1091"/>
      <c r="IJX916" s="1091"/>
      <c r="IJY916" s="1091"/>
      <c r="IJZ916" s="1091"/>
      <c r="IKA916" s="1091"/>
      <c r="IKB916" s="1091"/>
      <c r="IKC916" s="1091"/>
      <c r="IKD916" s="1091"/>
      <c r="IKE916" s="1091"/>
      <c r="IKF916" s="1091"/>
      <c r="IKG916" s="1091"/>
      <c r="IKH916" s="1091"/>
      <c r="IKI916" s="1091"/>
      <c r="IKJ916" s="1091"/>
      <c r="IKK916" s="1091"/>
      <c r="IKL916" s="1091"/>
      <c r="IKM916" s="1091"/>
      <c r="IKN916" s="1091"/>
      <c r="IKO916" s="1091"/>
      <c r="IKP916" s="1091"/>
      <c r="IKQ916" s="1091"/>
      <c r="IKR916" s="1091"/>
      <c r="IKS916" s="1091"/>
      <c r="IKT916" s="1091"/>
      <c r="IKU916" s="1091"/>
      <c r="IKV916" s="1091"/>
      <c r="IKW916" s="1091"/>
      <c r="IKX916" s="1091"/>
      <c r="IKY916" s="1091"/>
      <c r="IKZ916" s="1091"/>
      <c r="ILA916" s="1091"/>
      <c r="ILB916" s="1091"/>
      <c r="ILC916" s="1091"/>
      <c r="ILD916" s="1091"/>
      <c r="ILE916" s="1091"/>
      <c r="ILF916" s="1091"/>
      <c r="ILG916" s="1091"/>
      <c r="ILH916" s="1091"/>
      <c r="ILI916" s="1091"/>
      <c r="ILJ916" s="1091"/>
      <c r="ILK916" s="1091"/>
      <c r="ILL916" s="1091"/>
      <c r="ILM916" s="1091"/>
      <c r="ILN916" s="1091"/>
      <c r="ILO916" s="1091"/>
      <c r="ILP916" s="1091"/>
      <c r="ILQ916" s="1091"/>
      <c r="ILR916" s="1091"/>
      <c r="ILS916" s="1091"/>
      <c r="ILT916" s="1091"/>
      <c r="ILU916" s="1091"/>
      <c r="ILV916" s="1091"/>
      <c r="ILW916" s="1091"/>
      <c r="ILX916" s="1091"/>
      <c r="ILY916" s="1091"/>
      <c r="ILZ916" s="1091"/>
      <c r="IMA916" s="1091"/>
      <c r="IMB916" s="1091"/>
      <c r="IMC916" s="1091"/>
      <c r="IMD916" s="1091"/>
      <c r="IME916" s="1091"/>
      <c r="IMF916" s="1091"/>
      <c r="IMG916" s="1091"/>
      <c r="IMH916" s="1091"/>
      <c r="IMI916" s="1091"/>
      <c r="IMJ916" s="1091"/>
      <c r="IMK916" s="1091"/>
      <c r="IML916" s="1091"/>
      <c r="IMM916" s="1091"/>
      <c r="IMN916" s="1091"/>
      <c r="IMO916" s="1091"/>
      <c r="IMP916" s="1091"/>
      <c r="IMQ916" s="1091"/>
      <c r="IMR916" s="1091"/>
      <c r="IMS916" s="1091"/>
      <c r="IMT916" s="1091"/>
      <c r="IMU916" s="1091"/>
      <c r="IMV916" s="1091"/>
      <c r="IMW916" s="1091"/>
      <c r="IMX916" s="1091"/>
      <c r="IMY916" s="1091"/>
      <c r="IMZ916" s="1091"/>
      <c r="INA916" s="1091"/>
      <c r="INB916" s="1091"/>
      <c r="INC916" s="1091"/>
      <c r="IND916" s="1091"/>
      <c r="INE916" s="1091"/>
      <c r="INF916" s="1091"/>
      <c r="ING916" s="1091"/>
      <c r="INH916" s="1091"/>
      <c r="INI916" s="1091"/>
      <c r="INJ916" s="1091"/>
      <c r="INK916" s="1091"/>
      <c r="INL916" s="1091"/>
      <c r="INM916" s="1091"/>
      <c r="INN916" s="1091"/>
      <c r="INO916" s="1091"/>
      <c r="INP916" s="1091"/>
      <c r="INQ916" s="1091"/>
      <c r="INR916" s="1091"/>
      <c r="INS916" s="1091"/>
      <c r="INT916" s="1091"/>
      <c r="INU916" s="1091"/>
      <c r="INV916" s="1091"/>
      <c r="INW916" s="1091"/>
      <c r="INX916" s="1091"/>
      <c r="INY916" s="1091"/>
      <c r="INZ916" s="1091"/>
      <c r="IOA916" s="1091"/>
      <c r="IOB916" s="1091"/>
      <c r="IOC916" s="1091"/>
      <c r="IOD916" s="1091"/>
      <c r="IOE916" s="1091"/>
      <c r="IOF916" s="1091"/>
      <c r="IOG916" s="1091"/>
      <c r="IOH916" s="1091"/>
      <c r="IOI916" s="1091"/>
      <c r="IOJ916" s="1091"/>
      <c r="IOK916" s="1091"/>
      <c r="IOL916" s="1091"/>
      <c r="IOM916" s="1091"/>
      <c r="ION916" s="1091"/>
      <c r="IOO916" s="1091"/>
      <c r="IOP916" s="1091"/>
      <c r="IOQ916" s="1091"/>
      <c r="IOR916" s="1091"/>
      <c r="IOS916" s="1091"/>
      <c r="IOT916" s="1091"/>
      <c r="IOU916" s="1091"/>
      <c r="IOV916" s="1091"/>
      <c r="IOW916" s="1091"/>
      <c r="IOX916" s="1091"/>
      <c r="IOY916" s="1091"/>
      <c r="IOZ916" s="1091"/>
      <c r="IPA916" s="1091"/>
      <c r="IPB916" s="1091"/>
      <c r="IPC916" s="1091"/>
      <c r="IPD916" s="1091"/>
      <c r="IPE916" s="1091"/>
      <c r="IPF916" s="1091"/>
      <c r="IPG916" s="1091"/>
      <c r="IPH916" s="1091"/>
      <c r="IPI916" s="1091"/>
      <c r="IPJ916" s="1091"/>
      <c r="IPK916" s="1091"/>
      <c r="IPL916" s="1091"/>
      <c r="IPM916" s="1091"/>
      <c r="IPN916" s="1091"/>
      <c r="IPO916" s="1091"/>
      <c r="IPP916" s="1091"/>
      <c r="IPQ916" s="1091"/>
      <c r="IPR916" s="1091"/>
      <c r="IPS916" s="1091"/>
      <c r="IPT916" s="1091"/>
      <c r="IPU916" s="1091"/>
      <c r="IPV916" s="1091"/>
      <c r="IPW916" s="1091"/>
      <c r="IPX916" s="1091"/>
      <c r="IPY916" s="1091"/>
      <c r="IPZ916" s="1091"/>
      <c r="IQA916" s="1091"/>
      <c r="IQB916" s="1091"/>
      <c r="IQC916" s="1091"/>
      <c r="IQD916" s="1091"/>
      <c r="IQE916" s="1091"/>
      <c r="IQF916" s="1091"/>
      <c r="IQG916" s="1091"/>
      <c r="IQH916" s="1091"/>
      <c r="IQI916" s="1091"/>
      <c r="IQJ916" s="1091"/>
      <c r="IQK916" s="1091"/>
      <c r="IQL916" s="1091"/>
      <c r="IQM916" s="1091"/>
      <c r="IQN916" s="1091"/>
      <c r="IQO916" s="1091"/>
      <c r="IQP916" s="1091"/>
      <c r="IQQ916" s="1091"/>
      <c r="IQR916" s="1091"/>
      <c r="IQS916" s="1091"/>
      <c r="IQT916" s="1091"/>
      <c r="IQU916" s="1091"/>
      <c r="IQV916" s="1091"/>
      <c r="IQW916" s="1091"/>
      <c r="IQX916" s="1091"/>
      <c r="IQY916" s="1091"/>
      <c r="IQZ916" s="1091"/>
      <c r="IRA916" s="1091"/>
      <c r="IRB916" s="1091"/>
      <c r="IRC916" s="1091"/>
      <c r="IRD916" s="1091"/>
      <c r="IRE916" s="1091"/>
      <c r="IRF916" s="1091"/>
      <c r="IRG916" s="1091"/>
      <c r="IRH916" s="1091"/>
      <c r="IRI916" s="1091"/>
      <c r="IRJ916" s="1091"/>
      <c r="IRK916" s="1091"/>
      <c r="IRL916" s="1091"/>
      <c r="IRM916" s="1091"/>
      <c r="IRN916" s="1091"/>
      <c r="IRO916" s="1091"/>
      <c r="IRP916" s="1091"/>
      <c r="IRQ916" s="1091"/>
      <c r="IRR916" s="1091"/>
      <c r="IRS916" s="1091"/>
      <c r="IRT916" s="1091"/>
      <c r="IRU916" s="1091"/>
      <c r="IRV916" s="1091"/>
      <c r="IRW916" s="1091"/>
      <c r="IRX916" s="1091"/>
      <c r="IRY916" s="1091"/>
      <c r="IRZ916" s="1091"/>
      <c r="ISA916" s="1091"/>
      <c r="ISB916" s="1091"/>
      <c r="ISC916" s="1091"/>
      <c r="ISD916" s="1091"/>
      <c r="ISE916" s="1091"/>
      <c r="ISF916" s="1091"/>
      <c r="ISG916" s="1091"/>
      <c r="ISH916" s="1091"/>
      <c r="ISI916" s="1091"/>
      <c r="ISJ916" s="1091"/>
      <c r="ISK916" s="1091"/>
      <c r="ISL916" s="1091"/>
      <c r="ISM916" s="1091"/>
      <c r="ISN916" s="1091"/>
      <c r="ISO916" s="1091"/>
      <c r="ISP916" s="1091"/>
      <c r="ISQ916" s="1091"/>
      <c r="ISR916" s="1091"/>
      <c r="ISS916" s="1091"/>
      <c r="IST916" s="1091"/>
      <c r="ISU916" s="1091"/>
      <c r="ISV916" s="1091"/>
      <c r="ISW916" s="1091"/>
      <c r="ISX916" s="1091"/>
      <c r="ISY916" s="1091"/>
      <c r="ISZ916" s="1091"/>
      <c r="ITA916" s="1091"/>
      <c r="ITB916" s="1091"/>
      <c r="ITC916" s="1091"/>
      <c r="ITD916" s="1091"/>
      <c r="ITE916" s="1091"/>
      <c r="ITF916" s="1091"/>
      <c r="ITG916" s="1091"/>
      <c r="ITH916" s="1091"/>
      <c r="ITI916" s="1091"/>
      <c r="ITJ916" s="1091"/>
      <c r="ITK916" s="1091"/>
      <c r="ITL916" s="1091"/>
      <c r="ITM916" s="1091"/>
      <c r="ITN916" s="1091"/>
      <c r="ITO916" s="1091"/>
      <c r="ITP916" s="1091"/>
      <c r="ITQ916" s="1091"/>
      <c r="ITR916" s="1091"/>
      <c r="ITS916" s="1091"/>
      <c r="ITT916" s="1091"/>
      <c r="ITU916" s="1091"/>
      <c r="ITV916" s="1091"/>
      <c r="ITW916" s="1091"/>
      <c r="ITX916" s="1091"/>
      <c r="ITY916" s="1091"/>
      <c r="ITZ916" s="1091"/>
      <c r="IUA916" s="1091"/>
      <c r="IUB916" s="1091"/>
      <c r="IUC916" s="1091"/>
      <c r="IUD916" s="1091"/>
      <c r="IUE916" s="1091"/>
      <c r="IUF916" s="1091"/>
      <c r="IUG916" s="1091"/>
      <c r="IUH916" s="1091"/>
      <c r="IUI916" s="1091"/>
      <c r="IUJ916" s="1091"/>
      <c r="IUK916" s="1091"/>
      <c r="IUL916" s="1091"/>
      <c r="IUM916" s="1091"/>
      <c r="IUN916" s="1091"/>
      <c r="IUO916" s="1091"/>
      <c r="IUP916" s="1091"/>
      <c r="IUQ916" s="1091"/>
      <c r="IUR916" s="1091"/>
      <c r="IUS916" s="1091"/>
      <c r="IUT916" s="1091"/>
      <c r="IUU916" s="1091"/>
      <c r="IUV916" s="1091"/>
      <c r="IUW916" s="1091"/>
      <c r="IUX916" s="1091"/>
      <c r="IUY916" s="1091"/>
      <c r="IUZ916" s="1091"/>
      <c r="IVA916" s="1091"/>
      <c r="IVB916" s="1091"/>
      <c r="IVC916" s="1091"/>
      <c r="IVD916" s="1091"/>
      <c r="IVE916" s="1091"/>
      <c r="IVF916" s="1091"/>
      <c r="IVG916" s="1091"/>
      <c r="IVH916" s="1091"/>
      <c r="IVI916" s="1091"/>
      <c r="IVJ916" s="1091"/>
      <c r="IVK916" s="1091"/>
      <c r="IVL916" s="1091"/>
      <c r="IVM916" s="1091"/>
      <c r="IVN916" s="1091"/>
      <c r="IVO916" s="1091"/>
      <c r="IVP916" s="1091"/>
      <c r="IVQ916" s="1091"/>
      <c r="IVR916" s="1091"/>
      <c r="IVS916" s="1091"/>
      <c r="IVT916" s="1091"/>
      <c r="IVU916" s="1091"/>
      <c r="IVV916" s="1091"/>
      <c r="IVW916" s="1091"/>
      <c r="IVX916" s="1091"/>
      <c r="IVY916" s="1091"/>
      <c r="IVZ916" s="1091"/>
      <c r="IWA916" s="1091"/>
      <c r="IWB916" s="1091"/>
      <c r="IWC916" s="1091"/>
      <c r="IWD916" s="1091"/>
      <c r="IWE916" s="1091"/>
      <c r="IWF916" s="1091"/>
      <c r="IWG916" s="1091"/>
      <c r="IWH916" s="1091"/>
      <c r="IWI916" s="1091"/>
      <c r="IWJ916" s="1091"/>
      <c r="IWK916" s="1091"/>
      <c r="IWL916" s="1091"/>
      <c r="IWM916" s="1091"/>
      <c r="IWN916" s="1091"/>
      <c r="IWO916" s="1091"/>
      <c r="IWP916" s="1091"/>
      <c r="IWQ916" s="1091"/>
      <c r="IWR916" s="1091"/>
      <c r="IWS916" s="1091"/>
      <c r="IWT916" s="1091"/>
      <c r="IWU916" s="1091"/>
      <c r="IWV916" s="1091"/>
      <c r="IWW916" s="1091"/>
      <c r="IWX916" s="1091"/>
      <c r="IWY916" s="1091"/>
      <c r="IWZ916" s="1091"/>
      <c r="IXA916" s="1091"/>
      <c r="IXB916" s="1091"/>
      <c r="IXC916" s="1091"/>
      <c r="IXD916" s="1091"/>
      <c r="IXE916" s="1091"/>
      <c r="IXF916" s="1091"/>
      <c r="IXG916" s="1091"/>
      <c r="IXH916" s="1091"/>
      <c r="IXI916" s="1091"/>
      <c r="IXJ916" s="1091"/>
      <c r="IXK916" s="1091"/>
      <c r="IXL916" s="1091"/>
      <c r="IXM916" s="1091"/>
      <c r="IXN916" s="1091"/>
      <c r="IXO916" s="1091"/>
      <c r="IXP916" s="1091"/>
      <c r="IXQ916" s="1091"/>
      <c r="IXR916" s="1091"/>
      <c r="IXS916" s="1091"/>
      <c r="IXT916" s="1091"/>
      <c r="IXU916" s="1091"/>
      <c r="IXV916" s="1091"/>
      <c r="IXW916" s="1091"/>
      <c r="IXX916" s="1091"/>
      <c r="IXY916" s="1091"/>
      <c r="IXZ916" s="1091"/>
      <c r="IYA916" s="1091"/>
      <c r="IYB916" s="1091"/>
      <c r="IYC916" s="1091"/>
      <c r="IYD916" s="1091"/>
      <c r="IYE916" s="1091"/>
      <c r="IYF916" s="1091"/>
      <c r="IYG916" s="1091"/>
      <c r="IYH916" s="1091"/>
      <c r="IYI916" s="1091"/>
      <c r="IYJ916" s="1091"/>
      <c r="IYK916" s="1091"/>
      <c r="IYL916" s="1091"/>
      <c r="IYM916" s="1091"/>
      <c r="IYN916" s="1091"/>
      <c r="IYO916" s="1091"/>
      <c r="IYP916" s="1091"/>
      <c r="IYQ916" s="1091"/>
      <c r="IYR916" s="1091"/>
      <c r="IYS916" s="1091"/>
      <c r="IYT916" s="1091"/>
      <c r="IYU916" s="1091"/>
      <c r="IYV916" s="1091"/>
      <c r="IYW916" s="1091"/>
      <c r="IYX916" s="1091"/>
      <c r="IYY916" s="1091"/>
      <c r="IYZ916" s="1091"/>
      <c r="IZA916" s="1091"/>
      <c r="IZB916" s="1091"/>
      <c r="IZC916" s="1091"/>
      <c r="IZD916" s="1091"/>
      <c r="IZE916" s="1091"/>
      <c r="IZF916" s="1091"/>
      <c r="IZG916" s="1091"/>
      <c r="IZH916" s="1091"/>
      <c r="IZI916" s="1091"/>
      <c r="IZJ916" s="1091"/>
      <c r="IZK916" s="1091"/>
      <c r="IZL916" s="1091"/>
      <c r="IZM916" s="1091"/>
      <c r="IZN916" s="1091"/>
      <c r="IZO916" s="1091"/>
      <c r="IZP916" s="1091"/>
      <c r="IZQ916" s="1091"/>
      <c r="IZR916" s="1091"/>
      <c r="IZS916" s="1091"/>
      <c r="IZT916" s="1091"/>
      <c r="IZU916" s="1091"/>
      <c r="IZV916" s="1091"/>
      <c r="IZW916" s="1091"/>
      <c r="IZX916" s="1091"/>
      <c r="IZY916" s="1091"/>
      <c r="IZZ916" s="1091"/>
      <c r="JAA916" s="1091"/>
      <c r="JAB916" s="1091"/>
      <c r="JAC916" s="1091"/>
      <c r="JAD916" s="1091"/>
      <c r="JAE916" s="1091"/>
      <c r="JAF916" s="1091"/>
      <c r="JAG916" s="1091"/>
      <c r="JAH916" s="1091"/>
      <c r="JAI916" s="1091"/>
      <c r="JAJ916" s="1091"/>
      <c r="JAK916" s="1091"/>
      <c r="JAL916" s="1091"/>
      <c r="JAM916" s="1091"/>
      <c r="JAN916" s="1091"/>
      <c r="JAO916" s="1091"/>
      <c r="JAP916" s="1091"/>
      <c r="JAQ916" s="1091"/>
      <c r="JAR916" s="1091"/>
      <c r="JAS916" s="1091"/>
      <c r="JAT916" s="1091"/>
      <c r="JAU916" s="1091"/>
      <c r="JAV916" s="1091"/>
      <c r="JAW916" s="1091"/>
      <c r="JAX916" s="1091"/>
      <c r="JAY916" s="1091"/>
      <c r="JAZ916" s="1091"/>
      <c r="JBA916" s="1091"/>
      <c r="JBB916" s="1091"/>
      <c r="JBC916" s="1091"/>
      <c r="JBD916" s="1091"/>
      <c r="JBE916" s="1091"/>
      <c r="JBF916" s="1091"/>
      <c r="JBG916" s="1091"/>
      <c r="JBH916" s="1091"/>
      <c r="JBI916" s="1091"/>
      <c r="JBJ916" s="1091"/>
      <c r="JBK916" s="1091"/>
      <c r="JBL916" s="1091"/>
      <c r="JBM916" s="1091"/>
      <c r="JBN916" s="1091"/>
      <c r="JBO916" s="1091"/>
      <c r="JBP916" s="1091"/>
      <c r="JBQ916" s="1091"/>
      <c r="JBR916" s="1091"/>
      <c r="JBS916" s="1091"/>
      <c r="JBT916" s="1091"/>
      <c r="JBU916" s="1091"/>
      <c r="JBV916" s="1091"/>
      <c r="JBW916" s="1091"/>
      <c r="JBX916" s="1091"/>
      <c r="JBY916" s="1091"/>
      <c r="JBZ916" s="1091"/>
      <c r="JCA916" s="1091"/>
      <c r="JCB916" s="1091"/>
      <c r="JCC916" s="1091"/>
      <c r="JCD916" s="1091"/>
      <c r="JCE916" s="1091"/>
      <c r="JCF916" s="1091"/>
      <c r="JCG916" s="1091"/>
      <c r="JCH916" s="1091"/>
      <c r="JCI916" s="1091"/>
      <c r="JCJ916" s="1091"/>
      <c r="JCK916" s="1091"/>
      <c r="JCL916" s="1091"/>
      <c r="JCM916" s="1091"/>
      <c r="JCN916" s="1091"/>
      <c r="JCO916" s="1091"/>
      <c r="JCP916" s="1091"/>
      <c r="JCQ916" s="1091"/>
      <c r="JCR916" s="1091"/>
      <c r="JCS916" s="1091"/>
      <c r="JCT916" s="1091"/>
      <c r="JCU916" s="1091"/>
      <c r="JCV916" s="1091"/>
      <c r="JCW916" s="1091"/>
      <c r="JCX916" s="1091"/>
      <c r="JCY916" s="1091"/>
      <c r="JCZ916" s="1091"/>
      <c r="JDA916" s="1091"/>
      <c r="JDB916" s="1091"/>
      <c r="JDC916" s="1091"/>
      <c r="JDD916" s="1091"/>
      <c r="JDE916" s="1091"/>
      <c r="JDF916" s="1091"/>
      <c r="JDG916" s="1091"/>
      <c r="JDH916" s="1091"/>
      <c r="JDI916" s="1091"/>
      <c r="JDJ916" s="1091"/>
      <c r="JDK916" s="1091"/>
      <c r="JDL916" s="1091"/>
      <c r="JDM916" s="1091"/>
      <c r="JDN916" s="1091"/>
      <c r="JDO916" s="1091"/>
      <c r="JDP916" s="1091"/>
      <c r="JDQ916" s="1091"/>
      <c r="JDR916" s="1091"/>
      <c r="JDS916" s="1091"/>
      <c r="JDT916" s="1091"/>
      <c r="JDU916" s="1091"/>
      <c r="JDV916" s="1091"/>
      <c r="JDW916" s="1091"/>
      <c r="JDX916" s="1091"/>
      <c r="JDY916" s="1091"/>
      <c r="JDZ916" s="1091"/>
      <c r="JEA916" s="1091"/>
      <c r="JEB916" s="1091"/>
      <c r="JEC916" s="1091"/>
      <c r="JED916" s="1091"/>
      <c r="JEE916" s="1091"/>
      <c r="JEF916" s="1091"/>
      <c r="JEG916" s="1091"/>
      <c r="JEH916" s="1091"/>
      <c r="JEI916" s="1091"/>
      <c r="JEJ916" s="1091"/>
      <c r="JEK916" s="1091"/>
      <c r="JEL916" s="1091"/>
      <c r="JEM916" s="1091"/>
      <c r="JEN916" s="1091"/>
      <c r="JEO916" s="1091"/>
      <c r="JEP916" s="1091"/>
      <c r="JEQ916" s="1091"/>
      <c r="JER916" s="1091"/>
      <c r="JES916" s="1091"/>
      <c r="JET916" s="1091"/>
      <c r="JEU916" s="1091"/>
      <c r="JEV916" s="1091"/>
      <c r="JEW916" s="1091"/>
      <c r="JEX916" s="1091"/>
      <c r="JEY916" s="1091"/>
      <c r="JEZ916" s="1091"/>
      <c r="JFA916" s="1091"/>
      <c r="JFB916" s="1091"/>
      <c r="JFC916" s="1091"/>
      <c r="JFD916" s="1091"/>
      <c r="JFE916" s="1091"/>
      <c r="JFF916" s="1091"/>
      <c r="JFG916" s="1091"/>
      <c r="JFH916" s="1091"/>
      <c r="JFI916" s="1091"/>
      <c r="JFJ916" s="1091"/>
      <c r="JFK916" s="1091"/>
      <c r="JFL916" s="1091"/>
      <c r="JFM916" s="1091"/>
      <c r="JFN916" s="1091"/>
      <c r="JFO916" s="1091"/>
      <c r="JFP916" s="1091"/>
      <c r="JFQ916" s="1091"/>
      <c r="JFR916" s="1091"/>
      <c r="JFS916" s="1091"/>
      <c r="JFT916" s="1091"/>
      <c r="JFU916" s="1091"/>
      <c r="JFV916" s="1091"/>
      <c r="JFW916" s="1091"/>
      <c r="JFX916" s="1091"/>
      <c r="JFY916" s="1091"/>
      <c r="JFZ916" s="1091"/>
      <c r="JGA916" s="1091"/>
      <c r="JGB916" s="1091"/>
      <c r="JGC916" s="1091"/>
      <c r="JGD916" s="1091"/>
      <c r="JGE916" s="1091"/>
      <c r="JGF916" s="1091"/>
      <c r="JGG916" s="1091"/>
      <c r="JGH916" s="1091"/>
      <c r="JGI916" s="1091"/>
      <c r="JGJ916" s="1091"/>
      <c r="JGK916" s="1091"/>
      <c r="JGL916" s="1091"/>
      <c r="JGM916" s="1091"/>
      <c r="JGN916" s="1091"/>
      <c r="JGO916" s="1091"/>
      <c r="JGP916" s="1091"/>
      <c r="JGQ916" s="1091"/>
      <c r="JGR916" s="1091"/>
      <c r="JGS916" s="1091"/>
      <c r="JGT916" s="1091"/>
      <c r="JGU916" s="1091"/>
      <c r="JGV916" s="1091"/>
      <c r="JGW916" s="1091"/>
      <c r="JGX916" s="1091"/>
      <c r="JGY916" s="1091"/>
      <c r="JGZ916" s="1091"/>
      <c r="JHA916" s="1091"/>
      <c r="JHB916" s="1091"/>
      <c r="JHC916" s="1091"/>
      <c r="JHD916" s="1091"/>
      <c r="JHE916" s="1091"/>
      <c r="JHF916" s="1091"/>
      <c r="JHG916" s="1091"/>
      <c r="JHH916" s="1091"/>
      <c r="JHI916" s="1091"/>
      <c r="JHJ916" s="1091"/>
      <c r="JHK916" s="1091"/>
      <c r="JHL916" s="1091"/>
      <c r="JHM916" s="1091"/>
      <c r="JHN916" s="1091"/>
      <c r="JHO916" s="1091"/>
      <c r="JHP916" s="1091"/>
      <c r="JHQ916" s="1091"/>
      <c r="JHR916" s="1091"/>
      <c r="JHS916" s="1091"/>
      <c r="JHT916" s="1091"/>
      <c r="JHU916" s="1091"/>
      <c r="JHV916" s="1091"/>
      <c r="JHW916" s="1091"/>
      <c r="JHX916" s="1091"/>
      <c r="JHY916" s="1091"/>
      <c r="JHZ916" s="1091"/>
      <c r="JIA916" s="1091"/>
      <c r="JIB916" s="1091"/>
      <c r="JIC916" s="1091"/>
      <c r="JID916" s="1091"/>
      <c r="JIE916" s="1091"/>
      <c r="JIF916" s="1091"/>
      <c r="JIG916" s="1091"/>
      <c r="JIH916" s="1091"/>
      <c r="JII916" s="1091"/>
      <c r="JIJ916" s="1091"/>
      <c r="JIK916" s="1091"/>
      <c r="JIL916" s="1091"/>
      <c r="JIM916" s="1091"/>
      <c r="JIN916" s="1091"/>
      <c r="JIO916" s="1091"/>
      <c r="JIP916" s="1091"/>
      <c r="JIQ916" s="1091"/>
      <c r="JIR916" s="1091"/>
      <c r="JIS916" s="1091"/>
      <c r="JIT916" s="1091"/>
      <c r="JIU916" s="1091"/>
      <c r="JIV916" s="1091"/>
      <c r="JIW916" s="1091"/>
      <c r="JIX916" s="1091"/>
      <c r="JIY916" s="1091"/>
      <c r="JIZ916" s="1091"/>
      <c r="JJA916" s="1091"/>
      <c r="JJB916" s="1091"/>
      <c r="JJC916" s="1091"/>
      <c r="JJD916" s="1091"/>
      <c r="JJE916" s="1091"/>
      <c r="JJF916" s="1091"/>
      <c r="JJG916" s="1091"/>
      <c r="JJH916" s="1091"/>
      <c r="JJI916" s="1091"/>
      <c r="JJJ916" s="1091"/>
      <c r="JJK916" s="1091"/>
      <c r="JJL916" s="1091"/>
      <c r="JJM916" s="1091"/>
      <c r="JJN916" s="1091"/>
      <c r="JJO916" s="1091"/>
      <c r="JJP916" s="1091"/>
      <c r="JJQ916" s="1091"/>
      <c r="JJR916" s="1091"/>
      <c r="JJS916" s="1091"/>
      <c r="JJT916" s="1091"/>
      <c r="JJU916" s="1091"/>
      <c r="JJV916" s="1091"/>
      <c r="JJW916" s="1091"/>
      <c r="JJX916" s="1091"/>
      <c r="JJY916" s="1091"/>
      <c r="JJZ916" s="1091"/>
      <c r="JKA916" s="1091"/>
      <c r="JKB916" s="1091"/>
      <c r="JKC916" s="1091"/>
      <c r="JKD916" s="1091"/>
      <c r="JKE916" s="1091"/>
      <c r="JKF916" s="1091"/>
      <c r="JKG916" s="1091"/>
      <c r="JKH916" s="1091"/>
      <c r="JKI916" s="1091"/>
      <c r="JKJ916" s="1091"/>
      <c r="JKK916" s="1091"/>
      <c r="JKL916" s="1091"/>
      <c r="JKM916" s="1091"/>
      <c r="JKN916" s="1091"/>
      <c r="JKO916" s="1091"/>
      <c r="JKP916" s="1091"/>
      <c r="JKQ916" s="1091"/>
      <c r="JKR916" s="1091"/>
      <c r="JKS916" s="1091"/>
      <c r="JKT916" s="1091"/>
      <c r="JKU916" s="1091"/>
      <c r="JKV916" s="1091"/>
      <c r="JKW916" s="1091"/>
      <c r="JKX916" s="1091"/>
      <c r="JKY916" s="1091"/>
      <c r="JKZ916" s="1091"/>
      <c r="JLA916" s="1091"/>
      <c r="JLB916" s="1091"/>
      <c r="JLC916" s="1091"/>
      <c r="JLD916" s="1091"/>
      <c r="JLE916" s="1091"/>
      <c r="JLF916" s="1091"/>
      <c r="JLG916" s="1091"/>
      <c r="JLH916" s="1091"/>
      <c r="JLI916" s="1091"/>
      <c r="JLJ916" s="1091"/>
      <c r="JLK916" s="1091"/>
      <c r="JLL916" s="1091"/>
      <c r="JLM916" s="1091"/>
      <c r="JLN916" s="1091"/>
      <c r="JLO916" s="1091"/>
      <c r="JLP916" s="1091"/>
      <c r="JLQ916" s="1091"/>
      <c r="JLR916" s="1091"/>
      <c r="JLS916" s="1091"/>
      <c r="JLT916" s="1091"/>
      <c r="JLU916" s="1091"/>
      <c r="JLV916" s="1091"/>
      <c r="JLW916" s="1091"/>
      <c r="JLX916" s="1091"/>
      <c r="JLY916" s="1091"/>
      <c r="JLZ916" s="1091"/>
      <c r="JMA916" s="1091"/>
      <c r="JMB916" s="1091"/>
      <c r="JMC916" s="1091"/>
      <c r="JMD916" s="1091"/>
      <c r="JME916" s="1091"/>
      <c r="JMF916" s="1091"/>
      <c r="JMG916" s="1091"/>
      <c r="JMH916" s="1091"/>
      <c r="JMI916" s="1091"/>
      <c r="JMJ916" s="1091"/>
      <c r="JMK916" s="1091"/>
      <c r="JML916" s="1091"/>
      <c r="JMM916" s="1091"/>
      <c r="JMN916" s="1091"/>
      <c r="JMO916" s="1091"/>
      <c r="JMP916" s="1091"/>
      <c r="JMQ916" s="1091"/>
      <c r="JMR916" s="1091"/>
      <c r="JMS916" s="1091"/>
      <c r="JMT916" s="1091"/>
      <c r="JMU916" s="1091"/>
      <c r="JMV916" s="1091"/>
      <c r="JMW916" s="1091"/>
      <c r="JMX916" s="1091"/>
      <c r="JMY916" s="1091"/>
      <c r="JMZ916" s="1091"/>
      <c r="JNA916" s="1091"/>
      <c r="JNB916" s="1091"/>
      <c r="JNC916" s="1091"/>
      <c r="JND916" s="1091"/>
      <c r="JNE916" s="1091"/>
      <c r="JNF916" s="1091"/>
      <c r="JNG916" s="1091"/>
      <c r="JNH916" s="1091"/>
      <c r="JNI916" s="1091"/>
      <c r="JNJ916" s="1091"/>
      <c r="JNK916" s="1091"/>
      <c r="JNL916" s="1091"/>
      <c r="JNM916" s="1091"/>
      <c r="JNN916" s="1091"/>
      <c r="JNO916" s="1091"/>
      <c r="JNP916" s="1091"/>
      <c r="JNQ916" s="1091"/>
      <c r="JNR916" s="1091"/>
      <c r="JNS916" s="1091"/>
      <c r="JNT916" s="1091"/>
      <c r="JNU916" s="1091"/>
      <c r="JNV916" s="1091"/>
      <c r="JNW916" s="1091"/>
      <c r="JNX916" s="1091"/>
      <c r="JNY916" s="1091"/>
      <c r="JNZ916" s="1091"/>
      <c r="JOA916" s="1091"/>
      <c r="JOB916" s="1091"/>
      <c r="JOC916" s="1091"/>
      <c r="JOD916" s="1091"/>
      <c r="JOE916" s="1091"/>
      <c r="JOF916" s="1091"/>
      <c r="JOG916" s="1091"/>
      <c r="JOH916" s="1091"/>
      <c r="JOI916" s="1091"/>
      <c r="JOJ916" s="1091"/>
      <c r="JOK916" s="1091"/>
      <c r="JOL916" s="1091"/>
      <c r="JOM916" s="1091"/>
      <c r="JON916" s="1091"/>
      <c r="JOO916" s="1091"/>
      <c r="JOP916" s="1091"/>
      <c r="JOQ916" s="1091"/>
      <c r="JOR916" s="1091"/>
      <c r="JOS916" s="1091"/>
      <c r="JOT916" s="1091"/>
      <c r="JOU916" s="1091"/>
      <c r="JOV916" s="1091"/>
      <c r="JOW916" s="1091"/>
      <c r="JOX916" s="1091"/>
      <c r="JOY916" s="1091"/>
      <c r="JOZ916" s="1091"/>
      <c r="JPA916" s="1091"/>
      <c r="JPB916" s="1091"/>
      <c r="JPC916" s="1091"/>
      <c r="JPD916" s="1091"/>
      <c r="JPE916" s="1091"/>
      <c r="JPF916" s="1091"/>
      <c r="JPG916" s="1091"/>
      <c r="JPH916" s="1091"/>
      <c r="JPI916" s="1091"/>
      <c r="JPJ916" s="1091"/>
      <c r="JPK916" s="1091"/>
      <c r="JPL916" s="1091"/>
      <c r="JPM916" s="1091"/>
      <c r="JPN916" s="1091"/>
      <c r="JPO916" s="1091"/>
      <c r="JPP916" s="1091"/>
      <c r="JPQ916" s="1091"/>
      <c r="JPR916" s="1091"/>
      <c r="JPS916" s="1091"/>
      <c r="JPT916" s="1091"/>
      <c r="JPU916" s="1091"/>
      <c r="JPV916" s="1091"/>
      <c r="JPW916" s="1091"/>
      <c r="JPX916" s="1091"/>
      <c r="JPY916" s="1091"/>
      <c r="JPZ916" s="1091"/>
      <c r="JQA916" s="1091"/>
      <c r="JQB916" s="1091"/>
      <c r="JQC916" s="1091"/>
      <c r="JQD916" s="1091"/>
      <c r="JQE916" s="1091"/>
      <c r="JQF916" s="1091"/>
      <c r="JQG916" s="1091"/>
      <c r="JQH916" s="1091"/>
      <c r="JQI916" s="1091"/>
      <c r="JQJ916" s="1091"/>
      <c r="JQK916" s="1091"/>
      <c r="JQL916" s="1091"/>
      <c r="JQM916" s="1091"/>
      <c r="JQN916" s="1091"/>
      <c r="JQO916" s="1091"/>
      <c r="JQP916" s="1091"/>
      <c r="JQQ916" s="1091"/>
      <c r="JQR916" s="1091"/>
      <c r="JQS916" s="1091"/>
      <c r="JQT916" s="1091"/>
      <c r="JQU916" s="1091"/>
      <c r="JQV916" s="1091"/>
      <c r="JQW916" s="1091"/>
      <c r="JQX916" s="1091"/>
      <c r="JQY916" s="1091"/>
      <c r="JQZ916" s="1091"/>
      <c r="JRA916" s="1091"/>
      <c r="JRB916" s="1091"/>
      <c r="JRC916" s="1091"/>
      <c r="JRD916" s="1091"/>
      <c r="JRE916" s="1091"/>
      <c r="JRF916" s="1091"/>
      <c r="JRG916" s="1091"/>
      <c r="JRH916" s="1091"/>
      <c r="JRI916" s="1091"/>
      <c r="JRJ916" s="1091"/>
      <c r="JRK916" s="1091"/>
      <c r="JRL916" s="1091"/>
      <c r="JRM916" s="1091"/>
      <c r="JRN916" s="1091"/>
      <c r="JRO916" s="1091"/>
      <c r="JRP916" s="1091"/>
      <c r="JRQ916" s="1091"/>
      <c r="JRR916" s="1091"/>
      <c r="JRS916" s="1091"/>
      <c r="JRT916" s="1091"/>
      <c r="JRU916" s="1091"/>
      <c r="JRV916" s="1091"/>
      <c r="JRW916" s="1091"/>
      <c r="JRX916" s="1091"/>
      <c r="JRY916" s="1091"/>
      <c r="JRZ916" s="1091"/>
      <c r="JSA916" s="1091"/>
      <c r="JSB916" s="1091"/>
      <c r="JSC916" s="1091"/>
      <c r="JSD916" s="1091"/>
      <c r="JSE916" s="1091"/>
      <c r="JSF916" s="1091"/>
      <c r="JSG916" s="1091"/>
      <c r="JSH916" s="1091"/>
      <c r="JSI916" s="1091"/>
      <c r="JSJ916" s="1091"/>
      <c r="JSK916" s="1091"/>
      <c r="JSL916" s="1091"/>
      <c r="JSM916" s="1091"/>
      <c r="JSN916" s="1091"/>
      <c r="JSO916" s="1091"/>
      <c r="JSP916" s="1091"/>
      <c r="JSQ916" s="1091"/>
      <c r="JSR916" s="1091"/>
      <c r="JSS916" s="1091"/>
      <c r="JST916" s="1091"/>
      <c r="JSU916" s="1091"/>
      <c r="JSV916" s="1091"/>
      <c r="JSW916" s="1091"/>
      <c r="JSX916" s="1091"/>
      <c r="JSY916" s="1091"/>
      <c r="JSZ916" s="1091"/>
      <c r="JTA916" s="1091"/>
      <c r="JTB916" s="1091"/>
      <c r="JTC916" s="1091"/>
      <c r="JTD916" s="1091"/>
      <c r="JTE916" s="1091"/>
      <c r="JTF916" s="1091"/>
      <c r="JTG916" s="1091"/>
      <c r="JTH916" s="1091"/>
      <c r="JTI916" s="1091"/>
      <c r="JTJ916" s="1091"/>
      <c r="JTK916" s="1091"/>
      <c r="JTL916" s="1091"/>
      <c r="JTM916" s="1091"/>
      <c r="JTN916" s="1091"/>
      <c r="JTO916" s="1091"/>
      <c r="JTP916" s="1091"/>
      <c r="JTQ916" s="1091"/>
      <c r="JTR916" s="1091"/>
      <c r="JTS916" s="1091"/>
      <c r="JTT916" s="1091"/>
      <c r="JTU916" s="1091"/>
      <c r="JTV916" s="1091"/>
      <c r="JTW916" s="1091"/>
      <c r="JTX916" s="1091"/>
      <c r="JTY916" s="1091"/>
      <c r="JTZ916" s="1091"/>
      <c r="JUA916" s="1091"/>
      <c r="JUB916" s="1091"/>
      <c r="JUC916" s="1091"/>
      <c r="JUD916" s="1091"/>
      <c r="JUE916" s="1091"/>
      <c r="JUF916" s="1091"/>
      <c r="JUG916" s="1091"/>
      <c r="JUH916" s="1091"/>
      <c r="JUI916" s="1091"/>
      <c r="JUJ916" s="1091"/>
      <c r="JUK916" s="1091"/>
      <c r="JUL916" s="1091"/>
      <c r="JUM916" s="1091"/>
      <c r="JUN916" s="1091"/>
      <c r="JUO916" s="1091"/>
      <c r="JUP916" s="1091"/>
      <c r="JUQ916" s="1091"/>
      <c r="JUR916" s="1091"/>
      <c r="JUS916" s="1091"/>
      <c r="JUT916" s="1091"/>
      <c r="JUU916" s="1091"/>
      <c r="JUV916" s="1091"/>
      <c r="JUW916" s="1091"/>
      <c r="JUX916" s="1091"/>
      <c r="JUY916" s="1091"/>
      <c r="JUZ916" s="1091"/>
      <c r="JVA916" s="1091"/>
      <c r="JVB916" s="1091"/>
      <c r="JVC916" s="1091"/>
      <c r="JVD916" s="1091"/>
      <c r="JVE916" s="1091"/>
      <c r="JVF916" s="1091"/>
      <c r="JVG916" s="1091"/>
      <c r="JVH916" s="1091"/>
      <c r="JVI916" s="1091"/>
      <c r="JVJ916" s="1091"/>
      <c r="JVK916" s="1091"/>
      <c r="JVL916" s="1091"/>
      <c r="JVM916" s="1091"/>
      <c r="JVN916" s="1091"/>
      <c r="JVO916" s="1091"/>
      <c r="JVP916" s="1091"/>
      <c r="JVQ916" s="1091"/>
      <c r="JVR916" s="1091"/>
      <c r="JVS916" s="1091"/>
      <c r="JVT916" s="1091"/>
      <c r="JVU916" s="1091"/>
      <c r="JVV916" s="1091"/>
      <c r="JVW916" s="1091"/>
      <c r="JVX916" s="1091"/>
      <c r="JVY916" s="1091"/>
      <c r="JVZ916" s="1091"/>
      <c r="JWA916" s="1091"/>
      <c r="JWB916" s="1091"/>
      <c r="JWC916" s="1091"/>
      <c r="JWD916" s="1091"/>
      <c r="JWE916" s="1091"/>
      <c r="JWF916" s="1091"/>
      <c r="JWG916" s="1091"/>
      <c r="JWH916" s="1091"/>
      <c r="JWI916" s="1091"/>
      <c r="JWJ916" s="1091"/>
      <c r="JWK916" s="1091"/>
      <c r="JWL916" s="1091"/>
      <c r="JWM916" s="1091"/>
      <c r="JWN916" s="1091"/>
      <c r="JWO916" s="1091"/>
      <c r="JWP916" s="1091"/>
      <c r="JWQ916" s="1091"/>
      <c r="JWR916" s="1091"/>
      <c r="JWS916" s="1091"/>
      <c r="JWT916" s="1091"/>
      <c r="JWU916" s="1091"/>
      <c r="JWV916" s="1091"/>
      <c r="JWW916" s="1091"/>
      <c r="JWX916" s="1091"/>
      <c r="JWY916" s="1091"/>
      <c r="JWZ916" s="1091"/>
      <c r="JXA916" s="1091"/>
      <c r="JXB916" s="1091"/>
      <c r="JXC916" s="1091"/>
      <c r="JXD916" s="1091"/>
      <c r="JXE916" s="1091"/>
      <c r="JXF916" s="1091"/>
      <c r="JXG916" s="1091"/>
      <c r="JXH916" s="1091"/>
      <c r="JXI916" s="1091"/>
      <c r="JXJ916" s="1091"/>
      <c r="JXK916" s="1091"/>
      <c r="JXL916" s="1091"/>
      <c r="JXM916" s="1091"/>
      <c r="JXN916" s="1091"/>
      <c r="JXO916" s="1091"/>
      <c r="JXP916" s="1091"/>
      <c r="JXQ916" s="1091"/>
      <c r="JXR916" s="1091"/>
      <c r="JXS916" s="1091"/>
      <c r="JXT916" s="1091"/>
      <c r="JXU916" s="1091"/>
      <c r="JXV916" s="1091"/>
      <c r="JXW916" s="1091"/>
      <c r="JXX916" s="1091"/>
      <c r="JXY916" s="1091"/>
      <c r="JXZ916" s="1091"/>
      <c r="JYA916" s="1091"/>
      <c r="JYB916" s="1091"/>
      <c r="JYC916" s="1091"/>
      <c r="JYD916" s="1091"/>
      <c r="JYE916" s="1091"/>
      <c r="JYF916" s="1091"/>
      <c r="JYG916" s="1091"/>
      <c r="JYH916" s="1091"/>
      <c r="JYI916" s="1091"/>
      <c r="JYJ916" s="1091"/>
      <c r="JYK916" s="1091"/>
      <c r="JYL916" s="1091"/>
      <c r="JYM916" s="1091"/>
      <c r="JYN916" s="1091"/>
      <c r="JYO916" s="1091"/>
      <c r="JYP916" s="1091"/>
      <c r="JYQ916" s="1091"/>
      <c r="JYR916" s="1091"/>
      <c r="JYS916" s="1091"/>
      <c r="JYT916" s="1091"/>
      <c r="JYU916" s="1091"/>
      <c r="JYV916" s="1091"/>
      <c r="JYW916" s="1091"/>
      <c r="JYX916" s="1091"/>
      <c r="JYY916" s="1091"/>
      <c r="JYZ916" s="1091"/>
      <c r="JZA916" s="1091"/>
      <c r="JZB916" s="1091"/>
      <c r="JZC916" s="1091"/>
      <c r="JZD916" s="1091"/>
      <c r="JZE916" s="1091"/>
      <c r="JZF916" s="1091"/>
      <c r="JZG916" s="1091"/>
      <c r="JZH916" s="1091"/>
      <c r="JZI916" s="1091"/>
      <c r="JZJ916" s="1091"/>
      <c r="JZK916" s="1091"/>
      <c r="JZL916" s="1091"/>
      <c r="JZM916" s="1091"/>
      <c r="JZN916" s="1091"/>
      <c r="JZO916" s="1091"/>
      <c r="JZP916" s="1091"/>
      <c r="JZQ916" s="1091"/>
      <c r="JZR916" s="1091"/>
      <c r="JZS916" s="1091"/>
      <c r="JZT916" s="1091"/>
      <c r="JZU916" s="1091"/>
      <c r="JZV916" s="1091"/>
      <c r="JZW916" s="1091"/>
      <c r="JZX916" s="1091"/>
      <c r="JZY916" s="1091"/>
      <c r="JZZ916" s="1091"/>
      <c r="KAA916" s="1091"/>
      <c r="KAB916" s="1091"/>
      <c r="KAC916" s="1091"/>
      <c r="KAD916" s="1091"/>
      <c r="KAE916" s="1091"/>
      <c r="KAF916" s="1091"/>
      <c r="KAG916" s="1091"/>
      <c r="KAH916" s="1091"/>
      <c r="KAI916" s="1091"/>
      <c r="KAJ916" s="1091"/>
      <c r="KAK916" s="1091"/>
      <c r="KAL916" s="1091"/>
      <c r="KAM916" s="1091"/>
      <c r="KAN916" s="1091"/>
      <c r="KAO916" s="1091"/>
      <c r="KAP916" s="1091"/>
      <c r="KAQ916" s="1091"/>
      <c r="KAR916" s="1091"/>
      <c r="KAS916" s="1091"/>
      <c r="KAT916" s="1091"/>
      <c r="KAU916" s="1091"/>
      <c r="KAV916" s="1091"/>
      <c r="KAW916" s="1091"/>
      <c r="KAX916" s="1091"/>
      <c r="KAY916" s="1091"/>
      <c r="KAZ916" s="1091"/>
      <c r="KBA916" s="1091"/>
      <c r="KBB916" s="1091"/>
      <c r="KBC916" s="1091"/>
      <c r="KBD916" s="1091"/>
      <c r="KBE916" s="1091"/>
      <c r="KBF916" s="1091"/>
      <c r="KBG916" s="1091"/>
      <c r="KBH916" s="1091"/>
      <c r="KBI916" s="1091"/>
      <c r="KBJ916" s="1091"/>
      <c r="KBK916" s="1091"/>
      <c r="KBL916" s="1091"/>
      <c r="KBM916" s="1091"/>
      <c r="KBN916" s="1091"/>
      <c r="KBO916" s="1091"/>
      <c r="KBP916" s="1091"/>
      <c r="KBQ916" s="1091"/>
      <c r="KBR916" s="1091"/>
      <c r="KBS916" s="1091"/>
      <c r="KBT916" s="1091"/>
      <c r="KBU916" s="1091"/>
      <c r="KBV916" s="1091"/>
      <c r="KBW916" s="1091"/>
      <c r="KBX916" s="1091"/>
      <c r="KBY916" s="1091"/>
      <c r="KBZ916" s="1091"/>
      <c r="KCA916" s="1091"/>
      <c r="KCB916" s="1091"/>
      <c r="KCC916" s="1091"/>
      <c r="KCD916" s="1091"/>
      <c r="KCE916" s="1091"/>
      <c r="KCF916" s="1091"/>
      <c r="KCG916" s="1091"/>
      <c r="KCH916" s="1091"/>
      <c r="KCI916" s="1091"/>
      <c r="KCJ916" s="1091"/>
      <c r="KCK916" s="1091"/>
      <c r="KCL916" s="1091"/>
      <c r="KCM916" s="1091"/>
      <c r="KCN916" s="1091"/>
      <c r="KCO916" s="1091"/>
      <c r="KCP916" s="1091"/>
      <c r="KCQ916" s="1091"/>
      <c r="KCR916" s="1091"/>
      <c r="KCS916" s="1091"/>
      <c r="KCT916" s="1091"/>
      <c r="KCU916" s="1091"/>
      <c r="KCV916" s="1091"/>
      <c r="KCW916" s="1091"/>
      <c r="KCX916" s="1091"/>
      <c r="KCY916" s="1091"/>
      <c r="KCZ916" s="1091"/>
      <c r="KDA916" s="1091"/>
      <c r="KDB916" s="1091"/>
      <c r="KDC916" s="1091"/>
      <c r="KDD916" s="1091"/>
      <c r="KDE916" s="1091"/>
      <c r="KDF916" s="1091"/>
      <c r="KDG916" s="1091"/>
      <c r="KDH916" s="1091"/>
      <c r="KDI916" s="1091"/>
      <c r="KDJ916" s="1091"/>
      <c r="KDK916" s="1091"/>
      <c r="KDL916" s="1091"/>
      <c r="KDM916" s="1091"/>
      <c r="KDN916" s="1091"/>
      <c r="KDO916" s="1091"/>
      <c r="KDP916" s="1091"/>
      <c r="KDQ916" s="1091"/>
      <c r="KDR916" s="1091"/>
      <c r="KDS916" s="1091"/>
      <c r="KDT916" s="1091"/>
      <c r="KDU916" s="1091"/>
      <c r="KDV916" s="1091"/>
      <c r="KDW916" s="1091"/>
      <c r="KDX916" s="1091"/>
      <c r="KDY916" s="1091"/>
      <c r="KDZ916" s="1091"/>
      <c r="KEA916" s="1091"/>
      <c r="KEB916" s="1091"/>
      <c r="KEC916" s="1091"/>
      <c r="KED916" s="1091"/>
      <c r="KEE916" s="1091"/>
      <c r="KEF916" s="1091"/>
      <c r="KEG916" s="1091"/>
      <c r="KEH916" s="1091"/>
      <c r="KEI916" s="1091"/>
      <c r="KEJ916" s="1091"/>
      <c r="KEK916" s="1091"/>
      <c r="KEL916" s="1091"/>
      <c r="KEM916" s="1091"/>
      <c r="KEN916" s="1091"/>
      <c r="KEO916" s="1091"/>
      <c r="KEP916" s="1091"/>
      <c r="KEQ916" s="1091"/>
      <c r="KER916" s="1091"/>
      <c r="KES916" s="1091"/>
      <c r="KET916" s="1091"/>
      <c r="KEU916" s="1091"/>
      <c r="KEV916" s="1091"/>
      <c r="KEW916" s="1091"/>
      <c r="KEX916" s="1091"/>
      <c r="KEY916" s="1091"/>
      <c r="KEZ916" s="1091"/>
      <c r="KFA916" s="1091"/>
      <c r="KFB916" s="1091"/>
      <c r="KFC916" s="1091"/>
      <c r="KFD916" s="1091"/>
      <c r="KFE916" s="1091"/>
      <c r="KFF916" s="1091"/>
      <c r="KFG916" s="1091"/>
      <c r="KFH916" s="1091"/>
      <c r="KFI916" s="1091"/>
      <c r="KFJ916" s="1091"/>
      <c r="KFK916" s="1091"/>
      <c r="KFL916" s="1091"/>
      <c r="KFM916" s="1091"/>
      <c r="KFN916" s="1091"/>
      <c r="KFO916" s="1091"/>
      <c r="KFP916" s="1091"/>
      <c r="KFQ916" s="1091"/>
      <c r="KFR916" s="1091"/>
      <c r="KFS916" s="1091"/>
      <c r="KFT916" s="1091"/>
      <c r="KFU916" s="1091"/>
      <c r="KFV916" s="1091"/>
      <c r="KFW916" s="1091"/>
      <c r="KFX916" s="1091"/>
      <c r="KFY916" s="1091"/>
      <c r="KFZ916" s="1091"/>
      <c r="KGA916" s="1091"/>
      <c r="KGB916" s="1091"/>
      <c r="KGC916" s="1091"/>
      <c r="KGD916" s="1091"/>
      <c r="KGE916" s="1091"/>
      <c r="KGF916" s="1091"/>
      <c r="KGG916" s="1091"/>
      <c r="KGH916" s="1091"/>
      <c r="KGI916" s="1091"/>
      <c r="KGJ916" s="1091"/>
      <c r="KGK916" s="1091"/>
      <c r="KGL916" s="1091"/>
      <c r="KGM916" s="1091"/>
      <c r="KGN916" s="1091"/>
      <c r="KGO916" s="1091"/>
      <c r="KGP916" s="1091"/>
      <c r="KGQ916" s="1091"/>
      <c r="KGR916" s="1091"/>
      <c r="KGS916" s="1091"/>
      <c r="KGT916" s="1091"/>
      <c r="KGU916" s="1091"/>
      <c r="KGV916" s="1091"/>
      <c r="KGW916" s="1091"/>
      <c r="KGX916" s="1091"/>
      <c r="KGY916" s="1091"/>
      <c r="KGZ916" s="1091"/>
      <c r="KHA916" s="1091"/>
      <c r="KHB916" s="1091"/>
      <c r="KHC916" s="1091"/>
      <c r="KHD916" s="1091"/>
      <c r="KHE916" s="1091"/>
      <c r="KHF916" s="1091"/>
      <c r="KHG916" s="1091"/>
      <c r="KHH916" s="1091"/>
      <c r="KHI916" s="1091"/>
      <c r="KHJ916" s="1091"/>
      <c r="KHK916" s="1091"/>
      <c r="KHL916" s="1091"/>
      <c r="KHM916" s="1091"/>
      <c r="KHN916" s="1091"/>
      <c r="KHO916" s="1091"/>
      <c r="KHP916" s="1091"/>
      <c r="KHQ916" s="1091"/>
      <c r="KHR916" s="1091"/>
      <c r="KHS916" s="1091"/>
      <c r="KHT916" s="1091"/>
      <c r="KHU916" s="1091"/>
      <c r="KHV916" s="1091"/>
      <c r="KHW916" s="1091"/>
      <c r="KHX916" s="1091"/>
      <c r="KHY916" s="1091"/>
      <c r="KHZ916" s="1091"/>
      <c r="KIA916" s="1091"/>
      <c r="KIB916" s="1091"/>
      <c r="KIC916" s="1091"/>
      <c r="KID916" s="1091"/>
      <c r="KIE916" s="1091"/>
      <c r="KIF916" s="1091"/>
      <c r="KIG916" s="1091"/>
      <c r="KIH916" s="1091"/>
      <c r="KII916" s="1091"/>
      <c r="KIJ916" s="1091"/>
      <c r="KIK916" s="1091"/>
      <c r="KIL916" s="1091"/>
      <c r="KIM916" s="1091"/>
      <c r="KIN916" s="1091"/>
      <c r="KIO916" s="1091"/>
      <c r="KIP916" s="1091"/>
      <c r="KIQ916" s="1091"/>
      <c r="KIR916" s="1091"/>
      <c r="KIS916" s="1091"/>
      <c r="KIT916" s="1091"/>
      <c r="KIU916" s="1091"/>
      <c r="KIV916" s="1091"/>
      <c r="KIW916" s="1091"/>
      <c r="KIX916" s="1091"/>
      <c r="KIY916" s="1091"/>
      <c r="KIZ916" s="1091"/>
      <c r="KJA916" s="1091"/>
      <c r="KJB916" s="1091"/>
      <c r="KJC916" s="1091"/>
      <c r="KJD916" s="1091"/>
      <c r="KJE916" s="1091"/>
      <c r="KJF916" s="1091"/>
      <c r="KJG916" s="1091"/>
      <c r="KJH916" s="1091"/>
      <c r="KJI916" s="1091"/>
      <c r="KJJ916" s="1091"/>
      <c r="KJK916" s="1091"/>
      <c r="KJL916" s="1091"/>
      <c r="KJM916" s="1091"/>
      <c r="KJN916" s="1091"/>
      <c r="KJO916" s="1091"/>
      <c r="KJP916" s="1091"/>
      <c r="KJQ916" s="1091"/>
      <c r="KJR916" s="1091"/>
      <c r="KJS916" s="1091"/>
      <c r="KJT916" s="1091"/>
      <c r="KJU916" s="1091"/>
      <c r="KJV916" s="1091"/>
      <c r="KJW916" s="1091"/>
      <c r="KJX916" s="1091"/>
      <c r="KJY916" s="1091"/>
      <c r="KJZ916" s="1091"/>
      <c r="KKA916" s="1091"/>
      <c r="KKB916" s="1091"/>
      <c r="KKC916" s="1091"/>
      <c r="KKD916" s="1091"/>
      <c r="KKE916" s="1091"/>
      <c r="KKF916" s="1091"/>
      <c r="KKG916" s="1091"/>
      <c r="KKH916" s="1091"/>
      <c r="KKI916" s="1091"/>
      <c r="KKJ916" s="1091"/>
      <c r="KKK916" s="1091"/>
      <c r="KKL916" s="1091"/>
      <c r="KKM916" s="1091"/>
      <c r="KKN916" s="1091"/>
      <c r="KKO916" s="1091"/>
      <c r="KKP916" s="1091"/>
      <c r="KKQ916" s="1091"/>
      <c r="KKR916" s="1091"/>
      <c r="KKS916" s="1091"/>
      <c r="KKT916" s="1091"/>
      <c r="KKU916" s="1091"/>
      <c r="KKV916" s="1091"/>
      <c r="KKW916" s="1091"/>
      <c r="KKX916" s="1091"/>
      <c r="KKY916" s="1091"/>
      <c r="KKZ916" s="1091"/>
      <c r="KLA916" s="1091"/>
      <c r="KLB916" s="1091"/>
      <c r="KLC916" s="1091"/>
      <c r="KLD916" s="1091"/>
      <c r="KLE916" s="1091"/>
      <c r="KLF916" s="1091"/>
      <c r="KLG916" s="1091"/>
      <c r="KLH916" s="1091"/>
      <c r="KLI916" s="1091"/>
      <c r="KLJ916" s="1091"/>
      <c r="KLK916" s="1091"/>
      <c r="KLL916" s="1091"/>
      <c r="KLM916" s="1091"/>
      <c r="KLN916" s="1091"/>
      <c r="KLO916" s="1091"/>
      <c r="KLP916" s="1091"/>
      <c r="KLQ916" s="1091"/>
      <c r="KLR916" s="1091"/>
      <c r="KLS916" s="1091"/>
      <c r="KLT916" s="1091"/>
      <c r="KLU916" s="1091"/>
      <c r="KLV916" s="1091"/>
      <c r="KLW916" s="1091"/>
      <c r="KLX916" s="1091"/>
      <c r="KLY916" s="1091"/>
      <c r="KLZ916" s="1091"/>
      <c r="KMA916" s="1091"/>
      <c r="KMB916" s="1091"/>
      <c r="KMC916" s="1091"/>
      <c r="KMD916" s="1091"/>
      <c r="KME916" s="1091"/>
      <c r="KMF916" s="1091"/>
      <c r="KMG916" s="1091"/>
      <c r="KMH916" s="1091"/>
      <c r="KMI916" s="1091"/>
      <c r="KMJ916" s="1091"/>
      <c r="KMK916" s="1091"/>
      <c r="KML916" s="1091"/>
      <c r="KMM916" s="1091"/>
      <c r="KMN916" s="1091"/>
      <c r="KMO916" s="1091"/>
      <c r="KMP916" s="1091"/>
      <c r="KMQ916" s="1091"/>
      <c r="KMR916" s="1091"/>
      <c r="KMS916" s="1091"/>
      <c r="KMT916" s="1091"/>
      <c r="KMU916" s="1091"/>
      <c r="KMV916" s="1091"/>
      <c r="KMW916" s="1091"/>
      <c r="KMX916" s="1091"/>
      <c r="KMY916" s="1091"/>
      <c r="KMZ916" s="1091"/>
      <c r="KNA916" s="1091"/>
      <c r="KNB916" s="1091"/>
      <c r="KNC916" s="1091"/>
      <c r="KND916" s="1091"/>
      <c r="KNE916" s="1091"/>
      <c r="KNF916" s="1091"/>
      <c r="KNG916" s="1091"/>
      <c r="KNH916" s="1091"/>
      <c r="KNI916" s="1091"/>
      <c r="KNJ916" s="1091"/>
      <c r="KNK916" s="1091"/>
      <c r="KNL916" s="1091"/>
      <c r="KNM916" s="1091"/>
      <c r="KNN916" s="1091"/>
      <c r="KNO916" s="1091"/>
      <c r="KNP916" s="1091"/>
      <c r="KNQ916" s="1091"/>
      <c r="KNR916" s="1091"/>
      <c r="KNS916" s="1091"/>
      <c r="KNT916" s="1091"/>
      <c r="KNU916" s="1091"/>
      <c r="KNV916" s="1091"/>
      <c r="KNW916" s="1091"/>
      <c r="KNX916" s="1091"/>
      <c r="KNY916" s="1091"/>
      <c r="KNZ916" s="1091"/>
      <c r="KOA916" s="1091"/>
      <c r="KOB916" s="1091"/>
      <c r="KOC916" s="1091"/>
      <c r="KOD916" s="1091"/>
      <c r="KOE916" s="1091"/>
      <c r="KOF916" s="1091"/>
      <c r="KOG916" s="1091"/>
      <c r="KOH916" s="1091"/>
      <c r="KOI916" s="1091"/>
      <c r="KOJ916" s="1091"/>
      <c r="KOK916" s="1091"/>
      <c r="KOL916" s="1091"/>
      <c r="KOM916" s="1091"/>
      <c r="KON916" s="1091"/>
      <c r="KOO916" s="1091"/>
      <c r="KOP916" s="1091"/>
      <c r="KOQ916" s="1091"/>
      <c r="KOR916" s="1091"/>
      <c r="KOS916" s="1091"/>
      <c r="KOT916" s="1091"/>
      <c r="KOU916" s="1091"/>
      <c r="KOV916" s="1091"/>
      <c r="KOW916" s="1091"/>
      <c r="KOX916" s="1091"/>
      <c r="KOY916" s="1091"/>
      <c r="KOZ916" s="1091"/>
      <c r="KPA916" s="1091"/>
      <c r="KPB916" s="1091"/>
      <c r="KPC916" s="1091"/>
      <c r="KPD916" s="1091"/>
      <c r="KPE916" s="1091"/>
      <c r="KPF916" s="1091"/>
      <c r="KPG916" s="1091"/>
      <c r="KPH916" s="1091"/>
      <c r="KPI916" s="1091"/>
      <c r="KPJ916" s="1091"/>
      <c r="KPK916" s="1091"/>
      <c r="KPL916" s="1091"/>
      <c r="KPM916" s="1091"/>
      <c r="KPN916" s="1091"/>
      <c r="KPO916" s="1091"/>
      <c r="KPP916" s="1091"/>
      <c r="KPQ916" s="1091"/>
      <c r="KPR916" s="1091"/>
      <c r="KPS916" s="1091"/>
      <c r="KPT916" s="1091"/>
      <c r="KPU916" s="1091"/>
      <c r="KPV916" s="1091"/>
      <c r="KPW916" s="1091"/>
      <c r="KPX916" s="1091"/>
      <c r="KPY916" s="1091"/>
      <c r="KPZ916" s="1091"/>
      <c r="KQA916" s="1091"/>
      <c r="KQB916" s="1091"/>
      <c r="KQC916" s="1091"/>
      <c r="KQD916" s="1091"/>
      <c r="KQE916" s="1091"/>
      <c r="KQF916" s="1091"/>
      <c r="KQG916" s="1091"/>
      <c r="KQH916" s="1091"/>
      <c r="KQI916" s="1091"/>
      <c r="KQJ916" s="1091"/>
      <c r="KQK916" s="1091"/>
      <c r="KQL916" s="1091"/>
      <c r="KQM916" s="1091"/>
      <c r="KQN916" s="1091"/>
      <c r="KQO916" s="1091"/>
      <c r="KQP916" s="1091"/>
      <c r="KQQ916" s="1091"/>
      <c r="KQR916" s="1091"/>
      <c r="KQS916" s="1091"/>
      <c r="KQT916" s="1091"/>
      <c r="KQU916" s="1091"/>
      <c r="KQV916" s="1091"/>
      <c r="KQW916" s="1091"/>
      <c r="KQX916" s="1091"/>
      <c r="KQY916" s="1091"/>
      <c r="KQZ916" s="1091"/>
      <c r="KRA916" s="1091"/>
      <c r="KRB916" s="1091"/>
      <c r="KRC916" s="1091"/>
      <c r="KRD916" s="1091"/>
      <c r="KRE916" s="1091"/>
      <c r="KRF916" s="1091"/>
      <c r="KRG916" s="1091"/>
      <c r="KRH916" s="1091"/>
      <c r="KRI916" s="1091"/>
      <c r="KRJ916" s="1091"/>
      <c r="KRK916" s="1091"/>
      <c r="KRL916" s="1091"/>
      <c r="KRM916" s="1091"/>
      <c r="KRN916" s="1091"/>
      <c r="KRO916" s="1091"/>
      <c r="KRP916" s="1091"/>
      <c r="KRQ916" s="1091"/>
      <c r="KRR916" s="1091"/>
      <c r="KRS916" s="1091"/>
      <c r="KRT916" s="1091"/>
      <c r="KRU916" s="1091"/>
      <c r="KRV916" s="1091"/>
      <c r="KRW916" s="1091"/>
      <c r="KRX916" s="1091"/>
      <c r="KRY916" s="1091"/>
      <c r="KRZ916" s="1091"/>
      <c r="KSA916" s="1091"/>
      <c r="KSB916" s="1091"/>
      <c r="KSC916" s="1091"/>
      <c r="KSD916" s="1091"/>
      <c r="KSE916" s="1091"/>
      <c r="KSF916" s="1091"/>
      <c r="KSG916" s="1091"/>
      <c r="KSH916" s="1091"/>
      <c r="KSI916" s="1091"/>
      <c r="KSJ916" s="1091"/>
      <c r="KSK916" s="1091"/>
      <c r="KSL916" s="1091"/>
      <c r="KSM916" s="1091"/>
      <c r="KSN916" s="1091"/>
      <c r="KSO916" s="1091"/>
      <c r="KSP916" s="1091"/>
      <c r="KSQ916" s="1091"/>
      <c r="KSR916" s="1091"/>
      <c r="KSS916" s="1091"/>
      <c r="KST916" s="1091"/>
      <c r="KSU916" s="1091"/>
      <c r="KSV916" s="1091"/>
      <c r="KSW916" s="1091"/>
      <c r="KSX916" s="1091"/>
      <c r="KSY916" s="1091"/>
      <c r="KSZ916" s="1091"/>
      <c r="KTA916" s="1091"/>
      <c r="KTB916" s="1091"/>
      <c r="KTC916" s="1091"/>
      <c r="KTD916" s="1091"/>
      <c r="KTE916" s="1091"/>
      <c r="KTF916" s="1091"/>
      <c r="KTG916" s="1091"/>
      <c r="KTH916" s="1091"/>
      <c r="KTI916" s="1091"/>
      <c r="KTJ916" s="1091"/>
      <c r="KTK916" s="1091"/>
      <c r="KTL916" s="1091"/>
      <c r="KTM916" s="1091"/>
      <c r="KTN916" s="1091"/>
      <c r="KTO916" s="1091"/>
      <c r="KTP916" s="1091"/>
      <c r="KTQ916" s="1091"/>
      <c r="KTR916" s="1091"/>
      <c r="KTS916" s="1091"/>
      <c r="KTT916" s="1091"/>
      <c r="KTU916" s="1091"/>
      <c r="KTV916" s="1091"/>
      <c r="KTW916" s="1091"/>
      <c r="KTX916" s="1091"/>
      <c r="KTY916" s="1091"/>
      <c r="KTZ916" s="1091"/>
      <c r="KUA916" s="1091"/>
      <c r="KUB916" s="1091"/>
      <c r="KUC916" s="1091"/>
      <c r="KUD916" s="1091"/>
      <c r="KUE916" s="1091"/>
      <c r="KUF916" s="1091"/>
      <c r="KUG916" s="1091"/>
      <c r="KUH916" s="1091"/>
      <c r="KUI916" s="1091"/>
      <c r="KUJ916" s="1091"/>
      <c r="KUK916" s="1091"/>
      <c r="KUL916" s="1091"/>
      <c r="KUM916" s="1091"/>
      <c r="KUN916" s="1091"/>
      <c r="KUO916" s="1091"/>
      <c r="KUP916" s="1091"/>
      <c r="KUQ916" s="1091"/>
      <c r="KUR916" s="1091"/>
      <c r="KUS916" s="1091"/>
      <c r="KUT916" s="1091"/>
      <c r="KUU916" s="1091"/>
      <c r="KUV916" s="1091"/>
      <c r="KUW916" s="1091"/>
      <c r="KUX916" s="1091"/>
      <c r="KUY916" s="1091"/>
      <c r="KUZ916" s="1091"/>
      <c r="KVA916" s="1091"/>
      <c r="KVB916" s="1091"/>
      <c r="KVC916" s="1091"/>
      <c r="KVD916" s="1091"/>
      <c r="KVE916" s="1091"/>
      <c r="KVF916" s="1091"/>
      <c r="KVG916" s="1091"/>
      <c r="KVH916" s="1091"/>
      <c r="KVI916" s="1091"/>
      <c r="KVJ916" s="1091"/>
      <c r="KVK916" s="1091"/>
      <c r="KVL916" s="1091"/>
      <c r="KVM916" s="1091"/>
      <c r="KVN916" s="1091"/>
      <c r="KVO916" s="1091"/>
      <c r="KVP916" s="1091"/>
      <c r="KVQ916" s="1091"/>
      <c r="KVR916" s="1091"/>
      <c r="KVS916" s="1091"/>
      <c r="KVT916" s="1091"/>
      <c r="KVU916" s="1091"/>
      <c r="KVV916" s="1091"/>
      <c r="KVW916" s="1091"/>
      <c r="KVX916" s="1091"/>
      <c r="KVY916" s="1091"/>
      <c r="KVZ916" s="1091"/>
      <c r="KWA916" s="1091"/>
      <c r="KWB916" s="1091"/>
      <c r="KWC916" s="1091"/>
      <c r="KWD916" s="1091"/>
      <c r="KWE916" s="1091"/>
      <c r="KWF916" s="1091"/>
      <c r="KWG916" s="1091"/>
      <c r="KWH916" s="1091"/>
      <c r="KWI916" s="1091"/>
      <c r="KWJ916" s="1091"/>
      <c r="KWK916" s="1091"/>
      <c r="KWL916" s="1091"/>
      <c r="KWM916" s="1091"/>
      <c r="KWN916" s="1091"/>
      <c r="KWO916" s="1091"/>
      <c r="KWP916" s="1091"/>
      <c r="KWQ916" s="1091"/>
      <c r="KWR916" s="1091"/>
      <c r="KWS916" s="1091"/>
      <c r="KWT916" s="1091"/>
      <c r="KWU916" s="1091"/>
      <c r="KWV916" s="1091"/>
      <c r="KWW916" s="1091"/>
      <c r="KWX916" s="1091"/>
      <c r="KWY916" s="1091"/>
      <c r="KWZ916" s="1091"/>
      <c r="KXA916" s="1091"/>
      <c r="KXB916" s="1091"/>
      <c r="KXC916" s="1091"/>
      <c r="KXD916" s="1091"/>
      <c r="KXE916" s="1091"/>
      <c r="KXF916" s="1091"/>
      <c r="KXG916" s="1091"/>
      <c r="KXH916" s="1091"/>
      <c r="KXI916" s="1091"/>
      <c r="KXJ916" s="1091"/>
      <c r="KXK916" s="1091"/>
      <c r="KXL916" s="1091"/>
      <c r="KXM916" s="1091"/>
      <c r="KXN916" s="1091"/>
      <c r="KXO916" s="1091"/>
      <c r="KXP916" s="1091"/>
      <c r="KXQ916" s="1091"/>
      <c r="KXR916" s="1091"/>
      <c r="KXS916" s="1091"/>
      <c r="KXT916" s="1091"/>
      <c r="KXU916" s="1091"/>
      <c r="KXV916" s="1091"/>
      <c r="KXW916" s="1091"/>
      <c r="KXX916" s="1091"/>
      <c r="KXY916" s="1091"/>
      <c r="KXZ916" s="1091"/>
      <c r="KYA916" s="1091"/>
      <c r="KYB916" s="1091"/>
      <c r="KYC916" s="1091"/>
      <c r="KYD916" s="1091"/>
      <c r="KYE916" s="1091"/>
      <c r="KYF916" s="1091"/>
      <c r="KYG916" s="1091"/>
      <c r="KYH916" s="1091"/>
      <c r="KYI916" s="1091"/>
      <c r="KYJ916" s="1091"/>
      <c r="KYK916" s="1091"/>
      <c r="KYL916" s="1091"/>
      <c r="KYM916" s="1091"/>
      <c r="KYN916" s="1091"/>
      <c r="KYO916" s="1091"/>
      <c r="KYP916" s="1091"/>
      <c r="KYQ916" s="1091"/>
      <c r="KYR916" s="1091"/>
      <c r="KYS916" s="1091"/>
      <c r="KYT916" s="1091"/>
      <c r="KYU916" s="1091"/>
      <c r="KYV916" s="1091"/>
      <c r="KYW916" s="1091"/>
      <c r="KYX916" s="1091"/>
      <c r="KYY916" s="1091"/>
      <c r="KYZ916" s="1091"/>
      <c r="KZA916" s="1091"/>
      <c r="KZB916" s="1091"/>
      <c r="KZC916" s="1091"/>
      <c r="KZD916" s="1091"/>
      <c r="KZE916" s="1091"/>
      <c r="KZF916" s="1091"/>
      <c r="KZG916" s="1091"/>
      <c r="KZH916" s="1091"/>
      <c r="KZI916" s="1091"/>
      <c r="KZJ916" s="1091"/>
      <c r="KZK916" s="1091"/>
      <c r="KZL916" s="1091"/>
      <c r="KZM916" s="1091"/>
      <c r="KZN916" s="1091"/>
      <c r="KZO916" s="1091"/>
      <c r="KZP916" s="1091"/>
      <c r="KZQ916" s="1091"/>
      <c r="KZR916" s="1091"/>
      <c r="KZS916" s="1091"/>
      <c r="KZT916" s="1091"/>
      <c r="KZU916" s="1091"/>
      <c r="KZV916" s="1091"/>
      <c r="KZW916" s="1091"/>
      <c r="KZX916" s="1091"/>
      <c r="KZY916" s="1091"/>
      <c r="KZZ916" s="1091"/>
      <c r="LAA916" s="1091"/>
      <c r="LAB916" s="1091"/>
      <c r="LAC916" s="1091"/>
      <c r="LAD916" s="1091"/>
      <c r="LAE916" s="1091"/>
      <c r="LAF916" s="1091"/>
      <c r="LAG916" s="1091"/>
      <c r="LAH916" s="1091"/>
      <c r="LAI916" s="1091"/>
      <c r="LAJ916" s="1091"/>
      <c r="LAK916" s="1091"/>
      <c r="LAL916" s="1091"/>
      <c r="LAM916" s="1091"/>
      <c r="LAN916" s="1091"/>
      <c r="LAO916" s="1091"/>
      <c r="LAP916" s="1091"/>
      <c r="LAQ916" s="1091"/>
      <c r="LAR916" s="1091"/>
      <c r="LAS916" s="1091"/>
      <c r="LAT916" s="1091"/>
      <c r="LAU916" s="1091"/>
      <c r="LAV916" s="1091"/>
      <c r="LAW916" s="1091"/>
      <c r="LAX916" s="1091"/>
      <c r="LAY916" s="1091"/>
      <c r="LAZ916" s="1091"/>
      <c r="LBA916" s="1091"/>
      <c r="LBB916" s="1091"/>
      <c r="LBC916" s="1091"/>
      <c r="LBD916" s="1091"/>
      <c r="LBE916" s="1091"/>
      <c r="LBF916" s="1091"/>
      <c r="LBG916" s="1091"/>
      <c r="LBH916" s="1091"/>
      <c r="LBI916" s="1091"/>
      <c r="LBJ916" s="1091"/>
      <c r="LBK916" s="1091"/>
      <c r="LBL916" s="1091"/>
      <c r="LBM916" s="1091"/>
      <c r="LBN916" s="1091"/>
      <c r="LBO916" s="1091"/>
      <c r="LBP916" s="1091"/>
      <c r="LBQ916" s="1091"/>
      <c r="LBR916" s="1091"/>
      <c r="LBS916" s="1091"/>
      <c r="LBT916" s="1091"/>
      <c r="LBU916" s="1091"/>
      <c r="LBV916" s="1091"/>
      <c r="LBW916" s="1091"/>
      <c r="LBX916" s="1091"/>
      <c r="LBY916" s="1091"/>
      <c r="LBZ916" s="1091"/>
      <c r="LCA916" s="1091"/>
      <c r="LCB916" s="1091"/>
      <c r="LCC916" s="1091"/>
      <c r="LCD916" s="1091"/>
      <c r="LCE916" s="1091"/>
      <c r="LCF916" s="1091"/>
      <c r="LCG916" s="1091"/>
      <c r="LCH916" s="1091"/>
      <c r="LCI916" s="1091"/>
      <c r="LCJ916" s="1091"/>
      <c r="LCK916" s="1091"/>
      <c r="LCL916" s="1091"/>
      <c r="LCM916" s="1091"/>
      <c r="LCN916" s="1091"/>
      <c r="LCO916" s="1091"/>
      <c r="LCP916" s="1091"/>
      <c r="LCQ916" s="1091"/>
      <c r="LCR916" s="1091"/>
      <c r="LCS916" s="1091"/>
      <c r="LCT916" s="1091"/>
      <c r="LCU916" s="1091"/>
      <c r="LCV916" s="1091"/>
      <c r="LCW916" s="1091"/>
      <c r="LCX916" s="1091"/>
      <c r="LCY916" s="1091"/>
      <c r="LCZ916" s="1091"/>
      <c r="LDA916" s="1091"/>
      <c r="LDB916" s="1091"/>
      <c r="LDC916" s="1091"/>
      <c r="LDD916" s="1091"/>
      <c r="LDE916" s="1091"/>
      <c r="LDF916" s="1091"/>
      <c r="LDG916" s="1091"/>
      <c r="LDH916" s="1091"/>
      <c r="LDI916" s="1091"/>
      <c r="LDJ916" s="1091"/>
      <c r="LDK916" s="1091"/>
      <c r="LDL916" s="1091"/>
      <c r="LDM916" s="1091"/>
      <c r="LDN916" s="1091"/>
      <c r="LDO916" s="1091"/>
      <c r="LDP916" s="1091"/>
      <c r="LDQ916" s="1091"/>
      <c r="LDR916" s="1091"/>
      <c r="LDS916" s="1091"/>
      <c r="LDT916" s="1091"/>
      <c r="LDU916" s="1091"/>
      <c r="LDV916" s="1091"/>
      <c r="LDW916" s="1091"/>
      <c r="LDX916" s="1091"/>
      <c r="LDY916" s="1091"/>
      <c r="LDZ916" s="1091"/>
      <c r="LEA916" s="1091"/>
      <c r="LEB916" s="1091"/>
      <c r="LEC916" s="1091"/>
      <c r="LED916" s="1091"/>
      <c r="LEE916" s="1091"/>
      <c r="LEF916" s="1091"/>
      <c r="LEG916" s="1091"/>
      <c r="LEH916" s="1091"/>
      <c r="LEI916" s="1091"/>
      <c r="LEJ916" s="1091"/>
      <c r="LEK916" s="1091"/>
      <c r="LEL916" s="1091"/>
      <c r="LEM916" s="1091"/>
      <c r="LEN916" s="1091"/>
      <c r="LEO916" s="1091"/>
      <c r="LEP916" s="1091"/>
      <c r="LEQ916" s="1091"/>
      <c r="LER916" s="1091"/>
      <c r="LES916" s="1091"/>
      <c r="LET916" s="1091"/>
      <c r="LEU916" s="1091"/>
      <c r="LEV916" s="1091"/>
      <c r="LEW916" s="1091"/>
      <c r="LEX916" s="1091"/>
      <c r="LEY916" s="1091"/>
      <c r="LEZ916" s="1091"/>
      <c r="LFA916" s="1091"/>
      <c r="LFB916" s="1091"/>
      <c r="LFC916" s="1091"/>
      <c r="LFD916" s="1091"/>
      <c r="LFE916" s="1091"/>
      <c r="LFF916" s="1091"/>
      <c r="LFG916" s="1091"/>
      <c r="LFH916" s="1091"/>
      <c r="LFI916" s="1091"/>
      <c r="LFJ916" s="1091"/>
      <c r="LFK916" s="1091"/>
      <c r="LFL916" s="1091"/>
      <c r="LFM916" s="1091"/>
      <c r="LFN916" s="1091"/>
      <c r="LFO916" s="1091"/>
      <c r="LFP916" s="1091"/>
      <c r="LFQ916" s="1091"/>
      <c r="LFR916" s="1091"/>
      <c r="LFS916" s="1091"/>
      <c r="LFT916" s="1091"/>
      <c r="LFU916" s="1091"/>
      <c r="LFV916" s="1091"/>
      <c r="LFW916" s="1091"/>
      <c r="LFX916" s="1091"/>
      <c r="LFY916" s="1091"/>
      <c r="LFZ916" s="1091"/>
      <c r="LGA916" s="1091"/>
      <c r="LGB916" s="1091"/>
      <c r="LGC916" s="1091"/>
      <c r="LGD916" s="1091"/>
      <c r="LGE916" s="1091"/>
      <c r="LGF916" s="1091"/>
      <c r="LGG916" s="1091"/>
      <c r="LGH916" s="1091"/>
      <c r="LGI916" s="1091"/>
      <c r="LGJ916" s="1091"/>
      <c r="LGK916" s="1091"/>
      <c r="LGL916" s="1091"/>
      <c r="LGM916" s="1091"/>
      <c r="LGN916" s="1091"/>
      <c r="LGO916" s="1091"/>
      <c r="LGP916" s="1091"/>
      <c r="LGQ916" s="1091"/>
      <c r="LGR916" s="1091"/>
      <c r="LGS916" s="1091"/>
      <c r="LGT916" s="1091"/>
      <c r="LGU916" s="1091"/>
      <c r="LGV916" s="1091"/>
      <c r="LGW916" s="1091"/>
      <c r="LGX916" s="1091"/>
      <c r="LGY916" s="1091"/>
      <c r="LGZ916" s="1091"/>
      <c r="LHA916" s="1091"/>
      <c r="LHB916" s="1091"/>
      <c r="LHC916" s="1091"/>
      <c r="LHD916" s="1091"/>
      <c r="LHE916" s="1091"/>
      <c r="LHF916" s="1091"/>
      <c r="LHG916" s="1091"/>
      <c r="LHH916" s="1091"/>
      <c r="LHI916" s="1091"/>
      <c r="LHJ916" s="1091"/>
      <c r="LHK916" s="1091"/>
      <c r="LHL916" s="1091"/>
      <c r="LHM916" s="1091"/>
      <c r="LHN916" s="1091"/>
      <c r="LHO916" s="1091"/>
      <c r="LHP916" s="1091"/>
      <c r="LHQ916" s="1091"/>
      <c r="LHR916" s="1091"/>
      <c r="LHS916" s="1091"/>
      <c r="LHT916" s="1091"/>
      <c r="LHU916" s="1091"/>
      <c r="LHV916" s="1091"/>
      <c r="LHW916" s="1091"/>
      <c r="LHX916" s="1091"/>
      <c r="LHY916" s="1091"/>
      <c r="LHZ916" s="1091"/>
      <c r="LIA916" s="1091"/>
      <c r="LIB916" s="1091"/>
      <c r="LIC916" s="1091"/>
      <c r="LID916" s="1091"/>
      <c r="LIE916" s="1091"/>
      <c r="LIF916" s="1091"/>
      <c r="LIG916" s="1091"/>
      <c r="LIH916" s="1091"/>
      <c r="LII916" s="1091"/>
      <c r="LIJ916" s="1091"/>
      <c r="LIK916" s="1091"/>
      <c r="LIL916" s="1091"/>
      <c r="LIM916" s="1091"/>
      <c r="LIN916" s="1091"/>
      <c r="LIO916" s="1091"/>
      <c r="LIP916" s="1091"/>
      <c r="LIQ916" s="1091"/>
      <c r="LIR916" s="1091"/>
      <c r="LIS916" s="1091"/>
      <c r="LIT916" s="1091"/>
      <c r="LIU916" s="1091"/>
      <c r="LIV916" s="1091"/>
      <c r="LIW916" s="1091"/>
      <c r="LIX916" s="1091"/>
      <c r="LIY916" s="1091"/>
      <c r="LIZ916" s="1091"/>
      <c r="LJA916" s="1091"/>
      <c r="LJB916" s="1091"/>
      <c r="LJC916" s="1091"/>
      <c r="LJD916" s="1091"/>
      <c r="LJE916" s="1091"/>
      <c r="LJF916" s="1091"/>
      <c r="LJG916" s="1091"/>
      <c r="LJH916" s="1091"/>
      <c r="LJI916" s="1091"/>
      <c r="LJJ916" s="1091"/>
      <c r="LJK916" s="1091"/>
      <c r="LJL916" s="1091"/>
      <c r="LJM916" s="1091"/>
      <c r="LJN916" s="1091"/>
      <c r="LJO916" s="1091"/>
      <c r="LJP916" s="1091"/>
      <c r="LJQ916" s="1091"/>
      <c r="LJR916" s="1091"/>
      <c r="LJS916" s="1091"/>
      <c r="LJT916" s="1091"/>
      <c r="LJU916" s="1091"/>
      <c r="LJV916" s="1091"/>
      <c r="LJW916" s="1091"/>
      <c r="LJX916" s="1091"/>
      <c r="LJY916" s="1091"/>
      <c r="LJZ916" s="1091"/>
      <c r="LKA916" s="1091"/>
      <c r="LKB916" s="1091"/>
      <c r="LKC916" s="1091"/>
      <c r="LKD916" s="1091"/>
      <c r="LKE916" s="1091"/>
      <c r="LKF916" s="1091"/>
      <c r="LKG916" s="1091"/>
      <c r="LKH916" s="1091"/>
      <c r="LKI916" s="1091"/>
      <c r="LKJ916" s="1091"/>
      <c r="LKK916" s="1091"/>
      <c r="LKL916" s="1091"/>
      <c r="LKM916" s="1091"/>
      <c r="LKN916" s="1091"/>
      <c r="LKO916" s="1091"/>
      <c r="LKP916" s="1091"/>
      <c r="LKQ916" s="1091"/>
      <c r="LKR916" s="1091"/>
      <c r="LKS916" s="1091"/>
      <c r="LKT916" s="1091"/>
      <c r="LKU916" s="1091"/>
      <c r="LKV916" s="1091"/>
      <c r="LKW916" s="1091"/>
      <c r="LKX916" s="1091"/>
      <c r="LKY916" s="1091"/>
      <c r="LKZ916" s="1091"/>
      <c r="LLA916" s="1091"/>
      <c r="LLB916" s="1091"/>
      <c r="LLC916" s="1091"/>
      <c r="LLD916" s="1091"/>
      <c r="LLE916" s="1091"/>
      <c r="LLF916" s="1091"/>
      <c r="LLG916" s="1091"/>
      <c r="LLH916" s="1091"/>
      <c r="LLI916" s="1091"/>
      <c r="LLJ916" s="1091"/>
      <c r="LLK916" s="1091"/>
      <c r="LLL916" s="1091"/>
      <c r="LLM916" s="1091"/>
      <c r="LLN916" s="1091"/>
      <c r="LLO916" s="1091"/>
      <c r="LLP916" s="1091"/>
      <c r="LLQ916" s="1091"/>
      <c r="LLR916" s="1091"/>
      <c r="LLS916" s="1091"/>
      <c r="LLT916" s="1091"/>
      <c r="LLU916" s="1091"/>
      <c r="LLV916" s="1091"/>
      <c r="LLW916" s="1091"/>
      <c r="LLX916" s="1091"/>
      <c r="LLY916" s="1091"/>
      <c r="LLZ916" s="1091"/>
      <c r="LMA916" s="1091"/>
      <c r="LMB916" s="1091"/>
      <c r="LMC916" s="1091"/>
      <c r="LMD916" s="1091"/>
      <c r="LME916" s="1091"/>
      <c r="LMF916" s="1091"/>
      <c r="LMG916" s="1091"/>
      <c r="LMH916" s="1091"/>
      <c r="LMI916" s="1091"/>
      <c r="LMJ916" s="1091"/>
      <c r="LMK916" s="1091"/>
      <c r="LML916" s="1091"/>
      <c r="LMM916" s="1091"/>
      <c r="LMN916" s="1091"/>
      <c r="LMO916" s="1091"/>
      <c r="LMP916" s="1091"/>
      <c r="LMQ916" s="1091"/>
      <c r="LMR916" s="1091"/>
      <c r="LMS916" s="1091"/>
      <c r="LMT916" s="1091"/>
      <c r="LMU916" s="1091"/>
      <c r="LMV916" s="1091"/>
      <c r="LMW916" s="1091"/>
      <c r="LMX916" s="1091"/>
      <c r="LMY916" s="1091"/>
      <c r="LMZ916" s="1091"/>
      <c r="LNA916" s="1091"/>
      <c r="LNB916" s="1091"/>
      <c r="LNC916" s="1091"/>
      <c r="LND916" s="1091"/>
      <c r="LNE916" s="1091"/>
      <c r="LNF916" s="1091"/>
      <c r="LNG916" s="1091"/>
      <c r="LNH916" s="1091"/>
      <c r="LNI916" s="1091"/>
      <c r="LNJ916" s="1091"/>
      <c r="LNK916" s="1091"/>
      <c r="LNL916" s="1091"/>
      <c r="LNM916" s="1091"/>
      <c r="LNN916" s="1091"/>
      <c r="LNO916" s="1091"/>
      <c r="LNP916" s="1091"/>
      <c r="LNQ916" s="1091"/>
      <c r="LNR916" s="1091"/>
      <c r="LNS916" s="1091"/>
      <c r="LNT916" s="1091"/>
      <c r="LNU916" s="1091"/>
      <c r="LNV916" s="1091"/>
      <c r="LNW916" s="1091"/>
      <c r="LNX916" s="1091"/>
      <c r="LNY916" s="1091"/>
      <c r="LNZ916" s="1091"/>
      <c r="LOA916" s="1091"/>
      <c r="LOB916" s="1091"/>
      <c r="LOC916" s="1091"/>
      <c r="LOD916" s="1091"/>
      <c r="LOE916" s="1091"/>
      <c r="LOF916" s="1091"/>
      <c r="LOG916" s="1091"/>
      <c r="LOH916" s="1091"/>
      <c r="LOI916" s="1091"/>
      <c r="LOJ916" s="1091"/>
      <c r="LOK916" s="1091"/>
      <c r="LOL916" s="1091"/>
      <c r="LOM916" s="1091"/>
      <c r="LON916" s="1091"/>
      <c r="LOO916" s="1091"/>
      <c r="LOP916" s="1091"/>
      <c r="LOQ916" s="1091"/>
      <c r="LOR916" s="1091"/>
      <c r="LOS916" s="1091"/>
      <c r="LOT916" s="1091"/>
      <c r="LOU916" s="1091"/>
      <c r="LOV916" s="1091"/>
      <c r="LOW916" s="1091"/>
      <c r="LOX916" s="1091"/>
      <c r="LOY916" s="1091"/>
      <c r="LOZ916" s="1091"/>
      <c r="LPA916" s="1091"/>
      <c r="LPB916" s="1091"/>
      <c r="LPC916" s="1091"/>
      <c r="LPD916" s="1091"/>
      <c r="LPE916" s="1091"/>
      <c r="LPF916" s="1091"/>
      <c r="LPG916" s="1091"/>
      <c r="LPH916" s="1091"/>
      <c r="LPI916" s="1091"/>
      <c r="LPJ916" s="1091"/>
      <c r="LPK916" s="1091"/>
      <c r="LPL916" s="1091"/>
      <c r="LPM916" s="1091"/>
      <c r="LPN916" s="1091"/>
      <c r="LPO916" s="1091"/>
      <c r="LPP916" s="1091"/>
      <c r="LPQ916" s="1091"/>
      <c r="LPR916" s="1091"/>
      <c r="LPS916" s="1091"/>
      <c r="LPT916" s="1091"/>
      <c r="LPU916" s="1091"/>
      <c r="LPV916" s="1091"/>
      <c r="LPW916" s="1091"/>
      <c r="LPX916" s="1091"/>
      <c r="LPY916" s="1091"/>
      <c r="LPZ916" s="1091"/>
      <c r="LQA916" s="1091"/>
      <c r="LQB916" s="1091"/>
      <c r="LQC916" s="1091"/>
      <c r="LQD916" s="1091"/>
      <c r="LQE916" s="1091"/>
      <c r="LQF916" s="1091"/>
      <c r="LQG916" s="1091"/>
      <c r="LQH916" s="1091"/>
      <c r="LQI916" s="1091"/>
      <c r="LQJ916" s="1091"/>
      <c r="LQK916" s="1091"/>
      <c r="LQL916" s="1091"/>
      <c r="LQM916" s="1091"/>
      <c r="LQN916" s="1091"/>
      <c r="LQO916" s="1091"/>
      <c r="LQP916" s="1091"/>
      <c r="LQQ916" s="1091"/>
      <c r="LQR916" s="1091"/>
      <c r="LQS916" s="1091"/>
      <c r="LQT916" s="1091"/>
      <c r="LQU916" s="1091"/>
      <c r="LQV916" s="1091"/>
      <c r="LQW916" s="1091"/>
      <c r="LQX916" s="1091"/>
      <c r="LQY916" s="1091"/>
      <c r="LQZ916" s="1091"/>
      <c r="LRA916" s="1091"/>
      <c r="LRB916" s="1091"/>
      <c r="LRC916" s="1091"/>
      <c r="LRD916" s="1091"/>
      <c r="LRE916" s="1091"/>
      <c r="LRF916" s="1091"/>
      <c r="LRG916" s="1091"/>
      <c r="LRH916" s="1091"/>
      <c r="LRI916" s="1091"/>
      <c r="LRJ916" s="1091"/>
      <c r="LRK916" s="1091"/>
      <c r="LRL916" s="1091"/>
      <c r="LRM916" s="1091"/>
      <c r="LRN916" s="1091"/>
      <c r="LRO916" s="1091"/>
      <c r="LRP916" s="1091"/>
      <c r="LRQ916" s="1091"/>
      <c r="LRR916" s="1091"/>
      <c r="LRS916" s="1091"/>
      <c r="LRT916" s="1091"/>
      <c r="LRU916" s="1091"/>
      <c r="LRV916" s="1091"/>
      <c r="LRW916" s="1091"/>
      <c r="LRX916" s="1091"/>
      <c r="LRY916" s="1091"/>
      <c r="LRZ916" s="1091"/>
      <c r="LSA916" s="1091"/>
      <c r="LSB916" s="1091"/>
      <c r="LSC916" s="1091"/>
      <c r="LSD916" s="1091"/>
      <c r="LSE916" s="1091"/>
      <c r="LSF916" s="1091"/>
      <c r="LSG916" s="1091"/>
      <c r="LSH916" s="1091"/>
      <c r="LSI916" s="1091"/>
      <c r="LSJ916" s="1091"/>
      <c r="LSK916" s="1091"/>
      <c r="LSL916" s="1091"/>
      <c r="LSM916" s="1091"/>
      <c r="LSN916" s="1091"/>
      <c r="LSO916" s="1091"/>
      <c r="LSP916" s="1091"/>
      <c r="LSQ916" s="1091"/>
      <c r="LSR916" s="1091"/>
      <c r="LSS916" s="1091"/>
      <c r="LST916" s="1091"/>
      <c r="LSU916" s="1091"/>
      <c r="LSV916" s="1091"/>
      <c r="LSW916" s="1091"/>
      <c r="LSX916" s="1091"/>
      <c r="LSY916" s="1091"/>
      <c r="LSZ916" s="1091"/>
      <c r="LTA916" s="1091"/>
      <c r="LTB916" s="1091"/>
      <c r="LTC916" s="1091"/>
      <c r="LTD916" s="1091"/>
      <c r="LTE916" s="1091"/>
      <c r="LTF916" s="1091"/>
      <c r="LTG916" s="1091"/>
      <c r="LTH916" s="1091"/>
      <c r="LTI916" s="1091"/>
      <c r="LTJ916" s="1091"/>
      <c r="LTK916" s="1091"/>
      <c r="LTL916" s="1091"/>
      <c r="LTM916" s="1091"/>
      <c r="LTN916" s="1091"/>
      <c r="LTO916" s="1091"/>
      <c r="LTP916" s="1091"/>
      <c r="LTQ916" s="1091"/>
      <c r="LTR916" s="1091"/>
      <c r="LTS916" s="1091"/>
      <c r="LTT916" s="1091"/>
      <c r="LTU916" s="1091"/>
      <c r="LTV916" s="1091"/>
      <c r="LTW916" s="1091"/>
      <c r="LTX916" s="1091"/>
      <c r="LTY916" s="1091"/>
      <c r="LTZ916" s="1091"/>
      <c r="LUA916" s="1091"/>
      <c r="LUB916" s="1091"/>
      <c r="LUC916" s="1091"/>
      <c r="LUD916" s="1091"/>
      <c r="LUE916" s="1091"/>
      <c r="LUF916" s="1091"/>
      <c r="LUG916" s="1091"/>
      <c r="LUH916" s="1091"/>
      <c r="LUI916" s="1091"/>
      <c r="LUJ916" s="1091"/>
      <c r="LUK916" s="1091"/>
      <c r="LUL916" s="1091"/>
      <c r="LUM916" s="1091"/>
      <c r="LUN916" s="1091"/>
      <c r="LUO916" s="1091"/>
      <c r="LUP916" s="1091"/>
      <c r="LUQ916" s="1091"/>
      <c r="LUR916" s="1091"/>
      <c r="LUS916" s="1091"/>
      <c r="LUT916" s="1091"/>
      <c r="LUU916" s="1091"/>
      <c r="LUV916" s="1091"/>
      <c r="LUW916" s="1091"/>
      <c r="LUX916" s="1091"/>
      <c r="LUY916" s="1091"/>
      <c r="LUZ916" s="1091"/>
      <c r="LVA916" s="1091"/>
      <c r="LVB916" s="1091"/>
      <c r="LVC916" s="1091"/>
      <c r="LVD916" s="1091"/>
      <c r="LVE916" s="1091"/>
      <c r="LVF916" s="1091"/>
      <c r="LVG916" s="1091"/>
      <c r="LVH916" s="1091"/>
      <c r="LVI916" s="1091"/>
      <c r="LVJ916" s="1091"/>
      <c r="LVK916" s="1091"/>
      <c r="LVL916" s="1091"/>
      <c r="LVM916" s="1091"/>
      <c r="LVN916" s="1091"/>
      <c r="LVO916" s="1091"/>
      <c r="LVP916" s="1091"/>
      <c r="LVQ916" s="1091"/>
      <c r="LVR916" s="1091"/>
      <c r="LVS916" s="1091"/>
      <c r="LVT916" s="1091"/>
      <c r="LVU916" s="1091"/>
      <c r="LVV916" s="1091"/>
      <c r="LVW916" s="1091"/>
      <c r="LVX916" s="1091"/>
      <c r="LVY916" s="1091"/>
      <c r="LVZ916" s="1091"/>
      <c r="LWA916" s="1091"/>
      <c r="LWB916" s="1091"/>
      <c r="LWC916" s="1091"/>
      <c r="LWD916" s="1091"/>
      <c r="LWE916" s="1091"/>
      <c r="LWF916" s="1091"/>
      <c r="LWG916" s="1091"/>
      <c r="LWH916" s="1091"/>
      <c r="LWI916" s="1091"/>
      <c r="LWJ916" s="1091"/>
      <c r="LWK916" s="1091"/>
      <c r="LWL916" s="1091"/>
      <c r="LWM916" s="1091"/>
      <c r="LWN916" s="1091"/>
      <c r="LWO916" s="1091"/>
      <c r="LWP916" s="1091"/>
      <c r="LWQ916" s="1091"/>
      <c r="LWR916" s="1091"/>
      <c r="LWS916" s="1091"/>
      <c r="LWT916" s="1091"/>
      <c r="LWU916" s="1091"/>
      <c r="LWV916" s="1091"/>
      <c r="LWW916" s="1091"/>
      <c r="LWX916" s="1091"/>
      <c r="LWY916" s="1091"/>
      <c r="LWZ916" s="1091"/>
      <c r="LXA916" s="1091"/>
      <c r="LXB916" s="1091"/>
      <c r="LXC916" s="1091"/>
      <c r="LXD916" s="1091"/>
      <c r="LXE916" s="1091"/>
      <c r="LXF916" s="1091"/>
      <c r="LXG916" s="1091"/>
      <c r="LXH916" s="1091"/>
      <c r="LXI916" s="1091"/>
      <c r="LXJ916" s="1091"/>
      <c r="LXK916" s="1091"/>
      <c r="LXL916" s="1091"/>
      <c r="LXM916" s="1091"/>
      <c r="LXN916" s="1091"/>
      <c r="LXO916" s="1091"/>
      <c r="LXP916" s="1091"/>
      <c r="LXQ916" s="1091"/>
      <c r="LXR916" s="1091"/>
      <c r="LXS916" s="1091"/>
      <c r="LXT916" s="1091"/>
      <c r="LXU916" s="1091"/>
      <c r="LXV916" s="1091"/>
      <c r="LXW916" s="1091"/>
      <c r="LXX916" s="1091"/>
      <c r="LXY916" s="1091"/>
      <c r="LXZ916" s="1091"/>
      <c r="LYA916" s="1091"/>
      <c r="LYB916" s="1091"/>
      <c r="LYC916" s="1091"/>
      <c r="LYD916" s="1091"/>
      <c r="LYE916" s="1091"/>
      <c r="LYF916" s="1091"/>
      <c r="LYG916" s="1091"/>
      <c r="LYH916" s="1091"/>
      <c r="LYI916" s="1091"/>
      <c r="LYJ916" s="1091"/>
      <c r="LYK916" s="1091"/>
      <c r="LYL916" s="1091"/>
      <c r="LYM916" s="1091"/>
      <c r="LYN916" s="1091"/>
      <c r="LYO916" s="1091"/>
      <c r="LYP916" s="1091"/>
      <c r="LYQ916" s="1091"/>
      <c r="LYR916" s="1091"/>
      <c r="LYS916" s="1091"/>
      <c r="LYT916" s="1091"/>
      <c r="LYU916" s="1091"/>
      <c r="LYV916" s="1091"/>
      <c r="LYW916" s="1091"/>
      <c r="LYX916" s="1091"/>
      <c r="LYY916" s="1091"/>
      <c r="LYZ916" s="1091"/>
      <c r="LZA916" s="1091"/>
      <c r="LZB916" s="1091"/>
      <c r="LZC916" s="1091"/>
      <c r="LZD916" s="1091"/>
      <c r="LZE916" s="1091"/>
      <c r="LZF916" s="1091"/>
      <c r="LZG916" s="1091"/>
      <c r="LZH916" s="1091"/>
      <c r="LZI916" s="1091"/>
      <c r="LZJ916" s="1091"/>
      <c r="LZK916" s="1091"/>
      <c r="LZL916" s="1091"/>
      <c r="LZM916" s="1091"/>
      <c r="LZN916" s="1091"/>
      <c r="LZO916" s="1091"/>
      <c r="LZP916" s="1091"/>
      <c r="LZQ916" s="1091"/>
      <c r="LZR916" s="1091"/>
      <c r="LZS916" s="1091"/>
      <c r="LZT916" s="1091"/>
      <c r="LZU916" s="1091"/>
      <c r="LZV916" s="1091"/>
      <c r="LZW916" s="1091"/>
      <c r="LZX916" s="1091"/>
      <c r="LZY916" s="1091"/>
      <c r="LZZ916" s="1091"/>
      <c r="MAA916" s="1091"/>
      <c r="MAB916" s="1091"/>
      <c r="MAC916" s="1091"/>
      <c r="MAD916" s="1091"/>
      <c r="MAE916" s="1091"/>
      <c r="MAF916" s="1091"/>
      <c r="MAG916" s="1091"/>
      <c r="MAH916" s="1091"/>
      <c r="MAI916" s="1091"/>
      <c r="MAJ916" s="1091"/>
      <c r="MAK916" s="1091"/>
      <c r="MAL916" s="1091"/>
      <c r="MAM916" s="1091"/>
      <c r="MAN916" s="1091"/>
      <c r="MAO916" s="1091"/>
      <c r="MAP916" s="1091"/>
      <c r="MAQ916" s="1091"/>
      <c r="MAR916" s="1091"/>
      <c r="MAS916" s="1091"/>
      <c r="MAT916" s="1091"/>
      <c r="MAU916" s="1091"/>
      <c r="MAV916" s="1091"/>
      <c r="MAW916" s="1091"/>
      <c r="MAX916" s="1091"/>
      <c r="MAY916" s="1091"/>
      <c r="MAZ916" s="1091"/>
      <c r="MBA916" s="1091"/>
      <c r="MBB916" s="1091"/>
      <c r="MBC916" s="1091"/>
      <c r="MBD916" s="1091"/>
      <c r="MBE916" s="1091"/>
      <c r="MBF916" s="1091"/>
      <c r="MBG916" s="1091"/>
      <c r="MBH916" s="1091"/>
      <c r="MBI916" s="1091"/>
      <c r="MBJ916" s="1091"/>
      <c r="MBK916" s="1091"/>
      <c r="MBL916" s="1091"/>
      <c r="MBM916" s="1091"/>
      <c r="MBN916" s="1091"/>
      <c r="MBO916" s="1091"/>
      <c r="MBP916" s="1091"/>
      <c r="MBQ916" s="1091"/>
      <c r="MBR916" s="1091"/>
      <c r="MBS916" s="1091"/>
      <c r="MBT916" s="1091"/>
      <c r="MBU916" s="1091"/>
      <c r="MBV916" s="1091"/>
      <c r="MBW916" s="1091"/>
      <c r="MBX916" s="1091"/>
      <c r="MBY916" s="1091"/>
      <c r="MBZ916" s="1091"/>
      <c r="MCA916" s="1091"/>
      <c r="MCB916" s="1091"/>
      <c r="MCC916" s="1091"/>
      <c r="MCD916" s="1091"/>
      <c r="MCE916" s="1091"/>
      <c r="MCF916" s="1091"/>
      <c r="MCG916" s="1091"/>
      <c r="MCH916" s="1091"/>
      <c r="MCI916" s="1091"/>
      <c r="MCJ916" s="1091"/>
      <c r="MCK916" s="1091"/>
      <c r="MCL916" s="1091"/>
      <c r="MCM916" s="1091"/>
      <c r="MCN916" s="1091"/>
      <c r="MCO916" s="1091"/>
      <c r="MCP916" s="1091"/>
      <c r="MCQ916" s="1091"/>
      <c r="MCR916" s="1091"/>
      <c r="MCS916" s="1091"/>
      <c r="MCT916" s="1091"/>
      <c r="MCU916" s="1091"/>
      <c r="MCV916" s="1091"/>
      <c r="MCW916" s="1091"/>
      <c r="MCX916" s="1091"/>
      <c r="MCY916" s="1091"/>
      <c r="MCZ916" s="1091"/>
      <c r="MDA916" s="1091"/>
      <c r="MDB916" s="1091"/>
      <c r="MDC916" s="1091"/>
      <c r="MDD916" s="1091"/>
      <c r="MDE916" s="1091"/>
      <c r="MDF916" s="1091"/>
      <c r="MDG916" s="1091"/>
      <c r="MDH916" s="1091"/>
      <c r="MDI916" s="1091"/>
      <c r="MDJ916" s="1091"/>
      <c r="MDK916" s="1091"/>
      <c r="MDL916" s="1091"/>
      <c r="MDM916" s="1091"/>
      <c r="MDN916" s="1091"/>
      <c r="MDO916" s="1091"/>
      <c r="MDP916" s="1091"/>
      <c r="MDQ916" s="1091"/>
      <c r="MDR916" s="1091"/>
      <c r="MDS916" s="1091"/>
      <c r="MDT916" s="1091"/>
      <c r="MDU916" s="1091"/>
      <c r="MDV916" s="1091"/>
      <c r="MDW916" s="1091"/>
      <c r="MDX916" s="1091"/>
      <c r="MDY916" s="1091"/>
      <c r="MDZ916" s="1091"/>
      <c r="MEA916" s="1091"/>
      <c r="MEB916" s="1091"/>
      <c r="MEC916" s="1091"/>
      <c r="MED916" s="1091"/>
      <c r="MEE916" s="1091"/>
      <c r="MEF916" s="1091"/>
      <c r="MEG916" s="1091"/>
      <c r="MEH916" s="1091"/>
      <c r="MEI916" s="1091"/>
      <c r="MEJ916" s="1091"/>
      <c r="MEK916" s="1091"/>
      <c r="MEL916" s="1091"/>
      <c r="MEM916" s="1091"/>
      <c r="MEN916" s="1091"/>
      <c r="MEO916" s="1091"/>
      <c r="MEP916" s="1091"/>
      <c r="MEQ916" s="1091"/>
      <c r="MER916" s="1091"/>
      <c r="MES916" s="1091"/>
      <c r="MET916" s="1091"/>
      <c r="MEU916" s="1091"/>
      <c r="MEV916" s="1091"/>
      <c r="MEW916" s="1091"/>
      <c r="MEX916" s="1091"/>
      <c r="MEY916" s="1091"/>
      <c r="MEZ916" s="1091"/>
      <c r="MFA916" s="1091"/>
      <c r="MFB916" s="1091"/>
      <c r="MFC916" s="1091"/>
      <c r="MFD916" s="1091"/>
      <c r="MFE916" s="1091"/>
      <c r="MFF916" s="1091"/>
      <c r="MFG916" s="1091"/>
      <c r="MFH916" s="1091"/>
      <c r="MFI916" s="1091"/>
      <c r="MFJ916" s="1091"/>
      <c r="MFK916" s="1091"/>
      <c r="MFL916" s="1091"/>
      <c r="MFM916" s="1091"/>
      <c r="MFN916" s="1091"/>
      <c r="MFO916" s="1091"/>
      <c r="MFP916" s="1091"/>
      <c r="MFQ916" s="1091"/>
      <c r="MFR916" s="1091"/>
      <c r="MFS916" s="1091"/>
      <c r="MFT916" s="1091"/>
      <c r="MFU916" s="1091"/>
      <c r="MFV916" s="1091"/>
      <c r="MFW916" s="1091"/>
      <c r="MFX916" s="1091"/>
      <c r="MFY916" s="1091"/>
      <c r="MFZ916" s="1091"/>
      <c r="MGA916" s="1091"/>
      <c r="MGB916" s="1091"/>
      <c r="MGC916" s="1091"/>
      <c r="MGD916" s="1091"/>
      <c r="MGE916" s="1091"/>
      <c r="MGF916" s="1091"/>
      <c r="MGG916" s="1091"/>
      <c r="MGH916" s="1091"/>
      <c r="MGI916" s="1091"/>
      <c r="MGJ916" s="1091"/>
      <c r="MGK916" s="1091"/>
      <c r="MGL916" s="1091"/>
      <c r="MGM916" s="1091"/>
      <c r="MGN916" s="1091"/>
      <c r="MGO916" s="1091"/>
      <c r="MGP916" s="1091"/>
      <c r="MGQ916" s="1091"/>
      <c r="MGR916" s="1091"/>
      <c r="MGS916" s="1091"/>
      <c r="MGT916" s="1091"/>
      <c r="MGU916" s="1091"/>
      <c r="MGV916" s="1091"/>
      <c r="MGW916" s="1091"/>
      <c r="MGX916" s="1091"/>
      <c r="MGY916" s="1091"/>
      <c r="MGZ916" s="1091"/>
      <c r="MHA916" s="1091"/>
      <c r="MHB916" s="1091"/>
      <c r="MHC916" s="1091"/>
      <c r="MHD916" s="1091"/>
      <c r="MHE916" s="1091"/>
      <c r="MHF916" s="1091"/>
      <c r="MHG916" s="1091"/>
      <c r="MHH916" s="1091"/>
      <c r="MHI916" s="1091"/>
      <c r="MHJ916" s="1091"/>
      <c r="MHK916" s="1091"/>
      <c r="MHL916" s="1091"/>
      <c r="MHM916" s="1091"/>
      <c r="MHN916" s="1091"/>
      <c r="MHO916" s="1091"/>
      <c r="MHP916" s="1091"/>
      <c r="MHQ916" s="1091"/>
      <c r="MHR916" s="1091"/>
      <c r="MHS916" s="1091"/>
      <c r="MHT916" s="1091"/>
      <c r="MHU916" s="1091"/>
      <c r="MHV916" s="1091"/>
      <c r="MHW916" s="1091"/>
      <c r="MHX916" s="1091"/>
      <c r="MHY916" s="1091"/>
      <c r="MHZ916" s="1091"/>
      <c r="MIA916" s="1091"/>
      <c r="MIB916" s="1091"/>
      <c r="MIC916" s="1091"/>
      <c r="MID916" s="1091"/>
      <c r="MIE916" s="1091"/>
      <c r="MIF916" s="1091"/>
      <c r="MIG916" s="1091"/>
      <c r="MIH916" s="1091"/>
      <c r="MII916" s="1091"/>
      <c r="MIJ916" s="1091"/>
      <c r="MIK916" s="1091"/>
      <c r="MIL916" s="1091"/>
      <c r="MIM916" s="1091"/>
      <c r="MIN916" s="1091"/>
      <c r="MIO916" s="1091"/>
      <c r="MIP916" s="1091"/>
      <c r="MIQ916" s="1091"/>
      <c r="MIR916" s="1091"/>
      <c r="MIS916" s="1091"/>
      <c r="MIT916" s="1091"/>
      <c r="MIU916" s="1091"/>
      <c r="MIV916" s="1091"/>
      <c r="MIW916" s="1091"/>
      <c r="MIX916" s="1091"/>
      <c r="MIY916" s="1091"/>
      <c r="MIZ916" s="1091"/>
      <c r="MJA916" s="1091"/>
      <c r="MJB916" s="1091"/>
      <c r="MJC916" s="1091"/>
      <c r="MJD916" s="1091"/>
      <c r="MJE916" s="1091"/>
      <c r="MJF916" s="1091"/>
      <c r="MJG916" s="1091"/>
      <c r="MJH916" s="1091"/>
      <c r="MJI916" s="1091"/>
      <c r="MJJ916" s="1091"/>
      <c r="MJK916" s="1091"/>
      <c r="MJL916" s="1091"/>
      <c r="MJM916" s="1091"/>
      <c r="MJN916" s="1091"/>
      <c r="MJO916" s="1091"/>
      <c r="MJP916" s="1091"/>
      <c r="MJQ916" s="1091"/>
      <c r="MJR916" s="1091"/>
      <c r="MJS916" s="1091"/>
      <c r="MJT916" s="1091"/>
      <c r="MJU916" s="1091"/>
      <c r="MJV916" s="1091"/>
      <c r="MJW916" s="1091"/>
      <c r="MJX916" s="1091"/>
      <c r="MJY916" s="1091"/>
      <c r="MJZ916" s="1091"/>
      <c r="MKA916" s="1091"/>
      <c r="MKB916" s="1091"/>
      <c r="MKC916" s="1091"/>
      <c r="MKD916" s="1091"/>
      <c r="MKE916" s="1091"/>
      <c r="MKF916" s="1091"/>
      <c r="MKG916" s="1091"/>
      <c r="MKH916" s="1091"/>
      <c r="MKI916" s="1091"/>
      <c r="MKJ916" s="1091"/>
      <c r="MKK916" s="1091"/>
      <c r="MKL916" s="1091"/>
      <c r="MKM916" s="1091"/>
      <c r="MKN916" s="1091"/>
      <c r="MKO916" s="1091"/>
      <c r="MKP916" s="1091"/>
      <c r="MKQ916" s="1091"/>
      <c r="MKR916" s="1091"/>
      <c r="MKS916" s="1091"/>
      <c r="MKT916" s="1091"/>
      <c r="MKU916" s="1091"/>
      <c r="MKV916" s="1091"/>
      <c r="MKW916" s="1091"/>
      <c r="MKX916" s="1091"/>
      <c r="MKY916" s="1091"/>
      <c r="MKZ916" s="1091"/>
      <c r="MLA916" s="1091"/>
      <c r="MLB916" s="1091"/>
      <c r="MLC916" s="1091"/>
      <c r="MLD916" s="1091"/>
      <c r="MLE916" s="1091"/>
      <c r="MLF916" s="1091"/>
      <c r="MLG916" s="1091"/>
      <c r="MLH916" s="1091"/>
      <c r="MLI916" s="1091"/>
      <c r="MLJ916" s="1091"/>
      <c r="MLK916" s="1091"/>
      <c r="MLL916" s="1091"/>
      <c r="MLM916" s="1091"/>
      <c r="MLN916" s="1091"/>
      <c r="MLO916" s="1091"/>
      <c r="MLP916" s="1091"/>
      <c r="MLQ916" s="1091"/>
      <c r="MLR916" s="1091"/>
      <c r="MLS916" s="1091"/>
      <c r="MLT916" s="1091"/>
      <c r="MLU916" s="1091"/>
      <c r="MLV916" s="1091"/>
      <c r="MLW916" s="1091"/>
      <c r="MLX916" s="1091"/>
      <c r="MLY916" s="1091"/>
      <c r="MLZ916" s="1091"/>
      <c r="MMA916" s="1091"/>
      <c r="MMB916" s="1091"/>
      <c r="MMC916" s="1091"/>
      <c r="MMD916" s="1091"/>
      <c r="MME916" s="1091"/>
      <c r="MMF916" s="1091"/>
      <c r="MMG916" s="1091"/>
      <c r="MMH916" s="1091"/>
      <c r="MMI916" s="1091"/>
      <c r="MMJ916" s="1091"/>
      <c r="MMK916" s="1091"/>
      <c r="MML916" s="1091"/>
      <c r="MMM916" s="1091"/>
      <c r="MMN916" s="1091"/>
      <c r="MMO916" s="1091"/>
      <c r="MMP916" s="1091"/>
      <c r="MMQ916" s="1091"/>
      <c r="MMR916" s="1091"/>
      <c r="MMS916" s="1091"/>
      <c r="MMT916" s="1091"/>
      <c r="MMU916" s="1091"/>
      <c r="MMV916" s="1091"/>
      <c r="MMW916" s="1091"/>
      <c r="MMX916" s="1091"/>
      <c r="MMY916" s="1091"/>
      <c r="MMZ916" s="1091"/>
      <c r="MNA916" s="1091"/>
      <c r="MNB916" s="1091"/>
      <c r="MNC916" s="1091"/>
      <c r="MND916" s="1091"/>
      <c r="MNE916" s="1091"/>
      <c r="MNF916" s="1091"/>
      <c r="MNG916" s="1091"/>
      <c r="MNH916" s="1091"/>
      <c r="MNI916" s="1091"/>
      <c r="MNJ916" s="1091"/>
      <c r="MNK916" s="1091"/>
      <c r="MNL916" s="1091"/>
      <c r="MNM916" s="1091"/>
      <c r="MNN916" s="1091"/>
      <c r="MNO916" s="1091"/>
      <c r="MNP916" s="1091"/>
      <c r="MNQ916" s="1091"/>
      <c r="MNR916" s="1091"/>
      <c r="MNS916" s="1091"/>
      <c r="MNT916" s="1091"/>
      <c r="MNU916" s="1091"/>
      <c r="MNV916" s="1091"/>
      <c r="MNW916" s="1091"/>
      <c r="MNX916" s="1091"/>
      <c r="MNY916" s="1091"/>
      <c r="MNZ916" s="1091"/>
      <c r="MOA916" s="1091"/>
      <c r="MOB916" s="1091"/>
      <c r="MOC916" s="1091"/>
      <c r="MOD916" s="1091"/>
      <c r="MOE916" s="1091"/>
      <c r="MOF916" s="1091"/>
      <c r="MOG916" s="1091"/>
      <c r="MOH916" s="1091"/>
      <c r="MOI916" s="1091"/>
      <c r="MOJ916" s="1091"/>
      <c r="MOK916" s="1091"/>
      <c r="MOL916" s="1091"/>
      <c r="MOM916" s="1091"/>
      <c r="MON916" s="1091"/>
      <c r="MOO916" s="1091"/>
      <c r="MOP916" s="1091"/>
      <c r="MOQ916" s="1091"/>
      <c r="MOR916" s="1091"/>
      <c r="MOS916" s="1091"/>
      <c r="MOT916" s="1091"/>
      <c r="MOU916" s="1091"/>
      <c r="MOV916" s="1091"/>
      <c r="MOW916" s="1091"/>
      <c r="MOX916" s="1091"/>
      <c r="MOY916" s="1091"/>
      <c r="MOZ916" s="1091"/>
      <c r="MPA916" s="1091"/>
      <c r="MPB916" s="1091"/>
      <c r="MPC916" s="1091"/>
      <c r="MPD916" s="1091"/>
      <c r="MPE916" s="1091"/>
      <c r="MPF916" s="1091"/>
      <c r="MPG916" s="1091"/>
      <c r="MPH916" s="1091"/>
      <c r="MPI916" s="1091"/>
      <c r="MPJ916" s="1091"/>
      <c r="MPK916" s="1091"/>
      <c r="MPL916" s="1091"/>
      <c r="MPM916" s="1091"/>
      <c r="MPN916" s="1091"/>
      <c r="MPO916" s="1091"/>
      <c r="MPP916" s="1091"/>
      <c r="MPQ916" s="1091"/>
      <c r="MPR916" s="1091"/>
      <c r="MPS916" s="1091"/>
      <c r="MPT916" s="1091"/>
      <c r="MPU916" s="1091"/>
      <c r="MPV916" s="1091"/>
      <c r="MPW916" s="1091"/>
      <c r="MPX916" s="1091"/>
      <c r="MPY916" s="1091"/>
      <c r="MPZ916" s="1091"/>
      <c r="MQA916" s="1091"/>
      <c r="MQB916" s="1091"/>
      <c r="MQC916" s="1091"/>
      <c r="MQD916" s="1091"/>
      <c r="MQE916" s="1091"/>
      <c r="MQF916" s="1091"/>
      <c r="MQG916" s="1091"/>
      <c r="MQH916" s="1091"/>
      <c r="MQI916" s="1091"/>
      <c r="MQJ916" s="1091"/>
      <c r="MQK916" s="1091"/>
      <c r="MQL916" s="1091"/>
      <c r="MQM916" s="1091"/>
      <c r="MQN916" s="1091"/>
      <c r="MQO916" s="1091"/>
      <c r="MQP916" s="1091"/>
      <c r="MQQ916" s="1091"/>
      <c r="MQR916" s="1091"/>
      <c r="MQS916" s="1091"/>
      <c r="MQT916" s="1091"/>
      <c r="MQU916" s="1091"/>
      <c r="MQV916" s="1091"/>
      <c r="MQW916" s="1091"/>
      <c r="MQX916" s="1091"/>
      <c r="MQY916" s="1091"/>
      <c r="MQZ916" s="1091"/>
      <c r="MRA916" s="1091"/>
      <c r="MRB916" s="1091"/>
      <c r="MRC916" s="1091"/>
      <c r="MRD916" s="1091"/>
      <c r="MRE916" s="1091"/>
      <c r="MRF916" s="1091"/>
      <c r="MRG916" s="1091"/>
      <c r="MRH916" s="1091"/>
      <c r="MRI916" s="1091"/>
      <c r="MRJ916" s="1091"/>
      <c r="MRK916" s="1091"/>
      <c r="MRL916" s="1091"/>
      <c r="MRM916" s="1091"/>
      <c r="MRN916" s="1091"/>
      <c r="MRO916" s="1091"/>
      <c r="MRP916" s="1091"/>
      <c r="MRQ916" s="1091"/>
      <c r="MRR916" s="1091"/>
      <c r="MRS916" s="1091"/>
      <c r="MRT916" s="1091"/>
      <c r="MRU916" s="1091"/>
      <c r="MRV916" s="1091"/>
      <c r="MRW916" s="1091"/>
      <c r="MRX916" s="1091"/>
      <c r="MRY916" s="1091"/>
      <c r="MRZ916" s="1091"/>
      <c r="MSA916" s="1091"/>
      <c r="MSB916" s="1091"/>
      <c r="MSC916" s="1091"/>
      <c r="MSD916" s="1091"/>
      <c r="MSE916" s="1091"/>
      <c r="MSF916" s="1091"/>
      <c r="MSG916" s="1091"/>
      <c r="MSH916" s="1091"/>
      <c r="MSI916" s="1091"/>
      <c r="MSJ916" s="1091"/>
      <c r="MSK916" s="1091"/>
      <c r="MSL916" s="1091"/>
      <c r="MSM916" s="1091"/>
      <c r="MSN916" s="1091"/>
      <c r="MSO916" s="1091"/>
      <c r="MSP916" s="1091"/>
      <c r="MSQ916" s="1091"/>
      <c r="MSR916" s="1091"/>
      <c r="MSS916" s="1091"/>
      <c r="MST916" s="1091"/>
      <c r="MSU916" s="1091"/>
      <c r="MSV916" s="1091"/>
      <c r="MSW916" s="1091"/>
      <c r="MSX916" s="1091"/>
      <c r="MSY916" s="1091"/>
      <c r="MSZ916" s="1091"/>
      <c r="MTA916" s="1091"/>
      <c r="MTB916" s="1091"/>
      <c r="MTC916" s="1091"/>
      <c r="MTD916" s="1091"/>
      <c r="MTE916" s="1091"/>
      <c r="MTF916" s="1091"/>
      <c r="MTG916" s="1091"/>
      <c r="MTH916" s="1091"/>
      <c r="MTI916" s="1091"/>
      <c r="MTJ916" s="1091"/>
      <c r="MTK916" s="1091"/>
      <c r="MTL916" s="1091"/>
      <c r="MTM916" s="1091"/>
      <c r="MTN916" s="1091"/>
      <c r="MTO916" s="1091"/>
      <c r="MTP916" s="1091"/>
      <c r="MTQ916" s="1091"/>
      <c r="MTR916" s="1091"/>
      <c r="MTS916" s="1091"/>
      <c r="MTT916" s="1091"/>
      <c r="MTU916" s="1091"/>
      <c r="MTV916" s="1091"/>
      <c r="MTW916" s="1091"/>
      <c r="MTX916" s="1091"/>
      <c r="MTY916" s="1091"/>
      <c r="MTZ916" s="1091"/>
      <c r="MUA916" s="1091"/>
      <c r="MUB916" s="1091"/>
      <c r="MUC916" s="1091"/>
      <c r="MUD916" s="1091"/>
      <c r="MUE916" s="1091"/>
      <c r="MUF916" s="1091"/>
      <c r="MUG916" s="1091"/>
      <c r="MUH916" s="1091"/>
      <c r="MUI916" s="1091"/>
      <c r="MUJ916" s="1091"/>
      <c r="MUK916" s="1091"/>
      <c r="MUL916" s="1091"/>
      <c r="MUM916" s="1091"/>
      <c r="MUN916" s="1091"/>
      <c r="MUO916" s="1091"/>
      <c r="MUP916" s="1091"/>
      <c r="MUQ916" s="1091"/>
      <c r="MUR916" s="1091"/>
      <c r="MUS916" s="1091"/>
      <c r="MUT916" s="1091"/>
      <c r="MUU916" s="1091"/>
      <c r="MUV916" s="1091"/>
      <c r="MUW916" s="1091"/>
      <c r="MUX916" s="1091"/>
      <c r="MUY916" s="1091"/>
      <c r="MUZ916" s="1091"/>
      <c r="MVA916" s="1091"/>
      <c r="MVB916" s="1091"/>
      <c r="MVC916" s="1091"/>
      <c r="MVD916" s="1091"/>
      <c r="MVE916" s="1091"/>
      <c r="MVF916" s="1091"/>
      <c r="MVG916" s="1091"/>
      <c r="MVH916" s="1091"/>
      <c r="MVI916" s="1091"/>
      <c r="MVJ916" s="1091"/>
      <c r="MVK916" s="1091"/>
      <c r="MVL916" s="1091"/>
      <c r="MVM916" s="1091"/>
      <c r="MVN916" s="1091"/>
      <c r="MVO916" s="1091"/>
      <c r="MVP916" s="1091"/>
      <c r="MVQ916" s="1091"/>
      <c r="MVR916" s="1091"/>
      <c r="MVS916" s="1091"/>
      <c r="MVT916" s="1091"/>
      <c r="MVU916" s="1091"/>
      <c r="MVV916" s="1091"/>
      <c r="MVW916" s="1091"/>
      <c r="MVX916" s="1091"/>
      <c r="MVY916" s="1091"/>
      <c r="MVZ916" s="1091"/>
      <c r="MWA916" s="1091"/>
      <c r="MWB916" s="1091"/>
      <c r="MWC916" s="1091"/>
      <c r="MWD916" s="1091"/>
      <c r="MWE916" s="1091"/>
      <c r="MWF916" s="1091"/>
      <c r="MWG916" s="1091"/>
      <c r="MWH916" s="1091"/>
      <c r="MWI916" s="1091"/>
      <c r="MWJ916" s="1091"/>
      <c r="MWK916" s="1091"/>
      <c r="MWL916" s="1091"/>
      <c r="MWM916" s="1091"/>
      <c r="MWN916" s="1091"/>
      <c r="MWO916" s="1091"/>
      <c r="MWP916" s="1091"/>
      <c r="MWQ916" s="1091"/>
      <c r="MWR916" s="1091"/>
      <c r="MWS916" s="1091"/>
      <c r="MWT916" s="1091"/>
      <c r="MWU916" s="1091"/>
      <c r="MWV916" s="1091"/>
      <c r="MWW916" s="1091"/>
      <c r="MWX916" s="1091"/>
      <c r="MWY916" s="1091"/>
      <c r="MWZ916" s="1091"/>
      <c r="MXA916" s="1091"/>
      <c r="MXB916" s="1091"/>
      <c r="MXC916" s="1091"/>
      <c r="MXD916" s="1091"/>
      <c r="MXE916" s="1091"/>
      <c r="MXF916" s="1091"/>
      <c r="MXG916" s="1091"/>
      <c r="MXH916" s="1091"/>
      <c r="MXI916" s="1091"/>
      <c r="MXJ916" s="1091"/>
      <c r="MXK916" s="1091"/>
      <c r="MXL916" s="1091"/>
      <c r="MXM916" s="1091"/>
      <c r="MXN916" s="1091"/>
      <c r="MXO916" s="1091"/>
      <c r="MXP916" s="1091"/>
      <c r="MXQ916" s="1091"/>
      <c r="MXR916" s="1091"/>
      <c r="MXS916" s="1091"/>
      <c r="MXT916" s="1091"/>
      <c r="MXU916" s="1091"/>
      <c r="MXV916" s="1091"/>
      <c r="MXW916" s="1091"/>
      <c r="MXX916" s="1091"/>
      <c r="MXY916" s="1091"/>
      <c r="MXZ916" s="1091"/>
      <c r="MYA916" s="1091"/>
      <c r="MYB916" s="1091"/>
      <c r="MYC916" s="1091"/>
      <c r="MYD916" s="1091"/>
      <c r="MYE916" s="1091"/>
      <c r="MYF916" s="1091"/>
      <c r="MYG916" s="1091"/>
      <c r="MYH916" s="1091"/>
      <c r="MYI916" s="1091"/>
      <c r="MYJ916" s="1091"/>
      <c r="MYK916" s="1091"/>
      <c r="MYL916" s="1091"/>
      <c r="MYM916" s="1091"/>
      <c r="MYN916" s="1091"/>
      <c r="MYO916" s="1091"/>
      <c r="MYP916" s="1091"/>
      <c r="MYQ916" s="1091"/>
      <c r="MYR916" s="1091"/>
      <c r="MYS916" s="1091"/>
      <c r="MYT916" s="1091"/>
      <c r="MYU916" s="1091"/>
      <c r="MYV916" s="1091"/>
      <c r="MYW916" s="1091"/>
      <c r="MYX916" s="1091"/>
      <c r="MYY916" s="1091"/>
      <c r="MYZ916" s="1091"/>
      <c r="MZA916" s="1091"/>
      <c r="MZB916" s="1091"/>
      <c r="MZC916" s="1091"/>
      <c r="MZD916" s="1091"/>
      <c r="MZE916" s="1091"/>
      <c r="MZF916" s="1091"/>
      <c r="MZG916" s="1091"/>
      <c r="MZH916" s="1091"/>
      <c r="MZI916" s="1091"/>
      <c r="MZJ916" s="1091"/>
      <c r="MZK916" s="1091"/>
      <c r="MZL916" s="1091"/>
      <c r="MZM916" s="1091"/>
      <c r="MZN916" s="1091"/>
      <c r="MZO916" s="1091"/>
      <c r="MZP916" s="1091"/>
      <c r="MZQ916" s="1091"/>
      <c r="MZR916" s="1091"/>
      <c r="MZS916" s="1091"/>
      <c r="MZT916" s="1091"/>
      <c r="MZU916" s="1091"/>
      <c r="MZV916" s="1091"/>
      <c r="MZW916" s="1091"/>
      <c r="MZX916" s="1091"/>
      <c r="MZY916" s="1091"/>
      <c r="MZZ916" s="1091"/>
      <c r="NAA916" s="1091"/>
      <c r="NAB916" s="1091"/>
      <c r="NAC916" s="1091"/>
      <c r="NAD916" s="1091"/>
      <c r="NAE916" s="1091"/>
      <c r="NAF916" s="1091"/>
      <c r="NAG916" s="1091"/>
      <c r="NAH916" s="1091"/>
      <c r="NAI916" s="1091"/>
      <c r="NAJ916" s="1091"/>
      <c r="NAK916" s="1091"/>
      <c r="NAL916" s="1091"/>
      <c r="NAM916" s="1091"/>
      <c r="NAN916" s="1091"/>
      <c r="NAO916" s="1091"/>
      <c r="NAP916" s="1091"/>
      <c r="NAQ916" s="1091"/>
      <c r="NAR916" s="1091"/>
      <c r="NAS916" s="1091"/>
      <c r="NAT916" s="1091"/>
      <c r="NAU916" s="1091"/>
      <c r="NAV916" s="1091"/>
      <c r="NAW916" s="1091"/>
      <c r="NAX916" s="1091"/>
      <c r="NAY916" s="1091"/>
      <c r="NAZ916" s="1091"/>
      <c r="NBA916" s="1091"/>
      <c r="NBB916" s="1091"/>
      <c r="NBC916" s="1091"/>
      <c r="NBD916" s="1091"/>
      <c r="NBE916" s="1091"/>
      <c r="NBF916" s="1091"/>
      <c r="NBG916" s="1091"/>
      <c r="NBH916" s="1091"/>
      <c r="NBI916" s="1091"/>
      <c r="NBJ916" s="1091"/>
      <c r="NBK916" s="1091"/>
      <c r="NBL916" s="1091"/>
      <c r="NBM916" s="1091"/>
      <c r="NBN916" s="1091"/>
      <c r="NBO916" s="1091"/>
      <c r="NBP916" s="1091"/>
      <c r="NBQ916" s="1091"/>
      <c r="NBR916" s="1091"/>
      <c r="NBS916" s="1091"/>
      <c r="NBT916" s="1091"/>
      <c r="NBU916" s="1091"/>
      <c r="NBV916" s="1091"/>
      <c r="NBW916" s="1091"/>
      <c r="NBX916" s="1091"/>
      <c r="NBY916" s="1091"/>
      <c r="NBZ916" s="1091"/>
      <c r="NCA916" s="1091"/>
      <c r="NCB916" s="1091"/>
      <c r="NCC916" s="1091"/>
      <c r="NCD916" s="1091"/>
      <c r="NCE916" s="1091"/>
      <c r="NCF916" s="1091"/>
      <c r="NCG916" s="1091"/>
      <c r="NCH916" s="1091"/>
      <c r="NCI916" s="1091"/>
      <c r="NCJ916" s="1091"/>
      <c r="NCK916" s="1091"/>
      <c r="NCL916" s="1091"/>
      <c r="NCM916" s="1091"/>
      <c r="NCN916" s="1091"/>
      <c r="NCO916" s="1091"/>
      <c r="NCP916" s="1091"/>
      <c r="NCQ916" s="1091"/>
      <c r="NCR916" s="1091"/>
      <c r="NCS916" s="1091"/>
      <c r="NCT916" s="1091"/>
      <c r="NCU916" s="1091"/>
      <c r="NCV916" s="1091"/>
      <c r="NCW916" s="1091"/>
      <c r="NCX916" s="1091"/>
      <c r="NCY916" s="1091"/>
      <c r="NCZ916" s="1091"/>
      <c r="NDA916" s="1091"/>
      <c r="NDB916" s="1091"/>
      <c r="NDC916" s="1091"/>
      <c r="NDD916" s="1091"/>
      <c r="NDE916" s="1091"/>
      <c r="NDF916" s="1091"/>
      <c r="NDG916" s="1091"/>
      <c r="NDH916" s="1091"/>
      <c r="NDI916" s="1091"/>
      <c r="NDJ916" s="1091"/>
      <c r="NDK916" s="1091"/>
      <c r="NDL916" s="1091"/>
      <c r="NDM916" s="1091"/>
      <c r="NDN916" s="1091"/>
      <c r="NDO916" s="1091"/>
      <c r="NDP916" s="1091"/>
      <c r="NDQ916" s="1091"/>
      <c r="NDR916" s="1091"/>
      <c r="NDS916" s="1091"/>
      <c r="NDT916" s="1091"/>
      <c r="NDU916" s="1091"/>
      <c r="NDV916" s="1091"/>
      <c r="NDW916" s="1091"/>
      <c r="NDX916" s="1091"/>
      <c r="NDY916" s="1091"/>
      <c r="NDZ916" s="1091"/>
      <c r="NEA916" s="1091"/>
      <c r="NEB916" s="1091"/>
      <c r="NEC916" s="1091"/>
      <c r="NED916" s="1091"/>
      <c r="NEE916" s="1091"/>
      <c r="NEF916" s="1091"/>
      <c r="NEG916" s="1091"/>
      <c r="NEH916" s="1091"/>
      <c r="NEI916" s="1091"/>
      <c r="NEJ916" s="1091"/>
      <c r="NEK916" s="1091"/>
      <c r="NEL916" s="1091"/>
      <c r="NEM916" s="1091"/>
      <c r="NEN916" s="1091"/>
      <c r="NEO916" s="1091"/>
      <c r="NEP916" s="1091"/>
      <c r="NEQ916" s="1091"/>
      <c r="NER916" s="1091"/>
      <c r="NES916" s="1091"/>
      <c r="NET916" s="1091"/>
      <c r="NEU916" s="1091"/>
      <c r="NEV916" s="1091"/>
      <c r="NEW916" s="1091"/>
      <c r="NEX916" s="1091"/>
      <c r="NEY916" s="1091"/>
      <c r="NEZ916" s="1091"/>
      <c r="NFA916" s="1091"/>
      <c r="NFB916" s="1091"/>
      <c r="NFC916" s="1091"/>
      <c r="NFD916" s="1091"/>
      <c r="NFE916" s="1091"/>
      <c r="NFF916" s="1091"/>
      <c r="NFG916" s="1091"/>
      <c r="NFH916" s="1091"/>
      <c r="NFI916" s="1091"/>
      <c r="NFJ916" s="1091"/>
      <c r="NFK916" s="1091"/>
      <c r="NFL916" s="1091"/>
      <c r="NFM916" s="1091"/>
      <c r="NFN916" s="1091"/>
      <c r="NFO916" s="1091"/>
      <c r="NFP916" s="1091"/>
      <c r="NFQ916" s="1091"/>
      <c r="NFR916" s="1091"/>
      <c r="NFS916" s="1091"/>
      <c r="NFT916" s="1091"/>
      <c r="NFU916" s="1091"/>
      <c r="NFV916" s="1091"/>
      <c r="NFW916" s="1091"/>
      <c r="NFX916" s="1091"/>
      <c r="NFY916" s="1091"/>
      <c r="NFZ916" s="1091"/>
      <c r="NGA916" s="1091"/>
      <c r="NGB916" s="1091"/>
      <c r="NGC916" s="1091"/>
      <c r="NGD916" s="1091"/>
      <c r="NGE916" s="1091"/>
      <c r="NGF916" s="1091"/>
      <c r="NGG916" s="1091"/>
      <c r="NGH916" s="1091"/>
      <c r="NGI916" s="1091"/>
      <c r="NGJ916" s="1091"/>
      <c r="NGK916" s="1091"/>
      <c r="NGL916" s="1091"/>
      <c r="NGM916" s="1091"/>
      <c r="NGN916" s="1091"/>
      <c r="NGO916" s="1091"/>
      <c r="NGP916" s="1091"/>
      <c r="NGQ916" s="1091"/>
      <c r="NGR916" s="1091"/>
      <c r="NGS916" s="1091"/>
      <c r="NGT916" s="1091"/>
      <c r="NGU916" s="1091"/>
      <c r="NGV916" s="1091"/>
      <c r="NGW916" s="1091"/>
      <c r="NGX916" s="1091"/>
      <c r="NGY916" s="1091"/>
      <c r="NGZ916" s="1091"/>
      <c r="NHA916" s="1091"/>
      <c r="NHB916" s="1091"/>
      <c r="NHC916" s="1091"/>
      <c r="NHD916" s="1091"/>
      <c r="NHE916" s="1091"/>
      <c r="NHF916" s="1091"/>
      <c r="NHG916" s="1091"/>
      <c r="NHH916" s="1091"/>
      <c r="NHI916" s="1091"/>
      <c r="NHJ916" s="1091"/>
      <c r="NHK916" s="1091"/>
      <c r="NHL916" s="1091"/>
      <c r="NHM916" s="1091"/>
      <c r="NHN916" s="1091"/>
      <c r="NHO916" s="1091"/>
      <c r="NHP916" s="1091"/>
      <c r="NHQ916" s="1091"/>
      <c r="NHR916" s="1091"/>
      <c r="NHS916" s="1091"/>
      <c r="NHT916" s="1091"/>
      <c r="NHU916" s="1091"/>
      <c r="NHV916" s="1091"/>
      <c r="NHW916" s="1091"/>
      <c r="NHX916" s="1091"/>
      <c r="NHY916" s="1091"/>
      <c r="NHZ916" s="1091"/>
      <c r="NIA916" s="1091"/>
      <c r="NIB916" s="1091"/>
      <c r="NIC916" s="1091"/>
      <c r="NID916" s="1091"/>
      <c r="NIE916" s="1091"/>
      <c r="NIF916" s="1091"/>
      <c r="NIG916" s="1091"/>
      <c r="NIH916" s="1091"/>
      <c r="NII916" s="1091"/>
      <c r="NIJ916" s="1091"/>
      <c r="NIK916" s="1091"/>
      <c r="NIL916" s="1091"/>
      <c r="NIM916" s="1091"/>
      <c r="NIN916" s="1091"/>
      <c r="NIO916" s="1091"/>
      <c r="NIP916" s="1091"/>
      <c r="NIQ916" s="1091"/>
      <c r="NIR916" s="1091"/>
      <c r="NIS916" s="1091"/>
      <c r="NIT916" s="1091"/>
      <c r="NIU916" s="1091"/>
      <c r="NIV916" s="1091"/>
      <c r="NIW916" s="1091"/>
      <c r="NIX916" s="1091"/>
      <c r="NIY916" s="1091"/>
      <c r="NIZ916" s="1091"/>
      <c r="NJA916" s="1091"/>
      <c r="NJB916" s="1091"/>
      <c r="NJC916" s="1091"/>
      <c r="NJD916" s="1091"/>
      <c r="NJE916" s="1091"/>
      <c r="NJF916" s="1091"/>
      <c r="NJG916" s="1091"/>
      <c r="NJH916" s="1091"/>
      <c r="NJI916" s="1091"/>
      <c r="NJJ916" s="1091"/>
      <c r="NJK916" s="1091"/>
      <c r="NJL916" s="1091"/>
      <c r="NJM916" s="1091"/>
      <c r="NJN916" s="1091"/>
      <c r="NJO916" s="1091"/>
      <c r="NJP916" s="1091"/>
      <c r="NJQ916" s="1091"/>
      <c r="NJR916" s="1091"/>
      <c r="NJS916" s="1091"/>
      <c r="NJT916" s="1091"/>
      <c r="NJU916" s="1091"/>
      <c r="NJV916" s="1091"/>
      <c r="NJW916" s="1091"/>
      <c r="NJX916" s="1091"/>
      <c r="NJY916" s="1091"/>
      <c r="NJZ916" s="1091"/>
      <c r="NKA916" s="1091"/>
      <c r="NKB916" s="1091"/>
      <c r="NKC916" s="1091"/>
      <c r="NKD916" s="1091"/>
      <c r="NKE916" s="1091"/>
      <c r="NKF916" s="1091"/>
      <c r="NKG916" s="1091"/>
      <c r="NKH916" s="1091"/>
      <c r="NKI916" s="1091"/>
      <c r="NKJ916" s="1091"/>
      <c r="NKK916" s="1091"/>
      <c r="NKL916" s="1091"/>
      <c r="NKM916" s="1091"/>
      <c r="NKN916" s="1091"/>
      <c r="NKO916" s="1091"/>
      <c r="NKP916" s="1091"/>
      <c r="NKQ916" s="1091"/>
      <c r="NKR916" s="1091"/>
      <c r="NKS916" s="1091"/>
      <c r="NKT916" s="1091"/>
      <c r="NKU916" s="1091"/>
      <c r="NKV916" s="1091"/>
      <c r="NKW916" s="1091"/>
      <c r="NKX916" s="1091"/>
      <c r="NKY916" s="1091"/>
      <c r="NKZ916" s="1091"/>
      <c r="NLA916" s="1091"/>
      <c r="NLB916" s="1091"/>
      <c r="NLC916" s="1091"/>
      <c r="NLD916" s="1091"/>
      <c r="NLE916" s="1091"/>
      <c r="NLF916" s="1091"/>
      <c r="NLG916" s="1091"/>
      <c r="NLH916" s="1091"/>
      <c r="NLI916" s="1091"/>
      <c r="NLJ916" s="1091"/>
      <c r="NLK916" s="1091"/>
      <c r="NLL916" s="1091"/>
      <c r="NLM916" s="1091"/>
      <c r="NLN916" s="1091"/>
      <c r="NLO916" s="1091"/>
      <c r="NLP916" s="1091"/>
      <c r="NLQ916" s="1091"/>
      <c r="NLR916" s="1091"/>
      <c r="NLS916" s="1091"/>
      <c r="NLT916" s="1091"/>
      <c r="NLU916" s="1091"/>
      <c r="NLV916" s="1091"/>
      <c r="NLW916" s="1091"/>
      <c r="NLX916" s="1091"/>
      <c r="NLY916" s="1091"/>
      <c r="NLZ916" s="1091"/>
      <c r="NMA916" s="1091"/>
      <c r="NMB916" s="1091"/>
      <c r="NMC916" s="1091"/>
      <c r="NMD916" s="1091"/>
      <c r="NME916" s="1091"/>
      <c r="NMF916" s="1091"/>
      <c r="NMG916" s="1091"/>
      <c r="NMH916" s="1091"/>
      <c r="NMI916" s="1091"/>
      <c r="NMJ916" s="1091"/>
      <c r="NMK916" s="1091"/>
      <c r="NML916" s="1091"/>
      <c r="NMM916" s="1091"/>
      <c r="NMN916" s="1091"/>
      <c r="NMO916" s="1091"/>
      <c r="NMP916" s="1091"/>
      <c r="NMQ916" s="1091"/>
      <c r="NMR916" s="1091"/>
      <c r="NMS916" s="1091"/>
      <c r="NMT916" s="1091"/>
      <c r="NMU916" s="1091"/>
      <c r="NMV916" s="1091"/>
      <c r="NMW916" s="1091"/>
      <c r="NMX916" s="1091"/>
      <c r="NMY916" s="1091"/>
      <c r="NMZ916" s="1091"/>
      <c r="NNA916" s="1091"/>
      <c r="NNB916" s="1091"/>
      <c r="NNC916" s="1091"/>
      <c r="NND916" s="1091"/>
      <c r="NNE916" s="1091"/>
      <c r="NNF916" s="1091"/>
      <c r="NNG916" s="1091"/>
      <c r="NNH916" s="1091"/>
      <c r="NNI916" s="1091"/>
      <c r="NNJ916" s="1091"/>
      <c r="NNK916" s="1091"/>
      <c r="NNL916" s="1091"/>
      <c r="NNM916" s="1091"/>
      <c r="NNN916" s="1091"/>
      <c r="NNO916" s="1091"/>
      <c r="NNP916" s="1091"/>
      <c r="NNQ916" s="1091"/>
      <c r="NNR916" s="1091"/>
      <c r="NNS916" s="1091"/>
      <c r="NNT916" s="1091"/>
      <c r="NNU916" s="1091"/>
      <c r="NNV916" s="1091"/>
      <c r="NNW916" s="1091"/>
      <c r="NNX916" s="1091"/>
      <c r="NNY916" s="1091"/>
      <c r="NNZ916" s="1091"/>
      <c r="NOA916" s="1091"/>
      <c r="NOB916" s="1091"/>
      <c r="NOC916" s="1091"/>
      <c r="NOD916" s="1091"/>
      <c r="NOE916" s="1091"/>
      <c r="NOF916" s="1091"/>
      <c r="NOG916" s="1091"/>
      <c r="NOH916" s="1091"/>
      <c r="NOI916" s="1091"/>
      <c r="NOJ916" s="1091"/>
      <c r="NOK916" s="1091"/>
      <c r="NOL916" s="1091"/>
      <c r="NOM916" s="1091"/>
      <c r="NON916" s="1091"/>
      <c r="NOO916" s="1091"/>
      <c r="NOP916" s="1091"/>
      <c r="NOQ916" s="1091"/>
      <c r="NOR916" s="1091"/>
      <c r="NOS916" s="1091"/>
      <c r="NOT916" s="1091"/>
      <c r="NOU916" s="1091"/>
      <c r="NOV916" s="1091"/>
      <c r="NOW916" s="1091"/>
      <c r="NOX916" s="1091"/>
      <c r="NOY916" s="1091"/>
      <c r="NOZ916" s="1091"/>
      <c r="NPA916" s="1091"/>
      <c r="NPB916" s="1091"/>
      <c r="NPC916" s="1091"/>
      <c r="NPD916" s="1091"/>
      <c r="NPE916" s="1091"/>
      <c r="NPF916" s="1091"/>
      <c r="NPG916" s="1091"/>
      <c r="NPH916" s="1091"/>
      <c r="NPI916" s="1091"/>
      <c r="NPJ916" s="1091"/>
      <c r="NPK916" s="1091"/>
      <c r="NPL916" s="1091"/>
      <c r="NPM916" s="1091"/>
      <c r="NPN916" s="1091"/>
      <c r="NPO916" s="1091"/>
      <c r="NPP916" s="1091"/>
      <c r="NPQ916" s="1091"/>
      <c r="NPR916" s="1091"/>
      <c r="NPS916" s="1091"/>
      <c r="NPT916" s="1091"/>
      <c r="NPU916" s="1091"/>
      <c r="NPV916" s="1091"/>
      <c r="NPW916" s="1091"/>
      <c r="NPX916" s="1091"/>
      <c r="NPY916" s="1091"/>
      <c r="NPZ916" s="1091"/>
      <c r="NQA916" s="1091"/>
      <c r="NQB916" s="1091"/>
      <c r="NQC916" s="1091"/>
      <c r="NQD916" s="1091"/>
      <c r="NQE916" s="1091"/>
      <c r="NQF916" s="1091"/>
      <c r="NQG916" s="1091"/>
      <c r="NQH916" s="1091"/>
      <c r="NQI916" s="1091"/>
      <c r="NQJ916" s="1091"/>
      <c r="NQK916" s="1091"/>
      <c r="NQL916" s="1091"/>
      <c r="NQM916" s="1091"/>
      <c r="NQN916" s="1091"/>
      <c r="NQO916" s="1091"/>
      <c r="NQP916" s="1091"/>
      <c r="NQQ916" s="1091"/>
      <c r="NQR916" s="1091"/>
      <c r="NQS916" s="1091"/>
      <c r="NQT916" s="1091"/>
      <c r="NQU916" s="1091"/>
      <c r="NQV916" s="1091"/>
      <c r="NQW916" s="1091"/>
      <c r="NQX916" s="1091"/>
      <c r="NQY916" s="1091"/>
      <c r="NQZ916" s="1091"/>
      <c r="NRA916" s="1091"/>
      <c r="NRB916" s="1091"/>
      <c r="NRC916" s="1091"/>
      <c r="NRD916" s="1091"/>
      <c r="NRE916" s="1091"/>
      <c r="NRF916" s="1091"/>
      <c r="NRG916" s="1091"/>
      <c r="NRH916" s="1091"/>
      <c r="NRI916" s="1091"/>
      <c r="NRJ916" s="1091"/>
      <c r="NRK916" s="1091"/>
      <c r="NRL916" s="1091"/>
      <c r="NRM916" s="1091"/>
      <c r="NRN916" s="1091"/>
      <c r="NRO916" s="1091"/>
      <c r="NRP916" s="1091"/>
      <c r="NRQ916" s="1091"/>
      <c r="NRR916" s="1091"/>
      <c r="NRS916" s="1091"/>
      <c r="NRT916" s="1091"/>
      <c r="NRU916" s="1091"/>
      <c r="NRV916" s="1091"/>
      <c r="NRW916" s="1091"/>
      <c r="NRX916" s="1091"/>
      <c r="NRY916" s="1091"/>
      <c r="NRZ916" s="1091"/>
      <c r="NSA916" s="1091"/>
      <c r="NSB916" s="1091"/>
      <c r="NSC916" s="1091"/>
      <c r="NSD916" s="1091"/>
      <c r="NSE916" s="1091"/>
      <c r="NSF916" s="1091"/>
      <c r="NSG916" s="1091"/>
      <c r="NSH916" s="1091"/>
      <c r="NSI916" s="1091"/>
      <c r="NSJ916" s="1091"/>
      <c r="NSK916" s="1091"/>
      <c r="NSL916" s="1091"/>
      <c r="NSM916" s="1091"/>
      <c r="NSN916" s="1091"/>
      <c r="NSO916" s="1091"/>
      <c r="NSP916" s="1091"/>
      <c r="NSQ916" s="1091"/>
      <c r="NSR916" s="1091"/>
      <c r="NSS916" s="1091"/>
      <c r="NST916" s="1091"/>
      <c r="NSU916" s="1091"/>
      <c r="NSV916" s="1091"/>
      <c r="NSW916" s="1091"/>
      <c r="NSX916" s="1091"/>
      <c r="NSY916" s="1091"/>
      <c r="NSZ916" s="1091"/>
      <c r="NTA916" s="1091"/>
      <c r="NTB916" s="1091"/>
      <c r="NTC916" s="1091"/>
      <c r="NTD916" s="1091"/>
      <c r="NTE916" s="1091"/>
      <c r="NTF916" s="1091"/>
      <c r="NTG916" s="1091"/>
      <c r="NTH916" s="1091"/>
      <c r="NTI916" s="1091"/>
      <c r="NTJ916" s="1091"/>
      <c r="NTK916" s="1091"/>
      <c r="NTL916" s="1091"/>
      <c r="NTM916" s="1091"/>
      <c r="NTN916" s="1091"/>
      <c r="NTO916" s="1091"/>
      <c r="NTP916" s="1091"/>
      <c r="NTQ916" s="1091"/>
      <c r="NTR916" s="1091"/>
      <c r="NTS916" s="1091"/>
      <c r="NTT916" s="1091"/>
      <c r="NTU916" s="1091"/>
      <c r="NTV916" s="1091"/>
      <c r="NTW916" s="1091"/>
      <c r="NTX916" s="1091"/>
      <c r="NTY916" s="1091"/>
      <c r="NTZ916" s="1091"/>
      <c r="NUA916" s="1091"/>
      <c r="NUB916" s="1091"/>
      <c r="NUC916" s="1091"/>
      <c r="NUD916" s="1091"/>
      <c r="NUE916" s="1091"/>
      <c r="NUF916" s="1091"/>
      <c r="NUG916" s="1091"/>
      <c r="NUH916" s="1091"/>
      <c r="NUI916" s="1091"/>
      <c r="NUJ916" s="1091"/>
      <c r="NUK916" s="1091"/>
      <c r="NUL916" s="1091"/>
      <c r="NUM916" s="1091"/>
      <c r="NUN916" s="1091"/>
      <c r="NUO916" s="1091"/>
      <c r="NUP916" s="1091"/>
      <c r="NUQ916" s="1091"/>
      <c r="NUR916" s="1091"/>
      <c r="NUS916" s="1091"/>
      <c r="NUT916" s="1091"/>
      <c r="NUU916" s="1091"/>
      <c r="NUV916" s="1091"/>
      <c r="NUW916" s="1091"/>
      <c r="NUX916" s="1091"/>
      <c r="NUY916" s="1091"/>
      <c r="NUZ916" s="1091"/>
      <c r="NVA916" s="1091"/>
      <c r="NVB916" s="1091"/>
      <c r="NVC916" s="1091"/>
      <c r="NVD916" s="1091"/>
      <c r="NVE916" s="1091"/>
      <c r="NVF916" s="1091"/>
      <c r="NVG916" s="1091"/>
      <c r="NVH916" s="1091"/>
      <c r="NVI916" s="1091"/>
      <c r="NVJ916" s="1091"/>
      <c r="NVK916" s="1091"/>
      <c r="NVL916" s="1091"/>
      <c r="NVM916" s="1091"/>
      <c r="NVN916" s="1091"/>
      <c r="NVO916" s="1091"/>
      <c r="NVP916" s="1091"/>
      <c r="NVQ916" s="1091"/>
      <c r="NVR916" s="1091"/>
      <c r="NVS916" s="1091"/>
      <c r="NVT916" s="1091"/>
      <c r="NVU916" s="1091"/>
      <c r="NVV916" s="1091"/>
      <c r="NVW916" s="1091"/>
      <c r="NVX916" s="1091"/>
      <c r="NVY916" s="1091"/>
      <c r="NVZ916" s="1091"/>
      <c r="NWA916" s="1091"/>
      <c r="NWB916" s="1091"/>
      <c r="NWC916" s="1091"/>
      <c r="NWD916" s="1091"/>
      <c r="NWE916" s="1091"/>
      <c r="NWF916" s="1091"/>
      <c r="NWG916" s="1091"/>
      <c r="NWH916" s="1091"/>
      <c r="NWI916" s="1091"/>
      <c r="NWJ916" s="1091"/>
      <c r="NWK916" s="1091"/>
      <c r="NWL916" s="1091"/>
      <c r="NWM916" s="1091"/>
      <c r="NWN916" s="1091"/>
      <c r="NWO916" s="1091"/>
      <c r="NWP916" s="1091"/>
      <c r="NWQ916" s="1091"/>
      <c r="NWR916" s="1091"/>
      <c r="NWS916" s="1091"/>
      <c r="NWT916" s="1091"/>
      <c r="NWU916" s="1091"/>
      <c r="NWV916" s="1091"/>
      <c r="NWW916" s="1091"/>
      <c r="NWX916" s="1091"/>
      <c r="NWY916" s="1091"/>
      <c r="NWZ916" s="1091"/>
      <c r="NXA916" s="1091"/>
      <c r="NXB916" s="1091"/>
      <c r="NXC916" s="1091"/>
      <c r="NXD916" s="1091"/>
      <c r="NXE916" s="1091"/>
      <c r="NXF916" s="1091"/>
      <c r="NXG916" s="1091"/>
      <c r="NXH916" s="1091"/>
      <c r="NXI916" s="1091"/>
      <c r="NXJ916" s="1091"/>
      <c r="NXK916" s="1091"/>
      <c r="NXL916" s="1091"/>
      <c r="NXM916" s="1091"/>
      <c r="NXN916" s="1091"/>
      <c r="NXO916" s="1091"/>
      <c r="NXP916" s="1091"/>
      <c r="NXQ916" s="1091"/>
      <c r="NXR916" s="1091"/>
      <c r="NXS916" s="1091"/>
      <c r="NXT916" s="1091"/>
      <c r="NXU916" s="1091"/>
      <c r="NXV916" s="1091"/>
      <c r="NXW916" s="1091"/>
      <c r="NXX916" s="1091"/>
      <c r="NXY916" s="1091"/>
      <c r="NXZ916" s="1091"/>
      <c r="NYA916" s="1091"/>
      <c r="NYB916" s="1091"/>
      <c r="NYC916" s="1091"/>
      <c r="NYD916" s="1091"/>
      <c r="NYE916" s="1091"/>
      <c r="NYF916" s="1091"/>
      <c r="NYG916" s="1091"/>
      <c r="NYH916" s="1091"/>
      <c r="NYI916" s="1091"/>
      <c r="NYJ916" s="1091"/>
      <c r="NYK916" s="1091"/>
      <c r="NYL916" s="1091"/>
      <c r="NYM916" s="1091"/>
      <c r="NYN916" s="1091"/>
      <c r="NYO916" s="1091"/>
      <c r="NYP916" s="1091"/>
      <c r="NYQ916" s="1091"/>
      <c r="NYR916" s="1091"/>
      <c r="NYS916" s="1091"/>
      <c r="NYT916" s="1091"/>
      <c r="NYU916" s="1091"/>
      <c r="NYV916" s="1091"/>
      <c r="NYW916" s="1091"/>
      <c r="NYX916" s="1091"/>
      <c r="NYY916" s="1091"/>
      <c r="NYZ916" s="1091"/>
      <c r="NZA916" s="1091"/>
      <c r="NZB916" s="1091"/>
      <c r="NZC916" s="1091"/>
      <c r="NZD916" s="1091"/>
      <c r="NZE916" s="1091"/>
      <c r="NZF916" s="1091"/>
      <c r="NZG916" s="1091"/>
      <c r="NZH916" s="1091"/>
      <c r="NZI916" s="1091"/>
      <c r="NZJ916" s="1091"/>
      <c r="NZK916" s="1091"/>
      <c r="NZL916" s="1091"/>
      <c r="NZM916" s="1091"/>
      <c r="NZN916" s="1091"/>
      <c r="NZO916" s="1091"/>
      <c r="NZP916" s="1091"/>
      <c r="NZQ916" s="1091"/>
      <c r="NZR916" s="1091"/>
      <c r="NZS916" s="1091"/>
      <c r="NZT916" s="1091"/>
      <c r="NZU916" s="1091"/>
      <c r="NZV916" s="1091"/>
      <c r="NZW916" s="1091"/>
      <c r="NZX916" s="1091"/>
      <c r="NZY916" s="1091"/>
      <c r="NZZ916" s="1091"/>
      <c r="OAA916" s="1091"/>
      <c r="OAB916" s="1091"/>
      <c r="OAC916" s="1091"/>
      <c r="OAD916" s="1091"/>
      <c r="OAE916" s="1091"/>
      <c r="OAF916" s="1091"/>
      <c r="OAG916" s="1091"/>
      <c r="OAH916" s="1091"/>
      <c r="OAI916" s="1091"/>
      <c r="OAJ916" s="1091"/>
      <c r="OAK916" s="1091"/>
      <c r="OAL916" s="1091"/>
      <c r="OAM916" s="1091"/>
      <c r="OAN916" s="1091"/>
      <c r="OAO916" s="1091"/>
      <c r="OAP916" s="1091"/>
      <c r="OAQ916" s="1091"/>
      <c r="OAR916" s="1091"/>
      <c r="OAS916" s="1091"/>
      <c r="OAT916" s="1091"/>
      <c r="OAU916" s="1091"/>
      <c r="OAV916" s="1091"/>
      <c r="OAW916" s="1091"/>
      <c r="OAX916" s="1091"/>
      <c r="OAY916" s="1091"/>
      <c r="OAZ916" s="1091"/>
      <c r="OBA916" s="1091"/>
      <c r="OBB916" s="1091"/>
      <c r="OBC916" s="1091"/>
      <c r="OBD916" s="1091"/>
      <c r="OBE916" s="1091"/>
      <c r="OBF916" s="1091"/>
      <c r="OBG916" s="1091"/>
      <c r="OBH916" s="1091"/>
      <c r="OBI916" s="1091"/>
      <c r="OBJ916" s="1091"/>
      <c r="OBK916" s="1091"/>
      <c r="OBL916" s="1091"/>
      <c r="OBM916" s="1091"/>
      <c r="OBN916" s="1091"/>
      <c r="OBO916" s="1091"/>
      <c r="OBP916" s="1091"/>
      <c r="OBQ916" s="1091"/>
      <c r="OBR916" s="1091"/>
      <c r="OBS916" s="1091"/>
      <c r="OBT916" s="1091"/>
      <c r="OBU916" s="1091"/>
      <c r="OBV916" s="1091"/>
      <c r="OBW916" s="1091"/>
      <c r="OBX916" s="1091"/>
      <c r="OBY916" s="1091"/>
      <c r="OBZ916" s="1091"/>
      <c r="OCA916" s="1091"/>
      <c r="OCB916" s="1091"/>
      <c r="OCC916" s="1091"/>
      <c r="OCD916" s="1091"/>
      <c r="OCE916" s="1091"/>
      <c r="OCF916" s="1091"/>
      <c r="OCG916" s="1091"/>
      <c r="OCH916" s="1091"/>
      <c r="OCI916" s="1091"/>
      <c r="OCJ916" s="1091"/>
      <c r="OCK916" s="1091"/>
      <c r="OCL916" s="1091"/>
      <c r="OCM916" s="1091"/>
      <c r="OCN916" s="1091"/>
      <c r="OCO916" s="1091"/>
      <c r="OCP916" s="1091"/>
      <c r="OCQ916" s="1091"/>
      <c r="OCR916" s="1091"/>
      <c r="OCS916" s="1091"/>
      <c r="OCT916" s="1091"/>
      <c r="OCU916" s="1091"/>
      <c r="OCV916" s="1091"/>
      <c r="OCW916" s="1091"/>
      <c r="OCX916" s="1091"/>
      <c r="OCY916" s="1091"/>
      <c r="OCZ916" s="1091"/>
      <c r="ODA916" s="1091"/>
      <c r="ODB916" s="1091"/>
      <c r="ODC916" s="1091"/>
      <c r="ODD916" s="1091"/>
      <c r="ODE916" s="1091"/>
      <c r="ODF916" s="1091"/>
      <c r="ODG916" s="1091"/>
      <c r="ODH916" s="1091"/>
      <c r="ODI916" s="1091"/>
      <c r="ODJ916" s="1091"/>
      <c r="ODK916" s="1091"/>
      <c r="ODL916" s="1091"/>
      <c r="ODM916" s="1091"/>
      <c r="ODN916" s="1091"/>
      <c r="ODO916" s="1091"/>
      <c r="ODP916" s="1091"/>
      <c r="ODQ916" s="1091"/>
      <c r="ODR916" s="1091"/>
      <c r="ODS916" s="1091"/>
      <c r="ODT916" s="1091"/>
      <c r="ODU916" s="1091"/>
      <c r="ODV916" s="1091"/>
      <c r="ODW916" s="1091"/>
      <c r="ODX916" s="1091"/>
      <c r="ODY916" s="1091"/>
      <c r="ODZ916" s="1091"/>
      <c r="OEA916" s="1091"/>
      <c r="OEB916" s="1091"/>
      <c r="OEC916" s="1091"/>
      <c r="OED916" s="1091"/>
      <c r="OEE916" s="1091"/>
      <c r="OEF916" s="1091"/>
      <c r="OEG916" s="1091"/>
      <c r="OEH916" s="1091"/>
      <c r="OEI916" s="1091"/>
      <c r="OEJ916" s="1091"/>
      <c r="OEK916" s="1091"/>
      <c r="OEL916" s="1091"/>
      <c r="OEM916" s="1091"/>
      <c r="OEN916" s="1091"/>
      <c r="OEO916" s="1091"/>
      <c r="OEP916" s="1091"/>
      <c r="OEQ916" s="1091"/>
      <c r="OER916" s="1091"/>
      <c r="OES916" s="1091"/>
      <c r="OET916" s="1091"/>
      <c r="OEU916" s="1091"/>
      <c r="OEV916" s="1091"/>
      <c r="OEW916" s="1091"/>
      <c r="OEX916" s="1091"/>
      <c r="OEY916" s="1091"/>
      <c r="OEZ916" s="1091"/>
      <c r="OFA916" s="1091"/>
      <c r="OFB916" s="1091"/>
      <c r="OFC916" s="1091"/>
      <c r="OFD916" s="1091"/>
      <c r="OFE916" s="1091"/>
      <c r="OFF916" s="1091"/>
      <c r="OFG916" s="1091"/>
      <c r="OFH916" s="1091"/>
      <c r="OFI916" s="1091"/>
      <c r="OFJ916" s="1091"/>
      <c r="OFK916" s="1091"/>
      <c r="OFL916" s="1091"/>
      <c r="OFM916" s="1091"/>
      <c r="OFN916" s="1091"/>
      <c r="OFO916" s="1091"/>
      <c r="OFP916" s="1091"/>
      <c r="OFQ916" s="1091"/>
      <c r="OFR916" s="1091"/>
      <c r="OFS916" s="1091"/>
      <c r="OFT916" s="1091"/>
      <c r="OFU916" s="1091"/>
      <c r="OFV916" s="1091"/>
      <c r="OFW916" s="1091"/>
      <c r="OFX916" s="1091"/>
      <c r="OFY916" s="1091"/>
      <c r="OFZ916" s="1091"/>
      <c r="OGA916" s="1091"/>
      <c r="OGB916" s="1091"/>
      <c r="OGC916" s="1091"/>
      <c r="OGD916" s="1091"/>
      <c r="OGE916" s="1091"/>
      <c r="OGF916" s="1091"/>
      <c r="OGG916" s="1091"/>
      <c r="OGH916" s="1091"/>
      <c r="OGI916" s="1091"/>
      <c r="OGJ916" s="1091"/>
      <c r="OGK916" s="1091"/>
      <c r="OGL916" s="1091"/>
      <c r="OGM916" s="1091"/>
      <c r="OGN916" s="1091"/>
      <c r="OGO916" s="1091"/>
      <c r="OGP916" s="1091"/>
      <c r="OGQ916" s="1091"/>
      <c r="OGR916" s="1091"/>
      <c r="OGS916" s="1091"/>
      <c r="OGT916" s="1091"/>
      <c r="OGU916" s="1091"/>
      <c r="OGV916" s="1091"/>
      <c r="OGW916" s="1091"/>
      <c r="OGX916" s="1091"/>
      <c r="OGY916" s="1091"/>
      <c r="OGZ916" s="1091"/>
      <c r="OHA916" s="1091"/>
      <c r="OHB916" s="1091"/>
      <c r="OHC916" s="1091"/>
      <c r="OHD916" s="1091"/>
      <c r="OHE916" s="1091"/>
      <c r="OHF916" s="1091"/>
      <c r="OHG916" s="1091"/>
      <c r="OHH916" s="1091"/>
      <c r="OHI916" s="1091"/>
      <c r="OHJ916" s="1091"/>
      <c r="OHK916" s="1091"/>
      <c r="OHL916" s="1091"/>
      <c r="OHM916" s="1091"/>
      <c r="OHN916" s="1091"/>
      <c r="OHO916" s="1091"/>
      <c r="OHP916" s="1091"/>
      <c r="OHQ916" s="1091"/>
      <c r="OHR916" s="1091"/>
      <c r="OHS916" s="1091"/>
      <c r="OHT916" s="1091"/>
      <c r="OHU916" s="1091"/>
      <c r="OHV916" s="1091"/>
      <c r="OHW916" s="1091"/>
      <c r="OHX916" s="1091"/>
      <c r="OHY916" s="1091"/>
      <c r="OHZ916" s="1091"/>
      <c r="OIA916" s="1091"/>
      <c r="OIB916" s="1091"/>
      <c r="OIC916" s="1091"/>
      <c r="OID916" s="1091"/>
      <c r="OIE916" s="1091"/>
      <c r="OIF916" s="1091"/>
      <c r="OIG916" s="1091"/>
      <c r="OIH916" s="1091"/>
      <c r="OII916" s="1091"/>
      <c r="OIJ916" s="1091"/>
      <c r="OIK916" s="1091"/>
      <c r="OIL916" s="1091"/>
      <c r="OIM916" s="1091"/>
      <c r="OIN916" s="1091"/>
      <c r="OIO916" s="1091"/>
      <c r="OIP916" s="1091"/>
      <c r="OIQ916" s="1091"/>
      <c r="OIR916" s="1091"/>
      <c r="OIS916" s="1091"/>
      <c r="OIT916" s="1091"/>
      <c r="OIU916" s="1091"/>
      <c r="OIV916" s="1091"/>
      <c r="OIW916" s="1091"/>
      <c r="OIX916" s="1091"/>
      <c r="OIY916" s="1091"/>
      <c r="OIZ916" s="1091"/>
      <c r="OJA916" s="1091"/>
      <c r="OJB916" s="1091"/>
      <c r="OJC916" s="1091"/>
      <c r="OJD916" s="1091"/>
      <c r="OJE916" s="1091"/>
      <c r="OJF916" s="1091"/>
      <c r="OJG916" s="1091"/>
      <c r="OJH916" s="1091"/>
      <c r="OJI916" s="1091"/>
      <c r="OJJ916" s="1091"/>
      <c r="OJK916" s="1091"/>
      <c r="OJL916" s="1091"/>
      <c r="OJM916" s="1091"/>
      <c r="OJN916" s="1091"/>
      <c r="OJO916" s="1091"/>
      <c r="OJP916" s="1091"/>
      <c r="OJQ916" s="1091"/>
      <c r="OJR916" s="1091"/>
      <c r="OJS916" s="1091"/>
      <c r="OJT916" s="1091"/>
      <c r="OJU916" s="1091"/>
      <c r="OJV916" s="1091"/>
      <c r="OJW916" s="1091"/>
      <c r="OJX916" s="1091"/>
      <c r="OJY916" s="1091"/>
      <c r="OJZ916" s="1091"/>
      <c r="OKA916" s="1091"/>
      <c r="OKB916" s="1091"/>
      <c r="OKC916" s="1091"/>
      <c r="OKD916" s="1091"/>
      <c r="OKE916" s="1091"/>
      <c r="OKF916" s="1091"/>
      <c r="OKG916" s="1091"/>
      <c r="OKH916" s="1091"/>
      <c r="OKI916" s="1091"/>
      <c r="OKJ916" s="1091"/>
      <c r="OKK916" s="1091"/>
      <c r="OKL916" s="1091"/>
      <c r="OKM916" s="1091"/>
      <c r="OKN916" s="1091"/>
      <c r="OKO916" s="1091"/>
      <c r="OKP916" s="1091"/>
      <c r="OKQ916" s="1091"/>
      <c r="OKR916" s="1091"/>
      <c r="OKS916" s="1091"/>
      <c r="OKT916" s="1091"/>
      <c r="OKU916" s="1091"/>
      <c r="OKV916" s="1091"/>
      <c r="OKW916" s="1091"/>
      <c r="OKX916" s="1091"/>
      <c r="OKY916" s="1091"/>
      <c r="OKZ916" s="1091"/>
      <c r="OLA916" s="1091"/>
      <c r="OLB916" s="1091"/>
      <c r="OLC916" s="1091"/>
      <c r="OLD916" s="1091"/>
      <c r="OLE916" s="1091"/>
      <c r="OLF916" s="1091"/>
      <c r="OLG916" s="1091"/>
      <c r="OLH916" s="1091"/>
      <c r="OLI916" s="1091"/>
      <c r="OLJ916" s="1091"/>
      <c r="OLK916" s="1091"/>
      <c r="OLL916" s="1091"/>
      <c r="OLM916" s="1091"/>
      <c r="OLN916" s="1091"/>
      <c r="OLO916" s="1091"/>
      <c r="OLP916" s="1091"/>
      <c r="OLQ916" s="1091"/>
      <c r="OLR916" s="1091"/>
      <c r="OLS916" s="1091"/>
      <c r="OLT916" s="1091"/>
      <c r="OLU916" s="1091"/>
      <c r="OLV916" s="1091"/>
      <c r="OLW916" s="1091"/>
      <c r="OLX916" s="1091"/>
      <c r="OLY916" s="1091"/>
      <c r="OLZ916" s="1091"/>
      <c r="OMA916" s="1091"/>
      <c r="OMB916" s="1091"/>
      <c r="OMC916" s="1091"/>
      <c r="OMD916" s="1091"/>
      <c r="OME916" s="1091"/>
      <c r="OMF916" s="1091"/>
      <c r="OMG916" s="1091"/>
      <c r="OMH916" s="1091"/>
      <c r="OMI916" s="1091"/>
      <c r="OMJ916" s="1091"/>
      <c r="OMK916" s="1091"/>
      <c r="OML916" s="1091"/>
      <c r="OMM916" s="1091"/>
      <c r="OMN916" s="1091"/>
      <c r="OMO916" s="1091"/>
      <c r="OMP916" s="1091"/>
      <c r="OMQ916" s="1091"/>
      <c r="OMR916" s="1091"/>
      <c r="OMS916" s="1091"/>
      <c r="OMT916" s="1091"/>
      <c r="OMU916" s="1091"/>
      <c r="OMV916" s="1091"/>
      <c r="OMW916" s="1091"/>
      <c r="OMX916" s="1091"/>
      <c r="OMY916" s="1091"/>
      <c r="OMZ916" s="1091"/>
      <c r="ONA916" s="1091"/>
      <c r="ONB916" s="1091"/>
      <c r="ONC916" s="1091"/>
      <c r="OND916" s="1091"/>
      <c r="ONE916" s="1091"/>
      <c r="ONF916" s="1091"/>
      <c r="ONG916" s="1091"/>
      <c r="ONH916" s="1091"/>
      <c r="ONI916" s="1091"/>
      <c r="ONJ916" s="1091"/>
      <c r="ONK916" s="1091"/>
      <c r="ONL916" s="1091"/>
      <c r="ONM916" s="1091"/>
      <c r="ONN916" s="1091"/>
      <c r="ONO916" s="1091"/>
      <c r="ONP916" s="1091"/>
      <c r="ONQ916" s="1091"/>
      <c r="ONR916" s="1091"/>
      <c r="ONS916" s="1091"/>
      <c r="ONT916" s="1091"/>
      <c r="ONU916" s="1091"/>
      <c r="ONV916" s="1091"/>
      <c r="ONW916" s="1091"/>
      <c r="ONX916" s="1091"/>
      <c r="ONY916" s="1091"/>
      <c r="ONZ916" s="1091"/>
      <c r="OOA916" s="1091"/>
      <c r="OOB916" s="1091"/>
      <c r="OOC916" s="1091"/>
      <c r="OOD916" s="1091"/>
      <c r="OOE916" s="1091"/>
      <c r="OOF916" s="1091"/>
      <c r="OOG916" s="1091"/>
      <c r="OOH916" s="1091"/>
      <c r="OOI916" s="1091"/>
      <c r="OOJ916" s="1091"/>
      <c r="OOK916" s="1091"/>
      <c r="OOL916" s="1091"/>
      <c r="OOM916" s="1091"/>
      <c r="OON916" s="1091"/>
      <c r="OOO916" s="1091"/>
      <c r="OOP916" s="1091"/>
      <c r="OOQ916" s="1091"/>
      <c r="OOR916" s="1091"/>
      <c r="OOS916" s="1091"/>
      <c r="OOT916" s="1091"/>
      <c r="OOU916" s="1091"/>
      <c r="OOV916" s="1091"/>
      <c r="OOW916" s="1091"/>
      <c r="OOX916" s="1091"/>
      <c r="OOY916" s="1091"/>
      <c r="OOZ916" s="1091"/>
      <c r="OPA916" s="1091"/>
      <c r="OPB916" s="1091"/>
      <c r="OPC916" s="1091"/>
      <c r="OPD916" s="1091"/>
      <c r="OPE916" s="1091"/>
      <c r="OPF916" s="1091"/>
      <c r="OPG916" s="1091"/>
      <c r="OPH916" s="1091"/>
      <c r="OPI916" s="1091"/>
      <c r="OPJ916" s="1091"/>
      <c r="OPK916" s="1091"/>
      <c r="OPL916" s="1091"/>
      <c r="OPM916" s="1091"/>
      <c r="OPN916" s="1091"/>
      <c r="OPO916" s="1091"/>
      <c r="OPP916" s="1091"/>
      <c r="OPQ916" s="1091"/>
      <c r="OPR916" s="1091"/>
      <c r="OPS916" s="1091"/>
      <c r="OPT916" s="1091"/>
      <c r="OPU916" s="1091"/>
      <c r="OPV916" s="1091"/>
      <c r="OPW916" s="1091"/>
      <c r="OPX916" s="1091"/>
      <c r="OPY916" s="1091"/>
      <c r="OPZ916" s="1091"/>
      <c r="OQA916" s="1091"/>
      <c r="OQB916" s="1091"/>
      <c r="OQC916" s="1091"/>
      <c r="OQD916" s="1091"/>
      <c r="OQE916" s="1091"/>
      <c r="OQF916" s="1091"/>
      <c r="OQG916" s="1091"/>
      <c r="OQH916" s="1091"/>
      <c r="OQI916" s="1091"/>
      <c r="OQJ916" s="1091"/>
      <c r="OQK916" s="1091"/>
      <c r="OQL916" s="1091"/>
      <c r="OQM916" s="1091"/>
      <c r="OQN916" s="1091"/>
      <c r="OQO916" s="1091"/>
      <c r="OQP916" s="1091"/>
      <c r="OQQ916" s="1091"/>
      <c r="OQR916" s="1091"/>
      <c r="OQS916" s="1091"/>
      <c r="OQT916" s="1091"/>
      <c r="OQU916" s="1091"/>
      <c r="OQV916" s="1091"/>
      <c r="OQW916" s="1091"/>
      <c r="OQX916" s="1091"/>
      <c r="OQY916" s="1091"/>
      <c r="OQZ916" s="1091"/>
      <c r="ORA916" s="1091"/>
      <c r="ORB916" s="1091"/>
      <c r="ORC916" s="1091"/>
      <c r="ORD916" s="1091"/>
      <c r="ORE916" s="1091"/>
      <c r="ORF916" s="1091"/>
      <c r="ORG916" s="1091"/>
      <c r="ORH916" s="1091"/>
      <c r="ORI916" s="1091"/>
      <c r="ORJ916" s="1091"/>
      <c r="ORK916" s="1091"/>
      <c r="ORL916" s="1091"/>
      <c r="ORM916" s="1091"/>
      <c r="ORN916" s="1091"/>
      <c r="ORO916" s="1091"/>
      <c r="ORP916" s="1091"/>
      <c r="ORQ916" s="1091"/>
      <c r="ORR916" s="1091"/>
      <c r="ORS916" s="1091"/>
      <c r="ORT916" s="1091"/>
      <c r="ORU916" s="1091"/>
      <c r="ORV916" s="1091"/>
      <c r="ORW916" s="1091"/>
      <c r="ORX916" s="1091"/>
      <c r="ORY916" s="1091"/>
      <c r="ORZ916" s="1091"/>
      <c r="OSA916" s="1091"/>
      <c r="OSB916" s="1091"/>
      <c r="OSC916" s="1091"/>
      <c r="OSD916" s="1091"/>
      <c r="OSE916" s="1091"/>
      <c r="OSF916" s="1091"/>
      <c r="OSG916" s="1091"/>
      <c r="OSH916" s="1091"/>
      <c r="OSI916" s="1091"/>
      <c r="OSJ916" s="1091"/>
      <c r="OSK916" s="1091"/>
      <c r="OSL916" s="1091"/>
      <c r="OSM916" s="1091"/>
      <c r="OSN916" s="1091"/>
      <c r="OSO916" s="1091"/>
      <c r="OSP916" s="1091"/>
      <c r="OSQ916" s="1091"/>
      <c r="OSR916" s="1091"/>
      <c r="OSS916" s="1091"/>
      <c r="OST916" s="1091"/>
      <c r="OSU916" s="1091"/>
      <c r="OSV916" s="1091"/>
      <c r="OSW916" s="1091"/>
      <c r="OSX916" s="1091"/>
      <c r="OSY916" s="1091"/>
      <c r="OSZ916" s="1091"/>
      <c r="OTA916" s="1091"/>
      <c r="OTB916" s="1091"/>
      <c r="OTC916" s="1091"/>
      <c r="OTD916" s="1091"/>
      <c r="OTE916" s="1091"/>
      <c r="OTF916" s="1091"/>
      <c r="OTG916" s="1091"/>
      <c r="OTH916" s="1091"/>
      <c r="OTI916" s="1091"/>
      <c r="OTJ916" s="1091"/>
      <c r="OTK916" s="1091"/>
      <c r="OTL916" s="1091"/>
      <c r="OTM916" s="1091"/>
      <c r="OTN916" s="1091"/>
      <c r="OTO916" s="1091"/>
      <c r="OTP916" s="1091"/>
      <c r="OTQ916" s="1091"/>
      <c r="OTR916" s="1091"/>
      <c r="OTS916" s="1091"/>
      <c r="OTT916" s="1091"/>
      <c r="OTU916" s="1091"/>
      <c r="OTV916" s="1091"/>
      <c r="OTW916" s="1091"/>
      <c r="OTX916" s="1091"/>
      <c r="OTY916" s="1091"/>
      <c r="OTZ916" s="1091"/>
      <c r="OUA916" s="1091"/>
      <c r="OUB916" s="1091"/>
      <c r="OUC916" s="1091"/>
      <c r="OUD916" s="1091"/>
      <c r="OUE916" s="1091"/>
      <c r="OUF916" s="1091"/>
      <c r="OUG916" s="1091"/>
      <c r="OUH916" s="1091"/>
      <c r="OUI916" s="1091"/>
      <c r="OUJ916" s="1091"/>
      <c r="OUK916" s="1091"/>
      <c r="OUL916" s="1091"/>
      <c r="OUM916" s="1091"/>
      <c r="OUN916" s="1091"/>
      <c r="OUO916" s="1091"/>
      <c r="OUP916" s="1091"/>
      <c r="OUQ916" s="1091"/>
      <c r="OUR916" s="1091"/>
      <c r="OUS916" s="1091"/>
      <c r="OUT916" s="1091"/>
      <c r="OUU916" s="1091"/>
      <c r="OUV916" s="1091"/>
      <c r="OUW916" s="1091"/>
      <c r="OUX916" s="1091"/>
      <c r="OUY916" s="1091"/>
      <c r="OUZ916" s="1091"/>
      <c r="OVA916" s="1091"/>
      <c r="OVB916" s="1091"/>
      <c r="OVC916" s="1091"/>
      <c r="OVD916" s="1091"/>
      <c r="OVE916" s="1091"/>
      <c r="OVF916" s="1091"/>
      <c r="OVG916" s="1091"/>
      <c r="OVH916" s="1091"/>
      <c r="OVI916" s="1091"/>
      <c r="OVJ916" s="1091"/>
      <c r="OVK916" s="1091"/>
      <c r="OVL916" s="1091"/>
      <c r="OVM916" s="1091"/>
      <c r="OVN916" s="1091"/>
      <c r="OVO916" s="1091"/>
      <c r="OVP916" s="1091"/>
      <c r="OVQ916" s="1091"/>
      <c r="OVR916" s="1091"/>
      <c r="OVS916" s="1091"/>
      <c r="OVT916" s="1091"/>
      <c r="OVU916" s="1091"/>
      <c r="OVV916" s="1091"/>
      <c r="OVW916" s="1091"/>
      <c r="OVX916" s="1091"/>
      <c r="OVY916" s="1091"/>
      <c r="OVZ916" s="1091"/>
      <c r="OWA916" s="1091"/>
      <c r="OWB916" s="1091"/>
      <c r="OWC916" s="1091"/>
      <c r="OWD916" s="1091"/>
      <c r="OWE916" s="1091"/>
      <c r="OWF916" s="1091"/>
      <c r="OWG916" s="1091"/>
      <c r="OWH916" s="1091"/>
      <c r="OWI916" s="1091"/>
      <c r="OWJ916" s="1091"/>
      <c r="OWK916" s="1091"/>
      <c r="OWL916" s="1091"/>
      <c r="OWM916" s="1091"/>
      <c r="OWN916" s="1091"/>
      <c r="OWO916" s="1091"/>
      <c r="OWP916" s="1091"/>
      <c r="OWQ916" s="1091"/>
      <c r="OWR916" s="1091"/>
      <c r="OWS916" s="1091"/>
      <c r="OWT916" s="1091"/>
      <c r="OWU916" s="1091"/>
      <c r="OWV916" s="1091"/>
      <c r="OWW916" s="1091"/>
      <c r="OWX916" s="1091"/>
      <c r="OWY916" s="1091"/>
      <c r="OWZ916" s="1091"/>
      <c r="OXA916" s="1091"/>
      <c r="OXB916" s="1091"/>
      <c r="OXC916" s="1091"/>
      <c r="OXD916" s="1091"/>
      <c r="OXE916" s="1091"/>
      <c r="OXF916" s="1091"/>
      <c r="OXG916" s="1091"/>
      <c r="OXH916" s="1091"/>
      <c r="OXI916" s="1091"/>
      <c r="OXJ916" s="1091"/>
      <c r="OXK916" s="1091"/>
      <c r="OXL916" s="1091"/>
      <c r="OXM916" s="1091"/>
      <c r="OXN916" s="1091"/>
      <c r="OXO916" s="1091"/>
      <c r="OXP916" s="1091"/>
      <c r="OXQ916" s="1091"/>
      <c r="OXR916" s="1091"/>
      <c r="OXS916" s="1091"/>
      <c r="OXT916" s="1091"/>
      <c r="OXU916" s="1091"/>
      <c r="OXV916" s="1091"/>
      <c r="OXW916" s="1091"/>
      <c r="OXX916" s="1091"/>
      <c r="OXY916" s="1091"/>
      <c r="OXZ916" s="1091"/>
      <c r="OYA916" s="1091"/>
      <c r="OYB916" s="1091"/>
      <c r="OYC916" s="1091"/>
      <c r="OYD916" s="1091"/>
      <c r="OYE916" s="1091"/>
      <c r="OYF916" s="1091"/>
      <c r="OYG916" s="1091"/>
      <c r="OYH916" s="1091"/>
      <c r="OYI916" s="1091"/>
      <c r="OYJ916" s="1091"/>
      <c r="OYK916" s="1091"/>
      <c r="OYL916" s="1091"/>
      <c r="OYM916" s="1091"/>
      <c r="OYN916" s="1091"/>
      <c r="OYO916" s="1091"/>
      <c r="OYP916" s="1091"/>
      <c r="OYQ916" s="1091"/>
      <c r="OYR916" s="1091"/>
      <c r="OYS916" s="1091"/>
      <c r="OYT916" s="1091"/>
      <c r="OYU916" s="1091"/>
      <c r="OYV916" s="1091"/>
      <c r="OYW916" s="1091"/>
      <c r="OYX916" s="1091"/>
      <c r="OYY916" s="1091"/>
      <c r="OYZ916" s="1091"/>
      <c r="OZA916" s="1091"/>
      <c r="OZB916" s="1091"/>
      <c r="OZC916" s="1091"/>
      <c r="OZD916" s="1091"/>
      <c r="OZE916" s="1091"/>
      <c r="OZF916" s="1091"/>
      <c r="OZG916" s="1091"/>
      <c r="OZH916" s="1091"/>
      <c r="OZI916" s="1091"/>
      <c r="OZJ916" s="1091"/>
      <c r="OZK916" s="1091"/>
      <c r="OZL916" s="1091"/>
      <c r="OZM916" s="1091"/>
      <c r="OZN916" s="1091"/>
      <c r="OZO916" s="1091"/>
      <c r="OZP916" s="1091"/>
      <c r="OZQ916" s="1091"/>
      <c r="OZR916" s="1091"/>
      <c r="OZS916" s="1091"/>
      <c r="OZT916" s="1091"/>
      <c r="OZU916" s="1091"/>
      <c r="OZV916" s="1091"/>
      <c r="OZW916" s="1091"/>
      <c r="OZX916" s="1091"/>
      <c r="OZY916" s="1091"/>
      <c r="OZZ916" s="1091"/>
      <c r="PAA916" s="1091"/>
      <c r="PAB916" s="1091"/>
      <c r="PAC916" s="1091"/>
      <c r="PAD916" s="1091"/>
      <c r="PAE916" s="1091"/>
      <c r="PAF916" s="1091"/>
      <c r="PAG916" s="1091"/>
      <c r="PAH916" s="1091"/>
      <c r="PAI916" s="1091"/>
      <c r="PAJ916" s="1091"/>
      <c r="PAK916" s="1091"/>
      <c r="PAL916" s="1091"/>
      <c r="PAM916" s="1091"/>
      <c r="PAN916" s="1091"/>
      <c r="PAO916" s="1091"/>
      <c r="PAP916" s="1091"/>
      <c r="PAQ916" s="1091"/>
      <c r="PAR916" s="1091"/>
      <c r="PAS916" s="1091"/>
      <c r="PAT916" s="1091"/>
      <c r="PAU916" s="1091"/>
      <c r="PAV916" s="1091"/>
      <c r="PAW916" s="1091"/>
      <c r="PAX916" s="1091"/>
      <c r="PAY916" s="1091"/>
      <c r="PAZ916" s="1091"/>
      <c r="PBA916" s="1091"/>
      <c r="PBB916" s="1091"/>
      <c r="PBC916" s="1091"/>
      <c r="PBD916" s="1091"/>
      <c r="PBE916" s="1091"/>
      <c r="PBF916" s="1091"/>
      <c r="PBG916" s="1091"/>
      <c r="PBH916" s="1091"/>
      <c r="PBI916" s="1091"/>
      <c r="PBJ916" s="1091"/>
      <c r="PBK916" s="1091"/>
      <c r="PBL916" s="1091"/>
      <c r="PBM916" s="1091"/>
      <c r="PBN916" s="1091"/>
      <c r="PBO916" s="1091"/>
      <c r="PBP916" s="1091"/>
      <c r="PBQ916" s="1091"/>
      <c r="PBR916" s="1091"/>
      <c r="PBS916" s="1091"/>
      <c r="PBT916" s="1091"/>
      <c r="PBU916" s="1091"/>
      <c r="PBV916" s="1091"/>
      <c r="PBW916" s="1091"/>
      <c r="PBX916" s="1091"/>
      <c r="PBY916" s="1091"/>
      <c r="PBZ916" s="1091"/>
      <c r="PCA916" s="1091"/>
      <c r="PCB916" s="1091"/>
      <c r="PCC916" s="1091"/>
      <c r="PCD916" s="1091"/>
      <c r="PCE916" s="1091"/>
      <c r="PCF916" s="1091"/>
      <c r="PCG916" s="1091"/>
      <c r="PCH916" s="1091"/>
      <c r="PCI916" s="1091"/>
      <c r="PCJ916" s="1091"/>
      <c r="PCK916" s="1091"/>
      <c r="PCL916" s="1091"/>
      <c r="PCM916" s="1091"/>
      <c r="PCN916" s="1091"/>
      <c r="PCO916" s="1091"/>
      <c r="PCP916" s="1091"/>
      <c r="PCQ916" s="1091"/>
      <c r="PCR916" s="1091"/>
      <c r="PCS916" s="1091"/>
      <c r="PCT916" s="1091"/>
      <c r="PCU916" s="1091"/>
      <c r="PCV916" s="1091"/>
      <c r="PCW916" s="1091"/>
      <c r="PCX916" s="1091"/>
      <c r="PCY916" s="1091"/>
      <c r="PCZ916" s="1091"/>
      <c r="PDA916" s="1091"/>
      <c r="PDB916" s="1091"/>
      <c r="PDC916" s="1091"/>
      <c r="PDD916" s="1091"/>
      <c r="PDE916" s="1091"/>
      <c r="PDF916" s="1091"/>
      <c r="PDG916" s="1091"/>
      <c r="PDH916" s="1091"/>
      <c r="PDI916" s="1091"/>
      <c r="PDJ916" s="1091"/>
      <c r="PDK916" s="1091"/>
      <c r="PDL916" s="1091"/>
      <c r="PDM916" s="1091"/>
      <c r="PDN916" s="1091"/>
      <c r="PDO916" s="1091"/>
      <c r="PDP916" s="1091"/>
      <c r="PDQ916" s="1091"/>
      <c r="PDR916" s="1091"/>
      <c r="PDS916" s="1091"/>
      <c r="PDT916" s="1091"/>
      <c r="PDU916" s="1091"/>
      <c r="PDV916" s="1091"/>
      <c r="PDW916" s="1091"/>
      <c r="PDX916" s="1091"/>
      <c r="PDY916" s="1091"/>
      <c r="PDZ916" s="1091"/>
      <c r="PEA916" s="1091"/>
      <c r="PEB916" s="1091"/>
      <c r="PEC916" s="1091"/>
      <c r="PED916" s="1091"/>
      <c r="PEE916" s="1091"/>
      <c r="PEF916" s="1091"/>
      <c r="PEG916" s="1091"/>
      <c r="PEH916" s="1091"/>
      <c r="PEI916" s="1091"/>
      <c r="PEJ916" s="1091"/>
      <c r="PEK916" s="1091"/>
      <c r="PEL916" s="1091"/>
      <c r="PEM916" s="1091"/>
      <c r="PEN916" s="1091"/>
      <c r="PEO916" s="1091"/>
      <c r="PEP916" s="1091"/>
      <c r="PEQ916" s="1091"/>
      <c r="PER916" s="1091"/>
      <c r="PES916" s="1091"/>
      <c r="PET916" s="1091"/>
      <c r="PEU916" s="1091"/>
      <c r="PEV916" s="1091"/>
      <c r="PEW916" s="1091"/>
      <c r="PEX916" s="1091"/>
      <c r="PEY916" s="1091"/>
      <c r="PEZ916" s="1091"/>
      <c r="PFA916" s="1091"/>
      <c r="PFB916" s="1091"/>
      <c r="PFC916" s="1091"/>
      <c r="PFD916" s="1091"/>
      <c r="PFE916" s="1091"/>
      <c r="PFF916" s="1091"/>
      <c r="PFG916" s="1091"/>
      <c r="PFH916" s="1091"/>
      <c r="PFI916" s="1091"/>
      <c r="PFJ916" s="1091"/>
      <c r="PFK916" s="1091"/>
      <c r="PFL916" s="1091"/>
      <c r="PFM916" s="1091"/>
      <c r="PFN916" s="1091"/>
      <c r="PFO916" s="1091"/>
      <c r="PFP916" s="1091"/>
      <c r="PFQ916" s="1091"/>
      <c r="PFR916" s="1091"/>
      <c r="PFS916" s="1091"/>
      <c r="PFT916" s="1091"/>
      <c r="PFU916" s="1091"/>
      <c r="PFV916" s="1091"/>
      <c r="PFW916" s="1091"/>
      <c r="PFX916" s="1091"/>
      <c r="PFY916" s="1091"/>
      <c r="PFZ916" s="1091"/>
      <c r="PGA916" s="1091"/>
      <c r="PGB916" s="1091"/>
      <c r="PGC916" s="1091"/>
      <c r="PGD916" s="1091"/>
      <c r="PGE916" s="1091"/>
      <c r="PGF916" s="1091"/>
      <c r="PGG916" s="1091"/>
      <c r="PGH916" s="1091"/>
      <c r="PGI916" s="1091"/>
      <c r="PGJ916" s="1091"/>
      <c r="PGK916" s="1091"/>
      <c r="PGL916" s="1091"/>
      <c r="PGM916" s="1091"/>
      <c r="PGN916" s="1091"/>
      <c r="PGO916" s="1091"/>
      <c r="PGP916" s="1091"/>
      <c r="PGQ916" s="1091"/>
      <c r="PGR916" s="1091"/>
      <c r="PGS916" s="1091"/>
      <c r="PGT916" s="1091"/>
      <c r="PGU916" s="1091"/>
      <c r="PGV916" s="1091"/>
      <c r="PGW916" s="1091"/>
      <c r="PGX916" s="1091"/>
      <c r="PGY916" s="1091"/>
      <c r="PGZ916" s="1091"/>
      <c r="PHA916" s="1091"/>
      <c r="PHB916" s="1091"/>
      <c r="PHC916" s="1091"/>
      <c r="PHD916" s="1091"/>
      <c r="PHE916" s="1091"/>
      <c r="PHF916" s="1091"/>
      <c r="PHG916" s="1091"/>
      <c r="PHH916" s="1091"/>
      <c r="PHI916" s="1091"/>
      <c r="PHJ916" s="1091"/>
      <c r="PHK916" s="1091"/>
      <c r="PHL916" s="1091"/>
      <c r="PHM916" s="1091"/>
      <c r="PHN916" s="1091"/>
      <c r="PHO916" s="1091"/>
      <c r="PHP916" s="1091"/>
      <c r="PHQ916" s="1091"/>
      <c r="PHR916" s="1091"/>
      <c r="PHS916" s="1091"/>
      <c r="PHT916" s="1091"/>
      <c r="PHU916" s="1091"/>
      <c r="PHV916" s="1091"/>
      <c r="PHW916" s="1091"/>
      <c r="PHX916" s="1091"/>
      <c r="PHY916" s="1091"/>
      <c r="PHZ916" s="1091"/>
      <c r="PIA916" s="1091"/>
      <c r="PIB916" s="1091"/>
      <c r="PIC916" s="1091"/>
      <c r="PID916" s="1091"/>
      <c r="PIE916" s="1091"/>
      <c r="PIF916" s="1091"/>
      <c r="PIG916" s="1091"/>
      <c r="PIH916" s="1091"/>
      <c r="PII916" s="1091"/>
      <c r="PIJ916" s="1091"/>
      <c r="PIK916" s="1091"/>
      <c r="PIL916" s="1091"/>
      <c r="PIM916" s="1091"/>
      <c r="PIN916" s="1091"/>
      <c r="PIO916" s="1091"/>
      <c r="PIP916" s="1091"/>
      <c r="PIQ916" s="1091"/>
      <c r="PIR916" s="1091"/>
      <c r="PIS916" s="1091"/>
      <c r="PIT916" s="1091"/>
      <c r="PIU916" s="1091"/>
      <c r="PIV916" s="1091"/>
      <c r="PIW916" s="1091"/>
      <c r="PIX916" s="1091"/>
      <c r="PIY916" s="1091"/>
      <c r="PIZ916" s="1091"/>
      <c r="PJA916" s="1091"/>
      <c r="PJB916" s="1091"/>
      <c r="PJC916" s="1091"/>
      <c r="PJD916" s="1091"/>
      <c r="PJE916" s="1091"/>
      <c r="PJF916" s="1091"/>
      <c r="PJG916" s="1091"/>
      <c r="PJH916" s="1091"/>
      <c r="PJI916" s="1091"/>
      <c r="PJJ916" s="1091"/>
      <c r="PJK916" s="1091"/>
      <c r="PJL916" s="1091"/>
      <c r="PJM916" s="1091"/>
      <c r="PJN916" s="1091"/>
      <c r="PJO916" s="1091"/>
      <c r="PJP916" s="1091"/>
      <c r="PJQ916" s="1091"/>
      <c r="PJR916" s="1091"/>
      <c r="PJS916" s="1091"/>
      <c r="PJT916" s="1091"/>
      <c r="PJU916" s="1091"/>
      <c r="PJV916" s="1091"/>
      <c r="PJW916" s="1091"/>
      <c r="PJX916" s="1091"/>
      <c r="PJY916" s="1091"/>
      <c r="PJZ916" s="1091"/>
      <c r="PKA916" s="1091"/>
      <c r="PKB916" s="1091"/>
      <c r="PKC916" s="1091"/>
      <c r="PKD916" s="1091"/>
      <c r="PKE916" s="1091"/>
      <c r="PKF916" s="1091"/>
      <c r="PKG916" s="1091"/>
      <c r="PKH916" s="1091"/>
      <c r="PKI916" s="1091"/>
      <c r="PKJ916" s="1091"/>
      <c r="PKK916" s="1091"/>
      <c r="PKL916" s="1091"/>
      <c r="PKM916" s="1091"/>
      <c r="PKN916" s="1091"/>
      <c r="PKO916" s="1091"/>
      <c r="PKP916" s="1091"/>
      <c r="PKQ916" s="1091"/>
      <c r="PKR916" s="1091"/>
      <c r="PKS916" s="1091"/>
      <c r="PKT916" s="1091"/>
      <c r="PKU916" s="1091"/>
      <c r="PKV916" s="1091"/>
      <c r="PKW916" s="1091"/>
      <c r="PKX916" s="1091"/>
      <c r="PKY916" s="1091"/>
      <c r="PKZ916" s="1091"/>
      <c r="PLA916" s="1091"/>
      <c r="PLB916" s="1091"/>
      <c r="PLC916" s="1091"/>
      <c r="PLD916" s="1091"/>
      <c r="PLE916" s="1091"/>
      <c r="PLF916" s="1091"/>
      <c r="PLG916" s="1091"/>
      <c r="PLH916" s="1091"/>
      <c r="PLI916" s="1091"/>
      <c r="PLJ916" s="1091"/>
      <c r="PLK916" s="1091"/>
      <c r="PLL916" s="1091"/>
      <c r="PLM916" s="1091"/>
      <c r="PLN916" s="1091"/>
      <c r="PLO916" s="1091"/>
      <c r="PLP916" s="1091"/>
      <c r="PLQ916" s="1091"/>
      <c r="PLR916" s="1091"/>
      <c r="PLS916" s="1091"/>
      <c r="PLT916" s="1091"/>
      <c r="PLU916" s="1091"/>
      <c r="PLV916" s="1091"/>
      <c r="PLW916" s="1091"/>
      <c r="PLX916" s="1091"/>
      <c r="PLY916" s="1091"/>
      <c r="PLZ916" s="1091"/>
      <c r="PMA916" s="1091"/>
      <c r="PMB916" s="1091"/>
      <c r="PMC916" s="1091"/>
      <c r="PMD916" s="1091"/>
      <c r="PME916" s="1091"/>
      <c r="PMF916" s="1091"/>
      <c r="PMG916" s="1091"/>
      <c r="PMH916" s="1091"/>
      <c r="PMI916" s="1091"/>
      <c r="PMJ916" s="1091"/>
      <c r="PMK916" s="1091"/>
      <c r="PML916" s="1091"/>
      <c r="PMM916" s="1091"/>
      <c r="PMN916" s="1091"/>
      <c r="PMO916" s="1091"/>
      <c r="PMP916" s="1091"/>
      <c r="PMQ916" s="1091"/>
      <c r="PMR916" s="1091"/>
      <c r="PMS916" s="1091"/>
      <c r="PMT916" s="1091"/>
      <c r="PMU916" s="1091"/>
      <c r="PMV916" s="1091"/>
      <c r="PMW916" s="1091"/>
      <c r="PMX916" s="1091"/>
      <c r="PMY916" s="1091"/>
      <c r="PMZ916" s="1091"/>
      <c r="PNA916" s="1091"/>
      <c r="PNB916" s="1091"/>
      <c r="PNC916" s="1091"/>
      <c r="PND916" s="1091"/>
      <c r="PNE916" s="1091"/>
      <c r="PNF916" s="1091"/>
      <c r="PNG916" s="1091"/>
      <c r="PNH916" s="1091"/>
      <c r="PNI916" s="1091"/>
      <c r="PNJ916" s="1091"/>
      <c r="PNK916" s="1091"/>
      <c r="PNL916" s="1091"/>
      <c r="PNM916" s="1091"/>
      <c r="PNN916" s="1091"/>
      <c r="PNO916" s="1091"/>
      <c r="PNP916" s="1091"/>
      <c r="PNQ916" s="1091"/>
      <c r="PNR916" s="1091"/>
      <c r="PNS916" s="1091"/>
      <c r="PNT916" s="1091"/>
      <c r="PNU916" s="1091"/>
      <c r="PNV916" s="1091"/>
      <c r="PNW916" s="1091"/>
      <c r="PNX916" s="1091"/>
      <c r="PNY916" s="1091"/>
      <c r="PNZ916" s="1091"/>
      <c r="POA916" s="1091"/>
      <c r="POB916" s="1091"/>
      <c r="POC916" s="1091"/>
      <c r="POD916" s="1091"/>
      <c r="POE916" s="1091"/>
      <c r="POF916" s="1091"/>
      <c r="POG916" s="1091"/>
      <c r="POH916" s="1091"/>
      <c r="POI916" s="1091"/>
      <c r="POJ916" s="1091"/>
      <c r="POK916" s="1091"/>
      <c r="POL916" s="1091"/>
      <c r="POM916" s="1091"/>
      <c r="PON916" s="1091"/>
      <c r="POO916" s="1091"/>
      <c r="POP916" s="1091"/>
      <c r="POQ916" s="1091"/>
      <c r="POR916" s="1091"/>
      <c r="POS916" s="1091"/>
      <c r="POT916" s="1091"/>
      <c r="POU916" s="1091"/>
      <c r="POV916" s="1091"/>
      <c r="POW916" s="1091"/>
      <c r="POX916" s="1091"/>
      <c r="POY916" s="1091"/>
      <c r="POZ916" s="1091"/>
      <c r="PPA916" s="1091"/>
      <c r="PPB916" s="1091"/>
      <c r="PPC916" s="1091"/>
      <c r="PPD916" s="1091"/>
      <c r="PPE916" s="1091"/>
      <c r="PPF916" s="1091"/>
      <c r="PPG916" s="1091"/>
      <c r="PPH916" s="1091"/>
      <c r="PPI916" s="1091"/>
      <c r="PPJ916" s="1091"/>
      <c r="PPK916" s="1091"/>
      <c r="PPL916" s="1091"/>
      <c r="PPM916" s="1091"/>
      <c r="PPN916" s="1091"/>
      <c r="PPO916" s="1091"/>
      <c r="PPP916" s="1091"/>
      <c r="PPQ916" s="1091"/>
      <c r="PPR916" s="1091"/>
      <c r="PPS916" s="1091"/>
      <c r="PPT916" s="1091"/>
      <c r="PPU916" s="1091"/>
      <c r="PPV916" s="1091"/>
      <c r="PPW916" s="1091"/>
      <c r="PPX916" s="1091"/>
      <c r="PPY916" s="1091"/>
      <c r="PPZ916" s="1091"/>
      <c r="PQA916" s="1091"/>
      <c r="PQB916" s="1091"/>
      <c r="PQC916" s="1091"/>
      <c r="PQD916" s="1091"/>
      <c r="PQE916" s="1091"/>
      <c r="PQF916" s="1091"/>
      <c r="PQG916" s="1091"/>
      <c r="PQH916" s="1091"/>
      <c r="PQI916" s="1091"/>
      <c r="PQJ916" s="1091"/>
      <c r="PQK916" s="1091"/>
      <c r="PQL916" s="1091"/>
      <c r="PQM916" s="1091"/>
      <c r="PQN916" s="1091"/>
      <c r="PQO916" s="1091"/>
      <c r="PQP916" s="1091"/>
      <c r="PQQ916" s="1091"/>
      <c r="PQR916" s="1091"/>
      <c r="PQS916" s="1091"/>
      <c r="PQT916" s="1091"/>
      <c r="PQU916" s="1091"/>
      <c r="PQV916" s="1091"/>
      <c r="PQW916" s="1091"/>
      <c r="PQX916" s="1091"/>
      <c r="PQY916" s="1091"/>
      <c r="PQZ916" s="1091"/>
      <c r="PRA916" s="1091"/>
      <c r="PRB916" s="1091"/>
      <c r="PRC916" s="1091"/>
      <c r="PRD916" s="1091"/>
      <c r="PRE916" s="1091"/>
      <c r="PRF916" s="1091"/>
      <c r="PRG916" s="1091"/>
      <c r="PRH916" s="1091"/>
      <c r="PRI916" s="1091"/>
      <c r="PRJ916" s="1091"/>
      <c r="PRK916" s="1091"/>
      <c r="PRL916" s="1091"/>
      <c r="PRM916" s="1091"/>
      <c r="PRN916" s="1091"/>
      <c r="PRO916" s="1091"/>
      <c r="PRP916" s="1091"/>
      <c r="PRQ916" s="1091"/>
      <c r="PRR916" s="1091"/>
      <c r="PRS916" s="1091"/>
      <c r="PRT916" s="1091"/>
      <c r="PRU916" s="1091"/>
      <c r="PRV916" s="1091"/>
      <c r="PRW916" s="1091"/>
      <c r="PRX916" s="1091"/>
      <c r="PRY916" s="1091"/>
      <c r="PRZ916" s="1091"/>
      <c r="PSA916" s="1091"/>
      <c r="PSB916" s="1091"/>
      <c r="PSC916" s="1091"/>
      <c r="PSD916" s="1091"/>
      <c r="PSE916" s="1091"/>
      <c r="PSF916" s="1091"/>
      <c r="PSG916" s="1091"/>
      <c r="PSH916" s="1091"/>
      <c r="PSI916" s="1091"/>
      <c r="PSJ916" s="1091"/>
      <c r="PSK916" s="1091"/>
      <c r="PSL916" s="1091"/>
      <c r="PSM916" s="1091"/>
      <c r="PSN916" s="1091"/>
      <c r="PSO916" s="1091"/>
      <c r="PSP916" s="1091"/>
      <c r="PSQ916" s="1091"/>
      <c r="PSR916" s="1091"/>
      <c r="PSS916" s="1091"/>
      <c r="PST916" s="1091"/>
      <c r="PSU916" s="1091"/>
      <c r="PSV916" s="1091"/>
      <c r="PSW916" s="1091"/>
      <c r="PSX916" s="1091"/>
      <c r="PSY916" s="1091"/>
      <c r="PSZ916" s="1091"/>
      <c r="PTA916" s="1091"/>
      <c r="PTB916" s="1091"/>
      <c r="PTC916" s="1091"/>
      <c r="PTD916" s="1091"/>
      <c r="PTE916" s="1091"/>
      <c r="PTF916" s="1091"/>
      <c r="PTG916" s="1091"/>
      <c r="PTH916" s="1091"/>
      <c r="PTI916" s="1091"/>
      <c r="PTJ916" s="1091"/>
      <c r="PTK916" s="1091"/>
      <c r="PTL916" s="1091"/>
      <c r="PTM916" s="1091"/>
      <c r="PTN916" s="1091"/>
      <c r="PTO916" s="1091"/>
      <c r="PTP916" s="1091"/>
      <c r="PTQ916" s="1091"/>
      <c r="PTR916" s="1091"/>
      <c r="PTS916" s="1091"/>
      <c r="PTT916" s="1091"/>
      <c r="PTU916" s="1091"/>
      <c r="PTV916" s="1091"/>
      <c r="PTW916" s="1091"/>
      <c r="PTX916" s="1091"/>
      <c r="PTY916" s="1091"/>
      <c r="PTZ916" s="1091"/>
      <c r="PUA916" s="1091"/>
      <c r="PUB916" s="1091"/>
      <c r="PUC916" s="1091"/>
      <c r="PUD916" s="1091"/>
      <c r="PUE916" s="1091"/>
      <c r="PUF916" s="1091"/>
      <c r="PUG916" s="1091"/>
      <c r="PUH916" s="1091"/>
      <c r="PUI916" s="1091"/>
      <c r="PUJ916" s="1091"/>
      <c r="PUK916" s="1091"/>
      <c r="PUL916" s="1091"/>
      <c r="PUM916" s="1091"/>
      <c r="PUN916" s="1091"/>
      <c r="PUO916" s="1091"/>
      <c r="PUP916" s="1091"/>
      <c r="PUQ916" s="1091"/>
      <c r="PUR916" s="1091"/>
      <c r="PUS916" s="1091"/>
      <c r="PUT916" s="1091"/>
      <c r="PUU916" s="1091"/>
      <c r="PUV916" s="1091"/>
      <c r="PUW916" s="1091"/>
      <c r="PUX916" s="1091"/>
      <c r="PUY916" s="1091"/>
      <c r="PUZ916" s="1091"/>
      <c r="PVA916" s="1091"/>
      <c r="PVB916" s="1091"/>
      <c r="PVC916" s="1091"/>
      <c r="PVD916" s="1091"/>
      <c r="PVE916" s="1091"/>
      <c r="PVF916" s="1091"/>
      <c r="PVG916" s="1091"/>
      <c r="PVH916" s="1091"/>
      <c r="PVI916" s="1091"/>
      <c r="PVJ916" s="1091"/>
      <c r="PVK916" s="1091"/>
      <c r="PVL916" s="1091"/>
      <c r="PVM916" s="1091"/>
      <c r="PVN916" s="1091"/>
      <c r="PVO916" s="1091"/>
      <c r="PVP916" s="1091"/>
      <c r="PVQ916" s="1091"/>
      <c r="PVR916" s="1091"/>
      <c r="PVS916" s="1091"/>
      <c r="PVT916" s="1091"/>
      <c r="PVU916" s="1091"/>
      <c r="PVV916" s="1091"/>
      <c r="PVW916" s="1091"/>
      <c r="PVX916" s="1091"/>
      <c r="PVY916" s="1091"/>
      <c r="PVZ916" s="1091"/>
      <c r="PWA916" s="1091"/>
      <c r="PWB916" s="1091"/>
      <c r="PWC916" s="1091"/>
      <c r="PWD916" s="1091"/>
      <c r="PWE916" s="1091"/>
      <c r="PWF916" s="1091"/>
      <c r="PWG916" s="1091"/>
      <c r="PWH916" s="1091"/>
      <c r="PWI916" s="1091"/>
      <c r="PWJ916" s="1091"/>
      <c r="PWK916" s="1091"/>
      <c r="PWL916" s="1091"/>
      <c r="PWM916" s="1091"/>
      <c r="PWN916" s="1091"/>
      <c r="PWO916" s="1091"/>
      <c r="PWP916" s="1091"/>
      <c r="PWQ916" s="1091"/>
      <c r="PWR916" s="1091"/>
      <c r="PWS916" s="1091"/>
      <c r="PWT916" s="1091"/>
      <c r="PWU916" s="1091"/>
      <c r="PWV916" s="1091"/>
      <c r="PWW916" s="1091"/>
      <c r="PWX916" s="1091"/>
      <c r="PWY916" s="1091"/>
      <c r="PWZ916" s="1091"/>
      <c r="PXA916" s="1091"/>
      <c r="PXB916" s="1091"/>
      <c r="PXC916" s="1091"/>
      <c r="PXD916" s="1091"/>
      <c r="PXE916" s="1091"/>
      <c r="PXF916" s="1091"/>
      <c r="PXG916" s="1091"/>
      <c r="PXH916" s="1091"/>
      <c r="PXI916" s="1091"/>
      <c r="PXJ916" s="1091"/>
      <c r="PXK916" s="1091"/>
      <c r="PXL916" s="1091"/>
      <c r="PXM916" s="1091"/>
      <c r="PXN916" s="1091"/>
      <c r="PXO916" s="1091"/>
      <c r="PXP916" s="1091"/>
      <c r="PXQ916" s="1091"/>
      <c r="PXR916" s="1091"/>
      <c r="PXS916" s="1091"/>
      <c r="PXT916" s="1091"/>
      <c r="PXU916" s="1091"/>
      <c r="PXV916" s="1091"/>
      <c r="PXW916" s="1091"/>
      <c r="PXX916" s="1091"/>
      <c r="PXY916" s="1091"/>
      <c r="PXZ916" s="1091"/>
      <c r="PYA916" s="1091"/>
      <c r="PYB916" s="1091"/>
      <c r="PYC916" s="1091"/>
      <c r="PYD916" s="1091"/>
      <c r="PYE916" s="1091"/>
      <c r="PYF916" s="1091"/>
      <c r="PYG916" s="1091"/>
      <c r="PYH916" s="1091"/>
      <c r="PYI916" s="1091"/>
      <c r="PYJ916" s="1091"/>
      <c r="PYK916" s="1091"/>
      <c r="PYL916" s="1091"/>
      <c r="PYM916" s="1091"/>
      <c r="PYN916" s="1091"/>
      <c r="PYO916" s="1091"/>
      <c r="PYP916" s="1091"/>
      <c r="PYQ916" s="1091"/>
      <c r="PYR916" s="1091"/>
      <c r="PYS916" s="1091"/>
      <c r="PYT916" s="1091"/>
      <c r="PYU916" s="1091"/>
      <c r="PYV916" s="1091"/>
      <c r="PYW916" s="1091"/>
      <c r="PYX916" s="1091"/>
      <c r="PYY916" s="1091"/>
      <c r="PYZ916" s="1091"/>
      <c r="PZA916" s="1091"/>
      <c r="PZB916" s="1091"/>
      <c r="PZC916" s="1091"/>
      <c r="PZD916" s="1091"/>
      <c r="PZE916" s="1091"/>
      <c r="PZF916" s="1091"/>
      <c r="PZG916" s="1091"/>
      <c r="PZH916" s="1091"/>
      <c r="PZI916" s="1091"/>
      <c r="PZJ916" s="1091"/>
      <c r="PZK916" s="1091"/>
      <c r="PZL916" s="1091"/>
      <c r="PZM916" s="1091"/>
      <c r="PZN916" s="1091"/>
      <c r="PZO916" s="1091"/>
      <c r="PZP916" s="1091"/>
      <c r="PZQ916" s="1091"/>
      <c r="PZR916" s="1091"/>
      <c r="PZS916" s="1091"/>
      <c r="PZT916" s="1091"/>
      <c r="PZU916" s="1091"/>
      <c r="PZV916" s="1091"/>
      <c r="PZW916" s="1091"/>
      <c r="PZX916" s="1091"/>
      <c r="PZY916" s="1091"/>
      <c r="PZZ916" s="1091"/>
      <c r="QAA916" s="1091"/>
      <c r="QAB916" s="1091"/>
      <c r="QAC916" s="1091"/>
      <c r="QAD916" s="1091"/>
      <c r="QAE916" s="1091"/>
      <c r="QAF916" s="1091"/>
      <c r="QAG916" s="1091"/>
      <c r="QAH916" s="1091"/>
      <c r="QAI916" s="1091"/>
      <c r="QAJ916" s="1091"/>
      <c r="QAK916" s="1091"/>
      <c r="QAL916" s="1091"/>
      <c r="QAM916" s="1091"/>
      <c r="QAN916" s="1091"/>
      <c r="QAO916" s="1091"/>
      <c r="QAP916" s="1091"/>
      <c r="QAQ916" s="1091"/>
      <c r="QAR916" s="1091"/>
      <c r="QAS916" s="1091"/>
      <c r="QAT916" s="1091"/>
      <c r="QAU916" s="1091"/>
      <c r="QAV916" s="1091"/>
      <c r="QAW916" s="1091"/>
      <c r="QAX916" s="1091"/>
      <c r="QAY916" s="1091"/>
      <c r="QAZ916" s="1091"/>
      <c r="QBA916" s="1091"/>
      <c r="QBB916" s="1091"/>
      <c r="QBC916" s="1091"/>
      <c r="QBD916" s="1091"/>
      <c r="QBE916" s="1091"/>
      <c r="QBF916" s="1091"/>
      <c r="QBG916" s="1091"/>
      <c r="QBH916" s="1091"/>
      <c r="QBI916" s="1091"/>
      <c r="QBJ916" s="1091"/>
      <c r="QBK916" s="1091"/>
      <c r="QBL916" s="1091"/>
      <c r="QBM916" s="1091"/>
      <c r="QBN916" s="1091"/>
      <c r="QBO916" s="1091"/>
      <c r="QBP916" s="1091"/>
      <c r="QBQ916" s="1091"/>
      <c r="QBR916" s="1091"/>
      <c r="QBS916" s="1091"/>
      <c r="QBT916" s="1091"/>
      <c r="QBU916" s="1091"/>
      <c r="QBV916" s="1091"/>
      <c r="QBW916" s="1091"/>
      <c r="QBX916" s="1091"/>
      <c r="QBY916" s="1091"/>
      <c r="QBZ916" s="1091"/>
      <c r="QCA916" s="1091"/>
      <c r="QCB916" s="1091"/>
      <c r="QCC916" s="1091"/>
      <c r="QCD916" s="1091"/>
      <c r="QCE916" s="1091"/>
      <c r="QCF916" s="1091"/>
      <c r="QCG916" s="1091"/>
      <c r="QCH916" s="1091"/>
      <c r="QCI916" s="1091"/>
      <c r="QCJ916" s="1091"/>
      <c r="QCK916" s="1091"/>
      <c r="QCL916" s="1091"/>
      <c r="QCM916" s="1091"/>
      <c r="QCN916" s="1091"/>
      <c r="QCO916" s="1091"/>
      <c r="QCP916" s="1091"/>
      <c r="QCQ916" s="1091"/>
      <c r="QCR916" s="1091"/>
      <c r="QCS916" s="1091"/>
      <c r="QCT916" s="1091"/>
      <c r="QCU916" s="1091"/>
      <c r="QCV916" s="1091"/>
      <c r="QCW916" s="1091"/>
      <c r="QCX916" s="1091"/>
      <c r="QCY916" s="1091"/>
      <c r="QCZ916" s="1091"/>
      <c r="QDA916" s="1091"/>
      <c r="QDB916" s="1091"/>
      <c r="QDC916" s="1091"/>
      <c r="QDD916" s="1091"/>
      <c r="QDE916" s="1091"/>
      <c r="QDF916" s="1091"/>
      <c r="QDG916" s="1091"/>
      <c r="QDH916" s="1091"/>
      <c r="QDI916" s="1091"/>
      <c r="QDJ916" s="1091"/>
      <c r="QDK916" s="1091"/>
      <c r="QDL916" s="1091"/>
      <c r="QDM916" s="1091"/>
      <c r="QDN916" s="1091"/>
      <c r="QDO916" s="1091"/>
      <c r="QDP916" s="1091"/>
      <c r="QDQ916" s="1091"/>
      <c r="QDR916" s="1091"/>
      <c r="QDS916" s="1091"/>
      <c r="QDT916" s="1091"/>
      <c r="QDU916" s="1091"/>
      <c r="QDV916" s="1091"/>
      <c r="QDW916" s="1091"/>
      <c r="QDX916" s="1091"/>
      <c r="QDY916" s="1091"/>
      <c r="QDZ916" s="1091"/>
      <c r="QEA916" s="1091"/>
      <c r="QEB916" s="1091"/>
      <c r="QEC916" s="1091"/>
      <c r="QED916" s="1091"/>
      <c r="QEE916" s="1091"/>
      <c r="QEF916" s="1091"/>
      <c r="QEG916" s="1091"/>
      <c r="QEH916" s="1091"/>
      <c r="QEI916" s="1091"/>
      <c r="QEJ916" s="1091"/>
      <c r="QEK916" s="1091"/>
      <c r="QEL916" s="1091"/>
      <c r="QEM916" s="1091"/>
      <c r="QEN916" s="1091"/>
      <c r="QEO916" s="1091"/>
      <c r="QEP916" s="1091"/>
      <c r="QEQ916" s="1091"/>
      <c r="QER916" s="1091"/>
      <c r="QES916" s="1091"/>
      <c r="QET916" s="1091"/>
      <c r="QEU916" s="1091"/>
      <c r="QEV916" s="1091"/>
      <c r="QEW916" s="1091"/>
      <c r="QEX916" s="1091"/>
      <c r="QEY916" s="1091"/>
      <c r="QEZ916" s="1091"/>
      <c r="QFA916" s="1091"/>
      <c r="QFB916" s="1091"/>
      <c r="QFC916" s="1091"/>
      <c r="QFD916" s="1091"/>
      <c r="QFE916" s="1091"/>
      <c r="QFF916" s="1091"/>
      <c r="QFG916" s="1091"/>
      <c r="QFH916" s="1091"/>
      <c r="QFI916" s="1091"/>
      <c r="QFJ916" s="1091"/>
      <c r="QFK916" s="1091"/>
      <c r="QFL916" s="1091"/>
      <c r="QFM916" s="1091"/>
      <c r="QFN916" s="1091"/>
      <c r="QFO916" s="1091"/>
      <c r="QFP916" s="1091"/>
      <c r="QFQ916" s="1091"/>
      <c r="QFR916" s="1091"/>
      <c r="QFS916" s="1091"/>
      <c r="QFT916" s="1091"/>
      <c r="QFU916" s="1091"/>
      <c r="QFV916" s="1091"/>
      <c r="QFW916" s="1091"/>
      <c r="QFX916" s="1091"/>
      <c r="QFY916" s="1091"/>
      <c r="QFZ916" s="1091"/>
      <c r="QGA916" s="1091"/>
      <c r="QGB916" s="1091"/>
      <c r="QGC916" s="1091"/>
      <c r="QGD916" s="1091"/>
      <c r="QGE916" s="1091"/>
      <c r="QGF916" s="1091"/>
      <c r="QGG916" s="1091"/>
      <c r="QGH916" s="1091"/>
      <c r="QGI916" s="1091"/>
      <c r="QGJ916" s="1091"/>
      <c r="QGK916" s="1091"/>
      <c r="QGL916" s="1091"/>
      <c r="QGM916" s="1091"/>
      <c r="QGN916" s="1091"/>
      <c r="QGO916" s="1091"/>
      <c r="QGP916" s="1091"/>
      <c r="QGQ916" s="1091"/>
      <c r="QGR916" s="1091"/>
      <c r="QGS916" s="1091"/>
      <c r="QGT916" s="1091"/>
      <c r="QGU916" s="1091"/>
      <c r="QGV916" s="1091"/>
      <c r="QGW916" s="1091"/>
      <c r="QGX916" s="1091"/>
      <c r="QGY916" s="1091"/>
      <c r="QGZ916" s="1091"/>
      <c r="QHA916" s="1091"/>
      <c r="QHB916" s="1091"/>
      <c r="QHC916" s="1091"/>
      <c r="QHD916" s="1091"/>
      <c r="QHE916" s="1091"/>
      <c r="QHF916" s="1091"/>
      <c r="QHG916" s="1091"/>
      <c r="QHH916" s="1091"/>
      <c r="QHI916" s="1091"/>
      <c r="QHJ916" s="1091"/>
      <c r="QHK916" s="1091"/>
      <c r="QHL916" s="1091"/>
      <c r="QHM916" s="1091"/>
      <c r="QHN916" s="1091"/>
      <c r="QHO916" s="1091"/>
      <c r="QHP916" s="1091"/>
      <c r="QHQ916" s="1091"/>
      <c r="QHR916" s="1091"/>
      <c r="QHS916" s="1091"/>
      <c r="QHT916" s="1091"/>
      <c r="QHU916" s="1091"/>
      <c r="QHV916" s="1091"/>
      <c r="QHW916" s="1091"/>
      <c r="QHX916" s="1091"/>
      <c r="QHY916" s="1091"/>
      <c r="QHZ916" s="1091"/>
      <c r="QIA916" s="1091"/>
      <c r="QIB916" s="1091"/>
      <c r="QIC916" s="1091"/>
      <c r="QID916" s="1091"/>
      <c r="QIE916" s="1091"/>
      <c r="QIF916" s="1091"/>
      <c r="QIG916" s="1091"/>
      <c r="QIH916" s="1091"/>
      <c r="QII916" s="1091"/>
      <c r="QIJ916" s="1091"/>
      <c r="QIK916" s="1091"/>
      <c r="QIL916" s="1091"/>
      <c r="QIM916" s="1091"/>
      <c r="QIN916" s="1091"/>
      <c r="QIO916" s="1091"/>
      <c r="QIP916" s="1091"/>
      <c r="QIQ916" s="1091"/>
      <c r="QIR916" s="1091"/>
      <c r="QIS916" s="1091"/>
      <c r="QIT916" s="1091"/>
      <c r="QIU916" s="1091"/>
      <c r="QIV916" s="1091"/>
      <c r="QIW916" s="1091"/>
      <c r="QIX916" s="1091"/>
      <c r="QIY916" s="1091"/>
      <c r="QIZ916" s="1091"/>
      <c r="QJA916" s="1091"/>
      <c r="QJB916" s="1091"/>
      <c r="QJC916" s="1091"/>
      <c r="QJD916" s="1091"/>
      <c r="QJE916" s="1091"/>
      <c r="QJF916" s="1091"/>
      <c r="QJG916" s="1091"/>
      <c r="QJH916" s="1091"/>
      <c r="QJI916" s="1091"/>
      <c r="QJJ916" s="1091"/>
      <c r="QJK916" s="1091"/>
      <c r="QJL916" s="1091"/>
      <c r="QJM916" s="1091"/>
      <c r="QJN916" s="1091"/>
      <c r="QJO916" s="1091"/>
      <c r="QJP916" s="1091"/>
      <c r="QJQ916" s="1091"/>
      <c r="QJR916" s="1091"/>
      <c r="QJS916" s="1091"/>
      <c r="QJT916" s="1091"/>
      <c r="QJU916" s="1091"/>
      <c r="QJV916" s="1091"/>
      <c r="QJW916" s="1091"/>
      <c r="QJX916" s="1091"/>
      <c r="QJY916" s="1091"/>
      <c r="QJZ916" s="1091"/>
      <c r="QKA916" s="1091"/>
      <c r="QKB916" s="1091"/>
      <c r="QKC916" s="1091"/>
      <c r="QKD916" s="1091"/>
      <c r="QKE916" s="1091"/>
      <c r="QKF916" s="1091"/>
      <c r="QKG916" s="1091"/>
      <c r="QKH916" s="1091"/>
      <c r="QKI916" s="1091"/>
      <c r="QKJ916" s="1091"/>
      <c r="QKK916" s="1091"/>
      <c r="QKL916" s="1091"/>
      <c r="QKM916" s="1091"/>
      <c r="QKN916" s="1091"/>
      <c r="QKO916" s="1091"/>
      <c r="QKP916" s="1091"/>
      <c r="QKQ916" s="1091"/>
      <c r="QKR916" s="1091"/>
      <c r="QKS916" s="1091"/>
      <c r="QKT916" s="1091"/>
      <c r="QKU916" s="1091"/>
      <c r="QKV916" s="1091"/>
      <c r="QKW916" s="1091"/>
      <c r="QKX916" s="1091"/>
      <c r="QKY916" s="1091"/>
      <c r="QKZ916" s="1091"/>
      <c r="QLA916" s="1091"/>
      <c r="QLB916" s="1091"/>
      <c r="QLC916" s="1091"/>
      <c r="QLD916" s="1091"/>
      <c r="QLE916" s="1091"/>
      <c r="QLF916" s="1091"/>
      <c r="QLG916" s="1091"/>
      <c r="QLH916" s="1091"/>
      <c r="QLI916" s="1091"/>
      <c r="QLJ916" s="1091"/>
      <c r="QLK916" s="1091"/>
      <c r="QLL916" s="1091"/>
      <c r="QLM916" s="1091"/>
      <c r="QLN916" s="1091"/>
      <c r="QLO916" s="1091"/>
      <c r="QLP916" s="1091"/>
      <c r="QLQ916" s="1091"/>
      <c r="QLR916" s="1091"/>
      <c r="QLS916" s="1091"/>
      <c r="QLT916" s="1091"/>
      <c r="QLU916" s="1091"/>
      <c r="QLV916" s="1091"/>
      <c r="QLW916" s="1091"/>
      <c r="QLX916" s="1091"/>
      <c r="QLY916" s="1091"/>
      <c r="QLZ916" s="1091"/>
      <c r="QMA916" s="1091"/>
      <c r="QMB916" s="1091"/>
      <c r="QMC916" s="1091"/>
      <c r="QMD916" s="1091"/>
      <c r="QME916" s="1091"/>
      <c r="QMF916" s="1091"/>
      <c r="QMG916" s="1091"/>
      <c r="QMH916" s="1091"/>
      <c r="QMI916" s="1091"/>
      <c r="QMJ916" s="1091"/>
      <c r="QMK916" s="1091"/>
      <c r="QML916" s="1091"/>
      <c r="QMM916" s="1091"/>
      <c r="QMN916" s="1091"/>
      <c r="QMO916" s="1091"/>
      <c r="QMP916" s="1091"/>
      <c r="QMQ916" s="1091"/>
      <c r="QMR916" s="1091"/>
      <c r="QMS916" s="1091"/>
      <c r="QMT916" s="1091"/>
      <c r="QMU916" s="1091"/>
      <c r="QMV916" s="1091"/>
      <c r="QMW916" s="1091"/>
      <c r="QMX916" s="1091"/>
      <c r="QMY916" s="1091"/>
      <c r="QMZ916" s="1091"/>
      <c r="QNA916" s="1091"/>
      <c r="QNB916" s="1091"/>
      <c r="QNC916" s="1091"/>
      <c r="QND916" s="1091"/>
      <c r="QNE916" s="1091"/>
      <c r="QNF916" s="1091"/>
      <c r="QNG916" s="1091"/>
      <c r="QNH916" s="1091"/>
      <c r="QNI916" s="1091"/>
      <c r="QNJ916" s="1091"/>
      <c r="QNK916" s="1091"/>
      <c r="QNL916" s="1091"/>
      <c r="QNM916" s="1091"/>
      <c r="QNN916" s="1091"/>
      <c r="QNO916" s="1091"/>
      <c r="QNP916" s="1091"/>
      <c r="QNQ916" s="1091"/>
      <c r="QNR916" s="1091"/>
      <c r="QNS916" s="1091"/>
      <c r="QNT916" s="1091"/>
      <c r="QNU916" s="1091"/>
      <c r="QNV916" s="1091"/>
      <c r="QNW916" s="1091"/>
      <c r="QNX916" s="1091"/>
      <c r="QNY916" s="1091"/>
      <c r="QNZ916" s="1091"/>
      <c r="QOA916" s="1091"/>
      <c r="QOB916" s="1091"/>
      <c r="QOC916" s="1091"/>
      <c r="QOD916" s="1091"/>
      <c r="QOE916" s="1091"/>
      <c r="QOF916" s="1091"/>
      <c r="QOG916" s="1091"/>
      <c r="QOH916" s="1091"/>
      <c r="QOI916" s="1091"/>
      <c r="QOJ916" s="1091"/>
      <c r="QOK916" s="1091"/>
      <c r="QOL916" s="1091"/>
      <c r="QOM916" s="1091"/>
      <c r="QON916" s="1091"/>
      <c r="QOO916" s="1091"/>
      <c r="QOP916" s="1091"/>
      <c r="QOQ916" s="1091"/>
      <c r="QOR916" s="1091"/>
      <c r="QOS916" s="1091"/>
      <c r="QOT916" s="1091"/>
      <c r="QOU916" s="1091"/>
      <c r="QOV916" s="1091"/>
      <c r="QOW916" s="1091"/>
      <c r="QOX916" s="1091"/>
      <c r="QOY916" s="1091"/>
      <c r="QOZ916" s="1091"/>
      <c r="QPA916" s="1091"/>
      <c r="QPB916" s="1091"/>
      <c r="QPC916" s="1091"/>
      <c r="QPD916" s="1091"/>
      <c r="QPE916" s="1091"/>
      <c r="QPF916" s="1091"/>
      <c r="QPG916" s="1091"/>
      <c r="QPH916" s="1091"/>
      <c r="QPI916" s="1091"/>
      <c r="QPJ916" s="1091"/>
      <c r="QPK916" s="1091"/>
      <c r="QPL916" s="1091"/>
      <c r="QPM916" s="1091"/>
      <c r="QPN916" s="1091"/>
      <c r="QPO916" s="1091"/>
      <c r="QPP916" s="1091"/>
      <c r="QPQ916" s="1091"/>
      <c r="QPR916" s="1091"/>
      <c r="QPS916" s="1091"/>
      <c r="QPT916" s="1091"/>
      <c r="QPU916" s="1091"/>
      <c r="QPV916" s="1091"/>
      <c r="QPW916" s="1091"/>
      <c r="QPX916" s="1091"/>
      <c r="QPY916" s="1091"/>
      <c r="QPZ916" s="1091"/>
      <c r="QQA916" s="1091"/>
      <c r="QQB916" s="1091"/>
      <c r="QQC916" s="1091"/>
      <c r="QQD916" s="1091"/>
      <c r="QQE916" s="1091"/>
      <c r="QQF916" s="1091"/>
      <c r="QQG916" s="1091"/>
      <c r="QQH916" s="1091"/>
      <c r="QQI916" s="1091"/>
      <c r="QQJ916" s="1091"/>
      <c r="QQK916" s="1091"/>
      <c r="QQL916" s="1091"/>
      <c r="QQM916" s="1091"/>
      <c r="QQN916" s="1091"/>
      <c r="QQO916" s="1091"/>
      <c r="QQP916" s="1091"/>
      <c r="QQQ916" s="1091"/>
      <c r="QQR916" s="1091"/>
      <c r="QQS916" s="1091"/>
      <c r="QQT916" s="1091"/>
      <c r="QQU916" s="1091"/>
      <c r="QQV916" s="1091"/>
      <c r="QQW916" s="1091"/>
      <c r="QQX916" s="1091"/>
      <c r="QQY916" s="1091"/>
      <c r="QQZ916" s="1091"/>
      <c r="QRA916" s="1091"/>
      <c r="QRB916" s="1091"/>
      <c r="QRC916" s="1091"/>
      <c r="QRD916" s="1091"/>
      <c r="QRE916" s="1091"/>
      <c r="QRF916" s="1091"/>
      <c r="QRG916" s="1091"/>
      <c r="QRH916" s="1091"/>
      <c r="QRI916" s="1091"/>
      <c r="QRJ916" s="1091"/>
      <c r="QRK916" s="1091"/>
      <c r="QRL916" s="1091"/>
      <c r="QRM916" s="1091"/>
      <c r="QRN916" s="1091"/>
      <c r="QRO916" s="1091"/>
      <c r="QRP916" s="1091"/>
      <c r="QRQ916" s="1091"/>
      <c r="QRR916" s="1091"/>
      <c r="QRS916" s="1091"/>
      <c r="QRT916" s="1091"/>
      <c r="QRU916" s="1091"/>
      <c r="QRV916" s="1091"/>
      <c r="QRW916" s="1091"/>
      <c r="QRX916" s="1091"/>
      <c r="QRY916" s="1091"/>
      <c r="QRZ916" s="1091"/>
      <c r="QSA916" s="1091"/>
      <c r="QSB916" s="1091"/>
      <c r="QSC916" s="1091"/>
      <c r="QSD916" s="1091"/>
      <c r="QSE916" s="1091"/>
      <c r="QSF916" s="1091"/>
      <c r="QSG916" s="1091"/>
      <c r="QSH916" s="1091"/>
      <c r="QSI916" s="1091"/>
      <c r="QSJ916" s="1091"/>
      <c r="QSK916" s="1091"/>
      <c r="QSL916" s="1091"/>
      <c r="QSM916" s="1091"/>
      <c r="QSN916" s="1091"/>
      <c r="QSO916" s="1091"/>
      <c r="QSP916" s="1091"/>
      <c r="QSQ916" s="1091"/>
      <c r="QSR916" s="1091"/>
      <c r="QSS916" s="1091"/>
      <c r="QST916" s="1091"/>
      <c r="QSU916" s="1091"/>
      <c r="QSV916" s="1091"/>
      <c r="QSW916" s="1091"/>
      <c r="QSX916" s="1091"/>
      <c r="QSY916" s="1091"/>
      <c r="QSZ916" s="1091"/>
      <c r="QTA916" s="1091"/>
      <c r="QTB916" s="1091"/>
      <c r="QTC916" s="1091"/>
      <c r="QTD916" s="1091"/>
      <c r="QTE916" s="1091"/>
      <c r="QTF916" s="1091"/>
      <c r="QTG916" s="1091"/>
      <c r="QTH916" s="1091"/>
      <c r="QTI916" s="1091"/>
      <c r="QTJ916" s="1091"/>
      <c r="QTK916" s="1091"/>
      <c r="QTL916" s="1091"/>
      <c r="QTM916" s="1091"/>
      <c r="QTN916" s="1091"/>
      <c r="QTO916" s="1091"/>
      <c r="QTP916" s="1091"/>
      <c r="QTQ916" s="1091"/>
      <c r="QTR916" s="1091"/>
      <c r="QTS916" s="1091"/>
      <c r="QTT916" s="1091"/>
      <c r="QTU916" s="1091"/>
      <c r="QTV916" s="1091"/>
      <c r="QTW916" s="1091"/>
      <c r="QTX916" s="1091"/>
      <c r="QTY916" s="1091"/>
      <c r="QTZ916" s="1091"/>
      <c r="QUA916" s="1091"/>
      <c r="QUB916" s="1091"/>
      <c r="QUC916" s="1091"/>
      <c r="QUD916" s="1091"/>
      <c r="QUE916" s="1091"/>
      <c r="QUF916" s="1091"/>
      <c r="QUG916" s="1091"/>
      <c r="QUH916" s="1091"/>
      <c r="QUI916" s="1091"/>
      <c r="QUJ916" s="1091"/>
      <c r="QUK916" s="1091"/>
      <c r="QUL916" s="1091"/>
      <c r="QUM916" s="1091"/>
      <c r="QUN916" s="1091"/>
      <c r="QUO916" s="1091"/>
      <c r="QUP916" s="1091"/>
      <c r="QUQ916" s="1091"/>
      <c r="QUR916" s="1091"/>
      <c r="QUS916" s="1091"/>
      <c r="QUT916" s="1091"/>
      <c r="QUU916" s="1091"/>
      <c r="QUV916" s="1091"/>
      <c r="QUW916" s="1091"/>
      <c r="QUX916" s="1091"/>
      <c r="QUY916" s="1091"/>
      <c r="QUZ916" s="1091"/>
      <c r="QVA916" s="1091"/>
      <c r="QVB916" s="1091"/>
      <c r="QVC916" s="1091"/>
      <c r="QVD916" s="1091"/>
      <c r="QVE916" s="1091"/>
      <c r="QVF916" s="1091"/>
      <c r="QVG916" s="1091"/>
      <c r="QVH916" s="1091"/>
      <c r="QVI916" s="1091"/>
      <c r="QVJ916" s="1091"/>
      <c r="QVK916" s="1091"/>
      <c r="QVL916" s="1091"/>
      <c r="QVM916" s="1091"/>
      <c r="QVN916" s="1091"/>
      <c r="QVO916" s="1091"/>
      <c r="QVP916" s="1091"/>
      <c r="QVQ916" s="1091"/>
      <c r="QVR916" s="1091"/>
      <c r="QVS916" s="1091"/>
      <c r="QVT916" s="1091"/>
      <c r="QVU916" s="1091"/>
      <c r="QVV916" s="1091"/>
      <c r="QVW916" s="1091"/>
      <c r="QVX916" s="1091"/>
      <c r="QVY916" s="1091"/>
      <c r="QVZ916" s="1091"/>
      <c r="QWA916" s="1091"/>
      <c r="QWB916" s="1091"/>
      <c r="QWC916" s="1091"/>
      <c r="QWD916" s="1091"/>
      <c r="QWE916" s="1091"/>
      <c r="QWF916" s="1091"/>
      <c r="QWG916" s="1091"/>
      <c r="QWH916" s="1091"/>
      <c r="QWI916" s="1091"/>
      <c r="QWJ916" s="1091"/>
      <c r="QWK916" s="1091"/>
      <c r="QWL916" s="1091"/>
      <c r="QWM916" s="1091"/>
      <c r="QWN916" s="1091"/>
      <c r="QWO916" s="1091"/>
      <c r="QWP916" s="1091"/>
      <c r="QWQ916" s="1091"/>
      <c r="QWR916" s="1091"/>
      <c r="QWS916" s="1091"/>
      <c r="QWT916" s="1091"/>
      <c r="QWU916" s="1091"/>
      <c r="QWV916" s="1091"/>
      <c r="QWW916" s="1091"/>
      <c r="QWX916" s="1091"/>
      <c r="QWY916" s="1091"/>
      <c r="QWZ916" s="1091"/>
      <c r="QXA916" s="1091"/>
      <c r="QXB916" s="1091"/>
      <c r="QXC916" s="1091"/>
      <c r="QXD916" s="1091"/>
      <c r="QXE916" s="1091"/>
      <c r="QXF916" s="1091"/>
      <c r="QXG916" s="1091"/>
      <c r="QXH916" s="1091"/>
      <c r="QXI916" s="1091"/>
      <c r="QXJ916" s="1091"/>
      <c r="QXK916" s="1091"/>
      <c r="QXL916" s="1091"/>
      <c r="QXM916" s="1091"/>
      <c r="QXN916" s="1091"/>
      <c r="QXO916" s="1091"/>
      <c r="QXP916" s="1091"/>
      <c r="QXQ916" s="1091"/>
      <c r="QXR916" s="1091"/>
      <c r="QXS916" s="1091"/>
      <c r="QXT916" s="1091"/>
      <c r="QXU916" s="1091"/>
      <c r="QXV916" s="1091"/>
      <c r="QXW916" s="1091"/>
      <c r="QXX916" s="1091"/>
      <c r="QXY916" s="1091"/>
      <c r="QXZ916" s="1091"/>
      <c r="QYA916" s="1091"/>
      <c r="QYB916" s="1091"/>
      <c r="QYC916" s="1091"/>
      <c r="QYD916" s="1091"/>
      <c r="QYE916" s="1091"/>
      <c r="QYF916" s="1091"/>
      <c r="QYG916" s="1091"/>
      <c r="QYH916" s="1091"/>
      <c r="QYI916" s="1091"/>
      <c r="QYJ916" s="1091"/>
      <c r="QYK916" s="1091"/>
      <c r="QYL916" s="1091"/>
      <c r="QYM916" s="1091"/>
      <c r="QYN916" s="1091"/>
      <c r="QYO916" s="1091"/>
      <c r="QYP916" s="1091"/>
      <c r="QYQ916" s="1091"/>
      <c r="QYR916" s="1091"/>
      <c r="QYS916" s="1091"/>
      <c r="QYT916" s="1091"/>
      <c r="QYU916" s="1091"/>
      <c r="QYV916" s="1091"/>
      <c r="QYW916" s="1091"/>
      <c r="QYX916" s="1091"/>
      <c r="QYY916" s="1091"/>
      <c r="QYZ916" s="1091"/>
      <c r="QZA916" s="1091"/>
      <c r="QZB916" s="1091"/>
      <c r="QZC916" s="1091"/>
      <c r="QZD916" s="1091"/>
      <c r="QZE916" s="1091"/>
      <c r="QZF916" s="1091"/>
      <c r="QZG916" s="1091"/>
      <c r="QZH916" s="1091"/>
      <c r="QZI916" s="1091"/>
      <c r="QZJ916" s="1091"/>
      <c r="QZK916" s="1091"/>
      <c r="QZL916" s="1091"/>
      <c r="QZM916" s="1091"/>
      <c r="QZN916" s="1091"/>
      <c r="QZO916" s="1091"/>
      <c r="QZP916" s="1091"/>
      <c r="QZQ916" s="1091"/>
      <c r="QZR916" s="1091"/>
      <c r="QZS916" s="1091"/>
      <c r="QZT916" s="1091"/>
      <c r="QZU916" s="1091"/>
      <c r="QZV916" s="1091"/>
      <c r="QZW916" s="1091"/>
      <c r="QZX916" s="1091"/>
      <c r="QZY916" s="1091"/>
      <c r="QZZ916" s="1091"/>
      <c r="RAA916" s="1091"/>
      <c r="RAB916" s="1091"/>
      <c r="RAC916" s="1091"/>
      <c r="RAD916" s="1091"/>
      <c r="RAE916" s="1091"/>
      <c r="RAF916" s="1091"/>
      <c r="RAG916" s="1091"/>
      <c r="RAH916" s="1091"/>
      <c r="RAI916" s="1091"/>
      <c r="RAJ916" s="1091"/>
      <c r="RAK916" s="1091"/>
      <c r="RAL916" s="1091"/>
      <c r="RAM916" s="1091"/>
      <c r="RAN916" s="1091"/>
      <c r="RAO916" s="1091"/>
      <c r="RAP916" s="1091"/>
      <c r="RAQ916" s="1091"/>
      <c r="RAR916" s="1091"/>
      <c r="RAS916" s="1091"/>
      <c r="RAT916" s="1091"/>
      <c r="RAU916" s="1091"/>
      <c r="RAV916" s="1091"/>
      <c r="RAW916" s="1091"/>
      <c r="RAX916" s="1091"/>
      <c r="RAY916" s="1091"/>
      <c r="RAZ916" s="1091"/>
      <c r="RBA916" s="1091"/>
      <c r="RBB916" s="1091"/>
      <c r="RBC916" s="1091"/>
      <c r="RBD916" s="1091"/>
      <c r="RBE916" s="1091"/>
      <c r="RBF916" s="1091"/>
      <c r="RBG916" s="1091"/>
      <c r="RBH916" s="1091"/>
      <c r="RBI916" s="1091"/>
      <c r="RBJ916" s="1091"/>
      <c r="RBK916" s="1091"/>
      <c r="RBL916" s="1091"/>
      <c r="RBM916" s="1091"/>
      <c r="RBN916" s="1091"/>
      <c r="RBO916" s="1091"/>
      <c r="RBP916" s="1091"/>
      <c r="RBQ916" s="1091"/>
      <c r="RBR916" s="1091"/>
      <c r="RBS916" s="1091"/>
      <c r="RBT916" s="1091"/>
      <c r="RBU916" s="1091"/>
      <c r="RBV916" s="1091"/>
      <c r="RBW916" s="1091"/>
      <c r="RBX916" s="1091"/>
      <c r="RBY916" s="1091"/>
      <c r="RBZ916" s="1091"/>
      <c r="RCA916" s="1091"/>
      <c r="RCB916" s="1091"/>
      <c r="RCC916" s="1091"/>
      <c r="RCD916" s="1091"/>
      <c r="RCE916" s="1091"/>
      <c r="RCF916" s="1091"/>
      <c r="RCG916" s="1091"/>
      <c r="RCH916" s="1091"/>
      <c r="RCI916" s="1091"/>
      <c r="RCJ916" s="1091"/>
      <c r="RCK916" s="1091"/>
      <c r="RCL916" s="1091"/>
      <c r="RCM916" s="1091"/>
      <c r="RCN916" s="1091"/>
      <c r="RCO916" s="1091"/>
      <c r="RCP916" s="1091"/>
      <c r="RCQ916" s="1091"/>
      <c r="RCR916" s="1091"/>
      <c r="RCS916" s="1091"/>
      <c r="RCT916" s="1091"/>
      <c r="RCU916" s="1091"/>
      <c r="RCV916" s="1091"/>
      <c r="RCW916" s="1091"/>
      <c r="RCX916" s="1091"/>
      <c r="RCY916" s="1091"/>
      <c r="RCZ916" s="1091"/>
      <c r="RDA916" s="1091"/>
      <c r="RDB916" s="1091"/>
      <c r="RDC916" s="1091"/>
      <c r="RDD916" s="1091"/>
      <c r="RDE916" s="1091"/>
      <c r="RDF916" s="1091"/>
      <c r="RDG916" s="1091"/>
      <c r="RDH916" s="1091"/>
      <c r="RDI916" s="1091"/>
      <c r="RDJ916" s="1091"/>
      <c r="RDK916" s="1091"/>
      <c r="RDL916" s="1091"/>
      <c r="RDM916" s="1091"/>
      <c r="RDN916" s="1091"/>
      <c r="RDO916" s="1091"/>
      <c r="RDP916" s="1091"/>
      <c r="RDQ916" s="1091"/>
      <c r="RDR916" s="1091"/>
      <c r="RDS916" s="1091"/>
      <c r="RDT916" s="1091"/>
      <c r="RDU916" s="1091"/>
      <c r="RDV916" s="1091"/>
      <c r="RDW916" s="1091"/>
      <c r="RDX916" s="1091"/>
      <c r="RDY916" s="1091"/>
      <c r="RDZ916" s="1091"/>
      <c r="REA916" s="1091"/>
      <c r="REB916" s="1091"/>
      <c r="REC916" s="1091"/>
      <c r="RED916" s="1091"/>
      <c r="REE916" s="1091"/>
      <c r="REF916" s="1091"/>
      <c r="REG916" s="1091"/>
      <c r="REH916" s="1091"/>
      <c r="REI916" s="1091"/>
      <c r="REJ916" s="1091"/>
      <c r="REK916" s="1091"/>
      <c r="REL916" s="1091"/>
      <c r="REM916" s="1091"/>
      <c r="REN916" s="1091"/>
      <c r="REO916" s="1091"/>
      <c r="REP916" s="1091"/>
      <c r="REQ916" s="1091"/>
      <c r="RER916" s="1091"/>
      <c r="RES916" s="1091"/>
      <c r="RET916" s="1091"/>
      <c r="REU916" s="1091"/>
      <c r="REV916" s="1091"/>
      <c r="REW916" s="1091"/>
      <c r="REX916" s="1091"/>
      <c r="REY916" s="1091"/>
      <c r="REZ916" s="1091"/>
      <c r="RFA916" s="1091"/>
      <c r="RFB916" s="1091"/>
      <c r="RFC916" s="1091"/>
      <c r="RFD916" s="1091"/>
      <c r="RFE916" s="1091"/>
      <c r="RFF916" s="1091"/>
      <c r="RFG916" s="1091"/>
      <c r="RFH916" s="1091"/>
      <c r="RFI916" s="1091"/>
      <c r="RFJ916" s="1091"/>
      <c r="RFK916" s="1091"/>
      <c r="RFL916" s="1091"/>
      <c r="RFM916" s="1091"/>
      <c r="RFN916" s="1091"/>
      <c r="RFO916" s="1091"/>
      <c r="RFP916" s="1091"/>
      <c r="RFQ916" s="1091"/>
      <c r="RFR916" s="1091"/>
      <c r="RFS916" s="1091"/>
      <c r="RFT916" s="1091"/>
      <c r="RFU916" s="1091"/>
      <c r="RFV916" s="1091"/>
      <c r="RFW916" s="1091"/>
      <c r="RFX916" s="1091"/>
      <c r="RFY916" s="1091"/>
      <c r="RFZ916" s="1091"/>
      <c r="RGA916" s="1091"/>
      <c r="RGB916" s="1091"/>
      <c r="RGC916" s="1091"/>
      <c r="RGD916" s="1091"/>
      <c r="RGE916" s="1091"/>
      <c r="RGF916" s="1091"/>
      <c r="RGG916" s="1091"/>
      <c r="RGH916" s="1091"/>
      <c r="RGI916" s="1091"/>
      <c r="RGJ916" s="1091"/>
      <c r="RGK916" s="1091"/>
      <c r="RGL916" s="1091"/>
      <c r="RGM916" s="1091"/>
      <c r="RGN916" s="1091"/>
      <c r="RGO916" s="1091"/>
      <c r="RGP916" s="1091"/>
      <c r="RGQ916" s="1091"/>
      <c r="RGR916" s="1091"/>
      <c r="RGS916" s="1091"/>
      <c r="RGT916" s="1091"/>
      <c r="RGU916" s="1091"/>
      <c r="RGV916" s="1091"/>
      <c r="RGW916" s="1091"/>
      <c r="RGX916" s="1091"/>
      <c r="RGY916" s="1091"/>
      <c r="RGZ916" s="1091"/>
      <c r="RHA916" s="1091"/>
      <c r="RHB916" s="1091"/>
      <c r="RHC916" s="1091"/>
      <c r="RHD916" s="1091"/>
      <c r="RHE916" s="1091"/>
      <c r="RHF916" s="1091"/>
      <c r="RHG916" s="1091"/>
      <c r="RHH916" s="1091"/>
      <c r="RHI916" s="1091"/>
      <c r="RHJ916" s="1091"/>
      <c r="RHK916" s="1091"/>
      <c r="RHL916" s="1091"/>
      <c r="RHM916" s="1091"/>
      <c r="RHN916" s="1091"/>
      <c r="RHO916" s="1091"/>
      <c r="RHP916" s="1091"/>
      <c r="RHQ916" s="1091"/>
      <c r="RHR916" s="1091"/>
      <c r="RHS916" s="1091"/>
      <c r="RHT916" s="1091"/>
      <c r="RHU916" s="1091"/>
      <c r="RHV916" s="1091"/>
      <c r="RHW916" s="1091"/>
      <c r="RHX916" s="1091"/>
      <c r="RHY916" s="1091"/>
      <c r="RHZ916" s="1091"/>
      <c r="RIA916" s="1091"/>
      <c r="RIB916" s="1091"/>
      <c r="RIC916" s="1091"/>
      <c r="RID916" s="1091"/>
      <c r="RIE916" s="1091"/>
      <c r="RIF916" s="1091"/>
      <c r="RIG916" s="1091"/>
      <c r="RIH916" s="1091"/>
      <c r="RII916" s="1091"/>
      <c r="RIJ916" s="1091"/>
      <c r="RIK916" s="1091"/>
      <c r="RIL916" s="1091"/>
      <c r="RIM916" s="1091"/>
      <c r="RIN916" s="1091"/>
      <c r="RIO916" s="1091"/>
      <c r="RIP916" s="1091"/>
      <c r="RIQ916" s="1091"/>
      <c r="RIR916" s="1091"/>
      <c r="RIS916" s="1091"/>
      <c r="RIT916" s="1091"/>
      <c r="RIU916" s="1091"/>
      <c r="RIV916" s="1091"/>
      <c r="RIW916" s="1091"/>
      <c r="RIX916" s="1091"/>
      <c r="RIY916" s="1091"/>
      <c r="RIZ916" s="1091"/>
      <c r="RJA916" s="1091"/>
      <c r="RJB916" s="1091"/>
      <c r="RJC916" s="1091"/>
      <c r="RJD916" s="1091"/>
      <c r="RJE916" s="1091"/>
      <c r="RJF916" s="1091"/>
      <c r="RJG916" s="1091"/>
      <c r="RJH916" s="1091"/>
      <c r="RJI916" s="1091"/>
      <c r="RJJ916" s="1091"/>
      <c r="RJK916" s="1091"/>
      <c r="RJL916" s="1091"/>
      <c r="RJM916" s="1091"/>
      <c r="RJN916" s="1091"/>
      <c r="RJO916" s="1091"/>
      <c r="RJP916" s="1091"/>
      <c r="RJQ916" s="1091"/>
      <c r="RJR916" s="1091"/>
      <c r="RJS916" s="1091"/>
      <c r="RJT916" s="1091"/>
      <c r="RJU916" s="1091"/>
      <c r="RJV916" s="1091"/>
      <c r="RJW916" s="1091"/>
      <c r="RJX916" s="1091"/>
      <c r="RJY916" s="1091"/>
      <c r="RJZ916" s="1091"/>
      <c r="RKA916" s="1091"/>
      <c r="RKB916" s="1091"/>
      <c r="RKC916" s="1091"/>
      <c r="RKD916" s="1091"/>
      <c r="RKE916" s="1091"/>
      <c r="RKF916" s="1091"/>
      <c r="RKG916" s="1091"/>
      <c r="RKH916" s="1091"/>
      <c r="RKI916" s="1091"/>
      <c r="RKJ916" s="1091"/>
      <c r="RKK916" s="1091"/>
      <c r="RKL916" s="1091"/>
      <c r="RKM916" s="1091"/>
      <c r="RKN916" s="1091"/>
      <c r="RKO916" s="1091"/>
      <c r="RKP916" s="1091"/>
      <c r="RKQ916" s="1091"/>
      <c r="RKR916" s="1091"/>
      <c r="RKS916" s="1091"/>
      <c r="RKT916" s="1091"/>
      <c r="RKU916" s="1091"/>
      <c r="RKV916" s="1091"/>
      <c r="RKW916" s="1091"/>
      <c r="RKX916" s="1091"/>
      <c r="RKY916" s="1091"/>
      <c r="RKZ916" s="1091"/>
      <c r="RLA916" s="1091"/>
      <c r="RLB916" s="1091"/>
      <c r="RLC916" s="1091"/>
      <c r="RLD916" s="1091"/>
      <c r="RLE916" s="1091"/>
      <c r="RLF916" s="1091"/>
      <c r="RLG916" s="1091"/>
      <c r="RLH916" s="1091"/>
      <c r="RLI916" s="1091"/>
      <c r="RLJ916" s="1091"/>
      <c r="RLK916" s="1091"/>
      <c r="RLL916" s="1091"/>
      <c r="RLM916" s="1091"/>
      <c r="RLN916" s="1091"/>
      <c r="RLO916" s="1091"/>
      <c r="RLP916" s="1091"/>
      <c r="RLQ916" s="1091"/>
      <c r="RLR916" s="1091"/>
      <c r="RLS916" s="1091"/>
      <c r="RLT916" s="1091"/>
      <c r="RLU916" s="1091"/>
      <c r="RLV916" s="1091"/>
      <c r="RLW916" s="1091"/>
      <c r="RLX916" s="1091"/>
      <c r="RLY916" s="1091"/>
      <c r="RLZ916" s="1091"/>
      <c r="RMA916" s="1091"/>
      <c r="RMB916" s="1091"/>
      <c r="RMC916" s="1091"/>
      <c r="RMD916" s="1091"/>
      <c r="RME916" s="1091"/>
      <c r="RMF916" s="1091"/>
      <c r="RMG916" s="1091"/>
      <c r="RMH916" s="1091"/>
      <c r="RMI916" s="1091"/>
      <c r="RMJ916" s="1091"/>
      <c r="RMK916" s="1091"/>
      <c r="RML916" s="1091"/>
      <c r="RMM916" s="1091"/>
      <c r="RMN916" s="1091"/>
      <c r="RMO916" s="1091"/>
      <c r="RMP916" s="1091"/>
      <c r="RMQ916" s="1091"/>
      <c r="RMR916" s="1091"/>
      <c r="RMS916" s="1091"/>
      <c r="RMT916" s="1091"/>
      <c r="RMU916" s="1091"/>
      <c r="RMV916" s="1091"/>
      <c r="RMW916" s="1091"/>
      <c r="RMX916" s="1091"/>
      <c r="RMY916" s="1091"/>
      <c r="RMZ916" s="1091"/>
      <c r="RNA916" s="1091"/>
      <c r="RNB916" s="1091"/>
      <c r="RNC916" s="1091"/>
      <c r="RND916" s="1091"/>
      <c r="RNE916" s="1091"/>
      <c r="RNF916" s="1091"/>
      <c r="RNG916" s="1091"/>
      <c r="RNH916" s="1091"/>
      <c r="RNI916" s="1091"/>
      <c r="RNJ916" s="1091"/>
      <c r="RNK916" s="1091"/>
      <c r="RNL916" s="1091"/>
      <c r="RNM916" s="1091"/>
      <c r="RNN916" s="1091"/>
      <c r="RNO916" s="1091"/>
      <c r="RNP916" s="1091"/>
      <c r="RNQ916" s="1091"/>
      <c r="RNR916" s="1091"/>
      <c r="RNS916" s="1091"/>
      <c r="RNT916" s="1091"/>
      <c r="RNU916" s="1091"/>
      <c r="RNV916" s="1091"/>
      <c r="RNW916" s="1091"/>
      <c r="RNX916" s="1091"/>
      <c r="RNY916" s="1091"/>
      <c r="RNZ916" s="1091"/>
      <c r="ROA916" s="1091"/>
      <c r="ROB916" s="1091"/>
      <c r="ROC916" s="1091"/>
      <c r="ROD916" s="1091"/>
      <c r="ROE916" s="1091"/>
      <c r="ROF916" s="1091"/>
      <c r="ROG916" s="1091"/>
      <c r="ROH916" s="1091"/>
      <c r="ROI916" s="1091"/>
      <c r="ROJ916" s="1091"/>
      <c r="ROK916" s="1091"/>
      <c r="ROL916" s="1091"/>
      <c r="ROM916" s="1091"/>
      <c r="RON916" s="1091"/>
      <c r="ROO916" s="1091"/>
      <c r="ROP916" s="1091"/>
      <c r="ROQ916" s="1091"/>
      <c r="ROR916" s="1091"/>
      <c r="ROS916" s="1091"/>
      <c r="ROT916" s="1091"/>
      <c r="ROU916" s="1091"/>
      <c r="ROV916" s="1091"/>
      <c r="ROW916" s="1091"/>
      <c r="ROX916" s="1091"/>
      <c r="ROY916" s="1091"/>
      <c r="ROZ916" s="1091"/>
      <c r="RPA916" s="1091"/>
      <c r="RPB916" s="1091"/>
      <c r="RPC916" s="1091"/>
      <c r="RPD916" s="1091"/>
      <c r="RPE916" s="1091"/>
      <c r="RPF916" s="1091"/>
      <c r="RPG916" s="1091"/>
      <c r="RPH916" s="1091"/>
      <c r="RPI916" s="1091"/>
      <c r="RPJ916" s="1091"/>
      <c r="RPK916" s="1091"/>
      <c r="RPL916" s="1091"/>
      <c r="RPM916" s="1091"/>
      <c r="RPN916" s="1091"/>
      <c r="RPO916" s="1091"/>
      <c r="RPP916" s="1091"/>
      <c r="RPQ916" s="1091"/>
      <c r="RPR916" s="1091"/>
      <c r="RPS916" s="1091"/>
      <c r="RPT916" s="1091"/>
      <c r="RPU916" s="1091"/>
      <c r="RPV916" s="1091"/>
      <c r="RPW916" s="1091"/>
      <c r="RPX916" s="1091"/>
      <c r="RPY916" s="1091"/>
      <c r="RPZ916" s="1091"/>
      <c r="RQA916" s="1091"/>
      <c r="RQB916" s="1091"/>
      <c r="RQC916" s="1091"/>
      <c r="RQD916" s="1091"/>
      <c r="RQE916" s="1091"/>
      <c r="RQF916" s="1091"/>
      <c r="RQG916" s="1091"/>
      <c r="RQH916" s="1091"/>
      <c r="RQI916" s="1091"/>
      <c r="RQJ916" s="1091"/>
      <c r="RQK916" s="1091"/>
      <c r="RQL916" s="1091"/>
      <c r="RQM916" s="1091"/>
      <c r="RQN916" s="1091"/>
      <c r="RQO916" s="1091"/>
      <c r="RQP916" s="1091"/>
      <c r="RQQ916" s="1091"/>
      <c r="RQR916" s="1091"/>
      <c r="RQS916" s="1091"/>
      <c r="RQT916" s="1091"/>
      <c r="RQU916" s="1091"/>
      <c r="RQV916" s="1091"/>
      <c r="RQW916" s="1091"/>
      <c r="RQX916" s="1091"/>
      <c r="RQY916" s="1091"/>
      <c r="RQZ916" s="1091"/>
      <c r="RRA916" s="1091"/>
      <c r="RRB916" s="1091"/>
      <c r="RRC916" s="1091"/>
      <c r="RRD916" s="1091"/>
      <c r="RRE916" s="1091"/>
      <c r="RRF916" s="1091"/>
      <c r="RRG916" s="1091"/>
      <c r="RRH916" s="1091"/>
      <c r="RRI916" s="1091"/>
      <c r="RRJ916" s="1091"/>
      <c r="RRK916" s="1091"/>
      <c r="RRL916" s="1091"/>
      <c r="RRM916" s="1091"/>
      <c r="RRN916" s="1091"/>
      <c r="RRO916" s="1091"/>
      <c r="RRP916" s="1091"/>
      <c r="RRQ916" s="1091"/>
      <c r="RRR916" s="1091"/>
      <c r="RRS916" s="1091"/>
      <c r="RRT916" s="1091"/>
      <c r="RRU916" s="1091"/>
      <c r="RRV916" s="1091"/>
      <c r="RRW916" s="1091"/>
      <c r="RRX916" s="1091"/>
      <c r="RRY916" s="1091"/>
      <c r="RRZ916" s="1091"/>
      <c r="RSA916" s="1091"/>
      <c r="RSB916" s="1091"/>
      <c r="RSC916" s="1091"/>
      <c r="RSD916" s="1091"/>
      <c r="RSE916" s="1091"/>
      <c r="RSF916" s="1091"/>
      <c r="RSG916" s="1091"/>
      <c r="RSH916" s="1091"/>
      <c r="RSI916" s="1091"/>
      <c r="RSJ916" s="1091"/>
      <c r="RSK916" s="1091"/>
      <c r="RSL916" s="1091"/>
      <c r="RSM916" s="1091"/>
      <c r="RSN916" s="1091"/>
      <c r="RSO916" s="1091"/>
      <c r="RSP916" s="1091"/>
      <c r="RSQ916" s="1091"/>
      <c r="RSR916" s="1091"/>
      <c r="RSS916" s="1091"/>
      <c r="RST916" s="1091"/>
      <c r="RSU916" s="1091"/>
      <c r="RSV916" s="1091"/>
      <c r="RSW916" s="1091"/>
      <c r="RSX916" s="1091"/>
      <c r="RSY916" s="1091"/>
      <c r="RSZ916" s="1091"/>
      <c r="RTA916" s="1091"/>
      <c r="RTB916" s="1091"/>
      <c r="RTC916" s="1091"/>
      <c r="RTD916" s="1091"/>
      <c r="RTE916" s="1091"/>
      <c r="RTF916" s="1091"/>
      <c r="RTG916" s="1091"/>
      <c r="RTH916" s="1091"/>
      <c r="RTI916" s="1091"/>
      <c r="RTJ916" s="1091"/>
      <c r="RTK916" s="1091"/>
      <c r="RTL916" s="1091"/>
      <c r="RTM916" s="1091"/>
      <c r="RTN916" s="1091"/>
      <c r="RTO916" s="1091"/>
      <c r="RTP916" s="1091"/>
      <c r="RTQ916" s="1091"/>
      <c r="RTR916" s="1091"/>
      <c r="RTS916" s="1091"/>
      <c r="RTT916" s="1091"/>
      <c r="RTU916" s="1091"/>
      <c r="RTV916" s="1091"/>
      <c r="RTW916" s="1091"/>
      <c r="RTX916" s="1091"/>
      <c r="RTY916" s="1091"/>
      <c r="RTZ916" s="1091"/>
      <c r="RUA916" s="1091"/>
      <c r="RUB916" s="1091"/>
      <c r="RUC916" s="1091"/>
      <c r="RUD916" s="1091"/>
      <c r="RUE916" s="1091"/>
      <c r="RUF916" s="1091"/>
      <c r="RUG916" s="1091"/>
      <c r="RUH916" s="1091"/>
      <c r="RUI916" s="1091"/>
      <c r="RUJ916" s="1091"/>
      <c r="RUK916" s="1091"/>
      <c r="RUL916" s="1091"/>
      <c r="RUM916" s="1091"/>
      <c r="RUN916" s="1091"/>
      <c r="RUO916" s="1091"/>
      <c r="RUP916" s="1091"/>
      <c r="RUQ916" s="1091"/>
      <c r="RUR916" s="1091"/>
      <c r="RUS916" s="1091"/>
      <c r="RUT916" s="1091"/>
      <c r="RUU916" s="1091"/>
      <c r="RUV916" s="1091"/>
      <c r="RUW916" s="1091"/>
      <c r="RUX916" s="1091"/>
      <c r="RUY916" s="1091"/>
      <c r="RUZ916" s="1091"/>
      <c r="RVA916" s="1091"/>
      <c r="RVB916" s="1091"/>
      <c r="RVC916" s="1091"/>
      <c r="RVD916" s="1091"/>
      <c r="RVE916" s="1091"/>
      <c r="RVF916" s="1091"/>
      <c r="RVG916" s="1091"/>
      <c r="RVH916" s="1091"/>
      <c r="RVI916" s="1091"/>
      <c r="RVJ916" s="1091"/>
      <c r="RVK916" s="1091"/>
      <c r="RVL916" s="1091"/>
      <c r="RVM916" s="1091"/>
      <c r="RVN916" s="1091"/>
      <c r="RVO916" s="1091"/>
      <c r="RVP916" s="1091"/>
      <c r="RVQ916" s="1091"/>
      <c r="RVR916" s="1091"/>
      <c r="RVS916" s="1091"/>
      <c r="RVT916" s="1091"/>
      <c r="RVU916" s="1091"/>
      <c r="RVV916" s="1091"/>
      <c r="RVW916" s="1091"/>
      <c r="RVX916" s="1091"/>
      <c r="RVY916" s="1091"/>
      <c r="RVZ916" s="1091"/>
      <c r="RWA916" s="1091"/>
      <c r="RWB916" s="1091"/>
      <c r="RWC916" s="1091"/>
      <c r="RWD916" s="1091"/>
      <c r="RWE916" s="1091"/>
      <c r="RWF916" s="1091"/>
      <c r="RWG916" s="1091"/>
      <c r="RWH916" s="1091"/>
      <c r="RWI916" s="1091"/>
      <c r="RWJ916" s="1091"/>
      <c r="RWK916" s="1091"/>
      <c r="RWL916" s="1091"/>
      <c r="RWM916" s="1091"/>
      <c r="RWN916" s="1091"/>
      <c r="RWO916" s="1091"/>
      <c r="RWP916" s="1091"/>
      <c r="RWQ916" s="1091"/>
      <c r="RWR916" s="1091"/>
      <c r="RWS916" s="1091"/>
      <c r="RWT916" s="1091"/>
      <c r="RWU916" s="1091"/>
      <c r="RWV916" s="1091"/>
      <c r="RWW916" s="1091"/>
      <c r="RWX916" s="1091"/>
      <c r="RWY916" s="1091"/>
      <c r="RWZ916" s="1091"/>
      <c r="RXA916" s="1091"/>
      <c r="RXB916" s="1091"/>
      <c r="RXC916" s="1091"/>
      <c r="RXD916" s="1091"/>
      <c r="RXE916" s="1091"/>
      <c r="RXF916" s="1091"/>
      <c r="RXG916" s="1091"/>
      <c r="RXH916" s="1091"/>
      <c r="RXI916" s="1091"/>
      <c r="RXJ916" s="1091"/>
      <c r="RXK916" s="1091"/>
      <c r="RXL916" s="1091"/>
      <c r="RXM916" s="1091"/>
      <c r="RXN916" s="1091"/>
      <c r="RXO916" s="1091"/>
      <c r="RXP916" s="1091"/>
      <c r="RXQ916" s="1091"/>
      <c r="RXR916" s="1091"/>
      <c r="RXS916" s="1091"/>
      <c r="RXT916" s="1091"/>
      <c r="RXU916" s="1091"/>
      <c r="RXV916" s="1091"/>
      <c r="RXW916" s="1091"/>
      <c r="RXX916" s="1091"/>
      <c r="RXY916" s="1091"/>
      <c r="RXZ916" s="1091"/>
      <c r="RYA916" s="1091"/>
      <c r="RYB916" s="1091"/>
      <c r="RYC916" s="1091"/>
      <c r="RYD916" s="1091"/>
      <c r="RYE916" s="1091"/>
      <c r="RYF916" s="1091"/>
      <c r="RYG916" s="1091"/>
      <c r="RYH916" s="1091"/>
      <c r="RYI916" s="1091"/>
      <c r="RYJ916" s="1091"/>
      <c r="RYK916" s="1091"/>
      <c r="RYL916" s="1091"/>
      <c r="RYM916" s="1091"/>
      <c r="RYN916" s="1091"/>
      <c r="RYO916" s="1091"/>
      <c r="RYP916" s="1091"/>
      <c r="RYQ916" s="1091"/>
      <c r="RYR916" s="1091"/>
      <c r="RYS916" s="1091"/>
      <c r="RYT916" s="1091"/>
      <c r="RYU916" s="1091"/>
      <c r="RYV916" s="1091"/>
      <c r="RYW916" s="1091"/>
      <c r="RYX916" s="1091"/>
      <c r="RYY916" s="1091"/>
      <c r="RYZ916" s="1091"/>
      <c r="RZA916" s="1091"/>
      <c r="RZB916" s="1091"/>
      <c r="RZC916" s="1091"/>
      <c r="RZD916" s="1091"/>
      <c r="RZE916" s="1091"/>
      <c r="RZF916" s="1091"/>
      <c r="RZG916" s="1091"/>
      <c r="RZH916" s="1091"/>
      <c r="RZI916" s="1091"/>
      <c r="RZJ916" s="1091"/>
      <c r="RZK916" s="1091"/>
      <c r="RZL916" s="1091"/>
      <c r="RZM916" s="1091"/>
      <c r="RZN916" s="1091"/>
      <c r="RZO916" s="1091"/>
      <c r="RZP916" s="1091"/>
      <c r="RZQ916" s="1091"/>
      <c r="RZR916" s="1091"/>
      <c r="RZS916" s="1091"/>
      <c r="RZT916" s="1091"/>
      <c r="RZU916" s="1091"/>
      <c r="RZV916" s="1091"/>
      <c r="RZW916" s="1091"/>
      <c r="RZX916" s="1091"/>
      <c r="RZY916" s="1091"/>
      <c r="RZZ916" s="1091"/>
      <c r="SAA916" s="1091"/>
      <c r="SAB916" s="1091"/>
      <c r="SAC916" s="1091"/>
      <c r="SAD916" s="1091"/>
      <c r="SAE916" s="1091"/>
      <c r="SAF916" s="1091"/>
      <c r="SAG916" s="1091"/>
      <c r="SAH916" s="1091"/>
      <c r="SAI916" s="1091"/>
      <c r="SAJ916" s="1091"/>
      <c r="SAK916" s="1091"/>
      <c r="SAL916" s="1091"/>
      <c r="SAM916" s="1091"/>
      <c r="SAN916" s="1091"/>
      <c r="SAO916" s="1091"/>
      <c r="SAP916" s="1091"/>
      <c r="SAQ916" s="1091"/>
      <c r="SAR916" s="1091"/>
      <c r="SAS916" s="1091"/>
      <c r="SAT916" s="1091"/>
      <c r="SAU916" s="1091"/>
      <c r="SAV916" s="1091"/>
      <c r="SAW916" s="1091"/>
      <c r="SAX916" s="1091"/>
      <c r="SAY916" s="1091"/>
      <c r="SAZ916" s="1091"/>
      <c r="SBA916" s="1091"/>
      <c r="SBB916" s="1091"/>
      <c r="SBC916" s="1091"/>
      <c r="SBD916" s="1091"/>
      <c r="SBE916" s="1091"/>
      <c r="SBF916" s="1091"/>
      <c r="SBG916" s="1091"/>
      <c r="SBH916" s="1091"/>
      <c r="SBI916" s="1091"/>
      <c r="SBJ916" s="1091"/>
      <c r="SBK916" s="1091"/>
      <c r="SBL916" s="1091"/>
      <c r="SBM916" s="1091"/>
      <c r="SBN916" s="1091"/>
      <c r="SBO916" s="1091"/>
      <c r="SBP916" s="1091"/>
      <c r="SBQ916" s="1091"/>
      <c r="SBR916" s="1091"/>
      <c r="SBS916" s="1091"/>
      <c r="SBT916" s="1091"/>
      <c r="SBU916" s="1091"/>
      <c r="SBV916" s="1091"/>
      <c r="SBW916" s="1091"/>
      <c r="SBX916" s="1091"/>
      <c r="SBY916" s="1091"/>
      <c r="SBZ916" s="1091"/>
      <c r="SCA916" s="1091"/>
      <c r="SCB916" s="1091"/>
      <c r="SCC916" s="1091"/>
      <c r="SCD916" s="1091"/>
      <c r="SCE916" s="1091"/>
      <c r="SCF916" s="1091"/>
      <c r="SCG916" s="1091"/>
      <c r="SCH916" s="1091"/>
      <c r="SCI916" s="1091"/>
      <c r="SCJ916" s="1091"/>
      <c r="SCK916" s="1091"/>
      <c r="SCL916" s="1091"/>
      <c r="SCM916" s="1091"/>
      <c r="SCN916" s="1091"/>
      <c r="SCO916" s="1091"/>
      <c r="SCP916" s="1091"/>
      <c r="SCQ916" s="1091"/>
      <c r="SCR916" s="1091"/>
      <c r="SCS916" s="1091"/>
      <c r="SCT916" s="1091"/>
      <c r="SCU916" s="1091"/>
      <c r="SCV916" s="1091"/>
      <c r="SCW916" s="1091"/>
      <c r="SCX916" s="1091"/>
      <c r="SCY916" s="1091"/>
      <c r="SCZ916" s="1091"/>
      <c r="SDA916" s="1091"/>
      <c r="SDB916" s="1091"/>
      <c r="SDC916" s="1091"/>
      <c r="SDD916" s="1091"/>
      <c r="SDE916" s="1091"/>
      <c r="SDF916" s="1091"/>
      <c r="SDG916" s="1091"/>
      <c r="SDH916" s="1091"/>
      <c r="SDI916" s="1091"/>
      <c r="SDJ916" s="1091"/>
      <c r="SDK916" s="1091"/>
      <c r="SDL916" s="1091"/>
      <c r="SDM916" s="1091"/>
      <c r="SDN916" s="1091"/>
      <c r="SDO916" s="1091"/>
      <c r="SDP916" s="1091"/>
      <c r="SDQ916" s="1091"/>
      <c r="SDR916" s="1091"/>
      <c r="SDS916" s="1091"/>
      <c r="SDT916" s="1091"/>
      <c r="SDU916" s="1091"/>
      <c r="SDV916" s="1091"/>
      <c r="SDW916" s="1091"/>
      <c r="SDX916" s="1091"/>
      <c r="SDY916" s="1091"/>
      <c r="SDZ916" s="1091"/>
      <c r="SEA916" s="1091"/>
      <c r="SEB916" s="1091"/>
      <c r="SEC916" s="1091"/>
      <c r="SED916" s="1091"/>
      <c r="SEE916" s="1091"/>
      <c r="SEF916" s="1091"/>
      <c r="SEG916" s="1091"/>
      <c r="SEH916" s="1091"/>
      <c r="SEI916" s="1091"/>
      <c r="SEJ916" s="1091"/>
      <c r="SEK916" s="1091"/>
      <c r="SEL916" s="1091"/>
      <c r="SEM916" s="1091"/>
      <c r="SEN916" s="1091"/>
      <c r="SEO916" s="1091"/>
      <c r="SEP916" s="1091"/>
      <c r="SEQ916" s="1091"/>
      <c r="SER916" s="1091"/>
      <c r="SES916" s="1091"/>
      <c r="SET916" s="1091"/>
      <c r="SEU916" s="1091"/>
      <c r="SEV916" s="1091"/>
      <c r="SEW916" s="1091"/>
      <c r="SEX916" s="1091"/>
      <c r="SEY916" s="1091"/>
      <c r="SEZ916" s="1091"/>
      <c r="SFA916" s="1091"/>
      <c r="SFB916" s="1091"/>
      <c r="SFC916" s="1091"/>
      <c r="SFD916" s="1091"/>
      <c r="SFE916" s="1091"/>
      <c r="SFF916" s="1091"/>
      <c r="SFG916" s="1091"/>
      <c r="SFH916" s="1091"/>
      <c r="SFI916" s="1091"/>
      <c r="SFJ916" s="1091"/>
      <c r="SFK916" s="1091"/>
      <c r="SFL916" s="1091"/>
      <c r="SFM916" s="1091"/>
      <c r="SFN916" s="1091"/>
      <c r="SFO916" s="1091"/>
      <c r="SFP916" s="1091"/>
      <c r="SFQ916" s="1091"/>
      <c r="SFR916" s="1091"/>
      <c r="SFS916" s="1091"/>
      <c r="SFT916" s="1091"/>
      <c r="SFU916" s="1091"/>
      <c r="SFV916" s="1091"/>
      <c r="SFW916" s="1091"/>
      <c r="SFX916" s="1091"/>
      <c r="SFY916" s="1091"/>
      <c r="SFZ916" s="1091"/>
      <c r="SGA916" s="1091"/>
      <c r="SGB916" s="1091"/>
      <c r="SGC916" s="1091"/>
      <c r="SGD916" s="1091"/>
      <c r="SGE916" s="1091"/>
      <c r="SGF916" s="1091"/>
      <c r="SGG916" s="1091"/>
      <c r="SGH916" s="1091"/>
      <c r="SGI916" s="1091"/>
      <c r="SGJ916" s="1091"/>
      <c r="SGK916" s="1091"/>
      <c r="SGL916" s="1091"/>
      <c r="SGM916" s="1091"/>
      <c r="SGN916" s="1091"/>
      <c r="SGO916" s="1091"/>
      <c r="SGP916" s="1091"/>
      <c r="SGQ916" s="1091"/>
      <c r="SGR916" s="1091"/>
      <c r="SGS916" s="1091"/>
      <c r="SGT916" s="1091"/>
      <c r="SGU916" s="1091"/>
      <c r="SGV916" s="1091"/>
      <c r="SGW916" s="1091"/>
      <c r="SGX916" s="1091"/>
      <c r="SGY916" s="1091"/>
      <c r="SGZ916" s="1091"/>
      <c r="SHA916" s="1091"/>
      <c r="SHB916" s="1091"/>
      <c r="SHC916" s="1091"/>
      <c r="SHD916" s="1091"/>
      <c r="SHE916" s="1091"/>
      <c r="SHF916" s="1091"/>
      <c r="SHG916" s="1091"/>
      <c r="SHH916" s="1091"/>
      <c r="SHI916" s="1091"/>
      <c r="SHJ916" s="1091"/>
      <c r="SHK916" s="1091"/>
      <c r="SHL916" s="1091"/>
      <c r="SHM916" s="1091"/>
      <c r="SHN916" s="1091"/>
      <c r="SHO916" s="1091"/>
      <c r="SHP916" s="1091"/>
      <c r="SHQ916" s="1091"/>
      <c r="SHR916" s="1091"/>
      <c r="SHS916" s="1091"/>
      <c r="SHT916" s="1091"/>
      <c r="SHU916" s="1091"/>
      <c r="SHV916" s="1091"/>
      <c r="SHW916" s="1091"/>
      <c r="SHX916" s="1091"/>
      <c r="SHY916" s="1091"/>
      <c r="SHZ916" s="1091"/>
      <c r="SIA916" s="1091"/>
      <c r="SIB916" s="1091"/>
      <c r="SIC916" s="1091"/>
      <c r="SID916" s="1091"/>
      <c r="SIE916" s="1091"/>
      <c r="SIF916" s="1091"/>
      <c r="SIG916" s="1091"/>
      <c r="SIH916" s="1091"/>
      <c r="SII916" s="1091"/>
      <c r="SIJ916" s="1091"/>
      <c r="SIK916" s="1091"/>
      <c r="SIL916" s="1091"/>
      <c r="SIM916" s="1091"/>
      <c r="SIN916" s="1091"/>
      <c r="SIO916" s="1091"/>
      <c r="SIP916" s="1091"/>
      <c r="SIQ916" s="1091"/>
      <c r="SIR916" s="1091"/>
      <c r="SIS916" s="1091"/>
      <c r="SIT916" s="1091"/>
      <c r="SIU916" s="1091"/>
      <c r="SIV916" s="1091"/>
      <c r="SIW916" s="1091"/>
      <c r="SIX916" s="1091"/>
      <c r="SIY916" s="1091"/>
      <c r="SIZ916" s="1091"/>
      <c r="SJA916" s="1091"/>
      <c r="SJB916" s="1091"/>
      <c r="SJC916" s="1091"/>
      <c r="SJD916" s="1091"/>
      <c r="SJE916" s="1091"/>
      <c r="SJF916" s="1091"/>
      <c r="SJG916" s="1091"/>
      <c r="SJH916" s="1091"/>
      <c r="SJI916" s="1091"/>
      <c r="SJJ916" s="1091"/>
      <c r="SJK916" s="1091"/>
      <c r="SJL916" s="1091"/>
      <c r="SJM916" s="1091"/>
      <c r="SJN916" s="1091"/>
      <c r="SJO916" s="1091"/>
      <c r="SJP916" s="1091"/>
      <c r="SJQ916" s="1091"/>
      <c r="SJR916" s="1091"/>
      <c r="SJS916" s="1091"/>
      <c r="SJT916" s="1091"/>
      <c r="SJU916" s="1091"/>
      <c r="SJV916" s="1091"/>
      <c r="SJW916" s="1091"/>
      <c r="SJX916" s="1091"/>
      <c r="SJY916" s="1091"/>
      <c r="SJZ916" s="1091"/>
      <c r="SKA916" s="1091"/>
      <c r="SKB916" s="1091"/>
      <c r="SKC916" s="1091"/>
      <c r="SKD916" s="1091"/>
      <c r="SKE916" s="1091"/>
      <c r="SKF916" s="1091"/>
      <c r="SKG916" s="1091"/>
      <c r="SKH916" s="1091"/>
      <c r="SKI916" s="1091"/>
      <c r="SKJ916" s="1091"/>
      <c r="SKK916" s="1091"/>
      <c r="SKL916" s="1091"/>
      <c r="SKM916" s="1091"/>
      <c r="SKN916" s="1091"/>
      <c r="SKO916" s="1091"/>
      <c r="SKP916" s="1091"/>
      <c r="SKQ916" s="1091"/>
      <c r="SKR916" s="1091"/>
      <c r="SKS916" s="1091"/>
      <c r="SKT916" s="1091"/>
      <c r="SKU916" s="1091"/>
      <c r="SKV916" s="1091"/>
      <c r="SKW916" s="1091"/>
      <c r="SKX916" s="1091"/>
      <c r="SKY916" s="1091"/>
      <c r="SKZ916" s="1091"/>
      <c r="SLA916" s="1091"/>
      <c r="SLB916" s="1091"/>
      <c r="SLC916" s="1091"/>
      <c r="SLD916" s="1091"/>
      <c r="SLE916" s="1091"/>
      <c r="SLF916" s="1091"/>
      <c r="SLG916" s="1091"/>
      <c r="SLH916" s="1091"/>
      <c r="SLI916" s="1091"/>
      <c r="SLJ916" s="1091"/>
      <c r="SLK916" s="1091"/>
      <c r="SLL916" s="1091"/>
      <c r="SLM916" s="1091"/>
      <c r="SLN916" s="1091"/>
      <c r="SLO916" s="1091"/>
      <c r="SLP916" s="1091"/>
      <c r="SLQ916" s="1091"/>
      <c r="SLR916" s="1091"/>
      <c r="SLS916" s="1091"/>
      <c r="SLT916" s="1091"/>
      <c r="SLU916" s="1091"/>
      <c r="SLV916" s="1091"/>
      <c r="SLW916" s="1091"/>
      <c r="SLX916" s="1091"/>
      <c r="SLY916" s="1091"/>
      <c r="SLZ916" s="1091"/>
      <c r="SMA916" s="1091"/>
      <c r="SMB916" s="1091"/>
      <c r="SMC916" s="1091"/>
      <c r="SMD916" s="1091"/>
      <c r="SME916" s="1091"/>
      <c r="SMF916" s="1091"/>
      <c r="SMG916" s="1091"/>
      <c r="SMH916" s="1091"/>
      <c r="SMI916" s="1091"/>
      <c r="SMJ916" s="1091"/>
      <c r="SMK916" s="1091"/>
      <c r="SML916" s="1091"/>
      <c r="SMM916" s="1091"/>
      <c r="SMN916" s="1091"/>
      <c r="SMO916" s="1091"/>
      <c r="SMP916" s="1091"/>
      <c r="SMQ916" s="1091"/>
      <c r="SMR916" s="1091"/>
      <c r="SMS916" s="1091"/>
      <c r="SMT916" s="1091"/>
      <c r="SMU916" s="1091"/>
      <c r="SMV916" s="1091"/>
      <c r="SMW916" s="1091"/>
      <c r="SMX916" s="1091"/>
      <c r="SMY916" s="1091"/>
      <c r="SMZ916" s="1091"/>
      <c r="SNA916" s="1091"/>
      <c r="SNB916" s="1091"/>
      <c r="SNC916" s="1091"/>
      <c r="SND916" s="1091"/>
      <c r="SNE916" s="1091"/>
      <c r="SNF916" s="1091"/>
      <c r="SNG916" s="1091"/>
      <c r="SNH916" s="1091"/>
      <c r="SNI916" s="1091"/>
      <c r="SNJ916" s="1091"/>
      <c r="SNK916" s="1091"/>
      <c r="SNL916" s="1091"/>
      <c r="SNM916" s="1091"/>
      <c r="SNN916" s="1091"/>
      <c r="SNO916" s="1091"/>
      <c r="SNP916" s="1091"/>
      <c r="SNQ916" s="1091"/>
      <c r="SNR916" s="1091"/>
      <c r="SNS916" s="1091"/>
      <c r="SNT916" s="1091"/>
      <c r="SNU916" s="1091"/>
      <c r="SNV916" s="1091"/>
      <c r="SNW916" s="1091"/>
      <c r="SNX916" s="1091"/>
      <c r="SNY916" s="1091"/>
      <c r="SNZ916" s="1091"/>
      <c r="SOA916" s="1091"/>
      <c r="SOB916" s="1091"/>
      <c r="SOC916" s="1091"/>
      <c r="SOD916" s="1091"/>
      <c r="SOE916" s="1091"/>
      <c r="SOF916" s="1091"/>
      <c r="SOG916" s="1091"/>
      <c r="SOH916" s="1091"/>
      <c r="SOI916" s="1091"/>
      <c r="SOJ916" s="1091"/>
      <c r="SOK916" s="1091"/>
      <c r="SOL916" s="1091"/>
      <c r="SOM916" s="1091"/>
      <c r="SON916" s="1091"/>
      <c r="SOO916" s="1091"/>
      <c r="SOP916" s="1091"/>
      <c r="SOQ916" s="1091"/>
      <c r="SOR916" s="1091"/>
      <c r="SOS916" s="1091"/>
      <c r="SOT916" s="1091"/>
      <c r="SOU916" s="1091"/>
      <c r="SOV916" s="1091"/>
      <c r="SOW916" s="1091"/>
      <c r="SOX916" s="1091"/>
      <c r="SOY916" s="1091"/>
      <c r="SOZ916" s="1091"/>
      <c r="SPA916" s="1091"/>
      <c r="SPB916" s="1091"/>
      <c r="SPC916" s="1091"/>
      <c r="SPD916" s="1091"/>
      <c r="SPE916" s="1091"/>
      <c r="SPF916" s="1091"/>
      <c r="SPG916" s="1091"/>
      <c r="SPH916" s="1091"/>
      <c r="SPI916" s="1091"/>
      <c r="SPJ916" s="1091"/>
      <c r="SPK916" s="1091"/>
      <c r="SPL916" s="1091"/>
      <c r="SPM916" s="1091"/>
      <c r="SPN916" s="1091"/>
      <c r="SPO916" s="1091"/>
      <c r="SPP916" s="1091"/>
      <c r="SPQ916" s="1091"/>
      <c r="SPR916" s="1091"/>
      <c r="SPS916" s="1091"/>
      <c r="SPT916" s="1091"/>
      <c r="SPU916" s="1091"/>
      <c r="SPV916" s="1091"/>
      <c r="SPW916" s="1091"/>
      <c r="SPX916" s="1091"/>
      <c r="SPY916" s="1091"/>
      <c r="SPZ916" s="1091"/>
      <c r="SQA916" s="1091"/>
      <c r="SQB916" s="1091"/>
      <c r="SQC916" s="1091"/>
      <c r="SQD916" s="1091"/>
      <c r="SQE916" s="1091"/>
      <c r="SQF916" s="1091"/>
      <c r="SQG916" s="1091"/>
      <c r="SQH916" s="1091"/>
      <c r="SQI916" s="1091"/>
      <c r="SQJ916" s="1091"/>
      <c r="SQK916" s="1091"/>
      <c r="SQL916" s="1091"/>
      <c r="SQM916" s="1091"/>
      <c r="SQN916" s="1091"/>
      <c r="SQO916" s="1091"/>
      <c r="SQP916" s="1091"/>
      <c r="SQQ916" s="1091"/>
      <c r="SQR916" s="1091"/>
      <c r="SQS916" s="1091"/>
      <c r="SQT916" s="1091"/>
      <c r="SQU916" s="1091"/>
      <c r="SQV916" s="1091"/>
      <c r="SQW916" s="1091"/>
      <c r="SQX916" s="1091"/>
      <c r="SQY916" s="1091"/>
      <c r="SQZ916" s="1091"/>
      <c r="SRA916" s="1091"/>
      <c r="SRB916" s="1091"/>
      <c r="SRC916" s="1091"/>
      <c r="SRD916" s="1091"/>
      <c r="SRE916" s="1091"/>
      <c r="SRF916" s="1091"/>
      <c r="SRG916" s="1091"/>
      <c r="SRH916" s="1091"/>
      <c r="SRI916" s="1091"/>
      <c r="SRJ916" s="1091"/>
      <c r="SRK916" s="1091"/>
      <c r="SRL916" s="1091"/>
      <c r="SRM916" s="1091"/>
      <c r="SRN916" s="1091"/>
      <c r="SRO916" s="1091"/>
      <c r="SRP916" s="1091"/>
      <c r="SRQ916" s="1091"/>
      <c r="SRR916" s="1091"/>
      <c r="SRS916" s="1091"/>
      <c r="SRT916" s="1091"/>
      <c r="SRU916" s="1091"/>
      <c r="SRV916" s="1091"/>
      <c r="SRW916" s="1091"/>
      <c r="SRX916" s="1091"/>
      <c r="SRY916" s="1091"/>
      <c r="SRZ916" s="1091"/>
      <c r="SSA916" s="1091"/>
      <c r="SSB916" s="1091"/>
      <c r="SSC916" s="1091"/>
      <c r="SSD916" s="1091"/>
      <c r="SSE916" s="1091"/>
      <c r="SSF916" s="1091"/>
      <c r="SSG916" s="1091"/>
      <c r="SSH916" s="1091"/>
      <c r="SSI916" s="1091"/>
      <c r="SSJ916" s="1091"/>
      <c r="SSK916" s="1091"/>
      <c r="SSL916" s="1091"/>
      <c r="SSM916" s="1091"/>
      <c r="SSN916" s="1091"/>
      <c r="SSO916" s="1091"/>
      <c r="SSP916" s="1091"/>
      <c r="SSQ916" s="1091"/>
      <c r="SSR916" s="1091"/>
      <c r="SSS916" s="1091"/>
      <c r="SST916" s="1091"/>
      <c r="SSU916" s="1091"/>
      <c r="SSV916" s="1091"/>
      <c r="SSW916" s="1091"/>
      <c r="SSX916" s="1091"/>
      <c r="SSY916" s="1091"/>
      <c r="SSZ916" s="1091"/>
      <c r="STA916" s="1091"/>
      <c r="STB916" s="1091"/>
      <c r="STC916" s="1091"/>
      <c r="STD916" s="1091"/>
      <c r="STE916" s="1091"/>
      <c r="STF916" s="1091"/>
      <c r="STG916" s="1091"/>
      <c r="STH916" s="1091"/>
      <c r="STI916" s="1091"/>
      <c r="STJ916" s="1091"/>
      <c r="STK916" s="1091"/>
      <c r="STL916" s="1091"/>
      <c r="STM916" s="1091"/>
      <c r="STN916" s="1091"/>
      <c r="STO916" s="1091"/>
      <c r="STP916" s="1091"/>
      <c r="STQ916" s="1091"/>
      <c r="STR916" s="1091"/>
      <c r="STS916" s="1091"/>
      <c r="STT916" s="1091"/>
      <c r="STU916" s="1091"/>
      <c r="STV916" s="1091"/>
      <c r="STW916" s="1091"/>
      <c r="STX916" s="1091"/>
      <c r="STY916" s="1091"/>
      <c r="STZ916" s="1091"/>
      <c r="SUA916" s="1091"/>
      <c r="SUB916" s="1091"/>
      <c r="SUC916" s="1091"/>
      <c r="SUD916" s="1091"/>
      <c r="SUE916" s="1091"/>
      <c r="SUF916" s="1091"/>
      <c r="SUG916" s="1091"/>
      <c r="SUH916" s="1091"/>
      <c r="SUI916" s="1091"/>
      <c r="SUJ916" s="1091"/>
      <c r="SUK916" s="1091"/>
      <c r="SUL916" s="1091"/>
      <c r="SUM916" s="1091"/>
      <c r="SUN916" s="1091"/>
      <c r="SUO916" s="1091"/>
      <c r="SUP916" s="1091"/>
      <c r="SUQ916" s="1091"/>
      <c r="SUR916" s="1091"/>
      <c r="SUS916" s="1091"/>
      <c r="SUT916" s="1091"/>
      <c r="SUU916" s="1091"/>
      <c r="SUV916" s="1091"/>
      <c r="SUW916" s="1091"/>
      <c r="SUX916" s="1091"/>
      <c r="SUY916" s="1091"/>
      <c r="SUZ916" s="1091"/>
      <c r="SVA916" s="1091"/>
      <c r="SVB916" s="1091"/>
      <c r="SVC916" s="1091"/>
      <c r="SVD916" s="1091"/>
      <c r="SVE916" s="1091"/>
      <c r="SVF916" s="1091"/>
      <c r="SVG916" s="1091"/>
      <c r="SVH916" s="1091"/>
      <c r="SVI916" s="1091"/>
      <c r="SVJ916" s="1091"/>
      <c r="SVK916" s="1091"/>
      <c r="SVL916" s="1091"/>
      <c r="SVM916" s="1091"/>
      <c r="SVN916" s="1091"/>
      <c r="SVO916" s="1091"/>
      <c r="SVP916" s="1091"/>
      <c r="SVQ916" s="1091"/>
      <c r="SVR916" s="1091"/>
      <c r="SVS916" s="1091"/>
      <c r="SVT916" s="1091"/>
      <c r="SVU916" s="1091"/>
      <c r="SVV916" s="1091"/>
      <c r="SVW916" s="1091"/>
      <c r="SVX916" s="1091"/>
      <c r="SVY916" s="1091"/>
      <c r="SVZ916" s="1091"/>
      <c r="SWA916" s="1091"/>
      <c r="SWB916" s="1091"/>
      <c r="SWC916" s="1091"/>
      <c r="SWD916" s="1091"/>
      <c r="SWE916" s="1091"/>
      <c r="SWF916" s="1091"/>
      <c r="SWG916" s="1091"/>
      <c r="SWH916" s="1091"/>
      <c r="SWI916" s="1091"/>
      <c r="SWJ916" s="1091"/>
      <c r="SWK916" s="1091"/>
      <c r="SWL916" s="1091"/>
      <c r="SWM916" s="1091"/>
      <c r="SWN916" s="1091"/>
      <c r="SWO916" s="1091"/>
      <c r="SWP916" s="1091"/>
      <c r="SWQ916" s="1091"/>
      <c r="SWR916" s="1091"/>
      <c r="SWS916" s="1091"/>
      <c r="SWT916" s="1091"/>
      <c r="SWU916" s="1091"/>
      <c r="SWV916" s="1091"/>
      <c r="SWW916" s="1091"/>
      <c r="SWX916" s="1091"/>
      <c r="SWY916" s="1091"/>
      <c r="SWZ916" s="1091"/>
      <c r="SXA916" s="1091"/>
      <c r="SXB916" s="1091"/>
      <c r="SXC916" s="1091"/>
      <c r="SXD916" s="1091"/>
      <c r="SXE916" s="1091"/>
      <c r="SXF916" s="1091"/>
      <c r="SXG916" s="1091"/>
      <c r="SXH916" s="1091"/>
      <c r="SXI916" s="1091"/>
      <c r="SXJ916" s="1091"/>
      <c r="SXK916" s="1091"/>
      <c r="SXL916" s="1091"/>
      <c r="SXM916" s="1091"/>
      <c r="SXN916" s="1091"/>
      <c r="SXO916" s="1091"/>
      <c r="SXP916" s="1091"/>
      <c r="SXQ916" s="1091"/>
      <c r="SXR916" s="1091"/>
      <c r="SXS916" s="1091"/>
      <c r="SXT916" s="1091"/>
      <c r="SXU916" s="1091"/>
      <c r="SXV916" s="1091"/>
      <c r="SXW916" s="1091"/>
      <c r="SXX916" s="1091"/>
      <c r="SXY916" s="1091"/>
      <c r="SXZ916" s="1091"/>
      <c r="SYA916" s="1091"/>
      <c r="SYB916" s="1091"/>
      <c r="SYC916" s="1091"/>
      <c r="SYD916" s="1091"/>
      <c r="SYE916" s="1091"/>
      <c r="SYF916" s="1091"/>
      <c r="SYG916" s="1091"/>
      <c r="SYH916" s="1091"/>
      <c r="SYI916" s="1091"/>
      <c r="SYJ916" s="1091"/>
      <c r="SYK916" s="1091"/>
      <c r="SYL916" s="1091"/>
      <c r="SYM916" s="1091"/>
      <c r="SYN916" s="1091"/>
      <c r="SYO916" s="1091"/>
      <c r="SYP916" s="1091"/>
      <c r="SYQ916" s="1091"/>
      <c r="SYR916" s="1091"/>
      <c r="SYS916" s="1091"/>
      <c r="SYT916" s="1091"/>
      <c r="SYU916" s="1091"/>
      <c r="SYV916" s="1091"/>
      <c r="SYW916" s="1091"/>
      <c r="SYX916" s="1091"/>
      <c r="SYY916" s="1091"/>
      <c r="SYZ916" s="1091"/>
      <c r="SZA916" s="1091"/>
      <c r="SZB916" s="1091"/>
      <c r="SZC916" s="1091"/>
      <c r="SZD916" s="1091"/>
      <c r="SZE916" s="1091"/>
      <c r="SZF916" s="1091"/>
      <c r="SZG916" s="1091"/>
      <c r="SZH916" s="1091"/>
      <c r="SZI916" s="1091"/>
      <c r="SZJ916" s="1091"/>
      <c r="SZK916" s="1091"/>
      <c r="SZL916" s="1091"/>
      <c r="SZM916" s="1091"/>
      <c r="SZN916" s="1091"/>
      <c r="SZO916" s="1091"/>
      <c r="SZP916" s="1091"/>
      <c r="SZQ916" s="1091"/>
      <c r="SZR916" s="1091"/>
      <c r="SZS916" s="1091"/>
      <c r="SZT916" s="1091"/>
      <c r="SZU916" s="1091"/>
      <c r="SZV916" s="1091"/>
      <c r="SZW916" s="1091"/>
      <c r="SZX916" s="1091"/>
      <c r="SZY916" s="1091"/>
      <c r="SZZ916" s="1091"/>
      <c r="TAA916" s="1091"/>
      <c r="TAB916" s="1091"/>
      <c r="TAC916" s="1091"/>
      <c r="TAD916" s="1091"/>
      <c r="TAE916" s="1091"/>
      <c r="TAF916" s="1091"/>
      <c r="TAG916" s="1091"/>
      <c r="TAH916" s="1091"/>
      <c r="TAI916" s="1091"/>
      <c r="TAJ916" s="1091"/>
      <c r="TAK916" s="1091"/>
      <c r="TAL916" s="1091"/>
      <c r="TAM916" s="1091"/>
      <c r="TAN916" s="1091"/>
      <c r="TAO916" s="1091"/>
      <c r="TAP916" s="1091"/>
      <c r="TAQ916" s="1091"/>
      <c r="TAR916" s="1091"/>
      <c r="TAS916" s="1091"/>
      <c r="TAT916" s="1091"/>
      <c r="TAU916" s="1091"/>
      <c r="TAV916" s="1091"/>
      <c r="TAW916" s="1091"/>
      <c r="TAX916" s="1091"/>
      <c r="TAY916" s="1091"/>
      <c r="TAZ916" s="1091"/>
      <c r="TBA916" s="1091"/>
      <c r="TBB916" s="1091"/>
      <c r="TBC916" s="1091"/>
      <c r="TBD916" s="1091"/>
      <c r="TBE916" s="1091"/>
      <c r="TBF916" s="1091"/>
      <c r="TBG916" s="1091"/>
      <c r="TBH916" s="1091"/>
      <c r="TBI916" s="1091"/>
      <c r="TBJ916" s="1091"/>
      <c r="TBK916" s="1091"/>
      <c r="TBL916" s="1091"/>
      <c r="TBM916" s="1091"/>
      <c r="TBN916" s="1091"/>
      <c r="TBO916" s="1091"/>
      <c r="TBP916" s="1091"/>
      <c r="TBQ916" s="1091"/>
      <c r="TBR916" s="1091"/>
      <c r="TBS916" s="1091"/>
      <c r="TBT916" s="1091"/>
      <c r="TBU916" s="1091"/>
      <c r="TBV916" s="1091"/>
      <c r="TBW916" s="1091"/>
      <c r="TBX916" s="1091"/>
      <c r="TBY916" s="1091"/>
      <c r="TBZ916" s="1091"/>
      <c r="TCA916" s="1091"/>
      <c r="TCB916" s="1091"/>
      <c r="TCC916" s="1091"/>
      <c r="TCD916" s="1091"/>
      <c r="TCE916" s="1091"/>
      <c r="TCF916" s="1091"/>
      <c r="TCG916" s="1091"/>
      <c r="TCH916" s="1091"/>
      <c r="TCI916" s="1091"/>
      <c r="TCJ916" s="1091"/>
      <c r="TCK916" s="1091"/>
      <c r="TCL916" s="1091"/>
      <c r="TCM916" s="1091"/>
      <c r="TCN916" s="1091"/>
      <c r="TCO916" s="1091"/>
      <c r="TCP916" s="1091"/>
      <c r="TCQ916" s="1091"/>
      <c r="TCR916" s="1091"/>
      <c r="TCS916" s="1091"/>
      <c r="TCT916" s="1091"/>
      <c r="TCU916" s="1091"/>
      <c r="TCV916" s="1091"/>
      <c r="TCW916" s="1091"/>
      <c r="TCX916" s="1091"/>
      <c r="TCY916" s="1091"/>
      <c r="TCZ916" s="1091"/>
      <c r="TDA916" s="1091"/>
      <c r="TDB916" s="1091"/>
      <c r="TDC916" s="1091"/>
      <c r="TDD916" s="1091"/>
      <c r="TDE916" s="1091"/>
      <c r="TDF916" s="1091"/>
      <c r="TDG916" s="1091"/>
      <c r="TDH916" s="1091"/>
      <c r="TDI916" s="1091"/>
      <c r="TDJ916" s="1091"/>
      <c r="TDK916" s="1091"/>
      <c r="TDL916" s="1091"/>
      <c r="TDM916" s="1091"/>
      <c r="TDN916" s="1091"/>
      <c r="TDO916" s="1091"/>
      <c r="TDP916" s="1091"/>
      <c r="TDQ916" s="1091"/>
      <c r="TDR916" s="1091"/>
      <c r="TDS916" s="1091"/>
      <c r="TDT916" s="1091"/>
      <c r="TDU916" s="1091"/>
      <c r="TDV916" s="1091"/>
      <c r="TDW916" s="1091"/>
      <c r="TDX916" s="1091"/>
      <c r="TDY916" s="1091"/>
      <c r="TDZ916" s="1091"/>
      <c r="TEA916" s="1091"/>
      <c r="TEB916" s="1091"/>
      <c r="TEC916" s="1091"/>
      <c r="TED916" s="1091"/>
      <c r="TEE916" s="1091"/>
      <c r="TEF916" s="1091"/>
      <c r="TEG916" s="1091"/>
      <c r="TEH916" s="1091"/>
      <c r="TEI916" s="1091"/>
      <c r="TEJ916" s="1091"/>
      <c r="TEK916" s="1091"/>
      <c r="TEL916" s="1091"/>
      <c r="TEM916" s="1091"/>
      <c r="TEN916" s="1091"/>
      <c r="TEO916" s="1091"/>
      <c r="TEP916" s="1091"/>
      <c r="TEQ916" s="1091"/>
      <c r="TER916" s="1091"/>
      <c r="TES916" s="1091"/>
      <c r="TET916" s="1091"/>
      <c r="TEU916" s="1091"/>
      <c r="TEV916" s="1091"/>
      <c r="TEW916" s="1091"/>
      <c r="TEX916" s="1091"/>
      <c r="TEY916" s="1091"/>
      <c r="TEZ916" s="1091"/>
      <c r="TFA916" s="1091"/>
      <c r="TFB916" s="1091"/>
      <c r="TFC916" s="1091"/>
      <c r="TFD916" s="1091"/>
      <c r="TFE916" s="1091"/>
      <c r="TFF916" s="1091"/>
      <c r="TFG916" s="1091"/>
      <c r="TFH916" s="1091"/>
      <c r="TFI916" s="1091"/>
      <c r="TFJ916" s="1091"/>
      <c r="TFK916" s="1091"/>
      <c r="TFL916" s="1091"/>
      <c r="TFM916" s="1091"/>
      <c r="TFN916" s="1091"/>
      <c r="TFO916" s="1091"/>
      <c r="TFP916" s="1091"/>
      <c r="TFQ916" s="1091"/>
      <c r="TFR916" s="1091"/>
      <c r="TFS916" s="1091"/>
      <c r="TFT916" s="1091"/>
      <c r="TFU916" s="1091"/>
      <c r="TFV916" s="1091"/>
      <c r="TFW916" s="1091"/>
      <c r="TFX916" s="1091"/>
      <c r="TFY916" s="1091"/>
      <c r="TFZ916" s="1091"/>
      <c r="TGA916" s="1091"/>
      <c r="TGB916" s="1091"/>
      <c r="TGC916" s="1091"/>
      <c r="TGD916" s="1091"/>
      <c r="TGE916" s="1091"/>
      <c r="TGF916" s="1091"/>
      <c r="TGG916" s="1091"/>
      <c r="TGH916" s="1091"/>
      <c r="TGI916" s="1091"/>
      <c r="TGJ916" s="1091"/>
      <c r="TGK916" s="1091"/>
      <c r="TGL916" s="1091"/>
      <c r="TGM916" s="1091"/>
      <c r="TGN916" s="1091"/>
      <c r="TGO916" s="1091"/>
      <c r="TGP916" s="1091"/>
      <c r="TGQ916" s="1091"/>
      <c r="TGR916" s="1091"/>
      <c r="TGS916" s="1091"/>
      <c r="TGT916" s="1091"/>
      <c r="TGU916" s="1091"/>
      <c r="TGV916" s="1091"/>
      <c r="TGW916" s="1091"/>
      <c r="TGX916" s="1091"/>
      <c r="TGY916" s="1091"/>
      <c r="TGZ916" s="1091"/>
      <c r="THA916" s="1091"/>
      <c r="THB916" s="1091"/>
      <c r="THC916" s="1091"/>
      <c r="THD916" s="1091"/>
      <c r="THE916" s="1091"/>
      <c r="THF916" s="1091"/>
      <c r="THG916" s="1091"/>
      <c r="THH916" s="1091"/>
      <c r="THI916" s="1091"/>
      <c r="THJ916" s="1091"/>
      <c r="THK916" s="1091"/>
      <c r="THL916" s="1091"/>
      <c r="THM916" s="1091"/>
      <c r="THN916" s="1091"/>
      <c r="THO916" s="1091"/>
      <c r="THP916" s="1091"/>
      <c r="THQ916" s="1091"/>
      <c r="THR916" s="1091"/>
      <c r="THS916" s="1091"/>
      <c r="THT916" s="1091"/>
      <c r="THU916" s="1091"/>
      <c r="THV916" s="1091"/>
      <c r="THW916" s="1091"/>
      <c r="THX916" s="1091"/>
      <c r="THY916" s="1091"/>
      <c r="THZ916" s="1091"/>
      <c r="TIA916" s="1091"/>
      <c r="TIB916" s="1091"/>
      <c r="TIC916" s="1091"/>
      <c r="TID916" s="1091"/>
      <c r="TIE916" s="1091"/>
      <c r="TIF916" s="1091"/>
      <c r="TIG916" s="1091"/>
      <c r="TIH916" s="1091"/>
      <c r="TII916" s="1091"/>
      <c r="TIJ916" s="1091"/>
      <c r="TIK916" s="1091"/>
      <c r="TIL916" s="1091"/>
      <c r="TIM916" s="1091"/>
      <c r="TIN916" s="1091"/>
      <c r="TIO916" s="1091"/>
      <c r="TIP916" s="1091"/>
      <c r="TIQ916" s="1091"/>
      <c r="TIR916" s="1091"/>
      <c r="TIS916" s="1091"/>
      <c r="TIT916" s="1091"/>
      <c r="TIU916" s="1091"/>
      <c r="TIV916" s="1091"/>
      <c r="TIW916" s="1091"/>
      <c r="TIX916" s="1091"/>
      <c r="TIY916" s="1091"/>
      <c r="TIZ916" s="1091"/>
      <c r="TJA916" s="1091"/>
      <c r="TJB916" s="1091"/>
      <c r="TJC916" s="1091"/>
      <c r="TJD916" s="1091"/>
      <c r="TJE916" s="1091"/>
      <c r="TJF916" s="1091"/>
      <c r="TJG916" s="1091"/>
      <c r="TJH916" s="1091"/>
      <c r="TJI916" s="1091"/>
      <c r="TJJ916" s="1091"/>
      <c r="TJK916" s="1091"/>
      <c r="TJL916" s="1091"/>
      <c r="TJM916" s="1091"/>
      <c r="TJN916" s="1091"/>
      <c r="TJO916" s="1091"/>
      <c r="TJP916" s="1091"/>
      <c r="TJQ916" s="1091"/>
      <c r="TJR916" s="1091"/>
      <c r="TJS916" s="1091"/>
      <c r="TJT916" s="1091"/>
      <c r="TJU916" s="1091"/>
      <c r="TJV916" s="1091"/>
      <c r="TJW916" s="1091"/>
      <c r="TJX916" s="1091"/>
      <c r="TJY916" s="1091"/>
      <c r="TJZ916" s="1091"/>
      <c r="TKA916" s="1091"/>
      <c r="TKB916" s="1091"/>
      <c r="TKC916" s="1091"/>
      <c r="TKD916" s="1091"/>
      <c r="TKE916" s="1091"/>
      <c r="TKF916" s="1091"/>
      <c r="TKG916" s="1091"/>
      <c r="TKH916" s="1091"/>
      <c r="TKI916" s="1091"/>
      <c r="TKJ916" s="1091"/>
      <c r="TKK916" s="1091"/>
      <c r="TKL916" s="1091"/>
      <c r="TKM916" s="1091"/>
      <c r="TKN916" s="1091"/>
      <c r="TKO916" s="1091"/>
      <c r="TKP916" s="1091"/>
      <c r="TKQ916" s="1091"/>
      <c r="TKR916" s="1091"/>
      <c r="TKS916" s="1091"/>
      <c r="TKT916" s="1091"/>
      <c r="TKU916" s="1091"/>
      <c r="TKV916" s="1091"/>
      <c r="TKW916" s="1091"/>
      <c r="TKX916" s="1091"/>
      <c r="TKY916" s="1091"/>
      <c r="TKZ916" s="1091"/>
      <c r="TLA916" s="1091"/>
      <c r="TLB916" s="1091"/>
      <c r="TLC916" s="1091"/>
      <c r="TLD916" s="1091"/>
      <c r="TLE916" s="1091"/>
      <c r="TLF916" s="1091"/>
      <c r="TLG916" s="1091"/>
      <c r="TLH916" s="1091"/>
      <c r="TLI916" s="1091"/>
      <c r="TLJ916" s="1091"/>
      <c r="TLK916" s="1091"/>
      <c r="TLL916" s="1091"/>
      <c r="TLM916" s="1091"/>
      <c r="TLN916" s="1091"/>
      <c r="TLO916" s="1091"/>
      <c r="TLP916" s="1091"/>
      <c r="TLQ916" s="1091"/>
      <c r="TLR916" s="1091"/>
      <c r="TLS916" s="1091"/>
      <c r="TLT916" s="1091"/>
      <c r="TLU916" s="1091"/>
      <c r="TLV916" s="1091"/>
      <c r="TLW916" s="1091"/>
      <c r="TLX916" s="1091"/>
      <c r="TLY916" s="1091"/>
      <c r="TLZ916" s="1091"/>
      <c r="TMA916" s="1091"/>
      <c r="TMB916" s="1091"/>
      <c r="TMC916" s="1091"/>
      <c r="TMD916" s="1091"/>
      <c r="TME916" s="1091"/>
      <c r="TMF916" s="1091"/>
      <c r="TMG916" s="1091"/>
      <c r="TMH916" s="1091"/>
      <c r="TMI916" s="1091"/>
      <c r="TMJ916" s="1091"/>
      <c r="TMK916" s="1091"/>
      <c r="TML916" s="1091"/>
      <c r="TMM916" s="1091"/>
      <c r="TMN916" s="1091"/>
      <c r="TMO916" s="1091"/>
      <c r="TMP916" s="1091"/>
      <c r="TMQ916" s="1091"/>
      <c r="TMR916" s="1091"/>
      <c r="TMS916" s="1091"/>
      <c r="TMT916" s="1091"/>
      <c r="TMU916" s="1091"/>
      <c r="TMV916" s="1091"/>
      <c r="TMW916" s="1091"/>
      <c r="TMX916" s="1091"/>
      <c r="TMY916" s="1091"/>
      <c r="TMZ916" s="1091"/>
      <c r="TNA916" s="1091"/>
      <c r="TNB916" s="1091"/>
      <c r="TNC916" s="1091"/>
      <c r="TND916" s="1091"/>
      <c r="TNE916" s="1091"/>
      <c r="TNF916" s="1091"/>
      <c r="TNG916" s="1091"/>
      <c r="TNH916" s="1091"/>
      <c r="TNI916" s="1091"/>
      <c r="TNJ916" s="1091"/>
      <c r="TNK916" s="1091"/>
      <c r="TNL916" s="1091"/>
      <c r="TNM916" s="1091"/>
      <c r="TNN916" s="1091"/>
      <c r="TNO916" s="1091"/>
      <c r="TNP916" s="1091"/>
      <c r="TNQ916" s="1091"/>
      <c r="TNR916" s="1091"/>
      <c r="TNS916" s="1091"/>
      <c r="TNT916" s="1091"/>
      <c r="TNU916" s="1091"/>
      <c r="TNV916" s="1091"/>
      <c r="TNW916" s="1091"/>
      <c r="TNX916" s="1091"/>
      <c r="TNY916" s="1091"/>
      <c r="TNZ916" s="1091"/>
      <c r="TOA916" s="1091"/>
      <c r="TOB916" s="1091"/>
      <c r="TOC916" s="1091"/>
      <c r="TOD916" s="1091"/>
      <c r="TOE916" s="1091"/>
      <c r="TOF916" s="1091"/>
      <c r="TOG916" s="1091"/>
      <c r="TOH916" s="1091"/>
      <c r="TOI916" s="1091"/>
      <c r="TOJ916" s="1091"/>
      <c r="TOK916" s="1091"/>
      <c r="TOL916" s="1091"/>
      <c r="TOM916" s="1091"/>
      <c r="TON916" s="1091"/>
      <c r="TOO916" s="1091"/>
      <c r="TOP916" s="1091"/>
      <c r="TOQ916" s="1091"/>
      <c r="TOR916" s="1091"/>
      <c r="TOS916" s="1091"/>
      <c r="TOT916" s="1091"/>
      <c r="TOU916" s="1091"/>
      <c r="TOV916" s="1091"/>
      <c r="TOW916" s="1091"/>
      <c r="TOX916" s="1091"/>
      <c r="TOY916" s="1091"/>
      <c r="TOZ916" s="1091"/>
      <c r="TPA916" s="1091"/>
      <c r="TPB916" s="1091"/>
      <c r="TPC916" s="1091"/>
      <c r="TPD916" s="1091"/>
      <c r="TPE916" s="1091"/>
      <c r="TPF916" s="1091"/>
      <c r="TPG916" s="1091"/>
      <c r="TPH916" s="1091"/>
      <c r="TPI916" s="1091"/>
      <c r="TPJ916" s="1091"/>
      <c r="TPK916" s="1091"/>
      <c r="TPL916" s="1091"/>
      <c r="TPM916" s="1091"/>
      <c r="TPN916" s="1091"/>
      <c r="TPO916" s="1091"/>
      <c r="TPP916" s="1091"/>
      <c r="TPQ916" s="1091"/>
      <c r="TPR916" s="1091"/>
      <c r="TPS916" s="1091"/>
      <c r="TPT916" s="1091"/>
      <c r="TPU916" s="1091"/>
      <c r="TPV916" s="1091"/>
      <c r="TPW916" s="1091"/>
      <c r="TPX916" s="1091"/>
      <c r="TPY916" s="1091"/>
      <c r="TPZ916" s="1091"/>
      <c r="TQA916" s="1091"/>
      <c r="TQB916" s="1091"/>
      <c r="TQC916" s="1091"/>
      <c r="TQD916" s="1091"/>
      <c r="TQE916" s="1091"/>
      <c r="TQF916" s="1091"/>
      <c r="TQG916" s="1091"/>
      <c r="TQH916" s="1091"/>
      <c r="TQI916" s="1091"/>
      <c r="TQJ916" s="1091"/>
      <c r="TQK916" s="1091"/>
      <c r="TQL916" s="1091"/>
      <c r="TQM916" s="1091"/>
      <c r="TQN916" s="1091"/>
      <c r="TQO916" s="1091"/>
      <c r="TQP916" s="1091"/>
      <c r="TQQ916" s="1091"/>
      <c r="TQR916" s="1091"/>
      <c r="TQS916" s="1091"/>
      <c r="TQT916" s="1091"/>
      <c r="TQU916" s="1091"/>
      <c r="TQV916" s="1091"/>
      <c r="TQW916" s="1091"/>
      <c r="TQX916" s="1091"/>
      <c r="TQY916" s="1091"/>
      <c r="TQZ916" s="1091"/>
      <c r="TRA916" s="1091"/>
      <c r="TRB916" s="1091"/>
      <c r="TRC916" s="1091"/>
      <c r="TRD916" s="1091"/>
      <c r="TRE916" s="1091"/>
      <c r="TRF916" s="1091"/>
      <c r="TRG916" s="1091"/>
      <c r="TRH916" s="1091"/>
      <c r="TRI916" s="1091"/>
      <c r="TRJ916" s="1091"/>
      <c r="TRK916" s="1091"/>
      <c r="TRL916" s="1091"/>
      <c r="TRM916" s="1091"/>
      <c r="TRN916" s="1091"/>
      <c r="TRO916" s="1091"/>
      <c r="TRP916" s="1091"/>
      <c r="TRQ916" s="1091"/>
      <c r="TRR916" s="1091"/>
      <c r="TRS916" s="1091"/>
      <c r="TRT916" s="1091"/>
      <c r="TRU916" s="1091"/>
      <c r="TRV916" s="1091"/>
      <c r="TRW916" s="1091"/>
      <c r="TRX916" s="1091"/>
      <c r="TRY916" s="1091"/>
      <c r="TRZ916" s="1091"/>
      <c r="TSA916" s="1091"/>
      <c r="TSB916" s="1091"/>
      <c r="TSC916" s="1091"/>
      <c r="TSD916" s="1091"/>
      <c r="TSE916" s="1091"/>
      <c r="TSF916" s="1091"/>
      <c r="TSG916" s="1091"/>
      <c r="TSH916" s="1091"/>
      <c r="TSI916" s="1091"/>
      <c r="TSJ916" s="1091"/>
      <c r="TSK916" s="1091"/>
      <c r="TSL916" s="1091"/>
      <c r="TSM916" s="1091"/>
      <c r="TSN916" s="1091"/>
      <c r="TSO916" s="1091"/>
      <c r="TSP916" s="1091"/>
      <c r="TSQ916" s="1091"/>
      <c r="TSR916" s="1091"/>
      <c r="TSS916" s="1091"/>
      <c r="TST916" s="1091"/>
      <c r="TSU916" s="1091"/>
      <c r="TSV916" s="1091"/>
      <c r="TSW916" s="1091"/>
      <c r="TSX916" s="1091"/>
      <c r="TSY916" s="1091"/>
      <c r="TSZ916" s="1091"/>
      <c r="TTA916" s="1091"/>
      <c r="TTB916" s="1091"/>
      <c r="TTC916" s="1091"/>
      <c r="TTD916" s="1091"/>
      <c r="TTE916" s="1091"/>
      <c r="TTF916" s="1091"/>
      <c r="TTG916" s="1091"/>
      <c r="TTH916" s="1091"/>
      <c r="TTI916" s="1091"/>
      <c r="TTJ916" s="1091"/>
      <c r="TTK916" s="1091"/>
      <c r="TTL916" s="1091"/>
      <c r="TTM916" s="1091"/>
      <c r="TTN916" s="1091"/>
      <c r="TTO916" s="1091"/>
      <c r="TTP916" s="1091"/>
      <c r="TTQ916" s="1091"/>
      <c r="TTR916" s="1091"/>
      <c r="TTS916" s="1091"/>
      <c r="TTT916" s="1091"/>
      <c r="TTU916" s="1091"/>
      <c r="TTV916" s="1091"/>
      <c r="TTW916" s="1091"/>
      <c r="TTX916" s="1091"/>
      <c r="TTY916" s="1091"/>
      <c r="TTZ916" s="1091"/>
      <c r="TUA916" s="1091"/>
      <c r="TUB916" s="1091"/>
      <c r="TUC916" s="1091"/>
      <c r="TUD916" s="1091"/>
      <c r="TUE916" s="1091"/>
      <c r="TUF916" s="1091"/>
      <c r="TUG916" s="1091"/>
      <c r="TUH916" s="1091"/>
      <c r="TUI916" s="1091"/>
      <c r="TUJ916" s="1091"/>
      <c r="TUK916" s="1091"/>
      <c r="TUL916" s="1091"/>
      <c r="TUM916" s="1091"/>
      <c r="TUN916" s="1091"/>
      <c r="TUO916" s="1091"/>
      <c r="TUP916" s="1091"/>
      <c r="TUQ916" s="1091"/>
      <c r="TUR916" s="1091"/>
      <c r="TUS916" s="1091"/>
      <c r="TUT916" s="1091"/>
      <c r="TUU916" s="1091"/>
      <c r="TUV916" s="1091"/>
      <c r="TUW916" s="1091"/>
      <c r="TUX916" s="1091"/>
      <c r="TUY916" s="1091"/>
      <c r="TUZ916" s="1091"/>
      <c r="TVA916" s="1091"/>
      <c r="TVB916" s="1091"/>
      <c r="TVC916" s="1091"/>
      <c r="TVD916" s="1091"/>
      <c r="TVE916" s="1091"/>
      <c r="TVF916" s="1091"/>
      <c r="TVG916" s="1091"/>
      <c r="TVH916" s="1091"/>
      <c r="TVI916" s="1091"/>
      <c r="TVJ916" s="1091"/>
      <c r="TVK916" s="1091"/>
      <c r="TVL916" s="1091"/>
      <c r="TVM916" s="1091"/>
      <c r="TVN916" s="1091"/>
      <c r="TVO916" s="1091"/>
      <c r="TVP916" s="1091"/>
      <c r="TVQ916" s="1091"/>
      <c r="TVR916" s="1091"/>
      <c r="TVS916" s="1091"/>
      <c r="TVT916" s="1091"/>
      <c r="TVU916" s="1091"/>
      <c r="TVV916" s="1091"/>
      <c r="TVW916" s="1091"/>
      <c r="TVX916" s="1091"/>
      <c r="TVY916" s="1091"/>
      <c r="TVZ916" s="1091"/>
      <c r="TWA916" s="1091"/>
      <c r="TWB916" s="1091"/>
      <c r="TWC916" s="1091"/>
      <c r="TWD916" s="1091"/>
      <c r="TWE916" s="1091"/>
      <c r="TWF916" s="1091"/>
      <c r="TWG916" s="1091"/>
      <c r="TWH916" s="1091"/>
      <c r="TWI916" s="1091"/>
      <c r="TWJ916" s="1091"/>
      <c r="TWK916" s="1091"/>
      <c r="TWL916" s="1091"/>
      <c r="TWM916" s="1091"/>
      <c r="TWN916" s="1091"/>
      <c r="TWO916" s="1091"/>
      <c r="TWP916" s="1091"/>
      <c r="TWQ916" s="1091"/>
      <c r="TWR916" s="1091"/>
      <c r="TWS916" s="1091"/>
      <c r="TWT916" s="1091"/>
      <c r="TWU916" s="1091"/>
      <c r="TWV916" s="1091"/>
      <c r="TWW916" s="1091"/>
      <c r="TWX916" s="1091"/>
      <c r="TWY916" s="1091"/>
      <c r="TWZ916" s="1091"/>
      <c r="TXA916" s="1091"/>
      <c r="TXB916" s="1091"/>
      <c r="TXC916" s="1091"/>
      <c r="TXD916" s="1091"/>
      <c r="TXE916" s="1091"/>
      <c r="TXF916" s="1091"/>
      <c r="TXG916" s="1091"/>
      <c r="TXH916" s="1091"/>
      <c r="TXI916" s="1091"/>
      <c r="TXJ916" s="1091"/>
      <c r="TXK916" s="1091"/>
      <c r="TXL916" s="1091"/>
      <c r="TXM916" s="1091"/>
      <c r="TXN916" s="1091"/>
      <c r="TXO916" s="1091"/>
      <c r="TXP916" s="1091"/>
      <c r="TXQ916" s="1091"/>
      <c r="TXR916" s="1091"/>
      <c r="TXS916" s="1091"/>
      <c r="TXT916" s="1091"/>
      <c r="TXU916" s="1091"/>
      <c r="TXV916" s="1091"/>
      <c r="TXW916" s="1091"/>
      <c r="TXX916" s="1091"/>
      <c r="TXY916" s="1091"/>
      <c r="TXZ916" s="1091"/>
      <c r="TYA916" s="1091"/>
      <c r="TYB916" s="1091"/>
      <c r="TYC916" s="1091"/>
      <c r="TYD916" s="1091"/>
      <c r="TYE916" s="1091"/>
      <c r="TYF916" s="1091"/>
      <c r="TYG916" s="1091"/>
      <c r="TYH916" s="1091"/>
      <c r="TYI916" s="1091"/>
      <c r="TYJ916" s="1091"/>
      <c r="TYK916" s="1091"/>
      <c r="TYL916" s="1091"/>
      <c r="TYM916" s="1091"/>
      <c r="TYN916" s="1091"/>
      <c r="TYO916" s="1091"/>
      <c r="TYP916" s="1091"/>
      <c r="TYQ916" s="1091"/>
      <c r="TYR916" s="1091"/>
      <c r="TYS916" s="1091"/>
      <c r="TYT916" s="1091"/>
      <c r="TYU916" s="1091"/>
      <c r="TYV916" s="1091"/>
      <c r="TYW916" s="1091"/>
      <c r="TYX916" s="1091"/>
      <c r="TYY916" s="1091"/>
      <c r="TYZ916" s="1091"/>
      <c r="TZA916" s="1091"/>
      <c r="TZB916" s="1091"/>
      <c r="TZC916" s="1091"/>
      <c r="TZD916" s="1091"/>
      <c r="TZE916" s="1091"/>
      <c r="TZF916" s="1091"/>
      <c r="TZG916" s="1091"/>
      <c r="TZH916" s="1091"/>
      <c r="TZI916" s="1091"/>
      <c r="TZJ916" s="1091"/>
      <c r="TZK916" s="1091"/>
      <c r="TZL916" s="1091"/>
      <c r="TZM916" s="1091"/>
      <c r="TZN916" s="1091"/>
      <c r="TZO916" s="1091"/>
      <c r="TZP916" s="1091"/>
      <c r="TZQ916" s="1091"/>
      <c r="TZR916" s="1091"/>
      <c r="TZS916" s="1091"/>
      <c r="TZT916" s="1091"/>
      <c r="TZU916" s="1091"/>
      <c r="TZV916" s="1091"/>
      <c r="TZW916" s="1091"/>
      <c r="TZX916" s="1091"/>
      <c r="TZY916" s="1091"/>
      <c r="TZZ916" s="1091"/>
      <c r="UAA916" s="1091"/>
      <c r="UAB916" s="1091"/>
      <c r="UAC916" s="1091"/>
      <c r="UAD916" s="1091"/>
      <c r="UAE916" s="1091"/>
      <c r="UAF916" s="1091"/>
      <c r="UAG916" s="1091"/>
      <c r="UAH916" s="1091"/>
      <c r="UAI916" s="1091"/>
      <c r="UAJ916" s="1091"/>
      <c r="UAK916" s="1091"/>
      <c r="UAL916" s="1091"/>
      <c r="UAM916" s="1091"/>
      <c r="UAN916" s="1091"/>
      <c r="UAO916" s="1091"/>
      <c r="UAP916" s="1091"/>
      <c r="UAQ916" s="1091"/>
      <c r="UAR916" s="1091"/>
      <c r="UAS916" s="1091"/>
      <c r="UAT916" s="1091"/>
      <c r="UAU916" s="1091"/>
      <c r="UAV916" s="1091"/>
      <c r="UAW916" s="1091"/>
      <c r="UAX916" s="1091"/>
      <c r="UAY916" s="1091"/>
      <c r="UAZ916" s="1091"/>
      <c r="UBA916" s="1091"/>
      <c r="UBB916" s="1091"/>
      <c r="UBC916" s="1091"/>
      <c r="UBD916" s="1091"/>
      <c r="UBE916" s="1091"/>
      <c r="UBF916" s="1091"/>
      <c r="UBG916" s="1091"/>
      <c r="UBH916" s="1091"/>
      <c r="UBI916" s="1091"/>
      <c r="UBJ916" s="1091"/>
      <c r="UBK916" s="1091"/>
      <c r="UBL916" s="1091"/>
      <c r="UBM916" s="1091"/>
      <c r="UBN916" s="1091"/>
      <c r="UBO916" s="1091"/>
      <c r="UBP916" s="1091"/>
      <c r="UBQ916" s="1091"/>
      <c r="UBR916" s="1091"/>
      <c r="UBS916" s="1091"/>
      <c r="UBT916" s="1091"/>
      <c r="UBU916" s="1091"/>
      <c r="UBV916" s="1091"/>
      <c r="UBW916" s="1091"/>
      <c r="UBX916" s="1091"/>
      <c r="UBY916" s="1091"/>
      <c r="UBZ916" s="1091"/>
      <c r="UCA916" s="1091"/>
      <c r="UCB916" s="1091"/>
      <c r="UCC916" s="1091"/>
      <c r="UCD916" s="1091"/>
      <c r="UCE916" s="1091"/>
      <c r="UCF916" s="1091"/>
      <c r="UCG916" s="1091"/>
      <c r="UCH916" s="1091"/>
      <c r="UCI916" s="1091"/>
      <c r="UCJ916" s="1091"/>
      <c r="UCK916" s="1091"/>
      <c r="UCL916" s="1091"/>
      <c r="UCM916" s="1091"/>
      <c r="UCN916" s="1091"/>
      <c r="UCO916" s="1091"/>
      <c r="UCP916" s="1091"/>
      <c r="UCQ916" s="1091"/>
      <c r="UCR916" s="1091"/>
      <c r="UCS916" s="1091"/>
      <c r="UCT916" s="1091"/>
      <c r="UCU916" s="1091"/>
      <c r="UCV916" s="1091"/>
      <c r="UCW916" s="1091"/>
      <c r="UCX916" s="1091"/>
      <c r="UCY916" s="1091"/>
      <c r="UCZ916" s="1091"/>
      <c r="UDA916" s="1091"/>
      <c r="UDB916" s="1091"/>
      <c r="UDC916" s="1091"/>
      <c r="UDD916" s="1091"/>
      <c r="UDE916" s="1091"/>
      <c r="UDF916" s="1091"/>
      <c r="UDG916" s="1091"/>
      <c r="UDH916" s="1091"/>
      <c r="UDI916" s="1091"/>
      <c r="UDJ916" s="1091"/>
      <c r="UDK916" s="1091"/>
      <c r="UDL916" s="1091"/>
      <c r="UDM916" s="1091"/>
      <c r="UDN916" s="1091"/>
      <c r="UDO916" s="1091"/>
      <c r="UDP916" s="1091"/>
      <c r="UDQ916" s="1091"/>
      <c r="UDR916" s="1091"/>
      <c r="UDS916" s="1091"/>
      <c r="UDT916" s="1091"/>
      <c r="UDU916" s="1091"/>
      <c r="UDV916" s="1091"/>
      <c r="UDW916" s="1091"/>
      <c r="UDX916" s="1091"/>
      <c r="UDY916" s="1091"/>
      <c r="UDZ916" s="1091"/>
      <c r="UEA916" s="1091"/>
      <c r="UEB916" s="1091"/>
      <c r="UEC916" s="1091"/>
      <c r="UED916" s="1091"/>
      <c r="UEE916" s="1091"/>
      <c r="UEF916" s="1091"/>
      <c r="UEG916" s="1091"/>
      <c r="UEH916" s="1091"/>
      <c r="UEI916" s="1091"/>
      <c r="UEJ916" s="1091"/>
      <c r="UEK916" s="1091"/>
      <c r="UEL916" s="1091"/>
      <c r="UEM916" s="1091"/>
      <c r="UEN916" s="1091"/>
      <c r="UEO916" s="1091"/>
      <c r="UEP916" s="1091"/>
      <c r="UEQ916" s="1091"/>
      <c r="UER916" s="1091"/>
      <c r="UES916" s="1091"/>
      <c r="UET916" s="1091"/>
      <c r="UEU916" s="1091"/>
      <c r="UEV916" s="1091"/>
      <c r="UEW916" s="1091"/>
      <c r="UEX916" s="1091"/>
      <c r="UEY916" s="1091"/>
      <c r="UEZ916" s="1091"/>
      <c r="UFA916" s="1091"/>
      <c r="UFB916" s="1091"/>
      <c r="UFC916" s="1091"/>
      <c r="UFD916" s="1091"/>
      <c r="UFE916" s="1091"/>
      <c r="UFF916" s="1091"/>
      <c r="UFG916" s="1091"/>
      <c r="UFH916" s="1091"/>
      <c r="UFI916" s="1091"/>
      <c r="UFJ916" s="1091"/>
      <c r="UFK916" s="1091"/>
      <c r="UFL916" s="1091"/>
      <c r="UFM916" s="1091"/>
      <c r="UFN916" s="1091"/>
      <c r="UFO916" s="1091"/>
      <c r="UFP916" s="1091"/>
      <c r="UFQ916" s="1091"/>
      <c r="UFR916" s="1091"/>
      <c r="UFS916" s="1091"/>
      <c r="UFT916" s="1091"/>
      <c r="UFU916" s="1091"/>
      <c r="UFV916" s="1091"/>
      <c r="UFW916" s="1091"/>
      <c r="UFX916" s="1091"/>
      <c r="UFY916" s="1091"/>
      <c r="UFZ916" s="1091"/>
      <c r="UGA916" s="1091"/>
      <c r="UGB916" s="1091"/>
      <c r="UGC916" s="1091"/>
      <c r="UGD916" s="1091"/>
      <c r="UGE916" s="1091"/>
      <c r="UGF916" s="1091"/>
      <c r="UGG916" s="1091"/>
      <c r="UGH916" s="1091"/>
      <c r="UGI916" s="1091"/>
      <c r="UGJ916" s="1091"/>
      <c r="UGK916" s="1091"/>
      <c r="UGL916" s="1091"/>
      <c r="UGM916" s="1091"/>
      <c r="UGN916" s="1091"/>
      <c r="UGO916" s="1091"/>
      <c r="UGP916" s="1091"/>
      <c r="UGQ916" s="1091"/>
      <c r="UGR916" s="1091"/>
      <c r="UGS916" s="1091"/>
      <c r="UGT916" s="1091"/>
      <c r="UGU916" s="1091"/>
      <c r="UGV916" s="1091"/>
      <c r="UGW916" s="1091"/>
      <c r="UGX916" s="1091"/>
      <c r="UGY916" s="1091"/>
      <c r="UGZ916" s="1091"/>
      <c r="UHA916" s="1091"/>
      <c r="UHB916" s="1091"/>
      <c r="UHC916" s="1091"/>
      <c r="UHD916" s="1091"/>
      <c r="UHE916" s="1091"/>
      <c r="UHF916" s="1091"/>
      <c r="UHG916" s="1091"/>
      <c r="UHH916" s="1091"/>
      <c r="UHI916" s="1091"/>
      <c r="UHJ916" s="1091"/>
      <c r="UHK916" s="1091"/>
      <c r="UHL916" s="1091"/>
      <c r="UHM916" s="1091"/>
      <c r="UHN916" s="1091"/>
      <c r="UHO916" s="1091"/>
      <c r="UHP916" s="1091"/>
      <c r="UHQ916" s="1091"/>
      <c r="UHR916" s="1091"/>
      <c r="UHS916" s="1091"/>
      <c r="UHT916" s="1091"/>
      <c r="UHU916" s="1091"/>
      <c r="UHV916" s="1091"/>
      <c r="UHW916" s="1091"/>
      <c r="UHX916" s="1091"/>
      <c r="UHY916" s="1091"/>
      <c r="UHZ916" s="1091"/>
      <c r="UIA916" s="1091"/>
      <c r="UIB916" s="1091"/>
      <c r="UIC916" s="1091"/>
      <c r="UID916" s="1091"/>
      <c r="UIE916" s="1091"/>
      <c r="UIF916" s="1091"/>
      <c r="UIG916" s="1091"/>
      <c r="UIH916" s="1091"/>
      <c r="UII916" s="1091"/>
      <c r="UIJ916" s="1091"/>
      <c r="UIK916" s="1091"/>
      <c r="UIL916" s="1091"/>
      <c r="UIM916" s="1091"/>
      <c r="UIN916" s="1091"/>
      <c r="UIO916" s="1091"/>
      <c r="UIP916" s="1091"/>
      <c r="UIQ916" s="1091"/>
      <c r="UIR916" s="1091"/>
      <c r="UIS916" s="1091"/>
      <c r="UIT916" s="1091"/>
      <c r="UIU916" s="1091"/>
      <c r="UIV916" s="1091"/>
      <c r="UIW916" s="1091"/>
      <c r="UIX916" s="1091"/>
      <c r="UIY916" s="1091"/>
      <c r="UIZ916" s="1091"/>
      <c r="UJA916" s="1091"/>
      <c r="UJB916" s="1091"/>
      <c r="UJC916" s="1091"/>
      <c r="UJD916" s="1091"/>
      <c r="UJE916" s="1091"/>
      <c r="UJF916" s="1091"/>
      <c r="UJG916" s="1091"/>
      <c r="UJH916" s="1091"/>
      <c r="UJI916" s="1091"/>
      <c r="UJJ916" s="1091"/>
      <c r="UJK916" s="1091"/>
      <c r="UJL916" s="1091"/>
      <c r="UJM916" s="1091"/>
      <c r="UJN916" s="1091"/>
      <c r="UJO916" s="1091"/>
      <c r="UJP916" s="1091"/>
      <c r="UJQ916" s="1091"/>
      <c r="UJR916" s="1091"/>
      <c r="UJS916" s="1091"/>
      <c r="UJT916" s="1091"/>
      <c r="UJU916" s="1091"/>
      <c r="UJV916" s="1091"/>
      <c r="UJW916" s="1091"/>
      <c r="UJX916" s="1091"/>
      <c r="UJY916" s="1091"/>
      <c r="UJZ916" s="1091"/>
      <c r="UKA916" s="1091"/>
      <c r="UKB916" s="1091"/>
      <c r="UKC916" s="1091"/>
      <c r="UKD916" s="1091"/>
      <c r="UKE916" s="1091"/>
      <c r="UKF916" s="1091"/>
      <c r="UKG916" s="1091"/>
      <c r="UKH916" s="1091"/>
      <c r="UKI916" s="1091"/>
      <c r="UKJ916" s="1091"/>
      <c r="UKK916" s="1091"/>
      <c r="UKL916" s="1091"/>
      <c r="UKM916" s="1091"/>
      <c r="UKN916" s="1091"/>
      <c r="UKO916" s="1091"/>
      <c r="UKP916" s="1091"/>
      <c r="UKQ916" s="1091"/>
      <c r="UKR916" s="1091"/>
      <c r="UKS916" s="1091"/>
      <c r="UKT916" s="1091"/>
      <c r="UKU916" s="1091"/>
      <c r="UKV916" s="1091"/>
      <c r="UKW916" s="1091"/>
      <c r="UKX916" s="1091"/>
      <c r="UKY916" s="1091"/>
      <c r="UKZ916" s="1091"/>
      <c r="ULA916" s="1091"/>
      <c r="ULB916" s="1091"/>
      <c r="ULC916" s="1091"/>
      <c r="ULD916" s="1091"/>
      <c r="ULE916" s="1091"/>
      <c r="ULF916" s="1091"/>
      <c r="ULG916" s="1091"/>
      <c r="ULH916" s="1091"/>
      <c r="ULI916" s="1091"/>
      <c r="ULJ916" s="1091"/>
      <c r="ULK916" s="1091"/>
      <c r="ULL916" s="1091"/>
      <c r="ULM916" s="1091"/>
      <c r="ULN916" s="1091"/>
      <c r="ULO916" s="1091"/>
      <c r="ULP916" s="1091"/>
      <c r="ULQ916" s="1091"/>
      <c r="ULR916" s="1091"/>
      <c r="ULS916" s="1091"/>
      <c r="ULT916" s="1091"/>
      <c r="ULU916" s="1091"/>
      <c r="ULV916" s="1091"/>
      <c r="ULW916" s="1091"/>
      <c r="ULX916" s="1091"/>
      <c r="ULY916" s="1091"/>
      <c r="ULZ916" s="1091"/>
      <c r="UMA916" s="1091"/>
      <c r="UMB916" s="1091"/>
      <c r="UMC916" s="1091"/>
      <c r="UMD916" s="1091"/>
      <c r="UME916" s="1091"/>
      <c r="UMF916" s="1091"/>
      <c r="UMG916" s="1091"/>
      <c r="UMH916" s="1091"/>
      <c r="UMI916" s="1091"/>
      <c r="UMJ916" s="1091"/>
      <c r="UMK916" s="1091"/>
      <c r="UML916" s="1091"/>
      <c r="UMM916" s="1091"/>
      <c r="UMN916" s="1091"/>
      <c r="UMO916" s="1091"/>
      <c r="UMP916" s="1091"/>
      <c r="UMQ916" s="1091"/>
      <c r="UMR916" s="1091"/>
      <c r="UMS916" s="1091"/>
      <c r="UMT916" s="1091"/>
      <c r="UMU916" s="1091"/>
      <c r="UMV916" s="1091"/>
      <c r="UMW916" s="1091"/>
      <c r="UMX916" s="1091"/>
      <c r="UMY916" s="1091"/>
      <c r="UMZ916" s="1091"/>
      <c r="UNA916" s="1091"/>
      <c r="UNB916" s="1091"/>
      <c r="UNC916" s="1091"/>
      <c r="UND916" s="1091"/>
      <c r="UNE916" s="1091"/>
      <c r="UNF916" s="1091"/>
      <c r="UNG916" s="1091"/>
      <c r="UNH916" s="1091"/>
      <c r="UNI916" s="1091"/>
      <c r="UNJ916" s="1091"/>
      <c r="UNK916" s="1091"/>
      <c r="UNL916" s="1091"/>
      <c r="UNM916" s="1091"/>
      <c r="UNN916" s="1091"/>
      <c r="UNO916" s="1091"/>
      <c r="UNP916" s="1091"/>
      <c r="UNQ916" s="1091"/>
      <c r="UNR916" s="1091"/>
      <c r="UNS916" s="1091"/>
      <c r="UNT916" s="1091"/>
      <c r="UNU916" s="1091"/>
      <c r="UNV916" s="1091"/>
      <c r="UNW916" s="1091"/>
      <c r="UNX916" s="1091"/>
      <c r="UNY916" s="1091"/>
      <c r="UNZ916" s="1091"/>
      <c r="UOA916" s="1091"/>
      <c r="UOB916" s="1091"/>
      <c r="UOC916" s="1091"/>
      <c r="UOD916" s="1091"/>
      <c r="UOE916" s="1091"/>
      <c r="UOF916" s="1091"/>
      <c r="UOG916" s="1091"/>
      <c r="UOH916" s="1091"/>
      <c r="UOI916" s="1091"/>
      <c r="UOJ916" s="1091"/>
      <c r="UOK916" s="1091"/>
      <c r="UOL916" s="1091"/>
      <c r="UOM916" s="1091"/>
      <c r="UON916" s="1091"/>
      <c r="UOO916" s="1091"/>
      <c r="UOP916" s="1091"/>
      <c r="UOQ916" s="1091"/>
      <c r="UOR916" s="1091"/>
      <c r="UOS916" s="1091"/>
      <c r="UOT916" s="1091"/>
      <c r="UOU916" s="1091"/>
      <c r="UOV916" s="1091"/>
      <c r="UOW916" s="1091"/>
      <c r="UOX916" s="1091"/>
      <c r="UOY916" s="1091"/>
      <c r="UOZ916" s="1091"/>
      <c r="UPA916" s="1091"/>
      <c r="UPB916" s="1091"/>
      <c r="UPC916" s="1091"/>
      <c r="UPD916" s="1091"/>
      <c r="UPE916" s="1091"/>
      <c r="UPF916" s="1091"/>
      <c r="UPG916" s="1091"/>
      <c r="UPH916" s="1091"/>
      <c r="UPI916" s="1091"/>
      <c r="UPJ916" s="1091"/>
      <c r="UPK916" s="1091"/>
      <c r="UPL916" s="1091"/>
      <c r="UPM916" s="1091"/>
      <c r="UPN916" s="1091"/>
      <c r="UPO916" s="1091"/>
      <c r="UPP916" s="1091"/>
      <c r="UPQ916" s="1091"/>
      <c r="UPR916" s="1091"/>
      <c r="UPS916" s="1091"/>
      <c r="UPT916" s="1091"/>
      <c r="UPU916" s="1091"/>
      <c r="UPV916" s="1091"/>
      <c r="UPW916" s="1091"/>
      <c r="UPX916" s="1091"/>
      <c r="UPY916" s="1091"/>
      <c r="UPZ916" s="1091"/>
      <c r="UQA916" s="1091"/>
      <c r="UQB916" s="1091"/>
      <c r="UQC916" s="1091"/>
      <c r="UQD916" s="1091"/>
      <c r="UQE916" s="1091"/>
      <c r="UQF916" s="1091"/>
      <c r="UQG916" s="1091"/>
      <c r="UQH916" s="1091"/>
      <c r="UQI916" s="1091"/>
      <c r="UQJ916" s="1091"/>
      <c r="UQK916" s="1091"/>
      <c r="UQL916" s="1091"/>
      <c r="UQM916" s="1091"/>
      <c r="UQN916" s="1091"/>
      <c r="UQO916" s="1091"/>
      <c r="UQP916" s="1091"/>
      <c r="UQQ916" s="1091"/>
      <c r="UQR916" s="1091"/>
      <c r="UQS916" s="1091"/>
      <c r="UQT916" s="1091"/>
      <c r="UQU916" s="1091"/>
      <c r="UQV916" s="1091"/>
      <c r="UQW916" s="1091"/>
      <c r="UQX916" s="1091"/>
      <c r="UQY916" s="1091"/>
      <c r="UQZ916" s="1091"/>
      <c r="URA916" s="1091"/>
      <c r="URB916" s="1091"/>
      <c r="URC916" s="1091"/>
      <c r="URD916" s="1091"/>
      <c r="URE916" s="1091"/>
      <c r="URF916" s="1091"/>
      <c r="URG916" s="1091"/>
      <c r="URH916" s="1091"/>
      <c r="URI916" s="1091"/>
      <c r="URJ916" s="1091"/>
      <c r="URK916" s="1091"/>
      <c r="URL916" s="1091"/>
      <c r="URM916" s="1091"/>
      <c r="URN916" s="1091"/>
      <c r="URO916" s="1091"/>
      <c r="URP916" s="1091"/>
      <c r="URQ916" s="1091"/>
      <c r="URR916" s="1091"/>
      <c r="URS916" s="1091"/>
      <c r="URT916" s="1091"/>
      <c r="URU916" s="1091"/>
      <c r="URV916" s="1091"/>
      <c r="URW916" s="1091"/>
      <c r="URX916" s="1091"/>
      <c r="URY916" s="1091"/>
      <c r="URZ916" s="1091"/>
      <c r="USA916" s="1091"/>
      <c r="USB916" s="1091"/>
      <c r="USC916" s="1091"/>
      <c r="USD916" s="1091"/>
      <c r="USE916" s="1091"/>
      <c r="USF916" s="1091"/>
      <c r="USG916" s="1091"/>
      <c r="USH916" s="1091"/>
      <c r="USI916" s="1091"/>
      <c r="USJ916" s="1091"/>
      <c r="USK916" s="1091"/>
      <c r="USL916" s="1091"/>
      <c r="USM916" s="1091"/>
      <c r="USN916" s="1091"/>
      <c r="USO916" s="1091"/>
      <c r="USP916" s="1091"/>
      <c r="USQ916" s="1091"/>
      <c r="USR916" s="1091"/>
      <c r="USS916" s="1091"/>
      <c r="UST916" s="1091"/>
      <c r="USU916" s="1091"/>
      <c r="USV916" s="1091"/>
      <c r="USW916" s="1091"/>
      <c r="USX916" s="1091"/>
      <c r="USY916" s="1091"/>
      <c r="USZ916" s="1091"/>
      <c r="UTA916" s="1091"/>
      <c r="UTB916" s="1091"/>
      <c r="UTC916" s="1091"/>
      <c r="UTD916" s="1091"/>
      <c r="UTE916" s="1091"/>
      <c r="UTF916" s="1091"/>
      <c r="UTG916" s="1091"/>
      <c r="UTH916" s="1091"/>
      <c r="UTI916" s="1091"/>
      <c r="UTJ916" s="1091"/>
      <c r="UTK916" s="1091"/>
      <c r="UTL916" s="1091"/>
      <c r="UTM916" s="1091"/>
      <c r="UTN916" s="1091"/>
      <c r="UTO916" s="1091"/>
      <c r="UTP916" s="1091"/>
      <c r="UTQ916" s="1091"/>
      <c r="UTR916" s="1091"/>
      <c r="UTS916" s="1091"/>
      <c r="UTT916" s="1091"/>
      <c r="UTU916" s="1091"/>
      <c r="UTV916" s="1091"/>
      <c r="UTW916" s="1091"/>
      <c r="UTX916" s="1091"/>
      <c r="UTY916" s="1091"/>
      <c r="UTZ916" s="1091"/>
      <c r="UUA916" s="1091"/>
      <c r="UUB916" s="1091"/>
      <c r="UUC916" s="1091"/>
      <c r="UUD916" s="1091"/>
      <c r="UUE916" s="1091"/>
      <c r="UUF916" s="1091"/>
      <c r="UUG916" s="1091"/>
      <c r="UUH916" s="1091"/>
      <c r="UUI916" s="1091"/>
      <c r="UUJ916" s="1091"/>
      <c r="UUK916" s="1091"/>
      <c r="UUL916" s="1091"/>
      <c r="UUM916" s="1091"/>
      <c r="UUN916" s="1091"/>
      <c r="UUO916" s="1091"/>
      <c r="UUP916" s="1091"/>
      <c r="UUQ916" s="1091"/>
      <c r="UUR916" s="1091"/>
      <c r="UUS916" s="1091"/>
      <c r="UUT916" s="1091"/>
      <c r="UUU916" s="1091"/>
      <c r="UUV916" s="1091"/>
      <c r="UUW916" s="1091"/>
      <c r="UUX916" s="1091"/>
      <c r="UUY916" s="1091"/>
      <c r="UUZ916" s="1091"/>
      <c r="UVA916" s="1091"/>
      <c r="UVB916" s="1091"/>
      <c r="UVC916" s="1091"/>
      <c r="UVD916" s="1091"/>
      <c r="UVE916" s="1091"/>
      <c r="UVF916" s="1091"/>
      <c r="UVG916" s="1091"/>
      <c r="UVH916" s="1091"/>
      <c r="UVI916" s="1091"/>
      <c r="UVJ916" s="1091"/>
      <c r="UVK916" s="1091"/>
      <c r="UVL916" s="1091"/>
      <c r="UVM916" s="1091"/>
      <c r="UVN916" s="1091"/>
      <c r="UVO916" s="1091"/>
      <c r="UVP916" s="1091"/>
      <c r="UVQ916" s="1091"/>
      <c r="UVR916" s="1091"/>
      <c r="UVS916" s="1091"/>
      <c r="UVT916" s="1091"/>
      <c r="UVU916" s="1091"/>
      <c r="UVV916" s="1091"/>
      <c r="UVW916" s="1091"/>
      <c r="UVX916" s="1091"/>
      <c r="UVY916" s="1091"/>
      <c r="UVZ916" s="1091"/>
      <c r="UWA916" s="1091"/>
      <c r="UWB916" s="1091"/>
      <c r="UWC916" s="1091"/>
      <c r="UWD916" s="1091"/>
      <c r="UWE916" s="1091"/>
      <c r="UWF916" s="1091"/>
      <c r="UWG916" s="1091"/>
      <c r="UWH916" s="1091"/>
      <c r="UWI916" s="1091"/>
      <c r="UWJ916" s="1091"/>
      <c r="UWK916" s="1091"/>
      <c r="UWL916" s="1091"/>
      <c r="UWM916" s="1091"/>
      <c r="UWN916" s="1091"/>
      <c r="UWO916" s="1091"/>
      <c r="UWP916" s="1091"/>
      <c r="UWQ916" s="1091"/>
      <c r="UWR916" s="1091"/>
      <c r="UWS916" s="1091"/>
      <c r="UWT916" s="1091"/>
      <c r="UWU916" s="1091"/>
      <c r="UWV916" s="1091"/>
      <c r="UWW916" s="1091"/>
      <c r="UWX916" s="1091"/>
      <c r="UWY916" s="1091"/>
      <c r="UWZ916" s="1091"/>
      <c r="UXA916" s="1091"/>
      <c r="UXB916" s="1091"/>
      <c r="UXC916" s="1091"/>
      <c r="UXD916" s="1091"/>
      <c r="UXE916" s="1091"/>
      <c r="UXF916" s="1091"/>
      <c r="UXG916" s="1091"/>
      <c r="UXH916" s="1091"/>
      <c r="UXI916" s="1091"/>
      <c r="UXJ916" s="1091"/>
      <c r="UXK916" s="1091"/>
      <c r="UXL916" s="1091"/>
      <c r="UXM916" s="1091"/>
      <c r="UXN916" s="1091"/>
      <c r="UXO916" s="1091"/>
      <c r="UXP916" s="1091"/>
      <c r="UXQ916" s="1091"/>
      <c r="UXR916" s="1091"/>
      <c r="UXS916" s="1091"/>
      <c r="UXT916" s="1091"/>
      <c r="UXU916" s="1091"/>
      <c r="UXV916" s="1091"/>
      <c r="UXW916" s="1091"/>
      <c r="UXX916" s="1091"/>
      <c r="UXY916" s="1091"/>
      <c r="UXZ916" s="1091"/>
      <c r="UYA916" s="1091"/>
      <c r="UYB916" s="1091"/>
      <c r="UYC916" s="1091"/>
      <c r="UYD916" s="1091"/>
      <c r="UYE916" s="1091"/>
      <c r="UYF916" s="1091"/>
      <c r="UYG916" s="1091"/>
      <c r="UYH916" s="1091"/>
      <c r="UYI916" s="1091"/>
      <c r="UYJ916" s="1091"/>
      <c r="UYK916" s="1091"/>
      <c r="UYL916" s="1091"/>
      <c r="UYM916" s="1091"/>
      <c r="UYN916" s="1091"/>
      <c r="UYO916" s="1091"/>
      <c r="UYP916" s="1091"/>
      <c r="UYQ916" s="1091"/>
      <c r="UYR916" s="1091"/>
      <c r="UYS916" s="1091"/>
      <c r="UYT916" s="1091"/>
      <c r="UYU916" s="1091"/>
      <c r="UYV916" s="1091"/>
      <c r="UYW916" s="1091"/>
      <c r="UYX916" s="1091"/>
      <c r="UYY916" s="1091"/>
      <c r="UYZ916" s="1091"/>
      <c r="UZA916" s="1091"/>
      <c r="UZB916" s="1091"/>
      <c r="UZC916" s="1091"/>
      <c r="UZD916" s="1091"/>
      <c r="UZE916" s="1091"/>
      <c r="UZF916" s="1091"/>
      <c r="UZG916" s="1091"/>
      <c r="UZH916" s="1091"/>
      <c r="UZI916" s="1091"/>
      <c r="UZJ916" s="1091"/>
      <c r="UZK916" s="1091"/>
      <c r="UZL916" s="1091"/>
      <c r="UZM916" s="1091"/>
      <c r="UZN916" s="1091"/>
      <c r="UZO916" s="1091"/>
      <c r="UZP916" s="1091"/>
      <c r="UZQ916" s="1091"/>
      <c r="UZR916" s="1091"/>
      <c r="UZS916" s="1091"/>
      <c r="UZT916" s="1091"/>
      <c r="UZU916" s="1091"/>
      <c r="UZV916" s="1091"/>
      <c r="UZW916" s="1091"/>
      <c r="UZX916" s="1091"/>
      <c r="UZY916" s="1091"/>
      <c r="UZZ916" s="1091"/>
      <c r="VAA916" s="1091"/>
      <c r="VAB916" s="1091"/>
      <c r="VAC916" s="1091"/>
      <c r="VAD916" s="1091"/>
      <c r="VAE916" s="1091"/>
      <c r="VAF916" s="1091"/>
      <c r="VAG916" s="1091"/>
      <c r="VAH916" s="1091"/>
      <c r="VAI916" s="1091"/>
      <c r="VAJ916" s="1091"/>
      <c r="VAK916" s="1091"/>
      <c r="VAL916" s="1091"/>
      <c r="VAM916" s="1091"/>
      <c r="VAN916" s="1091"/>
      <c r="VAO916" s="1091"/>
      <c r="VAP916" s="1091"/>
      <c r="VAQ916" s="1091"/>
      <c r="VAR916" s="1091"/>
      <c r="VAS916" s="1091"/>
      <c r="VAT916" s="1091"/>
      <c r="VAU916" s="1091"/>
      <c r="VAV916" s="1091"/>
      <c r="VAW916" s="1091"/>
      <c r="VAX916" s="1091"/>
      <c r="VAY916" s="1091"/>
      <c r="VAZ916" s="1091"/>
      <c r="VBA916" s="1091"/>
      <c r="VBB916" s="1091"/>
      <c r="VBC916" s="1091"/>
      <c r="VBD916" s="1091"/>
      <c r="VBE916" s="1091"/>
      <c r="VBF916" s="1091"/>
      <c r="VBG916" s="1091"/>
      <c r="VBH916" s="1091"/>
      <c r="VBI916" s="1091"/>
      <c r="VBJ916" s="1091"/>
      <c r="VBK916" s="1091"/>
      <c r="VBL916" s="1091"/>
      <c r="VBM916" s="1091"/>
      <c r="VBN916" s="1091"/>
      <c r="VBO916" s="1091"/>
      <c r="VBP916" s="1091"/>
      <c r="VBQ916" s="1091"/>
      <c r="VBR916" s="1091"/>
      <c r="VBS916" s="1091"/>
      <c r="VBT916" s="1091"/>
      <c r="VBU916" s="1091"/>
      <c r="VBV916" s="1091"/>
      <c r="VBW916" s="1091"/>
      <c r="VBX916" s="1091"/>
      <c r="VBY916" s="1091"/>
      <c r="VBZ916" s="1091"/>
      <c r="VCA916" s="1091"/>
      <c r="VCB916" s="1091"/>
      <c r="VCC916" s="1091"/>
      <c r="VCD916" s="1091"/>
      <c r="VCE916" s="1091"/>
      <c r="VCF916" s="1091"/>
      <c r="VCG916" s="1091"/>
      <c r="VCH916" s="1091"/>
      <c r="VCI916" s="1091"/>
      <c r="VCJ916" s="1091"/>
      <c r="VCK916" s="1091"/>
      <c r="VCL916" s="1091"/>
      <c r="VCM916" s="1091"/>
      <c r="VCN916" s="1091"/>
      <c r="VCO916" s="1091"/>
      <c r="VCP916" s="1091"/>
      <c r="VCQ916" s="1091"/>
      <c r="VCR916" s="1091"/>
      <c r="VCS916" s="1091"/>
      <c r="VCT916" s="1091"/>
      <c r="VCU916" s="1091"/>
      <c r="VCV916" s="1091"/>
      <c r="VCW916" s="1091"/>
      <c r="VCX916" s="1091"/>
      <c r="VCY916" s="1091"/>
      <c r="VCZ916" s="1091"/>
      <c r="VDA916" s="1091"/>
      <c r="VDB916" s="1091"/>
      <c r="VDC916" s="1091"/>
      <c r="VDD916" s="1091"/>
      <c r="VDE916" s="1091"/>
      <c r="VDF916" s="1091"/>
      <c r="VDG916" s="1091"/>
      <c r="VDH916" s="1091"/>
      <c r="VDI916" s="1091"/>
      <c r="VDJ916" s="1091"/>
      <c r="VDK916" s="1091"/>
      <c r="VDL916" s="1091"/>
      <c r="VDM916" s="1091"/>
      <c r="VDN916" s="1091"/>
      <c r="VDO916" s="1091"/>
      <c r="VDP916" s="1091"/>
      <c r="VDQ916" s="1091"/>
      <c r="VDR916" s="1091"/>
      <c r="VDS916" s="1091"/>
      <c r="VDT916" s="1091"/>
      <c r="VDU916" s="1091"/>
      <c r="VDV916" s="1091"/>
      <c r="VDW916" s="1091"/>
      <c r="VDX916" s="1091"/>
      <c r="VDY916" s="1091"/>
      <c r="VDZ916" s="1091"/>
      <c r="VEA916" s="1091"/>
      <c r="VEB916" s="1091"/>
      <c r="VEC916" s="1091"/>
      <c r="VED916" s="1091"/>
      <c r="VEE916" s="1091"/>
      <c r="VEF916" s="1091"/>
      <c r="VEG916" s="1091"/>
      <c r="VEH916" s="1091"/>
      <c r="VEI916" s="1091"/>
      <c r="VEJ916" s="1091"/>
      <c r="VEK916" s="1091"/>
      <c r="VEL916" s="1091"/>
      <c r="VEM916" s="1091"/>
      <c r="VEN916" s="1091"/>
      <c r="VEO916" s="1091"/>
      <c r="VEP916" s="1091"/>
      <c r="VEQ916" s="1091"/>
      <c r="VER916" s="1091"/>
      <c r="VES916" s="1091"/>
      <c r="VET916" s="1091"/>
      <c r="VEU916" s="1091"/>
      <c r="VEV916" s="1091"/>
      <c r="VEW916" s="1091"/>
      <c r="VEX916" s="1091"/>
      <c r="VEY916" s="1091"/>
      <c r="VEZ916" s="1091"/>
      <c r="VFA916" s="1091"/>
      <c r="VFB916" s="1091"/>
      <c r="VFC916" s="1091"/>
      <c r="VFD916" s="1091"/>
      <c r="VFE916" s="1091"/>
      <c r="VFF916" s="1091"/>
      <c r="VFG916" s="1091"/>
      <c r="VFH916" s="1091"/>
      <c r="VFI916" s="1091"/>
      <c r="VFJ916" s="1091"/>
      <c r="VFK916" s="1091"/>
      <c r="VFL916" s="1091"/>
      <c r="VFM916" s="1091"/>
      <c r="VFN916" s="1091"/>
      <c r="VFO916" s="1091"/>
      <c r="VFP916" s="1091"/>
      <c r="VFQ916" s="1091"/>
      <c r="VFR916" s="1091"/>
      <c r="VFS916" s="1091"/>
      <c r="VFT916" s="1091"/>
      <c r="VFU916" s="1091"/>
      <c r="VFV916" s="1091"/>
      <c r="VFW916" s="1091"/>
      <c r="VFX916" s="1091"/>
      <c r="VFY916" s="1091"/>
      <c r="VFZ916" s="1091"/>
      <c r="VGA916" s="1091"/>
      <c r="VGB916" s="1091"/>
      <c r="VGC916" s="1091"/>
      <c r="VGD916" s="1091"/>
      <c r="VGE916" s="1091"/>
      <c r="VGF916" s="1091"/>
      <c r="VGG916" s="1091"/>
      <c r="VGH916" s="1091"/>
      <c r="VGI916" s="1091"/>
      <c r="VGJ916" s="1091"/>
      <c r="VGK916" s="1091"/>
      <c r="VGL916" s="1091"/>
      <c r="VGM916" s="1091"/>
      <c r="VGN916" s="1091"/>
      <c r="VGO916" s="1091"/>
      <c r="VGP916" s="1091"/>
      <c r="VGQ916" s="1091"/>
      <c r="VGR916" s="1091"/>
      <c r="VGS916" s="1091"/>
      <c r="VGT916" s="1091"/>
      <c r="VGU916" s="1091"/>
      <c r="VGV916" s="1091"/>
      <c r="VGW916" s="1091"/>
      <c r="VGX916" s="1091"/>
      <c r="VGY916" s="1091"/>
      <c r="VGZ916" s="1091"/>
      <c r="VHA916" s="1091"/>
      <c r="VHB916" s="1091"/>
      <c r="VHC916" s="1091"/>
      <c r="VHD916" s="1091"/>
      <c r="VHE916" s="1091"/>
      <c r="VHF916" s="1091"/>
      <c r="VHG916" s="1091"/>
      <c r="VHH916" s="1091"/>
      <c r="VHI916" s="1091"/>
      <c r="VHJ916" s="1091"/>
      <c r="VHK916" s="1091"/>
      <c r="VHL916" s="1091"/>
      <c r="VHM916" s="1091"/>
      <c r="VHN916" s="1091"/>
      <c r="VHO916" s="1091"/>
      <c r="VHP916" s="1091"/>
      <c r="VHQ916" s="1091"/>
      <c r="VHR916" s="1091"/>
      <c r="VHS916" s="1091"/>
      <c r="VHT916" s="1091"/>
      <c r="VHU916" s="1091"/>
      <c r="VHV916" s="1091"/>
      <c r="VHW916" s="1091"/>
      <c r="VHX916" s="1091"/>
      <c r="VHY916" s="1091"/>
      <c r="VHZ916" s="1091"/>
      <c r="VIA916" s="1091"/>
      <c r="VIB916" s="1091"/>
      <c r="VIC916" s="1091"/>
      <c r="VID916" s="1091"/>
      <c r="VIE916" s="1091"/>
      <c r="VIF916" s="1091"/>
      <c r="VIG916" s="1091"/>
      <c r="VIH916" s="1091"/>
      <c r="VII916" s="1091"/>
      <c r="VIJ916" s="1091"/>
      <c r="VIK916" s="1091"/>
      <c r="VIL916" s="1091"/>
      <c r="VIM916" s="1091"/>
      <c r="VIN916" s="1091"/>
      <c r="VIO916" s="1091"/>
      <c r="VIP916" s="1091"/>
      <c r="VIQ916" s="1091"/>
      <c r="VIR916" s="1091"/>
      <c r="VIS916" s="1091"/>
      <c r="VIT916" s="1091"/>
      <c r="VIU916" s="1091"/>
      <c r="VIV916" s="1091"/>
      <c r="VIW916" s="1091"/>
      <c r="VIX916" s="1091"/>
      <c r="VIY916" s="1091"/>
      <c r="VIZ916" s="1091"/>
      <c r="VJA916" s="1091"/>
      <c r="VJB916" s="1091"/>
      <c r="VJC916" s="1091"/>
      <c r="VJD916" s="1091"/>
      <c r="VJE916" s="1091"/>
      <c r="VJF916" s="1091"/>
      <c r="VJG916" s="1091"/>
      <c r="VJH916" s="1091"/>
      <c r="VJI916" s="1091"/>
      <c r="VJJ916" s="1091"/>
      <c r="VJK916" s="1091"/>
      <c r="VJL916" s="1091"/>
      <c r="VJM916" s="1091"/>
      <c r="VJN916" s="1091"/>
      <c r="VJO916" s="1091"/>
      <c r="VJP916" s="1091"/>
      <c r="VJQ916" s="1091"/>
      <c r="VJR916" s="1091"/>
      <c r="VJS916" s="1091"/>
      <c r="VJT916" s="1091"/>
      <c r="VJU916" s="1091"/>
      <c r="VJV916" s="1091"/>
      <c r="VJW916" s="1091"/>
      <c r="VJX916" s="1091"/>
      <c r="VJY916" s="1091"/>
      <c r="VJZ916" s="1091"/>
      <c r="VKA916" s="1091"/>
      <c r="VKB916" s="1091"/>
      <c r="VKC916" s="1091"/>
      <c r="VKD916" s="1091"/>
      <c r="VKE916" s="1091"/>
      <c r="VKF916" s="1091"/>
      <c r="VKG916" s="1091"/>
      <c r="VKH916" s="1091"/>
      <c r="VKI916" s="1091"/>
      <c r="VKJ916" s="1091"/>
      <c r="VKK916" s="1091"/>
      <c r="VKL916" s="1091"/>
      <c r="VKM916" s="1091"/>
      <c r="VKN916" s="1091"/>
      <c r="VKO916" s="1091"/>
      <c r="VKP916" s="1091"/>
      <c r="VKQ916" s="1091"/>
      <c r="VKR916" s="1091"/>
      <c r="VKS916" s="1091"/>
      <c r="VKT916" s="1091"/>
      <c r="VKU916" s="1091"/>
      <c r="VKV916" s="1091"/>
      <c r="VKW916" s="1091"/>
      <c r="VKX916" s="1091"/>
      <c r="VKY916" s="1091"/>
      <c r="VKZ916" s="1091"/>
      <c r="VLA916" s="1091"/>
      <c r="VLB916" s="1091"/>
      <c r="VLC916" s="1091"/>
      <c r="VLD916" s="1091"/>
      <c r="VLE916" s="1091"/>
      <c r="VLF916" s="1091"/>
      <c r="VLG916" s="1091"/>
      <c r="VLH916" s="1091"/>
      <c r="VLI916" s="1091"/>
      <c r="VLJ916" s="1091"/>
      <c r="VLK916" s="1091"/>
      <c r="VLL916" s="1091"/>
      <c r="VLM916" s="1091"/>
      <c r="VLN916" s="1091"/>
      <c r="VLO916" s="1091"/>
      <c r="VLP916" s="1091"/>
      <c r="VLQ916" s="1091"/>
      <c r="VLR916" s="1091"/>
      <c r="VLS916" s="1091"/>
      <c r="VLT916" s="1091"/>
      <c r="VLU916" s="1091"/>
      <c r="VLV916" s="1091"/>
      <c r="VLW916" s="1091"/>
      <c r="VLX916" s="1091"/>
      <c r="VLY916" s="1091"/>
      <c r="VLZ916" s="1091"/>
      <c r="VMA916" s="1091"/>
      <c r="VMB916" s="1091"/>
      <c r="VMC916" s="1091"/>
      <c r="VMD916" s="1091"/>
      <c r="VME916" s="1091"/>
      <c r="VMF916" s="1091"/>
      <c r="VMG916" s="1091"/>
      <c r="VMH916" s="1091"/>
      <c r="VMI916" s="1091"/>
      <c r="VMJ916" s="1091"/>
      <c r="VMK916" s="1091"/>
      <c r="VML916" s="1091"/>
      <c r="VMM916" s="1091"/>
      <c r="VMN916" s="1091"/>
      <c r="VMO916" s="1091"/>
      <c r="VMP916" s="1091"/>
      <c r="VMQ916" s="1091"/>
      <c r="VMR916" s="1091"/>
      <c r="VMS916" s="1091"/>
      <c r="VMT916" s="1091"/>
      <c r="VMU916" s="1091"/>
      <c r="VMV916" s="1091"/>
      <c r="VMW916" s="1091"/>
      <c r="VMX916" s="1091"/>
      <c r="VMY916" s="1091"/>
      <c r="VMZ916" s="1091"/>
      <c r="VNA916" s="1091"/>
      <c r="VNB916" s="1091"/>
      <c r="VNC916" s="1091"/>
      <c r="VND916" s="1091"/>
      <c r="VNE916" s="1091"/>
      <c r="VNF916" s="1091"/>
      <c r="VNG916" s="1091"/>
      <c r="VNH916" s="1091"/>
      <c r="VNI916" s="1091"/>
      <c r="VNJ916" s="1091"/>
      <c r="VNK916" s="1091"/>
      <c r="VNL916" s="1091"/>
      <c r="VNM916" s="1091"/>
      <c r="VNN916" s="1091"/>
      <c r="VNO916" s="1091"/>
      <c r="VNP916" s="1091"/>
      <c r="VNQ916" s="1091"/>
      <c r="VNR916" s="1091"/>
      <c r="VNS916" s="1091"/>
      <c r="VNT916" s="1091"/>
      <c r="VNU916" s="1091"/>
      <c r="VNV916" s="1091"/>
      <c r="VNW916" s="1091"/>
      <c r="VNX916" s="1091"/>
      <c r="VNY916" s="1091"/>
      <c r="VNZ916" s="1091"/>
      <c r="VOA916" s="1091"/>
      <c r="VOB916" s="1091"/>
      <c r="VOC916" s="1091"/>
      <c r="VOD916" s="1091"/>
      <c r="VOE916" s="1091"/>
      <c r="VOF916" s="1091"/>
      <c r="VOG916" s="1091"/>
      <c r="VOH916" s="1091"/>
      <c r="VOI916" s="1091"/>
      <c r="VOJ916" s="1091"/>
      <c r="VOK916" s="1091"/>
      <c r="VOL916" s="1091"/>
      <c r="VOM916" s="1091"/>
      <c r="VON916" s="1091"/>
      <c r="VOO916" s="1091"/>
      <c r="VOP916" s="1091"/>
      <c r="VOQ916" s="1091"/>
      <c r="VOR916" s="1091"/>
      <c r="VOS916" s="1091"/>
      <c r="VOT916" s="1091"/>
      <c r="VOU916" s="1091"/>
      <c r="VOV916" s="1091"/>
      <c r="VOW916" s="1091"/>
      <c r="VOX916" s="1091"/>
      <c r="VOY916" s="1091"/>
      <c r="VOZ916" s="1091"/>
      <c r="VPA916" s="1091"/>
      <c r="VPB916" s="1091"/>
      <c r="VPC916" s="1091"/>
      <c r="VPD916" s="1091"/>
      <c r="VPE916" s="1091"/>
      <c r="VPF916" s="1091"/>
      <c r="VPG916" s="1091"/>
      <c r="VPH916" s="1091"/>
      <c r="VPI916" s="1091"/>
      <c r="VPJ916" s="1091"/>
      <c r="VPK916" s="1091"/>
      <c r="VPL916" s="1091"/>
      <c r="VPM916" s="1091"/>
      <c r="VPN916" s="1091"/>
      <c r="VPO916" s="1091"/>
      <c r="VPP916" s="1091"/>
      <c r="VPQ916" s="1091"/>
      <c r="VPR916" s="1091"/>
      <c r="VPS916" s="1091"/>
      <c r="VPT916" s="1091"/>
      <c r="VPU916" s="1091"/>
      <c r="VPV916" s="1091"/>
      <c r="VPW916" s="1091"/>
      <c r="VPX916" s="1091"/>
      <c r="VPY916" s="1091"/>
      <c r="VPZ916" s="1091"/>
      <c r="VQA916" s="1091"/>
      <c r="VQB916" s="1091"/>
      <c r="VQC916" s="1091"/>
      <c r="VQD916" s="1091"/>
      <c r="VQE916" s="1091"/>
      <c r="VQF916" s="1091"/>
      <c r="VQG916" s="1091"/>
      <c r="VQH916" s="1091"/>
      <c r="VQI916" s="1091"/>
      <c r="VQJ916" s="1091"/>
      <c r="VQK916" s="1091"/>
      <c r="VQL916" s="1091"/>
      <c r="VQM916" s="1091"/>
      <c r="VQN916" s="1091"/>
      <c r="VQO916" s="1091"/>
      <c r="VQP916" s="1091"/>
      <c r="VQQ916" s="1091"/>
      <c r="VQR916" s="1091"/>
      <c r="VQS916" s="1091"/>
      <c r="VQT916" s="1091"/>
      <c r="VQU916" s="1091"/>
      <c r="VQV916" s="1091"/>
      <c r="VQW916" s="1091"/>
      <c r="VQX916" s="1091"/>
      <c r="VQY916" s="1091"/>
      <c r="VQZ916" s="1091"/>
      <c r="VRA916" s="1091"/>
      <c r="VRB916" s="1091"/>
      <c r="VRC916" s="1091"/>
      <c r="VRD916" s="1091"/>
      <c r="VRE916" s="1091"/>
      <c r="VRF916" s="1091"/>
      <c r="VRG916" s="1091"/>
      <c r="VRH916" s="1091"/>
      <c r="VRI916" s="1091"/>
      <c r="VRJ916" s="1091"/>
      <c r="VRK916" s="1091"/>
      <c r="VRL916" s="1091"/>
      <c r="VRM916" s="1091"/>
      <c r="VRN916" s="1091"/>
      <c r="VRO916" s="1091"/>
      <c r="VRP916" s="1091"/>
      <c r="VRQ916" s="1091"/>
      <c r="VRR916" s="1091"/>
      <c r="VRS916" s="1091"/>
      <c r="VRT916" s="1091"/>
      <c r="VRU916" s="1091"/>
      <c r="VRV916" s="1091"/>
      <c r="VRW916" s="1091"/>
      <c r="VRX916" s="1091"/>
      <c r="VRY916" s="1091"/>
      <c r="VRZ916" s="1091"/>
      <c r="VSA916" s="1091"/>
      <c r="VSB916" s="1091"/>
      <c r="VSC916" s="1091"/>
      <c r="VSD916" s="1091"/>
      <c r="VSE916" s="1091"/>
      <c r="VSF916" s="1091"/>
      <c r="VSG916" s="1091"/>
      <c r="VSH916" s="1091"/>
      <c r="VSI916" s="1091"/>
      <c r="VSJ916" s="1091"/>
      <c r="VSK916" s="1091"/>
      <c r="VSL916" s="1091"/>
      <c r="VSM916" s="1091"/>
      <c r="VSN916" s="1091"/>
      <c r="VSO916" s="1091"/>
      <c r="VSP916" s="1091"/>
      <c r="VSQ916" s="1091"/>
      <c r="VSR916" s="1091"/>
      <c r="VSS916" s="1091"/>
      <c r="VST916" s="1091"/>
      <c r="VSU916" s="1091"/>
      <c r="VSV916" s="1091"/>
      <c r="VSW916" s="1091"/>
      <c r="VSX916" s="1091"/>
      <c r="VSY916" s="1091"/>
      <c r="VSZ916" s="1091"/>
      <c r="VTA916" s="1091"/>
      <c r="VTB916" s="1091"/>
      <c r="VTC916" s="1091"/>
      <c r="VTD916" s="1091"/>
      <c r="VTE916" s="1091"/>
      <c r="VTF916" s="1091"/>
      <c r="VTG916" s="1091"/>
      <c r="VTH916" s="1091"/>
      <c r="VTI916" s="1091"/>
      <c r="VTJ916" s="1091"/>
      <c r="VTK916" s="1091"/>
      <c r="VTL916" s="1091"/>
      <c r="VTM916" s="1091"/>
      <c r="VTN916" s="1091"/>
      <c r="VTO916" s="1091"/>
      <c r="VTP916" s="1091"/>
      <c r="VTQ916" s="1091"/>
      <c r="VTR916" s="1091"/>
      <c r="VTS916" s="1091"/>
      <c r="VTT916" s="1091"/>
      <c r="VTU916" s="1091"/>
      <c r="VTV916" s="1091"/>
      <c r="VTW916" s="1091"/>
      <c r="VTX916" s="1091"/>
      <c r="VTY916" s="1091"/>
      <c r="VTZ916" s="1091"/>
      <c r="VUA916" s="1091"/>
      <c r="VUB916" s="1091"/>
      <c r="VUC916" s="1091"/>
      <c r="VUD916" s="1091"/>
      <c r="VUE916" s="1091"/>
      <c r="VUF916" s="1091"/>
      <c r="VUG916" s="1091"/>
      <c r="VUH916" s="1091"/>
      <c r="VUI916" s="1091"/>
      <c r="VUJ916" s="1091"/>
      <c r="VUK916" s="1091"/>
      <c r="VUL916" s="1091"/>
      <c r="VUM916" s="1091"/>
      <c r="VUN916" s="1091"/>
      <c r="VUO916" s="1091"/>
      <c r="VUP916" s="1091"/>
      <c r="VUQ916" s="1091"/>
      <c r="VUR916" s="1091"/>
      <c r="VUS916" s="1091"/>
      <c r="VUT916" s="1091"/>
      <c r="VUU916" s="1091"/>
      <c r="VUV916" s="1091"/>
      <c r="VUW916" s="1091"/>
      <c r="VUX916" s="1091"/>
      <c r="VUY916" s="1091"/>
      <c r="VUZ916" s="1091"/>
      <c r="VVA916" s="1091"/>
      <c r="VVB916" s="1091"/>
      <c r="VVC916" s="1091"/>
      <c r="VVD916" s="1091"/>
      <c r="VVE916" s="1091"/>
      <c r="VVF916" s="1091"/>
      <c r="VVG916" s="1091"/>
      <c r="VVH916" s="1091"/>
      <c r="VVI916" s="1091"/>
      <c r="VVJ916" s="1091"/>
      <c r="VVK916" s="1091"/>
      <c r="VVL916" s="1091"/>
      <c r="VVM916" s="1091"/>
      <c r="VVN916" s="1091"/>
      <c r="VVO916" s="1091"/>
      <c r="VVP916" s="1091"/>
      <c r="VVQ916" s="1091"/>
      <c r="VVR916" s="1091"/>
      <c r="VVS916" s="1091"/>
      <c r="VVT916" s="1091"/>
      <c r="VVU916" s="1091"/>
      <c r="VVV916" s="1091"/>
      <c r="VVW916" s="1091"/>
      <c r="VVX916" s="1091"/>
      <c r="VVY916" s="1091"/>
      <c r="VVZ916" s="1091"/>
      <c r="VWA916" s="1091"/>
      <c r="VWB916" s="1091"/>
      <c r="VWC916" s="1091"/>
      <c r="VWD916" s="1091"/>
      <c r="VWE916" s="1091"/>
      <c r="VWF916" s="1091"/>
      <c r="VWG916" s="1091"/>
      <c r="VWH916" s="1091"/>
      <c r="VWI916" s="1091"/>
      <c r="VWJ916" s="1091"/>
      <c r="VWK916" s="1091"/>
      <c r="VWL916" s="1091"/>
      <c r="VWM916" s="1091"/>
      <c r="VWN916" s="1091"/>
      <c r="VWO916" s="1091"/>
      <c r="VWP916" s="1091"/>
      <c r="VWQ916" s="1091"/>
      <c r="VWR916" s="1091"/>
      <c r="VWS916" s="1091"/>
      <c r="VWT916" s="1091"/>
      <c r="VWU916" s="1091"/>
      <c r="VWV916" s="1091"/>
      <c r="VWW916" s="1091"/>
      <c r="VWX916" s="1091"/>
      <c r="VWY916" s="1091"/>
      <c r="VWZ916" s="1091"/>
      <c r="VXA916" s="1091"/>
      <c r="VXB916" s="1091"/>
      <c r="VXC916" s="1091"/>
      <c r="VXD916" s="1091"/>
      <c r="VXE916" s="1091"/>
      <c r="VXF916" s="1091"/>
      <c r="VXG916" s="1091"/>
      <c r="VXH916" s="1091"/>
      <c r="VXI916" s="1091"/>
      <c r="VXJ916" s="1091"/>
      <c r="VXK916" s="1091"/>
      <c r="VXL916" s="1091"/>
      <c r="VXM916" s="1091"/>
      <c r="VXN916" s="1091"/>
      <c r="VXO916" s="1091"/>
      <c r="VXP916" s="1091"/>
      <c r="VXQ916" s="1091"/>
      <c r="VXR916" s="1091"/>
      <c r="VXS916" s="1091"/>
      <c r="VXT916" s="1091"/>
      <c r="VXU916" s="1091"/>
      <c r="VXV916" s="1091"/>
      <c r="VXW916" s="1091"/>
      <c r="VXX916" s="1091"/>
      <c r="VXY916" s="1091"/>
      <c r="VXZ916" s="1091"/>
      <c r="VYA916" s="1091"/>
      <c r="VYB916" s="1091"/>
      <c r="VYC916" s="1091"/>
      <c r="VYD916" s="1091"/>
      <c r="VYE916" s="1091"/>
      <c r="VYF916" s="1091"/>
      <c r="VYG916" s="1091"/>
      <c r="VYH916" s="1091"/>
      <c r="VYI916" s="1091"/>
      <c r="VYJ916" s="1091"/>
      <c r="VYK916" s="1091"/>
      <c r="VYL916" s="1091"/>
      <c r="VYM916" s="1091"/>
      <c r="VYN916" s="1091"/>
      <c r="VYO916" s="1091"/>
      <c r="VYP916" s="1091"/>
      <c r="VYQ916" s="1091"/>
      <c r="VYR916" s="1091"/>
      <c r="VYS916" s="1091"/>
      <c r="VYT916" s="1091"/>
      <c r="VYU916" s="1091"/>
      <c r="VYV916" s="1091"/>
      <c r="VYW916" s="1091"/>
      <c r="VYX916" s="1091"/>
      <c r="VYY916" s="1091"/>
      <c r="VYZ916" s="1091"/>
      <c r="VZA916" s="1091"/>
      <c r="VZB916" s="1091"/>
      <c r="VZC916" s="1091"/>
      <c r="VZD916" s="1091"/>
      <c r="VZE916" s="1091"/>
      <c r="VZF916" s="1091"/>
      <c r="VZG916" s="1091"/>
      <c r="VZH916" s="1091"/>
      <c r="VZI916" s="1091"/>
      <c r="VZJ916" s="1091"/>
      <c r="VZK916" s="1091"/>
      <c r="VZL916" s="1091"/>
      <c r="VZM916" s="1091"/>
      <c r="VZN916" s="1091"/>
      <c r="VZO916" s="1091"/>
      <c r="VZP916" s="1091"/>
      <c r="VZQ916" s="1091"/>
      <c r="VZR916" s="1091"/>
      <c r="VZS916" s="1091"/>
      <c r="VZT916" s="1091"/>
      <c r="VZU916" s="1091"/>
      <c r="VZV916" s="1091"/>
      <c r="VZW916" s="1091"/>
      <c r="VZX916" s="1091"/>
      <c r="VZY916" s="1091"/>
      <c r="VZZ916" s="1091"/>
      <c r="WAA916" s="1091"/>
      <c r="WAB916" s="1091"/>
      <c r="WAC916" s="1091"/>
      <c r="WAD916" s="1091"/>
      <c r="WAE916" s="1091"/>
      <c r="WAF916" s="1091"/>
      <c r="WAG916" s="1091"/>
      <c r="WAH916" s="1091"/>
      <c r="WAI916" s="1091"/>
      <c r="WAJ916" s="1091"/>
      <c r="WAK916" s="1091"/>
      <c r="WAL916" s="1091"/>
      <c r="WAM916" s="1091"/>
      <c r="WAN916" s="1091"/>
      <c r="WAO916" s="1091"/>
      <c r="WAP916" s="1091"/>
      <c r="WAQ916" s="1091"/>
      <c r="WAR916" s="1091"/>
      <c r="WAS916" s="1091"/>
      <c r="WAT916" s="1091"/>
      <c r="WAU916" s="1091"/>
      <c r="WAV916" s="1091"/>
      <c r="WAW916" s="1091"/>
      <c r="WAX916" s="1091"/>
      <c r="WAY916" s="1091"/>
      <c r="WAZ916" s="1091"/>
      <c r="WBA916" s="1091"/>
      <c r="WBB916" s="1091"/>
      <c r="WBC916" s="1091"/>
      <c r="WBD916" s="1091"/>
      <c r="WBE916" s="1091"/>
      <c r="WBF916" s="1091"/>
      <c r="WBG916" s="1091"/>
      <c r="WBH916" s="1091"/>
      <c r="WBI916" s="1091"/>
      <c r="WBJ916" s="1091"/>
      <c r="WBK916" s="1091"/>
      <c r="WBL916" s="1091"/>
      <c r="WBM916" s="1091"/>
      <c r="WBN916" s="1091"/>
      <c r="WBO916" s="1091"/>
      <c r="WBP916" s="1091"/>
      <c r="WBQ916" s="1091"/>
      <c r="WBR916" s="1091"/>
      <c r="WBS916" s="1091"/>
      <c r="WBT916" s="1091"/>
      <c r="WBU916" s="1091"/>
      <c r="WBV916" s="1091"/>
      <c r="WBW916" s="1091"/>
      <c r="WBX916" s="1091"/>
      <c r="WBY916" s="1091"/>
      <c r="WBZ916" s="1091"/>
      <c r="WCA916" s="1091"/>
      <c r="WCB916" s="1091"/>
      <c r="WCC916" s="1091"/>
      <c r="WCD916" s="1091"/>
      <c r="WCE916" s="1091"/>
      <c r="WCF916" s="1091"/>
      <c r="WCG916" s="1091"/>
      <c r="WCH916" s="1091"/>
      <c r="WCI916" s="1091"/>
      <c r="WCJ916" s="1091"/>
      <c r="WCK916" s="1091"/>
      <c r="WCL916" s="1091"/>
      <c r="WCM916" s="1091"/>
      <c r="WCN916" s="1091"/>
      <c r="WCO916" s="1091"/>
      <c r="WCP916" s="1091"/>
      <c r="WCQ916" s="1091"/>
      <c r="WCR916" s="1091"/>
      <c r="WCS916" s="1091"/>
      <c r="WCT916" s="1091"/>
      <c r="WCU916" s="1091"/>
      <c r="WCV916" s="1091"/>
      <c r="WCW916" s="1091"/>
      <c r="WCX916" s="1091"/>
      <c r="WCY916" s="1091"/>
      <c r="WCZ916" s="1091"/>
      <c r="WDA916" s="1091"/>
      <c r="WDB916" s="1091"/>
      <c r="WDC916" s="1091"/>
      <c r="WDD916" s="1091"/>
      <c r="WDE916" s="1091"/>
      <c r="WDF916" s="1091"/>
      <c r="WDG916" s="1091"/>
      <c r="WDH916" s="1091"/>
      <c r="WDI916" s="1091"/>
      <c r="WDJ916" s="1091"/>
      <c r="WDK916" s="1091"/>
      <c r="WDL916" s="1091"/>
      <c r="WDM916" s="1091"/>
      <c r="WDN916" s="1091"/>
      <c r="WDO916" s="1091"/>
      <c r="WDP916" s="1091"/>
      <c r="WDQ916" s="1091"/>
      <c r="WDR916" s="1091"/>
      <c r="WDS916" s="1091"/>
      <c r="WDT916" s="1091"/>
      <c r="WDU916" s="1091"/>
      <c r="WDV916" s="1091"/>
      <c r="WDW916" s="1091"/>
      <c r="WDX916" s="1091"/>
      <c r="WDY916" s="1091"/>
      <c r="WDZ916" s="1091"/>
      <c r="WEA916" s="1091"/>
      <c r="WEB916" s="1091"/>
      <c r="WEC916" s="1091"/>
      <c r="WED916" s="1091"/>
      <c r="WEE916" s="1091"/>
      <c r="WEF916" s="1091"/>
      <c r="WEG916" s="1091"/>
      <c r="WEH916" s="1091"/>
      <c r="WEI916" s="1091"/>
      <c r="WEJ916" s="1091"/>
      <c r="WEK916" s="1091"/>
      <c r="WEL916" s="1091"/>
      <c r="WEM916" s="1091"/>
      <c r="WEN916" s="1091"/>
      <c r="WEO916" s="1091"/>
      <c r="WEP916" s="1091"/>
      <c r="WEQ916" s="1091"/>
      <c r="WER916" s="1091"/>
      <c r="WES916" s="1091"/>
      <c r="WET916" s="1091"/>
      <c r="WEU916" s="1091"/>
      <c r="WEV916" s="1091"/>
      <c r="WEW916" s="1091"/>
      <c r="WEX916" s="1091"/>
      <c r="WEY916" s="1091"/>
      <c r="WEZ916" s="1091"/>
      <c r="WFA916" s="1091"/>
      <c r="WFB916" s="1091"/>
      <c r="WFC916" s="1091"/>
      <c r="WFD916" s="1091"/>
      <c r="WFE916" s="1091"/>
      <c r="WFF916" s="1091"/>
      <c r="WFG916" s="1091"/>
      <c r="WFH916" s="1091"/>
      <c r="WFI916" s="1091"/>
      <c r="WFJ916" s="1091"/>
      <c r="WFK916" s="1091"/>
      <c r="WFL916" s="1091"/>
      <c r="WFM916" s="1091"/>
      <c r="WFN916" s="1091"/>
      <c r="WFO916" s="1091"/>
      <c r="WFP916" s="1091"/>
      <c r="WFQ916" s="1091"/>
      <c r="WFR916" s="1091"/>
      <c r="WFS916" s="1091"/>
      <c r="WFT916" s="1091"/>
      <c r="WFU916" s="1091"/>
      <c r="WFV916" s="1091"/>
      <c r="WFW916" s="1091"/>
      <c r="WFX916" s="1091"/>
      <c r="WFY916" s="1091"/>
      <c r="WFZ916" s="1091"/>
      <c r="WGA916" s="1091"/>
      <c r="WGB916" s="1091"/>
      <c r="WGC916" s="1091"/>
      <c r="WGD916" s="1091"/>
      <c r="WGE916" s="1091"/>
      <c r="WGF916" s="1091"/>
      <c r="WGG916" s="1091"/>
      <c r="WGH916" s="1091"/>
      <c r="WGI916" s="1091"/>
      <c r="WGJ916" s="1091"/>
      <c r="WGK916" s="1091"/>
      <c r="WGL916" s="1091"/>
      <c r="WGM916" s="1091"/>
      <c r="WGN916" s="1091"/>
      <c r="WGO916" s="1091"/>
      <c r="WGP916" s="1091"/>
      <c r="WGQ916" s="1091"/>
      <c r="WGR916" s="1091"/>
      <c r="WGS916" s="1091"/>
      <c r="WGT916" s="1091"/>
      <c r="WGU916" s="1091"/>
      <c r="WGV916" s="1091"/>
      <c r="WGW916" s="1091"/>
      <c r="WGX916" s="1091"/>
      <c r="WGY916" s="1091"/>
      <c r="WGZ916" s="1091"/>
      <c r="WHA916" s="1091"/>
      <c r="WHB916" s="1091"/>
      <c r="WHC916" s="1091"/>
      <c r="WHD916" s="1091"/>
      <c r="WHE916" s="1091"/>
      <c r="WHF916" s="1091"/>
      <c r="WHG916" s="1091"/>
      <c r="WHH916" s="1091"/>
      <c r="WHI916" s="1091"/>
      <c r="WHJ916" s="1091"/>
      <c r="WHK916" s="1091"/>
      <c r="WHL916" s="1091"/>
      <c r="WHM916" s="1091"/>
      <c r="WHN916" s="1091"/>
      <c r="WHO916" s="1091"/>
      <c r="WHP916" s="1091"/>
      <c r="WHQ916" s="1091"/>
      <c r="WHR916" s="1091"/>
      <c r="WHS916" s="1091"/>
      <c r="WHT916" s="1091"/>
      <c r="WHU916" s="1091"/>
      <c r="WHV916" s="1091"/>
      <c r="WHW916" s="1091"/>
      <c r="WHX916" s="1091"/>
      <c r="WHY916" s="1091"/>
      <c r="WHZ916" s="1091"/>
      <c r="WIA916" s="1091"/>
      <c r="WIB916" s="1091"/>
      <c r="WIC916" s="1091"/>
      <c r="WID916" s="1091"/>
      <c r="WIE916" s="1091"/>
      <c r="WIF916" s="1091"/>
      <c r="WIG916" s="1091"/>
      <c r="WIH916" s="1091"/>
      <c r="WII916" s="1091"/>
      <c r="WIJ916" s="1091"/>
      <c r="WIK916" s="1091"/>
      <c r="WIL916" s="1091"/>
      <c r="WIM916" s="1091"/>
      <c r="WIN916" s="1091"/>
      <c r="WIO916" s="1091"/>
      <c r="WIP916" s="1091"/>
      <c r="WIQ916" s="1091"/>
      <c r="WIR916" s="1091"/>
      <c r="WIS916" s="1091"/>
      <c r="WIT916" s="1091"/>
      <c r="WIU916" s="1091"/>
      <c r="WIV916" s="1091"/>
      <c r="WIW916" s="1091"/>
      <c r="WIX916" s="1091"/>
      <c r="WIY916" s="1091"/>
      <c r="WIZ916" s="1091"/>
      <c r="WJA916" s="1091"/>
      <c r="WJB916" s="1091"/>
      <c r="WJC916" s="1091"/>
      <c r="WJD916" s="1091"/>
      <c r="WJE916" s="1091"/>
      <c r="WJF916" s="1091"/>
      <c r="WJG916" s="1091"/>
      <c r="WJH916" s="1091"/>
      <c r="WJI916" s="1091"/>
      <c r="WJJ916" s="1091"/>
      <c r="WJK916" s="1091"/>
      <c r="WJL916" s="1091"/>
      <c r="WJM916" s="1091"/>
      <c r="WJN916" s="1091"/>
      <c r="WJO916" s="1091"/>
      <c r="WJP916" s="1091"/>
      <c r="WJQ916" s="1091"/>
      <c r="WJR916" s="1091"/>
      <c r="WJS916" s="1091"/>
      <c r="WJT916" s="1091"/>
      <c r="WJU916" s="1091"/>
      <c r="WJV916" s="1091"/>
      <c r="WJW916" s="1091"/>
      <c r="WJX916" s="1091"/>
      <c r="WJY916" s="1091"/>
      <c r="WJZ916" s="1091"/>
      <c r="WKA916" s="1091"/>
      <c r="WKB916" s="1091"/>
      <c r="WKC916" s="1091"/>
      <c r="WKD916" s="1091"/>
      <c r="WKE916" s="1091"/>
      <c r="WKF916" s="1091"/>
      <c r="WKG916" s="1091"/>
      <c r="WKH916" s="1091"/>
      <c r="WKI916" s="1091"/>
      <c r="WKJ916" s="1091"/>
      <c r="WKK916" s="1091"/>
      <c r="WKL916" s="1091"/>
      <c r="WKM916" s="1091"/>
      <c r="WKN916" s="1091"/>
      <c r="WKO916" s="1091"/>
      <c r="WKP916" s="1091"/>
      <c r="WKQ916" s="1091"/>
      <c r="WKR916" s="1091"/>
      <c r="WKS916" s="1091"/>
      <c r="WKT916" s="1091"/>
      <c r="WKU916" s="1091"/>
      <c r="WKV916" s="1091"/>
      <c r="WKW916" s="1091"/>
      <c r="WKX916" s="1091"/>
      <c r="WKY916" s="1091"/>
      <c r="WKZ916" s="1091"/>
      <c r="WLA916" s="1091"/>
      <c r="WLB916" s="1091"/>
      <c r="WLC916" s="1091"/>
      <c r="WLD916" s="1091"/>
      <c r="WLE916" s="1091"/>
      <c r="WLF916" s="1091"/>
      <c r="WLG916" s="1091"/>
      <c r="WLH916" s="1091"/>
      <c r="WLI916" s="1091"/>
      <c r="WLJ916" s="1091"/>
      <c r="WLK916" s="1091"/>
      <c r="WLL916" s="1091"/>
      <c r="WLM916" s="1091"/>
      <c r="WLN916" s="1091"/>
      <c r="WLO916" s="1091"/>
      <c r="WLP916" s="1091"/>
      <c r="WLQ916" s="1091"/>
      <c r="WLR916" s="1091"/>
      <c r="WLS916" s="1091"/>
      <c r="WLT916" s="1091"/>
      <c r="WLU916" s="1091"/>
      <c r="WLV916" s="1091"/>
      <c r="WLW916" s="1091"/>
      <c r="WLX916" s="1091"/>
      <c r="WLY916" s="1091"/>
      <c r="WLZ916" s="1091"/>
      <c r="WMA916" s="1091"/>
      <c r="WMB916" s="1091"/>
      <c r="WMC916" s="1091"/>
      <c r="WMD916" s="1091"/>
      <c r="WME916" s="1091"/>
      <c r="WMF916" s="1091"/>
      <c r="WMG916" s="1091"/>
      <c r="WMH916" s="1091"/>
      <c r="WMI916" s="1091"/>
      <c r="WMJ916" s="1091"/>
      <c r="WMK916" s="1091"/>
      <c r="WML916" s="1091"/>
      <c r="WMM916" s="1091"/>
      <c r="WMN916" s="1091"/>
      <c r="WMO916" s="1091"/>
      <c r="WMP916" s="1091"/>
      <c r="WMQ916" s="1091"/>
      <c r="WMR916" s="1091"/>
      <c r="WMS916" s="1091"/>
      <c r="WMT916" s="1091"/>
      <c r="WMU916" s="1091"/>
      <c r="WMV916" s="1091"/>
      <c r="WMW916" s="1091"/>
      <c r="WMX916" s="1091"/>
      <c r="WMY916" s="1091"/>
      <c r="WMZ916" s="1091"/>
      <c r="WNA916" s="1091"/>
      <c r="WNB916" s="1091"/>
      <c r="WNC916" s="1091"/>
      <c r="WND916" s="1091"/>
      <c r="WNE916" s="1091"/>
      <c r="WNF916" s="1091"/>
      <c r="WNG916" s="1091"/>
      <c r="WNH916" s="1091"/>
      <c r="WNI916" s="1091"/>
      <c r="WNJ916" s="1091"/>
      <c r="WNK916" s="1091"/>
      <c r="WNL916" s="1091"/>
      <c r="WNM916" s="1091"/>
      <c r="WNN916" s="1091"/>
      <c r="WNO916" s="1091"/>
      <c r="WNP916" s="1091"/>
      <c r="WNQ916" s="1091"/>
      <c r="WNR916" s="1091"/>
      <c r="WNS916" s="1091"/>
      <c r="WNT916" s="1091"/>
      <c r="WNU916" s="1091"/>
      <c r="WNV916" s="1091"/>
      <c r="WNW916" s="1091"/>
      <c r="WNX916" s="1091"/>
      <c r="WNY916" s="1091"/>
      <c r="WNZ916" s="1091"/>
      <c r="WOA916" s="1091"/>
      <c r="WOB916" s="1091"/>
      <c r="WOC916" s="1091"/>
      <c r="WOD916" s="1091"/>
      <c r="WOE916" s="1091"/>
      <c r="WOF916" s="1091"/>
      <c r="WOG916" s="1091"/>
      <c r="WOH916" s="1091"/>
      <c r="WOI916" s="1091"/>
      <c r="WOJ916" s="1091"/>
      <c r="WOK916" s="1091"/>
      <c r="WOL916" s="1091"/>
      <c r="WOM916" s="1091"/>
      <c r="WON916" s="1091"/>
      <c r="WOO916" s="1091"/>
      <c r="WOP916" s="1091"/>
      <c r="WOQ916" s="1091"/>
      <c r="WOR916" s="1091"/>
      <c r="WOS916" s="1091"/>
      <c r="WOT916" s="1091"/>
      <c r="WOU916" s="1091"/>
      <c r="WOV916" s="1091"/>
      <c r="WOW916" s="1091"/>
      <c r="WOX916" s="1091"/>
      <c r="WOY916" s="1091"/>
      <c r="WOZ916" s="1091"/>
      <c r="WPA916" s="1091"/>
      <c r="WPB916" s="1091"/>
      <c r="WPC916" s="1091"/>
      <c r="WPD916" s="1091"/>
      <c r="WPE916" s="1091"/>
      <c r="WPF916" s="1091"/>
      <c r="WPG916" s="1091"/>
      <c r="WPH916" s="1091"/>
      <c r="WPI916" s="1091"/>
      <c r="WPJ916" s="1091"/>
      <c r="WPK916" s="1091"/>
      <c r="WPL916" s="1091"/>
      <c r="WPM916" s="1091"/>
      <c r="WPN916" s="1091"/>
      <c r="WPO916" s="1091"/>
      <c r="WPP916" s="1091"/>
      <c r="WPQ916" s="1091"/>
      <c r="WPR916" s="1091"/>
      <c r="WPS916" s="1091"/>
      <c r="WPT916" s="1091"/>
      <c r="WPU916" s="1091"/>
      <c r="WPV916" s="1091"/>
      <c r="WPW916" s="1091"/>
      <c r="WPX916" s="1091"/>
      <c r="WPY916" s="1091"/>
      <c r="WPZ916" s="1091"/>
      <c r="WQA916" s="1091"/>
      <c r="WQB916" s="1091"/>
      <c r="WQC916" s="1091"/>
      <c r="WQD916" s="1091"/>
      <c r="WQE916" s="1091"/>
      <c r="WQF916" s="1091"/>
      <c r="WQG916" s="1091"/>
      <c r="WQH916" s="1091"/>
      <c r="WQI916" s="1091"/>
      <c r="WQJ916" s="1091"/>
      <c r="WQK916" s="1091"/>
      <c r="WQL916" s="1091"/>
      <c r="WQM916" s="1091"/>
      <c r="WQN916" s="1091"/>
      <c r="WQO916" s="1091"/>
      <c r="WQP916" s="1091"/>
      <c r="WQQ916" s="1091"/>
      <c r="WQR916" s="1091"/>
      <c r="WQS916" s="1091"/>
      <c r="WQT916" s="1091"/>
      <c r="WQU916" s="1091"/>
      <c r="WQV916" s="1091"/>
      <c r="WQW916" s="1091"/>
      <c r="WQX916" s="1091"/>
      <c r="WQY916" s="1091"/>
      <c r="WQZ916" s="1091"/>
      <c r="WRA916" s="1091"/>
      <c r="WRB916" s="1091"/>
      <c r="WRC916" s="1091"/>
      <c r="WRD916" s="1091"/>
      <c r="WRE916" s="1091"/>
      <c r="WRF916" s="1091"/>
      <c r="WRG916" s="1091"/>
      <c r="WRH916" s="1091"/>
      <c r="WRI916" s="1091"/>
      <c r="WRJ916" s="1091"/>
      <c r="WRK916" s="1091"/>
      <c r="WRL916" s="1091"/>
      <c r="WRM916" s="1091"/>
      <c r="WRN916" s="1091"/>
      <c r="WRO916" s="1091"/>
      <c r="WRP916" s="1091"/>
      <c r="WRQ916" s="1091"/>
      <c r="WRR916" s="1091"/>
      <c r="WRS916" s="1091"/>
      <c r="WRT916" s="1091"/>
      <c r="WRU916" s="1091"/>
      <c r="WRV916" s="1091"/>
      <c r="WRW916" s="1091"/>
      <c r="WRX916" s="1091"/>
      <c r="WRY916" s="1091"/>
      <c r="WRZ916" s="1091"/>
      <c r="WSA916" s="1091"/>
      <c r="WSB916" s="1091"/>
      <c r="WSC916" s="1091"/>
      <c r="WSD916" s="1091"/>
      <c r="WSE916" s="1091"/>
      <c r="WSF916" s="1091"/>
      <c r="WSG916" s="1091"/>
      <c r="WSH916" s="1091"/>
      <c r="WSI916" s="1091"/>
      <c r="WSJ916" s="1091"/>
      <c r="WSK916" s="1091"/>
      <c r="WSL916" s="1091"/>
      <c r="WSM916" s="1091"/>
      <c r="WSN916" s="1091"/>
      <c r="WSO916" s="1091"/>
      <c r="WSP916" s="1091"/>
      <c r="WSQ916" s="1091"/>
      <c r="WSR916" s="1091"/>
      <c r="WSS916" s="1091"/>
      <c r="WST916" s="1091"/>
      <c r="WSU916" s="1091"/>
      <c r="WSV916" s="1091"/>
      <c r="WSW916" s="1091"/>
      <c r="WSX916" s="1091"/>
      <c r="WSY916" s="1091"/>
      <c r="WSZ916" s="1091"/>
      <c r="WTA916" s="1091"/>
      <c r="WTB916" s="1091"/>
      <c r="WTC916" s="1091"/>
      <c r="WTD916" s="1091"/>
      <c r="WTE916" s="1091"/>
      <c r="WTF916" s="1091"/>
      <c r="WTG916" s="1091"/>
      <c r="WTH916" s="1091"/>
      <c r="WTI916" s="1091"/>
      <c r="WTJ916" s="1091"/>
      <c r="WTK916" s="1091"/>
      <c r="WTL916" s="1091"/>
      <c r="WTM916" s="1091"/>
      <c r="WTN916" s="1091"/>
      <c r="WTO916" s="1091"/>
      <c r="WTP916" s="1091"/>
      <c r="WTQ916" s="1091"/>
      <c r="WTR916" s="1091"/>
      <c r="WTS916" s="1091"/>
      <c r="WTT916" s="1091"/>
      <c r="WTU916" s="1091"/>
      <c r="WTV916" s="1091"/>
      <c r="WTW916" s="1091"/>
      <c r="WTX916" s="1091"/>
      <c r="WTY916" s="1091"/>
      <c r="WTZ916" s="1091"/>
      <c r="WUA916" s="1091"/>
      <c r="WUB916" s="1091"/>
      <c r="WUC916" s="1091"/>
      <c r="WUD916" s="1091"/>
      <c r="WUE916" s="1091"/>
      <c r="WUF916" s="1091"/>
      <c r="WUG916" s="1091"/>
      <c r="WUH916" s="1091"/>
      <c r="WUI916" s="1091"/>
      <c r="WUJ916" s="1091"/>
      <c r="WUK916" s="1091"/>
      <c r="WUL916" s="1091"/>
      <c r="WUM916" s="1091"/>
      <c r="WUN916" s="1091"/>
      <c r="WUO916" s="1091"/>
      <c r="WUP916" s="1091"/>
      <c r="WUQ916" s="1091"/>
      <c r="WUR916" s="1091"/>
      <c r="WUS916" s="1091"/>
      <c r="WUT916" s="1091"/>
      <c r="WUU916" s="1091"/>
      <c r="WUV916" s="1091"/>
      <c r="WUW916" s="1091"/>
      <c r="WUX916" s="1091"/>
      <c r="WUY916" s="1091"/>
      <c r="WUZ916" s="1091"/>
      <c r="WVA916" s="1091"/>
      <c r="WVB916" s="1091"/>
      <c r="WVC916" s="1091"/>
      <c r="WVD916" s="1091"/>
      <c r="WVE916" s="1091"/>
      <c r="WVF916" s="1091"/>
      <c r="WVG916" s="1091"/>
      <c r="WVH916" s="1091"/>
      <c r="WVI916" s="1091"/>
      <c r="WVJ916" s="1091"/>
      <c r="WVK916" s="1091"/>
      <c r="WVL916" s="1091"/>
      <c r="WVM916" s="1091"/>
      <c r="WVN916" s="1091"/>
      <c r="WVO916" s="1091"/>
      <c r="WVP916" s="1091"/>
      <c r="WVQ916" s="1091"/>
      <c r="WVR916" s="1091"/>
      <c r="WVS916" s="1091"/>
      <c r="WVT916" s="1091"/>
      <c r="WVU916" s="1091"/>
      <c r="WVV916" s="1091"/>
      <c r="WVW916" s="1091"/>
      <c r="WVX916" s="1091"/>
      <c r="WVY916" s="1091"/>
      <c r="WVZ916" s="1091"/>
      <c r="WWA916" s="1091"/>
      <c r="WWB916" s="1091"/>
      <c r="WWC916" s="1091"/>
      <c r="WWD916" s="1091"/>
      <c r="WWE916" s="1091"/>
      <c r="WWF916" s="1091"/>
      <c r="WWG916" s="1091"/>
      <c r="WWH916" s="1091"/>
      <c r="WWI916" s="1091"/>
      <c r="WWJ916" s="1091"/>
      <c r="WWK916" s="1091"/>
      <c r="WWL916" s="1091"/>
      <c r="WWM916" s="1091"/>
      <c r="WWN916" s="1091"/>
      <c r="WWO916" s="1091"/>
      <c r="WWP916" s="1091"/>
      <c r="WWQ916" s="1091"/>
      <c r="WWR916" s="1091"/>
      <c r="WWS916" s="1091"/>
      <c r="WWT916" s="1091"/>
      <c r="WWU916" s="1091"/>
      <c r="WWV916" s="1091"/>
      <c r="WWW916" s="1091"/>
      <c r="WWX916" s="1091"/>
      <c r="WWY916" s="1091"/>
      <c r="WWZ916" s="1091"/>
      <c r="WXA916" s="1091"/>
      <c r="WXB916" s="1091"/>
      <c r="WXC916" s="1091"/>
      <c r="WXD916" s="1091"/>
      <c r="WXE916" s="1091"/>
      <c r="WXF916" s="1091"/>
      <c r="WXG916" s="1091"/>
      <c r="WXH916" s="1091"/>
      <c r="WXI916" s="1091"/>
      <c r="WXJ916" s="1091"/>
      <c r="WXK916" s="1091"/>
      <c r="WXL916" s="1091"/>
      <c r="WXM916" s="1091"/>
      <c r="WXN916" s="1091"/>
      <c r="WXO916" s="1091"/>
      <c r="WXP916" s="1091"/>
      <c r="WXQ916" s="1091"/>
      <c r="WXR916" s="1091"/>
      <c r="WXS916" s="1091"/>
      <c r="WXT916" s="1091"/>
      <c r="WXU916" s="1091"/>
      <c r="WXV916" s="1091"/>
      <c r="WXW916" s="1091"/>
      <c r="WXX916" s="1091"/>
      <c r="WXY916" s="1091"/>
      <c r="WXZ916" s="1091"/>
      <c r="WYA916" s="1091"/>
      <c r="WYB916" s="1091"/>
      <c r="WYC916" s="1091"/>
      <c r="WYD916" s="1091"/>
      <c r="WYE916" s="1091"/>
      <c r="WYF916" s="1091"/>
      <c r="WYG916" s="1091"/>
      <c r="WYH916" s="1091"/>
      <c r="WYI916" s="1091"/>
      <c r="WYJ916" s="1091"/>
      <c r="WYK916" s="1091"/>
      <c r="WYL916" s="1091"/>
      <c r="WYM916" s="1091"/>
      <c r="WYN916" s="1091"/>
      <c r="WYO916" s="1091"/>
      <c r="WYP916" s="1091"/>
      <c r="WYQ916" s="1091"/>
      <c r="WYR916" s="1091"/>
      <c r="WYS916" s="1091"/>
      <c r="WYT916" s="1091"/>
      <c r="WYU916" s="1091"/>
      <c r="WYV916" s="1091"/>
      <c r="WYW916" s="1091"/>
      <c r="WYX916" s="1091"/>
      <c r="WYY916" s="1091"/>
      <c r="WYZ916" s="1091"/>
      <c r="WZA916" s="1091"/>
      <c r="WZB916" s="1091"/>
      <c r="WZC916" s="1091"/>
      <c r="WZD916" s="1091"/>
      <c r="WZE916" s="1091"/>
      <c r="WZF916" s="1091"/>
      <c r="WZG916" s="1091"/>
      <c r="WZH916" s="1091"/>
      <c r="WZI916" s="1091"/>
      <c r="WZJ916" s="1091"/>
      <c r="WZK916" s="1091"/>
      <c r="WZL916" s="1091"/>
      <c r="WZM916" s="1091"/>
      <c r="WZN916" s="1091"/>
      <c r="WZO916" s="1091"/>
      <c r="WZP916" s="1091"/>
      <c r="WZQ916" s="1091"/>
      <c r="WZR916" s="1091"/>
      <c r="WZS916" s="1091"/>
      <c r="WZT916" s="1091"/>
      <c r="WZU916" s="1091"/>
      <c r="WZV916" s="1091"/>
      <c r="WZW916" s="1091"/>
      <c r="WZX916" s="1091"/>
      <c r="WZY916" s="1091"/>
      <c r="WZZ916" s="1091"/>
      <c r="XAA916" s="1091"/>
      <c r="XAB916" s="1091"/>
      <c r="XAC916" s="1091"/>
      <c r="XAD916" s="1091"/>
      <c r="XAE916" s="1091"/>
      <c r="XAF916" s="1091"/>
      <c r="XAG916" s="1091"/>
      <c r="XAH916" s="1091"/>
      <c r="XAI916" s="1091"/>
      <c r="XAJ916" s="1091"/>
      <c r="XAK916" s="1091"/>
      <c r="XAL916" s="1091"/>
      <c r="XAM916" s="1091"/>
      <c r="XAN916" s="1091"/>
      <c r="XAO916" s="1091"/>
      <c r="XAP916" s="1091"/>
      <c r="XAQ916" s="1091"/>
      <c r="XAR916" s="1091"/>
      <c r="XAS916" s="1091"/>
      <c r="XAT916" s="1091"/>
      <c r="XAU916" s="1091"/>
      <c r="XAV916" s="1091"/>
      <c r="XAW916" s="1091"/>
      <c r="XAX916" s="1091"/>
      <c r="XAY916" s="1091"/>
      <c r="XAZ916" s="1091"/>
      <c r="XBA916" s="1091"/>
      <c r="XBB916" s="1091"/>
      <c r="XBC916" s="1091"/>
      <c r="XBD916" s="1091"/>
      <c r="XBE916" s="1091"/>
      <c r="XBF916" s="1091"/>
      <c r="XBG916" s="1091"/>
      <c r="XBH916" s="1091"/>
      <c r="XBI916" s="1091"/>
      <c r="XBJ916" s="1091"/>
      <c r="XBK916" s="1091"/>
      <c r="XBL916" s="1091"/>
      <c r="XBM916" s="1091"/>
      <c r="XBN916" s="1091"/>
      <c r="XBO916" s="1091"/>
      <c r="XBP916" s="1091"/>
      <c r="XBQ916" s="1091"/>
      <c r="XBR916" s="1091"/>
      <c r="XBS916" s="1091"/>
      <c r="XBT916" s="1091"/>
      <c r="XBU916" s="1091"/>
      <c r="XBV916" s="1091"/>
      <c r="XBW916" s="1091"/>
      <c r="XBX916" s="1091"/>
      <c r="XBY916" s="1091"/>
      <c r="XBZ916" s="1091"/>
      <c r="XCA916" s="1091"/>
      <c r="XCB916" s="1091"/>
      <c r="XCC916" s="1091"/>
      <c r="XCD916" s="1091"/>
      <c r="XCE916" s="1091"/>
      <c r="XCF916" s="1091"/>
      <c r="XCG916" s="1091"/>
      <c r="XCH916" s="1091"/>
      <c r="XCI916" s="1091"/>
      <c r="XCJ916" s="1091"/>
      <c r="XCK916" s="1091"/>
      <c r="XCL916" s="1091"/>
      <c r="XCM916" s="1091"/>
      <c r="XCN916" s="1091"/>
      <c r="XCO916" s="1091"/>
      <c r="XCP916" s="1091"/>
      <c r="XCQ916" s="1091"/>
      <c r="XCR916" s="1091"/>
      <c r="XCS916" s="1091"/>
      <c r="XCT916" s="1091"/>
      <c r="XCU916" s="1091"/>
      <c r="XCV916" s="1091"/>
      <c r="XCW916" s="1091"/>
      <c r="XCX916" s="1091"/>
      <c r="XCY916" s="1091"/>
      <c r="XCZ916" s="1091"/>
      <c r="XDA916" s="1091"/>
      <c r="XDB916" s="1091"/>
      <c r="XDC916" s="1091"/>
      <c r="XDD916" s="1091"/>
      <c r="XDE916" s="1091"/>
      <c r="XDF916" s="1091"/>
      <c r="XDG916" s="1091"/>
      <c r="XDH916" s="1091"/>
      <c r="XDI916" s="1091"/>
      <c r="XDJ916" s="1091"/>
      <c r="XDK916" s="1091"/>
      <c r="XDL916" s="1091"/>
      <c r="XDM916" s="1091"/>
      <c r="XDN916" s="1091"/>
      <c r="XDO916" s="1091"/>
      <c r="XDP916" s="1091"/>
      <c r="XDQ916" s="1091"/>
      <c r="XDR916" s="1091"/>
      <c r="XDS916" s="1091"/>
      <c r="XDT916" s="1091"/>
      <c r="XDU916" s="1091"/>
      <c r="XDV916" s="1091"/>
      <c r="XDW916" s="1091"/>
      <c r="XDX916" s="1091"/>
      <c r="XDY916" s="1091"/>
      <c r="XDZ916" s="1091"/>
      <c r="XEA916" s="1091"/>
      <c r="XEB916" s="1091"/>
      <c r="XEC916" s="1091"/>
      <c r="XED916" s="1091"/>
      <c r="XEE916" s="1091"/>
      <c r="XEF916" s="1091"/>
      <c r="XEG916" s="1091"/>
      <c r="XEH916" s="1091"/>
      <c r="XEI916" s="1091"/>
      <c r="XEJ916" s="1091"/>
      <c r="XEK916" s="1091"/>
      <c r="XEL916" s="1091"/>
      <c r="XEM916" s="1091"/>
      <c r="XEN916" s="1091"/>
      <c r="XEO916" s="1091"/>
      <c r="XEP916" s="1091"/>
      <c r="XEQ916" s="1091"/>
      <c r="XER916" s="1091"/>
      <c r="XES916" s="1091"/>
      <c r="XET916" s="1091"/>
      <c r="XEU916" s="1091"/>
      <c r="XEV916" s="1091"/>
      <c r="XEW916" s="1091"/>
      <c r="XEX916" s="1091"/>
      <c r="XEY916" s="1091"/>
      <c r="XEZ916" s="1091"/>
      <c r="XFA916" s="1091"/>
      <c r="XFB916" s="1091"/>
      <c r="XFC916" s="1091"/>
      <c r="XFD916" s="1091"/>
    </row>
    <row r="917" spans="1:16384" s="1071" customFormat="1" x14ac:dyDescent="0.25">
      <c r="A917" s="1071">
        <v>97491</v>
      </c>
      <c r="B917" s="1071" t="s">
        <v>4531</v>
      </c>
      <c r="C917" s="1095"/>
      <c r="E917" s="1091"/>
      <c r="F917" s="1091"/>
      <c r="G917" s="1091"/>
      <c r="H917" s="1091"/>
      <c r="I917" s="1091"/>
      <c r="J917" s="1091"/>
      <c r="K917" s="1091"/>
      <c r="L917" s="1091"/>
      <c r="M917" s="1091"/>
      <c r="N917" s="1091"/>
      <c r="O917" s="1091"/>
      <c r="P917" s="1091"/>
      <c r="Q917" s="1091"/>
      <c r="R917" s="1091"/>
      <c r="S917" s="1091"/>
      <c r="T917" s="1091"/>
      <c r="U917" s="1091"/>
      <c r="V917" s="1091"/>
      <c r="W917" s="1091"/>
      <c r="X917" s="1091"/>
      <c r="Y917" s="1091"/>
      <c r="Z917" s="1091"/>
      <c r="AA917" s="1091"/>
      <c r="AB917" s="1091"/>
      <c r="AC917" s="1091"/>
      <c r="AD917" s="1091"/>
      <c r="AE917" s="1091"/>
      <c r="AF917" s="1091"/>
      <c r="AG917" s="1091"/>
      <c r="AH917" s="1091"/>
      <c r="AI917" s="1091"/>
      <c r="AJ917" s="1091"/>
      <c r="AK917" s="1091"/>
      <c r="AL917" s="1091"/>
      <c r="AM917" s="1091"/>
      <c r="AN917" s="1091"/>
      <c r="AO917" s="1091"/>
      <c r="AP917" s="1091"/>
      <c r="AQ917" s="1091"/>
      <c r="AR917" s="1091"/>
      <c r="AS917" s="1091"/>
      <c r="AT917" s="1091"/>
      <c r="AU917" s="1091"/>
      <c r="AV917" s="1091"/>
      <c r="AW917" s="1091"/>
      <c r="AX917" s="1091"/>
      <c r="AY917" s="1091"/>
      <c r="AZ917" s="1091"/>
      <c r="BA917" s="1091"/>
      <c r="BB917" s="1091"/>
      <c r="BC917" s="1091"/>
      <c r="BD917" s="1091"/>
      <c r="BE917" s="1091"/>
      <c r="BF917" s="1091"/>
      <c r="BG917" s="1091"/>
      <c r="BH917" s="1091"/>
      <c r="BI917" s="1091"/>
      <c r="BJ917" s="1091"/>
      <c r="BK917" s="1091"/>
      <c r="BL917" s="1091"/>
      <c r="BM917" s="1091"/>
      <c r="BN917" s="1091"/>
      <c r="BO917" s="1091"/>
      <c r="BP917" s="1091"/>
      <c r="BQ917" s="1091"/>
      <c r="BR917" s="1091"/>
      <c r="BS917" s="1091"/>
      <c r="BT917" s="1091"/>
      <c r="BU917" s="1091"/>
      <c r="BV917" s="1091"/>
      <c r="BW917" s="1091"/>
      <c r="BX917" s="1091"/>
      <c r="BY917" s="1091"/>
      <c r="BZ917" s="1091"/>
      <c r="CA917" s="1091"/>
      <c r="CB917" s="1091"/>
      <c r="CC917" s="1091"/>
      <c r="CD917" s="1091"/>
      <c r="CE917" s="1091"/>
      <c r="CF917" s="1091"/>
      <c r="CG917" s="1091"/>
      <c r="CH917" s="1091"/>
      <c r="CI917" s="1091"/>
      <c r="CJ917" s="1091"/>
      <c r="CK917" s="1091"/>
      <c r="CL917" s="1091"/>
      <c r="CM917" s="1091"/>
      <c r="CN917" s="1091"/>
      <c r="CO917" s="1091"/>
      <c r="CP917" s="1091"/>
      <c r="CQ917" s="1091"/>
      <c r="CR917" s="1091"/>
      <c r="CS917" s="1091"/>
      <c r="CT917" s="1091"/>
      <c r="CU917" s="1091"/>
      <c r="CV917" s="1091"/>
      <c r="CW917" s="1091"/>
      <c r="CX917" s="1091"/>
      <c r="CY917" s="1091"/>
      <c r="CZ917" s="1091"/>
      <c r="DA917" s="1091"/>
      <c r="DB917" s="1091"/>
      <c r="DC917" s="1091"/>
      <c r="DD917" s="1091"/>
      <c r="DE917" s="1091"/>
      <c r="DF917" s="1091"/>
      <c r="DG917" s="1091"/>
      <c r="DH917" s="1091"/>
      <c r="DI917" s="1091"/>
      <c r="DJ917" s="1091"/>
      <c r="DK917" s="1091"/>
      <c r="DL917" s="1091"/>
      <c r="DM917" s="1091"/>
      <c r="DN917" s="1091"/>
      <c r="DO917" s="1091"/>
      <c r="DP917" s="1091"/>
      <c r="DQ917" s="1091"/>
      <c r="DR917" s="1091"/>
      <c r="DS917" s="1091"/>
      <c r="DT917" s="1091"/>
      <c r="DU917" s="1091"/>
      <c r="DV917" s="1091"/>
      <c r="DW917" s="1091"/>
      <c r="DX917" s="1091"/>
      <c r="DY917" s="1091"/>
      <c r="DZ917" s="1091"/>
      <c r="EA917" s="1091"/>
      <c r="EB917" s="1091"/>
      <c r="EC917" s="1091"/>
      <c r="ED917" s="1091"/>
      <c r="EE917" s="1091"/>
      <c r="EF917" s="1091"/>
      <c r="EG917" s="1091"/>
      <c r="EH917" s="1091"/>
      <c r="EI917" s="1091"/>
      <c r="EJ917" s="1091"/>
      <c r="EK917" s="1091"/>
      <c r="EL917" s="1091"/>
      <c r="EM917" s="1091"/>
      <c r="EN917" s="1091"/>
      <c r="EO917" s="1091"/>
      <c r="EP917" s="1091"/>
      <c r="EQ917" s="1091"/>
      <c r="ER917" s="1091"/>
      <c r="ES917" s="1091"/>
      <c r="ET917" s="1091"/>
      <c r="EU917" s="1091"/>
      <c r="EV917" s="1091"/>
      <c r="EW917" s="1091"/>
      <c r="EX917" s="1091"/>
      <c r="EY917" s="1091"/>
      <c r="EZ917" s="1091"/>
      <c r="FA917" s="1091"/>
      <c r="FB917" s="1091"/>
      <c r="FC917" s="1091"/>
      <c r="FD917" s="1091"/>
      <c r="FE917" s="1091"/>
      <c r="FF917" s="1091"/>
      <c r="FG917" s="1091"/>
      <c r="FH917" s="1091"/>
      <c r="FI917" s="1091"/>
      <c r="FJ917" s="1091"/>
      <c r="FK917" s="1091"/>
      <c r="FL917" s="1091"/>
      <c r="FM917" s="1091"/>
      <c r="FN917" s="1091"/>
      <c r="FO917" s="1091"/>
      <c r="FP917" s="1091"/>
      <c r="FQ917" s="1091"/>
      <c r="FR917" s="1091"/>
      <c r="FS917" s="1091"/>
      <c r="FT917" s="1091"/>
      <c r="FU917" s="1091"/>
      <c r="FV917" s="1091"/>
      <c r="FW917" s="1091"/>
      <c r="FX917" s="1091"/>
      <c r="FY917" s="1091"/>
      <c r="FZ917" s="1091"/>
      <c r="GA917" s="1091"/>
      <c r="GB917" s="1091"/>
      <c r="GC917" s="1091"/>
      <c r="GD917" s="1091"/>
      <c r="GE917" s="1091"/>
      <c r="GF917" s="1091"/>
      <c r="GG917" s="1091"/>
      <c r="GH917" s="1091"/>
      <c r="GI917" s="1091"/>
      <c r="GJ917" s="1091"/>
      <c r="GK917" s="1091"/>
      <c r="GL917" s="1091"/>
      <c r="GM917" s="1091"/>
      <c r="GN917" s="1091"/>
      <c r="GO917" s="1091"/>
      <c r="GP917" s="1091"/>
      <c r="GQ917" s="1091"/>
      <c r="GR917" s="1091"/>
      <c r="GS917" s="1091"/>
      <c r="GT917" s="1091"/>
      <c r="GU917" s="1091"/>
      <c r="GV917" s="1091"/>
      <c r="GW917" s="1091"/>
      <c r="GX917" s="1091"/>
      <c r="GY917" s="1091"/>
      <c r="GZ917" s="1091"/>
      <c r="HA917" s="1091"/>
      <c r="HB917" s="1091"/>
      <c r="HC917" s="1091"/>
      <c r="HD917" s="1091"/>
      <c r="HE917" s="1091"/>
      <c r="HF917" s="1091"/>
      <c r="HG917" s="1091"/>
      <c r="HH917" s="1091"/>
      <c r="HI917" s="1091"/>
      <c r="HJ917" s="1091"/>
      <c r="HK917" s="1091"/>
      <c r="HL917" s="1091"/>
      <c r="HM917" s="1091"/>
      <c r="HN917" s="1091"/>
      <c r="HO917" s="1091"/>
      <c r="HP917" s="1091"/>
      <c r="HQ917" s="1091"/>
      <c r="HR917" s="1091"/>
      <c r="HS917" s="1091"/>
      <c r="HT917" s="1091"/>
      <c r="HU917" s="1091"/>
      <c r="HV917" s="1091"/>
      <c r="HW917" s="1091"/>
      <c r="HX917" s="1091"/>
      <c r="HY917" s="1091"/>
      <c r="HZ917" s="1091"/>
      <c r="IA917" s="1091"/>
      <c r="IB917" s="1091"/>
      <c r="IC917" s="1091"/>
      <c r="ID917" s="1091"/>
      <c r="IE917" s="1091"/>
      <c r="IF917" s="1091"/>
      <c r="IG917" s="1091"/>
      <c r="IH917" s="1091"/>
      <c r="II917" s="1091"/>
      <c r="IJ917" s="1091"/>
      <c r="IK917" s="1091"/>
      <c r="IL917" s="1091"/>
      <c r="IM917" s="1091"/>
      <c r="IN917" s="1091"/>
      <c r="IO917" s="1091"/>
      <c r="IP917" s="1091"/>
      <c r="IQ917" s="1091"/>
      <c r="IR917" s="1091"/>
      <c r="IS917" s="1091"/>
      <c r="IT917" s="1091"/>
      <c r="IU917" s="1091"/>
      <c r="IV917" s="1091"/>
      <c r="IW917" s="1091"/>
      <c r="IX917" s="1091"/>
      <c r="IY917" s="1091"/>
      <c r="IZ917" s="1091"/>
      <c r="JA917" s="1091"/>
      <c r="JB917" s="1091"/>
      <c r="JC917" s="1091"/>
      <c r="JD917" s="1091"/>
      <c r="JE917" s="1091"/>
      <c r="JF917" s="1091"/>
      <c r="JG917" s="1091"/>
      <c r="JH917" s="1091"/>
      <c r="JI917" s="1091"/>
      <c r="JJ917" s="1091"/>
      <c r="JK917" s="1091"/>
      <c r="JL917" s="1091"/>
      <c r="JM917" s="1091"/>
      <c r="JN917" s="1091"/>
      <c r="JO917" s="1091"/>
      <c r="JP917" s="1091"/>
      <c r="JQ917" s="1091"/>
      <c r="JR917" s="1091"/>
      <c r="JS917" s="1091"/>
      <c r="JT917" s="1091"/>
      <c r="JU917" s="1091"/>
      <c r="JV917" s="1091"/>
      <c r="JW917" s="1091"/>
      <c r="JX917" s="1091"/>
      <c r="JY917" s="1091"/>
      <c r="JZ917" s="1091"/>
      <c r="KA917" s="1091"/>
      <c r="KB917" s="1091"/>
      <c r="KC917" s="1091"/>
      <c r="KD917" s="1091"/>
      <c r="KE917" s="1091"/>
      <c r="KF917" s="1091"/>
      <c r="KG917" s="1091"/>
      <c r="KH917" s="1091"/>
      <c r="KI917" s="1091"/>
      <c r="KJ917" s="1091"/>
      <c r="KK917" s="1091"/>
      <c r="KL917" s="1091"/>
      <c r="KM917" s="1091"/>
      <c r="KN917" s="1091"/>
      <c r="KO917" s="1091"/>
      <c r="KP917" s="1091"/>
      <c r="KQ917" s="1091"/>
      <c r="KR917" s="1091"/>
      <c r="KS917" s="1091"/>
      <c r="KT917" s="1091"/>
      <c r="KU917" s="1091"/>
      <c r="KV917" s="1091"/>
      <c r="KW917" s="1091"/>
      <c r="KX917" s="1091"/>
      <c r="KY917" s="1091"/>
      <c r="KZ917" s="1091"/>
      <c r="LA917" s="1091"/>
      <c r="LB917" s="1091"/>
      <c r="LC917" s="1091"/>
      <c r="LD917" s="1091"/>
      <c r="LE917" s="1091"/>
      <c r="LF917" s="1091"/>
      <c r="LG917" s="1091"/>
      <c r="LH917" s="1091"/>
      <c r="LI917" s="1091"/>
      <c r="LJ917" s="1091"/>
      <c r="LK917" s="1091"/>
      <c r="LL917" s="1091"/>
      <c r="LM917" s="1091"/>
      <c r="LN917" s="1091"/>
      <c r="LO917" s="1091"/>
      <c r="LP917" s="1091"/>
      <c r="LQ917" s="1091"/>
      <c r="LR917" s="1091"/>
      <c r="LS917" s="1091"/>
      <c r="LT917" s="1091"/>
      <c r="LU917" s="1091"/>
      <c r="LV917" s="1091"/>
      <c r="LW917" s="1091"/>
      <c r="LX917" s="1091"/>
      <c r="LY917" s="1091"/>
      <c r="LZ917" s="1091"/>
      <c r="MA917" s="1091"/>
      <c r="MB917" s="1091"/>
      <c r="MC917" s="1091"/>
      <c r="MD917" s="1091"/>
      <c r="ME917" s="1091"/>
      <c r="MF917" s="1091"/>
      <c r="MG917" s="1091"/>
      <c r="MH917" s="1091"/>
      <c r="MI917" s="1091"/>
      <c r="MJ917" s="1091"/>
      <c r="MK917" s="1091"/>
      <c r="ML917" s="1091"/>
      <c r="MM917" s="1091"/>
      <c r="MN917" s="1091"/>
      <c r="MO917" s="1091"/>
      <c r="MP917" s="1091"/>
      <c r="MQ917" s="1091"/>
      <c r="MR917" s="1091"/>
      <c r="MS917" s="1091"/>
      <c r="MT917" s="1091"/>
      <c r="MU917" s="1091"/>
      <c r="MV917" s="1091"/>
      <c r="MW917" s="1091"/>
      <c r="MX917" s="1091"/>
      <c r="MY917" s="1091"/>
      <c r="MZ917" s="1091"/>
      <c r="NA917" s="1091"/>
      <c r="NB917" s="1091"/>
      <c r="NC917" s="1091"/>
      <c r="ND917" s="1091"/>
      <c r="NE917" s="1091"/>
      <c r="NF917" s="1091"/>
      <c r="NG917" s="1091"/>
      <c r="NH917" s="1091"/>
      <c r="NI917" s="1091"/>
      <c r="NJ917" s="1091"/>
      <c r="NK917" s="1091"/>
      <c r="NL917" s="1091"/>
      <c r="NM917" s="1091"/>
      <c r="NN917" s="1091"/>
      <c r="NO917" s="1091"/>
      <c r="NP917" s="1091"/>
      <c r="NQ917" s="1091"/>
      <c r="NR917" s="1091"/>
      <c r="NS917" s="1091"/>
      <c r="NT917" s="1091"/>
      <c r="NU917" s="1091"/>
      <c r="NV917" s="1091"/>
      <c r="NW917" s="1091"/>
      <c r="NX917" s="1091"/>
      <c r="NY917" s="1091"/>
      <c r="NZ917" s="1091"/>
      <c r="OA917" s="1091"/>
      <c r="OB917" s="1091"/>
      <c r="OC917" s="1091"/>
      <c r="OD917" s="1091"/>
      <c r="OE917" s="1091"/>
      <c r="OF917" s="1091"/>
      <c r="OG917" s="1091"/>
      <c r="OH917" s="1091"/>
      <c r="OI917" s="1091"/>
      <c r="OJ917" s="1091"/>
      <c r="OK917" s="1091"/>
      <c r="OL917" s="1091"/>
      <c r="OM917" s="1091"/>
      <c r="ON917" s="1091"/>
      <c r="OO917" s="1091"/>
      <c r="OP917" s="1091"/>
      <c r="OQ917" s="1091"/>
      <c r="OR917" s="1091"/>
      <c r="OS917" s="1091"/>
      <c r="OT917" s="1091"/>
      <c r="OU917" s="1091"/>
      <c r="OV917" s="1091"/>
      <c r="OW917" s="1091"/>
      <c r="OX917" s="1091"/>
      <c r="OY917" s="1091"/>
      <c r="OZ917" s="1091"/>
      <c r="PA917" s="1091"/>
      <c r="PB917" s="1091"/>
      <c r="PC917" s="1091"/>
      <c r="PD917" s="1091"/>
      <c r="PE917" s="1091"/>
      <c r="PF917" s="1091"/>
      <c r="PG917" s="1091"/>
      <c r="PH917" s="1091"/>
      <c r="PI917" s="1091"/>
      <c r="PJ917" s="1091"/>
      <c r="PK917" s="1091"/>
      <c r="PL917" s="1091"/>
      <c r="PM917" s="1091"/>
      <c r="PN917" s="1091"/>
      <c r="PO917" s="1091"/>
      <c r="PP917" s="1091"/>
      <c r="PQ917" s="1091"/>
      <c r="PR917" s="1091"/>
      <c r="PS917" s="1091"/>
      <c r="PT917" s="1091"/>
      <c r="PU917" s="1091"/>
      <c r="PV917" s="1091"/>
      <c r="PW917" s="1091"/>
      <c r="PX917" s="1091"/>
      <c r="PY917" s="1091"/>
      <c r="PZ917" s="1091"/>
      <c r="QA917" s="1091"/>
      <c r="QB917" s="1091"/>
      <c r="QC917" s="1091"/>
      <c r="QD917" s="1091"/>
      <c r="QE917" s="1091"/>
      <c r="QF917" s="1091"/>
      <c r="QG917" s="1091"/>
      <c r="QH917" s="1091"/>
      <c r="QI917" s="1091"/>
      <c r="QJ917" s="1091"/>
      <c r="QK917" s="1091"/>
      <c r="QL917" s="1091"/>
      <c r="QM917" s="1091"/>
      <c r="QN917" s="1091"/>
      <c r="QO917" s="1091"/>
      <c r="QP917" s="1091"/>
      <c r="QQ917" s="1091"/>
      <c r="QR917" s="1091"/>
      <c r="QS917" s="1091"/>
      <c r="QT917" s="1091"/>
      <c r="QU917" s="1091"/>
      <c r="QV917" s="1091"/>
      <c r="QW917" s="1091"/>
      <c r="QX917" s="1091"/>
      <c r="QY917" s="1091"/>
      <c r="QZ917" s="1091"/>
      <c r="RA917" s="1091"/>
      <c r="RB917" s="1091"/>
      <c r="RC917" s="1091"/>
      <c r="RD917" s="1091"/>
      <c r="RE917" s="1091"/>
      <c r="RF917" s="1091"/>
      <c r="RG917" s="1091"/>
      <c r="RH917" s="1091"/>
      <c r="RI917" s="1091"/>
      <c r="RJ917" s="1091"/>
      <c r="RK917" s="1091"/>
      <c r="RL917" s="1091"/>
      <c r="RM917" s="1091"/>
      <c r="RN917" s="1091"/>
      <c r="RO917" s="1091"/>
      <c r="RP917" s="1091"/>
      <c r="RQ917" s="1091"/>
      <c r="RR917" s="1091"/>
      <c r="RS917" s="1091"/>
      <c r="RT917" s="1091"/>
      <c r="RU917" s="1091"/>
      <c r="RV917" s="1091"/>
      <c r="RW917" s="1091"/>
      <c r="RX917" s="1091"/>
      <c r="RY917" s="1091"/>
      <c r="RZ917" s="1091"/>
      <c r="SA917" s="1091"/>
      <c r="SB917" s="1091"/>
      <c r="SC917" s="1091"/>
      <c r="SD917" s="1091"/>
      <c r="SE917" s="1091"/>
      <c r="SF917" s="1091"/>
      <c r="SG917" s="1091"/>
      <c r="SH917" s="1091"/>
      <c r="SI917" s="1091"/>
      <c r="SJ917" s="1091"/>
      <c r="SK917" s="1091"/>
      <c r="SL917" s="1091"/>
      <c r="SM917" s="1091"/>
      <c r="SN917" s="1091"/>
      <c r="SO917" s="1091"/>
      <c r="SP917" s="1091"/>
      <c r="SQ917" s="1091"/>
      <c r="SR917" s="1091"/>
      <c r="SS917" s="1091"/>
      <c r="ST917" s="1091"/>
      <c r="SU917" s="1091"/>
      <c r="SV917" s="1091"/>
      <c r="SW917" s="1091"/>
      <c r="SX917" s="1091"/>
      <c r="SY917" s="1091"/>
      <c r="SZ917" s="1091"/>
      <c r="TA917" s="1091"/>
      <c r="TB917" s="1091"/>
      <c r="TC917" s="1091"/>
      <c r="TD917" s="1091"/>
      <c r="TE917" s="1091"/>
      <c r="TF917" s="1091"/>
      <c r="TG917" s="1091"/>
      <c r="TH917" s="1091"/>
      <c r="TI917" s="1091"/>
      <c r="TJ917" s="1091"/>
      <c r="TK917" s="1091"/>
      <c r="TL917" s="1091"/>
      <c r="TM917" s="1091"/>
      <c r="TN917" s="1091"/>
      <c r="TO917" s="1091"/>
      <c r="TP917" s="1091"/>
      <c r="TQ917" s="1091"/>
      <c r="TR917" s="1091"/>
      <c r="TS917" s="1091"/>
      <c r="TT917" s="1091"/>
      <c r="TU917" s="1091"/>
      <c r="TV917" s="1091"/>
      <c r="TW917" s="1091"/>
      <c r="TX917" s="1091"/>
      <c r="TY917" s="1091"/>
      <c r="TZ917" s="1091"/>
      <c r="UA917" s="1091"/>
      <c r="UB917" s="1091"/>
      <c r="UC917" s="1091"/>
      <c r="UD917" s="1091"/>
      <c r="UE917" s="1091"/>
      <c r="UF917" s="1091"/>
      <c r="UG917" s="1091"/>
      <c r="UH917" s="1091"/>
      <c r="UI917" s="1091"/>
      <c r="UJ917" s="1091"/>
      <c r="UK917" s="1091"/>
      <c r="UL917" s="1091"/>
      <c r="UM917" s="1091"/>
      <c r="UN917" s="1091"/>
      <c r="UO917" s="1091"/>
      <c r="UP917" s="1091"/>
      <c r="UQ917" s="1091"/>
      <c r="UR917" s="1091"/>
      <c r="US917" s="1091"/>
      <c r="UT917" s="1091"/>
      <c r="UU917" s="1091"/>
      <c r="UV917" s="1091"/>
      <c r="UW917" s="1091"/>
      <c r="UX917" s="1091"/>
      <c r="UY917" s="1091"/>
      <c r="UZ917" s="1091"/>
      <c r="VA917" s="1091"/>
      <c r="VB917" s="1091"/>
      <c r="VC917" s="1091"/>
      <c r="VD917" s="1091"/>
      <c r="VE917" s="1091"/>
      <c r="VF917" s="1091"/>
      <c r="VG917" s="1091"/>
      <c r="VH917" s="1091"/>
      <c r="VI917" s="1091"/>
      <c r="VJ917" s="1091"/>
      <c r="VK917" s="1091"/>
      <c r="VL917" s="1091"/>
      <c r="VM917" s="1091"/>
      <c r="VN917" s="1091"/>
      <c r="VO917" s="1091"/>
      <c r="VP917" s="1091"/>
      <c r="VQ917" s="1091"/>
      <c r="VR917" s="1091"/>
      <c r="VS917" s="1091"/>
      <c r="VT917" s="1091"/>
      <c r="VU917" s="1091"/>
      <c r="VV917" s="1091"/>
      <c r="VW917" s="1091"/>
      <c r="VX917" s="1091"/>
      <c r="VY917" s="1091"/>
      <c r="VZ917" s="1091"/>
      <c r="WA917" s="1091"/>
      <c r="WB917" s="1091"/>
      <c r="WC917" s="1091"/>
      <c r="WD917" s="1091"/>
      <c r="WE917" s="1091"/>
      <c r="WF917" s="1091"/>
      <c r="WG917" s="1091"/>
      <c r="WH917" s="1091"/>
      <c r="WI917" s="1091"/>
      <c r="WJ917" s="1091"/>
      <c r="WK917" s="1091"/>
      <c r="WL917" s="1091"/>
      <c r="WM917" s="1091"/>
      <c r="WN917" s="1091"/>
      <c r="WO917" s="1091"/>
      <c r="WP917" s="1091"/>
      <c r="WQ917" s="1091"/>
      <c r="WR917" s="1091"/>
      <c r="WS917" s="1091"/>
      <c r="WT917" s="1091"/>
      <c r="WU917" s="1091"/>
      <c r="WV917" s="1091"/>
      <c r="WW917" s="1091"/>
      <c r="WX917" s="1091"/>
      <c r="WY917" s="1091"/>
      <c r="WZ917" s="1091"/>
      <c r="XA917" s="1091"/>
      <c r="XB917" s="1091"/>
      <c r="XC917" s="1091"/>
      <c r="XD917" s="1091"/>
      <c r="XE917" s="1091"/>
      <c r="XF917" s="1091"/>
      <c r="XG917" s="1091"/>
      <c r="XH917" s="1091"/>
      <c r="XI917" s="1091"/>
      <c r="XJ917" s="1091"/>
      <c r="XK917" s="1091"/>
      <c r="XL917" s="1091"/>
      <c r="XM917" s="1091"/>
      <c r="XN917" s="1091"/>
      <c r="XO917" s="1091"/>
      <c r="XP917" s="1091"/>
      <c r="XQ917" s="1091"/>
      <c r="XR917" s="1091"/>
      <c r="XS917" s="1091"/>
      <c r="XT917" s="1091"/>
      <c r="XU917" s="1091"/>
      <c r="XV917" s="1091"/>
      <c r="XW917" s="1091"/>
      <c r="XX917" s="1091"/>
      <c r="XY917" s="1091"/>
      <c r="XZ917" s="1091"/>
      <c r="YA917" s="1091"/>
      <c r="YB917" s="1091"/>
      <c r="YC917" s="1091"/>
      <c r="YD917" s="1091"/>
      <c r="YE917" s="1091"/>
      <c r="YF917" s="1091"/>
      <c r="YG917" s="1091"/>
      <c r="YH917" s="1091"/>
      <c r="YI917" s="1091"/>
      <c r="YJ917" s="1091"/>
      <c r="YK917" s="1091"/>
      <c r="YL917" s="1091"/>
      <c r="YM917" s="1091"/>
      <c r="YN917" s="1091"/>
      <c r="YO917" s="1091"/>
      <c r="YP917" s="1091"/>
      <c r="YQ917" s="1091"/>
      <c r="YR917" s="1091"/>
      <c r="YS917" s="1091"/>
      <c r="YT917" s="1091"/>
      <c r="YU917" s="1091"/>
      <c r="YV917" s="1091"/>
      <c r="YW917" s="1091"/>
      <c r="YX917" s="1091"/>
      <c r="YY917" s="1091"/>
      <c r="YZ917" s="1091"/>
      <c r="ZA917" s="1091"/>
      <c r="ZB917" s="1091"/>
      <c r="ZC917" s="1091"/>
      <c r="ZD917" s="1091"/>
      <c r="ZE917" s="1091"/>
      <c r="ZF917" s="1091"/>
      <c r="ZG917" s="1091"/>
      <c r="ZH917" s="1091"/>
      <c r="ZI917" s="1091"/>
      <c r="ZJ917" s="1091"/>
      <c r="ZK917" s="1091"/>
      <c r="ZL917" s="1091"/>
      <c r="ZM917" s="1091"/>
      <c r="ZN917" s="1091"/>
      <c r="ZO917" s="1091"/>
      <c r="ZP917" s="1091"/>
      <c r="ZQ917" s="1091"/>
      <c r="ZR917" s="1091"/>
      <c r="ZS917" s="1091"/>
      <c r="ZT917" s="1091"/>
      <c r="ZU917" s="1091"/>
      <c r="ZV917" s="1091"/>
      <c r="ZW917" s="1091"/>
      <c r="ZX917" s="1091"/>
      <c r="ZY917" s="1091"/>
      <c r="ZZ917" s="1091"/>
      <c r="AAA917" s="1091"/>
      <c r="AAB917" s="1091"/>
      <c r="AAC917" s="1091"/>
      <c r="AAD917" s="1091"/>
      <c r="AAE917" s="1091"/>
      <c r="AAF917" s="1091"/>
      <c r="AAG917" s="1091"/>
      <c r="AAH917" s="1091"/>
      <c r="AAI917" s="1091"/>
      <c r="AAJ917" s="1091"/>
      <c r="AAK917" s="1091"/>
      <c r="AAL917" s="1091"/>
      <c r="AAM917" s="1091"/>
      <c r="AAN917" s="1091"/>
      <c r="AAO917" s="1091"/>
      <c r="AAP917" s="1091"/>
      <c r="AAQ917" s="1091"/>
      <c r="AAR917" s="1091"/>
      <c r="AAS917" s="1091"/>
      <c r="AAT917" s="1091"/>
      <c r="AAU917" s="1091"/>
      <c r="AAV917" s="1091"/>
      <c r="AAW917" s="1091"/>
      <c r="AAX917" s="1091"/>
      <c r="AAY917" s="1091"/>
      <c r="AAZ917" s="1091"/>
      <c r="ABA917" s="1091"/>
      <c r="ABB917" s="1091"/>
      <c r="ABC917" s="1091"/>
      <c r="ABD917" s="1091"/>
      <c r="ABE917" s="1091"/>
      <c r="ABF917" s="1091"/>
      <c r="ABG917" s="1091"/>
      <c r="ABH917" s="1091"/>
      <c r="ABI917" s="1091"/>
      <c r="ABJ917" s="1091"/>
      <c r="ABK917" s="1091"/>
      <c r="ABL917" s="1091"/>
      <c r="ABM917" s="1091"/>
      <c r="ABN917" s="1091"/>
      <c r="ABO917" s="1091"/>
      <c r="ABP917" s="1091"/>
      <c r="ABQ917" s="1091"/>
      <c r="ABR917" s="1091"/>
      <c r="ABS917" s="1091"/>
      <c r="ABT917" s="1091"/>
      <c r="ABU917" s="1091"/>
      <c r="ABV917" s="1091"/>
      <c r="ABW917" s="1091"/>
      <c r="ABX917" s="1091"/>
      <c r="ABY917" s="1091"/>
      <c r="ABZ917" s="1091"/>
      <c r="ACA917" s="1091"/>
      <c r="ACB917" s="1091"/>
      <c r="ACC917" s="1091"/>
      <c r="ACD917" s="1091"/>
      <c r="ACE917" s="1091"/>
      <c r="ACF917" s="1091"/>
      <c r="ACG917" s="1091"/>
      <c r="ACH917" s="1091"/>
      <c r="ACI917" s="1091"/>
      <c r="ACJ917" s="1091"/>
      <c r="ACK917" s="1091"/>
      <c r="ACL917" s="1091"/>
      <c r="ACM917" s="1091"/>
      <c r="ACN917" s="1091"/>
      <c r="ACO917" s="1091"/>
      <c r="ACP917" s="1091"/>
      <c r="ACQ917" s="1091"/>
      <c r="ACR917" s="1091"/>
      <c r="ACS917" s="1091"/>
      <c r="ACT917" s="1091"/>
      <c r="ACU917" s="1091"/>
      <c r="ACV917" s="1091"/>
      <c r="ACW917" s="1091"/>
      <c r="ACX917" s="1091"/>
      <c r="ACY917" s="1091"/>
      <c r="ACZ917" s="1091"/>
      <c r="ADA917" s="1091"/>
      <c r="ADB917" s="1091"/>
      <c r="ADC917" s="1091"/>
      <c r="ADD917" s="1091"/>
      <c r="ADE917" s="1091"/>
      <c r="ADF917" s="1091"/>
      <c r="ADG917" s="1091"/>
      <c r="ADH917" s="1091"/>
      <c r="ADI917" s="1091"/>
      <c r="ADJ917" s="1091"/>
      <c r="ADK917" s="1091"/>
      <c r="ADL917" s="1091"/>
      <c r="ADM917" s="1091"/>
      <c r="ADN917" s="1091"/>
      <c r="ADO917" s="1091"/>
      <c r="ADP917" s="1091"/>
      <c r="ADQ917" s="1091"/>
      <c r="ADR917" s="1091"/>
      <c r="ADS917" s="1091"/>
      <c r="ADT917" s="1091"/>
      <c r="ADU917" s="1091"/>
      <c r="ADV917" s="1091"/>
      <c r="ADW917" s="1091"/>
      <c r="ADX917" s="1091"/>
      <c r="ADY917" s="1091"/>
      <c r="ADZ917" s="1091"/>
      <c r="AEA917" s="1091"/>
      <c r="AEB917" s="1091"/>
      <c r="AEC917" s="1091"/>
      <c r="AED917" s="1091"/>
      <c r="AEE917" s="1091"/>
      <c r="AEF917" s="1091"/>
      <c r="AEG917" s="1091"/>
      <c r="AEH917" s="1091"/>
      <c r="AEI917" s="1091"/>
      <c r="AEJ917" s="1091"/>
      <c r="AEK917" s="1091"/>
      <c r="AEL917" s="1091"/>
      <c r="AEM917" s="1091"/>
      <c r="AEN917" s="1091"/>
      <c r="AEO917" s="1091"/>
      <c r="AEP917" s="1091"/>
      <c r="AEQ917" s="1091"/>
      <c r="AER917" s="1091"/>
      <c r="AES917" s="1091"/>
      <c r="AET917" s="1091"/>
      <c r="AEU917" s="1091"/>
      <c r="AEV917" s="1091"/>
      <c r="AEW917" s="1091"/>
      <c r="AEX917" s="1091"/>
      <c r="AEY917" s="1091"/>
      <c r="AEZ917" s="1091"/>
      <c r="AFA917" s="1091"/>
      <c r="AFB917" s="1091"/>
      <c r="AFC917" s="1091"/>
      <c r="AFD917" s="1091"/>
      <c r="AFE917" s="1091"/>
      <c r="AFF917" s="1091"/>
      <c r="AFG917" s="1091"/>
      <c r="AFH917" s="1091"/>
      <c r="AFI917" s="1091"/>
      <c r="AFJ917" s="1091"/>
      <c r="AFK917" s="1091"/>
      <c r="AFL917" s="1091"/>
      <c r="AFM917" s="1091"/>
      <c r="AFN917" s="1091"/>
      <c r="AFO917" s="1091"/>
      <c r="AFP917" s="1091"/>
      <c r="AFQ917" s="1091"/>
      <c r="AFR917" s="1091"/>
      <c r="AFS917" s="1091"/>
      <c r="AFT917" s="1091"/>
      <c r="AFU917" s="1091"/>
      <c r="AFV917" s="1091"/>
      <c r="AFW917" s="1091"/>
      <c r="AFX917" s="1091"/>
      <c r="AFY917" s="1091"/>
      <c r="AFZ917" s="1091"/>
      <c r="AGA917" s="1091"/>
      <c r="AGB917" s="1091"/>
      <c r="AGC917" s="1091"/>
      <c r="AGD917" s="1091"/>
      <c r="AGE917" s="1091"/>
      <c r="AGF917" s="1091"/>
      <c r="AGG917" s="1091"/>
      <c r="AGH917" s="1091"/>
      <c r="AGI917" s="1091"/>
      <c r="AGJ917" s="1091"/>
      <c r="AGK917" s="1091"/>
      <c r="AGL917" s="1091"/>
      <c r="AGM917" s="1091"/>
      <c r="AGN917" s="1091"/>
      <c r="AGO917" s="1091"/>
      <c r="AGP917" s="1091"/>
      <c r="AGQ917" s="1091"/>
      <c r="AGR917" s="1091"/>
      <c r="AGS917" s="1091"/>
      <c r="AGT917" s="1091"/>
      <c r="AGU917" s="1091"/>
      <c r="AGV917" s="1091"/>
      <c r="AGW917" s="1091"/>
      <c r="AGX917" s="1091"/>
      <c r="AGY917" s="1091"/>
      <c r="AGZ917" s="1091"/>
      <c r="AHA917" s="1091"/>
      <c r="AHB917" s="1091"/>
      <c r="AHC917" s="1091"/>
      <c r="AHD917" s="1091"/>
      <c r="AHE917" s="1091"/>
      <c r="AHF917" s="1091"/>
      <c r="AHG917" s="1091"/>
      <c r="AHH917" s="1091"/>
      <c r="AHI917" s="1091"/>
      <c r="AHJ917" s="1091"/>
      <c r="AHK917" s="1091"/>
      <c r="AHL917" s="1091"/>
      <c r="AHM917" s="1091"/>
      <c r="AHN917" s="1091"/>
      <c r="AHO917" s="1091"/>
      <c r="AHP917" s="1091"/>
      <c r="AHQ917" s="1091"/>
      <c r="AHR917" s="1091"/>
      <c r="AHS917" s="1091"/>
      <c r="AHT917" s="1091"/>
      <c r="AHU917" s="1091"/>
      <c r="AHV917" s="1091"/>
      <c r="AHW917" s="1091"/>
      <c r="AHX917" s="1091"/>
      <c r="AHY917" s="1091"/>
      <c r="AHZ917" s="1091"/>
      <c r="AIA917" s="1091"/>
      <c r="AIB917" s="1091"/>
      <c r="AIC917" s="1091"/>
      <c r="AID917" s="1091"/>
      <c r="AIE917" s="1091"/>
      <c r="AIF917" s="1091"/>
      <c r="AIG917" s="1091"/>
      <c r="AIH917" s="1091"/>
      <c r="AII917" s="1091"/>
      <c r="AIJ917" s="1091"/>
      <c r="AIK917" s="1091"/>
      <c r="AIL917" s="1091"/>
      <c r="AIM917" s="1091"/>
      <c r="AIN917" s="1091"/>
      <c r="AIO917" s="1091"/>
      <c r="AIP917" s="1091"/>
      <c r="AIQ917" s="1091"/>
      <c r="AIR917" s="1091"/>
      <c r="AIS917" s="1091"/>
      <c r="AIT917" s="1091"/>
      <c r="AIU917" s="1091"/>
      <c r="AIV917" s="1091"/>
      <c r="AIW917" s="1091"/>
      <c r="AIX917" s="1091"/>
      <c r="AIY917" s="1091"/>
      <c r="AIZ917" s="1091"/>
      <c r="AJA917" s="1091"/>
      <c r="AJB917" s="1091"/>
      <c r="AJC917" s="1091"/>
      <c r="AJD917" s="1091"/>
      <c r="AJE917" s="1091"/>
      <c r="AJF917" s="1091"/>
      <c r="AJG917" s="1091"/>
      <c r="AJH917" s="1091"/>
      <c r="AJI917" s="1091"/>
      <c r="AJJ917" s="1091"/>
      <c r="AJK917" s="1091"/>
      <c r="AJL917" s="1091"/>
      <c r="AJM917" s="1091"/>
      <c r="AJN917" s="1091"/>
      <c r="AJO917" s="1091"/>
      <c r="AJP917" s="1091"/>
      <c r="AJQ917" s="1091"/>
      <c r="AJR917" s="1091"/>
      <c r="AJS917" s="1091"/>
      <c r="AJT917" s="1091"/>
      <c r="AJU917" s="1091"/>
      <c r="AJV917" s="1091"/>
      <c r="AJW917" s="1091"/>
      <c r="AJX917" s="1091"/>
      <c r="AJY917" s="1091"/>
      <c r="AJZ917" s="1091"/>
      <c r="AKA917" s="1091"/>
      <c r="AKB917" s="1091"/>
      <c r="AKC917" s="1091"/>
      <c r="AKD917" s="1091"/>
      <c r="AKE917" s="1091"/>
      <c r="AKF917" s="1091"/>
      <c r="AKG917" s="1091"/>
      <c r="AKH917" s="1091"/>
      <c r="AKI917" s="1091"/>
      <c r="AKJ917" s="1091"/>
      <c r="AKK917" s="1091"/>
      <c r="AKL917" s="1091"/>
      <c r="AKM917" s="1091"/>
      <c r="AKN917" s="1091"/>
      <c r="AKO917" s="1091"/>
      <c r="AKP917" s="1091"/>
      <c r="AKQ917" s="1091"/>
      <c r="AKR917" s="1091"/>
      <c r="AKS917" s="1091"/>
      <c r="AKT917" s="1091"/>
      <c r="AKU917" s="1091"/>
      <c r="AKV917" s="1091"/>
      <c r="AKW917" s="1091"/>
      <c r="AKX917" s="1091"/>
      <c r="AKY917" s="1091"/>
      <c r="AKZ917" s="1091"/>
      <c r="ALA917" s="1091"/>
      <c r="ALB917" s="1091"/>
      <c r="ALC917" s="1091"/>
      <c r="ALD917" s="1091"/>
      <c r="ALE917" s="1091"/>
      <c r="ALF917" s="1091"/>
      <c r="ALG917" s="1091"/>
      <c r="ALH917" s="1091"/>
      <c r="ALI917" s="1091"/>
      <c r="ALJ917" s="1091"/>
      <c r="ALK917" s="1091"/>
      <c r="ALL917" s="1091"/>
      <c r="ALM917" s="1091"/>
      <c r="ALN917" s="1091"/>
      <c r="ALO917" s="1091"/>
      <c r="ALP917" s="1091"/>
      <c r="ALQ917" s="1091"/>
      <c r="ALR917" s="1091"/>
      <c r="ALS917" s="1091"/>
      <c r="ALT917" s="1091"/>
      <c r="ALU917" s="1091"/>
      <c r="ALV917" s="1091"/>
      <c r="ALW917" s="1091"/>
      <c r="ALX917" s="1091"/>
      <c r="ALY917" s="1091"/>
      <c r="ALZ917" s="1091"/>
      <c r="AMA917" s="1091"/>
      <c r="AMB917" s="1091"/>
      <c r="AMC917" s="1091"/>
      <c r="AMD917" s="1091"/>
      <c r="AME917" s="1091"/>
      <c r="AMF917" s="1091"/>
      <c r="AMG917" s="1091"/>
      <c r="AMH917" s="1091"/>
      <c r="AMI917" s="1091"/>
      <c r="AMJ917" s="1091"/>
      <c r="AMK917" s="1091"/>
      <c r="AML917" s="1091"/>
      <c r="AMM917" s="1091"/>
      <c r="AMN917" s="1091"/>
      <c r="AMO917" s="1091"/>
      <c r="AMP917" s="1091"/>
      <c r="AMQ917" s="1091"/>
      <c r="AMR917" s="1091"/>
      <c r="AMS917" s="1091"/>
      <c r="AMT917" s="1091"/>
      <c r="AMU917" s="1091"/>
      <c r="AMV917" s="1091"/>
      <c r="AMW917" s="1091"/>
      <c r="AMX917" s="1091"/>
      <c r="AMY917" s="1091"/>
      <c r="AMZ917" s="1091"/>
      <c r="ANA917" s="1091"/>
      <c r="ANB917" s="1091"/>
      <c r="ANC917" s="1091"/>
      <c r="AND917" s="1091"/>
      <c r="ANE917" s="1091"/>
      <c r="ANF917" s="1091"/>
      <c r="ANG917" s="1091"/>
      <c r="ANH917" s="1091"/>
      <c r="ANI917" s="1091"/>
      <c r="ANJ917" s="1091"/>
      <c r="ANK917" s="1091"/>
      <c r="ANL917" s="1091"/>
      <c r="ANM917" s="1091"/>
      <c r="ANN917" s="1091"/>
      <c r="ANO917" s="1091"/>
      <c r="ANP917" s="1091"/>
      <c r="ANQ917" s="1091"/>
      <c r="ANR917" s="1091"/>
      <c r="ANS917" s="1091"/>
      <c r="ANT917" s="1091"/>
      <c r="ANU917" s="1091"/>
      <c r="ANV917" s="1091"/>
      <c r="ANW917" s="1091"/>
      <c r="ANX917" s="1091"/>
      <c r="ANY917" s="1091"/>
      <c r="ANZ917" s="1091"/>
      <c r="AOA917" s="1091"/>
      <c r="AOB917" s="1091"/>
      <c r="AOC917" s="1091"/>
      <c r="AOD917" s="1091"/>
      <c r="AOE917" s="1091"/>
      <c r="AOF917" s="1091"/>
      <c r="AOG917" s="1091"/>
      <c r="AOH917" s="1091"/>
      <c r="AOI917" s="1091"/>
      <c r="AOJ917" s="1091"/>
      <c r="AOK917" s="1091"/>
      <c r="AOL917" s="1091"/>
      <c r="AOM917" s="1091"/>
      <c r="AON917" s="1091"/>
      <c r="AOO917" s="1091"/>
      <c r="AOP917" s="1091"/>
      <c r="AOQ917" s="1091"/>
      <c r="AOR917" s="1091"/>
      <c r="AOS917" s="1091"/>
      <c r="AOT917" s="1091"/>
      <c r="AOU917" s="1091"/>
      <c r="AOV917" s="1091"/>
      <c r="AOW917" s="1091"/>
      <c r="AOX917" s="1091"/>
      <c r="AOY917" s="1091"/>
      <c r="AOZ917" s="1091"/>
      <c r="APA917" s="1091"/>
      <c r="APB917" s="1091"/>
      <c r="APC917" s="1091"/>
      <c r="APD917" s="1091"/>
      <c r="APE917" s="1091"/>
      <c r="APF917" s="1091"/>
      <c r="APG917" s="1091"/>
      <c r="APH917" s="1091"/>
      <c r="API917" s="1091"/>
      <c r="APJ917" s="1091"/>
      <c r="APK917" s="1091"/>
      <c r="APL917" s="1091"/>
      <c r="APM917" s="1091"/>
      <c r="APN917" s="1091"/>
      <c r="APO917" s="1091"/>
      <c r="APP917" s="1091"/>
      <c r="APQ917" s="1091"/>
      <c r="APR917" s="1091"/>
      <c r="APS917" s="1091"/>
      <c r="APT917" s="1091"/>
      <c r="APU917" s="1091"/>
      <c r="APV917" s="1091"/>
      <c r="APW917" s="1091"/>
      <c r="APX917" s="1091"/>
      <c r="APY917" s="1091"/>
      <c r="APZ917" s="1091"/>
      <c r="AQA917" s="1091"/>
      <c r="AQB917" s="1091"/>
      <c r="AQC917" s="1091"/>
      <c r="AQD917" s="1091"/>
      <c r="AQE917" s="1091"/>
      <c r="AQF917" s="1091"/>
      <c r="AQG917" s="1091"/>
      <c r="AQH917" s="1091"/>
      <c r="AQI917" s="1091"/>
      <c r="AQJ917" s="1091"/>
      <c r="AQK917" s="1091"/>
      <c r="AQL917" s="1091"/>
      <c r="AQM917" s="1091"/>
      <c r="AQN917" s="1091"/>
      <c r="AQO917" s="1091"/>
      <c r="AQP917" s="1091"/>
      <c r="AQQ917" s="1091"/>
      <c r="AQR917" s="1091"/>
      <c r="AQS917" s="1091"/>
      <c r="AQT917" s="1091"/>
      <c r="AQU917" s="1091"/>
      <c r="AQV917" s="1091"/>
      <c r="AQW917" s="1091"/>
      <c r="AQX917" s="1091"/>
      <c r="AQY917" s="1091"/>
      <c r="AQZ917" s="1091"/>
      <c r="ARA917" s="1091"/>
      <c r="ARB917" s="1091"/>
      <c r="ARC917" s="1091"/>
      <c r="ARD917" s="1091"/>
      <c r="ARE917" s="1091"/>
      <c r="ARF917" s="1091"/>
      <c r="ARG917" s="1091"/>
      <c r="ARH917" s="1091"/>
      <c r="ARI917" s="1091"/>
      <c r="ARJ917" s="1091"/>
      <c r="ARK917" s="1091"/>
      <c r="ARL917" s="1091"/>
      <c r="ARM917" s="1091"/>
      <c r="ARN917" s="1091"/>
      <c r="ARO917" s="1091"/>
      <c r="ARP917" s="1091"/>
      <c r="ARQ917" s="1091"/>
      <c r="ARR917" s="1091"/>
      <c r="ARS917" s="1091"/>
      <c r="ART917" s="1091"/>
      <c r="ARU917" s="1091"/>
      <c r="ARV917" s="1091"/>
      <c r="ARW917" s="1091"/>
      <c r="ARX917" s="1091"/>
      <c r="ARY917" s="1091"/>
      <c r="ARZ917" s="1091"/>
      <c r="ASA917" s="1091"/>
      <c r="ASB917" s="1091"/>
      <c r="ASC917" s="1091"/>
      <c r="ASD917" s="1091"/>
      <c r="ASE917" s="1091"/>
      <c r="ASF917" s="1091"/>
      <c r="ASG917" s="1091"/>
      <c r="ASH917" s="1091"/>
      <c r="ASI917" s="1091"/>
      <c r="ASJ917" s="1091"/>
      <c r="ASK917" s="1091"/>
      <c r="ASL917" s="1091"/>
      <c r="ASM917" s="1091"/>
      <c r="ASN917" s="1091"/>
      <c r="ASO917" s="1091"/>
      <c r="ASP917" s="1091"/>
      <c r="ASQ917" s="1091"/>
      <c r="ASR917" s="1091"/>
      <c r="ASS917" s="1091"/>
      <c r="AST917" s="1091"/>
      <c r="ASU917" s="1091"/>
      <c r="ASV917" s="1091"/>
      <c r="ASW917" s="1091"/>
      <c r="ASX917" s="1091"/>
      <c r="ASY917" s="1091"/>
      <c r="ASZ917" s="1091"/>
      <c r="ATA917" s="1091"/>
      <c r="ATB917" s="1091"/>
      <c r="ATC917" s="1091"/>
      <c r="ATD917" s="1091"/>
      <c r="ATE917" s="1091"/>
      <c r="ATF917" s="1091"/>
      <c r="ATG917" s="1091"/>
      <c r="ATH917" s="1091"/>
      <c r="ATI917" s="1091"/>
      <c r="ATJ917" s="1091"/>
      <c r="ATK917" s="1091"/>
      <c r="ATL917" s="1091"/>
      <c r="ATM917" s="1091"/>
      <c r="ATN917" s="1091"/>
      <c r="ATO917" s="1091"/>
      <c r="ATP917" s="1091"/>
      <c r="ATQ917" s="1091"/>
      <c r="ATR917" s="1091"/>
      <c r="ATS917" s="1091"/>
      <c r="ATT917" s="1091"/>
      <c r="ATU917" s="1091"/>
      <c r="ATV917" s="1091"/>
      <c r="ATW917" s="1091"/>
      <c r="ATX917" s="1091"/>
      <c r="ATY917" s="1091"/>
      <c r="ATZ917" s="1091"/>
      <c r="AUA917" s="1091"/>
      <c r="AUB917" s="1091"/>
      <c r="AUC917" s="1091"/>
      <c r="AUD917" s="1091"/>
      <c r="AUE917" s="1091"/>
      <c r="AUF917" s="1091"/>
      <c r="AUG917" s="1091"/>
      <c r="AUH917" s="1091"/>
      <c r="AUI917" s="1091"/>
      <c r="AUJ917" s="1091"/>
      <c r="AUK917" s="1091"/>
      <c r="AUL917" s="1091"/>
      <c r="AUM917" s="1091"/>
      <c r="AUN917" s="1091"/>
      <c r="AUO917" s="1091"/>
      <c r="AUP917" s="1091"/>
      <c r="AUQ917" s="1091"/>
      <c r="AUR917" s="1091"/>
      <c r="AUS917" s="1091"/>
      <c r="AUT917" s="1091"/>
      <c r="AUU917" s="1091"/>
      <c r="AUV917" s="1091"/>
      <c r="AUW917" s="1091"/>
      <c r="AUX917" s="1091"/>
      <c r="AUY917" s="1091"/>
      <c r="AUZ917" s="1091"/>
      <c r="AVA917" s="1091"/>
      <c r="AVB917" s="1091"/>
      <c r="AVC917" s="1091"/>
      <c r="AVD917" s="1091"/>
      <c r="AVE917" s="1091"/>
      <c r="AVF917" s="1091"/>
      <c r="AVG917" s="1091"/>
      <c r="AVH917" s="1091"/>
      <c r="AVI917" s="1091"/>
      <c r="AVJ917" s="1091"/>
      <c r="AVK917" s="1091"/>
      <c r="AVL917" s="1091"/>
      <c r="AVM917" s="1091"/>
      <c r="AVN917" s="1091"/>
      <c r="AVO917" s="1091"/>
      <c r="AVP917" s="1091"/>
      <c r="AVQ917" s="1091"/>
      <c r="AVR917" s="1091"/>
      <c r="AVS917" s="1091"/>
      <c r="AVT917" s="1091"/>
      <c r="AVU917" s="1091"/>
      <c r="AVV917" s="1091"/>
      <c r="AVW917" s="1091"/>
      <c r="AVX917" s="1091"/>
      <c r="AVY917" s="1091"/>
      <c r="AVZ917" s="1091"/>
      <c r="AWA917" s="1091"/>
      <c r="AWB917" s="1091"/>
      <c r="AWC917" s="1091"/>
      <c r="AWD917" s="1091"/>
      <c r="AWE917" s="1091"/>
      <c r="AWF917" s="1091"/>
      <c r="AWG917" s="1091"/>
      <c r="AWH917" s="1091"/>
      <c r="AWI917" s="1091"/>
      <c r="AWJ917" s="1091"/>
      <c r="AWK917" s="1091"/>
      <c r="AWL917" s="1091"/>
      <c r="AWM917" s="1091"/>
      <c r="AWN917" s="1091"/>
      <c r="AWO917" s="1091"/>
      <c r="AWP917" s="1091"/>
      <c r="AWQ917" s="1091"/>
      <c r="AWR917" s="1091"/>
      <c r="AWS917" s="1091"/>
      <c r="AWT917" s="1091"/>
      <c r="AWU917" s="1091"/>
      <c r="AWV917" s="1091"/>
      <c r="AWW917" s="1091"/>
      <c r="AWX917" s="1091"/>
      <c r="AWY917" s="1091"/>
      <c r="AWZ917" s="1091"/>
      <c r="AXA917" s="1091"/>
      <c r="AXB917" s="1091"/>
      <c r="AXC917" s="1091"/>
      <c r="AXD917" s="1091"/>
      <c r="AXE917" s="1091"/>
      <c r="AXF917" s="1091"/>
      <c r="AXG917" s="1091"/>
      <c r="AXH917" s="1091"/>
      <c r="AXI917" s="1091"/>
      <c r="AXJ917" s="1091"/>
      <c r="AXK917" s="1091"/>
      <c r="AXL917" s="1091"/>
      <c r="AXM917" s="1091"/>
      <c r="AXN917" s="1091"/>
      <c r="AXO917" s="1091"/>
      <c r="AXP917" s="1091"/>
      <c r="AXQ917" s="1091"/>
      <c r="AXR917" s="1091"/>
      <c r="AXS917" s="1091"/>
      <c r="AXT917" s="1091"/>
      <c r="AXU917" s="1091"/>
      <c r="AXV917" s="1091"/>
      <c r="AXW917" s="1091"/>
      <c r="AXX917" s="1091"/>
      <c r="AXY917" s="1091"/>
      <c r="AXZ917" s="1091"/>
      <c r="AYA917" s="1091"/>
      <c r="AYB917" s="1091"/>
      <c r="AYC917" s="1091"/>
      <c r="AYD917" s="1091"/>
      <c r="AYE917" s="1091"/>
      <c r="AYF917" s="1091"/>
      <c r="AYG917" s="1091"/>
      <c r="AYH917" s="1091"/>
      <c r="AYI917" s="1091"/>
      <c r="AYJ917" s="1091"/>
      <c r="AYK917" s="1091"/>
      <c r="AYL917" s="1091"/>
      <c r="AYM917" s="1091"/>
      <c r="AYN917" s="1091"/>
      <c r="AYO917" s="1091"/>
      <c r="AYP917" s="1091"/>
      <c r="AYQ917" s="1091"/>
      <c r="AYR917" s="1091"/>
      <c r="AYS917" s="1091"/>
      <c r="AYT917" s="1091"/>
      <c r="AYU917" s="1091"/>
      <c r="AYV917" s="1091"/>
      <c r="AYW917" s="1091"/>
      <c r="AYX917" s="1091"/>
      <c r="AYY917" s="1091"/>
      <c r="AYZ917" s="1091"/>
      <c r="AZA917" s="1091"/>
      <c r="AZB917" s="1091"/>
      <c r="AZC917" s="1091"/>
      <c r="AZD917" s="1091"/>
      <c r="AZE917" s="1091"/>
      <c r="AZF917" s="1091"/>
      <c r="AZG917" s="1091"/>
      <c r="AZH917" s="1091"/>
      <c r="AZI917" s="1091"/>
      <c r="AZJ917" s="1091"/>
      <c r="AZK917" s="1091"/>
      <c r="AZL917" s="1091"/>
      <c r="AZM917" s="1091"/>
      <c r="AZN917" s="1091"/>
      <c r="AZO917" s="1091"/>
      <c r="AZP917" s="1091"/>
      <c r="AZQ917" s="1091"/>
      <c r="AZR917" s="1091"/>
      <c r="AZS917" s="1091"/>
      <c r="AZT917" s="1091"/>
      <c r="AZU917" s="1091"/>
      <c r="AZV917" s="1091"/>
      <c r="AZW917" s="1091"/>
      <c r="AZX917" s="1091"/>
      <c r="AZY917" s="1091"/>
      <c r="AZZ917" s="1091"/>
      <c r="BAA917" s="1091"/>
      <c r="BAB917" s="1091"/>
      <c r="BAC917" s="1091"/>
      <c r="BAD917" s="1091"/>
      <c r="BAE917" s="1091"/>
      <c r="BAF917" s="1091"/>
      <c r="BAG917" s="1091"/>
      <c r="BAH917" s="1091"/>
      <c r="BAI917" s="1091"/>
      <c r="BAJ917" s="1091"/>
      <c r="BAK917" s="1091"/>
      <c r="BAL917" s="1091"/>
      <c r="BAM917" s="1091"/>
      <c r="BAN917" s="1091"/>
      <c r="BAO917" s="1091"/>
      <c r="BAP917" s="1091"/>
      <c r="BAQ917" s="1091"/>
      <c r="BAR917" s="1091"/>
      <c r="BAS917" s="1091"/>
      <c r="BAT917" s="1091"/>
      <c r="BAU917" s="1091"/>
      <c r="BAV917" s="1091"/>
      <c r="BAW917" s="1091"/>
      <c r="BAX917" s="1091"/>
      <c r="BAY917" s="1091"/>
      <c r="BAZ917" s="1091"/>
      <c r="BBA917" s="1091"/>
      <c r="BBB917" s="1091"/>
      <c r="BBC917" s="1091"/>
      <c r="BBD917" s="1091"/>
      <c r="BBE917" s="1091"/>
      <c r="BBF917" s="1091"/>
      <c r="BBG917" s="1091"/>
      <c r="BBH917" s="1091"/>
      <c r="BBI917" s="1091"/>
      <c r="BBJ917" s="1091"/>
      <c r="BBK917" s="1091"/>
      <c r="BBL917" s="1091"/>
      <c r="BBM917" s="1091"/>
      <c r="BBN917" s="1091"/>
      <c r="BBO917" s="1091"/>
      <c r="BBP917" s="1091"/>
      <c r="BBQ917" s="1091"/>
      <c r="BBR917" s="1091"/>
      <c r="BBS917" s="1091"/>
      <c r="BBT917" s="1091"/>
      <c r="BBU917" s="1091"/>
      <c r="BBV917" s="1091"/>
      <c r="BBW917" s="1091"/>
      <c r="BBX917" s="1091"/>
      <c r="BBY917" s="1091"/>
      <c r="BBZ917" s="1091"/>
      <c r="BCA917" s="1091"/>
      <c r="BCB917" s="1091"/>
      <c r="BCC917" s="1091"/>
      <c r="BCD917" s="1091"/>
      <c r="BCE917" s="1091"/>
      <c r="BCF917" s="1091"/>
      <c r="BCG917" s="1091"/>
      <c r="BCH917" s="1091"/>
      <c r="BCI917" s="1091"/>
      <c r="BCJ917" s="1091"/>
      <c r="BCK917" s="1091"/>
      <c r="BCL917" s="1091"/>
      <c r="BCM917" s="1091"/>
      <c r="BCN917" s="1091"/>
      <c r="BCO917" s="1091"/>
      <c r="BCP917" s="1091"/>
      <c r="BCQ917" s="1091"/>
      <c r="BCR917" s="1091"/>
      <c r="BCS917" s="1091"/>
      <c r="BCT917" s="1091"/>
      <c r="BCU917" s="1091"/>
      <c r="BCV917" s="1091"/>
      <c r="BCW917" s="1091"/>
      <c r="BCX917" s="1091"/>
      <c r="BCY917" s="1091"/>
      <c r="BCZ917" s="1091"/>
      <c r="BDA917" s="1091"/>
      <c r="BDB917" s="1091"/>
      <c r="BDC917" s="1091"/>
      <c r="BDD917" s="1091"/>
      <c r="BDE917" s="1091"/>
      <c r="BDF917" s="1091"/>
      <c r="BDG917" s="1091"/>
      <c r="BDH917" s="1091"/>
      <c r="BDI917" s="1091"/>
      <c r="BDJ917" s="1091"/>
      <c r="BDK917" s="1091"/>
      <c r="BDL917" s="1091"/>
      <c r="BDM917" s="1091"/>
      <c r="BDN917" s="1091"/>
      <c r="BDO917" s="1091"/>
      <c r="BDP917" s="1091"/>
      <c r="BDQ917" s="1091"/>
      <c r="BDR917" s="1091"/>
      <c r="BDS917" s="1091"/>
      <c r="BDT917" s="1091"/>
      <c r="BDU917" s="1091"/>
      <c r="BDV917" s="1091"/>
      <c r="BDW917" s="1091"/>
      <c r="BDX917" s="1091"/>
      <c r="BDY917" s="1091"/>
      <c r="BDZ917" s="1091"/>
      <c r="BEA917" s="1091"/>
      <c r="BEB917" s="1091"/>
      <c r="BEC917" s="1091"/>
      <c r="BED917" s="1091"/>
      <c r="BEE917" s="1091"/>
      <c r="BEF917" s="1091"/>
      <c r="BEG917" s="1091"/>
      <c r="BEH917" s="1091"/>
      <c r="BEI917" s="1091"/>
      <c r="BEJ917" s="1091"/>
      <c r="BEK917" s="1091"/>
      <c r="BEL917" s="1091"/>
      <c r="BEM917" s="1091"/>
      <c r="BEN917" s="1091"/>
      <c r="BEO917" s="1091"/>
      <c r="BEP917" s="1091"/>
      <c r="BEQ917" s="1091"/>
      <c r="BER917" s="1091"/>
      <c r="BES917" s="1091"/>
      <c r="BET917" s="1091"/>
      <c r="BEU917" s="1091"/>
      <c r="BEV917" s="1091"/>
      <c r="BEW917" s="1091"/>
      <c r="BEX917" s="1091"/>
      <c r="BEY917" s="1091"/>
      <c r="BEZ917" s="1091"/>
      <c r="BFA917" s="1091"/>
      <c r="BFB917" s="1091"/>
      <c r="BFC917" s="1091"/>
      <c r="BFD917" s="1091"/>
      <c r="BFE917" s="1091"/>
      <c r="BFF917" s="1091"/>
      <c r="BFG917" s="1091"/>
      <c r="BFH917" s="1091"/>
      <c r="BFI917" s="1091"/>
      <c r="BFJ917" s="1091"/>
      <c r="BFK917" s="1091"/>
      <c r="BFL917" s="1091"/>
      <c r="BFM917" s="1091"/>
      <c r="BFN917" s="1091"/>
      <c r="BFO917" s="1091"/>
      <c r="BFP917" s="1091"/>
      <c r="BFQ917" s="1091"/>
      <c r="BFR917" s="1091"/>
      <c r="BFS917" s="1091"/>
      <c r="BFT917" s="1091"/>
      <c r="BFU917" s="1091"/>
      <c r="BFV917" s="1091"/>
      <c r="BFW917" s="1091"/>
      <c r="BFX917" s="1091"/>
      <c r="BFY917" s="1091"/>
      <c r="BFZ917" s="1091"/>
      <c r="BGA917" s="1091"/>
      <c r="BGB917" s="1091"/>
      <c r="BGC917" s="1091"/>
      <c r="BGD917" s="1091"/>
      <c r="BGE917" s="1091"/>
      <c r="BGF917" s="1091"/>
      <c r="BGG917" s="1091"/>
      <c r="BGH917" s="1091"/>
      <c r="BGI917" s="1091"/>
      <c r="BGJ917" s="1091"/>
      <c r="BGK917" s="1091"/>
      <c r="BGL917" s="1091"/>
      <c r="BGM917" s="1091"/>
      <c r="BGN917" s="1091"/>
      <c r="BGO917" s="1091"/>
      <c r="BGP917" s="1091"/>
      <c r="BGQ917" s="1091"/>
      <c r="BGR917" s="1091"/>
      <c r="BGS917" s="1091"/>
      <c r="BGT917" s="1091"/>
      <c r="BGU917" s="1091"/>
      <c r="BGV917" s="1091"/>
      <c r="BGW917" s="1091"/>
      <c r="BGX917" s="1091"/>
      <c r="BGY917" s="1091"/>
      <c r="BGZ917" s="1091"/>
      <c r="BHA917" s="1091"/>
      <c r="BHB917" s="1091"/>
      <c r="BHC917" s="1091"/>
      <c r="BHD917" s="1091"/>
      <c r="BHE917" s="1091"/>
      <c r="BHF917" s="1091"/>
      <c r="BHG917" s="1091"/>
      <c r="BHH917" s="1091"/>
      <c r="BHI917" s="1091"/>
      <c r="BHJ917" s="1091"/>
      <c r="BHK917" s="1091"/>
      <c r="BHL917" s="1091"/>
      <c r="BHM917" s="1091"/>
      <c r="BHN917" s="1091"/>
      <c r="BHO917" s="1091"/>
      <c r="BHP917" s="1091"/>
      <c r="BHQ917" s="1091"/>
      <c r="BHR917" s="1091"/>
      <c r="BHS917" s="1091"/>
      <c r="BHT917" s="1091"/>
      <c r="BHU917" s="1091"/>
      <c r="BHV917" s="1091"/>
      <c r="BHW917" s="1091"/>
      <c r="BHX917" s="1091"/>
      <c r="BHY917" s="1091"/>
      <c r="BHZ917" s="1091"/>
      <c r="BIA917" s="1091"/>
      <c r="BIB917" s="1091"/>
      <c r="BIC917" s="1091"/>
      <c r="BID917" s="1091"/>
      <c r="BIE917" s="1091"/>
      <c r="BIF917" s="1091"/>
      <c r="BIG917" s="1091"/>
      <c r="BIH917" s="1091"/>
      <c r="BII917" s="1091"/>
      <c r="BIJ917" s="1091"/>
      <c r="BIK917" s="1091"/>
      <c r="BIL917" s="1091"/>
      <c r="BIM917" s="1091"/>
      <c r="BIN917" s="1091"/>
      <c r="BIO917" s="1091"/>
      <c r="BIP917" s="1091"/>
      <c r="BIQ917" s="1091"/>
      <c r="BIR917" s="1091"/>
      <c r="BIS917" s="1091"/>
      <c r="BIT917" s="1091"/>
      <c r="BIU917" s="1091"/>
      <c r="BIV917" s="1091"/>
      <c r="BIW917" s="1091"/>
      <c r="BIX917" s="1091"/>
      <c r="BIY917" s="1091"/>
      <c r="BIZ917" s="1091"/>
      <c r="BJA917" s="1091"/>
      <c r="BJB917" s="1091"/>
      <c r="BJC917" s="1091"/>
      <c r="BJD917" s="1091"/>
      <c r="BJE917" s="1091"/>
      <c r="BJF917" s="1091"/>
      <c r="BJG917" s="1091"/>
      <c r="BJH917" s="1091"/>
      <c r="BJI917" s="1091"/>
      <c r="BJJ917" s="1091"/>
      <c r="BJK917" s="1091"/>
      <c r="BJL917" s="1091"/>
      <c r="BJM917" s="1091"/>
      <c r="BJN917" s="1091"/>
      <c r="BJO917" s="1091"/>
      <c r="BJP917" s="1091"/>
      <c r="BJQ917" s="1091"/>
      <c r="BJR917" s="1091"/>
      <c r="BJS917" s="1091"/>
      <c r="BJT917" s="1091"/>
      <c r="BJU917" s="1091"/>
      <c r="BJV917" s="1091"/>
      <c r="BJW917" s="1091"/>
      <c r="BJX917" s="1091"/>
      <c r="BJY917" s="1091"/>
      <c r="BJZ917" s="1091"/>
      <c r="BKA917" s="1091"/>
      <c r="BKB917" s="1091"/>
      <c r="BKC917" s="1091"/>
      <c r="BKD917" s="1091"/>
      <c r="BKE917" s="1091"/>
      <c r="BKF917" s="1091"/>
      <c r="BKG917" s="1091"/>
      <c r="BKH917" s="1091"/>
      <c r="BKI917" s="1091"/>
      <c r="BKJ917" s="1091"/>
      <c r="BKK917" s="1091"/>
      <c r="BKL917" s="1091"/>
      <c r="BKM917" s="1091"/>
      <c r="BKN917" s="1091"/>
      <c r="BKO917" s="1091"/>
      <c r="BKP917" s="1091"/>
      <c r="BKQ917" s="1091"/>
      <c r="BKR917" s="1091"/>
      <c r="BKS917" s="1091"/>
      <c r="BKT917" s="1091"/>
      <c r="BKU917" s="1091"/>
      <c r="BKV917" s="1091"/>
      <c r="BKW917" s="1091"/>
      <c r="BKX917" s="1091"/>
      <c r="BKY917" s="1091"/>
      <c r="BKZ917" s="1091"/>
      <c r="BLA917" s="1091"/>
      <c r="BLB917" s="1091"/>
      <c r="BLC917" s="1091"/>
      <c r="BLD917" s="1091"/>
      <c r="BLE917" s="1091"/>
      <c r="BLF917" s="1091"/>
      <c r="BLG917" s="1091"/>
      <c r="BLH917" s="1091"/>
      <c r="BLI917" s="1091"/>
      <c r="BLJ917" s="1091"/>
      <c r="BLK917" s="1091"/>
      <c r="BLL917" s="1091"/>
      <c r="BLM917" s="1091"/>
      <c r="BLN917" s="1091"/>
      <c r="BLO917" s="1091"/>
      <c r="BLP917" s="1091"/>
      <c r="BLQ917" s="1091"/>
      <c r="BLR917" s="1091"/>
      <c r="BLS917" s="1091"/>
      <c r="BLT917" s="1091"/>
      <c r="BLU917" s="1091"/>
      <c r="BLV917" s="1091"/>
      <c r="BLW917" s="1091"/>
      <c r="BLX917" s="1091"/>
      <c r="BLY917" s="1091"/>
      <c r="BLZ917" s="1091"/>
      <c r="BMA917" s="1091"/>
      <c r="BMB917" s="1091"/>
      <c r="BMC917" s="1091"/>
      <c r="BMD917" s="1091"/>
      <c r="BME917" s="1091"/>
      <c r="BMF917" s="1091"/>
      <c r="BMG917" s="1091"/>
      <c r="BMH917" s="1091"/>
      <c r="BMI917" s="1091"/>
      <c r="BMJ917" s="1091"/>
      <c r="BMK917" s="1091"/>
      <c r="BML917" s="1091"/>
      <c r="BMM917" s="1091"/>
      <c r="BMN917" s="1091"/>
      <c r="BMO917" s="1091"/>
      <c r="BMP917" s="1091"/>
      <c r="BMQ917" s="1091"/>
      <c r="BMR917" s="1091"/>
      <c r="BMS917" s="1091"/>
      <c r="BMT917" s="1091"/>
      <c r="BMU917" s="1091"/>
      <c r="BMV917" s="1091"/>
      <c r="BMW917" s="1091"/>
      <c r="BMX917" s="1091"/>
      <c r="BMY917" s="1091"/>
      <c r="BMZ917" s="1091"/>
      <c r="BNA917" s="1091"/>
      <c r="BNB917" s="1091"/>
      <c r="BNC917" s="1091"/>
      <c r="BND917" s="1091"/>
      <c r="BNE917" s="1091"/>
      <c r="BNF917" s="1091"/>
      <c r="BNG917" s="1091"/>
      <c r="BNH917" s="1091"/>
      <c r="BNI917" s="1091"/>
      <c r="BNJ917" s="1091"/>
      <c r="BNK917" s="1091"/>
      <c r="BNL917" s="1091"/>
      <c r="BNM917" s="1091"/>
      <c r="BNN917" s="1091"/>
      <c r="BNO917" s="1091"/>
      <c r="BNP917" s="1091"/>
      <c r="BNQ917" s="1091"/>
      <c r="BNR917" s="1091"/>
      <c r="BNS917" s="1091"/>
      <c r="BNT917" s="1091"/>
      <c r="BNU917" s="1091"/>
      <c r="BNV917" s="1091"/>
      <c r="BNW917" s="1091"/>
      <c r="BNX917" s="1091"/>
      <c r="BNY917" s="1091"/>
      <c r="BNZ917" s="1091"/>
      <c r="BOA917" s="1091"/>
      <c r="BOB917" s="1091"/>
      <c r="BOC917" s="1091"/>
      <c r="BOD917" s="1091"/>
      <c r="BOE917" s="1091"/>
      <c r="BOF917" s="1091"/>
      <c r="BOG917" s="1091"/>
      <c r="BOH917" s="1091"/>
      <c r="BOI917" s="1091"/>
      <c r="BOJ917" s="1091"/>
      <c r="BOK917" s="1091"/>
      <c r="BOL917" s="1091"/>
      <c r="BOM917" s="1091"/>
      <c r="BON917" s="1091"/>
      <c r="BOO917" s="1091"/>
      <c r="BOP917" s="1091"/>
      <c r="BOQ917" s="1091"/>
      <c r="BOR917" s="1091"/>
      <c r="BOS917" s="1091"/>
      <c r="BOT917" s="1091"/>
      <c r="BOU917" s="1091"/>
      <c r="BOV917" s="1091"/>
      <c r="BOW917" s="1091"/>
      <c r="BOX917" s="1091"/>
      <c r="BOY917" s="1091"/>
      <c r="BOZ917" s="1091"/>
      <c r="BPA917" s="1091"/>
      <c r="BPB917" s="1091"/>
      <c r="BPC917" s="1091"/>
      <c r="BPD917" s="1091"/>
      <c r="BPE917" s="1091"/>
      <c r="BPF917" s="1091"/>
      <c r="BPG917" s="1091"/>
      <c r="BPH917" s="1091"/>
      <c r="BPI917" s="1091"/>
      <c r="BPJ917" s="1091"/>
      <c r="BPK917" s="1091"/>
      <c r="BPL917" s="1091"/>
      <c r="BPM917" s="1091"/>
      <c r="BPN917" s="1091"/>
      <c r="BPO917" s="1091"/>
      <c r="BPP917" s="1091"/>
      <c r="BPQ917" s="1091"/>
      <c r="BPR917" s="1091"/>
      <c r="BPS917" s="1091"/>
      <c r="BPT917" s="1091"/>
      <c r="BPU917" s="1091"/>
      <c r="BPV917" s="1091"/>
      <c r="BPW917" s="1091"/>
      <c r="BPX917" s="1091"/>
      <c r="BPY917" s="1091"/>
      <c r="BPZ917" s="1091"/>
      <c r="BQA917" s="1091"/>
      <c r="BQB917" s="1091"/>
      <c r="BQC917" s="1091"/>
      <c r="BQD917" s="1091"/>
      <c r="BQE917" s="1091"/>
      <c r="BQF917" s="1091"/>
      <c r="BQG917" s="1091"/>
      <c r="BQH917" s="1091"/>
      <c r="BQI917" s="1091"/>
      <c r="BQJ917" s="1091"/>
      <c r="BQK917" s="1091"/>
      <c r="BQL917" s="1091"/>
      <c r="BQM917" s="1091"/>
      <c r="BQN917" s="1091"/>
      <c r="BQO917" s="1091"/>
      <c r="BQP917" s="1091"/>
      <c r="BQQ917" s="1091"/>
      <c r="BQR917" s="1091"/>
      <c r="BQS917" s="1091"/>
      <c r="BQT917" s="1091"/>
      <c r="BQU917" s="1091"/>
      <c r="BQV917" s="1091"/>
      <c r="BQW917" s="1091"/>
      <c r="BQX917" s="1091"/>
      <c r="BQY917" s="1091"/>
      <c r="BQZ917" s="1091"/>
      <c r="BRA917" s="1091"/>
      <c r="BRB917" s="1091"/>
      <c r="BRC917" s="1091"/>
      <c r="BRD917" s="1091"/>
      <c r="BRE917" s="1091"/>
      <c r="BRF917" s="1091"/>
      <c r="BRG917" s="1091"/>
      <c r="BRH917" s="1091"/>
      <c r="BRI917" s="1091"/>
      <c r="BRJ917" s="1091"/>
      <c r="BRK917" s="1091"/>
      <c r="BRL917" s="1091"/>
      <c r="BRM917" s="1091"/>
      <c r="BRN917" s="1091"/>
      <c r="BRO917" s="1091"/>
      <c r="BRP917" s="1091"/>
      <c r="BRQ917" s="1091"/>
      <c r="BRR917" s="1091"/>
      <c r="BRS917" s="1091"/>
      <c r="BRT917" s="1091"/>
      <c r="BRU917" s="1091"/>
      <c r="BRV917" s="1091"/>
      <c r="BRW917" s="1091"/>
      <c r="BRX917" s="1091"/>
      <c r="BRY917" s="1091"/>
      <c r="BRZ917" s="1091"/>
      <c r="BSA917" s="1091"/>
      <c r="BSB917" s="1091"/>
      <c r="BSC917" s="1091"/>
      <c r="BSD917" s="1091"/>
      <c r="BSE917" s="1091"/>
      <c r="BSF917" s="1091"/>
      <c r="BSG917" s="1091"/>
      <c r="BSH917" s="1091"/>
      <c r="BSI917" s="1091"/>
      <c r="BSJ917" s="1091"/>
      <c r="BSK917" s="1091"/>
      <c r="BSL917" s="1091"/>
      <c r="BSM917" s="1091"/>
      <c r="BSN917" s="1091"/>
      <c r="BSO917" s="1091"/>
      <c r="BSP917" s="1091"/>
      <c r="BSQ917" s="1091"/>
      <c r="BSR917" s="1091"/>
      <c r="BSS917" s="1091"/>
      <c r="BST917" s="1091"/>
      <c r="BSU917" s="1091"/>
      <c r="BSV917" s="1091"/>
      <c r="BSW917" s="1091"/>
      <c r="BSX917" s="1091"/>
      <c r="BSY917" s="1091"/>
      <c r="BSZ917" s="1091"/>
      <c r="BTA917" s="1091"/>
      <c r="BTB917" s="1091"/>
      <c r="BTC917" s="1091"/>
      <c r="BTD917" s="1091"/>
      <c r="BTE917" s="1091"/>
      <c r="BTF917" s="1091"/>
      <c r="BTG917" s="1091"/>
      <c r="BTH917" s="1091"/>
      <c r="BTI917" s="1091"/>
      <c r="BTJ917" s="1091"/>
      <c r="BTK917" s="1091"/>
      <c r="BTL917" s="1091"/>
      <c r="BTM917" s="1091"/>
      <c r="BTN917" s="1091"/>
      <c r="BTO917" s="1091"/>
      <c r="BTP917" s="1091"/>
      <c r="BTQ917" s="1091"/>
      <c r="BTR917" s="1091"/>
      <c r="BTS917" s="1091"/>
      <c r="BTT917" s="1091"/>
      <c r="BTU917" s="1091"/>
      <c r="BTV917" s="1091"/>
      <c r="BTW917" s="1091"/>
      <c r="BTX917" s="1091"/>
      <c r="BTY917" s="1091"/>
      <c r="BTZ917" s="1091"/>
      <c r="BUA917" s="1091"/>
      <c r="BUB917" s="1091"/>
      <c r="BUC917" s="1091"/>
      <c r="BUD917" s="1091"/>
      <c r="BUE917" s="1091"/>
      <c r="BUF917" s="1091"/>
      <c r="BUG917" s="1091"/>
      <c r="BUH917" s="1091"/>
      <c r="BUI917" s="1091"/>
      <c r="BUJ917" s="1091"/>
      <c r="BUK917" s="1091"/>
      <c r="BUL917" s="1091"/>
      <c r="BUM917" s="1091"/>
      <c r="BUN917" s="1091"/>
      <c r="BUO917" s="1091"/>
      <c r="BUP917" s="1091"/>
      <c r="BUQ917" s="1091"/>
      <c r="BUR917" s="1091"/>
      <c r="BUS917" s="1091"/>
      <c r="BUT917" s="1091"/>
      <c r="BUU917" s="1091"/>
      <c r="BUV917" s="1091"/>
      <c r="BUW917" s="1091"/>
      <c r="BUX917" s="1091"/>
      <c r="BUY917" s="1091"/>
      <c r="BUZ917" s="1091"/>
      <c r="BVA917" s="1091"/>
      <c r="BVB917" s="1091"/>
      <c r="BVC917" s="1091"/>
      <c r="BVD917" s="1091"/>
      <c r="BVE917" s="1091"/>
      <c r="BVF917" s="1091"/>
      <c r="BVG917" s="1091"/>
      <c r="BVH917" s="1091"/>
      <c r="BVI917" s="1091"/>
      <c r="BVJ917" s="1091"/>
      <c r="BVK917" s="1091"/>
      <c r="BVL917" s="1091"/>
      <c r="BVM917" s="1091"/>
      <c r="BVN917" s="1091"/>
      <c r="BVO917" s="1091"/>
      <c r="BVP917" s="1091"/>
      <c r="BVQ917" s="1091"/>
      <c r="BVR917" s="1091"/>
      <c r="BVS917" s="1091"/>
      <c r="BVT917" s="1091"/>
      <c r="BVU917" s="1091"/>
      <c r="BVV917" s="1091"/>
      <c r="BVW917" s="1091"/>
      <c r="BVX917" s="1091"/>
      <c r="BVY917" s="1091"/>
      <c r="BVZ917" s="1091"/>
      <c r="BWA917" s="1091"/>
      <c r="BWB917" s="1091"/>
      <c r="BWC917" s="1091"/>
      <c r="BWD917" s="1091"/>
      <c r="BWE917" s="1091"/>
      <c r="BWF917" s="1091"/>
      <c r="BWG917" s="1091"/>
      <c r="BWH917" s="1091"/>
      <c r="BWI917" s="1091"/>
      <c r="BWJ917" s="1091"/>
      <c r="BWK917" s="1091"/>
      <c r="BWL917" s="1091"/>
      <c r="BWM917" s="1091"/>
      <c r="BWN917" s="1091"/>
      <c r="BWO917" s="1091"/>
      <c r="BWP917" s="1091"/>
      <c r="BWQ917" s="1091"/>
      <c r="BWR917" s="1091"/>
      <c r="BWS917" s="1091"/>
      <c r="BWT917" s="1091"/>
      <c r="BWU917" s="1091"/>
      <c r="BWV917" s="1091"/>
      <c r="BWW917" s="1091"/>
      <c r="BWX917" s="1091"/>
      <c r="BWY917" s="1091"/>
      <c r="BWZ917" s="1091"/>
      <c r="BXA917" s="1091"/>
      <c r="BXB917" s="1091"/>
      <c r="BXC917" s="1091"/>
      <c r="BXD917" s="1091"/>
      <c r="BXE917" s="1091"/>
      <c r="BXF917" s="1091"/>
      <c r="BXG917" s="1091"/>
      <c r="BXH917" s="1091"/>
      <c r="BXI917" s="1091"/>
      <c r="BXJ917" s="1091"/>
      <c r="BXK917" s="1091"/>
      <c r="BXL917" s="1091"/>
      <c r="BXM917" s="1091"/>
      <c r="BXN917" s="1091"/>
      <c r="BXO917" s="1091"/>
      <c r="BXP917" s="1091"/>
      <c r="BXQ917" s="1091"/>
      <c r="BXR917" s="1091"/>
      <c r="BXS917" s="1091"/>
      <c r="BXT917" s="1091"/>
      <c r="BXU917" s="1091"/>
      <c r="BXV917" s="1091"/>
      <c r="BXW917" s="1091"/>
      <c r="BXX917" s="1091"/>
      <c r="BXY917" s="1091"/>
      <c r="BXZ917" s="1091"/>
      <c r="BYA917" s="1091"/>
      <c r="BYB917" s="1091"/>
      <c r="BYC917" s="1091"/>
      <c r="BYD917" s="1091"/>
      <c r="BYE917" s="1091"/>
      <c r="BYF917" s="1091"/>
      <c r="BYG917" s="1091"/>
      <c r="BYH917" s="1091"/>
      <c r="BYI917" s="1091"/>
      <c r="BYJ917" s="1091"/>
      <c r="BYK917" s="1091"/>
      <c r="BYL917" s="1091"/>
      <c r="BYM917" s="1091"/>
      <c r="BYN917" s="1091"/>
      <c r="BYO917" s="1091"/>
      <c r="BYP917" s="1091"/>
      <c r="BYQ917" s="1091"/>
      <c r="BYR917" s="1091"/>
      <c r="BYS917" s="1091"/>
      <c r="BYT917" s="1091"/>
      <c r="BYU917" s="1091"/>
      <c r="BYV917" s="1091"/>
      <c r="BYW917" s="1091"/>
      <c r="BYX917" s="1091"/>
      <c r="BYY917" s="1091"/>
      <c r="BYZ917" s="1091"/>
      <c r="BZA917" s="1091"/>
      <c r="BZB917" s="1091"/>
      <c r="BZC917" s="1091"/>
      <c r="BZD917" s="1091"/>
      <c r="BZE917" s="1091"/>
      <c r="BZF917" s="1091"/>
      <c r="BZG917" s="1091"/>
      <c r="BZH917" s="1091"/>
      <c r="BZI917" s="1091"/>
      <c r="BZJ917" s="1091"/>
      <c r="BZK917" s="1091"/>
      <c r="BZL917" s="1091"/>
      <c r="BZM917" s="1091"/>
      <c r="BZN917" s="1091"/>
      <c r="BZO917" s="1091"/>
      <c r="BZP917" s="1091"/>
      <c r="BZQ917" s="1091"/>
      <c r="BZR917" s="1091"/>
      <c r="BZS917" s="1091"/>
      <c r="BZT917" s="1091"/>
      <c r="BZU917" s="1091"/>
      <c r="BZV917" s="1091"/>
      <c r="BZW917" s="1091"/>
      <c r="BZX917" s="1091"/>
      <c r="BZY917" s="1091"/>
      <c r="BZZ917" s="1091"/>
      <c r="CAA917" s="1091"/>
      <c r="CAB917" s="1091"/>
      <c r="CAC917" s="1091"/>
      <c r="CAD917" s="1091"/>
      <c r="CAE917" s="1091"/>
      <c r="CAF917" s="1091"/>
      <c r="CAG917" s="1091"/>
      <c r="CAH917" s="1091"/>
      <c r="CAI917" s="1091"/>
      <c r="CAJ917" s="1091"/>
      <c r="CAK917" s="1091"/>
      <c r="CAL917" s="1091"/>
      <c r="CAM917" s="1091"/>
      <c r="CAN917" s="1091"/>
      <c r="CAO917" s="1091"/>
      <c r="CAP917" s="1091"/>
      <c r="CAQ917" s="1091"/>
      <c r="CAR917" s="1091"/>
      <c r="CAS917" s="1091"/>
      <c r="CAT917" s="1091"/>
      <c r="CAU917" s="1091"/>
      <c r="CAV917" s="1091"/>
      <c r="CAW917" s="1091"/>
      <c r="CAX917" s="1091"/>
      <c r="CAY917" s="1091"/>
      <c r="CAZ917" s="1091"/>
      <c r="CBA917" s="1091"/>
      <c r="CBB917" s="1091"/>
      <c r="CBC917" s="1091"/>
      <c r="CBD917" s="1091"/>
      <c r="CBE917" s="1091"/>
      <c r="CBF917" s="1091"/>
      <c r="CBG917" s="1091"/>
      <c r="CBH917" s="1091"/>
      <c r="CBI917" s="1091"/>
      <c r="CBJ917" s="1091"/>
      <c r="CBK917" s="1091"/>
      <c r="CBL917" s="1091"/>
      <c r="CBM917" s="1091"/>
      <c r="CBN917" s="1091"/>
      <c r="CBO917" s="1091"/>
      <c r="CBP917" s="1091"/>
      <c r="CBQ917" s="1091"/>
      <c r="CBR917" s="1091"/>
      <c r="CBS917" s="1091"/>
      <c r="CBT917" s="1091"/>
      <c r="CBU917" s="1091"/>
      <c r="CBV917" s="1091"/>
      <c r="CBW917" s="1091"/>
      <c r="CBX917" s="1091"/>
      <c r="CBY917" s="1091"/>
      <c r="CBZ917" s="1091"/>
      <c r="CCA917" s="1091"/>
      <c r="CCB917" s="1091"/>
      <c r="CCC917" s="1091"/>
      <c r="CCD917" s="1091"/>
      <c r="CCE917" s="1091"/>
      <c r="CCF917" s="1091"/>
      <c r="CCG917" s="1091"/>
      <c r="CCH917" s="1091"/>
      <c r="CCI917" s="1091"/>
      <c r="CCJ917" s="1091"/>
      <c r="CCK917" s="1091"/>
      <c r="CCL917" s="1091"/>
      <c r="CCM917" s="1091"/>
      <c r="CCN917" s="1091"/>
      <c r="CCO917" s="1091"/>
      <c r="CCP917" s="1091"/>
      <c r="CCQ917" s="1091"/>
      <c r="CCR917" s="1091"/>
      <c r="CCS917" s="1091"/>
      <c r="CCT917" s="1091"/>
      <c r="CCU917" s="1091"/>
      <c r="CCV917" s="1091"/>
      <c r="CCW917" s="1091"/>
      <c r="CCX917" s="1091"/>
      <c r="CCY917" s="1091"/>
      <c r="CCZ917" s="1091"/>
      <c r="CDA917" s="1091"/>
      <c r="CDB917" s="1091"/>
      <c r="CDC917" s="1091"/>
      <c r="CDD917" s="1091"/>
      <c r="CDE917" s="1091"/>
      <c r="CDF917" s="1091"/>
      <c r="CDG917" s="1091"/>
      <c r="CDH917" s="1091"/>
      <c r="CDI917" s="1091"/>
      <c r="CDJ917" s="1091"/>
      <c r="CDK917" s="1091"/>
      <c r="CDL917" s="1091"/>
      <c r="CDM917" s="1091"/>
      <c r="CDN917" s="1091"/>
      <c r="CDO917" s="1091"/>
      <c r="CDP917" s="1091"/>
      <c r="CDQ917" s="1091"/>
      <c r="CDR917" s="1091"/>
      <c r="CDS917" s="1091"/>
      <c r="CDT917" s="1091"/>
      <c r="CDU917" s="1091"/>
      <c r="CDV917" s="1091"/>
      <c r="CDW917" s="1091"/>
      <c r="CDX917" s="1091"/>
      <c r="CDY917" s="1091"/>
      <c r="CDZ917" s="1091"/>
      <c r="CEA917" s="1091"/>
      <c r="CEB917" s="1091"/>
      <c r="CEC917" s="1091"/>
      <c r="CED917" s="1091"/>
      <c r="CEE917" s="1091"/>
      <c r="CEF917" s="1091"/>
      <c r="CEG917" s="1091"/>
      <c r="CEH917" s="1091"/>
      <c r="CEI917" s="1091"/>
      <c r="CEJ917" s="1091"/>
      <c r="CEK917" s="1091"/>
      <c r="CEL917" s="1091"/>
      <c r="CEM917" s="1091"/>
      <c r="CEN917" s="1091"/>
      <c r="CEO917" s="1091"/>
      <c r="CEP917" s="1091"/>
      <c r="CEQ917" s="1091"/>
      <c r="CER917" s="1091"/>
      <c r="CES917" s="1091"/>
      <c r="CET917" s="1091"/>
      <c r="CEU917" s="1091"/>
      <c r="CEV917" s="1091"/>
      <c r="CEW917" s="1091"/>
      <c r="CEX917" s="1091"/>
      <c r="CEY917" s="1091"/>
      <c r="CEZ917" s="1091"/>
      <c r="CFA917" s="1091"/>
      <c r="CFB917" s="1091"/>
      <c r="CFC917" s="1091"/>
      <c r="CFD917" s="1091"/>
      <c r="CFE917" s="1091"/>
      <c r="CFF917" s="1091"/>
      <c r="CFG917" s="1091"/>
      <c r="CFH917" s="1091"/>
      <c r="CFI917" s="1091"/>
      <c r="CFJ917" s="1091"/>
      <c r="CFK917" s="1091"/>
      <c r="CFL917" s="1091"/>
      <c r="CFM917" s="1091"/>
      <c r="CFN917" s="1091"/>
      <c r="CFO917" s="1091"/>
      <c r="CFP917" s="1091"/>
      <c r="CFQ917" s="1091"/>
      <c r="CFR917" s="1091"/>
      <c r="CFS917" s="1091"/>
      <c r="CFT917" s="1091"/>
      <c r="CFU917" s="1091"/>
      <c r="CFV917" s="1091"/>
      <c r="CFW917" s="1091"/>
      <c r="CFX917" s="1091"/>
      <c r="CFY917" s="1091"/>
      <c r="CFZ917" s="1091"/>
      <c r="CGA917" s="1091"/>
      <c r="CGB917" s="1091"/>
      <c r="CGC917" s="1091"/>
      <c r="CGD917" s="1091"/>
      <c r="CGE917" s="1091"/>
      <c r="CGF917" s="1091"/>
      <c r="CGG917" s="1091"/>
      <c r="CGH917" s="1091"/>
      <c r="CGI917" s="1091"/>
      <c r="CGJ917" s="1091"/>
      <c r="CGK917" s="1091"/>
      <c r="CGL917" s="1091"/>
      <c r="CGM917" s="1091"/>
      <c r="CGN917" s="1091"/>
      <c r="CGO917" s="1091"/>
      <c r="CGP917" s="1091"/>
      <c r="CGQ917" s="1091"/>
      <c r="CGR917" s="1091"/>
      <c r="CGS917" s="1091"/>
      <c r="CGT917" s="1091"/>
      <c r="CGU917" s="1091"/>
      <c r="CGV917" s="1091"/>
      <c r="CGW917" s="1091"/>
      <c r="CGX917" s="1091"/>
      <c r="CGY917" s="1091"/>
      <c r="CGZ917" s="1091"/>
      <c r="CHA917" s="1091"/>
      <c r="CHB917" s="1091"/>
      <c r="CHC917" s="1091"/>
      <c r="CHD917" s="1091"/>
      <c r="CHE917" s="1091"/>
      <c r="CHF917" s="1091"/>
      <c r="CHG917" s="1091"/>
      <c r="CHH917" s="1091"/>
      <c r="CHI917" s="1091"/>
      <c r="CHJ917" s="1091"/>
      <c r="CHK917" s="1091"/>
      <c r="CHL917" s="1091"/>
      <c r="CHM917" s="1091"/>
      <c r="CHN917" s="1091"/>
      <c r="CHO917" s="1091"/>
      <c r="CHP917" s="1091"/>
      <c r="CHQ917" s="1091"/>
      <c r="CHR917" s="1091"/>
      <c r="CHS917" s="1091"/>
      <c r="CHT917" s="1091"/>
      <c r="CHU917" s="1091"/>
      <c r="CHV917" s="1091"/>
      <c r="CHW917" s="1091"/>
      <c r="CHX917" s="1091"/>
      <c r="CHY917" s="1091"/>
      <c r="CHZ917" s="1091"/>
      <c r="CIA917" s="1091"/>
      <c r="CIB917" s="1091"/>
      <c r="CIC917" s="1091"/>
      <c r="CID917" s="1091"/>
      <c r="CIE917" s="1091"/>
      <c r="CIF917" s="1091"/>
      <c r="CIG917" s="1091"/>
      <c r="CIH917" s="1091"/>
      <c r="CII917" s="1091"/>
      <c r="CIJ917" s="1091"/>
      <c r="CIK917" s="1091"/>
      <c r="CIL917" s="1091"/>
      <c r="CIM917" s="1091"/>
      <c r="CIN917" s="1091"/>
      <c r="CIO917" s="1091"/>
      <c r="CIP917" s="1091"/>
      <c r="CIQ917" s="1091"/>
      <c r="CIR917" s="1091"/>
      <c r="CIS917" s="1091"/>
      <c r="CIT917" s="1091"/>
      <c r="CIU917" s="1091"/>
      <c r="CIV917" s="1091"/>
      <c r="CIW917" s="1091"/>
      <c r="CIX917" s="1091"/>
      <c r="CIY917" s="1091"/>
      <c r="CIZ917" s="1091"/>
      <c r="CJA917" s="1091"/>
      <c r="CJB917" s="1091"/>
      <c r="CJC917" s="1091"/>
      <c r="CJD917" s="1091"/>
      <c r="CJE917" s="1091"/>
      <c r="CJF917" s="1091"/>
      <c r="CJG917" s="1091"/>
      <c r="CJH917" s="1091"/>
      <c r="CJI917" s="1091"/>
      <c r="CJJ917" s="1091"/>
      <c r="CJK917" s="1091"/>
      <c r="CJL917" s="1091"/>
      <c r="CJM917" s="1091"/>
      <c r="CJN917" s="1091"/>
      <c r="CJO917" s="1091"/>
      <c r="CJP917" s="1091"/>
      <c r="CJQ917" s="1091"/>
      <c r="CJR917" s="1091"/>
      <c r="CJS917" s="1091"/>
      <c r="CJT917" s="1091"/>
      <c r="CJU917" s="1091"/>
      <c r="CJV917" s="1091"/>
      <c r="CJW917" s="1091"/>
      <c r="CJX917" s="1091"/>
      <c r="CJY917" s="1091"/>
      <c r="CJZ917" s="1091"/>
      <c r="CKA917" s="1091"/>
      <c r="CKB917" s="1091"/>
      <c r="CKC917" s="1091"/>
      <c r="CKD917" s="1091"/>
      <c r="CKE917" s="1091"/>
      <c r="CKF917" s="1091"/>
      <c r="CKG917" s="1091"/>
      <c r="CKH917" s="1091"/>
      <c r="CKI917" s="1091"/>
      <c r="CKJ917" s="1091"/>
      <c r="CKK917" s="1091"/>
      <c r="CKL917" s="1091"/>
      <c r="CKM917" s="1091"/>
      <c r="CKN917" s="1091"/>
      <c r="CKO917" s="1091"/>
      <c r="CKP917" s="1091"/>
      <c r="CKQ917" s="1091"/>
      <c r="CKR917" s="1091"/>
      <c r="CKS917" s="1091"/>
      <c r="CKT917" s="1091"/>
      <c r="CKU917" s="1091"/>
      <c r="CKV917" s="1091"/>
      <c r="CKW917" s="1091"/>
      <c r="CKX917" s="1091"/>
      <c r="CKY917" s="1091"/>
      <c r="CKZ917" s="1091"/>
      <c r="CLA917" s="1091"/>
      <c r="CLB917" s="1091"/>
      <c r="CLC917" s="1091"/>
      <c r="CLD917" s="1091"/>
      <c r="CLE917" s="1091"/>
      <c r="CLF917" s="1091"/>
      <c r="CLG917" s="1091"/>
      <c r="CLH917" s="1091"/>
      <c r="CLI917" s="1091"/>
      <c r="CLJ917" s="1091"/>
      <c r="CLK917" s="1091"/>
      <c r="CLL917" s="1091"/>
      <c r="CLM917" s="1091"/>
      <c r="CLN917" s="1091"/>
      <c r="CLO917" s="1091"/>
      <c r="CLP917" s="1091"/>
      <c r="CLQ917" s="1091"/>
      <c r="CLR917" s="1091"/>
      <c r="CLS917" s="1091"/>
      <c r="CLT917" s="1091"/>
      <c r="CLU917" s="1091"/>
      <c r="CLV917" s="1091"/>
      <c r="CLW917" s="1091"/>
      <c r="CLX917" s="1091"/>
      <c r="CLY917" s="1091"/>
      <c r="CLZ917" s="1091"/>
      <c r="CMA917" s="1091"/>
      <c r="CMB917" s="1091"/>
      <c r="CMC917" s="1091"/>
      <c r="CMD917" s="1091"/>
      <c r="CME917" s="1091"/>
      <c r="CMF917" s="1091"/>
      <c r="CMG917" s="1091"/>
      <c r="CMH917" s="1091"/>
      <c r="CMI917" s="1091"/>
      <c r="CMJ917" s="1091"/>
      <c r="CMK917" s="1091"/>
      <c r="CML917" s="1091"/>
      <c r="CMM917" s="1091"/>
      <c r="CMN917" s="1091"/>
      <c r="CMO917" s="1091"/>
      <c r="CMP917" s="1091"/>
      <c r="CMQ917" s="1091"/>
      <c r="CMR917" s="1091"/>
      <c r="CMS917" s="1091"/>
      <c r="CMT917" s="1091"/>
      <c r="CMU917" s="1091"/>
      <c r="CMV917" s="1091"/>
      <c r="CMW917" s="1091"/>
      <c r="CMX917" s="1091"/>
      <c r="CMY917" s="1091"/>
      <c r="CMZ917" s="1091"/>
      <c r="CNA917" s="1091"/>
      <c r="CNB917" s="1091"/>
      <c r="CNC917" s="1091"/>
      <c r="CND917" s="1091"/>
      <c r="CNE917" s="1091"/>
      <c r="CNF917" s="1091"/>
      <c r="CNG917" s="1091"/>
      <c r="CNH917" s="1091"/>
      <c r="CNI917" s="1091"/>
      <c r="CNJ917" s="1091"/>
      <c r="CNK917" s="1091"/>
      <c r="CNL917" s="1091"/>
      <c r="CNM917" s="1091"/>
      <c r="CNN917" s="1091"/>
      <c r="CNO917" s="1091"/>
      <c r="CNP917" s="1091"/>
      <c r="CNQ917" s="1091"/>
      <c r="CNR917" s="1091"/>
      <c r="CNS917" s="1091"/>
      <c r="CNT917" s="1091"/>
      <c r="CNU917" s="1091"/>
      <c r="CNV917" s="1091"/>
      <c r="CNW917" s="1091"/>
      <c r="CNX917" s="1091"/>
      <c r="CNY917" s="1091"/>
      <c r="CNZ917" s="1091"/>
      <c r="COA917" s="1091"/>
      <c r="COB917" s="1091"/>
      <c r="COC917" s="1091"/>
      <c r="COD917" s="1091"/>
      <c r="COE917" s="1091"/>
      <c r="COF917" s="1091"/>
      <c r="COG917" s="1091"/>
      <c r="COH917" s="1091"/>
      <c r="COI917" s="1091"/>
      <c r="COJ917" s="1091"/>
      <c r="COK917" s="1091"/>
      <c r="COL917" s="1091"/>
      <c r="COM917" s="1091"/>
      <c r="CON917" s="1091"/>
      <c r="COO917" s="1091"/>
      <c r="COP917" s="1091"/>
      <c r="COQ917" s="1091"/>
      <c r="COR917" s="1091"/>
      <c r="COS917" s="1091"/>
      <c r="COT917" s="1091"/>
      <c r="COU917" s="1091"/>
      <c r="COV917" s="1091"/>
      <c r="COW917" s="1091"/>
      <c r="COX917" s="1091"/>
      <c r="COY917" s="1091"/>
      <c r="COZ917" s="1091"/>
      <c r="CPA917" s="1091"/>
      <c r="CPB917" s="1091"/>
      <c r="CPC917" s="1091"/>
      <c r="CPD917" s="1091"/>
      <c r="CPE917" s="1091"/>
      <c r="CPF917" s="1091"/>
      <c r="CPG917" s="1091"/>
      <c r="CPH917" s="1091"/>
      <c r="CPI917" s="1091"/>
      <c r="CPJ917" s="1091"/>
      <c r="CPK917" s="1091"/>
      <c r="CPL917" s="1091"/>
      <c r="CPM917" s="1091"/>
      <c r="CPN917" s="1091"/>
      <c r="CPO917" s="1091"/>
      <c r="CPP917" s="1091"/>
      <c r="CPQ917" s="1091"/>
      <c r="CPR917" s="1091"/>
      <c r="CPS917" s="1091"/>
      <c r="CPT917" s="1091"/>
      <c r="CPU917" s="1091"/>
      <c r="CPV917" s="1091"/>
      <c r="CPW917" s="1091"/>
      <c r="CPX917" s="1091"/>
      <c r="CPY917" s="1091"/>
      <c r="CPZ917" s="1091"/>
      <c r="CQA917" s="1091"/>
      <c r="CQB917" s="1091"/>
      <c r="CQC917" s="1091"/>
      <c r="CQD917" s="1091"/>
      <c r="CQE917" s="1091"/>
      <c r="CQF917" s="1091"/>
      <c r="CQG917" s="1091"/>
      <c r="CQH917" s="1091"/>
      <c r="CQI917" s="1091"/>
      <c r="CQJ917" s="1091"/>
      <c r="CQK917" s="1091"/>
      <c r="CQL917" s="1091"/>
      <c r="CQM917" s="1091"/>
      <c r="CQN917" s="1091"/>
      <c r="CQO917" s="1091"/>
      <c r="CQP917" s="1091"/>
      <c r="CQQ917" s="1091"/>
      <c r="CQR917" s="1091"/>
      <c r="CQS917" s="1091"/>
      <c r="CQT917" s="1091"/>
      <c r="CQU917" s="1091"/>
      <c r="CQV917" s="1091"/>
      <c r="CQW917" s="1091"/>
      <c r="CQX917" s="1091"/>
      <c r="CQY917" s="1091"/>
      <c r="CQZ917" s="1091"/>
      <c r="CRA917" s="1091"/>
      <c r="CRB917" s="1091"/>
      <c r="CRC917" s="1091"/>
      <c r="CRD917" s="1091"/>
      <c r="CRE917" s="1091"/>
      <c r="CRF917" s="1091"/>
      <c r="CRG917" s="1091"/>
      <c r="CRH917" s="1091"/>
      <c r="CRI917" s="1091"/>
      <c r="CRJ917" s="1091"/>
      <c r="CRK917" s="1091"/>
      <c r="CRL917" s="1091"/>
      <c r="CRM917" s="1091"/>
      <c r="CRN917" s="1091"/>
      <c r="CRO917" s="1091"/>
      <c r="CRP917" s="1091"/>
      <c r="CRQ917" s="1091"/>
      <c r="CRR917" s="1091"/>
      <c r="CRS917" s="1091"/>
      <c r="CRT917" s="1091"/>
      <c r="CRU917" s="1091"/>
      <c r="CRV917" s="1091"/>
      <c r="CRW917" s="1091"/>
      <c r="CRX917" s="1091"/>
      <c r="CRY917" s="1091"/>
      <c r="CRZ917" s="1091"/>
      <c r="CSA917" s="1091"/>
      <c r="CSB917" s="1091"/>
      <c r="CSC917" s="1091"/>
      <c r="CSD917" s="1091"/>
      <c r="CSE917" s="1091"/>
      <c r="CSF917" s="1091"/>
      <c r="CSG917" s="1091"/>
      <c r="CSH917" s="1091"/>
      <c r="CSI917" s="1091"/>
      <c r="CSJ917" s="1091"/>
      <c r="CSK917" s="1091"/>
      <c r="CSL917" s="1091"/>
      <c r="CSM917" s="1091"/>
      <c r="CSN917" s="1091"/>
      <c r="CSO917" s="1091"/>
      <c r="CSP917" s="1091"/>
      <c r="CSQ917" s="1091"/>
      <c r="CSR917" s="1091"/>
      <c r="CSS917" s="1091"/>
      <c r="CST917" s="1091"/>
      <c r="CSU917" s="1091"/>
      <c r="CSV917" s="1091"/>
      <c r="CSW917" s="1091"/>
      <c r="CSX917" s="1091"/>
      <c r="CSY917" s="1091"/>
      <c r="CSZ917" s="1091"/>
      <c r="CTA917" s="1091"/>
      <c r="CTB917" s="1091"/>
      <c r="CTC917" s="1091"/>
      <c r="CTD917" s="1091"/>
      <c r="CTE917" s="1091"/>
      <c r="CTF917" s="1091"/>
      <c r="CTG917" s="1091"/>
      <c r="CTH917" s="1091"/>
      <c r="CTI917" s="1091"/>
      <c r="CTJ917" s="1091"/>
      <c r="CTK917" s="1091"/>
      <c r="CTL917" s="1091"/>
      <c r="CTM917" s="1091"/>
      <c r="CTN917" s="1091"/>
      <c r="CTO917" s="1091"/>
      <c r="CTP917" s="1091"/>
      <c r="CTQ917" s="1091"/>
      <c r="CTR917" s="1091"/>
      <c r="CTS917" s="1091"/>
      <c r="CTT917" s="1091"/>
      <c r="CTU917" s="1091"/>
      <c r="CTV917" s="1091"/>
      <c r="CTW917" s="1091"/>
      <c r="CTX917" s="1091"/>
      <c r="CTY917" s="1091"/>
      <c r="CTZ917" s="1091"/>
      <c r="CUA917" s="1091"/>
      <c r="CUB917" s="1091"/>
      <c r="CUC917" s="1091"/>
      <c r="CUD917" s="1091"/>
      <c r="CUE917" s="1091"/>
      <c r="CUF917" s="1091"/>
      <c r="CUG917" s="1091"/>
      <c r="CUH917" s="1091"/>
      <c r="CUI917" s="1091"/>
      <c r="CUJ917" s="1091"/>
      <c r="CUK917" s="1091"/>
      <c r="CUL917" s="1091"/>
      <c r="CUM917" s="1091"/>
      <c r="CUN917" s="1091"/>
      <c r="CUO917" s="1091"/>
      <c r="CUP917" s="1091"/>
      <c r="CUQ917" s="1091"/>
      <c r="CUR917" s="1091"/>
      <c r="CUS917" s="1091"/>
      <c r="CUT917" s="1091"/>
      <c r="CUU917" s="1091"/>
      <c r="CUV917" s="1091"/>
      <c r="CUW917" s="1091"/>
      <c r="CUX917" s="1091"/>
      <c r="CUY917" s="1091"/>
      <c r="CUZ917" s="1091"/>
      <c r="CVA917" s="1091"/>
      <c r="CVB917" s="1091"/>
      <c r="CVC917" s="1091"/>
      <c r="CVD917" s="1091"/>
      <c r="CVE917" s="1091"/>
      <c r="CVF917" s="1091"/>
      <c r="CVG917" s="1091"/>
      <c r="CVH917" s="1091"/>
      <c r="CVI917" s="1091"/>
      <c r="CVJ917" s="1091"/>
      <c r="CVK917" s="1091"/>
      <c r="CVL917" s="1091"/>
      <c r="CVM917" s="1091"/>
      <c r="CVN917" s="1091"/>
      <c r="CVO917" s="1091"/>
      <c r="CVP917" s="1091"/>
      <c r="CVQ917" s="1091"/>
      <c r="CVR917" s="1091"/>
      <c r="CVS917" s="1091"/>
      <c r="CVT917" s="1091"/>
      <c r="CVU917" s="1091"/>
      <c r="CVV917" s="1091"/>
      <c r="CVW917" s="1091"/>
      <c r="CVX917" s="1091"/>
      <c r="CVY917" s="1091"/>
      <c r="CVZ917" s="1091"/>
      <c r="CWA917" s="1091"/>
      <c r="CWB917" s="1091"/>
      <c r="CWC917" s="1091"/>
      <c r="CWD917" s="1091"/>
      <c r="CWE917" s="1091"/>
      <c r="CWF917" s="1091"/>
      <c r="CWG917" s="1091"/>
      <c r="CWH917" s="1091"/>
      <c r="CWI917" s="1091"/>
      <c r="CWJ917" s="1091"/>
      <c r="CWK917" s="1091"/>
      <c r="CWL917" s="1091"/>
      <c r="CWM917" s="1091"/>
      <c r="CWN917" s="1091"/>
      <c r="CWO917" s="1091"/>
      <c r="CWP917" s="1091"/>
      <c r="CWQ917" s="1091"/>
      <c r="CWR917" s="1091"/>
      <c r="CWS917" s="1091"/>
      <c r="CWT917" s="1091"/>
      <c r="CWU917" s="1091"/>
      <c r="CWV917" s="1091"/>
      <c r="CWW917" s="1091"/>
      <c r="CWX917" s="1091"/>
      <c r="CWY917" s="1091"/>
      <c r="CWZ917" s="1091"/>
      <c r="CXA917" s="1091"/>
      <c r="CXB917" s="1091"/>
      <c r="CXC917" s="1091"/>
      <c r="CXD917" s="1091"/>
      <c r="CXE917" s="1091"/>
      <c r="CXF917" s="1091"/>
      <c r="CXG917" s="1091"/>
      <c r="CXH917" s="1091"/>
      <c r="CXI917" s="1091"/>
      <c r="CXJ917" s="1091"/>
      <c r="CXK917" s="1091"/>
      <c r="CXL917" s="1091"/>
      <c r="CXM917" s="1091"/>
      <c r="CXN917" s="1091"/>
      <c r="CXO917" s="1091"/>
      <c r="CXP917" s="1091"/>
      <c r="CXQ917" s="1091"/>
      <c r="CXR917" s="1091"/>
      <c r="CXS917" s="1091"/>
      <c r="CXT917" s="1091"/>
      <c r="CXU917" s="1091"/>
      <c r="CXV917" s="1091"/>
      <c r="CXW917" s="1091"/>
      <c r="CXX917" s="1091"/>
      <c r="CXY917" s="1091"/>
      <c r="CXZ917" s="1091"/>
      <c r="CYA917" s="1091"/>
      <c r="CYB917" s="1091"/>
      <c r="CYC917" s="1091"/>
      <c r="CYD917" s="1091"/>
      <c r="CYE917" s="1091"/>
      <c r="CYF917" s="1091"/>
      <c r="CYG917" s="1091"/>
      <c r="CYH917" s="1091"/>
      <c r="CYI917" s="1091"/>
      <c r="CYJ917" s="1091"/>
      <c r="CYK917" s="1091"/>
      <c r="CYL917" s="1091"/>
      <c r="CYM917" s="1091"/>
      <c r="CYN917" s="1091"/>
      <c r="CYO917" s="1091"/>
      <c r="CYP917" s="1091"/>
      <c r="CYQ917" s="1091"/>
      <c r="CYR917" s="1091"/>
      <c r="CYS917" s="1091"/>
      <c r="CYT917" s="1091"/>
      <c r="CYU917" s="1091"/>
      <c r="CYV917" s="1091"/>
      <c r="CYW917" s="1091"/>
      <c r="CYX917" s="1091"/>
      <c r="CYY917" s="1091"/>
      <c r="CYZ917" s="1091"/>
      <c r="CZA917" s="1091"/>
      <c r="CZB917" s="1091"/>
      <c r="CZC917" s="1091"/>
      <c r="CZD917" s="1091"/>
      <c r="CZE917" s="1091"/>
      <c r="CZF917" s="1091"/>
      <c r="CZG917" s="1091"/>
      <c r="CZH917" s="1091"/>
      <c r="CZI917" s="1091"/>
      <c r="CZJ917" s="1091"/>
      <c r="CZK917" s="1091"/>
      <c r="CZL917" s="1091"/>
      <c r="CZM917" s="1091"/>
      <c r="CZN917" s="1091"/>
      <c r="CZO917" s="1091"/>
      <c r="CZP917" s="1091"/>
      <c r="CZQ917" s="1091"/>
      <c r="CZR917" s="1091"/>
      <c r="CZS917" s="1091"/>
      <c r="CZT917" s="1091"/>
      <c r="CZU917" s="1091"/>
      <c r="CZV917" s="1091"/>
      <c r="CZW917" s="1091"/>
      <c r="CZX917" s="1091"/>
      <c r="CZY917" s="1091"/>
      <c r="CZZ917" s="1091"/>
      <c r="DAA917" s="1091"/>
      <c r="DAB917" s="1091"/>
      <c r="DAC917" s="1091"/>
      <c r="DAD917" s="1091"/>
      <c r="DAE917" s="1091"/>
      <c r="DAF917" s="1091"/>
      <c r="DAG917" s="1091"/>
      <c r="DAH917" s="1091"/>
      <c r="DAI917" s="1091"/>
      <c r="DAJ917" s="1091"/>
      <c r="DAK917" s="1091"/>
      <c r="DAL917" s="1091"/>
      <c r="DAM917" s="1091"/>
      <c r="DAN917" s="1091"/>
      <c r="DAO917" s="1091"/>
      <c r="DAP917" s="1091"/>
      <c r="DAQ917" s="1091"/>
      <c r="DAR917" s="1091"/>
      <c r="DAS917" s="1091"/>
      <c r="DAT917" s="1091"/>
      <c r="DAU917" s="1091"/>
      <c r="DAV917" s="1091"/>
      <c r="DAW917" s="1091"/>
      <c r="DAX917" s="1091"/>
      <c r="DAY917" s="1091"/>
      <c r="DAZ917" s="1091"/>
      <c r="DBA917" s="1091"/>
      <c r="DBB917" s="1091"/>
      <c r="DBC917" s="1091"/>
      <c r="DBD917" s="1091"/>
      <c r="DBE917" s="1091"/>
      <c r="DBF917" s="1091"/>
      <c r="DBG917" s="1091"/>
      <c r="DBH917" s="1091"/>
      <c r="DBI917" s="1091"/>
      <c r="DBJ917" s="1091"/>
      <c r="DBK917" s="1091"/>
      <c r="DBL917" s="1091"/>
      <c r="DBM917" s="1091"/>
      <c r="DBN917" s="1091"/>
      <c r="DBO917" s="1091"/>
      <c r="DBP917" s="1091"/>
      <c r="DBQ917" s="1091"/>
      <c r="DBR917" s="1091"/>
      <c r="DBS917" s="1091"/>
      <c r="DBT917" s="1091"/>
      <c r="DBU917" s="1091"/>
      <c r="DBV917" s="1091"/>
      <c r="DBW917" s="1091"/>
      <c r="DBX917" s="1091"/>
      <c r="DBY917" s="1091"/>
      <c r="DBZ917" s="1091"/>
      <c r="DCA917" s="1091"/>
      <c r="DCB917" s="1091"/>
      <c r="DCC917" s="1091"/>
      <c r="DCD917" s="1091"/>
      <c r="DCE917" s="1091"/>
      <c r="DCF917" s="1091"/>
      <c r="DCG917" s="1091"/>
      <c r="DCH917" s="1091"/>
      <c r="DCI917" s="1091"/>
      <c r="DCJ917" s="1091"/>
      <c r="DCK917" s="1091"/>
      <c r="DCL917" s="1091"/>
      <c r="DCM917" s="1091"/>
      <c r="DCN917" s="1091"/>
      <c r="DCO917" s="1091"/>
      <c r="DCP917" s="1091"/>
      <c r="DCQ917" s="1091"/>
      <c r="DCR917" s="1091"/>
      <c r="DCS917" s="1091"/>
      <c r="DCT917" s="1091"/>
      <c r="DCU917" s="1091"/>
      <c r="DCV917" s="1091"/>
      <c r="DCW917" s="1091"/>
      <c r="DCX917" s="1091"/>
      <c r="DCY917" s="1091"/>
      <c r="DCZ917" s="1091"/>
      <c r="DDA917" s="1091"/>
      <c r="DDB917" s="1091"/>
      <c r="DDC917" s="1091"/>
      <c r="DDD917" s="1091"/>
      <c r="DDE917" s="1091"/>
      <c r="DDF917" s="1091"/>
      <c r="DDG917" s="1091"/>
      <c r="DDH917" s="1091"/>
      <c r="DDI917" s="1091"/>
      <c r="DDJ917" s="1091"/>
      <c r="DDK917" s="1091"/>
      <c r="DDL917" s="1091"/>
      <c r="DDM917" s="1091"/>
      <c r="DDN917" s="1091"/>
      <c r="DDO917" s="1091"/>
      <c r="DDP917" s="1091"/>
      <c r="DDQ917" s="1091"/>
      <c r="DDR917" s="1091"/>
      <c r="DDS917" s="1091"/>
      <c r="DDT917" s="1091"/>
      <c r="DDU917" s="1091"/>
      <c r="DDV917" s="1091"/>
      <c r="DDW917" s="1091"/>
      <c r="DDX917" s="1091"/>
      <c r="DDY917" s="1091"/>
      <c r="DDZ917" s="1091"/>
      <c r="DEA917" s="1091"/>
      <c r="DEB917" s="1091"/>
      <c r="DEC917" s="1091"/>
      <c r="DED917" s="1091"/>
      <c r="DEE917" s="1091"/>
      <c r="DEF917" s="1091"/>
      <c r="DEG917" s="1091"/>
      <c r="DEH917" s="1091"/>
      <c r="DEI917" s="1091"/>
      <c r="DEJ917" s="1091"/>
      <c r="DEK917" s="1091"/>
      <c r="DEL917" s="1091"/>
      <c r="DEM917" s="1091"/>
      <c r="DEN917" s="1091"/>
      <c r="DEO917" s="1091"/>
      <c r="DEP917" s="1091"/>
      <c r="DEQ917" s="1091"/>
      <c r="DER917" s="1091"/>
      <c r="DES917" s="1091"/>
      <c r="DET917" s="1091"/>
      <c r="DEU917" s="1091"/>
      <c r="DEV917" s="1091"/>
      <c r="DEW917" s="1091"/>
      <c r="DEX917" s="1091"/>
      <c r="DEY917" s="1091"/>
      <c r="DEZ917" s="1091"/>
      <c r="DFA917" s="1091"/>
      <c r="DFB917" s="1091"/>
      <c r="DFC917" s="1091"/>
      <c r="DFD917" s="1091"/>
      <c r="DFE917" s="1091"/>
      <c r="DFF917" s="1091"/>
      <c r="DFG917" s="1091"/>
      <c r="DFH917" s="1091"/>
      <c r="DFI917" s="1091"/>
      <c r="DFJ917" s="1091"/>
      <c r="DFK917" s="1091"/>
      <c r="DFL917" s="1091"/>
      <c r="DFM917" s="1091"/>
      <c r="DFN917" s="1091"/>
      <c r="DFO917" s="1091"/>
      <c r="DFP917" s="1091"/>
      <c r="DFQ917" s="1091"/>
      <c r="DFR917" s="1091"/>
      <c r="DFS917" s="1091"/>
      <c r="DFT917" s="1091"/>
      <c r="DFU917" s="1091"/>
      <c r="DFV917" s="1091"/>
      <c r="DFW917" s="1091"/>
      <c r="DFX917" s="1091"/>
      <c r="DFY917" s="1091"/>
      <c r="DFZ917" s="1091"/>
      <c r="DGA917" s="1091"/>
      <c r="DGB917" s="1091"/>
      <c r="DGC917" s="1091"/>
      <c r="DGD917" s="1091"/>
      <c r="DGE917" s="1091"/>
      <c r="DGF917" s="1091"/>
      <c r="DGG917" s="1091"/>
      <c r="DGH917" s="1091"/>
      <c r="DGI917" s="1091"/>
      <c r="DGJ917" s="1091"/>
      <c r="DGK917" s="1091"/>
      <c r="DGL917" s="1091"/>
      <c r="DGM917" s="1091"/>
      <c r="DGN917" s="1091"/>
      <c r="DGO917" s="1091"/>
      <c r="DGP917" s="1091"/>
      <c r="DGQ917" s="1091"/>
      <c r="DGR917" s="1091"/>
      <c r="DGS917" s="1091"/>
      <c r="DGT917" s="1091"/>
      <c r="DGU917" s="1091"/>
      <c r="DGV917" s="1091"/>
      <c r="DGW917" s="1091"/>
      <c r="DGX917" s="1091"/>
      <c r="DGY917" s="1091"/>
      <c r="DGZ917" s="1091"/>
      <c r="DHA917" s="1091"/>
      <c r="DHB917" s="1091"/>
      <c r="DHC917" s="1091"/>
      <c r="DHD917" s="1091"/>
      <c r="DHE917" s="1091"/>
      <c r="DHF917" s="1091"/>
      <c r="DHG917" s="1091"/>
      <c r="DHH917" s="1091"/>
      <c r="DHI917" s="1091"/>
      <c r="DHJ917" s="1091"/>
      <c r="DHK917" s="1091"/>
      <c r="DHL917" s="1091"/>
      <c r="DHM917" s="1091"/>
      <c r="DHN917" s="1091"/>
      <c r="DHO917" s="1091"/>
      <c r="DHP917" s="1091"/>
      <c r="DHQ917" s="1091"/>
      <c r="DHR917" s="1091"/>
      <c r="DHS917" s="1091"/>
      <c r="DHT917" s="1091"/>
      <c r="DHU917" s="1091"/>
      <c r="DHV917" s="1091"/>
      <c r="DHW917" s="1091"/>
      <c r="DHX917" s="1091"/>
      <c r="DHY917" s="1091"/>
      <c r="DHZ917" s="1091"/>
      <c r="DIA917" s="1091"/>
      <c r="DIB917" s="1091"/>
      <c r="DIC917" s="1091"/>
      <c r="DID917" s="1091"/>
      <c r="DIE917" s="1091"/>
      <c r="DIF917" s="1091"/>
      <c r="DIG917" s="1091"/>
      <c r="DIH917" s="1091"/>
      <c r="DII917" s="1091"/>
      <c r="DIJ917" s="1091"/>
      <c r="DIK917" s="1091"/>
      <c r="DIL917" s="1091"/>
      <c r="DIM917" s="1091"/>
      <c r="DIN917" s="1091"/>
      <c r="DIO917" s="1091"/>
      <c r="DIP917" s="1091"/>
      <c r="DIQ917" s="1091"/>
      <c r="DIR917" s="1091"/>
      <c r="DIS917" s="1091"/>
      <c r="DIT917" s="1091"/>
      <c r="DIU917" s="1091"/>
      <c r="DIV917" s="1091"/>
      <c r="DIW917" s="1091"/>
      <c r="DIX917" s="1091"/>
      <c r="DIY917" s="1091"/>
      <c r="DIZ917" s="1091"/>
      <c r="DJA917" s="1091"/>
      <c r="DJB917" s="1091"/>
      <c r="DJC917" s="1091"/>
      <c r="DJD917" s="1091"/>
      <c r="DJE917" s="1091"/>
      <c r="DJF917" s="1091"/>
      <c r="DJG917" s="1091"/>
      <c r="DJH917" s="1091"/>
      <c r="DJI917" s="1091"/>
      <c r="DJJ917" s="1091"/>
      <c r="DJK917" s="1091"/>
      <c r="DJL917" s="1091"/>
      <c r="DJM917" s="1091"/>
      <c r="DJN917" s="1091"/>
      <c r="DJO917" s="1091"/>
      <c r="DJP917" s="1091"/>
      <c r="DJQ917" s="1091"/>
      <c r="DJR917" s="1091"/>
      <c r="DJS917" s="1091"/>
      <c r="DJT917" s="1091"/>
      <c r="DJU917" s="1091"/>
      <c r="DJV917" s="1091"/>
      <c r="DJW917" s="1091"/>
      <c r="DJX917" s="1091"/>
      <c r="DJY917" s="1091"/>
      <c r="DJZ917" s="1091"/>
      <c r="DKA917" s="1091"/>
      <c r="DKB917" s="1091"/>
      <c r="DKC917" s="1091"/>
      <c r="DKD917" s="1091"/>
      <c r="DKE917" s="1091"/>
      <c r="DKF917" s="1091"/>
      <c r="DKG917" s="1091"/>
      <c r="DKH917" s="1091"/>
      <c r="DKI917" s="1091"/>
      <c r="DKJ917" s="1091"/>
      <c r="DKK917" s="1091"/>
      <c r="DKL917" s="1091"/>
      <c r="DKM917" s="1091"/>
      <c r="DKN917" s="1091"/>
      <c r="DKO917" s="1091"/>
      <c r="DKP917" s="1091"/>
      <c r="DKQ917" s="1091"/>
      <c r="DKR917" s="1091"/>
      <c r="DKS917" s="1091"/>
      <c r="DKT917" s="1091"/>
      <c r="DKU917" s="1091"/>
      <c r="DKV917" s="1091"/>
      <c r="DKW917" s="1091"/>
      <c r="DKX917" s="1091"/>
      <c r="DKY917" s="1091"/>
      <c r="DKZ917" s="1091"/>
      <c r="DLA917" s="1091"/>
      <c r="DLB917" s="1091"/>
      <c r="DLC917" s="1091"/>
      <c r="DLD917" s="1091"/>
      <c r="DLE917" s="1091"/>
      <c r="DLF917" s="1091"/>
      <c r="DLG917" s="1091"/>
      <c r="DLH917" s="1091"/>
      <c r="DLI917" s="1091"/>
      <c r="DLJ917" s="1091"/>
      <c r="DLK917" s="1091"/>
      <c r="DLL917" s="1091"/>
      <c r="DLM917" s="1091"/>
      <c r="DLN917" s="1091"/>
      <c r="DLO917" s="1091"/>
      <c r="DLP917" s="1091"/>
      <c r="DLQ917" s="1091"/>
      <c r="DLR917" s="1091"/>
      <c r="DLS917" s="1091"/>
      <c r="DLT917" s="1091"/>
      <c r="DLU917" s="1091"/>
      <c r="DLV917" s="1091"/>
      <c r="DLW917" s="1091"/>
      <c r="DLX917" s="1091"/>
      <c r="DLY917" s="1091"/>
      <c r="DLZ917" s="1091"/>
      <c r="DMA917" s="1091"/>
      <c r="DMB917" s="1091"/>
      <c r="DMC917" s="1091"/>
      <c r="DMD917" s="1091"/>
      <c r="DME917" s="1091"/>
      <c r="DMF917" s="1091"/>
      <c r="DMG917" s="1091"/>
      <c r="DMH917" s="1091"/>
      <c r="DMI917" s="1091"/>
      <c r="DMJ917" s="1091"/>
      <c r="DMK917" s="1091"/>
      <c r="DML917" s="1091"/>
      <c r="DMM917" s="1091"/>
      <c r="DMN917" s="1091"/>
      <c r="DMO917" s="1091"/>
      <c r="DMP917" s="1091"/>
      <c r="DMQ917" s="1091"/>
      <c r="DMR917" s="1091"/>
      <c r="DMS917" s="1091"/>
      <c r="DMT917" s="1091"/>
      <c r="DMU917" s="1091"/>
      <c r="DMV917" s="1091"/>
      <c r="DMW917" s="1091"/>
      <c r="DMX917" s="1091"/>
      <c r="DMY917" s="1091"/>
      <c r="DMZ917" s="1091"/>
      <c r="DNA917" s="1091"/>
      <c r="DNB917" s="1091"/>
      <c r="DNC917" s="1091"/>
      <c r="DND917" s="1091"/>
      <c r="DNE917" s="1091"/>
      <c r="DNF917" s="1091"/>
      <c r="DNG917" s="1091"/>
      <c r="DNH917" s="1091"/>
      <c r="DNI917" s="1091"/>
      <c r="DNJ917" s="1091"/>
      <c r="DNK917" s="1091"/>
      <c r="DNL917" s="1091"/>
      <c r="DNM917" s="1091"/>
      <c r="DNN917" s="1091"/>
      <c r="DNO917" s="1091"/>
      <c r="DNP917" s="1091"/>
      <c r="DNQ917" s="1091"/>
      <c r="DNR917" s="1091"/>
      <c r="DNS917" s="1091"/>
      <c r="DNT917" s="1091"/>
      <c r="DNU917" s="1091"/>
      <c r="DNV917" s="1091"/>
      <c r="DNW917" s="1091"/>
      <c r="DNX917" s="1091"/>
      <c r="DNY917" s="1091"/>
      <c r="DNZ917" s="1091"/>
      <c r="DOA917" s="1091"/>
      <c r="DOB917" s="1091"/>
      <c r="DOC917" s="1091"/>
      <c r="DOD917" s="1091"/>
      <c r="DOE917" s="1091"/>
      <c r="DOF917" s="1091"/>
      <c r="DOG917" s="1091"/>
      <c r="DOH917" s="1091"/>
      <c r="DOI917" s="1091"/>
      <c r="DOJ917" s="1091"/>
      <c r="DOK917" s="1091"/>
      <c r="DOL917" s="1091"/>
      <c r="DOM917" s="1091"/>
      <c r="DON917" s="1091"/>
      <c r="DOO917" s="1091"/>
      <c r="DOP917" s="1091"/>
      <c r="DOQ917" s="1091"/>
      <c r="DOR917" s="1091"/>
      <c r="DOS917" s="1091"/>
      <c r="DOT917" s="1091"/>
      <c r="DOU917" s="1091"/>
      <c r="DOV917" s="1091"/>
      <c r="DOW917" s="1091"/>
      <c r="DOX917" s="1091"/>
      <c r="DOY917" s="1091"/>
      <c r="DOZ917" s="1091"/>
      <c r="DPA917" s="1091"/>
      <c r="DPB917" s="1091"/>
      <c r="DPC917" s="1091"/>
      <c r="DPD917" s="1091"/>
      <c r="DPE917" s="1091"/>
      <c r="DPF917" s="1091"/>
      <c r="DPG917" s="1091"/>
      <c r="DPH917" s="1091"/>
      <c r="DPI917" s="1091"/>
      <c r="DPJ917" s="1091"/>
      <c r="DPK917" s="1091"/>
      <c r="DPL917" s="1091"/>
      <c r="DPM917" s="1091"/>
      <c r="DPN917" s="1091"/>
      <c r="DPO917" s="1091"/>
      <c r="DPP917" s="1091"/>
      <c r="DPQ917" s="1091"/>
      <c r="DPR917" s="1091"/>
      <c r="DPS917" s="1091"/>
      <c r="DPT917" s="1091"/>
      <c r="DPU917" s="1091"/>
      <c r="DPV917" s="1091"/>
      <c r="DPW917" s="1091"/>
      <c r="DPX917" s="1091"/>
      <c r="DPY917" s="1091"/>
      <c r="DPZ917" s="1091"/>
      <c r="DQA917" s="1091"/>
      <c r="DQB917" s="1091"/>
      <c r="DQC917" s="1091"/>
      <c r="DQD917" s="1091"/>
      <c r="DQE917" s="1091"/>
      <c r="DQF917" s="1091"/>
      <c r="DQG917" s="1091"/>
      <c r="DQH917" s="1091"/>
      <c r="DQI917" s="1091"/>
      <c r="DQJ917" s="1091"/>
      <c r="DQK917" s="1091"/>
      <c r="DQL917" s="1091"/>
      <c r="DQM917" s="1091"/>
      <c r="DQN917" s="1091"/>
      <c r="DQO917" s="1091"/>
      <c r="DQP917" s="1091"/>
      <c r="DQQ917" s="1091"/>
      <c r="DQR917" s="1091"/>
      <c r="DQS917" s="1091"/>
      <c r="DQT917" s="1091"/>
      <c r="DQU917" s="1091"/>
      <c r="DQV917" s="1091"/>
      <c r="DQW917" s="1091"/>
      <c r="DQX917" s="1091"/>
      <c r="DQY917" s="1091"/>
      <c r="DQZ917" s="1091"/>
      <c r="DRA917" s="1091"/>
      <c r="DRB917" s="1091"/>
      <c r="DRC917" s="1091"/>
      <c r="DRD917" s="1091"/>
      <c r="DRE917" s="1091"/>
      <c r="DRF917" s="1091"/>
      <c r="DRG917" s="1091"/>
      <c r="DRH917" s="1091"/>
      <c r="DRI917" s="1091"/>
      <c r="DRJ917" s="1091"/>
      <c r="DRK917" s="1091"/>
      <c r="DRL917" s="1091"/>
      <c r="DRM917" s="1091"/>
      <c r="DRN917" s="1091"/>
      <c r="DRO917" s="1091"/>
      <c r="DRP917" s="1091"/>
      <c r="DRQ917" s="1091"/>
      <c r="DRR917" s="1091"/>
      <c r="DRS917" s="1091"/>
      <c r="DRT917" s="1091"/>
      <c r="DRU917" s="1091"/>
      <c r="DRV917" s="1091"/>
      <c r="DRW917" s="1091"/>
      <c r="DRX917" s="1091"/>
      <c r="DRY917" s="1091"/>
      <c r="DRZ917" s="1091"/>
      <c r="DSA917" s="1091"/>
      <c r="DSB917" s="1091"/>
      <c r="DSC917" s="1091"/>
      <c r="DSD917" s="1091"/>
      <c r="DSE917" s="1091"/>
      <c r="DSF917" s="1091"/>
      <c r="DSG917" s="1091"/>
      <c r="DSH917" s="1091"/>
      <c r="DSI917" s="1091"/>
      <c r="DSJ917" s="1091"/>
      <c r="DSK917" s="1091"/>
      <c r="DSL917" s="1091"/>
      <c r="DSM917" s="1091"/>
      <c r="DSN917" s="1091"/>
      <c r="DSO917" s="1091"/>
      <c r="DSP917" s="1091"/>
      <c r="DSQ917" s="1091"/>
      <c r="DSR917" s="1091"/>
      <c r="DSS917" s="1091"/>
      <c r="DST917" s="1091"/>
      <c r="DSU917" s="1091"/>
      <c r="DSV917" s="1091"/>
      <c r="DSW917" s="1091"/>
      <c r="DSX917" s="1091"/>
      <c r="DSY917" s="1091"/>
      <c r="DSZ917" s="1091"/>
      <c r="DTA917" s="1091"/>
      <c r="DTB917" s="1091"/>
      <c r="DTC917" s="1091"/>
      <c r="DTD917" s="1091"/>
      <c r="DTE917" s="1091"/>
      <c r="DTF917" s="1091"/>
      <c r="DTG917" s="1091"/>
      <c r="DTH917" s="1091"/>
      <c r="DTI917" s="1091"/>
      <c r="DTJ917" s="1091"/>
      <c r="DTK917" s="1091"/>
      <c r="DTL917" s="1091"/>
      <c r="DTM917" s="1091"/>
      <c r="DTN917" s="1091"/>
      <c r="DTO917" s="1091"/>
      <c r="DTP917" s="1091"/>
      <c r="DTQ917" s="1091"/>
      <c r="DTR917" s="1091"/>
      <c r="DTS917" s="1091"/>
      <c r="DTT917" s="1091"/>
      <c r="DTU917" s="1091"/>
      <c r="DTV917" s="1091"/>
      <c r="DTW917" s="1091"/>
      <c r="DTX917" s="1091"/>
      <c r="DTY917" s="1091"/>
      <c r="DTZ917" s="1091"/>
      <c r="DUA917" s="1091"/>
      <c r="DUB917" s="1091"/>
      <c r="DUC917" s="1091"/>
      <c r="DUD917" s="1091"/>
      <c r="DUE917" s="1091"/>
      <c r="DUF917" s="1091"/>
      <c r="DUG917" s="1091"/>
      <c r="DUH917" s="1091"/>
      <c r="DUI917" s="1091"/>
      <c r="DUJ917" s="1091"/>
      <c r="DUK917" s="1091"/>
      <c r="DUL917" s="1091"/>
      <c r="DUM917" s="1091"/>
      <c r="DUN917" s="1091"/>
      <c r="DUO917" s="1091"/>
      <c r="DUP917" s="1091"/>
      <c r="DUQ917" s="1091"/>
      <c r="DUR917" s="1091"/>
      <c r="DUS917" s="1091"/>
      <c r="DUT917" s="1091"/>
      <c r="DUU917" s="1091"/>
      <c r="DUV917" s="1091"/>
      <c r="DUW917" s="1091"/>
      <c r="DUX917" s="1091"/>
      <c r="DUY917" s="1091"/>
      <c r="DUZ917" s="1091"/>
      <c r="DVA917" s="1091"/>
      <c r="DVB917" s="1091"/>
      <c r="DVC917" s="1091"/>
      <c r="DVD917" s="1091"/>
      <c r="DVE917" s="1091"/>
      <c r="DVF917" s="1091"/>
      <c r="DVG917" s="1091"/>
      <c r="DVH917" s="1091"/>
      <c r="DVI917" s="1091"/>
      <c r="DVJ917" s="1091"/>
      <c r="DVK917" s="1091"/>
      <c r="DVL917" s="1091"/>
      <c r="DVM917" s="1091"/>
      <c r="DVN917" s="1091"/>
      <c r="DVO917" s="1091"/>
      <c r="DVP917" s="1091"/>
      <c r="DVQ917" s="1091"/>
      <c r="DVR917" s="1091"/>
      <c r="DVS917" s="1091"/>
      <c r="DVT917" s="1091"/>
      <c r="DVU917" s="1091"/>
      <c r="DVV917" s="1091"/>
      <c r="DVW917" s="1091"/>
      <c r="DVX917" s="1091"/>
      <c r="DVY917" s="1091"/>
      <c r="DVZ917" s="1091"/>
      <c r="DWA917" s="1091"/>
      <c r="DWB917" s="1091"/>
      <c r="DWC917" s="1091"/>
      <c r="DWD917" s="1091"/>
      <c r="DWE917" s="1091"/>
      <c r="DWF917" s="1091"/>
      <c r="DWG917" s="1091"/>
      <c r="DWH917" s="1091"/>
      <c r="DWI917" s="1091"/>
      <c r="DWJ917" s="1091"/>
      <c r="DWK917" s="1091"/>
      <c r="DWL917" s="1091"/>
      <c r="DWM917" s="1091"/>
      <c r="DWN917" s="1091"/>
      <c r="DWO917" s="1091"/>
      <c r="DWP917" s="1091"/>
      <c r="DWQ917" s="1091"/>
      <c r="DWR917" s="1091"/>
      <c r="DWS917" s="1091"/>
      <c r="DWT917" s="1091"/>
      <c r="DWU917" s="1091"/>
      <c r="DWV917" s="1091"/>
      <c r="DWW917" s="1091"/>
      <c r="DWX917" s="1091"/>
      <c r="DWY917" s="1091"/>
      <c r="DWZ917" s="1091"/>
      <c r="DXA917" s="1091"/>
      <c r="DXB917" s="1091"/>
      <c r="DXC917" s="1091"/>
      <c r="DXD917" s="1091"/>
      <c r="DXE917" s="1091"/>
      <c r="DXF917" s="1091"/>
      <c r="DXG917" s="1091"/>
      <c r="DXH917" s="1091"/>
      <c r="DXI917" s="1091"/>
      <c r="DXJ917" s="1091"/>
      <c r="DXK917" s="1091"/>
      <c r="DXL917" s="1091"/>
      <c r="DXM917" s="1091"/>
      <c r="DXN917" s="1091"/>
      <c r="DXO917" s="1091"/>
      <c r="DXP917" s="1091"/>
      <c r="DXQ917" s="1091"/>
      <c r="DXR917" s="1091"/>
      <c r="DXS917" s="1091"/>
      <c r="DXT917" s="1091"/>
      <c r="DXU917" s="1091"/>
      <c r="DXV917" s="1091"/>
      <c r="DXW917" s="1091"/>
      <c r="DXX917" s="1091"/>
      <c r="DXY917" s="1091"/>
      <c r="DXZ917" s="1091"/>
      <c r="DYA917" s="1091"/>
      <c r="DYB917" s="1091"/>
      <c r="DYC917" s="1091"/>
      <c r="DYD917" s="1091"/>
      <c r="DYE917" s="1091"/>
      <c r="DYF917" s="1091"/>
      <c r="DYG917" s="1091"/>
      <c r="DYH917" s="1091"/>
      <c r="DYI917" s="1091"/>
      <c r="DYJ917" s="1091"/>
      <c r="DYK917" s="1091"/>
      <c r="DYL917" s="1091"/>
      <c r="DYM917" s="1091"/>
      <c r="DYN917" s="1091"/>
      <c r="DYO917" s="1091"/>
      <c r="DYP917" s="1091"/>
      <c r="DYQ917" s="1091"/>
      <c r="DYR917" s="1091"/>
      <c r="DYS917" s="1091"/>
      <c r="DYT917" s="1091"/>
      <c r="DYU917" s="1091"/>
      <c r="DYV917" s="1091"/>
      <c r="DYW917" s="1091"/>
      <c r="DYX917" s="1091"/>
      <c r="DYY917" s="1091"/>
      <c r="DYZ917" s="1091"/>
      <c r="DZA917" s="1091"/>
      <c r="DZB917" s="1091"/>
      <c r="DZC917" s="1091"/>
      <c r="DZD917" s="1091"/>
      <c r="DZE917" s="1091"/>
      <c r="DZF917" s="1091"/>
      <c r="DZG917" s="1091"/>
      <c r="DZH917" s="1091"/>
      <c r="DZI917" s="1091"/>
      <c r="DZJ917" s="1091"/>
      <c r="DZK917" s="1091"/>
      <c r="DZL917" s="1091"/>
      <c r="DZM917" s="1091"/>
      <c r="DZN917" s="1091"/>
      <c r="DZO917" s="1091"/>
      <c r="DZP917" s="1091"/>
      <c r="DZQ917" s="1091"/>
      <c r="DZR917" s="1091"/>
      <c r="DZS917" s="1091"/>
      <c r="DZT917" s="1091"/>
      <c r="DZU917" s="1091"/>
      <c r="DZV917" s="1091"/>
      <c r="DZW917" s="1091"/>
      <c r="DZX917" s="1091"/>
      <c r="DZY917" s="1091"/>
      <c r="DZZ917" s="1091"/>
      <c r="EAA917" s="1091"/>
      <c r="EAB917" s="1091"/>
      <c r="EAC917" s="1091"/>
      <c r="EAD917" s="1091"/>
      <c r="EAE917" s="1091"/>
      <c r="EAF917" s="1091"/>
      <c r="EAG917" s="1091"/>
      <c r="EAH917" s="1091"/>
      <c r="EAI917" s="1091"/>
      <c r="EAJ917" s="1091"/>
      <c r="EAK917" s="1091"/>
      <c r="EAL917" s="1091"/>
      <c r="EAM917" s="1091"/>
      <c r="EAN917" s="1091"/>
      <c r="EAO917" s="1091"/>
      <c r="EAP917" s="1091"/>
      <c r="EAQ917" s="1091"/>
      <c r="EAR917" s="1091"/>
      <c r="EAS917" s="1091"/>
      <c r="EAT917" s="1091"/>
      <c r="EAU917" s="1091"/>
      <c r="EAV917" s="1091"/>
      <c r="EAW917" s="1091"/>
      <c r="EAX917" s="1091"/>
      <c r="EAY917" s="1091"/>
      <c r="EAZ917" s="1091"/>
      <c r="EBA917" s="1091"/>
      <c r="EBB917" s="1091"/>
      <c r="EBC917" s="1091"/>
      <c r="EBD917" s="1091"/>
      <c r="EBE917" s="1091"/>
      <c r="EBF917" s="1091"/>
      <c r="EBG917" s="1091"/>
      <c r="EBH917" s="1091"/>
      <c r="EBI917" s="1091"/>
      <c r="EBJ917" s="1091"/>
      <c r="EBK917" s="1091"/>
      <c r="EBL917" s="1091"/>
      <c r="EBM917" s="1091"/>
      <c r="EBN917" s="1091"/>
      <c r="EBO917" s="1091"/>
      <c r="EBP917" s="1091"/>
      <c r="EBQ917" s="1091"/>
      <c r="EBR917" s="1091"/>
      <c r="EBS917" s="1091"/>
      <c r="EBT917" s="1091"/>
      <c r="EBU917" s="1091"/>
      <c r="EBV917" s="1091"/>
      <c r="EBW917" s="1091"/>
      <c r="EBX917" s="1091"/>
      <c r="EBY917" s="1091"/>
      <c r="EBZ917" s="1091"/>
      <c r="ECA917" s="1091"/>
      <c r="ECB917" s="1091"/>
      <c r="ECC917" s="1091"/>
      <c r="ECD917" s="1091"/>
      <c r="ECE917" s="1091"/>
      <c r="ECF917" s="1091"/>
      <c r="ECG917" s="1091"/>
      <c r="ECH917" s="1091"/>
      <c r="ECI917" s="1091"/>
      <c r="ECJ917" s="1091"/>
      <c r="ECK917" s="1091"/>
      <c r="ECL917" s="1091"/>
      <c r="ECM917" s="1091"/>
      <c r="ECN917" s="1091"/>
      <c r="ECO917" s="1091"/>
      <c r="ECP917" s="1091"/>
      <c r="ECQ917" s="1091"/>
      <c r="ECR917" s="1091"/>
      <c r="ECS917" s="1091"/>
      <c r="ECT917" s="1091"/>
      <c r="ECU917" s="1091"/>
      <c r="ECV917" s="1091"/>
      <c r="ECW917" s="1091"/>
      <c r="ECX917" s="1091"/>
      <c r="ECY917" s="1091"/>
      <c r="ECZ917" s="1091"/>
      <c r="EDA917" s="1091"/>
      <c r="EDB917" s="1091"/>
      <c r="EDC917" s="1091"/>
      <c r="EDD917" s="1091"/>
      <c r="EDE917" s="1091"/>
      <c r="EDF917" s="1091"/>
      <c r="EDG917" s="1091"/>
      <c r="EDH917" s="1091"/>
      <c r="EDI917" s="1091"/>
      <c r="EDJ917" s="1091"/>
      <c r="EDK917" s="1091"/>
      <c r="EDL917" s="1091"/>
      <c r="EDM917" s="1091"/>
      <c r="EDN917" s="1091"/>
      <c r="EDO917" s="1091"/>
      <c r="EDP917" s="1091"/>
      <c r="EDQ917" s="1091"/>
      <c r="EDR917" s="1091"/>
      <c r="EDS917" s="1091"/>
      <c r="EDT917" s="1091"/>
      <c r="EDU917" s="1091"/>
      <c r="EDV917" s="1091"/>
      <c r="EDW917" s="1091"/>
      <c r="EDX917" s="1091"/>
      <c r="EDY917" s="1091"/>
      <c r="EDZ917" s="1091"/>
      <c r="EEA917" s="1091"/>
      <c r="EEB917" s="1091"/>
      <c r="EEC917" s="1091"/>
      <c r="EED917" s="1091"/>
      <c r="EEE917" s="1091"/>
      <c r="EEF917" s="1091"/>
      <c r="EEG917" s="1091"/>
      <c r="EEH917" s="1091"/>
      <c r="EEI917" s="1091"/>
      <c r="EEJ917" s="1091"/>
      <c r="EEK917" s="1091"/>
      <c r="EEL917" s="1091"/>
      <c r="EEM917" s="1091"/>
      <c r="EEN917" s="1091"/>
      <c r="EEO917" s="1091"/>
      <c r="EEP917" s="1091"/>
      <c r="EEQ917" s="1091"/>
      <c r="EER917" s="1091"/>
      <c r="EES917" s="1091"/>
      <c r="EET917" s="1091"/>
      <c r="EEU917" s="1091"/>
      <c r="EEV917" s="1091"/>
      <c r="EEW917" s="1091"/>
      <c r="EEX917" s="1091"/>
      <c r="EEY917" s="1091"/>
      <c r="EEZ917" s="1091"/>
      <c r="EFA917" s="1091"/>
      <c r="EFB917" s="1091"/>
      <c r="EFC917" s="1091"/>
      <c r="EFD917" s="1091"/>
      <c r="EFE917" s="1091"/>
      <c r="EFF917" s="1091"/>
      <c r="EFG917" s="1091"/>
      <c r="EFH917" s="1091"/>
      <c r="EFI917" s="1091"/>
      <c r="EFJ917" s="1091"/>
      <c r="EFK917" s="1091"/>
      <c r="EFL917" s="1091"/>
      <c r="EFM917" s="1091"/>
      <c r="EFN917" s="1091"/>
      <c r="EFO917" s="1091"/>
      <c r="EFP917" s="1091"/>
      <c r="EFQ917" s="1091"/>
      <c r="EFR917" s="1091"/>
      <c r="EFS917" s="1091"/>
      <c r="EFT917" s="1091"/>
      <c r="EFU917" s="1091"/>
      <c r="EFV917" s="1091"/>
      <c r="EFW917" s="1091"/>
      <c r="EFX917" s="1091"/>
      <c r="EFY917" s="1091"/>
      <c r="EFZ917" s="1091"/>
      <c r="EGA917" s="1091"/>
      <c r="EGB917" s="1091"/>
      <c r="EGC917" s="1091"/>
      <c r="EGD917" s="1091"/>
      <c r="EGE917" s="1091"/>
      <c r="EGF917" s="1091"/>
      <c r="EGG917" s="1091"/>
      <c r="EGH917" s="1091"/>
      <c r="EGI917" s="1091"/>
      <c r="EGJ917" s="1091"/>
      <c r="EGK917" s="1091"/>
      <c r="EGL917" s="1091"/>
      <c r="EGM917" s="1091"/>
      <c r="EGN917" s="1091"/>
      <c r="EGO917" s="1091"/>
      <c r="EGP917" s="1091"/>
      <c r="EGQ917" s="1091"/>
      <c r="EGR917" s="1091"/>
      <c r="EGS917" s="1091"/>
      <c r="EGT917" s="1091"/>
      <c r="EGU917" s="1091"/>
      <c r="EGV917" s="1091"/>
      <c r="EGW917" s="1091"/>
      <c r="EGX917" s="1091"/>
      <c r="EGY917" s="1091"/>
      <c r="EGZ917" s="1091"/>
      <c r="EHA917" s="1091"/>
      <c r="EHB917" s="1091"/>
      <c r="EHC917" s="1091"/>
      <c r="EHD917" s="1091"/>
      <c r="EHE917" s="1091"/>
      <c r="EHF917" s="1091"/>
      <c r="EHG917" s="1091"/>
      <c r="EHH917" s="1091"/>
      <c r="EHI917" s="1091"/>
      <c r="EHJ917" s="1091"/>
      <c r="EHK917" s="1091"/>
      <c r="EHL917" s="1091"/>
      <c r="EHM917" s="1091"/>
      <c r="EHN917" s="1091"/>
      <c r="EHO917" s="1091"/>
      <c r="EHP917" s="1091"/>
      <c r="EHQ917" s="1091"/>
      <c r="EHR917" s="1091"/>
      <c r="EHS917" s="1091"/>
      <c r="EHT917" s="1091"/>
      <c r="EHU917" s="1091"/>
      <c r="EHV917" s="1091"/>
      <c r="EHW917" s="1091"/>
      <c r="EHX917" s="1091"/>
      <c r="EHY917" s="1091"/>
      <c r="EHZ917" s="1091"/>
      <c r="EIA917" s="1091"/>
      <c r="EIB917" s="1091"/>
      <c r="EIC917" s="1091"/>
      <c r="EID917" s="1091"/>
      <c r="EIE917" s="1091"/>
      <c r="EIF917" s="1091"/>
      <c r="EIG917" s="1091"/>
      <c r="EIH917" s="1091"/>
      <c r="EII917" s="1091"/>
      <c r="EIJ917" s="1091"/>
      <c r="EIK917" s="1091"/>
      <c r="EIL917" s="1091"/>
      <c r="EIM917" s="1091"/>
      <c r="EIN917" s="1091"/>
      <c r="EIO917" s="1091"/>
      <c r="EIP917" s="1091"/>
      <c r="EIQ917" s="1091"/>
      <c r="EIR917" s="1091"/>
      <c r="EIS917" s="1091"/>
      <c r="EIT917" s="1091"/>
      <c r="EIU917" s="1091"/>
      <c r="EIV917" s="1091"/>
      <c r="EIW917" s="1091"/>
      <c r="EIX917" s="1091"/>
      <c r="EIY917" s="1091"/>
      <c r="EIZ917" s="1091"/>
      <c r="EJA917" s="1091"/>
      <c r="EJB917" s="1091"/>
      <c r="EJC917" s="1091"/>
      <c r="EJD917" s="1091"/>
      <c r="EJE917" s="1091"/>
      <c r="EJF917" s="1091"/>
      <c r="EJG917" s="1091"/>
      <c r="EJH917" s="1091"/>
      <c r="EJI917" s="1091"/>
      <c r="EJJ917" s="1091"/>
      <c r="EJK917" s="1091"/>
      <c r="EJL917" s="1091"/>
      <c r="EJM917" s="1091"/>
      <c r="EJN917" s="1091"/>
      <c r="EJO917" s="1091"/>
      <c r="EJP917" s="1091"/>
      <c r="EJQ917" s="1091"/>
      <c r="EJR917" s="1091"/>
      <c r="EJS917" s="1091"/>
      <c r="EJT917" s="1091"/>
      <c r="EJU917" s="1091"/>
      <c r="EJV917" s="1091"/>
      <c r="EJW917" s="1091"/>
      <c r="EJX917" s="1091"/>
      <c r="EJY917" s="1091"/>
      <c r="EJZ917" s="1091"/>
      <c r="EKA917" s="1091"/>
      <c r="EKB917" s="1091"/>
      <c r="EKC917" s="1091"/>
      <c r="EKD917" s="1091"/>
      <c r="EKE917" s="1091"/>
      <c r="EKF917" s="1091"/>
      <c r="EKG917" s="1091"/>
      <c r="EKH917" s="1091"/>
      <c r="EKI917" s="1091"/>
      <c r="EKJ917" s="1091"/>
      <c r="EKK917" s="1091"/>
      <c r="EKL917" s="1091"/>
      <c r="EKM917" s="1091"/>
      <c r="EKN917" s="1091"/>
      <c r="EKO917" s="1091"/>
      <c r="EKP917" s="1091"/>
      <c r="EKQ917" s="1091"/>
      <c r="EKR917" s="1091"/>
      <c r="EKS917" s="1091"/>
      <c r="EKT917" s="1091"/>
      <c r="EKU917" s="1091"/>
      <c r="EKV917" s="1091"/>
      <c r="EKW917" s="1091"/>
      <c r="EKX917" s="1091"/>
      <c r="EKY917" s="1091"/>
      <c r="EKZ917" s="1091"/>
      <c r="ELA917" s="1091"/>
      <c r="ELB917" s="1091"/>
      <c r="ELC917" s="1091"/>
      <c r="ELD917" s="1091"/>
      <c r="ELE917" s="1091"/>
      <c r="ELF917" s="1091"/>
      <c r="ELG917" s="1091"/>
      <c r="ELH917" s="1091"/>
      <c r="ELI917" s="1091"/>
      <c r="ELJ917" s="1091"/>
      <c r="ELK917" s="1091"/>
      <c r="ELL917" s="1091"/>
      <c r="ELM917" s="1091"/>
      <c r="ELN917" s="1091"/>
      <c r="ELO917" s="1091"/>
      <c r="ELP917" s="1091"/>
      <c r="ELQ917" s="1091"/>
      <c r="ELR917" s="1091"/>
      <c r="ELS917" s="1091"/>
      <c r="ELT917" s="1091"/>
      <c r="ELU917" s="1091"/>
      <c r="ELV917" s="1091"/>
      <c r="ELW917" s="1091"/>
      <c r="ELX917" s="1091"/>
      <c r="ELY917" s="1091"/>
      <c r="ELZ917" s="1091"/>
      <c r="EMA917" s="1091"/>
      <c r="EMB917" s="1091"/>
      <c r="EMC917" s="1091"/>
      <c r="EMD917" s="1091"/>
      <c r="EME917" s="1091"/>
      <c r="EMF917" s="1091"/>
      <c r="EMG917" s="1091"/>
      <c r="EMH917" s="1091"/>
      <c r="EMI917" s="1091"/>
      <c r="EMJ917" s="1091"/>
      <c r="EMK917" s="1091"/>
      <c r="EML917" s="1091"/>
      <c r="EMM917" s="1091"/>
      <c r="EMN917" s="1091"/>
      <c r="EMO917" s="1091"/>
      <c r="EMP917" s="1091"/>
      <c r="EMQ917" s="1091"/>
      <c r="EMR917" s="1091"/>
      <c r="EMS917" s="1091"/>
      <c r="EMT917" s="1091"/>
      <c r="EMU917" s="1091"/>
      <c r="EMV917" s="1091"/>
      <c r="EMW917" s="1091"/>
      <c r="EMX917" s="1091"/>
      <c r="EMY917" s="1091"/>
      <c r="EMZ917" s="1091"/>
      <c r="ENA917" s="1091"/>
      <c r="ENB917" s="1091"/>
      <c r="ENC917" s="1091"/>
      <c r="END917" s="1091"/>
      <c r="ENE917" s="1091"/>
      <c r="ENF917" s="1091"/>
      <c r="ENG917" s="1091"/>
      <c r="ENH917" s="1091"/>
      <c r="ENI917" s="1091"/>
      <c r="ENJ917" s="1091"/>
      <c r="ENK917" s="1091"/>
      <c r="ENL917" s="1091"/>
      <c r="ENM917" s="1091"/>
      <c r="ENN917" s="1091"/>
      <c r="ENO917" s="1091"/>
      <c r="ENP917" s="1091"/>
      <c r="ENQ917" s="1091"/>
      <c r="ENR917" s="1091"/>
      <c r="ENS917" s="1091"/>
      <c r="ENT917" s="1091"/>
      <c r="ENU917" s="1091"/>
      <c r="ENV917" s="1091"/>
      <c r="ENW917" s="1091"/>
      <c r="ENX917" s="1091"/>
      <c r="ENY917" s="1091"/>
      <c r="ENZ917" s="1091"/>
      <c r="EOA917" s="1091"/>
      <c r="EOB917" s="1091"/>
      <c r="EOC917" s="1091"/>
      <c r="EOD917" s="1091"/>
      <c r="EOE917" s="1091"/>
      <c r="EOF917" s="1091"/>
      <c r="EOG917" s="1091"/>
      <c r="EOH917" s="1091"/>
      <c r="EOI917" s="1091"/>
      <c r="EOJ917" s="1091"/>
      <c r="EOK917" s="1091"/>
      <c r="EOL917" s="1091"/>
      <c r="EOM917" s="1091"/>
      <c r="EON917" s="1091"/>
      <c r="EOO917" s="1091"/>
      <c r="EOP917" s="1091"/>
      <c r="EOQ917" s="1091"/>
      <c r="EOR917" s="1091"/>
      <c r="EOS917" s="1091"/>
      <c r="EOT917" s="1091"/>
      <c r="EOU917" s="1091"/>
      <c r="EOV917" s="1091"/>
      <c r="EOW917" s="1091"/>
      <c r="EOX917" s="1091"/>
      <c r="EOY917" s="1091"/>
      <c r="EOZ917" s="1091"/>
      <c r="EPA917" s="1091"/>
      <c r="EPB917" s="1091"/>
      <c r="EPC917" s="1091"/>
      <c r="EPD917" s="1091"/>
      <c r="EPE917" s="1091"/>
      <c r="EPF917" s="1091"/>
      <c r="EPG917" s="1091"/>
      <c r="EPH917" s="1091"/>
      <c r="EPI917" s="1091"/>
      <c r="EPJ917" s="1091"/>
      <c r="EPK917" s="1091"/>
      <c r="EPL917" s="1091"/>
      <c r="EPM917" s="1091"/>
      <c r="EPN917" s="1091"/>
      <c r="EPO917" s="1091"/>
      <c r="EPP917" s="1091"/>
      <c r="EPQ917" s="1091"/>
      <c r="EPR917" s="1091"/>
      <c r="EPS917" s="1091"/>
      <c r="EPT917" s="1091"/>
      <c r="EPU917" s="1091"/>
      <c r="EPV917" s="1091"/>
      <c r="EPW917" s="1091"/>
      <c r="EPX917" s="1091"/>
      <c r="EPY917" s="1091"/>
      <c r="EPZ917" s="1091"/>
      <c r="EQA917" s="1091"/>
      <c r="EQB917" s="1091"/>
      <c r="EQC917" s="1091"/>
      <c r="EQD917" s="1091"/>
      <c r="EQE917" s="1091"/>
      <c r="EQF917" s="1091"/>
      <c r="EQG917" s="1091"/>
      <c r="EQH917" s="1091"/>
      <c r="EQI917" s="1091"/>
      <c r="EQJ917" s="1091"/>
      <c r="EQK917" s="1091"/>
      <c r="EQL917" s="1091"/>
      <c r="EQM917" s="1091"/>
      <c r="EQN917" s="1091"/>
      <c r="EQO917" s="1091"/>
      <c r="EQP917" s="1091"/>
      <c r="EQQ917" s="1091"/>
      <c r="EQR917" s="1091"/>
      <c r="EQS917" s="1091"/>
      <c r="EQT917" s="1091"/>
      <c r="EQU917" s="1091"/>
      <c r="EQV917" s="1091"/>
      <c r="EQW917" s="1091"/>
      <c r="EQX917" s="1091"/>
      <c r="EQY917" s="1091"/>
      <c r="EQZ917" s="1091"/>
      <c r="ERA917" s="1091"/>
      <c r="ERB917" s="1091"/>
      <c r="ERC917" s="1091"/>
      <c r="ERD917" s="1091"/>
      <c r="ERE917" s="1091"/>
      <c r="ERF917" s="1091"/>
      <c r="ERG917" s="1091"/>
      <c r="ERH917" s="1091"/>
      <c r="ERI917" s="1091"/>
      <c r="ERJ917" s="1091"/>
      <c r="ERK917" s="1091"/>
      <c r="ERL917" s="1091"/>
      <c r="ERM917" s="1091"/>
      <c r="ERN917" s="1091"/>
      <c r="ERO917" s="1091"/>
      <c r="ERP917" s="1091"/>
      <c r="ERQ917" s="1091"/>
      <c r="ERR917" s="1091"/>
      <c r="ERS917" s="1091"/>
      <c r="ERT917" s="1091"/>
      <c r="ERU917" s="1091"/>
      <c r="ERV917" s="1091"/>
      <c r="ERW917" s="1091"/>
      <c r="ERX917" s="1091"/>
      <c r="ERY917" s="1091"/>
      <c r="ERZ917" s="1091"/>
      <c r="ESA917" s="1091"/>
      <c r="ESB917" s="1091"/>
      <c r="ESC917" s="1091"/>
      <c r="ESD917" s="1091"/>
      <c r="ESE917" s="1091"/>
      <c r="ESF917" s="1091"/>
      <c r="ESG917" s="1091"/>
      <c r="ESH917" s="1091"/>
      <c r="ESI917" s="1091"/>
      <c r="ESJ917" s="1091"/>
      <c r="ESK917" s="1091"/>
      <c r="ESL917" s="1091"/>
      <c r="ESM917" s="1091"/>
      <c r="ESN917" s="1091"/>
      <c r="ESO917" s="1091"/>
      <c r="ESP917" s="1091"/>
      <c r="ESQ917" s="1091"/>
      <c r="ESR917" s="1091"/>
      <c r="ESS917" s="1091"/>
      <c r="EST917" s="1091"/>
      <c r="ESU917" s="1091"/>
      <c r="ESV917" s="1091"/>
      <c r="ESW917" s="1091"/>
      <c r="ESX917" s="1091"/>
      <c r="ESY917" s="1091"/>
      <c r="ESZ917" s="1091"/>
      <c r="ETA917" s="1091"/>
      <c r="ETB917" s="1091"/>
      <c r="ETC917" s="1091"/>
      <c r="ETD917" s="1091"/>
      <c r="ETE917" s="1091"/>
      <c r="ETF917" s="1091"/>
      <c r="ETG917" s="1091"/>
      <c r="ETH917" s="1091"/>
      <c r="ETI917" s="1091"/>
      <c r="ETJ917" s="1091"/>
      <c r="ETK917" s="1091"/>
      <c r="ETL917" s="1091"/>
      <c r="ETM917" s="1091"/>
      <c r="ETN917" s="1091"/>
      <c r="ETO917" s="1091"/>
      <c r="ETP917" s="1091"/>
      <c r="ETQ917" s="1091"/>
      <c r="ETR917" s="1091"/>
      <c r="ETS917" s="1091"/>
      <c r="ETT917" s="1091"/>
      <c r="ETU917" s="1091"/>
      <c r="ETV917" s="1091"/>
      <c r="ETW917" s="1091"/>
      <c r="ETX917" s="1091"/>
      <c r="ETY917" s="1091"/>
      <c r="ETZ917" s="1091"/>
      <c r="EUA917" s="1091"/>
      <c r="EUB917" s="1091"/>
      <c r="EUC917" s="1091"/>
      <c r="EUD917" s="1091"/>
      <c r="EUE917" s="1091"/>
      <c r="EUF917" s="1091"/>
      <c r="EUG917" s="1091"/>
      <c r="EUH917" s="1091"/>
      <c r="EUI917" s="1091"/>
      <c r="EUJ917" s="1091"/>
      <c r="EUK917" s="1091"/>
      <c r="EUL917" s="1091"/>
      <c r="EUM917" s="1091"/>
      <c r="EUN917" s="1091"/>
      <c r="EUO917" s="1091"/>
      <c r="EUP917" s="1091"/>
      <c r="EUQ917" s="1091"/>
      <c r="EUR917" s="1091"/>
      <c r="EUS917" s="1091"/>
      <c r="EUT917" s="1091"/>
      <c r="EUU917" s="1091"/>
      <c r="EUV917" s="1091"/>
      <c r="EUW917" s="1091"/>
      <c r="EUX917" s="1091"/>
      <c r="EUY917" s="1091"/>
      <c r="EUZ917" s="1091"/>
      <c r="EVA917" s="1091"/>
      <c r="EVB917" s="1091"/>
      <c r="EVC917" s="1091"/>
      <c r="EVD917" s="1091"/>
      <c r="EVE917" s="1091"/>
      <c r="EVF917" s="1091"/>
      <c r="EVG917" s="1091"/>
      <c r="EVH917" s="1091"/>
      <c r="EVI917" s="1091"/>
      <c r="EVJ917" s="1091"/>
      <c r="EVK917" s="1091"/>
      <c r="EVL917" s="1091"/>
      <c r="EVM917" s="1091"/>
      <c r="EVN917" s="1091"/>
      <c r="EVO917" s="1091"/>
      <c r="EVP917" s="1091"/>
      <c r="EVQ917" s="1091"/>
      <c r="EVR917" s="1091"/>
      <c r="EVS917" s="1091"/>
      <c r="EVT917" s="1091"/>
      <c r="EVU917" s="1091"/>
      <c r="EVV917" s="1091"/>
      <c r="EVW917" s="1091"/>
      <c r="EVX917" s="1091"/>
      <c r="EVY917" s="1091"/>
      <c r="EVZ917" s="1091"/>
      <c r="EWA917" s="1091"/>
      <c r="EWB917" s="1091"/>
      <c r="EWC917" s="1091"/>
      <c r="EWD917" s="1091"/>
      <c r="EWE917" s="1091"/>
      <c r="EWF917" s="1091"/>
      <c r="EWG917" s="1091"/>
      <c r="EWH917" s="1091"/>
      <c r="EWI917" s="1091"/>
      <c r="EWJ917" s="1091"/>
      <c r="EWK917" s="1091"/>
      <c r="EWL917" s="1091"/>
      <c r="EWM917" s="1091"/>
      <c r="EWN917" s="1091"/>
      <c r="EWO917" s="1091"/>
      <c r="EWP917" s="1091"/>
      <c r="EWQ917" s="1091"/>
      <c r="EWR917" s="1091"/>
      <c r="EWS917" s="1091"/>
      <c r="EWT917" s="1091"/>
      <c r="EWU917" s="1091"/>
      <c r="EWV917" s="1091"/>
      <c r="EWW917" s="1091"/>
      <c r="EWX917" s="1091"/>
      <c r="EWY917" s="1091"/>
      <c r="EWZ917" s="1091"/>
      <c r="EXA917" s="1091"/>
      <c r="EXB917" s="1091"/>
      <c r="EXC917" s="1091"/>
      <c r="EXD917" s="1091"/>
      <c r="EXE917" s="1091"/>
      <c r="EXF917" s="1091"/>
      <c r="EXG917" s="1091"/>
      <c r="EXH917" s="1091"/>
      <c r="EXI917" s="1091"/>
      <c r="EXJ917" s="1091"/>
      <c r="EXK917" s="1091"/>
      <c r="EXL917" s="1091"/>
      <c r="EXM917" s="1091"/>
      <c r="EXN917" s="1091"/>
      <c r="EXO917" s="1091"/>
      <c r="EXP917" s="1091"/>
      <c r="EXQ917" s="1091"/>
      <c r="EXR917" s="1091"/>
      <c r="EXS917" s="1091"/>
      <c r="EXT917" s="1091"/>
      <c r="EXU917" s="1091"/>
      <c r="EXV917" s="1091"/>
      <c r="EXW917" s="1091"/>
      <c r="EXX917" s="1091"/>
      <c r="EXY917" s="1091"/>
      <c r="EXZ917" s="1091"/>
      <c r="EYA917" s="1091"/>
      <c r="EYB917" s="1091"/>
      <c r="EYC917" s="1091"/>
      <c r="EYD917" s="1091"/>
      <c r="EYE917" s="1091"/>
      <c r="EYF917" s="1091"/>
      <c r="EYG917" s="1091"/>
      <c r="EYH917" s="1091"/>
      <c r="EYI917" s="1091"/>
      <c r="EYJ917" s="1091"/>
      <c r="EYK917" s="1091"/>
      <c r="EYL917" s="1091"/>
      <c r="EYM917" s="1091"/>
      <c r="EYN917" s="1091"/>
      <c r="EYO917" s="1091"/>
      <c r="EYP917" s="1091"/>
      <c r="EYQ917" s="1091"/>
      <c r="EYR917" s="1091"/>
      <c r="EYS917" s="1091"/>
      <c r="EYT917" s="1091"/>
      <c r="EYU917" s="1091"/>
      <c r="EYV917" s="1091"/>
      <c r="EYW917" s="1091"/>
      <c r="EYX917" s="1091"/>
      <c r="EYY917" s="1091"/>
      <c r="EYZ917" s="1091"/>
      <c r="EZA917" s="1091"/>
      <c r="EZB917" s="1091"/>
      <c r="EZC917" s="1091"/>
      <c r="EZD917" s="1091"/>
      <c r="EZE917" s="1091"/>
      <c r="EZF917" s="1091"/>
      <c r="EZG917" s="1091"/>
      <c r="EZH917" s="1091"/>
      <c r="EZI917" s="1091"/>
      <c r="EZJ917" s="1091"/>
      <c r="EZK917" s="1091"/>
      <c r="EZL917" s="1091"/>
      <c r="EZM917" s="1091"/>
      <c r="EZN917" s="1091"/>
      <c r="EZO917" s="1091"/>
      <c r="EZP917" s="1091"/>
      <c r="EZQ917" s="1091"/>
      <c r="EZR917" s="1091"/>
      <c r="EZS917" s="1091"/>
      <c r="EZT917" s="1091"/>
      <c r="EZU917" s="1091"/>
      <c r="EZV917" s="1091"/>
      <c r="EZW917" s="1091"/>
      <c r="EZX917" s="1091"/>
      <c r="EZY917" s="1091"/>
      <c r="EZZ917" s="1091"/>
      <c r="FAA917" s="1091"/>
      <c r="FAB917" s="1091"/>
      <c r="FAC917" s="1091"/>
      <c r="FAD917" s="1091"/>
      <c r="FAE917" s="1091"/>
      <c r="FAF917" s="1091"/>
      <c r="FAG917" s="1091"/>
      <c r="FAH917" s="1091"/>
      <c r="FAI917" s="1091"/>
      <c r="FAJ917" s="1091"/>
      <c r="FAK917" s="1091"/>
      <c r="FAL917" s="1091"/>
      <c r="FAM917" s="1091"/>
      <c r="FAN917" s="1091"/>
      <c r="FAO917" s="1091"/>
      <c r="FAP917" s="1091"/>
      <c r="FAQ917" s="1091"/>
      <c r="FAR917" s="1091"/>
      <c r="FAS917" s="1091"/>
      <c r="FAT917" s="1091"/>
      <c r="FAU917" s="1091"/>
      <c r="FAV917" s="1091"/>
      <c r="FAW917" s="1091"/>
      <c r="FAX917" s="1091"/>
      <c r="FAY917" s="1091"/>
      <c r="FAZ917" s="1091"/>
      <c r="FBA917" s="1091"/>
      <c r="FBB917" s="1091"/>
      <c r="FBC917" s="1091"/>
      <c r="FBD917" s="1091"/>
      <c r="FBE917" s="1091"/>
      <c r="FBF917" s="1091"/>
      <c r="FBG917" s="1091"/>
      <c r="FBH917" s="1091"/>
      <c r="FBI917" s="1091"/>
      <c r="FBJ917" s="1091"/>
      <c r="FBK917" s="1091"/>
      <c r="FBL917" s="1091"/>
      <c r="FBM917" s="1091"/>
      <c r="FBN917" s="1091"/>
      <c r="FBO917" s="1091"/>
      <c r="FBP917" s="1091"/>
      <c r="FBQ917" s="1091"/>
      <c r="FBR917" s="1091"/>
      <c r="FBS917" s="1091"/>
      <c r="FBT917" s="1091"/>
      <c r="FBU917" s="1091"/>
      <c r="FBV917" s="1091"/>
      <c r="FBW917" s="1091"/>
      <c r="FBX917" s="1091"/>
      <c r="FBY917" s="1091"/>
      <c r="FBZ917" s="1091"/>
      <c r="FCA917" s="1091"/>
      <c r="FCB917" s="1091"/>
      <c r="FCC917" s="1091"/>
      <c r="FCD917" s="1091"/>
      <c r="FCE917" s="1091"/>
      <c r="FCF917" s="1091"/>
      <c r="FCG917" s="1091"/>
      <c r="FCH917" s="1091"/>
      <c r="FCI917" s="1091"/>
      <c r="FCJ917" s="1091"/>
      <c r="FCK917" s="1091"/>
      <c r="FCL917" s="1091"/>
      <c r="FCM917" s="1091"/>
      <c r="FCN917" s="1091"/>
      <c r="FCO917" s="1091"/>
      <c r="FCP917" s="1091"/>
      <c r="FCQ917" s="1091"/>
      <c r="FCR917" s="1091"/>
      <c r="FCS917" s="1091"/>
      <c r="FCT917" s="1091"/>
      <c r="FCU917" s="1091"/>
      <c r="FCV917" s="1091"/>
      <c r="FCW917" s="1091"/>
      <c r="FCX917" s="1091"/>
      <c r="FCY917" s="1091"/>
      <c r="FCZ917" s="1091"/>
      <c r="FDA917" s="1091"/>
      <c r="FDB917" s="1091"/>
      <c r="FDC917" s="1091"/>
      <c r="FDD917" s="1091"/>
      <c r="FDE917" s="1091"/>
      <c r="FDF917" s="1091"/>
      <c r="FDG917" s="1091"/>
      <c r="FDH917" s="1091"/>
      <c r="FDI917" s="1091"/>
      <c r="FDJ917" s="1091"/>
      <c r="FDK917" s="1091"/>
      <c r="FDL917" s="1091"/>
      <c r="FDM917" s="1091"/>
      <c r="FDN917" s="1091"/>
      <c r="FDO917" s="1091"/>
      <c r="FDP917" s="1091"/>
      <c r="FDQ917" s="1091"/>
      <c r="FDR917" s="1091"/>
      <c r="FDS917" s="1091"/>
      <c r="FDT917" s="1091"/>
      <c r="FDU917" s="1091"/>
      <c r="FDV917" s="1091"/>
      <c r="FDW917" s="1091"/>
      <c r="FDX917" s="1091"/>
      <c r="FDY917" s="1091"/>
      <c r="FDZ917" s="1091"/>
      <c r="FEA917" s="1091"/>
      <c r="FEB917" s="1091"/>
      <c r="FEC917" s="1091"/>
      <c r="FED917" s="1091"/>
      <c r="FEE917" s="1091"/>
      <c r="FEF917" s="1091"/>
      <c r="FEG917" s="1091"/>
      <c r="FEH917" s="1091"/>
      <c r="FEI917" s="1091"/>
      <c r="FEJ917" s="1091"/>
      <c r="FEK917" s="1091"/>
      <c r="FEL917" s="1091"/>
      <c r="FEM917" s="1091"/>
      <c r="FEN917" s="1091"/>
      <c r="FEO917" s="1091"/>
      <c r="FEP917" s="1091"/>
      <c r="FEQ917" s="1091"/>
      <c r="FER917" s="1091"/>
      <c r="FES917" s="1091"/>
      <c r="FET917" s="1091"/>
      <c r="FEU917" s="1091"/>
      <c r="FEV917" s="1091"/>
      <c r="FEW917" s="1091"/>
      <c r="FEX917" s="1091"/>
      <c r="FEY917" s="1091"/>
      <c r="FEZ917" s="1091"/>
      <c r="FFA917" s="1091"/>
      <c r="FFB917" s="1091"/>
      <c r="FFC917" s="1091"/>
      <c r="FFD917" s="1091"/>
      <c r="FFE917" s="1091"/>
      <c r="FFF917" s="1091"/>
      <c r="FFG917" s="1091"/>
      <c r="FFH917" s="1091"/>
      <c r="FFI917" s="1091"/>
      <c r="FFJ917" s="1091"/>
      <c r="FFK917" s="1091"/>
      <c r="FFL917" s="1091"/>
      <c r="FFM917" s="1091"/>
      <c r="FFN917" s="1091"/>
      <c r="FFO917" s="1091"/>
      <c r="FFP917" s="1091"/>
      <c r="FFQ917" s="1091"/>
      <c r="FFR917" s="1091"/>
      <c r="FFS917" s="1091"/>
      <c r="FFT917" s="1091"/>
      <c r="FFU917" s="1091"/>
      <c r="FFV917" s="1091"/>
      <c r="FFW917" s="1091"/>
      <c r="FFX917" s="1091"/>
      <c r="FFY917" s="1091"/>
      <c r="FFZ917" s="1091"/>
      <c r="FGA917" s="1091"/>
      <c r="FGB917" s="1091"/>
      <c r="FGC917" s="1091"/>
      <c r="FGD917" s="1091"/>
      <c r="FGE917" s="1091"/>
      <c r="FGF917" s="1091"/>
      <c r="FGG917" s="1091"/>
      <c r="FGH917" s="1091"/>
      <c r="FGI917" s="1091"/>
      <c r="FGJ917" s="1091"/>
      <c r="FGK917" s="1091"/>
      <c r="FGL917" s="1091"/>
      <c r="FGM917" s="1091"/>
      <c r="FGN917" s="1091"/>
      <c r="FGO917" s="1091"/>
      <c r="FGP917" s="1091"/>
      <c r="FGQ917" s="1091"/>
      <c r="FGR917" s="1091"/>
      <c r="FGS917" s="1091"/>
      <c r="FGT917" s="1091"/>
      <c r="FGU917" s="1091"/>
      <c r="FGV917" s="1091"/>
      <c r="FGW917" s="1091"/>
      <c r="FGX917" s="1091"/>
      <c r="FGY917" s="1091"/>
      <c r="FGZ917" s="1091"/>
      <c r="FHA917" s="1091"/>
      <c r="FHB917" s="1091"/>
      <c r="FHC917" s="1091"/>
      <c r="FHD917" s="1091"/>
      <c r="FHE917" s="1091"/>
      <c r="FHF917" s="1091"/>
      <c r="FHG917" s="1091"/>
      <c r="FHH917" s="1091"/>
      <c r="FHI917" s="1091"/>
      <c r="FHJ917" s="1091"/>
      <c r="FHK917" s="1091"/>
      <c r="FHL917" s="1091"/>
      <c r="FHM917" s="1091"/>
      <c r="FHN917" s="1091"/>
      <c r="FHO917" s="1091"/>
      <c r="FHP917" s="1091"/>
      <c r="FHQ917" s="1091"/>
      <c r="FHR917" s="1091"/>
      <c r="FHS917" s="1091"/>
      <c r="FHT917" s="1091"/>
      <c r="FHU917" s="1091"/>
      <c r="FHV917" s="1091"/>
      <c r="FHW917" s="1091"/>
      <c r="FHX917" s="1091"/>
      <c r="FHY917" s="1091"/>
      <c r="FHZ917" s="1091"/>
      <c r="FIA917" s="1091"/>
      <c r="FIB917" s="1091"/>
      <c r="FIC917" s="1091"/>
      <c r="FID917" s="1091"/>
      <c r="FIE917" s="1091"/>
      <c r="FIF917" s="1091"/>
      <c r="FIG917" s="1091"/>
      <c r="FIH917" s="1091"/>
      <c r="FII917" s="1091"/>
      <c r="FIJ917" s="1091"/>
      <c r="FIK917" s="1091"/>
      <c r="FIL917" s="1091"/>
      <c r="FIM917" s="1091"/>
      <c r="FIN917" s="1091"/>
      <c r="FIO917" s="1091"/>
      <c r="FIP917" s="1091"/>
      <c r="FIQ917" s="1091"/>
      <c r="FIR917" s="1091"/>
      <c r="FIS917" s="1091"/>
      <c r="FIT917" s="1091"/>
      <c r="FIU917" s="1091"/>
      <c r="FIV917" s="1091"/>
      <c r="FIW917" s="1091"/>
      <c r="FIX917" s="1091"/>
      <c r="FIY917" s="1091"/>
      <c r="FIZ917" s="1091"/>
      <c r="FJA917" s="1091"/>
      <c r="FJB917" s="1091"/>
      <c r="FJC917" s="1091"/>
      <c r="FJD917" s="1091"/>
      <c r="FJE917" s="1091"/>
      <c r="FJF917" s="1091"/>
      <c r="FJG917" s="1091"/>
      <c r="FJH917" s="1091"/>
      <c r="FJI917" s="1091"/>
      <c r="FJJ917" s="1091"/>
      <c r="FJK917" s="1091"/>
      <c r="FJL917" s="1091"/>
      <c r="FJM917" s="1091"/>
      <c r="FJN917" s="1091"/>
      <c r="FJO917" s="1091"/>
      <c r="FJP917" s="1091"/>
      <c r="FJQ917" s="1091"/>
      <c r="FJR917" s="1091"/>
      <c r="FJS917" s="1091"/>
      <c r="FJT917" s="1091"/>
      <c r="FJU917" s="1091"/>
      <c r="FJV917" s="1091"/>
      <c r="FJW917" s="1091"/>
      <c r="FJX917" s="1091"/>
      <c r="FJY917" s="1091"/>
      <c r="FJZ917" s="1091"/>
      <c r="FKA917" s="1091"/>
      <c r="FKB917" s="1091"/>
      <c r="FKC917" s="1091"/>
      <c r="FKD917" s="1091"/>
      <c r="FKE917" s="1091"/>
      <c r="FKF917" s="1091"/>
      <c r="FKG917" s="1091"/>
      <c r="FKH917" s="1091"/>
      <c r="FKI917" s="1091"/>
      <c r="FKJ917" s="1091"/>
      <c r="FKK917" s="1091"/>
      <c r="FKL917" s="1091"/>
      <c r="FKM917" s="1091"/>
      <c r="FKN917" s="1091"/>
      <c r="FKO917" s="1091"/>
      <c r="FKP917" s="1091"/>
      <c r="FKQ917" s="1091"/>
      <c r="FKR917" s="1091"/>
      <c r="FKS917" s="1091"/>
      <c r="FKT917" s="1091"/>
      <c r="FKU917" s="1091"/>
      <c r="FKV917" s="1091"/>
      <c r="FKW917" s="1091"/>
      <c r="FKX917" s="1091"/>
      <c r="FKY917" s="1091"/>
      <c r="FKZ917" s="1091"/>
      <c r="FLA917" s="1091"/>
      <c r="FLB917" s="1091"/>
      <c r="FLC917" s="1091"/>
      <c r="FLD917" s="1091"/>
      <c r="FLE917" s="1091"/>
      <c r="FLF917" s="1091"/>
      <c r="FLG917" s="1091"/>
      <c r="FLH917" s="1091"/>
      <c r="FLI917" s="1091"/>
      <c r="FLJ917" s="1091"/>
      <c r="FLK917" s="1091"/>
      <c r="FLL917" s="1091"/>
      <c r="FLM917" s="1091"/>
      <c r="FLN917" s="1091"/>
      <c r="FLO917" s="1091"/>
      <c r="FLP917" s="1091"/>
      <c r="FLQ917" s="1091"/>
      <c r="FLR917" s="1091"/>
      <c r="FLS917" s="1091"/>
      <c r="FLT917" s="1091"/>
      <c r="FLU917" s="1091"/>
      <c r="FLV917" s="1091"/>
      <c r="FLW917" s="1091"/>
      <c r="FLX917" s="1091"/>
      <c r="FLY917" s="1091"/>
      <c r="FLZ917" s="1091"/>
      <c r="FMA917" s="1091"/>
      <c r="FMB917" s="1091"/>
      <c r="FMC917" s="1091"/>
      <c r="FMD917" s="1091"/>
      <c r="FME917" s="1091"/>
      <c r="FMF917" s="1091"/>
      <c r="FMG917" s="1091"/>
      <c r="FMH917" s="1091"/>
      <c r="FMI917" s="1091"/>
      <c r="FMJ917" s="1091"/>
      <c r="FMK917" s="1091"/>
      <c r="FML917" s="1091"/>
      <c r="FMM917" s="1091"/>
      <c r="FMN917" s="1091"/>
      <c r="FMO917" s="1091"/>
      <c r="FMP917" s="1091"/>
      <c r="FMQ917" s="1091"/>
      <c r="FMR917" s="1091"/>
      <c r="FMS917" s="1091"/>
      <c r="FMT917" s="1091"/>
      <c r="FMU917" s="1091"/>
      <c r="FMV917" s="1091"/>
      <c r="FMW917" s="1091"/>
      <c r="FMX917" s="1091"/>
      <c r="FMY917" s="1091"/>
      <c r="FMZ917" s="1091"/>
      <c r="FNA917" s="1091"/>
      <c r="FNB917" s="1091"/>
      <c r="FNC917" s="1091"/>
      <c r="FND917" s="1091"/>
      <c r="FNE917" s="1091"/>
      <c r="FNF917" s="1091"/>
      <c r="FNG917" s="1091"/>
      <c r="FNH917" s="1091"/>
      <c r="FNI917" s="1091"/>
      <c r="FNJ917" s="1091"/>
      <c r="FNK917" s="1091"/>
      <c r="FNL917" s="1091"/>
      <c r="FNM917" s="1091"/>
      <c r="FNN917" s="1091"/>
      <c r="FNO917" s="1091"/>
      <c r="FNP917" s="1091"/>
      <c r="FNQ917" s="1091"/>
      <c r="FNR917" s="1091"/>
      <c r="FNS917" s="1091"/>
      <c r="FNT917" s="1091"/>
      <c r="FNU917" s="1091"/>
      <c r="FNV917" s="1091"/>
      <c r="FNW917" s="1091"/>
      <c r="FNX917" s="1091"/>
      <c r="FNY917" s="1091"/>
      <c r="FNZ917" s="1091"/>
      <c r="FOA917" s="1091"/>
      <c r="FOB917" s="1091"/>
      <c r="FOC917" s="1091"/>
      <c r="FOD917" s="1091"/>
      <c r="FOE917" s="1091"/>
      <c r="FOF917" s="1091"/>
      <c r="FOG917" s="1091"/>
      <c r="FOH917" s="1091"/>
      <c r="FOI917" s="1091"/>
      <c r="FOJ917" s="1091"/>
      <c r="FOK917" s="1091"/>
      <c r="FOL917" s="1091"/>
      <c r="FOM917" s="1091"/>
      <c r="FON917" s="1091"/>
      <c r="FOO917" s="1091"/>
      <c r="FOP917" s="1091"/>
      <c r="FOQ917" s="1091"/>
      <c r="FOR917" s="1091"/>
      <c r="FOS917" s="1091"/>
      <c r="FOT917" s="1091"/>
      <c r="FOU917" s="1091"/>
      <c r="FOV917" s="1091"/>
      <c r="FOW917" s="1091"/>
      <c r="FOX917" s="1091"/>
      <c r="FOY917" s="1091"/>
      <c r="FOZ917" s="1091"/>
      <c r="FPA917" s="1091"/>
      <c r="FPB917" s="1091"/>
      <c r="FPC917" s="1091"/>
      <c r="FPD917" s="1091"/>
      <c r="FPE917" s="1091"/>
      <c r="FPF917" s="1091"/>
      <c r="FPG917" s="1091"/>
      <c r="FPH917" s="1091"/>
      <c r="FPI917" s="1091"/>
      <c r="FPJ917" s="1091"/>
      <c r="FPK917" s="1091"/>
      <c r="FPL917" s="1091"/>
      <c r="FPM917" s="1091"/>
      <c r="FPN917" s="1091"/>
      <c r="FPO917" s="1091"/>
      <c r="FPP917" s="1091"/>
      <c r="FPQ917" s="1091"/>
      <c r="FPR917" s="1091"/>
      <c r="FPS917" s="1091"/>
      <c r="FPT917" s="1091"/>
      <c r="FPU917" s="1091"/>
      <c r="FPV917" s="1091"/>
      <c r="FPW917" s="1091"/>
      <c r="FPX917" s="1091"/>
      <c r="FPY917" s="1091"/>
      <c r="FPZ917" s="1091"/>
      <c r="FQA917" s="1091"/>
      <c r="FQB917" s="1091"/>
      <c r="FQC917" s="1091"/>
      <c r="FQD917" s="1091"/>
      <c r="FQE917" s="1091"/>
      <c r="FQF917" s="1091"/>
      <c r="FQG917" s="1091"/>
      <c r="FQH917" s="1091"/>
      <c r="FQI917" s="1091"/>
      <c r="FQJ917" s="1091"/>
      <c r="FQK917" s="1091"/>
      <c r="FQL917" s="1091"/>
      <c r="FQM917" s="1091"/>
      <c r="FQN917" s="1091"/>
      <c r="FQO917" s="1091"/>
      <c r="FQP917" s="1091"/>
      <c r="FQQ917" s="1091"/>
      <c r="FQR917" s="1091"/>
      <c r="FQS917" s="1091"/>
      <c r="FQT917" s="1091"/>
      <c r="FQU917" s="1091"/>
      <c r="FQV917" s="1091"/>
      <c r="FQW917" s="1091"/>
      <c r="FQX917" s="1091"/>
      <c r="FQY917" s="1091"/>
      <c r="FQZ917" s="1091"/>
      <c r="FRA917" s="1091"/>
      <c r="FRB917" s="1091"/>
      <c r="FRC917" s="1091"/>
      <c r="FRD917" s="1091"/>
      <c r="FRE917" s="1091"/>
      <c r="FRF917" s="1091"/>
      <c r="FRG917" s="1091"/>
      <c r="FRH917" s="1091"/>
      <c r="FRI917" s="1091"/>
      <c r="FRJ917" s="1091"/>
      <c r="FRK917" s="1091"/>
      <c r="FRL917" s="1091"/>
      <c r="FRM917" s="1091"/>
      <c r="FRN917" s="1091"/>
      <c r="FRO917" s="1091"/>
      <c r="FRP917" s="1091"/>
      <c r="FRQ917" s="1091"/>
      <c r="FRR917" s="1091"/>
      <c r="FRS917" s="1091"/>
      <c r="FRT917" s="1091"/>
      <c r="FRU917" s="1091"/>
      <c r="FRV917" s="1091"/>
      <c r="FRW917" s="1091"/>
      <c r="FRX917" s="1091"/>
      <c r="FRY917" s="1091"/>
      <c r="FRZ917" s="1091"/>
      <c r="FSA917" s="1091"/>
      <c r="FSB917" s="1091"/>
      <c r="FSC917" s="1091"/>
      <c r="FSD917" s="1091"/>
      <c r="FSE917" s="1091"/>
      <c r="FSF917" s="1091"/>
      <c r="FSG917" s="1091"/>
      <c r="FSH917" s="1091"/>
      <c r="FSI917" s="1091"/>
      <c r="FSJ917" s="1091"/>
      <c r="FSK917" s="1091"/>
      <c r="FSL917" s="1091"/>
      <c r="FSM917" s="1091"/>
      <c r="FSN917" s="1091"/>
      <c r="FSO917" s="1091"/>
      <c r="FSP917" s="1091"/>
      <c r="FSQ917" s="1091"/>
      <c r="FSR917" s="1091"/>
      <c r="FSS917" s="1091"/>
      <c r="FST917" s="1091"/>
      <c r="FSU917" s="1091"/>
      <c r="FSV917" s="1091"/>
      <c r="FSW917" s="1091"/>
      <c r="FSX917" s="1091"/>
      <c r="FSY917" s="1091"/>
      <c r="FSZ917" s="1091"/>
      <c r="FTA917" s="1091"/>
      <c r="FTB917" s="1091"/>
      <c r="FTC917" s="1091"/>
      <c r="FTD917" s="1091"/>
      <c r="FTE917" s="1091"/>
      <c r="FTF917" s="1091"/>
      <c r="FTG917" s="1091"/>
      <c r="FTH917" s="1091"/>
      <c r="FTI917" s="1091"/>
      <c r="FTJ917" s="1091"/>
      <c r="FTK917" s="1091"/>
      <c r="FTL917" s="1091"/>
      <c r="FTM917" s="1091"/>
      <c r="FTN917" s="1091"/>
      <c r="FTO917" s="1091"/>
      <c r="FTP917" s="1091"/>
      <c r="FTQ917" s="1091"/>
      <c r="FTR917" s="1091"/>
      <c r="FTS917" s="1091"/>
      <c r="FTT917" s="1091"/>
      <c r="FTU917" s="1091"/>
      <c r="FTV917" s="1091"/>
      <c r="FTW917" s="1091"/>
      <c r="FTX917" s="1091"/>
      <c r="FTY917" s="1091"/>
      <c r="FTZ917" s="1091"/>
      <c r="FUA917" s="1091"/>
      <c r="FUB917" s="1091"/>
      <c r="FUC917" s="1091"/>
      <c r="FUD917" s="1091"/>
      <c r="FUE917" s="1091"/>
      <c r="FUF917" s="1091"/>
      <c r="FUG917" s="1091"/>
      <c r="FUH917" s="1091"/>
      <c r="FUI917" s="1091"/>
      <c r="FUJ917" s="1091"/>
      <c r="FUK917" s="1091"/>
      <c r="FUL917" s="1091"/>
      <c r="FUM917" s="1091"/>
      <c r="FUN917" s="1091"/>
      <c r="FUO917" s="1091"/>
      <c r="FUP917" s="1091"/>
      <c r="FUQ917" s="1091"/>
      <c r="FUR917" s="1091"/>
      <c r="FUS917" s="1091"/>
      <c r="FUT917" s="1091"/>
      <c r="FUU917" s="1091"/>
      <c r="FUV917" s="1091"/>
      <c r="FUW917" s="1091"/>
      <c r="FUX917" s="1091"/>
      <c r="FUY917" s="1091"/>
      <c r="FUZ917" s="1091"/>
      <c r="FVA917" s="1091"/>
      <c r="FVB917" s="1091"/>
      <c r="FVC917" s="1091"/>
      <c r="FVD917" s="1091"/>
      <c r="FVE917" s="1091"/>
      <c r="FVF917" s="1091"/>
      <c r="FVG917" s="1091"/>
      <c r="FVH917" s="1091"/>
      <c r="FVI917" s="1091"/>
      <c r="FVJ917" s="1091"/>
      <c r="FVK917" s="1091"/>
      <c r="FVL917" s="1091"/>
      <c r="FVM917" s="1091"/>
      <c r="FVN917" s="1091"/>
      <c r="FVO917" s="1091"/>
      <c r="FVP917" s="1091"/>
      <c r="FVQ917" s="1091"/>
      <c r="FVR917" s="1091"/>
      <c r="FVS917" s="1091"/>
      <c r="FVT917" s="1091"/>
      <c r="FVU917" s="1091"/>
      <c r="FVV917" s="1091"/>
      <c r="FVW917" s="1091"/>
      <c r="FVX917" s="1091"/>
      <c r="FVY917" s="1091"/>
      <c r="FVZ917" s="1091"/>
      <c r="FWA917" s="1091"/>
      <c r="FWB917" s="1091"/>
      <c r="FWC917" s="1091"/>
      <c r="FWD917" s="1091"/>
      <c r="FWE917" s="1091"/>
      <c r="FWF917" s="1091"/>
      <c r="FWG917" s="1091"/>
      <c r="FWH917" s="1091"/>
      <c r="FWI917" s="1091"/>
      <c r="FWJ917" s="1091"/>
      <c r="FWK917" s="1091"/>
      <c r="FWL917" s="1091"/>
      <c r="FWM917" s="1091"/>
      <c r="FWN917" s="1091"/>
      <c r="FWO917" s="1091"/>
      <c r="FWP917" s="1091"/>
      <c r="FWQ917" s="1091"/>
      <c r="FWR917" s="1091"/>
      <c r="FWS917" s="1091"/>
      <c r="FWT917" s="1091"/>
      <c r="FWU917" s="1091"/>
      <c r="FWV917" s="1091"/>
      <c r="FWW917" s="1091"/>
      <c r="FWX917" s="1091"/>
      <c r="FWY917" s="1091"/>
      <c r="FWZ917" s="1091"/>
      <c r="FXA917" s="1091"/>
      <c r="FXB917" s="1091"/>
      <c r="FXC917" s="1091"/>
      <c r="FXD917" s="1091"/>
      <c r="FXE917" s="1091"/>
      <c r="FXF917" s="1091"/>
      <c r="FXG917" s="1091"/>
      <c r="FXH917" s="1091"/>
      <c r="FXI917" s="1091"/>
      <c r="FXJ917" s="1091"/>
      <c r="FXK917" s="1091"/>
      <c r="FXL917" s="1091"/>
      <c r="FXM917" s="1091"/>
      <c r="FXN917" s="1091"/>
      <c r="FXO917" s="1091"/>
      <c r="FXP917" s="1091"/>
      <c r="FXQ917" s="1091"/>
      <c r="FXR917" s="1091"/>
      <c r="FXS917" s="1091"/>
      <c r="FXT917" s="1091"/>
      <c r="FXU917" s="1091"/>
      <c r="FXV917" s="1091"/>
      <c r="FXW917" s="1091"/>
      <c r="FXX917" s="1091"/>
      <c r="FXY917" s="1091"/>
      <c r="FXZ917" s="1091"/>
      <c r="FYA917" s="1091"/>
      <c r="FYB917" s="1091"/>
      <c r="FYC917" s="1091"/>
      <c r="FYD917" s="1091"/>
      <c r="FYE917" s="1091"/>
      <c r="FYF917" s="1091"/>
      <c r="FYG917" s="1091"/>
      <c r="FYH917" s="1091"/>
      <c r="FYI917" s="1091"/>
      <c r="FYJ917" s="1091"/>
      <c r="FYK917" s="1091"/>
      <c r="FYL917" s="1091"/>
      <c r="FYM917" s="1091"/>
      <c r="FYN917" s="1091"/>
      <c r="FYO917" s="1091"/>
      <c r="FYP917" s="1091"/>
      <c r="FYQ917" s="1091"/>
      <c r="FYR917" s="1091"/>
      <c r="FYS917" s="1091"/>
      <c r="FYT917" s="1091"/>
      <c r="FYU917" s="1091"/>
      <c r="FYV917" s="1091"/>
      <c r="FYW917" s="1091"/>
      <c r="FYX917" s="1091"/>
      <c r="FYY917" s="1091"/>
      <c r="FYZ917" s="1091"/>
      <c r="FZA917" s="1091"/>
      <c r="FZB917" s="1091"/>
      <c r="FZC917" s="1091"/>
      <c r="FZD917" s="1091"/>
      <c r="FZE917" s="1091"/>
      <c r="FZF917" s="1091"/>
      <c r="FZG917" s="1091"/>
      <c r="FZH917" s="1091"/>
      <c r="FZI917" s="1091"/>
      <c r="FZJ917" s="1091"/>
      <c r="FZK917" s="1091"/>
      <c r="FZL917" s="1091"/>
      <c r="FZM917" s="1091"/>
      <c r="FZN917" s="1091"/>
      <c r="FZO917" s="1091"/>
      <c r="FZP917" s="1091"/>
      <c r="FZQ917" s="1091"/>
      <c r="FZR917" s="1091"/>
      <c r="FZS917" s="1091"/>
      <c r="FZT917" s="1091"/>
      <c r="FZU917" s="1091"/>
      <c r="FZV917" s="1091"/>
      <c r="FZW917" s="1091"/>
      <c r="FZX917" s="1091"/>
      <c r="FZY917" s="1091"/>
      <c r="FZZ917" s="1091"/>
      <c r="GAA917" s="1091"/>
      <c r="GAB917" s="1091"/>
      <c r="GAC917" s="1091"/>
      <c r="GAD917" s="1091"/>
      <c r="GAE917" s="1091"/>
      <c r="GAF917" s="1091"/>
      <c r="GAG917" s="1091"/>
      <c r="GAH917" s="1091"/>
      <c r="GAI917" s="1091"/>
      <c r="GAJ917" s="1091"/>
      <c r="GAK917" s="1091"/>
      <c r="GAL917" s="1091"/>
      <c r="GAM917" s="1091"/>
      <c r="GAN917" s="1091"/>
      <c r="GAO917" s="1091"/>
      <c r="GAP917" s="1091"/>
      <c r="GAQ917" s="1091"/>
      <c r="GAR917" s="1091"/>
      <c r="GAS917" s="1091"/>
      <c r="GAT917" s="1091"/>
      <c r="GAU917" s="1091"/>
      <c r="GAV917" s="1091"/>
      <c r="GAW917" s="1091"/>
      <c r="GAX917" s="1091"/>
      <c r="GAY917" s="1091"/>
      <c r="GAZ917" s="1091"/>
      <c r="GBA917" s="1091"/>
      <c r="GBB917" s="1091"/>
      <c r="GBC917" s="1091"/>
      <c r="GBD917" s="1091"/>
      <c r="GBE917" s="1091"/>
      <c r="GBF917" s="1091"/>
      <c r="GBG917" s="1091"/>
      <c r="GBH917" s="1091"/>
      <c r="GBI917" s="1091"/>
      <c r="GBJ917" s="1091"/>
      <c r="GBK917" s="1091"/>
      <c r="GBL917" s="1091"/>
      <c r="GBM917" s="1091"/>
      <c r="GBN917" s="1091"/>
      <c r="GBO917" s="1091"/>
      <c r="GBP917" s="1091"/>
      <c r="GBQ917" s="1091"/>
      <c r="GBR917" s="1091"/>
      <c r="GBS917" s="1091"/>
      <c r="GBT917" s="1091"/>
      <c r="GBU917" s="1091"/>
      <c r="GBV917" s="1091"/>
      <c r="GBW917" s="1091"/>
      <c r="GBX917" s="1091"/>
      <c r="GBY917" s="1091"/>
      <c r="GBZ917" s="1091"/>
      <c r="GCA917" s="1091"/>
      <c r="GCB917" s="1091"/>
      <c r="GCC917" s="1091"/>
      <c r="GCD917" s="1091"/>
      <c r="GCE917" s="1091"/>
      <c r="GCF917" s="1091"/>
      <c r="GCG917" s="1091"/>
      <c r="GCH917" s="1091"/>
      <c r="GCI917" s="1091"/>
      <c r="GCJ917" s="1091"/>
      <c r="GCK917" s="1091"/>
      <c r="GCL917" s="1091"/>
      <c r="GCM917" s="1091"/>
      <c r="GCN917" s="1091"/>
      <c r="GCO917" s="1091"/>
      <c r="GCP917" s="1091"/>
      <c r="GCQ917" s="1091"/>
      <c r="GCR917" s="1091"/>
      <c r="GCS917" s="1091"/>
      <c r="GCT917" s="1091"/>
      <c r="GCU917" s="1091"/>
      <c r="GCV917" s="1091"/>
      <c r="GCW917" s="1091"/>
      <c r="GCX917" s="1091"/>
      <c r="GCY917" s="1091"/>
      <c r="GCZ917" s="1091"/>
      <c r="GDA917" s="1091"/>
      <c r="GDB917" s="1091"/>
      <c r="GDC917" s="1091"/>
      <c r="GDD917" s="1091"/>
      <c r="GDE917" s="1091"/>
      <c r="GDF917" s="1091"/>
      <c r="GDG917" s="1091"/>
      <c r="GDH917" s="1091"/>
      <c r="GDI917" s="1091"/>
      <c r="GDJ917" s="1091"/>
      <c r="GDK917" s="1091"/>
      <c r="GDL917" s="1091"/>
      <c r="GDM917" s="1091"/>
      <c r="GDN917" s="1091"/>
      <c r="GDO917" s="1091"/>
      <c r="GDP917" s="1091"/>
      <c r="GDQ917" s="1091"/>
      <c r="GDR917" s="1091"/>
      <c r="GDS917" s="1091"/>
      <c r="GDT917" s="1091"/>
      <c r="GDU917" s="1091"/>
      <c r="GDV917" s="1091"/>
      <c r="GDW917" s="1091"/>
      <c r="GDX917" s="1091"/>
      <c r="GDY917" s="1091"/>
      <c r="GDZ917" s="1091"/>
      <c r="GEA917" s="1091"/>
      <c r="GEB917" s="1091"/>
      <c r="GEC917" s="1091"/>
      <c r="GED917" s="1091"/>
      <c r="GEE917" s="1091"/>
      <c r="GEF917" s="1091"/>
      <c r="GEG917" s="1091"/>
      <c r="GEH917" s="1091"/>
      <c r="GEI917" s="1091"/>
      <c r="GEJ917" s="1091"/>
      <c r="GEK917" s="1091"/>
      <c r="GEL917" s="1091"/>
      <c r="GEM917" s="1091"/>
      <c r="GEN917" s="1091"/>
      <c r="GEO917" s="1091"/>
      <c r="GEP917" s="1091"/>
      <c r="GEQ917" s="1091"/>
      <c r="GER917" s="1091"/>
      <c r="GES917" s="1091"/>
      <c r="GET917" s="1091"/>
      <c r="GEU917" s="1091"/>
      <c r="GEV917" s="1091"/>
      <c r="GEW917" s="1091"/>
      <c r="GEX917" s="1091"/>
      <c r="GEY917" s="1091"/>
      <c r="GEZ917" s="1091"/>
      <c r="GFA917" s="1091"/>
      <c r="GFB917" s="1091"/>
      <c r="GFC917" s="1091"/>
      <c r="GFD917" s="1091"/>
      <c r="GFE917" s="1091"/>
      <c r="GFF917" s="1091"/>
      <c r="GFG917" s="1091"/>
      <c r="GFH917" s="1091"/>
      <c r="GFI917" s="1091"/>
      <c r="GFJ917" s="1091"/>
      <c r="GFK917" s="1091"/>
      <c r="GFL917" s="1091"/>
      <c r="GFM917" s="1091"/>
      <c r="GFN917" s="1091"/>
      <c r="GFO917" s="1091"/>
      <c r="GFP917" s="1091"/>
      <c r="GFQ917" s="1091"/>
      <c r="GFR917" s="1091"/>
      <c r="GFS917" s="1091"/>
      <c r="GFT917" s="1091"/>
      <c r="GFU917" s="1091"/>
      <c r="GFV917" s="1091"/>
      <c r="GFW917" s="1091"/>
      <c r="GFX917" s="1091"/>
      <c r="GFY917" s="1091"/>
      <c r="GFZ917" s="1091"/>
      <c r="GGA917" s="1091"/>
      <c r="GGB917" s="1091"/>
      <c r="GGC917" s="1091"/>
      <c r="GGD917" s="1091"/>
      <c r="GGE917" s="1091"/>
      <c r="GGF917" s="1091"/>
      <c r="GGG917" s="1091"/>
      <c r="GGH917" s="1091"/>
      <c r="GGI917" s="1091"/>
      <c r="GGJ917" s="1091"/>
      <c r="GGK917" s="1091"/>
      <c r="GGL917" s="1091"/>
      <c r="GGM917" s="1091"/>
      <c r="GGN917" s="1091"/>
      <c r="GGO917" s="1091"/>
      <c r="GGP917" s="1091"/>
      <c r="GGQ917" s="1091"/>
      <c r="GGR917" s="1091"/>
      <c r="GGS917" s="1091"/>
      <c r="GGT917" s="1091"/>
      <c r="GGU917" s="1091"/>
      <c r="GGV917" s="1091"/>
      <c r="GGW917" s="1091"/>
      <c r="GGX917" s="1091"/>
      <c r="GGY917" s="1091"/>
      <c r="GGZ917" s="1091"/>
      <c r="GHA917" s="1091"/>
      <c r="GHB917" s="1091"/>
      <c r="GHC917" s="1091"/>
      <c r="GHD917" s="1091"/>
      <c r="GHE917" s="1091"/>
      <c r="GHF917" s="1091"/>
      <c r="GHG917" s="1091"/>
      <c r="GHH917" s="1091"/>
      <c r="GHI917" s="1091"/>
      <c r="GHJ917" s="1091"/>
      <c r="GHK917" s="1091"/>
      <c r="GHL917" s="1091"/>
      <c r="GHM917" s="1091"/>
      <c r="GHN917" s="1091"/>
      <c r="GHO917" s="1091"/>
      <c r="GHP917" s="1091"/>
      <c r="GHQ917" s="1091"/>
      <c r="GHR917" s="1091"/>
      <c r="GHS917" s="1091"/>
      <c r="GHT917" s="1091"/>
      <c r="GHU917" s="1091"/>
      <c r="GHV917" s="1091"/>
      <c r="GHW917" s="1091"/>
      <c r="GHX917" s="1091"/>
      <c r="GHY917" s="1091"/>
      <c r="GHZ917" s="1091"/>
      <c r="GIA917" s="1091"/>
      <c r="GIB917" s="1091"/>
      <c r="GIC917" s="1091"/>
      <c r="GID917" s="1091"/>
      <c r="GIE917" s="1091"/>
      <c r="GIF917" s="1091"/>
      <c r="GIG917" s="1091"/>
      <c r="GIH917" s="1091"/>
      <c r="GII917" s="1091"/>
      <c r="GIJ917" s="1091"/>
      <c r="GIK917" s="1091"/>
      <c r="GIL917" s="1091"/>
      <c r="GIM917" s="1091"/>
      <c r="GIN917" s="1091"/>
      <c r="GIO917" s="1091"/>
      <c r="GIP917" s="1091"/>
      <c r="GIQ917" s="1091"/>
      <c r="GIR917" s="1091"/>
      <c r="GIS917" s="1091"/>
      <c r="GIT917" s="1091"/>
      <c r="GIU917" s="1091"/>
      <c r="GIV917" s="1091"/>
      <c r="GIW917" s="1091"/>
      <c r="GIX917" s="1091"/>
      <c r="GIY917" s="1091"/>
      <c r="GIZ917" s="1091"/>
      <c r="GJA917" s="1091"/>
      <c r="GJB917" s="1091"/>
      <c r="GJC917" s="1091"/>
      <c r="GJD917" s="1091"/>
      <c r="GJE917" s="1091"/>
      <c r="GJF917" s="1091"/>
      <c r="GJG917" s="1091"/>
      <c r="GJH917" s="1091"/>
      <c r="GJI917" s="1091"/>
      <c r="GJJ917" s="1091"/>
      <c r="GJK917" s="1091"/>
      <c r="GJL917" s="1091"/>
      <c r="GJM917" s="1091"/>
      <c r="GJN917" s="1091"/>
      <c r="GJO917" s="1091"/>
      <c r="GJP917" s="1091"/>
      <c r="GJQ917" s="1091"/>
      <c r="GJR917" s="1091"/>
      <c r="GJS917" s="1091"/>
      <c r="GJT917" s="1091"/>
      <c r="GJU917" s="1091"/>
      <c r="GJV917" s="1091"/>
      <c r="GJW917" s="1091"/>
      <c r="GJX917" s="1091"/>
      <c r="GJY917" s="1091"/>
      <c r="GJZ917" s="1091"/>
      <c r="GKA917" s="1091"/>
      <c r="GKB917" s="1091"/>
      <c r="GKC917" s="1091"/>
      <c r="GKD917" s="1091"/>
      <c r="GKE917" s="1091"/>
      <c r="GKF917" s="1091"/>
      <c r="GKG917" s="1091"/>
      <c r="GKH917" s="1091"/>
      <c r="GKI917" s="1091"/>
      <c r="GKJ917" s="1091"/>
      <c r="GKK917" s="1091"/>
      <c r="GKL917" s="1091"/>
      <c r="GKM917" s="1091"/>
      <c r="GKN917" s="1091"/>
      <c r="GKO917" s="1091"/>
      <c r="GKP917" s="1091"/>
      <c r="GKQ917" s="1091"/>
      <c r="GKR917" s="1091"/>
      <c r="GKS917" s="1091"/>
      <c r="GKT917" s="1091"/>
      <c r="GKU917" s="1091"/>
      <c r="GKV917" s="1091"/>
      <c r="GKW917" s="1091"/>
      <c r="GKX917" s="1091"/>
      <c r="GKY917" s="1091"/>
      <c r="GKZ917" s="1091"/>
      <c r="GLA917" s="1091"/>
      <c r="GLB917" s="1091"/>
      <c r="GLC917" s="1091"/>
      <c r="GLD917" s="1091"/>
      <c r="GLE917" s="1091"/>
      <c r="GLF917" s="1091"/>
      <c r="GLG917" s="1091"/>
      <c r="GLH917" s="1091"/>
      <c r="GLI917" s="1091"/>
      <c r="GLJ917" s="1091"/>
      <c r="GLK917" s="1091"/>
      <c r="GLL917" s="1091"/>
      <c r="GLM917" s="1091"/>
      <c r="GLN917" s="1091"/>
      <c r="GLO917" s="1091"/>
      <c r="GLP917" s="1091"/>
      <c r="GLQ917" s="1091"/>
      <c r="GLR917" s="1091"/>
      <c r="GLS917" s="1091"/>
      <c r="GLT917" s="1091"/>
      <c r="GLU917" s="1091"/>
      <c r="GLV917" s="1091"/>
      <c r="GLW917" s="1091"/>
      <c r="GLX917" s="1091"/>
      <c r="GLY917" s="1091"/>
      <c r="GLZ917" s="1091"/>
      <c r="GMA917" s="1091"/>
      <c r="GMB917" s="1091"/>
      <c r="GMC917" s="1091"/>
      <c r="GMD917" s="1091"/>
      <c r="GME917" s="1091"/>
      <c r="GMF917" s="1091"/>
      <c r="GMG917" s="1091"/>
      <c r="GMH917" s="1091"/>
      <c r="GMI917" s="1091"/>
      <c r="GMJ917" s="1091"/>
      <c r="GMK917" s="1091"/>
      <c r="GML917" s="1091"/>
      <c r="GMM917" s="1091"/>
      <c r="GMN917" s="1091"/>
      <c r="GMO917" s="1091"/>
      <c r="GMP917" s="1091"/>
      <c r="GMQ917" s="1091"/>
      <c r="GMR917" s="1091"/>
      <c r="GMS917" s="1091"/>
      <c r="GMT917" s="1091"/>
      <c r="GMU917" s="1091"/>
      <c r="GMV917" s="1091"/>
      <c r="GMW917" s="1091"/>
      <c r="GMX917" s="1091"/>
      <c r="GMY917" s="1091"/>
      <c r="GMZ917" s="1091"/>
      <c r="GNA917" s="1091"/>
      <c r="GNB917" s="1091"/>
      <c r="GNC917" s="1091"/>
      <c r="GND917" s="1091"/>
      <c r="GNE917" s="1091"/>
      <c r="GNF917" s="1091"/>
      <c r="GNG917" s="1091"/>
      <c r="GNH917" s="1091"/>
      <c r="GNI917" s="1091"/>
      <c r="GNJ917" s="1091"/>
      <c r="GNK917" s="1091"/>
      <c r="GNL917" s="1091"/>
      <c r="GNM917" s="1091"/>
      <c r="GNN917" s="1091"/>
      <c r="GNO917" s="1091"/>
      <c r="GNP917" s="1091"/>
      <c r="GNQ917" s="1091"/>
      <c r="GNR917" s="1091"/>
      <c r="GNS917" s="1091"/>
      <c r="GNT917" s="1091"/>
      <c r="GNU917" s="1091"/>
      <c r="GNV917" s="1091"/>
      <c r="GNW917" s="1091"/>
      <c r="GNX917" s="1091"/>
      <c r="GNY917" s="1091"/>
      <c r="GNZ917" s="1091"/>
      <c r="GOA917" s="1091"/>
      <c r="GOB917" s="1091"/>
      <c r="GOC917" s="1091"/>
      <c r="GOD917" s="1091"/>
      <c r="GOE917" s="1091"/>
      <c r="GOF917" s="1091"/>
      <c r="GOG917" s="1091"/>
      <c r="GOH917" s="1091"/>
      <c r="GOI917" s="1091"/>
      <c r="GOJ917" s="1091"/>
      <c r="GOK917" s="1091"/>
      <c r="GOL917" s="1091"/>
      <c r="GOM917" s="1091"/>
      <c r="GON917" s="1091"/>
      <c r="GOO917" s="1091"/>
      <c r="GOP917" s="1091"/>
      <c r="GOQ917" s="1091"/>
      <c r="GOR917" s="1091"/>
      <c r="GOS917" s="1091"/>
      <c r="GOT917" s="1091"/>
      <c r="GOU917" s="1091"/>
      <c r="GOV917" s="1091"/>
      <c r="GOW917" s="1091"/>
      <c r="GOX917" s="1091"/>
      <c r="GOY917" s="1091"/>
      <c r="GOZ917" s="1091"/>
      <c r="GPA917" s="1091"/>
      <c r="GPB917" s="1091"/>
      <c r="GPC917" s="1091"/>
      <c r="GPD917" s="1091"/>
      <c r="GPE917" s="1091"/>
      <c r="GPF917" s="1091"/>
      <c r="GPG917" s="1091"/>
      <c r="GPH917" s="1091"/>
      <c r="GPI917" s="1091"/>
      <c r="GPJ917" s="1091"/>
      <c r="GPK917" s="1091"/>
      <c r="GPL917" s="1091"/>
      <c r="GPM917" s="1091"/>
      <c r="GPN917" s="1091"/>
      <c r="GPO917" s="1091"/>
      <c r="GPP917" s="1091"/>
      <c r="GPQ917" s="1091"/>
      <c r="GPR917" s="1091"/>
      <c r="GPS917" s="1091"/>
      <c r="GPT917" s="1091"/>
      <c r="GPU917" s="1091"/>
      <c r="GPV917" s="1091"/>
      <c r="GPW917" s="1091"/>
      <c r="GPX917" s="1091"/>
      <c r="GPY917" s="1091"/>
      <c r="GPZ917" s="1091"/>
      <c r="GQA917" s="1091"/>
      <c r="GQB917" s="1091"/>
      <c r="GQC917" s="1091"/>
      <c r="GQD917" s="1091"/>
      <c r="GQE917" s="1091"/>
      <c r="GQF917" s="1091"/>
      <c r="GQG917" s="1091"/>
      <c r="GQH917" s="1091"/>
      <c r="GQI917" s="1091"/>
      <c r="GQJ917" s="1091"/>
      <c r="GQK917" s="1091"/>
      <c r="GQL917" s="1091"/>
      <c r="GQM917" s="1091"/>
      <c r="GQN917" s="1091"/>
      <c r="GQO917" s="1091"/>
      <c r="GQP917" s="1091"/>
      <c r="GQQ917" s="1091"/>
      <c r="GQR917" s="1091"/>
      <c r="GQS917" s="1091"/>
      <c r="GQT917" s="1091"/>
      <c r="GQU917" s="1091"/>
      <c r="GQV917" s="1091"/>
      <c r="GQW917" s="1091"/>
      <c r="GQX917" s="1091"/>
      <c r="GQY917" s="1091"/>
      <c r="GQZ917" s="1091"/>
      <c r="GRA917" s="1091"/>
      <c r="GRB917" s="1091"/>
      <c r="GRC917" s="1091"/>
      <c r="GRD917" s="1091"/>
      <c r="GRE917" s="1091"/>
      <c r="GRF917" s="1091"/>
      <c r="GRG917" s="1091"/>
      <c r="GRH917" s="1091"/>
      <c r="GRI917" s="1091"/>
      <c r="GRJ917" s="1091"/>
      <c r="GRK917" s="1091"/>
      <c r="GRL917" s="1091"/>
      <c r="GRM917" s="1091"/>
      <c r="GRN917" s="1091"/>
      <c r="GRO917" s="1091"/>
      <c r="GRP917" s="1091"/>
      <c r="GRQ917" s="1091"/>
      <c r="GRR917" s="1091"/>
      <c r="GRS917" s="1091"/>
      <c r="GRT917" s="1091"/>
      <c r="GRU917" s="1091"/>
      <c r="GRV917" s="1091"/>
      <c r="GRW917" s="1091"/>
      <c r="GRX917" s="1091"/>
      <c r="GRY917" s="1091"/>
      <c r="GRZ917" s="1091"/>
      <c r="GSA917" s="1091"/>
      <c r="GSB917" s="1091"/>
      <c r="GSC917" s="1091"/>
      <c r="GSD917" s="1091"/>
      <c r="GSE917" s="1091"/>
      <c r="GSF917" s="1091"/>
      <c r="GSG917" s="1091"/>
      <c r="GSH917" s="1091"/>
      <c r="GSI917" s="1091"/>
      <c r="GSJ917" s="1091"/>
      <c r="GSK917" s="1091"/>
      <c r="GSL917" s="1091"/>
      <c r="GSM917" s="1091"/>
      <c r="GSN917" s="1091"/>
      <c r="GSO917" s="1091"/>
      <c r="GSP917" s="1091"/>
      <c r="GSQ917" s="1091"/>
      <c r="GSR917" s="1091"/>
      <c r="GSS917" s="1091"/>
      <c r="GST917" s="1091"/>
      <c r="GSU917" s="1091"/>
      <c r="GSV917" s="1091"/>
      <c r="GSW917" s="1091"/>
      <c r="GSX917" s="1091"/>
      <c r="GSY917" s="1091"/>
      <c r="GSZ917" s="1091"/>
      <c r="GTA917" s="1091"/>
      <c r="GTB917" s="1091"/>
      <c r="GTC917" s="1091"/>
      <c r="GTD917" s="1091"/>
      <c r="GTE917" s="1091"/>
      <c r="GTF917" s="1091"/>
      <c r="GTG917" s="1091"/>
      <c r="GTH917" s="1091"/>
      <c r="GTI917" s="1091"/>
      <c r="GTJ917" s="1091"/>
      <c r="GTK917" s="1091"/>
      <c r="GTL917" s="1091"/>
      <c r="GTM917" s="1091"/>
      <c r="GTN917" s="1091"/>
      <c r="GTO917" s="1091"/>
      <c r="GTP917" s="1091"/>
      <c r="GTQ917" s="1091"/>
      <c r="GTR917" s="1091"/>
      <c r="GTS917" s="1091"/>
      <c r="GTT917" s="1091"/>
      <c r="GTU917" s="1091"/>
      <c r="GTV917" s="1091"/>
      <c r="GTW917" s="1091"/>
      <c r="GTX917" s="1091"/>
      <c r="GTY917" s="1091"/>
      <c r="GTZ917" s="1091"/>
      <c r="GUA917" s="1091"/>
      <c r="GUB917" s="1091"/>
      <c r="GUC917" s="1091"/>
      <c r="GUD917" s="1091"/>
      <c r="GUE917" s="1091"/>
      <c r="GUF917" s="1091"/>
      <c r="GUG917" s="1091"/>
      <c r="GUH917" s="1091"/>
      <c r="GUI917" s="1091"/>
      <c r="GUJ917" s="1091"/>
      <c r="GUK917" s="1091"/>
      <c r="GUL917" s="1091"/>
      <c r="GUM917" s="1091"/>
      <c r="GUN917" s="1091"/>
      <c r="GUO917" s="1091"/>
      <c r="GUP917" s="1091"/>
      <c r="GUQ917" s="1091"/>
      <c r="GUR917" s="1091"/>
      <c r="GUS917" s="1091"/>
      <c r="GUT917" s="1091"/>
      <c r="GUU917" s="1091"/>
      <c r="GUV917" s="1091"/>
      <c r="GUW917" s="1091"/>
      <c r="GUX917" s="1091"/>
      <c r="GUY917" s="1091"/>
      <c r="GUZ917" s="1091"/>
      <c r="GVA917" s="1091"/>
      <c r="GVB917" s="1091"/>
      <c r="GVC917" s="1091"/>
      <c r="GVD917" s="1091"/>
      <c r="GVE917" s="1091"/>
      <c r="GVF917" s="1091"/>
      <c r="GVG917" s="1091"/>
      <c r="GVH917" s="1091"/>
      <c r="GVI917" s="1091"/>
      <c r="GVJ917" s="1091"/>
      <c r="GVK917" s="1091"/>
      <c r="GVL917" s="1091"/>
      <c r="GVM917" s="1091"/>
      <c r="GVN917" s="1091"/>
      <c r="GVO917" s="1091"/>
      <c r="GVP917" s="1091"/>
      <c r="GVQ917" s="1091"/>
      <c r="GVR917" s="1091"/>
      <c r="GVS917" s="1091"/>
      <c r="GVT917" s="1091"/>
      <c r="GVU917" s="1091"/>
      <c r="GVV917" s="1091"/>
      <c r="GVW917" s="1091"/>
      <c r="GVX917" s="1091"/>
      <c r="GVY917" s="1091"/>
      <c r="GVZ917" s="1091"/>
      <c r="GWA917" s="1091"/>
      <c r="GWB917" s="1091"/>
      <c r="GWC917" s="1091"/>
      <c r="GWD917" s="1091"/>
      <c r="GWE917" s="1091"/>
      <c r="GWF917" s="1091"/>
      <c r="GWG917" s="1091"/>
      <c r="GWH917" s="1091"/>
      <c r="GWI917" s="1091"/>
      <c r="GWJ917" s="1091"/>
      <c r="GWK917" s="1091"/>
      <c r="GWL917" s="1091"/>
      <c r="GWM917" s="1091"/>
      <c r="GWN917" s="1091"/>
      <c r="GWO917" s="1091"/>
      <c r="GWP917" s="1091"/>
      <c r="GWQ917" s="1091"/>
      <c r="GWR917" s="1091"/>
      <c r="GWS917" s="1091"/>
      <c r="GWT917" s="1091"/>
      <c r="GWU917" s="1091"/>
      <c r="GWV917" s="1091"/>
      <c r="GWW917" s="1091"/>
      <c r="GWX917" s="1091"/>
      <c r="GWY917" s="1091"/>
      <c r="GWZ917" s="1091"/>
      <c r="GXA917" s="1091"/>
      <c r="GXB917" s="1091"/>
      <c r="GXC917" s="1091"/>
      <c r="GXD917" s="1091"/>
      <c r="GXE917" s="1091"/>
      <c r="GXF917" s="1091"/>
      <c r="GXG917" s="1091"/>
      <c r="GXH917" s="1091"/>
      <c r="GXI917" s="1091"/>
      <c r="GXJ917" s="1091"/>
      <c r="GXK917" s="1091"/>
      <c r="GXL917" s="1091"/>
      <c r="GXM917" s="1091"/>
      <c r="GXN917" s="1091"/>
      <c r="GXO917" s="1091"/>
      <c r="GXP917" s="1091"/>
      <c r="GXQ917" s="1091"/>
      <c r="GXR917" s="1091"/>
      <c r="GXS917" s="1091"/>
      <c r="GXT917" s="1091"/>
      <c r="GXU917" s="1091"/>
      <c r="GXV917" s="1091"/>
      <c r="GXW917" s="1091"/>
      <c r="GXX917" s="1091"/>
      <c r="GXY917" s="1091"/>
      <c r="GXZ917" s="1091"/>
      <c r="GYA917" s="1091"/>
      <c r="GYB917" s="1091"/>
      <c r="GYC917" s="1091"/>
      <c r="GYD917" s="1091"/>
      <c r="GYE917" s="1091"/>
      <c r="GYF917" s="1091"/>
      <c r="GYG917" s="1091"/>
      <c r="GYH917" s="1091"/>
      <c r="GYI917" s="1091"/>
      <c r="GYJ917" s="1091"/>
      <c r="GYK917" s="1091"/>
      <c r="GYL917" s="1091"/>
      <c r="GYM917" s="1091"/>
      <c r="GYN917" s="1091"/>
      <c r="GYO917" s="1091"/>
      <c r="GYP917" s="1091"/>
      <c r="GYQ917" s="1091"/>
      <c r="GYR917" s="1091"/>
      <c r="GYS917" s="1091"/>
      <c r="GYT917" s="1091"/>
      <c r="GYU917" s="1091"/>
      <c r="GYV917" s="1091"/>
      <c r="GYW917" s="1091"/>
      <c r="GYX917" s="1091"/>
      <c r="GYY917" s="1091"/>
      <c r="GYZ917" s="1091"/>
      <c r="GZA917" s="1091"/>
      <c r="GZB917" s="1091"/>
      <c r="GZC917" s="1091"/>
      <c r="GZD917" s="1091"/>
      <c r="GZE917" s="1091"/>
      <c r="GZF917" s="1091"/>
      <c r="GZG917" s="1091"/>
      <c r="GZH917" s="1091"/>
      <c r="GZI917" s="1091"/>
      <c r="GZJ917" s="1091"/>
      <c r="GZK917" s="1091"/>
      <c r="GZL917" s="1091"/>
      <c r="GZM917" s="1091"/>
      <c r="GZN917" s="1091"/>
      <c r="GZO917" s="1091"/>
      <c r="GZP917" s="1091"/>
      <c r="GZQ917" s="1091"/>
      <c r="GZR917" s="1091"/>
      <c r="GZS917" s="1091"/>
      <c r="GZT917" s="1091"/>
      <c r="GZU917" s="1091"/>
      <c r="GZV917" s="1091"/>
      <c r="GZW917" s="1091"/>
      <c r="GZX917" s="1091"/>
      <c r="GZY917" s="1091"/>
      <c r="GZZ917" s="1091"/>
      <c r="HAA917" s="1091"/>
      <c r="HAB917" s="1091"/>
      <c r="HAC917" s="1091"/>
      <c r="HAD917" s="1091"/>
      <c r="HAE917" s="1091"/>
      <c r="HAF917" s="1091"/>
      <c r="HAG917" s="1091"/>
      <c r="HAH917" s="1091"/>
      <c r="HAI917" s="1091"/>
      <c r="HAJ917" s="1091"/>
      <c r="HAK917" s="1091"/>
      <c r="HAL917" s="1091"/>
      <c r="HAM917" s="1091"/>
      <c r="HAN917" s="1091"/>
      <c r="HAO917" s="1091"/>
      <c r="HAP917" s="1091"/>
      <c r="HAQ917" s="1091"/>
      <c r="HAR917" s="1091"/>
      <c r="HAS917" s="1091"/>
      <c r="HAT917" s="1091"/>
      <c r="HAU917" s="1091"/>
      <c r="HAV917" s="1091"/>
      <c r="HAW917" s="1091"/>
      <c r="HAX917" s="1091"/>
      <c r="HAY917" s="1091"/>
      <c r="HAZ917" s="1091"/>
      <c r="HBA917" s="1091"/>
      <c r="HBB917" s="1091"/>
      <c r="HBC917" s="1091"/>
      <c r="HBD917" s="1091"/>
      <c r="HBE917" s="1091"/>
      <c r="HBF917" s="1091"/>
      <c r="HBG917" s="1091"/>
      <c r="HBH917" s="1091"/>
      <c r="HBI917" s="1091"/>
      <c r="HBJ917" s="1091"/>
      <c r="HBK917" s="1091"/>
      <c r="HBL917" s="1091"/>
      <c r="HBM917" s="1091"/>
      <c r="HBN917" s="1091"/>
      <c r="HBO917" s="1091"/>
      <c r="HBP917" s="1091"/>
      <c r="HBQ917" s="1091"/>
      <c r="HBR917" s="1091"/>
      <c r="HBS917" s="1091"/>
      <c r="HBT917" s="1091"/>
      <c r="HBU917" s="1091"/>
      <c r="HBV917" s="1091"/>
      <c r="HBW917" s="1091"/>
      <c r="HBX917" s="1091"/>
      <c r="HBY917" s="1091"/>
      <c r="HBZ917" s="1091"/>
      <c r="HCA917" s="1091"/>
      <c r="HCB917" s="1091"/>
      <c r="HCC917" s="1091"/>
      <c r="HCD917" s="1091"/>
      <c r="HCE917" s="1091"/>
      <c r="HCF917" s="1091"/>
      <c r="HCG917" s="1091"/>
      <c r="HCH917" s="1091"/>
      <c r="HCI917" s="1091"/>
      <c r="HCJ917" s="1091"/>
      <c r="HCK917" s="1091"/>
      <c r="HCL917" s="1091"/>
      <c r="HCM917" s="1091"/>
      <c r="HCN917" s="1091"/>
      <c r="HCO917" s="1091"/>
      <c r="HCP917" s="1091"/>
      <c r="HCQ917" s="1091"/>
      <c r="HCR917" s="1091"/>
      <c r="HCS917" s="1091"/>
      <c r="HCT917" s="1091"/>
      <c r="HCU917" s="1091"/>
      <c r="HCV917" s="1091"/>
      <c r="HCW917" s="1091"/>
      <c r="HCX917" s="1091"/>
      <c r="HCY917" s="1091"/>
      <c r="HCZ917" s="1091"/>
      <c r="HDA917" s="1091"/>
      <c r="HDB917" s="1091"/>
      <c r="HDC917" s="1091"/>
      <c r="HDD917" s="1091"/>
      <c r="HDE917" s="1091"/>
      <c r="HDF917" s="1091"/>
      <c r="HDG917" s="1091"/>
      <c r="HDH917" s="1091"/>
      <c r="HDI917" s="1091"/>
      <c r="HDJ917" s="1091"/>
      <c r="HDK917" s="1091"/>
      <c r="HDL917" s="1091"/>
      <c r="HDM917" s="1091"/>
      <c r="HDN917" s="1091"/>
      <c r="HDO917" s="1091"/>
      <c r="HDP917" s="1091"/>
      <c r="HDQ917" s="1091"/>
      <c r="HDR917" s="1091"/>
      <c r="HDS917" s="1091"/>
      <c r="HDT917" s="1091"/>
      <c r="HDU917" s="1091"/>
      <c r="HDV917" s="1091"/>
      <c r="HDW917" s="1091"/>
      <c r="HDX917" s="1091"/>
      <c r="HDY917" s="1091"/>
      <c r="HDZ917" s="1091"/>
      <c r="HEA917" s="1091"/>
      <c r="HEB917" s="1091"/>
      <c r="HEC917" s="1091"/>
      <c r="HED917" s="1091"/>
      <c r="HEE917" s="1091"/>
      <c r="HEF917" s="1091"/>
      <c r="HEG917" s="1091"/>
      <c r="HEH917" s="1091"/>
      <c r="HEI917" s="1091"/>
      <c r="HEJ917" s="1091"/>
      <c r="HEK917" s="1091"/>
      <c r="HEL917" s="1091"/>
      <c r="HEM917" s="1091"/>
      <c r="HEN917" s="1091"/>
      <c r="HEO917" s="1091"/>
      <c r="HEP917" s="1091"/>
      <c r="HEQ917" s="1091"/>
      <c r="HER917" s="1091"/>
      <c r="HES917" s="1091"/>
      <c r="HET917" s="1091"/>
      <c r="HEU917" s="1091"/>
      <c r="HEV917" s="1091"/>
      <c r="HEW917" s="1091"/>
      <c r="HEX917" s="1091"/>
      <c r="HEY917" s="1091"/>
      <c r="HEZ917" s="1091"/>
      <c r="HFA917" s="1091"/>
      <c r="HFB917" s="1091"/>
      <c r="HFC917" s="1091"/>
      <c r="HFD917" s="1091"/>
      <c r="HFE917" s="1091"/>
      <c r="HFF917" s="1091"/>
      <c r="HFG917" s="1091"/>
      <c r="HFH917" s="1091"/>
      <c r="HFI917" s="1091"/>
      <c r="HFJ917" s="1091"/>
      <c r="HFK917" s="1091"/>
      <c r="HFL917" s="1091"/>
      <c r="HFM917" s="1091"/>
      <c r="HFN917" s="1091"/>
      <c r="HFO917" s="1091"/>
      <c r="HFP917" s="1091"/>
      <c r="HFQ917" s="1091"/>
      <c r="HFR917" s="1091"/>
      <c r="HFS917" s="1091"/>
      <c r="HFT917" s="1091"/>
      <c r="HFU917" s="1091"/>
      <c r="HFV917" s="1091"/>
      <c r="HFW917" s="1091"/>
      <c r="HFX917" s="1091"/>
      <c r="HFY917" s="1091"/>
      <c r="HFZ917" s="1091"/>
      <c r="HGA917" s="1091"/>
      <c r="HGB917" s="1091"/>
      <c r="HGC917" s="1091"/>
      <c r="HGD917" s="1091"/>
      <c r="HGE917" s="1091"/>
      <c r="HGF917" s="1091"/>
      <c r="HGG917" s="1091"/>
      <c r="HGH917" s="1091"/>
      <c r="HGI917" s="1091"/>
      <c r="HGJ917" s="1091"/>
      <c r="HGK917" s="1091"/>
      <c r="HGL917" s="1091"/>
      <c r="HGM917" s="1091"/>
      <c r="HGN917" s="1091"/>
      <c r="HGO917" s="1091"/>
      <c r="HGP917" s="1091"/>
      <c r="HGQ917" s="1091"/>
      <c r="HGR917" s="1091"/>
      <c r="HGS917" s="1091"/>
      <c r="HGT917" s="1091"/>
      <c r="HGU917" s="1091"/>
      <c r="HGV917" s="1091"/>
      <c r="HGW917" s="1091"/>
      <c r="HGX917" s="1091"/>
      <c r="HGY917" s="1091"/>
      <c r="HGZ917" s="1091"/>
      <c r="HHA917" s="1091"/>
      <c r="HHB917" s="1091"/>
      <c r="HHC917" s="1091"/>
      <c r="HHD917" s="1091"/>
      <c r="HHE917" s="1091"/>
      <c r="HHF917" s="1091"/>
      <c r="HHG917" s="1091"/>
      <c r="HHH917" s="1091"/>
      <c r="HHI917" s="1091"/>
      <c r="HHJ917" s="1091"/>
      <c r="HHK917" s="1091"/>
      <c r="HHL917" s="1091"/>
      <c r="HHM917" s="1091"/>
      <c r="HHN917" s="1091"/>
      <c r="HHO917" s="1091"/>
      <c r="HHP917" s="1091"/>
      <c r="HHQ917" s="1091"/>
      <c r="HHR917" s="1091"/>
      <c r="HHS917" s="1091"/>
      <c r="HHT917" s="1091"/>
      <c r="HHU917" s="1091"/>
      <c r="HHV917" s="1091"/>
      <c r="HHW917" s="1091"/>
      <c r="HHX917" s="1091"/>
      <c r="HHY917" s="1091"/>
      <c r="HHZ917" s="1091"/>
      <c r="HIA917" s="1091"/>
      <c r="HIB917" s="1091"/>
      <c r="HIC917" s="1091"/>
      <c r="HID917" s="1091"/>
      <c r="HIE917" s="1091"/>
      <c r="HIF917" s="1091"/>
      <c r="HIG917" s="1091"/>
      <c r="HIH917" s="1091"/>
      <c r="HII917" s="1091"/>
      <c r="HIJ917" s="1091"/>
      <c r="HIK917" s="1091"/>
      <c r="HIL917" s="1091"/>
      <c r="HIM917" s="1091"/>
      <c r="HIN917" s="1091"/>
      <c r="HIO917" s="1091"/>
      <c r="HIP917" s="1091"/>
      <c r="HIQ917" s="1091"/>
      <c r="HIR917" s="1091"/>
      <c r="HIS917" s="1091"/>
      <c r="HIT917" s="1091"/>
      <c r="HIU917" s="1091"/>
      <c r="HIV917" s="1091"/>
      <c r="HIW917" s="1091"/>
      <c r="HIX917" s="1091"/>
      <c r="HIY917" s="1091"/>
      <c r="HIZ917" s="1091"/>
      <c r="HJA917" s="1091"/>
      <c r="HJB917" s="1091"/>
      <c r="HJC917" s="1091"/>
      <c r="HJD917" s="1091"/>
      <c r="HJE917" s="1091"/>
      <c r="HJF917" s="1091"/>
      <c r="HJG917" s="1091"/>
      <c r="HJH917" s="1091"/>
      <c r="HJI917" s="1091"/>
      <c r="HJJ917" s="1091"/>
      <c r="HJK917" s="1091"/>
      <c r="HJL917" s="1091"/>
      <c r="HJM917" s="1091"/>
      <c r="HJN917" s="1091"/>
      <c r="HJO917" s="1091"/>
      <c r="HJP917" s="1091"/>
      <c r="HJQ917" s="1091"/>
      <c r="HJR917" s="1091"/>
      <c r="HJS917" s="1091"/>
      <c r="HJT917" s="1091"/>
      <c r="HJU917" s="1091"/>
      <c r="HJV917" s="1091"/>
      <c r="HJW917" s="1091"/>
      <c r="HJX917" s="1091"/>
      <c r="HJY917" s="1091"/>
      <c r="HJZ917" s="1091"/>
      <c r="HKA917" s="1091"/>
      <c r="HKB917" s="1091"/>
      <c r="HKC917" s="1091"/>
      <c r="HKD917" s="1091"/>
      <c r="HKE917" s="1091"/>
      <c r="HKF917" s="1091"/>
      <c r="HKG917" s="1091"/>
      <c r="HKH917" s="1091"/>
      <c r="HKI917" s="1091"/>
      <c r="HKJ917" s="1091"/>
      <c r="HKK917" s="1091"/>
      <c r="HKL917" s="1091"/>
      <c r="HKM917" s="1091"/>
      <c r="HKN917" s="1091"/>
      <c r="HKO917" s="1091"/>
      <c r="HKP917" s="1091"/>
      <c r="HKQ917" s="1091"/>
      <c r="HKR917" s="1091"/>
      <c r="HKS917" s="1091"/>
      <c r="HKT917" s="1091"/>
      <c r="HKU917" s="1091"/>
      <c r="HKV917" s="1091"/>
      <c r="HKW917" s="1091"/>
      <c r="HKX917" s="1091"/>
      <c r="HKY917" s="1091"/>
      <c r="HKZ917" s="1091"/>
      <c r="HLA917" s="1091"/>
      <c r="HLB917" s="1091"/>
      <c r="HLC917" s="1091"/>
      <c r="HLD917" s="1091"/>
      <c r="HLE917" s="1091"/>
      <c r="HLF917" s="1091"/>
      <c r="HLG917" s="1091"/>
      <c r="HLH917" s="1091"/>
      <c r="HLI917" s="1091"/>
      <c r="HLJ917" s="1091"/>
      <c r="HLK917" s="1091"/>
      <c r="HLL917" s="1091"/>
      <c r="HLM917" s="1091"/>
      <c r="HLN917" s="1091"/>
      <c r="HLO917" s="1091"/>
      <c r="HLP917" s="1091"/>
      <c r="HLQ917" s="1091"/>
      <c r="HLR917" s="1091"/>
      <c r="HLS917" s="1091"/>
      <c r="HLT917" s="1091"/>
      <c r="HLU917" s="1091"/>
      <c r="HLV917" s="1091"/>
      <c r="HLW917" s="1091"/>
      <c r="HLX917" s="1091"/>
      <c r="HLY917" s="1091"/>
      <c r="HLZ917" s="1091"/>
      <c r="HMA917" s="1091"/>
      <c r="HMB917" s="1091"/>
      <c r="HMC917" s="1091"/>
      <c r="HMD917" s="1091"/>
      <c r="HME917" s="1091"/>
      <c r="HMF917" s="1091"/>
      <c r="HMG917" s="1091"/>
      <c r="HMH917" s="1091"/>
      <c r="HMI917" s="1091"/>
      <c r="HMJ917" s="1091"/>
      <c r="HMK917" s="1091"/>
      <c r="HML917" s="1091"/>
      <c r="HMM917" s="1091"/>
      <c r="HMN917" s="1091"/>
      <c r="HMO917" s="1091"/>
      <c r="HMP917" s="1091"/>
      <c r="HMQ917" s="1091"/>
      <c r="HMR917" s="1091"/>
      <c r="HMS917" s="1091"/>
      <c r="HMT917" s="1091"/>
      <c r="HMU917" s="1091"/>
      <c r="HMV917" s="1091"/>
      <c r="HMW917" s="1091"/>
      <c r="HMX917" s="1091"/>
      <c r="HMY917" s="1091"/>
      <c r="HMZ917" s="1091"/>
      <c r="HNA917" s="1091"/>
      <c r="HNB917" s="1091"/>
      <c r="HNC917" s="1091"/>
      <c r="HND917" s="1091"/>
      <c r="HNE917" s="1091"/>
      <c r="HNF917" s="1091"/>
      <c r="HNG917" s="1091"/>
      <c r="HNH917" s="1091"/>
      <c r="HNI917" s="1091"/>
      <c r="HNJ917" s="1091"/>
      <c r="HNK917" s="1091"/>
      <c r="HNL917" s="1091"/>
      <c r="HNM917" s="1091"/>
      <c r="HNN917" s="1091"/>
      <c r="HNO917" s="1091"/>
      <c r="HNP917" s="1091"/>
      <c r="HNQ917" s="1091"/>
      <c r="HNR917" s="1091"/>
      <c r="HNS917" s="1091"/>
      <c r="HNT917" s="1091"/>
      <c r="HNU917" s="1091"/>
      <c r="HNV917" s="1091"/>
      <c r="HNW917" s="1091"/>
      <c r="HNX917" s="1091"/>
      <c r="HNY917" s="1091"/>
      <c r="HNZ917" s="1091"/>
      <c r="HOA917" s="1091"/>
      <c r="HOB917" s="1091"/>
      <c r="HOC917" s="1091"/>
      <c r="HOD917" s="1091"/>
      <c r="HOE917" s="1091"/>
      <c r="HOF917" s="1091"/>
      <c r="HOG917" s="1091"/>
      <c r="HOH917" s="1091"/>
      <c r="HOI917" s="1091"/>
      <c r="HOJ917" s="1091"/>
      <c r="HOK917" s="1091"/>
      <c r="HOL917" s="1091"/>
      <c r="HOM917" s="1091"/>
      <c r="HON917" s="1091"/>
      <c r="HOO917" s="1091"/>
      <c r="HOP917" s="1091"/>
      <c r="HOQ917" s="1091"/>
      <c r="HOR917" s="1091"/>
      <c r="HOS917" s="1091"/>
      <c r="HOT917" s="1091"/>
      <c r="HOU917" s="1091"/>
      <c r="HOV917" s="1091"/>
      <c r="HOW917" s="1091"/>
      <c r="HOX917" s="1091"/>
      <c r="HOY917" s="1091"/>
      <c r="HOZ917" s="1091"/>
      <c r="HPA917" s="1091"/>
      <c r="HPB917" s="1091"/>
      <c r="HPC917" s="1091"/>
      <c r="HPD917" s="1091"/>
      <c r="HPE917" s="1091"/>
      <c r="HPF917" s="1091"/>
      <c r="HPG917" s="1091"/>
      <c r="HPH917" s="1091"/>
      <c r="HPI917" s="1091"/>
      <c r="HPJ917" s="1091"/>
      <c r="HPK917" s="1091"/>
      <c r="HPL917" s="1091"/>
      <c r="HPM917" s="1091"/>
      <c r="HPN917" s="1091"/>
      <c r="HPO917" s="1091"/>
      <c r="HPP917" s="1091"/>
      <c r="HPQ917" s="1091"/>
      <c r="HPR917" s="1091"/>
      <c r="HPS917" s="1091"/>
      <c r="HPT917" s="1091"/>
      <c r="HPU917" s="1091"/>
      <c r="HPV917" s="1091"/>
      <c r="HPW917" s="1091"/>
      <c r="HPX917" s="1091"/>
      <c r="HPY917" s="1091"/>
      <c r="HPZ917" s="1091"/>
      <c r="HQA917" s="1091"/>
      <c r="HQB917" s="1091"/>
      <c r="HQC917" s="1091"/>
      <c r="HQD917" s="1091"/>
      <c r="HQE917" s="1091"/>
      <c r="HQF917" s="1091"/>
      <c r="HQG917" s="1091"/>
      <c r="HQH917" s="1091"/>
      <c r="HQI917" s="1091"/>
      <c r="HQJ917" s="1091"/>
      <c r="HQK917" s="1091"/>
      <c r="HQL917" s="1091"/>
      <c r="HQM917" s="1091"/>
      <c r="HQN917" s="1091"/>
      <c r="HQO917" s="1091"/>
      <c r="HQP917" s="1091"/>
      <c r="HQQ917" s="1091"/>
      <c r="HQR917" s="1091"/>
      <c r="HQS917" s="1091"/>
      <c r="HQT917" s="1091"/>
      <c r="HQU917" s="1091"/>
      <c r="HQV917" s="1091"/>
      <c r="HQW917" s="1091"/>
      <c r="HQX917" s="1091"/>
      <c r="HQY917" s="1091"/>
      <c r="HQZ917" s="1091"/>
      <c r="HRA917" s="1091"/>
      <c r="HRB917" s="1091"/>
      <c r="HRC917" s="1091"/>
      <c r="HRD917" s="1091"/>
      <c r="HRE917" s="1091"/>
      <c r="HRF917" s="1091"/>
      <c r="HRG917" s="1091"/>
      <c r="HRH917" s="1091"/>
      <c r="HRI917" s="1091"/>
      <c r="HRJ917" s="1091"/>
      <c r="HRK917" s="1091"/>
      <c r="HRL917" s="1091"/>
      <c r="HRM917" s="1091"/>
      <c r="HRN917" s="1091"/>
      <c r="HRO917" s="1091"/>
      <c r="HRP917" s="1091"/>
      <c r="HRQ917" s="1091"/>
      <c r="HRR917" s="1091"/>
      <c r="HRS917" s="1091"/>
      <c r="HRT917" s="1091"/>
      <c r="HRU917" s="1091"/>
      <c r="HRV917" s="1091"/>
      <c r="HRW917" s="1091"/>
      <c r="HRX917" s="1091"/>
      <c r="HRY917" s="1091"/>
      <c r="HRZ917" s="1091"/>
      <c r="HSA917" s="1091"/>
      <c r="HSB917" s="1091"/>
      <c r="HSC917" s="1091"/>
      <c r="HSD917" s="1091"/>
      <c r="HSE917" s="1091"/>
      <c r="HSF917" s="1091"/>
      <c r="HSG917" s="1091"/>
      <c r="HSH917" s="1091"/>
      <c r="HSI917" s="1091"/>
      <c r="HSJ917" s="1091"/>
      <c r="HSK917" s="1091"/>
      <c r="HSL917" s="1091"/>
      <c r="HSM917" s="1091"/>
      <c r="HSN917" s="1091"/>
      <c r="HSO917" s="1091"/>
      <c r="HSP917" s="1091"/>
      <c r="HSQ917" s="1091"/>
      <c r="HSR917" s="1091"/>
      <c r="HSS917" s="1091"/>
      <c r="HST917" s="1091"/>
      <c r="HSU917" s="1091"/>
      <c r="HSV917" s="1091"/>
      <c r="HSW917" s="1091"/>
      <c r="HSX917" s="1091"/>
      <c r="HSY917" s="1091"/>
      <c r="HSZ917" s="1091"/>
      <c r="HTA917" s="1091"/>
      <c r="HTB917" s="1091"/>
      <c r="HTC917" s="1091"/>
      <c r="HTD917" s="1091"/>
      <c r="HTE917" s="1091"/>
      <c r="HTF917" s="1091"/>
      <c r="HTG917" s="1091"/>
      <c r="HTH917" s="1091"/>
      <c r="HTI917" s="1091"/>
      <c r="HTJ917" s="1091"/>
      <c r="HTK917" s="1091"/>
      <c r="HTL917" s="1091"/>
      <c r="HTM917" s="1091"/>
      <c r="HTN917" s="1091"/>
      <c r="HTO917" s="1091"/>
      <c r="HTP917" s="1091"/>
      <c r="HTQ917" s="1091"/>
      <c r="HTR917" s="1091"/>
      <c r="HTS917" s="1091"/>
      <c r="HTT917" s="1091"/>
      <c r="HTU917" s="1091"/>
      <c r="HTV917" s="1091"/>
      <c r="HTW917" s="1091"/>
      <c r="HTX917" s="1091"/>
      <c r="HTY917" s="1091"/>
      <c r="HTZ917" s="1091"/>
      <c r="HUA917" s="1091"/>
      <c r="HUB917" s="1091"/>
      <c r="HUC917" s="1091"/>
      <c r="HUD917" s="1091"/>
      <c r="HUE917" s="1091"/>
      <c r="HUF917" s="1091"/>
      <c r="HUG917" s="1091"/>
      <c r="HUH917" s="1091"/>
      <c r="HUI917" s="1091"/>
      <c r="HUJ917" s="1091"/>
      <c r="HUK917" s="1091"/>
      <c r="HUL917" s="1091"/>
      <c r="HUM917" s="1091"/>
      <c r="HUN917" s="1091"/>
      <c r="HUO917" s="1091"/>
      <c r="HUP917" s="1091"/>
      <c r="HUQ917" s="1091"/>
      <c r="HUR917" s="1091"/>
      <c r="HUS917" s="1091"/>
      <c r="HUT917" s="1091"/>
      <c r="HUU917" s="1091"/>
      <c r="HUV917" s="1091"/>
      <c r="HUW917" s="1091"/>
      <c r="HUX917" s="1091"/>
      <c r="HUY917" s="1091"/>
      <c r="HUZ917" s="1091"/>
      <c r="HVA917" s="1091"/>
      <c r="HVB917" s="1091"/>
      <c r="HVC917" s="1091"/>
      <c r="HVD917" s="1091"/>
      <c r="HVE917" s="1091"/>
      <c r="HVF917" s="1091"/>
      <c r="HVG917" s="1091"/>
      <c r="HVH917" s="1091"/>
      <c r="HVI917" s="1091"/>
      <c r="HVJ917" s="1091"/>
      <c r="HVK917" s="1091"/>
      <c r="HVL917" s="1091"/>
      <c r="HVM917" s="1091"/>
      <c r="HVN917" s="1091"/>
      <c r="HVO917" s="1091"/>
      <c r="HVP917" s="1091"/>
      <c r="HVQ917" s="1091"/>
      <c r="HVR917" s="1091"/>
      <c r="HVS917" s="1091"/>
      <c r="HVT917" s="1091"/>
      <c r="HVU917" s="1091"/>
      <c r="HVV917" s="1091"/>
      <c r="HVW917" s="1091"/>
      <c r="HVX917" s="1091"/>
      <c r="HVY917" s="1091"/>
      <c r="HVZ917" s="1091"/>
      <c r="HWA917" s="1091"/>
      <c r="HWB917" s="1091"/>
      <c r="HWC917" s="1091"/>
      <c r="HWD917" s="1091"/>
      <c r="HWE917" s="1091"/>
      <c r="HWF917" s="1091"/>
      <c r="HWG917" s="1091"/>
      <c r="HWH917" s="1091"/>
      <c r="HWI917" s="1091"/>
      <c r="HWJ917" s="1091"/>
      <c r="HWK917" s="1091"/>
      <c r="HWL917" s="1091"/>
      <c r="HWM917" s="1091"/>
      <c r="HWN917" s="1091"/>
      <c r="HWO917" s="1091"/>
      <c r="HWP917" s="1091"/>
      <c r="HWQ917" s="1091"/>
      <c r="HWR917" s="1091"/>
      <c r="HWS917" s="1091"/>
      <c r="HWT917" s="1091"/>
      <c r="HWU917" s="1091"/>
      <c r="HWV917" s="1091"/>
      <c r="HWW917" s="1091"/>
      <c r="HWX917" s="1091"/>
      <c r="HWY917" s="1091"/>
      <c r="HWZ917" s="1091"/>
      <c r="HXA917" s="1091"/>
      <c r="HXB917" s="1091"/>
      <c r="HXC917" s="1091"/>
      <c r="HXD917" s="1091"/>
      <c r="HXE917" s="1091"/>
      <c r="HXF917" s="1091"/>
      <c r="HXG917" s="1091"/>
      <c r="HXH917" s="1091"/>
      <c r="HXI917" s="1091"/>
      <c r="HXJ917" s="1091"/>
      <c r="HXK917" s="1091"/>
      <c r="HXL917" s="1091"/>
      <c r="HXM917" s="1091"/>
      <c r="HXN917" s="1091"/>
      <c r="HXO917" s="1091"/>
      <c r="HXP917" s="1091"/>
      <c r="HXQ917" s="1091"/>
      <c r="HXR917" s="1091"/>
      <c r="HXS917" s="1091"/>
      <c r="HXT917" s="1091"/>
      <c r="HXU917" s="1091"/>
      <c r="HXV917" s="1091"/>
      <c r="HXW917" s="1091"/>
      <c r="HXX917" s="1091"/>
      <c r="HXY917" s="1091"/>
      <c r="HXZ917" s="1091"/>
      <c r="HYA917" s="1091"/>
      <c r="HYB917" s="1091"/>
      <c r="HYC917" s="1091"/>
      <c r="HYD917" s="1091"/>
      <c r="HYE917" s="1091"/>
      <c r="HYF917" s="1091"/>
      <c r="HYG917" s="1091"/>
      <c r="HYH917" s="1091"/>
      <c r="HYI917" s="1091"/>
      <c r="HYJ917" s="1091"/>
      <c r="HYK917" s="1091"/>
      <c r="HYL917" s="1091"/>
      <c r="HYM917" s="1091"/>
      <c r="HYN917" s="1091"/>
      <c r="HYO917" s="1091"/>
      <c r="HYP917" s="1091"/>
      <c r="HYQ917" s="1091"/>
      <c r="HYR917" s="1091"/>
      <c r="HYS917" s="1091"/>
      <c r="HYT917" s="1091"/>
      <c r="HYU917" s="1091"/>
      <c r="HYV917" s="1091"/>
      <c r="HYW917" s="1091"/>
      <c r="HYX917" s="1091"/>
      <c r="HYY917" s="1091"/>
      <c r="HYZ917" s="1091"/>
      <c r="HZA917" s="1091"/>
      <c r="HZB917" s="1091"/>
      <c r="HZC917" s="1091"/>
      <c r="HZD917" s="1091"/>
      <c r="HZE917" s="1091"/>
      <c r="HZF917" s="1091"/>
      <c r="HZG917" s="1091"/>
      <c r="HZH917" s="1091"/>
      <c r="HZI917" s="1091"/>
      <c r="HZJ917" s="1091"/>
      <c r="HZK917" s="1091"/>
      <c r="HZL917" s="1091"/>
      <c r="HZM917" s="1091"/>
      <c r="HZN917" s="1091"/>
      <c r="HZO917" s="1091"/>
      <c r="HZP917" s="1091"/>
      <c r="HZQ917" s="1091"/>
      <c r="HZR917" s="1091"/>
      <c r="HZS917" s="1091"/>
      <c r="HZT917" s="1091"/>
      <c r="HZU917" s="1091"/>
      <c r="HZV917" s="1091"/>
      <c r="HZW917" s="1091"/>
      <c r="HZX917" s="1091"/>
      <c r="HZY917" s="1091"/>
      <c r="HZZ917" s="1091"/>
      <c r="IAA917" s="1091"/>
      <c r="IAB917" s="1091"/>
      <c r="IAC917" s="1091"/>
      <c r="IAD917" s="1091"/>
      <c r="IAE917" s="1091"/>
      <c r="IAF917" s="1091"/>
      <c r="IAG917" s="1091"/>
      <c r="IAH917" s="1091"/>
      <c r="IAI917" s="1091"/>
      <c r="IAJ917" s="1091"/>
      <c r="IAK917" s="1091"/>
      <c r="IAL917" s="1091"/>
      <c r="IAM917" s="1091"/>
      <c r="IAN917" s="1091"/>
      <c r="IAO917" s="1091"/>
      <c r="IAP917" s="1091"/>
      <c r="IAQ917" s="1091"/>
      <c r="IAR917" s="1091"/>
      <c r="IAS917" s="1091"/>
      <c r="IAT917" s="1091"/>
      <c r="IAU917" s="1091"/>
      <c r="IAV917" s="1091"/>
      <c r="IAW917" s="1091"/>
      <c r="IAX917" s="1091"/>
      <c r="IAY917" s="1091"/>
      <c r="IAZ917" s="1091"/>
      <c r="IBA917" s="1091"/>
      <c r="IBB917" s="1091"/>
      <c r="IBC917" s="1091"/>
      <c r="IBD917" s="1091"/>
      <c r="IBE917" s="1091"/>
      <c r="IBF917" s="1091"/>
      <c r="IBG917" s="1091"/>
      <c r="IBH917" s="1091"/>
      <c r="IBI917" s="1091"/>
      <c r="IBJ917" s="1091"/>
      <c r="IBK917" s="1091"/>
      <c r="IBL917" s="1091"/>
      <c r="IBM917" s="1091"/>
      <c r="IBN917" s="1091"/>
      <c r="IBO917" s="1091"/>
      <c r="IBP917" s="1091"/>
      <c r="IBQ917" s="1091"/>
      <c r="IBR917" s="1091"/>
      <c r="IBS917" s="1091"/>
      <c r="IBT917" s="1091"/>
      <c r="IBU917" s="1091"/>
      <c r="IBV917" s="1091"/>
      <c r="IBW917" s="1091"/>
      <c r="IBX917" s="1091"/>
      <c r="IBY917" s="1091"/>
      <c r="IBZ917" s="1091"/>
      <c r="ICA917" s="1091"/>
      <c r="ICB917" s="1091"/>
      <c r="ICC917" s="1091"/>
      <c r="ICD917" s="1091"/>
      <c r="ICE917" s="1091"/>
      <c r="ICF917" s="1091"/>
      <c r="ICG917" s="1091"/>
      <c r="ICH917" s="1091"/>
      <c r="ICI917" s="1091"/>
      <c r="ICJ917" s="1091"/>
      <c r="ICK917" s="1091"/>
      <c r="ICL917" s="1091"/>
      <c r="ICM917" s="1091"/>
      <c r="ICN917" s="1091"/>
      <c r="ICO917" s="1091"/>
      <c r="ICP917" s="1091"/>
      <c r="ICQ917" s="1091"/>
      <c r="ICR917" s="1091"/>
      <c r="ICS917" s="1091"/>
      <c r="ICT917" s="1091"/>
      <c r="ICU917" s="1091"/>
      <c r="ICV917" s="1091"/>
      <c r="ICW917" s="1091"/>
      <c r="ICX917" s="1091"/>
      <c r="ICY917" s="1091"/>
      <c r="ICZ917" s="1091"/>
      <c r="IDA917" s="1091"/>
      <c r="IDB917" s="1091"/>
      <c r="IDC917" s="1091"/>
      <c r="IDD917" s="1091"/>
      <c r="IDE917" s="1091"/>
      <c r="IDF917" s="1091"/>
      <c r="IDG917" s="1091"/>
      <c r="IDH917" s="1091"/>
      <c r="IDI917" s="1091"/>
      <c r="IDJ917" s="1091"/>
      <c r="IDK917" s="1091"/>
      <c r="IDL917" s="1091"/>
      <c r="IDM917" s="1091"/>
      <c r="IDN917" s="1091"/>
      <c r="IDO917" s="1091"/>
      <c r="IDP917" s="1091"/>
      <c r="IDQ917" s="1091"/>
      <c r="IDR917" s="1091"/>
      <c r="IDS917" s="1091"/>
      <c r="IDT917" s="1091"/>
      <c r="IDU917" s="1091"/>
      <c r="IDV917" s="1091"/>
      <c r="IDW917" s="1091"/>
      <c r="IDX917" s="1091"/>
      <c r="IDY917" s="1091"/>
      <c r="IDZ917" s="1091"/>
      <c r="IEA917" s="1091"/>
      <c r="IEB917" s="1091"/>
      <c r="IEC917" s="1091"/>
      <c r="IED917" s="1091"/>
      <c r="IEE917" s="1091"/>
      <c r="IEF917" s="1091"/>
      <c r="IEG917" s="1091"/>
      <c r="IEH917" s="1091"/>
      <c r="IEI917" s="1091"/>
      <c r="IEJ917" s="1091"/>
      <c r="IEK917" s="1091"/>
      <c r="IEL917" s="1091"/>
      <c r="IEM917" s="1091"/>
      <c r="IEN917" s="1091"/>
      <c r="IEO917" s="1091"/>
      <c r="IEP917" s="1091"/>
      <c r="IEQ917" s="1091"/>
      <c r="IER917" s="1091"/>
      <c r="IES917" s="1091"/>
      <c r="IET917" s="1091"/>
      <c r="IEU917" s="1091"/>
      <c r="IEV917" s="1091"/>
      <c r="IEW917" s="1091"/>
      <c r="IEX917" s="1091"/>
      <c r="IEY917" s="1091"/>
      <c r="IEZ917" s="1091"/>
      <c r="IFA917" s="1091"/>
      <c r="IFB917" s="1091"/>
      <c r="IFC917" s="1091"/>
      <c r="IFD917" s="1091"/>
      <c r="IFE917" s="1091"/>
      <c r="IFF917" s="1091"/>
      <c r="IFG917" s="1091"/>
      <c r="IFH917" s="1091"/>
      <c r="IFI917" s="1091"/>
      <c r="IFJ917" s="1091"/>
      <c r="IFK917" s="1091"/>
      <c r="IFL917" s="1091"/>
      <c r="IFM917" s="1091"/>
      <c r="IFN917" s="1091"/>
      <c r="IFO917" s="1091"/>
      <c r="IFP917" s="1091"/>
      <c r="IFQ917" s="1091"/>
      <c r="IFR917" s="1091"/>
      <c r="IFS917" s="1091"/>
      <c r="IFT917" s="1091"/>
      <c r="IFU917" s="1091"/>
      <c r="IFV917" s="1091"/>
      <c r="IFW917" s="1091"/>
      <c r="IFX917" s="1091"/>
      <c r="IFY917" s="1091"/>
      <c r="IFZ917" s="1091"/>
      <c r="IGA917" s="1091"/>
      <c r="IGB917" s="1091"/>
      <c r="IGC917" s="1091"/>
      <c r="IGD917" s="1091"/>
      <c r="IGE917" s="1091"/>
      <c r="IGF917" s="1091"/>
      <c r="IGG917" s="1091"/>
      <c r="IGH917" s="1091"/>
      <c r="IGI917" s="1091"/>
      <c r="IGJ917" s="1091"/>
      <c r="IGK917" s="1091"/>
      <c r="IGL917" s="1091"/>
      <c r="IGM917" s="1091"/>
      <c r="IGN917" s="1091"/>
      <c r="IGO917" s="1091"/>
      <c r="IGP917" s="1091"/>
      <c r="IGQ917" s="1091"/>
      <c r="IGR917" s="1091"/>
      <c r="IGS917" s="1091"/>
      <c r="IGT917" s="1091"/>
      <c r="IGU917" s="1091"/>
      <c r="IGV917" s="1091"/>
      <c r="IGW917" s="1091"/>
      <c r="IGX917" s="1091"/>
      <c r="IGY917" s="1091"/>
      <c r="IGZ917" s="1091"/>
      <c r="IHA917" s="1091"/>
      <c r="IHB917" s="1091"/>
      <c r="IHC917" s="1091"/>
      <c r="IHD917" s="1091"/>
      <c r="IHE917" s="1091"/>
      <c r="IHF917" s="1091"/>
      <c r="IHG917" s="1091"/>
      <c r="IHH917" s="1091"/>
      <c r="IHI917" s="1091"/>
      <c r="IHJ917" s="1091"/>
      <c r="IHK917" s="1091"/>
      <c r="IHL917" s="1091"/>
      <c r="IHM917" s="1091"/>
      <c r="IHN917" s="1091"/>
      <c r="IHO917" s="1091"/>
      <c r="IHP917" s="1091"/>
      <c r="IHQ917" s="1091"/>
      <c r="IHR917" s="1091"/>
      <c r="IHS917" s="1091"/>
      <c r="IHT917" s="1091"/>
      <c r="IHU917" s="1091"/>
      <c r="IHV917" s="1091"/>
      <c r="IHW917" s="1091"/>
      <c r="IHX917" s="1091"/>
      <c r="IHY917" s="1091"/>
      <c r="IHZ917" s="1091"/>
      <c r="IIA917" s="1091"/>
      <c r="IIB917" s="1091"/>
      <c r="IIC917" s="1091"/>
      <c r="IID917" s="1091"/>
      <c r="IIE917" s="1091"/>
      <c r="IIF917" s="1091"/>
      <c r="IIG917" s="1091"/>
      <c r="IIH917" s="1091"/>
      <c r="III917" s="1091"/>
      <c r="IIJ917" s="1091"/>
      <c r="IIK917" s="1091"/>
      <c r="IIL917" s="1091"/>
      <c r="IIM917" s="1091"/>
      <c r="IIN917" s="1091"/>
      <c r="IIO917" s="1091"/>
      <c r="IIP917" s="1091"/>
      <c r="IIQ917" s="1091"/>
      <c r="IIR917" s="1091"/>
      <c r="IIS917" s="1091"/>
      <c r="IIT917" s="1091"/>
      <c r="IIU917" s="1091"/>
      <c r="IIV917" s="1091"/>
      <c r="IIW917" s="1091"/>
      <c r="IIX917" s="1091"/>
      <c r="IIY917" s="1091"/>
      <c r="IIZ917" s="1091"/>
      <c r="IJA917" s="1091"/>
      <c r="IJB917" s="1091"/>
      <c r="IJC917" s="1091"/>
      <c r="IJD917" s="1091"/>
      <c r="IJE917" s="1091"/>
      <c r="IJF917" s="1091"/>
      <c r="IJG917" s="1091"/>
      <c r="IJH917" s="1091"/>
      <c r="IJI917" s="1091"/>
      <c r="IJJ917" s="1091"/>
      <c r="IJK917" s="1091"/>
      <c r="IJL917" s="1091"/>
      <c r="IJM917" s="1091"/>
      <c r="IJN917" s="1091"/>
      <c r="IJO917" s="1091"/>
      <c r="IJP917" s="1091"/>
      <c r="IJQ917" s="1091"/>
      <c r="IJR917" s="1091"/>
      <c r="IJS917" s="1091"/>
      <c r="IJT917" s="1091"/>
      <c r="IJU917" s="1091"/>
      <c r="IJV917" s="1091"/>
      <c r="IJW917" s="1091"/>
      <c r="IJX917" s="1091"/>
      <c r="IJY917" s="1091"/>
      <c r="IJZ917" s="1091"/>
      <c r="IKA917" s="1091"/>
      <c r="IKB917" s="1091"/>
      <c r="IKC917" s="1091"/>
      <c r="IKD917" s="1091"/>
      <c r="IKE917" s="1091"/>
      <c r="IKF917" s="1091"/>
      <c r="IKG917" s="1091"/>
      <c r="IKH917" s="1091"/>
      <c r="IKI917" s="1091"/>
      <c r="IKJ917" s="1091"/>
      <c r="IKK917" s="1091"/>
      <c r="IKL917" s="1091"/>
      <c r="IKM917" s="1091"/>
      <c r="IKN917" s="1091"/>
      <c r="IKO917" s="1091"/>
      <c r="IKP917" s="1091"/>
      <c r="IKQ917" s="1091"/>
      <c r="IKR917" s="1091"/>
      <c r="IKS917" s="1091"/>
      <c r="IKT917" s="1091"/>
      <c r="IKU917" s="1091"/>
      <c r="IKV917" s="1091"/>
      <c r="IKW917" s="1091"/>
      <c r="IKX917" s="1091"/>
      <c r="IKY917" s="1091"/>
      <c r="IKZ917" s="1091"/>
      <c r="ILA917" s="1091"/>
      <c r="ILB917" s="1091"/>
      <c r="ILC917" s="1091"/>
      <c r="ILD917" s="1091"/>
      <c r="ILE917" s="1091"/>
      <c r="ILF917" s="1091"/>
      <c r="ILG917" s="1091"/>
      <c r="ILH917" s="1091"/>
      <c r="ILI917" s="1091"/>
      <c r="ILJ917" s="1091"/>
      <c r="ILK917" s="1091"/>
      <c r="ILL917" s="1091"/>
      <c r="ILM917" s="1091"/>
      <c r="ILN917" s="1091"/>
      <c r="ILO917" s="1091"/>
      <c r="ILP917" s="1091"/>
      <c r="ILQ917" s="1091"/>
      <c r="ILR917" s="1091"/>
      <c r="ILS917" s="1091"/>
      <c r="ILT917" s="1091"/>
      <c r="ILU917" s="1091"/>
      <c r="ILV917" s="1091"/>
      <c r="ILW917" s="1091"/>
      <c r="ILX917" s="1091"/>
      <c r="ILY917" s="1091"/>
      <c r="ILZ917" s="1091"/>
      <c r="IMA917" s="1091"/>
      <c r="IMB917" s="1091"/>
      <c r="IMC917" s="1091"/>
      <c r="IMD917" s="1091"/>
      <c r="IME917" s="1091"/>
      <c r="IMF917" s="1091"/>
      <c r="IMG917" s="1091"/>
      <c r="IMH917" s="1091"/>
      <c r="IMI917" s="1091"/>
      <c r="IMJ917" s="1091"/>
      <c r="IMK917" s="1091"/>
      <c r="IML917" s="1091"/>
      <c r="IMM917" s="1091"/>
      <c r="IMN917" s="1091"/>
      <c r="IMO917" s="1091"/>
      <c r="IMP917" s="1091"/>
      <c r="IMQ917" s="1091"/>
      <c r="IMR917" s="1091"/>
      <c r="IMS917" s="1091"/>
      <c r="IMT917" s="1091"/>
      <c r="IMU917" s="1091"/>
      <c r="IMV917" s="1091"/>
      <c r="IMW917" s="1091"/>
      <c r="IMX917" s="1091"/>
      <c r="IMY917" s="1091"/>
      <c r="IMZ917" s="1091"/>
      <c r="INA917" s="1091"/>
      <c r="INB917" s="1091"/>
      <c r="INC917" s="1091"/>
      <c r="IND917" s="1091"/>
      <c r="INE917" s="1091"/>
      <c r="INF917" s="1091"/>
      <c r="ING917" s="1091"/>
      <c r="INH917" s="1091"/>
      <c r="INI917" s="1091"/>
      <c r="INJ917" s="1091"/>
      <c r="INK917" s="1091"/>
      <c r="INL917" s="1091"/>
      <c r="INM917" s="1091"/>
      <c r="INN917" s="1091"/>
      <c r="INO917" s="1091"/>
      <c r="INP917" s="1091"/>
      <c r="INQ917" s="1091"/>
      <c r="INR917" s="1091"/>
      <c r="INS917" s="1091"/>
      <c r="INT917" s="1091"/>
      <c r="INU917" s="1091"/>
      <c r="INV917" s="1091"/>
      <c r="INW917" s="1091"/>
      <c r="INX917" s="1091"/>
      <c r="INY917" s="1091"/>
      <c r="INZ917" s="1091"/>
      <c r="IOA917" s="1091"/>
      <c r="IOB917" s="1091"/>
      <c r="IOC917" s="1091"/>
      <c r="IOD917" s="1091"/>
      <c r="IOE917" s="1091"/>
      <c r="IOF917" s="1091"/>
      <c r="IOG917" s="1091"/>
      <c r="IOH917" s="1091"/>
      <c r="IOI917" s="1091"/>
      <c r="IOJ917" s="1091"/>
      <c r="IOK917" s="1091"/>
      <c r="IOL917" s="1091"/>
      <c r="IOM917" s="1091"/>
      <c r="ION917" s="1091"/>
      <c r="IOO917" s="1091"/>
      <c r="IOP917" s="1091"/>
      <c r="IOQ917" s="1091"/>
      <c r="IOR917" s="1091"/>
      <c r="IOS917" s="1091"/>
      <c r="IOT917" s="1091"/>
      <c r="IOU917" s="1091"/>
      <c r="IOV917" s="1091"/>
      <c r="IOW917" s="1091"/>
      <c r="IOX917" s="1091"/>
      <c r="IOY917" s="1091"/>
      <c r="IOZ917" s="1091"/>
      <c r="IPA917" s="1091"/>
      <c r="IPB917" s="1091"/>
      <c r="IPC917" s="1091"/>
      <c r="IPD917" s="1091"/>
      <c r="IPE917" s="1091"/>
      <c r="IPF917" s="1091"/>
      <c r="IPG917" s="1091"/>
      <c r="IPH917" s="1091"/>
      <c r="IPI917" s="1091"/>
      <c r="IPJ917" s="1091"/>
      <c r="IPK917" s="1091"/>
      <c r="IPL917" s="1091"/>
      <c r="IPM917" s="1091"/>
      <c r="IPN917" s="1091"/>
      <c r="IPO917" s="1091"/>
      <c r="IPP917" s="1091"/>
      <c r="IPQ917" s="1091"/>
      <c r="IPR917" s="1091"/>
      <c r="IPS917" s="1091"/>
      <c r="IPT917" s="1091"/>
      <c r="IPU917" s="1091"/>
      <c r="IPV917" s="1091"/>
      <c r="IPW917" s="1091"/>
      <c r="IPX917" s="1091"/>
      <c r="IPY917" s="1091"/>
      <c r="IPZ917" s="1091"/>
      <c r="IQA917" s="1091"/>
      <c r="IQB917" s="1091"/>
      <c r="IQC917" s="1091"/>
      <c r="IQD917" s="1091"/>
      <c r="IQE917" s="1091"/>
      <c r="IQF917" s="1091"/>
      <c r="IQG917" s="1091"/>
      <c r="IQH917" s="1091"/>
      <c r="IQI917" s="1091"/>
      <c r="IQJ917" s="1091"/>
      <c r="IQK917" s="1091"/>
      <c r="IQL917" s="1091"/>
      <c r="IQM917" s="1091"/>
      <c r="IQN917" s="1091"/>
      <c r="IQO917" s="1091"/>
      <c r="IQP917" s="1091"/>
      <c r="IQQ917" s="1091"/>
      <c r="IQR917" s="1091"/>
      <c r="IQS917" s="1091"/>
      <c r="IQT917" s="1091"/>
      <c r="IQU917" s="1091"/>
      <c r="IQV917" s="1091"/>
      <c r="IQW917" s="1091"/>
      <c r="IQX917" s="1091"/>
      <c r="IQY917" s="1091"/>
      <c r="IQZ917" s="1091"/>
      <c r="IRA917" s="1091"/>
      <c r="IRB917" s="1091"/>
      <c r="IRC917" s="1091"/>
      <c r="IRD917" s="1091"/>
      <c r="IRE917" s="1091"/>
      <c r="IRF917" s="1091"/>
      <c r="IRG917" s="1091"/>
      <c r="IRH917" s="1091"/>
      <c r="IRI917" s="1091"/>
      <c r="IRJ917" s="1091"/>
      <c r="IRK917" s="1091"/>
      <c r="IRL917" s="1091"/>
      <c r="IRM917" s="1091"/>
      <c r="IRN917" s="1091"/>
      <c r="IRO917" s="1091"/>
      <c r="IRP917" s="1091"/>
      <c r="IRQ917" s="1091"/>
      <c r="IRR917" s="1091"/>
      <c r="IRS917" s="1091"/>
      <c r="IRT917" s="1091"/>
      <c r="IRU917" s="1091"/>
      <c r="IRV917" s="1091"/>
      <c r="IRW917" s="1091"/>
      <c r="IRX917" s="1091"/>
      <c r="IRY917" s="1091"/>
      <c r="IRZ917" s="1091"/>
      <c r="ISA917" s="1091"/>
      <c r="ISB917" s="1091"/>
      <c r="ISC917" s="1091"/>
      <c r="ISD917" s="1091"/>
      <c r="ISE917" s="1091"/>
      <c r="ISF917" s="1091"/>
      <c r="ISG917" s="1091"/>
      <c r="ISH917" s="1091"/>
      <c r="ISI917" s="1091"/>
      <c r="ISJ917" s="1091"/>
      <c r="ISK917" s="1091"/>
      <c r="ISL917" s="1091"/>
      <c r="ISM917" s="1091"/>
      <c r="ISN917" s="1091"/>
      <c r="ISO917" s="1091"/>
      <c r="ISP917" s="1091"/>
      <c r="ISQ917" s="1091"/>
      <c r="ISR917" s="1091"/>
      <c r="ISS917" s="1091"/>
      <c r="IST917" s="1091"/>
      <c r="ISU917" s="1091"/>
      <c r="ISV917" s="1091"/>
      <c r="ISW917" s="1091"/>
      <c r="ISX917" s="1091"/>
      <c r="ISY917" s="1091"/>
      <c r="ISZ917" s="1091"/>
      <c r="ITA917" s="1091"/>
      <c r="ITB917" s="1091"/>
      <c r="ITC917" s="1091"/>
      <c r="ITD917" s="1091"/>
      <c r="ITE917" s="1091"/>
      <c r="ITF917" s="1091"/>
      <c r="ITG917" s="1091"/>
      <c r="ITH917" s="1091"/>
      <c r="ITI917" s="1091"/>
      <c r="ITJ917" s="1091"/>
      <c r="ITK917" s="1091"/>
      <c r="ITL917" s="1091"/>
      <c r="ITM917" s="1091"/>
      <c r="ITN917" s="1091"/>
      <c r="ITO917" s="1091"/>
      <c r="ITP917" s="1091"/>
      <c r="ITQ917" s="1091"/>
      <c r="ITR917" s="1091"/>
      <c r="ITS917" s="1091"/>
      <c r="ITT917" s="1091"/>
      <c r="ITU917" s="1091"/>
      <c r="ITV917" s="1091"/>
      <c r="ITW917" s="1091"/>
      <c r="ITX917" s="1091"/>
      <c r="ITY917" s="1091"/>
      <c r="ITZ917" s="1091"/>
      <c r="IUA917" s="1091"/>
      <c r="IUB917" s="1091"/>
      <c r="IUC917" s="1091"/>
      <c r="IUD917" s="1091"/>
      <c r="IUE917" s="1091"/>
      <c r="IUF917" s="1091"/>
      <c r="IUG917" s="1091"/>
      <c r="IUH917" s="1091"/>
      <c r="IUI917" s="1091"/>
      <c r="IUJ917" s="1091"/>
      <c r="IUK917" s="1091"/>
      <c r="IUL917" s="1091"/>
      <c r="IUM917" s="1091"/>
      <c r="IUN917" s="1091"/>
      <c r="IUO917" s="1091"/>
      <c r="IUP917" s="1091"/>
      <c r="IUQ917" s="1091"/>
      <c r="IUR917" s="1091"/>
      <c r="IUS917" s="1091"/>
      <c r="IUT917" s="1091"/>
      <c r="IUU917" s="1091"/>
      <c r="IUV917" s="1091"/>
      <c r="IUW917" s="1091"/>
      <c r="IUX917" s="1091"/>
      <c r="IUY917" s="1091"/>
      <c r="IUZ917" s="1091"/>
      <c r="IVA917" s="1091"/>
      <c r="IVB917" s="1091"/>
      <c r="IVC917" s="1091"/>
      <c r="IVD917" s="1091"/>
      <c r="IVE917" s="1091"/>
      <c r="IVF917" s="1091"/>
      <c r="IVG917" s="1091"/>
      <c r="IVH917" s="1091"/>
      <c r="IVI917" s="1091"/>
      <c r="IVJ917" s="1091"/>
      <c r="IVK917" s="1091"/>
      <c r="IVL917" s="1091"/>
      <c r="IVM917" s="1091"/>
      <c r="IVN917" s="1091"/>
      <c r="IVO917" s="1091"/>
      <c r="IVP917" s="1091"/>
      <c r="IVQ917" s="1091"/>
      <c r="IVR917" s="1091"/>
      <c r="IVS917" s="1091"/>
      <c r="IVT917" s="1091"/>
      <c r="IVU917" s="1091"/>
      <c r="IVV917" s="1091"/>
      <c r="IVW917" s="1091"/>
      <c r="IVX917" s="1091"/>
      <c r="IVY917" s="1091"/>
      <c r="IVZ917" s="1091"/>
      <c r="IWA917" s="1091"/>
      <c r="IWB917" s="1091"/>
      <c r="IWC917" s="1091"/>
      <c r="IWD917" s="1091"/>
      <c r="IWE917" s="1091"/>
      <c r="IWF917" s="1091"/>
      <c r="IWG917" s="1091"/>
      <c r="IWH917" s="1091"/>
      <c r="IWI917" s="1091"/>
      <c r="IWJ917" s="1091"/>
      <c r="IWK917" s="1091"/>
      <c r="IWL917" s="1091"/>
      <c r="IWM917" s="1091"/>
      <c r="IWN917" s="1091"/>
      <c r="IWO917" s="1091"/>
      <c r="IWP917" s="1091"/>
      <c r="IWQ917" s="1091"/>
      <c r="IWR917" s="1091"/>
      <c r="IWS917" s="1091"/>
      <c r="IWT917" s="1091"/>
      <c r="IWU917" s="1091"/>
      <c r="IWV917" s="1091"/>
      <c r="IWW917" s="1091"/>
      <c r="IWX917" s="1091"/>
      <c r="IWY917" s="1091"/>
      <c r="IWZ917" s="1091"/>
      <c r="IXA917" s="1091"/>
      <c r="IXB917" s="1091"/>
      <c r="IXC917" s="1091"/>
      <c r="IXD917" s="1091"/>
      <c r="IXE917" s="1091"/>
      <c r="IXF917" s="1091"/>
      <c r="IXG917" s="1091"/>
      <c r="IXH917" s="1091"/>
      <c r="IXI917" s="1091"/>
      <c r="IXJ917" s="1091"/>
      <c r="IXK917" s="1091"/>
      <c r="IXL917" s="1091"/>
      <c r="IXM917" s="1091"/>
      <c r="IXN917" s="1091"/>
      <c r="IXO917" s="1091"/>
      <c r="IXP917" s="1091"/>
      <c r="IXQ917" s="1091"/>
      <c r="IXR917" s="1091"/>
      <c r="IXS917" s="1091"/>
      <c r="IXT917" s="1091"/>
      <c r="IXU917" s="1091"/>
      <c r="IXV917" s="1091"/>
      <c r="IXW917" s="1091"/>
      <c r="IXX917" s="1091"/>
      <c r="IXY917" s="1091"/>
      <c r="IXZ917" s="1091"/>
      <c r="IYA917" s="1091"/>
      <c r="IYB917" s="1091"/>
      <c r="IYC917" s="1091"/>
      <c r="IYD917" s="1091"/>
      <c r="IYE917" s="1091"/>
      <c r="IYF917" s="1091"/>
      <c r="IYG917" s="1091"/>
      <c r="IYH917" s="1091"/>
      <c r="IYI917" s="1091"/>
      <c r="IYJ917" s="1091"/>
      <c r="IYK917" s="1091"/>
      <c r="IYL917" s="1091"/>
      <c r="IYM917" s="1091"/>
      <c r="IYN917" s="1091"/>
      <c r="IYO917" s="1091"/>
      <c r="IYP917" s="1091"/>
      <c r="IYQ917" s="1091"/>
      <c r="IYR917" s="1091"/>
      <c r="IYS917" s="1091"/>
      <c r="IYT917" s="1091"/>
      <c r="IYU917" s="1091"/>
      <c r="IYV917" s="1091"/>
      <c r="IYW917" s="1091"/>
      <c r="IYX917" s="1091"/>
      <c r="IYY917" s="1091"/>
      <c r="IYZ917" s="1091"/>
      <c r="IZA917" s="1091"/>
      <c r="IZB917" s="1091"/>
      <c r="IZC917" s="1091"/>
      <c r="IZD917" s="1091"/>
      <c r="IZE917" s="1091"/>
      <c r="IZF917" s="1091"/>
      <c r="IZG917" s="1091"/>
      <c r="IZH917" s="1091"/>
      <c r="IZI917" s="1091"/>
      <c r="IZJ917" s="1091"/>
      <c r="IZK917" s="1091"/>
      <c r="IZL917" s="1091"/>
      <c r="IZM917" s="1091"/>
      <c r="IZN917" s="1091"/>
      <c r="IZO917" s="1091"/>
      <c r="IZP917" s="1091"/>
      <c r="IZQ917" s="1091"/>
      <c r="IZR917" s="1091"/>
      <c r="IZS917" s="1091"/>
      <c r="IZT917" s="1091"/>
      <c r="IZU917" s="1091"/>
      <c r="IZV917" s="1091"/>
      <c r="IZW917" s="1091"/>
      <c r="IZX917" s="1091"/>
      <c r="IZY917" s="1091"/>
      <c r="IZZ917" s="1091"/>
      <c r="JAA917" s="1091"/>
      <c r="JAB917" s="1091"/>
      <c r="JAC917" s="1091"/>
      <c r="JAD917" s="1091"/>
      <c r="JAE917" s="1091"/>
      <c r="JAF917" s="1091"/>
      <c r="JAG917" s="1091"/>
      <c r="JAH917" s="1091"/>
      <c r="JAI917" s="1091"/>
      <c r="JAJ917" s="1091"/>
      <c r="JAK917" s="1091"/>
      <c r="JAL917" s="1091"/>
      <c r="JAM917" s="1091"/>
      <c r="JAN917" s="1091"/>
      <c r="JAO917" s="1091"/>
      <c r="JAP917" s="1091"/>
      <c r="JAQ917" s="1091"/>
      <c r="JAR917" s="1091"/>
      <c r="JAS917" s="1091"/>
      <c r="JAT917" s="1091"/>
      <c r="JAU917" s="1091"/>
      <c r="JAV917" s="1091"/>
      <c r="JAW917" s="1091"/>
      <c r="JAX917" s="1091"/>
      <c r="JAY917" s="1091"/>
      <c r="JAZ917" s="1091"/>
      <c r="JBA917" s="1091"/>
      <c r="JBB917" s="1091"/>
      <c r="JBC917" s="1091"/>
      <c r="JBD917" s="1091"/>
      <c r="JBE917" s="1091"/>
      <c r="JBF917" s="1091"/>
      <c r="JBG917" s="1091"/>
      <c r="JBH917" s="1091"/>
      <c r="JBI917" s="1091"/>
      <c r="JBJ917" s="1091"/>
      <c r="JBK917" s="1091"/>
      <c r="JBL917" s="1091"/>
      <c r="JBM917" s="1091"/>
      <c r="JBN917" s="1091"/>
      <c r="JBO917" s="1091"/>
      <c r="JBP917" s="1091"/>
      <c r="JBQ917" s="1091"/>
      <c r="JBR917" s="1091"/>
      <c r="JBS917" s="1091"/>
      <c r="JBT917" s="1091"/>
      <c r="JBU917" s="1091"/>
      <c r="JBV917" s="1091"/>
      <c r="JBW917" s="1091"/>
      <c r="JBX917" s="1091"/>
      <c r="JBY917" s="1091"/>
      <c r="JBZ917" s="1091"/>
      <c r="JCA917" s="1091"/>
      <c r="JCB917" s="1091"/>
      <c r="JCC917" s="1091"/>
      <c r="JCD917" s="1091"/>
      <c r="JCE917" s="1091"/>
      <c r="JCF917" s="1091"/>
      <c r="JCG917" s="1091"/>
      <c r="JCH917" s="1091"/>
      <c r="JCI917" s="1091"/>
      <c r="JCJ917" s="1091"/>
      <c r="JCK917" s="1091"/>
      <c r="JCL917" s="1091"/>
      <c r="JCM917" s="1091"/>
      <c r="JCN917" s="1091"/>
      <c r="JCO917" s="1091"/>
      <c r="JCP917" s="1091"/>
      <c r="JCQ917" s="1091"/>
      <c r="JCR917" s="1091"/>
      <c r="JCS917" s="1091"/>
      <c r="JCT917" s="1091"/>
      <c r="JCU917" s="1091"/>
      <c r="JCV917" s="1091"/>
      <c r="JCW917" s="1091"/>
      <c r="JCX917" s="1091"/>
      <c r="JCY917" s="1091"/>
      <c r="JCZ917" s="1091"/>
      <c r="JDA917" s="1091"/>
      <c r="JDB917" s="1091"/>
      <c r="JDC917" s="1091"/>
      <c r="JDD917" s="1091"/>
      <c r="JDE917" s="1091"/>
      <c r="JDF917" s="1091"/>
      <c r="JDG917" s="1091"/>
      <c r="JDH917" s="1091"/>
      <c r="JDI917" s="1091"/>
      <c r="JDJ917" s="1091"/>
      <c r="JDK917" s="1091"/>
      <c r="JDL917" s="1091"/>
      <c r="JDM917" s="1091"/>
      <c r="JDN917" s="1091"/>
      <c r="JDO917" s="1091"/>
      <c r="JDP917" s="1091"/>
      <c r="JDQ917" s="1091"/>
      <c r="JDR917" s="1091"/>
      <c r="JDS917" s="1091"/>
      <c r="JDT917" s="1091"/>
      <c r="JDU917" s="1091"/>
      <c r="JDV917" s="1091"/>
      <c r="JDW917" s="1091"/>
      <c r="JDX917" s="1091"/>
      <c r="JDY917" s="1091"/>
      <c r="JDZ917" s="1091"/>
      <c r="JEA917" s="1091"/>
      <c r="JEB917" s="1091"/>
      <c r="JEC917" s="1091"/>
      <c r="JED917" s="1091"/>
      <c r="JEE917" s="1091"/>
      <c r="JEF917" s="1091"/>
      <c r="JEG917" s="1091"/>
      <c r="JEH917" s="1091"/>
      <c r="JEI917" s="1091"/>
      <c r="JEJ917" s="1091"/>
      <c r="JEK917" s="1091"/>
      <c r="JEL917" s="1091"/>
      <c r="JEM917" s="1091"/>
      <c r="JEN917" s="1091"/>
      <c r="JEO917" s="1091"/>
      <c r="JEP917" s="1091"/>
      <c r="JEQ917" s="1091"/>
      <c r="JER917" s="1091"/>
      <c r="JES917" s="1091"/>
      <c r="JET917" s="1091"/>
      <c r="JEU917" s="1091"/>
      <c r="JEV917" s="1091"/>
      <c r="JEW917" s="1091"/>
      <c r="JEX917" s="1091"/>
      <c r="JEY917" s="1091"/>
      <c r="JEZ917" s="1091"/>
      <c r="JFA917" s="1091"/>
      <c r="JFB917" s="1091"/>
      <c r="JFC917" s="1091"/>
      <c r="JFD917" s="1091"/>
      <c r="JFE917" s="1091"/>
      <c r="JFF917" s="1091"/>
      <c r="JFG917" s="1091"/>
      <c r="JFH917" s="1091"/>
      <c r="JFI917" s="1091"/>
      <c r="JFJ917" s="1091"/>
      <c r="JFK917" s="1091"/>
      <c r="JFL917" s="1091"/>
      <c r="JFM917" s="1091"/>
      <c r="JFN917" s="1091"/>
      <c r="JFO917" s="1091"/>
      <c r="JFP917" s="1091"/>
      <c r="JFQ917" s="1091"/>
      <c r="JFR917" s="1091"/>
      <c r="JFS917" s="1091"/>
      <c r="JFT917" s="1091"/>
      <c r="JFU917" s="1091"/>
      <c r="JFV917" s="1091"/>
      <c r="JFW917" s="1091"/>
      <c r="JFX917" s="1091"/>
      <c r="JFY917" s="1091"/>
      <c r="JFZ917" s="1091"/>
      <c r="JGA917" s="1091"/>
      <c r="JGB917" s="1091"/>
      <c r="JGC917" s="1091"/>
      <c r="JGD917" s="1091"/>
      <c r="JGE917" s="1091"/>
      <c r="JGF917" s="1091"/>
      <c r="JGG917" s="1091"/>
      <c r="JGH917" s="1091"/>
      <c r="JGI917" s="1091"/>
      <c r="JGJ917" s="1091"/>
      <c r="JGK917" s="1091"/>
      <c r="JGL917" s="1091"/>
      <c r="JGM917" s="1091"/>
      <c r="JGN917" s="1091"/>
      <c r="JGO917" s="1091"/>
      <c r="JGP917" s="1091"/>
      <c r="JGQ917" s="1091"/>
      <c r="JGR917" s="1091"/>
      <c r="JGS917" s="1091"/>
      <c r="JGT917" s="1091"/>
      <c r="JGU917" s="1091"/>
      <c r="JGV917" s="1091"/>
      <c r="JGW917" s="1091"/>
      <c r="JGX917" s="1091"/>
      <c r="JGY917" s="1091"/>
      <c r="JGZ917" s="1091"/>
      <c r="JHA917" s="1091"/>
      <c r="JHB917" s="1091"/>
      <c r="JHC917" s="1091"/>
      <c r="JHD917" s="1091"/>
      <c r="JHE917" s="1091"/>
      <c r="JHF917" s="1091"/>
      <c r="JHG917" s="1091"/>
      <c r="JHH917" s="1091"/>
      <c r="JHI917" s="1091"/>
      <c r="JHJ917" s="1091"/>
      <c r="JHK917" s="1091"/>
      <c r="JHL917" s="1091"/>
      <c r="JHM917" s="1091"/>
      <c r="JHN917" s="1091"/>
      <c r="JHO917" s="1091"/>
      <c r="JHP917" s="1091"/>
      <c r="JHQ917" s="1091"/>
      <c r="JHR917" s="1091"/>
      <c r="JHS917" s="1091"/>
      <c r="JHT917" s="1091"/>
      <c r="JHU917" s="1091"/>
      <c r="JHV917" s="1091"/>
      <c r="JHW917" s="1091"/>
      <c r="JHX917" s="1091"/>
      <c r="JHY917" s="1091"/>
      <c r="JHZ917" s="1091"/>
      <c r="JIA917" s="1091"/>
      <c r="JIB917" s="1091"/>
      <c r="JIC917" s="1091"/>
      <c r="JID917" s="1091"/>
      <c r="JIE917" s="1091"/>
      <c r="JIF917" s="1091"/>
      <c r="JIG917" s="1091"/>
      <c r="JIH917" s="1091"/>
      <c r="JII917" s="1091"/>
      <c r="JIJ917" s="1091"/>
      <c r="JIK917" s="1091"/>
      <c r="JIL917" s="1091"/>
      <c r="JIM917" s="1091"/>
      <c r="JIN917" s="1091"/>
      <c r="JIO917" s="1091"/>
      <c r="JIP917" s="1091"/>
      <c r="JIQ917" s="1091"/>
      <c r="JIR917" s="1091"/>
      <c r="JIS917" s="1091"/>
      <c r="JIT917" s="1091"/>
      <c r="JIU917" s="1091"/>
      <c r="JIV917" s="1091"/>
      <c r="JIW917" s="1091"/>
      <c r="JIX917" s="1091"/>
      <c r="JIY917" s="1091"/>
      <c r="JIZ917" s="1091"/>
      <c r="JJA917" s="1091"/>
      <c r="JJB917" s="1091"/>
      <c r="JJC917" s="1091"/>
      <c r="JJD917" s="1091"/>
      <c r="JJE917" s="1091"/>
      <c r="JJF917" s="1091"/>
      <c r="JJG917" s="1091"/>
      <c r="JJH917" s="1091"/>
      <c r="JJI917" s="1091"/>
      <c r="JJJ917" s="1091"/>
      <c r="JJK917" s="1091"/>
      <c r="JJL917" s="1091"/>
      <c r="JJM917" s="1091"/>
      <c r="JJN917" s="1091"/>
      <c r="JJO917" s="1091"/>
      <c r="JJP917" s="1091"/>
      <c r="JJQ917" s="1091"/>
      <c r="JJR917" s="1091"/>
      <c r="JJS917" s="1091"/>
      <c r="JJT917" s="1091"/>
      <c r="JJU917" s="1091"/>
      <c r="JJV917" s="1091"/>
      <c r="JJW917" s="1091"/>
      <c r="JJX917" s="1091"/>
      <c r="JJY917" s="1091"/>
      <c r="JJZ917" s="1091"/>
      <c r="JKA917" s="1091"/>
      <c r="JKB917" s="1091"/>
      <c r="JKC917" s="1091"/>
      <c r="JKD917" s="1091"/>
      <c r="JKE917" s="1091"/>
      <c r="JKF917" s="1091"/>
      <c r="JKG917" s="1091"/>
      <c r="JKH917" s="1091"/>
      <c r="JKI917" s="1091"/>
      <c r="JKJ917" s="1091"/>
      <c r="JKK917" s="1091"/>
      <c r="JKL917" s="1091"/>
      <c r="JKM917" s="1091"/>
      <c r="JKN917" s="1091"/>
      <c r="JKO917" s="1091"/>
      <c r="JKP917" s="1091"/>
      <c r="JKQ917" s="1091"/>
      <c r="JKR917" s="1091"/>
      <c r="JKS917" s="1091"/>
      <c r="JKT917" s="1091"/>
      <c r="JKU917" s="1091"/>
      <c r="JKV917" s="1091"/>
      <c r="JKW917" s="1091"/>
      <c r="JKX917" s="1091"/>
      <c r="JKY917" s="1091"/>
      <c r="JKZ917" s="1091"/>
      <c r="JLA917" s="1091"/>
      <c r="JLB917" s="1091"/>
      <c r="JLC917" s="1091"/>
      <c r="JLD917" s="1091"/>
      <c r="JLE917" s="1091"/>
      <c r="JLF917" s="1091"/>
      <c r="JLG917" s="1091"/>
      <c r="JLH917" s="1091"/>
      <c r="JLI917" s="1091"/>
      <c r="JLJ917" s="1091"/>
      <c r="JLK917" s="1091"/>
      <c r="JLL917" s="1091"/>
      <c r="JLM917" s="1091"/>
      <c r="JLN917" s="1091"/>
      <c r="JLO917" s="1091"/>
      <c r="JLP917" s="1091"/>
      <c r="JLQ917" s="1091"/>
      <c r="JLR917" s="1091"/>
      <c r="JLS917" s="1091"/>
      <c r="JLT917" s="1091"/>
      <c r="JLU917" s="1091"/>
      <c r="JLV917" s="1091"/>
      <c r="JLW917" s="1091"/>
      <c r="JLX917" s="1091"/>
      <c r="JLY917" s="1091"/>
      <c r="JLZ917" s="1091"/>
      <c r="JMA917" s="1091"/>
      <c r="JMB917" s="1091"/>
      <c r="JMC917" s="1091"/>
      <c r="JMD917" s="1091"/>
      <c r="JME917" s="1091"/>
      <c r="JMF917" s="1091"/>
      <c r="JMG917" s="1091"/>
      <c r="JMH917" s="1091"/>
      <c r="JMI917" s="1091"/>
      <c r="JMJ917" s="1091"/>
      <c r="JMK917" s="1091"/>
      <c r="JML917" s="1091"/>
      <c r="JMM917" s="1091"/>
      <c r="JMN917" s="1091"/>
      <c r="JMO917" s="1091"/>
      <c r="JMP917" s="1091"/>
      <c r="JMQ917" s="1091"/>
      <c r="JMR917" s="1091"/>
      <c r="JMS917" s="1091"/>
      <c r="JMT917" s="1091"/>
      <c r="JMU917" s="1091"/>
      <c r="JMV917" s="1091"/>
      <c r="JMW917" s="1091"/>
      <c r="JMX917" s="1091"/>
      <c r="JMY917" s="1091"/>
      <c r="JMZ917" s="1091"/>
      <c r="JNA917" s="1091"/>
      <c r="JNB917" s="1091"/>
      <c r="JNC917" s="1091"/>
      <c r="JND917" s="1091"/>
      <c r="JNE917" s="1091"/>
      <c r="JNF917" s="1091"/>
      <c r="JNG917" s="1091"/>
      <c r="JNH917" s="1091"/>
      <c r="JNI917" s="1091"/>
      <c r="JNJ917" s="1091"/>
      <c r="JNK917" s="1091"/>
      <c r="JNL917" s="1091"/>
      <c r="JNM917" s="1091"/>
      <c r="JNN917" s="1091"/>
      <c r="JNO917" s="1091"/>
      <c r="JNP917" s="1091"/>
      <c r="JNQ917" s="1091"/>
      <c r="JNR917" s="1091"/>
      <c r="JNS917" s="1091"/>
      <c r="JNT917" s="1091"/>
      <c r="JNU917" s="1091"/>
      <c r="JNV917" s="1091"/>
      <c r="JNW917" s="1091"/>
      <c r="JNX917" s="1091"/>
      <c r="JNY917" s="1091"/>
      <c r="JNZ917" s="1091"/>
      <c r="JOA917" s="1091"/>
      <c r="JOB917" s="1091"/>
      <c r="JOC917" s="1091"/>
      <c r="JOD917" s="1091"/>
      <c r="JOE917" s="1091"/>
      <c r="JOF917" s="1091"/>
      <c r="JOG917" s="1091"/>
      <c r="JOH917" s="1091"/>
      <c r="JOI917" s="1091"/>
      <c r="JOJ917" s="1091"/>
      <c r="JOK917" s="1091"/>
      <c r="JOL917" s="1091"/>
      <c r="JOM917" s="1091"/>
      <c r="JON917" s="1091"/>
      <c r="JOO917" s="1091"/>
      <c r="JOP917" s="1091"/>
      <c r="JOQ917" s="1091"/>
      <c r="JOR917" s="1091"/>
      <c r="JOS917" s="1091"/>
      <c r="JOT917" s="1091"/>
      <c r="JOU917" s="1091"/>
      <c r="JOV917" s="1091"/>
      <c r="JOW917" s="1091"/>
      <c r="JOX917" s="1091"/>
      <c r="JOY917" s="1091"/>
      <c r="JOZ917" s="1091"/>
      <c r="JPA917" s="1091"/>
      <c r="JPB917" s="1091"/>
      <c r="JPC917" s="1091"/>
      <c r="JPD917" s="1091"/>
      <c r="JPE917" s="1091"/>
      <c r="JPF917" s="1091"/>
      <c r="JPG917" s="1091"/>
      <c r="JPH917" s="1091"/>
      <c r="JPI917" s="1091"/>
      <c r="JPJ917" s="1091"/>
      <c r="JPK917" s="1091"/>
      <c r="JPL917" s="1091"/>
      <c r="JPM917" s="1091"/>
      <c r="JPN917" s="1091"/>
      <c r="JPO917" s="1091"/>
      <c r="JPP917" s="1091"/>
      <c r="JPQ917" s="1091"/>
      <c r="JPR917" s="1091"/>
      <c r="JPS917" s="1091"/>
      <c r="JPT917" s="1091"/>
      <c r="JPU917" s="1091"/>
      <c r="JPV917" s="1091"/>
      <c r="JPW917" s="1091"/>
      <c r="JPX917" s="1091"/>
      <c r="JPY917" s="1091"/>
      <c r="JPZ917" s="1091"/>
      <c r="JQA917" s="1091"/>
      <c r="JQB917" s="1091"/>
      <c r="JQC917" s="1091"/>
      <c r="JQD917" s="1091"/>
      <c r="JQE917" s="1091"/>
      <c r="JQF917" s="1091"/>
      <c r="JQG917" s="1091"/>
      <c r="JQH917" s="1091"/>
      <c r="JQI917" s="1091"/>
      <c r="JQJ917" s="1091"/>
      <c r="JQK917" s="1091"/>
      <c r="JQL917" s="1091"/>
      <c r="JQM917" s="1091"/>
      <c r="JQN917" s="1091"/>
      <c r="JQO917" s="1091"/>
      <c r="JQP917" s="1091"/>
      <c r="JQQ917" s="1091"/>
      <c r="JQR917" s="1091"/>
      <c r="JQS917" s="1091"/>
      <c r="JQT917" s="1091"/>
      <c r="JQU917" s="1091"/>
      <c r="JQV917" s="1091"/>
      <c r="JQW917" s="1091"/>
      <c r="JQX917" s="1091"/>
      <c r="JQY917" s="1091"/>
      <c r="JQZ917" s="1091"/>
      <c r="JRA917" s="1091"/>
      <c r="JRB917" s="1091"/>
      <c r="JRC917" s="1091"/>
      <c r="JRD917" s="1091"/>
      <c r="JRE917" s="1091"/>
      <c r="JRF917" s="1091"/>
      <c r="JRG917" s="1091"/>
      <c r="JRH917" s="1091"/>
      <c r="JRI917" s="1091"/>
      <c r="JRJ917" s="1091"/>
      <c r="JRK917" s="1091"/>
      <c r="JRL917" s="1091"/>
      <c r="JRM917" s="1091"/>
      <c r="JRN917" s="1091"/>
      <c r="JRO917" s="1091"/>
      <c r="JRP917" s="1091"/>
      <c r="JRQ917" s="1091"/>
      <c r="JRR917" s="1091"/>
      <c r="JRS917" s="1091"/>
      <c r="JRT917" s="1091"/>
      <c r="JRU917" s="1091"/>
      <c r="JRV917" s="1091"/>
      <c r="JRW917" s="1091"/>
      <c r="JRX917" s="1091"/>
      <c r="JRY917" s="1091"/>
      <c r="JRZ917" s="1091"/>
      <c r="JSA917" s="1091"/>
      <c r="JSB917" s="1091"/>
      <c r="JSC917" s="1091"/>
      <c r="JSD917" s="1091"/>
      <c r="JSE917" s="1091"/>
      <c r="JSF917" s="1091"/>
      <c r="JSG917" s="1091"/>
      <c r="JSH917" s="1091"/>
      <c r="JSI917" s="1091"/>
      <c r="JSJ917" s="1091"/>
      <c r="JSK917" s="1091"/>
      <c r="JSL917" s="1091"/>
      <c r="JSM917" s="1091"/>
      <c r="JSN917" s="1091"/>
      <c r="JSO917" s="1091"/>
      <c r="JSP917" s="1091"/>
      <c r="JSQ917" s="1091"/>
      <c r="JSR917" s="1091"/>
      <c r="JSS917" s="1091"/>
      <c r="JST917" s="1091"/>
      <c r="JSU917" s="1091"/>
      <c r="JSV917" s="1091"/>
      <c r="JSW917" s="1091"/>
      <c r="JSX917" s="1091"/>
      <c r="JSY917" s="1091"/>
      <c r="JSZ917" s="1091"/>
      <c r="JTA917" s="1091"/>
      <c r="JTB917" s="1091"/>
      <c r="JTC917" s="1091"/>
      <c r="JTD917" s="1091"/>
      <c r="JTE917" s="1091"/>
      <c r="JTF917" s="1091"/>
      <c r="JTG917" s="1091"/>
      <c r="JTH917" s="1091"/>
      <c r="JTI917" s="1091"/>
      <c r="JTJ917" s="1091"/>
      <c r="JTK917" s="1091"/>
      <c r="JTL917" s="1091"/>
      <c r="JTM917" s="1091"/>
      <c r="JTN917" s="1091"/>
      <c r="JTO917" s="1091"/>
      <c r="JTP917" s="1091"/>
      <c r="JTQ917" s="1091"/>
      <c r="JTR917" s="1091"/>
      <c r="JTS917" s="1091"/>
      <c r="JTT917" s="1091"/>
      <c r="JTU917" s="1091"/>
      <c r="JTV917" s="1091"/>
      <c r="JTW917" s="1091"/>
      <c r="JTX917" s="1091"/>
      <c r="JTY917" s="1091"/>
      <c r="JTZ917" s="1091"/>
      <c r="JUA917" s="1091"/>
      <c r="JUB917" s="1091"/>
      <c r="JUC917" s="1091"/>
      <c r="JUD917" s="1091"/>
      <c r="JUE917" s="1091"/>
      <c r="JUF917" s="1091"/>
      <c r="JUG917" s="1091"/>
      <c r="JUH917" s="1091"/>
      <c r="JUI917" s="1091"/>
      <c r="JUJ917" s="1091"/>
      <c r="JUK917" s="1091"/>
      <c r="JUL917" s="1091"/>
      <c r="JUM917" s="1091"/>
      <c r="JUN917" s="1091"/>
      <c r="JUO917" s="1091"/>
      <c r="JUP917" s="1091"/>
      <c r="JUQ917" s="1091"/>
      <c r="JUR917" s="1091"/>
      <c r="JUS917" s="1091"/>
      <c r="JUT917" s="1091"/>
      <c r="JUU917" s="1091"/>
      <c r="JUV917" s="1091"/>
      <c r="JUW917" s="1091"/>
      <c r="JUX917" s="1091"/>
      <c r="JUY917" s="1091"/>
      <c r="JUZ917" s="1091"/>
      <c r="JVA917" s="1091"/>
      <c r="JVB917" s="1091"/>
      <c r="JVC917" s="1091"/>
      <c r="JVD917" s="1091"/>
      <c r="JVE917" s="1091"/>
      <c r="JVF917" s="1091"/>
      <c r="JVG917" s="1091"/>
      <c r="JVH917" s="1091"/>
      <c r="JVI917" s="1091"/>
      <c r="JVJ917" s="1091"/>
      <c r="JVK917" s="1091"/>
      <c r="JVL917" s="1091"/>
      <c r="JVM917" s="1091"/>
      <c r="JVN917" s="1091"/>
      <c r="JVO917" s="1091"/>
      <c r="JVP917" s="1091"/>
      <c r="JVQ917" s="1091"/>
      <c r="JVR917" s="1091"/>
      <c r="JVS917" s="1091"/>
      <c r="JVT917" s="1091"/>
      <c r="JVU917" s="1091"/>
      <c r="JVV917" s="1091"/>
      <c r="JVW917" s="1091"/>
      <c r="JVX917" s="1091"/>
      <c r="JVY917" s="1091"/>
      <c r="JVZ917" s="1091"/>
      <c r="JWA917" s="1091"/>
      <c r="JWB917" s="1091"/>
      <c r="JWC917" s="1091"/>
      <c r="JWD917" s="1091"/>
      <c r="JWE917" s="1091"/>
      <c r="JWF917" s="1091"/>
      <c r="JWG917" s="1091"/>
      <c r="JWH917" s="1091"/>
      <c r="JWI917" s="1091"/>
      <c r="JWJ917" s="1091"/>
      <c r="JWK917" s="1091"/>
      <c r="JWL917" s="1091"/>
      <c r="JWM917" s="1091"/>
      <c r="JWN917" s="1091"/>
      <c r="JWO917" s="1091"/>
      <c r="JWP917" s="1091"/>
      <c r="JWQ917" s="1091"/>
      <c r="JWR917" s="1091"/>
      <c r="JWS917" s="1091"/>
      <c r="JWT917" s="1091"/>
      <c r="JWU917" s="1091"/>
      <c r="JWV917" s="1091"/>
      <c r="JWW917" s="1091"/>
      <c r="JWX917" s="1091"/>
      <c r="JWY917" s="1091"/>
      <c r="JWZ917" s="1091"/>
      <c r="JXA917" s="1091"/>
      <c r="JXB917" s="1091"/>
      <c r="JXC917" s="1091"/>
      <c r="JXD917" s="1091"/>
      <c r="JXE917" s="1091"/>
      <c r="JXF917" s="1091"/>
      <c r="JXG917" s="1091"/>
      <c r="JXH917" s="1091"/>
      <c r="JXI917" s="1091"/>
      <c r="JXJ917" s="1091"/>
      <c r="JXK917" s="1091"/>
      <c r="JXL917" s="1091"/>
      <c r="JXM917" s="1091"/>
      <c r="JXN917" s="1091"/>
      <c r="JXO917" s="1091"/>
      <c r="JXP917" s="1091"/>
      <c r="JXQ917" s="1091"/>
      <c r="JXR917" s="1091"/>
      <c r="JXS917" s="1091"/>
      <c r="JXT917" s="1091"/>
      <c r="JXU917" s="1091"/>
      <c r="JXV917" s="1091"/>
      <c r="JXW917" s="1091"/>
      <c r="JXX917" s="1091"/>
      <c r="JXY917" s="1091"/>
      <c r="JXZ917" s="1091"/>
      <c r="JYA917" s="1091"/>
      <c r="JYB917" s="1091"/>
      <c r="JYC917" s="1091"/>
      <c r="JYD917" s="1091"/>
      <c r="JYE917" s="1091"/>
      <c r="JYF917" s="1091"/>
      <c r="JYG917" s="1091"/>
      <c r="JYH917" s="1091"/>
      <c r="JYI917" s="1091"/>
      <c r="JYJ917" s="1091"/>
      <c r="JYK917" s="1091"/>
      <c r="JYL917" s="1091"/>
      <c r="JYM917" s="1091"/>
      <c r="JYN917" s="1091"/>
      <c r="JYO917" s="1091"/>
      <c r="JYP917" s="1091"/>
      <c r="JYQ917" s="1091"/>
      <c r="JYR917" s="1091"/>
      <c r="JYS917" s="1091"/>
      <c r="JYT917" s="1091"/>
      <c r="JYU917" s="1091"/>
      <c r="JYV917" s="1091"/>
      <c r="JYW917" s="1091"/>
      <c r="JYX917" s="1091"/>
      <c r="JYY917" s="1091"/>
      <c r="JYZ917" s="1091"/>
      <c r="JZA917" s="1091"/>
      <c r="JZB917" s="1091"/>
      <c r="JZC917" s="1091"/>
      <c r="JZD917" s="1091"/>
      <c r="JZE917" s="1091"/>
      <c r="JZF917" s="1091"/>
      <c r="JZG917" s="1091"/>
      <c r="JZH917" s="1091"/>
      <c r="JZI917" s="1091"/>
      <c r="JZJ917" s="1091"/>
      <c r="JZK917" s="1091"/>
      <c r="JZL917" s="1091"/>
      <c r="JZM917" s="1091"/>
      <c r="JZN917" s="1091"/>
      <c r="JZO917" s="1091"/>
      <c r="JZP917" s="1091"/>
      <c r="JZQ917" s="1091"/>
      <c r="JZR917" s="1091"/>
      <c r="JZS917" s="1091"/>
      <c r="JZT917" s="1091"/>
      <c r="JZU917" s="1091"/>
      <c r="JZV917" s="1091"/>
      <c r="JZW917" s="1091"/>
      <c r="JZX917" s="1091"/>
      <c r="JZY917" s="1091"/>
      <c r="JZZ917" s="1091"/>
      <c r="KAA917" s="1091"/>
      <c r="KAB917" s="1091"/>
      <c r="KAC917" s="1091"/>
      <c r="KAD917" s="1091"/>
      <c r="KAE917" s="1091"/>
      <c r="KAF917" s="1091"/>
      <c r="KAG917" s="1091"/>
      <c r="KAH917" s="1091"/>
      <c r="KAI917" s="1091"/>
      <c r="KAJ917" s="1091"/>
      <c r="KAK917" s="1091"/>
      <c r="KAL917" s="1091"/>
      <c r="KAM917" s="1091"/>
      <c r="KAN917" s="1091"/>
      <c r="KAO917" s="1091"/>
      <c r="KAP917" s="1091"/>
      <c r="KAQ917" s="1091"/>
      <c r="KAR917" s="1091"/>
      <c r="KAS917" s="1091"/>
      <c r="KAT917" s="1091"/>
      <c r="KAU917" s="1091"/>
      <c r="KAV917" s="1091"/>
      <c r="KAW917" s="1091"/>
      <c r="KAX917" s="1091"/>
      <c r="KAY917" s="1091"/>
      <c r="KAZ917" s="1091"/>
      <c r="KBA917" s="1091"/>
      <c r="KBB917" s="1091"/>
      <c r="KBC917" s="1091"/>
      <c r="KBD917" s="1091"/>
      <c r="KBE917" s="1091"/>
      <c r="KBF917" s="1091"/>
      <c r="KBG917" s="1091"/>
      <c r="KBH917" s="1091"/>
      <c r="KBI917" s="1091"/>
      <c r="KBJ917" s="1091"/>
      <c r="KBK917" s="1091"/>
      <c r="KBL917" s="1091"/>
      <c r="KBM917" s="1091"/>
      <c r="KBN917" s="1091"/>
      <c r="KBO917" s="1091"/>
      <c r="KBP917" s="1091"/>
      <c r="KBQ917" s="1091"/>
      <c r="KBR917" s="1091"/>
      <c r="KBS917" s="1091"/>
      <c r="KBT917" s="1091"/>
      <c r="KBU917" s="1091"/>
      <c r="KBV917" s="1091"/>
      <c r="KBW917" s="1091"/>
      <c r="KBX917" s="1091"/>
      <c r="KBY917" s="1091"/>
      <c r="KBZ917" s="1091"/>
      <c r="KCA917" s="1091"/>
      <c r="KCB917" s="1091"/>
      <c r="KCC917" s="1091"/>
      <c r="KCD917" s="1091"/>
      <c r="KCE917" s="1091"/>
      <c r="KCF917" s="1091"/>
      <c r="KCG917" s="1091"/>
      <c r="KCH917" s="1091"/>
      <c r="KCI917" s="1091"/>
      <c r="KCJ917" s="1091"/>
      <c r="KCK917" s="1091"/>
      <c r="KCL917" s="1091"/>
      <c r="KCM917" s="1091"/>
      <c r="KCN917" s="1091"/>
      <c r="KCO917" s="1091"/>
      <c r="KCP917" s="1091"/>
      <c r="KCQ917" s="1091"/>
      <c r="KCR917" s="1091"/>
      <c r="KCS917" s="1091"/>
      <c r="KCT917" s="1091"/>
      <c r="KCU917" s="1091"/>
      <c r="KCV917" s="1091"/>
      <c r="KCW917" s="1091"/>
      <c r="KCX917" s="1091"/>
      <c r="KCY917" s="1091"/>
      <c r="KCZ917" s="1091"/>
      <c r="KDA917" s="1091"/>
      <c r="KDB917" s="1091"/>
      <c r="KDC917" s="1091"/>
      <c r="KDD917" s="1091"/>
      <c r="KDE917" s="1091"/>
      <c r="KDF917" s="1091"/>
      <c r="KDG917" s="1091"/>
      <c r="KDH917" s="1091"/>
      <c r="KDI917" s="1091"/>
      <c r="KDJ917" s="1091"/>
      <c r="KDK917" s="1091"/>
      <c r="KDL917" s="1091"/>
      <c r="KDM917" s="1091"/>
      <c r="KDN917" s="1091"/>
      <c r="KDO917" s="1091"/>
      <c r="KDP917" s="1091"/>
      <c r="KDQ917" s="1091"/>
      <c r="KDR917" s="1091"/>
      <c r="KDS917" s="1091"/>
      <c r="KDT917" s="1091"/>
      <c r="KDU917" s="1091"/>
      <c r="KDV917" s="1091"/>
      <c r="KDW917" s="1091"/>
      <c r="KDX917" s="1091"/>
      <c r="KDY917" s="1091"/>
      <c r="KDZ917" s="1091"/>
      <c r="KEA917" s="1091"/>
      <c r="KEB917" s="1091"/>
      <c r="KEC917" s="1091"/>
      <c r="KED917" s="1091"/>
      <c r="KEE917" s="1091"/>
      <c r="KEF917" s="1091"/>
      <c r="KEG917" s="1091"/>
      <c r="KEH917" s="1091"/>
      <c r="KEI917" s="1091"/>
      <c r="KEJ917" s="1091"/>
      <c r="KEK917" s="1091"/>
      <c r="KEL917" s="1091"/>
      <c r="KEM917" s="1091"/>
      <c r="KEN917" s="1091"/>
      <c r="KEO917" s="1091"/>
      <c r="KEP917" s="1091"/>
      <c r="KEQ917" s="1091"/>
      <c r="KER917" s="1091"/>
      <c r="KES917" s="1091"/>
      <c r="KET917" s="1091"/>
      <c r="KEU917" s="1091"/>
      <c r="KEV917" s="1091"/>
      <c r="KEW917" s="1091"/>
      <c r="KEX917" s="1091"/>
      <c r="KEY917" s="1091"/>
      <c r="KEZ917" s="1091"/>
      <c r="KFA917" s="1091"/>
      <c r="KFB917" s="1091"/>
      <c r="KFC917" s="1091"/>
      <c r="KFD917" s="1091"/>
      <c r="KFE917" s="1091"/>
      <c r="KFF917" s="1091"/>
      <c r="KFG917" s="1091"/>
      <c r="KFH917" s="1091"/>
      <c r="KFI917" s="1091"/>
      <c r="KFJ917" s="1091"/>
      <c r="KFK917" s="1091"/>
      <c r="KFL917" s="1091"/>
      <c r="KFM917" s="1091"/>
      <c r="KFN917" s="1091"/>
      <c r="KFO917" s="1091"/>
      <c r="KFP917" s="1091"/>
      <c r="KFQ917" s="1091"/>
      <c r="KFR917" s="1091"/>
      <c r="KFS917" s="1091"/>
      <c r="KFT917" s="1091"/>
      <c r="KFU917" s="1091"/>
      <c r="KFV917" s="1091"/>
      <c r="KFW917" s="1091"/>
      <c r="KFX917" s="1091"/>
      <c r="KFY917" s="1091"/>
      <c r="KFZ917" s="1091"/>
      <c r="KGA917" s="1091"/>
      <c r="KGB917" s="1091"/>
      <c r="KGC917" s="1091"/>
      <c r="KGD917" s="1091"/>
      <c r="KGE917" s="1091"/>
      <c r="KGF917" s="1091"/>
      <c r="KGG917" s="1091"/>
      <c r="KGH917" s="1091"/>
      <c r="KGI917" s="1091"/>
      <c r="KGJ917" s="1091"/>
      <c r="KGK917" s="1091"/>
      <c r="KGL917" s="1091"/>
      <c r="KGM917" s="1091"/>
      <c r="KGN917" s="1091"/>
      <c r="KGO917" s="1091"/>
      <c r="KGP917" s="1091"/>
      <c r="KGQ917" s="1091"/>
      <c r="KGR917" s="1091"/>
      <c r="KGS917" s="1091"/>
      <c r="KGT917" s="1091"/>
      <c r="KGU917" s="1091"/>
      <c r="KGV917" s="1091"/>
      <c r="KGW917" s="1091"/>
      <c r="KGX917" s="1091"/>
      <c r="KGY917" s="1091"/>
      <c r="KGZ917" s="1091"/>
      <c r="KHA917" s="1091"/>
      <c r="KHB917" s="1091"/>
      <c r="KHC917" s="1091"/>
      <c r="KHD917" s="1091"/>
      <c r="KHE917" s="1091"/>
      <c r="KHF917" s="1091"/>
      <c r="KHG917" s="1091"/>
      <c r="KHH917" s="1091"/>
      <c r="KHI917" s="1091"/>
      <c r="KHJ917" s="1091"/>
      <c r="KHK917" s="1091"/>
      <c r="KHL917" s="1091"/>
      <c r="KHM917" s="1091"/>
      <c r="KHN917" s="1091"/>
      <c r="KHO917" s="1091"/>
      <c r="KHP917" s="1091"/>
      <c r="KHQ917" s="1091"/>
      <c r="KHR917" s="1091"/>
      <c r="KHS917" s="1091"/>
      <c r="KHT917" s="1091"/>
      <c r="KHU917" s="1091"/>
      <c r="KHV917" s="1091"/>
      <c r="KHW917" s="1091"/>
      <c r="KHX917" s="1091"/>
      <c r="KHY917" s="1091"/>
      <c r="KHZ917" s="1091"/>
      <c r="KIA917" s="1091"/>
      <c r="KIB917" s="1091"/>
      <c r="KIC917" s="1091"/>
      <c r="KID917" s="1091"/>
      <c r="KIE917" s="1091"/>
      <c r="KIF917" s="1091"/>
      <c r="KIG917" s="1091"/>
      <c r="KIH917" s="1091"/>
      <c r="KII917" s="1091"/>
      <c r="KIJ917" s="1091"/>
      <c r="KIK917" s="1091"/>
      <c r="KIL917" s="1091"/>
      <c r="KIM917" s="1091"/>
      <c r="KIN917" s="1091"/>
      <c r="KIO917" s="1091"/>
      <c r="KIP917" s="1091"/>
      <c r="KIQ917" s="1091"/>
      <c r="KIR917" s="1091"/>
      <c r="KIS917" s="1091"/>
      <c r="KIT917" s="1091"/>
      <c r="KIU917" s="1091"/>
      <c r="KIV917" s="1091"/>
      <c r="KIW917" s="1091"/>
      <c r="KIX917" s="1091"/>
      <c r="KIY917" s="1091"/>
      <c r="KIZ917" s="1091"/>
      <c r="KJA917" s="1091"/>
      <c r="KJB917" s="1091"/>
      <c r="KJC917" s="1091"/>
      <c r="KJD917" s="1091"/>
      <c r="KJE917" s="1091"/>
      <c r="KJF917" s="1091"/>
      <c r="KJG917" s="1091"/>
      <c r="KJH917" s="1091"/>
      <c r="KJI917" s="1091"/>
      <c r="KJJ917" s="1091"/>
      <c r="KJK917" s="1091"/>
      <c r="KJL917" s="1091"/>
      <c r="KJM917" s="1091"/>
      <c r="KJN917" s="1091"/>
      <c r="KJO917" s="1091"/>
      <c r="KJP917" s="1091"/>
      <c r="KJQ917" s="1091"/>
      <c r="KJR917" s="1091"/>
      <c r="KJS917" s="1091"/>
      <c r="KJT917" s="1091"/>
      <c r="KJU917" s="1091"/>
      <c r="KJV917" s="1091"/>
      <c r="KJW917" s="1091"/>
      <c r="KJX917" s="1091"/>
      <c r="KJY917" s="1091"/>
      <c r="KJZ917" s="1091"/>
      <c r="KKA917" s="1091"/>
      <c r="KKB917" s="1091"/>
      <c r="KKC917" s="1091"/>
      <c r="KKD917" s="1091"/>
      <c r="KKE917" s="1091"/>
      <c r="KKF917" s="1091"/>
      <c r="KKG917" s="1091"/>
      <c r="KKH917" s="1091"/>
      <c r="KKI917" s="1091"/>
      <c r="KKJ917" s="1091"/>
      <c r="KKK917" s="1091"/>
      <c r="KKL917" s="1091"/>
      <c r="KKM917" s="1091"/>
      <c r="KKN917" s="1091"/>
      <c r="KKO917" s="1091"/>
      <c r="KKP917" s="1091"/>
      <c r="KKQ917" s="1091"/>
      <c r="KKR917" s="1091"/>
      <c r="KKS917" s="1091"/>
      <c r="KKT917" s="1091"/>
      <c r="KKU917" s="1091"/>
      <c r="KKV917" s="1091"/>
      <c r="KKW917" s="1091"/>
      <c r="KKX917" s="1091"/>
      <c r="KKY917" s="1091"/>
      <c r="KKZ917" s="1091"/>
      <c r="KLA917" s="1091"/>
      <c r="KLB917" s="1091"/>
      <c r="KLC917" s="1091"/>
      <c r="KLD917" s="1091"/>
      <c r="KLE917" s="1091"/>
      <c r="KLF917" s="1091"/>
      <c r="KLG917" s="1091"/>
      <c r="KLH917" s="1091"/>
      <c r="KLI917" s="1091"/>
      <c r="KLJ917" s="1091"/>
      <c r="KLK917" s="1091"/>
      <c r="KLL917" s="1091"/>
      <c r="KLM917" s="1091"/>
      <c r="KLN917" s="1091"/>
      <c r="KLO917" s="1091"/>
      <c r="KLP917" s="1091"/>
      <c r="KLQ917" s="1091"/>
      <c r="KLR917" s="1091"/>
      <c r="KLS917" s="1091"/>
      <c r="KLT917" s="1091"/>
      <c r="KLU917" s="1091"/>
      <c r="KLV917" s="1091"/>
      <c r="KLW917" s="1091"/>
      <c r="KLX917" s="1091"/>
      <c r="KLY917" s="1091"/>
      <c r="KLZ917" s="1091"/>
      <c r="KMA917" s="1091"/>
      <c r="KMB917" s="1091"/>
      <c r="KMC917" s="1091"/>
      <c r="KMD917" s="1091"/>
      <c r="KME917" s="1091"/>
      <c r="KMF917" s="1091"/>
      <c r="KMG917" s="1091"/>
      <c r="KMH917" s="1091"/>
      <c r="KMI917" s="1091"/>
      <c r="KMJ917" s="1091"/>
      <c r="KMK917" s="1091"/>
      <c r="KML917" s="1091"/>
      <c r="KMM917" s="1091"/>
      <c r="KMN917" s="1091"/>
      <c r="KMO917" s="1091"/>
      <c r="KMP917" s="1091"/>
      <c r="KMQ917" s="1091"/>
      <c r="KMR917" s="1091"/>
      <c r="KMS917" s="1091"/>
      <c r="KMT917" s="1091"/>
      <c r="KMU917" s="1091"/>
      <c r="KMV917" s="1091"/>
      <c r="KMW917" s="1091"/>
      <c r="KMX917" s="1091"/>
      <c r="KMY917" s="1091"/>
      <c r="KMZ917" s="1091"/>
      <c r="KNA917" s="1091"/>
      <c r="KNB917" s="1091"/>
      <c r="KNC917" s="1091"/>
      <c r="KND917" s="1091"/>
      <c r="KNE917" s="1091"/>
      <c r="KNF917" s="1091"/>
      <c r="KNG917" s="1091"/>
      <c r="KNH917" s="1091"/>
      <c r="KNI917" s="1091"/>
      <c r="KNJ917" s="1091"/>
      <c r="KNK917" s="1091"/>
      <c r="KNL917" s="1091"/>
      <c r="KNM917" s="1091"/>
      <c r="KNN917" s="1091"/>
      <c r="KNO917" s="1091"/>
      <c r="KNP917" s="1091"/>
      <c r="KNQ917" s="1091"/>
      <c r="KNR917" s="1091"/>
      <c r="KNS917" s="1091"/>
      <c r="KNT917" s="1091"/>
      <c r="KNU917" s="1091"/>
      <c r="KNV917" s="1091"/>
      <c r="KNW917" s="1091"/>
      <c r="KNX917" s="1091"/>
      <c r="KNY917" s="1091"/>
      <c r="KNZ917" s="1091"/>
      <c r="KOA917" s="1091"/>
      <c r="KOB917" s="1091"/>
      <c r="KOC917" s="1091"/>
      <c r="KOD917" s="1091"/>
      <c r="KOE917" s="1091"/>
      <c r="KOF917" s="1091"/>
      <c r="KOG917" s="1091"/>
      <c r="KOH917" s="1091"/>
      <c r="KOI917" s="1091"/>
      <c r="KOJ917" s="1091"/>
      <c r="KOK917" s="1091"/>
      <c r="KOL917" s="1091"/>
      <c r="KOM917" s="1091"/>
      <c r="KON917" s="1091"/>
      <c r="KOO917" s="1091"/>
      <c r="KOP917" s="1091"/>
      <c r="KOQ917" s="1091"/>
      <c r="KOR917" s="1091"/>
      <c r="KOS917" s="1091"/>
      <c r="KOT917" s="1091"/>
      <c r="KOU917" s="1091"/>
      <c r="KOV917" s="1091"/>
      <c r="KOW917" s="1091"/>
      <c r="KOX917" s="1091"/>
      <c r="KOY917" s="1091"/>
      <c r="KOZ917" s="1091"/>
      <c r="KPA917" s="1091"/>
      <c r="KPB917" s="1091"/>
      <c r="KPC917" s="1091"/>
      <c r="KPD917" s="1091"/>
      <c r="KPE917" s="1091"/>
      <c r="KPF917" s="1091"/>
      <c r="KPG917" s="1091"/>
      <c r="KPH917" s="1091"/>
      <c r="KPI917" s="1091"/>
      <c r="KPJ917" s="1091"/>
      <c r="KPK917" s="1091"/>
      <c r="KPL917" s="1091"/>
      <c r="KPM917" s="1091"/>
      <c r="KPN917" s="1091"/>
      <c r="KPO917" s="1091"/>
      <c r="KPP917" s="1091"/>
      <c r="KPQ917" s="1091"/>
      <c r="KPR917" s="1091"/>
      <c r="KPS917" s="1091"/>
      <c r="KPT917" s="1091"/>
      <c r="KPU917" s="1091"/>
      <c r="KPV917" s="1091"/>
      <c r="KPW917" s="1091"/>
      <c r="KPX917" s="1091"/>
      <c r="KPY917" s="1091"/>
      <c r="KPZ917" s="1091"/>
      <c r="KQA917" s="1091"/>
      <c r="KQB917" s="1091"/>
      <c r="KQC917" s="1091"/>
      <c r="KQD917" s="1091"/>
      <c r="KQE917" s="1091"/>
      <c r="KQF917" s="1091"/>
      <c r="KQG917" s="1091"/>
      <c r="KQH917" s="1091"/>
      <c r="KQI917" s="1091"/>
      <c r="KQJ917" s="1091"/>
      <c r="KQK917" s="1091"/>
      <c r="KQL917" s="1091"/>
      <c r="KQM917" s="1091"/>
      <c r="KQN917" s="1091"/>
      <c r="KQO917" s="1091"/>
      <c r="KQP917" s="1091"/>
      <c r="KQQ917" s="1091"/>
      <c r="KQR917" s="1091"/>
      <c r="KQS917" s="1091"/>
      <c r="KQT917" s="1091"/>
      <c r="KQU917" s="1091"/>
      <c r="KQV917" s="1091"/>
      <c r="KQW917" s="1091"/>
      <c r="KQX917" s="1091"/>
      <c r="KQY917" s="1091"/>
      <c r="KQZ917" s="1091"/>
      <c r="KRA917" s="1091"/>
      <c r="KRB917" s="1091"/>
      <c r="KRC917" s="1091"/>
      <c r="KRD917" s="1091"/>
      <c r="KRE917" s="1091"/>
      <c r="KRF917" s="1091"/>
      <c r="KRG917" s="1091"/>
      <c r="KRH917" s="1091"/>
      <c r="KRI917" s="1091"/>
      <c r="KRJ917" s="1091"/>
      <c r="KRK917" s="1091"/>
      <c r="KRL917" s="1091"/>
      <c r="KRM917" s="1091"/>
      <c r="KRN917" s="1091"/>
      <c r="KRO917" s="1091"/>
      <c r="KRP917" s="1091"/>
      <c r="KRQ917" s="1091"/>
      <c r="KRR917" s="1091"/>
      <c r="KRS917" s="1091"/>
      <c r="KRT917" s="1091"/>
      <c r="KRU917" s="1091"/>
      <c r="KRV917" s="1091"/>
      <c r="KRW917" s="1091"/>
      <c r="KRX917" s="1091"/>
      <c r="KRY917" s="1091"/>
      <c r="KRZ917" s="1091"/>
      <c r="KSA917" s="1091"/>
      <c r="KSB917" s="1091"/>
      <c r="KSC917" s="1091"/>
      <c r="KSD917" s="1091"/>
      <c r="KSE917" s="1091"/>
      <c r="KSF917" s="1091"/>
      <c r="KSG917" s="1091"/>
      <c r="KSH917" s="1091"/>
      <c r="KSI917" s="1091"/>
      <c r="KSJ917" s="1091"/>
      <c r="KSK917" s="1091"/>
      <c r="KSL917" s="1091"/>
      <c r="KSM917" s="1091"/>
      <c r="KSN917" s="1091"/>
      <c r="KSO917" s="1091"/>
      <c r="KSP917" s="1091"/>
      <c r="KSQ917" s="1091"/>
      <c r="KSR917" s="1091"/>
      <c r="KSS917" s="1091"/>
      <c r="KST917" s="1091"/>
      <c r="KSU917" s="1091"/>
      <c r="KSV917" s="1091"/>
      <c r="KSW917" s="1091"/>
      <c r="KSX917" s="1091"/>
      <c r="KSY917" s="1091"/>
      <c r="KSZ917" s="1091"/>
      <c r="KTA917" s="1091"/>
      <c r="KTB917" s="1091"/>
      <c r="KTC917" s="1091"/>
      <c r="KTD917" s="1091"/>
      <c r="KTE917" s="1091"/>
      <c r="KTF917" s="1091"/>
      <c r="KTG917" s="1091"/>
      <c r="KTH917" s="1091"/>
      <c r="KTI917" s="1091"/>
      <c r="KTJ917" s="1091"/>
      <c r="KTK917" s="1091"/>
      <c r="KTL917" s="1091"/>
      <c r="KTM917" s="1091"/>
      <c r="KTN917" s="1091"/>
      <c r="KTO917" s="1091"/>
      <c r="KTP917" s="1091"/>
      <c r="KTQ917" s="1091"/>
      <c r="KTR917" s="1091"/>
      <c r="KTS917" s="1091"/>
      <c r="KTT917" s="1091"/>
      <c r="KTU917" s="1091"/>
      <c r="KTV917" s="1091"/>
      <c r="KTW917" s="1091"/>
      <c r="KTX917" s="1091"/>
      <c r="KTY917" s="1091"/>
      <c r="KTZ917" s="1091"/>
      <c r="KUA917" s="1091"/>
      <c r="KUB917" s="1091"/>
      <c r="KUC917" s="1091"/>
      <c r="KUD917" s="1091"/>
      <c r="KUE917" s="1091"/>
      <c r="KUF917" s="1091"/>
      <c r="KUG917" s="1091"/>
      <c r="KUH917" s="1091"/>
      <c r="KUI917" s="1091"/>
      <c r="KUJ917" s="1091"/>
      <c r="KUK917" s="1091"/>
      <c r="KUL917" s="1091"/>
      <c r="KUM917" s="1091"/>
      <c r="KUN917" s="1091"/>
      <c r="KUO917" s="1091"/>
      <c r="KUP917" s="1091"/>
      <c r="KUQ917" s="1091"/>
      <c r="KUR917" s="1091"/>
      <c r="KUS917" s="1091"/>
      <c r="KUT917" s="1091"/>
      <c r="KUU917" s="1091"/>
      <c r="KUV917" s="1091"/>
      <c r="KUW917" s="1091"/>
      <c r="KUX917" s="1091"/>
      <c r="KUY917" s="1091"/>
      <c r="KUZ917" s="1091"/>
      <c r="KVA917" s="1091"/>
      <c r="KVB917" s="1091"/>
      <c r="KVC917" s="1091"/>
      <c r="KVD917" s="1091"/>
      <c r="KVE917" s="1091"/>
      <c r="KVF917" s="1091"/>
      <c r="KVG917" s="1091"/>
      <c r="KVH917" s="1091"/>
      <c r="KVI917" s="1091"/>
      <c r="KVJ917" s="1091"/>
      <c r="KVK917" s="1091"/>
      <c r="KVL917" s="1091"/>
      <c r="KVM917" s="1091"/>
      <c r="KVN917" s="1091"/>
      <c r="KVO917" s="1091"/>
      <c r="KVP917" s="1091"/>
      <c r="KVQ917" s="1091"/>
      <c r="KVR917" s="1091"/>
      <c r="KVS917" s="1091"/>
      <c r="KVT917" s="1091"/>
      <c r="KVU917" s="1091"/>
      <c r="KVV917" s="1091"/>
      <c r="KVW917" s="1091"/>
      <c r="KVX917" s="1091"/>
      <c r="KVY917" s="1091"/>
      <c r="KVZ917" s="1091"/>
      <c r="KWA917" s="1091"/>
      <c r="KWB917" s="1091"/>
      <c r="KWC917" s="1091"/>
      <c r="KWD917" s="1091"/>
      <c r="KWE917" s="1091"/>
      <c r="KWF917" s="1091"/>
      <c r="KWG917" s="1091"/>
      <c r="KWH917" s="1091"/>
      <c r="KWI917" s="1091"/>
      <c r="KWJ917" s="1091"/>
      <c r="KWK917" s="1091"/>
      <c r="KWL917" s="1091"/>
      <c r="KWM917" s="1091"/>
      <c r="KWN917" s="1091"/>
      <c r="KWO917" s="1091"/>
      <c r="KWP917" s="1091"/>
      <c r="KWQ917" s="1091"/>
      <c r="KWR917" s="1091"/>
      <c r="KWS917" s="1091"/>
      <c r="KWT917" s="1091"/>
      <c r="KWU917" s="1091"/>
      <c r="KWV917" s="1091"/>
      <c r="KWW917" s="1091"/>
      <c r="KWX917" s="1091"/>
      <c r="KWY917" s="1091"/>
      <c r="KWZ917" s="1091"/>
      <c r="KXA917" s="1091"/>
      <c r="KXB917" s="1091"/>
      <c r="KXC917" s="1091"/>
      <c r="KXD917" s="1091"/>
      <c r="KXE917" s="1091"/>
      <c r="KXF917" s="1091"/>
      <c r="KXG917" s="1091"/>
      <c r="KXH917" s="1091"/>
      <c r="KXI917" s="1091"/>
      <c r="KXJ917" s="1091"/>
      <c r="KXK917" s="1091"/>
      <c r="KXL917" s="1091"/>
      <c r="KXM917" s="1091"/>
      <c r="KXN917" s="1091"/>
      <c r="KXO917" s="1091"/>
      <c r="KXP917" s="1091"/>
      <c r="KXQ917" s="1091"/>
      <c r="KXR917" s="1091"/>
      <c r="KXS917" s="1091"/>
      <c r="KXT917" s="1091"/>
      <c r="KXU917" s="1091"/>
      <c r="KXV917" s="1091"/>
      <c r="KXW917" s="1091"/>
      <c r="KXX917" s="1091"/>
      <c r="KXY917" s="1091"/>
      <c r="KXZ917" s="1091"/>
      <c r="KYA917" s="1091"/>
      <c r="KYB917" s="1091"/>
      <c r="KYC917" s="1091"/>
      <c r="KYD917" s="1091"/>
      <c r="KYE917" s="1091"/>
      <c r="KYF917" s="1091"/>
      <c r="KYG917" s="1091"/>
      <c r="KYH917" s="1091"/>
      <c r="KYI917" s="1091"/>
      <c r="KYJ917" s="1091"/>
      <c r="KYK917" s="1091"/>
      <c r="KYL917" s="1091"/>
      <c r="KYM917" s="1091"/>
      <c r="KYN917" s="1091"/>
      <c r="KYO917" s="1091"/>
      <c r="KYP917" s="1091"/>
      <c r="KYQ917" s="1091"/>
      <c r="KYR917" s="1091"/>
      <c r="KYS917" s="1091"/>
      <c r="KYT917" s="1091"/>
      <c r="KYU917" s="1091"/>
      <c r="KYV917" s="1091"/>
      <c r="KYW917" s="1091"/>
      <c r="KYX917" s="1091"/>
      <c r="KYY917" s="1091"/>
      <c r="KYZ917" s="1091"/>
      <c r="KZA917" s="1091"/>
      <c r="KZB917" s="1091"/>
      <c r="KZC917" s="1091"/>
      <c r="KZD917" s="1091"/>
      <c r="KZE917" s="1091"/>
      <c r="KZF917" s="1091"/>
      <c r="KZG917" s="1091"/>
      <c r="KZH917" s="1091"/>
      <c r="KZI917" s="1091"/>
      <c r="KZJ917" s="1091"/>
      <c r="KZK917" s="1091"/>
      <c r="KZL917" s="1091"/>
      <c r="KZM917" s="1091"/>
      <c r="KZN917" s="1091"/>
      <c r="KZO917" s="1091"/>
      <c r="KZP917" s="1091"/>
      <c r="KZQ917" s="1091"/>
      <c r="KZR917" s="1091"/>
      <c r="KZS917" s="1091"/>
      <c r="KZT917" s="1091"/>
      <c r="KZU917" s="1091"/>
      <c r="KZV917" s="1091"/>
      <c r="KZW917" s="1091"/>
      <c r="KZX917" s="1091"/>
      <c r="KZY917" s="1091"/>
      <c r="KZZ917" s="1091"/>
      <c r="LAA917" s="1091"/>
      <c r="LAB917" s="1091"/>
      <c r="LAC917" s="1091"/>
      <c r="LAD917" s="1091"/>
      <c r="LAE917" s="1091"/>
      <c r="LAF917" s="1091"/>
      <c r="LAG917" s="1091"/>
      <c r="LAH917" s="1091"/>
      <c r="LAI917" s="1091"/>
      <c r="LAJ917" s="1091"/>
      <c r="LAK917" s="1091"/>
      <c r="LAL917" s="1091"/>
      <c r="LAM917" s="1091"/>
      <c r="LAN917" s="1091"/>
      <c r="LAO917" s="1091"/>
      <c r="LAP917" s="1091"/>
      <c r="LAQ917" s="1091"/>
      <c r="LAR917" s="1091"/>
      <c r="LAS917" s="1091"/>
      <c r="LAT917" s="1091"/>
      <c r="LAU917" s="1091"/>
      <c r="LAV917" s="1091"/>
      <c r="LAW917" s="1091"/>
      <c r="LAX917" s="1091"/>
      <c r="LAY917" s="1091"/>
      <c r="LAZ917" s="1091"/>
      <c r="LBA917" s="1091"/>
      <c r="LBB917" s="1091"/>
      <c r="LBC917" s="1091"/>
      <c r="LBD917" s="1091"/>
      <c r="LBE917" s="1091"/>
      <c r="LBF917" s="1091"/>
      <c r="LBG917" s="1091"/>
      <c r="LBH917" s="1091"/>
      <c r="LBI917" s="1091"/>
      <c r="LBJ917" s="1091"/>
      <c r="LBK917" s="1091"/>
      <c r="LBL917" s="1091"/>
      <c r="LBM917" s="1091"/>
      <c r="LBN917" s="1091"/>
      <c r="LBO917" s="1091"/>
      <c r="LBP917" s="1091"/>
      <c r="LBQ917" s="1091"/>
      <c r="LBR917" s="1091"/>
      <c r="LBS917" s="1091"/>
      <c r="LBT917" s="1091"/>
      <c r="LBU917" s="1091"/>
      <c r="LBV917" s="1091"/>
      <c r="LBW917" s="1091"/>
      <c r="LBX917" s="1091"/>
      <c r="LBY917" s="1091"/>
      <c r="LBZ917" s="1091"/>
      <c r="LCA917" s="1091"/>
      <c r="LCB917" s="1091"/>
      <c r="LCC917" s="1091"/>
      <c r="LCD917" s="1091"/>
      <c r="LCE917" s="1091"/>
      <c r="LCF917" s="1091"/>
      <c r="LCG917" s="1091"/>
      <c r="LCH917" s="1091"/>
      <c r="LCI917" s="1091"/>
      <c r="LCJ917" s="1091"/>
      <c r="LCK917" s="1091"/>
      <c r="LCL917" s="1091"/>
      <c r="LCM917" s="1091"/>
      <c r="LCN917" s="1091"/>
      <c r="LCO917" s="1091"/>
      <c r="LCP917" s="1091"/>
      <c r="LCQ917" s="1091"/>
      <c r="LCR917" s="1091"/>
      <c r="LCS917" s="1091"/>
      <c r="LCT917" s="1091"/>
      <c r="LCU917" s="1091"/>
      <c r="LCV917" s="1091"/>
      <c r="LCW917" s="1091"/>
      <c r="LCX917" s="1091"/>
      <c r="LCY917" s="1091"/>
      <c r="LCZ917" s="1091"/>
      <c r="LDA917" s="1091"/>
      <c r="LDB917" s="1091"/>
      <c r="LDC917" s="1091"/>
      <c r="LDD917" s="1091"/>
      <c r="LDE917" s="1091"/>
      <c r="LDF917" s="1091"/>
      <c r="LDG917" s="1091"/>
      <c r="LDH917" s="1091"/>
      <c r="LDI917" s="1091"/>
      <c r="LDJ917" s="1091"/>
      <c r="LDK917" s="1091"/>
      <c r="LDL917" s="1091"/>
      <c r="LDM917" s="1091"/>
      <c r="LDN917" s="1091"/>
      <c r="LDO917" s="1091"/>
      <c r="LDP917" s="1091"/>
      <c r="LDQ917" s="1091"/>
      <c r="LDR917" s="1091"/>
      <c r="LDS917" s="1091"/>
      <c r="LDT917" s="1091"/>
      <c r="LDU917" s="1091"/>
      <c r="LDV917" s="1091"/>
      <c r="LDW917" s="1091"/>
      <c r="LDX917" s="1091"/>
      <c r="LDY917" s="1091"/>
      <c r="LDZ917" s="1091"/>
      <c r="LEA917" s="1091"/>
      <c r="LEB917" s="1091"/>
      <c r="LEC917" s="1091"/>
      <c r="LED917" s="1091"/>
      <c r="LEE917" s="1091"/>
      <c r="LEF917" s="1091"/>
      <c r="LEG917" s="1091"/>
      <c r="LEH917" s="1091"/>
      <c r="LEI917" s="1091"/>
      <c r="LEJ917" s="1091"/>
      <c r="LEK917" s="1091"/>
      <c r="LEL917" s="1091"/>
      <c r="LEM917" s="1091"/>
      <c r="LEN917" s="1091"/>
      <c r="LEO917" s="1091"/>
      <c r="LEP917" s="1091"/>
      <c r="LEQ917" s="1091"/>
      <c r="LER917" s="1091"/>
      <c r="LES917" s="1091"/>
      <c r="LET917" s="1091"/>
      <c r="LEU917" s="1091"/>
      <c r="LEV917" s="1091"/>
      <c r="LEW917" s="1091"/>
      <c r="LEX917" s="1091"/>
      <c r="LEY917" s="1091"/>
      <c r="LEZ917" s="1091"/>
      <c r="LFA917" s="1091"/>
      <c r="LFB917" s="1091"/>
      <c r="LFC917" s="1091"/>
      <c r="LFD917" s="1091"/>
      <c r="LFE917" s="1091"/>
      <c r="LFF917" s="1091"/>
      <c r="LFG917" s="1091"/>
      <c r="LFH917" s="1091"/>
      <c r="LFI917" s="1091"/>
      <c r="LFJ917" s="1091"/>
      <c r="LFK917" s="1091"/>
      <c r="LFL917" s="1091"/>
      <c r="LFM917" s="1091"/>
      <c r="LFN917" s="1091"/>
      <c r="LFO917" s="1091"/>
      <c r="LFP917" s="1091"/>
      <c r="LFQ917" s="1091"/>
      <c r="LFR917" s="1091"/>
      <c r="LFS917" s="1091"/>
      <c r="LFT917" s="1091"/>
      <c r="LFU917" s="1091"/>
      <c r="LFV917" s="1091"/>
      <c r="LFW917" s="1091"/>
      <c r="LFX917" s="1091"/>
      <c r="LFY917" s="1091"/>
      <c r="LFZ917" s="1091"/>
      <c r="LGA917" s="1091"/>
      <c r="LGB917" s="1091"/>
      <c r="LGC917" s="1091"/>
      <c r="LGD917" s="1091"/>
      <c r="LGE917" s="1091"/>
      <c r="LGF917" s="1091"/>
      <c r="LGG917" s="1091"/>
      <c r="LGH917" s="1091"/>
      <c r="LGI917" s="1091"/>
      <c r="LGJ917" s="1091"/>
      <c r="LGK917" s="1091"/>
      <c r="LGL917" s="1091"/>
      <c r="LGM917" s="1091"/>
      <c r="LGN917" s="1091"/>
      <c r="LGO917" s="1091"/>
      <c r="LGP917" s="1091"/>
      <c r="LGQ917" s="1091"/>
      <c r="LGR917" s="1091"/>
      <c r="LGS917" s="1091"/>
      <c r="LGT917" s="1091"/>
      <c r="LGU917" s="1091"/>
      <c r="LGV917" s="1091"/>
      <c r="LGW917" s="1091"/>
      <c r="LGX917" s="1091"/>
      <c r="LGY917" s="1091"/>
      <c r="LGZ917" s="1091"/>
      <c r="LHA917" s="1091"/>
      <c r="LHB917" s="1091"/>
      <c r="LHC917" s="1091"/>
      <c r="LHD917" s="1091"/>
      <c r="LHE917" s="1091"/>
      <c r="LHF917" s="1091"/>
      <c r="LHG917" s="1091"/>
      <c r="LHH917" s="1091"/>
      <c r="LHI917" s="1091"/>
      <c r="LHJ917" s="1091"/>
      <c r="LHK917" s="1091"/>
      <c r="LHL917" s="1091"/>
      <c r="LHM917" s="1091"/>
      <c r="LHN917" s="1091"/>
      <c r="LHO917" s="1091"/>
      <c r="LHP917" s="1091"/>
      <c r="LHQ917" s="1091"/>
      <c r="LHR917" s="1091"/>
      <c r="LHS917" s="1091"/>
      <c r="LHT917" s="1091"/>
      <c r="LHU917" s="1091"/>
      <c r="LHV917" s="1091"/>
      <c r="LHW917" s="1091"/>
      <c r="LHX917" s="1091"/>
      <c r="LHY917" s="1091"/>
      <c r="LHZ917" s="1091"/>
      <c r="LIA917" s="1091"/>
      <c r="LIB917" s="1091"/>
      <c r="LIC917" s="1091"/>
      <c r="LID917" s="1091"/>
      <c r="LIE917" s="1091"/>
      <c r="LIF917" s="1091"/>
      <c r="LIG917" s="1091"/>
      <c r="LIH917" s="1091"/>
      <c r="LII917" s="1091"/>
      <c r="LIJ917" s="1091"/>
      <c r="LIK917" s="1091"/>
      <c r="LIL917" s="1091"/>
      <c r="LIM917" s="1091"/>
      <c r="LIN917" s="1091"/>
      <c r="LIO917" s="1091"/>
      <c r="LIP917" s="1091"/>
      <c r="LIQ917" s="1091"/>
      <c r="LIR917" s="1091"/>
      <c r="LIS917" s="1091"/>
      <c r="LIT917" s="1091"/>
      <c r="LIU917" s="1091"/>
      <c r="LIV917" s="1091"/>
      <c r="LIW917" s="1091"/>
      <c r="LIX917" s="1091"/>
      <c r="LIY917" s="1091"/>
      <c r="LIZ917" s="1091"/>
      <c r="LJA917" s="1091"/>
      <c r="LJB917" s="1091"/>
      <c r="LJC917" s="1091"/>
      <c r="LJD917" s="1091"/>
      <c r="LJE917" s="1091"/>
      <c r="LJF917" s="1091"/>
      <c r="LJG917" s="1091"/>
      <c r="LJH917" s="1091"/>
      <c r="LJI917" s="1091"/>
      <c r="LJJ917" s="1091"/>
      <c r="LJK917" s="1091"/>
      <c r="LJL917" s="1091"/>
      <c r="LJM917" s="1091"/>
      <c r="LJN917" s="1091"/>
      <c r="LJO917" s="1091"/>
      <c r="LJP917" s="1091"/>
      <c r="LJQ917" s="1091"/>
      <c r="LJR917" s="1091"/>
      <c r="LJS917" s="1091"/>
      <c r="LJT917" s="1091"/>
      <c r="LJU917" s="1091"/>
      <c r="LJV917" s="1091"/>
      <c r="LJW917" s="1091"/>
      <c r="LJX917" s="1091"/>
      <c r="LJY917" s="1091"/>
      <c r="LJZ917" s="1091"/>
      <c r="LKA917" s="1091"/>
      <c r="LKB917" s="1091"/>
      <c r="LKC917" s="1091"/>
      <c r="LKD917" s="1091"/>
      <c r="LKE917" s="1091"/>
      <c r="LKF917" s="1091"/>
      <c r="LKG917" s="1091"/>
      <c r="LKH917" s="1091"/>
      <c r="LKI917" s="1091"/>
      <c r="LKJ917" s="1091"/>
      <c r="LKK917" s="1091"/>
      <c r="LKL917" s="1091"/>
      <c r="LKM917" s="1091"/>
      <c r="LKN917" s="1091"/>
      <c r="LKO917" s="1091"/>
      <c r="LKP917" s="1091"/>
      <c r="LKQ917" s="1091"/>
      <c r="LKR917" s="1091"/>
      <c r="LKS917" s="1091"/>
      <c r="LKT917" s="1091"/>
      <c r="LKU917" s="1091"/>
      <c r="LKV917" s="1091"/>
      <c r="LKW917" s="1091"/>
      <c r="LKX917" s="1091"/>
      <c r="LKY917" s="1091"/>
      <c r="LKZ917" s="1091"/>
      <c r="LLA917" s="1091"/>
      <c r="LLB917" s="1091"/>
      <c r="LLC917" s="1091"/>
      <c r="LLD917" s="1091"/>
      <c r="LLE917" s="1091"/>
      <c r="LLF917" s="1091"/>
      <c r="LLG917" s="1091"/>
      <c r="LLH917" s="1091"/>
      <c r="LLI917" s="1091"/>
      <c r="LLJ917" s="1091"/>
      <c r="LLK917" s="1091"/>
      <c r="LLL917" s="1091"/>
      <c r="LLM917" s="1091"/>
      <c r="LLN917" s="1091"/>
      <c r="LLO917" s="1091"/>
      <c r="LLP917" s="1091"/>
      <c r="LLQ917" s="1091"/>
      <c r="LLR917" s="1091"/>
      <c r="LLS917" s="1091"/>
      <c r="LLT917" s="1091"/>
      <c r="LLU917" s="1091"/>
      <c r="LLV917" s="1091"/>
      <c r="LLW917" s="1091"/>
      <c r="LLX917" s="1091"/>
      <c r="LLY917" s="1091"/>
      <c r="LLZ917" s="1091"/>
      <c r="LMA917" s="1091"/>
      <c r="LMB917" s="1091"/>
      <c r="LMC917" s="1091"/>
      <c r="LMD917" s="1091"/>
      <c r="LME917" s="1091"/>
      <c r="LMF917" s="1091"/>
      <c r="LMG917" s="1091"/>
      <c r="LMH917" s="1091"/>
      <c r="LMI917" s="1091"/>
      <c r="LMJ917" s="1091"/>
      <c r="LMK917" s="1091"/>
      <c r="LML917" s="1091"/>
      <c r="LMM917" s="1091"/>
      <c r="LMN917" s="1091"/>
      <c r="LMO917" s="1091"/>
      <c r="LMP917" s="1091"/>
      <c r="LMQ917" s="1091"/>
      <c r="LMR917" s="1091"/>
      <c r="LMS917" s="1091"/>
      <c r="LMT917" s="1091"/>
      <c r="LMU917" s="1091"/>
      <c r="LMV917" s="1091"/>
      <c r="LMW917" s="1091"/>
      <c r="LMX917" s="1091"/>
      <c r="LMY917" s="1091"/>
      <c r="LMZ917" s="1091"/>
      <c r="LNA917" s="1091"/>
      <c r="LNB917" s="1091"/>
      <c r="LNC917" s="1091"/>
      <c r="LND917" s="1091"/>
      <c r="LNE917" s="1091"/>
      <c r="LNF917" s="1091"/>
      <c r="LNG917" s="1091"/>
      <c r="LNH917" s="1091"/>
      <c r="LNI917" s="1091"/>
      <c r="LNJ917" s="1091"/>
      <c r="LNK917" s="1091"/>
      <c r="LNL917" s="1091"/>
      <c r="LNM917" s="1091"/>
      <c r="LNN917" s="1091"/>
      <c r="LNO917" s="1091"/>
      <c r="LNP917" s="1091"/>
      <c r="LNQ917" s="1091"/>
      <c r="LNR917" s="1091"/>
      <c r="LNS917" s="1091"/>
      <c r="LNT917" s="1091"/>
      <c r="LNU917" s="1091"/>
      <c r="LNV917" s="1091"/>
      <c r="LNW917" s="1091"/>
      <c r="LNX917" s="1091"/>
      <c r="LNY917" s="1091"/>
      <c r="LNZ917" s="1091"/>
      <c r="LOA917" s="1091"/>
      <c r="LOB917" s="1091"/>
      <c r="LOC917" s="1091"/>
      <c r="LOD917" s="1091"/>
      <c r="LOE917" s="1091"/>
      <c r="LOF917" s="1091"/>
      <c r="LOG917" s="1091"/>
      <c r="LOH917" s="1091"/>
      <c r="LOI917" s="1091"/>
      <c r="LOJ917" s="1091"/>
      <c r="LOK917" s="1091"/>
      <c r="LOL917" s="1091"/>
      <c r="LOM917" s="1091"/>
      <c r="LON917" s="1091"/>
      <c r="LOO917" s="1091"/>
      <c r="LOP917" s="1091"/>
      <c r="LOQ917" s="1091"/>
      <c r="LOR917" s="1091"/>
      <c r="LOS917" s="1091"/>
      <c r="LOT917" s="1091"/>
      <c r="LOU917" s="1091"/>
      <c r="LOV917" s="1091"/>
      <c r="LOW917" s="1091"/>
      <c r="LOX917" s="1091"/>
      <c r="LOY917" s="1091"/>
      <c r="LOZ917" s="1091"/>
      <c r="LPA917" s="1091"/>
      <c r="LPB917" s="1091"/>
      <c r="LPC917" s="1091"/>
      <c r="LPD917" s="1091"/>
      <c r="LPE917" s="1091"/>
      <c r="LPF917" s="1091"/>
      <c r="LPG917" s="1091"/>
      <c r="LPH917" s="1091"/>
      <c r="LPI917" s="1091"/>
      <c r="LPJ917" s="1091"/>
      <c r="LPK917" s="1091"/>
      <c r="LPL917" s="1091"/>
      <c r="LPM917" s="1091"/>
      <c r="LPN917" s="1091"/>
      <c r="LPO917" s="1091"/>
      <c r="LPP917" s="1091"/>
      <c r="LPQ917" s="1091"/>
      <c r="LPR917" s="1091"/>
      <c r="LPS917" s="1091"/>
      <c r="LPT917" s="1091"/>
      <c r="LPU917" s="1091"/>
      <c r="LPV917" s="1091"/>
      <c r="LPW917" s="1091"/>
      <c r="LPX917" s="1091"/>
      <c r="LPY917" s="1091"/>
      <c r="LPZ917" s="1091"/>
      <c r="LQA917" s="1091"/>
      <c r="LQB917" s="1091"/>
      <c r="LQC917" s="1091"/>
      <c r="LQD917" s="1091"/>
      <c r="LQE917" s="1091"/>
      <c r="LQF917" s="1091"/>
      <c r="LQG917" s="1091"/>
      <c r="LQH917" s="1091"/>
      <c r="LQI917" s="1091"/>
      <c r="LQJ917" s="1091"/>
      <c r="LQK917" s="1091"/>
      <c r="LQL917" s="1091"/>
      <c r="LQM917" s="1091"/>
      <c r="LQN917" s="1091"/>
      <c r="LQO917" s="1091"/>
      <c r="LQP917" s="1091"/>
      <c r="LQQ917" s="1091"/>
      <c r="LQR917" s="1091"/>
      <c r="LQS917" s="1091"/>
      <c r="LQT917" s="1091"/>
      <c r="LQU917" s="1091"/>
      <c r="LQV917" s="1091"/>
      <c r="LQW917" s="1091"/>
      <c r="LQX917" s="1091"/>
      <c r="LQY917" s="1091"/>
      <c r="LQZ917" s="1091"/>
      <c r="LRA917" s="1091"/>
      <c r="LRB917" s="1091"/>
      <c r="LRC917" s="1091"/>
      <c r="LRD917" s="1091"/>
      <c r="LRE917" s="1091"/>
      <c r="LRF917" s="1091"/>
      <c r="LRG917" s="1091"/>
      <c r="LRH917" s="1091"/>
      <c r="LRI917" s="1091"/>
      <c r="LRJ917" s="1091"/>
      <c r="LRK917" s="1091"/>
      <c r="LRL917" s="1091"/>
      <c r="LRM917" s="1091"/>
      <c r="LRN917" s="1091"/>
      <c r="LRO917" s="1091"/>
      <c r="LRP917" s="1091"/>
      <c r="LRQ917" s="1091"/>
      <c r="LRR917" s="1091"/>
      <c r="LRS917" s="1091"/>
      <c r="LRT917" s="1091"/>
      <c r="LRU917" s="1091"/>
      <c r="LRV917" s="1091"/>
      <c r="LRW917" s="1091"/>
      <c r="LRX917" s="1091"/>
      <c r="LRY917" s="1091"/>
      <c r="LRZ917" s="1091"/>
      <c r="LSA917" s="1091"/>
      <c r="LSB917" s="1091"/>
      <c r="LSC917" s="1091"/>
      <c r="LSD917" s="1091"/>
      <c r="LSE917" s="1091"/>
      <c r="LSF917" s="1091"/>
      <c r="LSG917" s="1091"/>
      <c r="LSH917" s="1091"/>
      <c r="LSI917" s="1091"/>
      <c r="LSJ917" s="1091"/>
      <c r="LSK917" s="1091"/>
      <c r="LSL917" s="1091"/>
      <c r="LSM917" s="1091"/>
      <c r="LSN917" s="1091"/>
      <c r="LSO917" s="1091"/>
      <c r="LSP917" s="1091"/>
      <c r="LSQ917" s="1091"/>
      <c r="LSR917" s="1091"/>
      <c r="LSS917" s="1091"/>
      <c r="LST917" s="1091"/>
      <c r="LSU917" s="1091"/>
      <c r="LSV917" s="1091"/>
      <c r="LSW917" s="1091"/>
      <c r="LSX917" s="1091"/>
      <c r="LSY917" s="1091"/>
      <c r="LSZ917" s="1091"/>
      <c r="LTA917" s="1091"/>
      <c r="LTB917" s="1091"/>
      <c r="LTC917" s="1091"/>
      <c r="LTD917" s="1091"/>
      <c r="LTE917" s="1091"/>
      <c r="LTF917" s="1091"/>
      <c r="LTG917" s="1091"/>
      <c r="LTH917" s="1091"/>
      <c r="LTI917" s="1091"/>
      <c r="LTJ917" s="1091"/>
      <c r="LTK917" s="1091"/>
      <c r="LTL917" s="1091"/>
      <c r="LTM917" s="1091"/>
      <c r="LTN917" s="1091"/>
      <c r="LTO917" s="1091"/>
      <c r="LTP917" s="1091"/>
      <c r="LTQ917" s="1091"/>
      <c r="LTR917" s="1091"/>
      <c r="LTS917" s="1091"/>
      <c r="LTT917" s="1091"/>
      <c r="LTU917" s="1091"/>
      <c r="LTV917" s="1091"/>
      <c r="LTW917" s="1091"/>
      <c r="LTX917" s="1091"/>
      <c r="LTY917" s="1091"/>
      <c r="LTZ917" s="1091"/>
      <c r="LUA917" s="1091"/>
      <c r="LUB917" s="1091"/>
      <c r="LUC917" s="1091"/>
      <c r="LUD917" s="1091"/>
      <c r="LUE917" s="1091"/>
      <c r="LUF917" s="1091"/>
      <c r="LUG917" s="1091"/>
      <c r="LUH917" s="1091"/>
      <c r="LUI917" s="1091"/>
      <c r="LUJ917" s="1091"/>
      <c r="LUK917" s="1091"/>
      <c r="LUL917" s="1091"/>
      <c r="LUM917" s="1091"/>
      <c r="LUN917" s="1091"/>
      <c r="LUO917" s="1091"/>
      <c r="LUP917" s="1091"/>
      <c r="LUQ917" s="1091"/>
      <c r="LUR917" s="1091"/>
      <c r="LUS917" s="1091"/>
      <c r="LUT917" s="1091"/>
      <c r="LUU917" s="1091"/>
      <c r="LUV917" s="1091"/>
      <c r="LUW917" s="1091"/>
      <c r="LUX917" s="1091"/>
      <c r="LUY917" s="1091"/>
      <c r="LUZ917" s="1091"/>
      <c r="LVA917" s="1091"/>
      <c r="LVB917" s="1091"/>
      <c r="LVC917" s="1091"/>
      <c r="LVD917" s="1091"/>
      <c r="LVE917" s="1091"/>
      <c r="LVF917" s="1091"/>
      <c r="LVG917" s="1091"/>
      <c r="LVH917" s="1091"/>
      <c r="LVI917" s="1091"/>
      <c r="LVJ917" s="1091"/>
      <c r="LVK917" s="1091"/>
      <c r="LVL917" s="1091"/>
      <c r="LVM917" s="1091"/>
      <c r="LVN917" s="1091"/>
      <c r="LVO917" s="1091"/>
      <c r="LVP917" s="1091"/>
      <c r="LVQ917" s="1091"/>
      <c r="LVR917" s="1091"/>
      <c r="LVS917" s="1091"/>
      <c r="LVT917" s="1091"/>
      <c r="LVU917" s="1091"/>
      <c r="LVV917" s="1091"/>
      <c r="LVW917" s="1091"/>
      <c r="LVX917" s="1091"/>
      <c r="LVY917" s="1091"/>
      <c r="LVZ917" s="1091"/>
      <c r="LWA917" s="1091"/>
      <c r="LWB917" s="1091"/>
      <c r="LWC917" s="1091"/>
      <c r="LWD917" s="1091"/>
      <c r="LWE917" s="1091"/>
      <c r="LWF917" s="1091"/>
      <c r="LWG917" s="1091"/>
      <c r="LWH917" s="1091"/>
      <c r="LWI917" s="1091"/>
      <c r="LWJ917" s="1091"/>
      <c r="LWK917" s="1091"/>
      <c r="LWL917" s="1091"/>
      <c r="LWM917" s="1091"/>
      <c r="LWN917" s="1091"/>
      <c r="LWO917" s="1091"/>
      <c r="LWP917" s="1091"/>
      <c r="LWQ917" s="1091"/>
      <c r="LWR917" s="1091"/>
      <c r="LWS917" s="1091"/>
      <c r="LWT917" s="1091"/>
      <c r="LWU917" s="1091"/>
      <c r="LWV917" s="1091"/>
      <c r="LWW917" s="1091"/>
      <c r="LWX917" s="1091"/>
      <c r="LWY917" s="1091"/>
      <c r="LWZ917" s="1091"/>
      <c r="LXA917" s="1091"/>
      <c r="LXB917" s="1091"/>
      <c r="LXC917" s="1091"/>
      <c r="LXD917" s="1091"/>
      <c r="LXE917" s="1091"/>
      <c r="LXF917" s="1091"/>
      <c r="LXG917" s="1091"/>
      <c r="LXH917" s="1091"/>
      <c r="LXI917" s="1091"/>
      <c r="LXJ917" s="1091"/>
      <c r="LXK917" s="1091"/>
      <c r="LXL917" s="1091"/>
      <c r="LXM917" s="1091"/>
      <c r="LXN917" s="1091"/>
      <c r="LXO917" s="1091"/>
      <c r="LXP917" s="1091"/>
      <c r="LXQ917" s="1091"/>
      <c r="LXR917" s="1091"/>
      <c r="LXS917" s="1091"/>
      <c r="LXT917" s="1091"/>
      <c r="LXU917" s="1091"/>
      <c r="LXV917" s="1091"/>
      <c r="LXW917" s="1091"/>
      <c r="LXX917" s="1091"/>
      <c r="LXY917" s="1091"/>
      <c r="LXZ917" s="1091"/>
      <c r="LYA917" s="1091"/>
      <c r="LYB917" s="1091"/>
      <c r="LYC917" s="1091"/>
      <c r="LYD917" s="1091"/>
      <c r="LYE917" s="1091"/>
      <c r="LYF917" s="1091"/>
      <c r="LYG917" s="1091"/>
      <c r="LYH917" s="1091"/>
      <c r="LYI917" s="1091"/>
      <c r="LYJ917" s="1091"/>
      <c r="LYK917" s="1091"/>
      <c r="LYL917" s="1091"/>
      <c r="LYM917" s="1091"/>
      <c r="LYN917" s="1091"/>
      <c r="LYO917" s="1091"/>
      <c r="LYP917" s="1091"/>
      <c r="LYQ917" s="1091"/>
      <c r="LYR917" s="1091"/>
      <c r="LYS917" s="1091"/>
      <c r="LYT917" s="1091"/>
      <c r="LYU917" s="1091"/>
      <c r="LYV917" s="1091"/>
      <c r="LYW917" s="1091"/>
      <c r="LYX917" s="1091"/>
      <c r="LYY917" s="1091"/>
      <c r="LYZ917" s="1091"/>
      <c r="LZA917" s="1091"/>
      <c r="LZB917" s="1091"/>
      <c r="LZC917" s="1091"/>
      <c r="LZD917" s="1091"/>
      <c r="LZE917" s="1091"/>
      <c r="LZF917" s="1091"/>
      <c r="LZG917" s="1091"/>
      <c r="LZH917" s="1091"/>
      <c r="LZI917" s="1091"/>
      <c r="LZJ917" s="1091"/>
      <c r="LZK917" s="1091"/>
      <c r="LZL917" s="1091"/>
      <c r="LZM917" s="1091"/>
      <c r="LZN917" s="1091"/>
      <c r="LZO917" s="1091"/>
      <c r="LZP917" s="1091"/>
      <c r="LZQ917" s="1091"/>
      <c r="LZR917" s="1091"/>
      <c r="LZS917" s="1091"/>
      <c r="LZT917" s="1091"/>
      <c r="LZU917" s="1091"/>
      <c r="LZV917" s="1091"/>
      <c r="LZW917" s="1091"/>
      <c r="LZX917" s="1091"/>
      <c r="LZY917" s="1091"/>
      <c r="LZZ917" s="1091"/>
      <c r="MAA917" s="1091"/>
      <c r="MAB917" s="1091"/>
      <c r="MAC917" s="1091"/>
      <c r="MAD917" s="1091"/>
      <c r="MAE917" s="1091"/>
      <c r="MAF917" s="1091"/>
      <c r="MAG917" s="1091"/>
      <c r="MAH917" s="1091"/>
      <c r="MAI917" s="1091"/>
      <c r="MAJ917" s="1091"/>
      <c r="MAK917" s="1091"/>
      <c r="MAL917" s="1091"/>
      <c r="MAM917" s="1091"/>
      <c r="MAN917" s="1091"/>
      <c r="MAO917" s="1091"/>
      <c r="MAP917" s="1091"/>
      <c r="MAQ917" s="1091"/>
      <c r="MAR917" s="1091"/>
      <c r="MAS917" s="1091"/>
      <c r="MAT917" s="1091"/>
      <c r="MAU917" s="1091"/>
      <c r="MAV917" s="1091"/>
      <c r="MAW917" s="1091"/>
      <c r="MAX917" s="1091"/>
      <c r="MAY917" s="1091"/>
      <c r="MAZ917" s="1091"/>
      <c r="MBA917" s="1091"/>
      <c r="MBB917" s="1091"/>
      <c r="MBC917" s="1091"/>
      <c r="MBD917" s="1091"/>
      <c r="MBE917" s="1091"/>
      <c r="MBF917" s="1091"/>
      <c r="MBG917" s="1091"/>
      <c r="MBH917" s="1091"/>
      <c r="MBI917" s="1091"/>
      <c r="MBJ917" s="1091"/>
      <c r="MBK917" s="1091"/>
      <c r="MBL917" s="1091"/>
      <c r="MBM917" s="1091"/>
      <c r="MBN917" s="1091"/>
      <c r="MBO917" s="1091"/>
      <c r="MBP917" s="1091"/>
      <c r="MBQ917" s="1091"/>
      <c r="MBR917" s="1091"/>
      <c r="MBS917" s="1091"/>
      <c r="MBT917" s="1091"/>
      <c r="MBU917" s="1091"/>
      <c r="MBV917" s="1091"/>
      <c r="MBW917" s="1091"/>
      <c r="MBX917" s="1091"/>
      <c r="MBY917" s="1091"/>
      <c r="MBZ917" s="1091"/>
      <c r="MCA917" s="1091"/>
      <c r="MCB917" s="1091"/>
      <c r="MCC917" s="1091"/>
      <c r="MCD917" s="1091"/>
      <c r="MCE917" s="1091"/>
      <c r="MCF917" s="1091"/>
      <c r="MCG917" s="1091"/>
      <c r="MCH917" s="1091"/>
      <c r="MCI917" s="1091"/>
      <c r="MCJ917" s="1091"/>
      <c r="MCK917" s="1091"/>
      <c r="MCL917" s="1091"/>
      <c r="MCM917" s="1091"/>
      <c r="MCN917" s="1091"/>
      <c r="MCO917" s="1091"/>
      <c r="MCP917" s="1091"/>
      <c r="MCQ917" s="1091"/>
      <c r="MCR917" s="1091"/>
      <c r="MCS917" s="1091"/>
      <c r="MCT917" s="1091"/>
      <c r="MCU917" s="1091"/>
      <c r="MCV917" s="1091"/>
      <c r="MCW917" s="1091"/>
      <c r="MCX917" s="1091"/>
      <c r="MCY917" s="1091"/>
      <c r="MCZ917" s="1091"/>
      <c r="MDA917" s="1091"/>
      <c r="MDB917" s="1091"/>
      <c r="MDC917" s="1091"/>
      <c r="MDD917" s="1091"/>
      <c r="MDE917" s="1091"/>
      <c r="MDF917" s="1091"/>
      <c r="MDG917" s="1091"/>
      <c r="MDH917" s="1091"/>
      <c r="MDI917" s="1091"/>
      <c r="MDJ917" s="1091"/>
      <c r="MDK917" s="1091"/>
      <c r="MDL917" s="1091"/>
      <c r="MDM917" s="1091"/>
      <c r="MDN917" s="1091"/>
      <c r="MDO917" s="1091"/>
      <c r="MDP917" s="1091"/>
      <c r="MDQ917" s="1091"/>
      <c r="MDR917" s="1091"/>
      <c r="MDS917" s="1091"/>
      <c r="MDT917" s="1091"/>
      <c r="MDU917" s="1091"/>
      <c r="MDV917" s="1091"/>
      <c r="MDW917" s="1091"/>
      <c r="MDX917" s="1091"/>
      <c r="MDY917" s="1091"/>
      <c r="MDZ917" s="1091"/>
      <c r="MEA917" s="1091"/>
      <c r="MEB917" s="1091"/>
      <c r="MEC917" s="1091"/>
      <c r="MED917" s="1091"/>
      <c r="MEE917" s="1091"/>
      <c r="MEF917" s="1091"/>
      <c r="MEG917" s="1091"/>
      <c r="MEH917" s="1091"/>
      <c r="MEI917" s="1091"/>
      <c r="MEJ917" s="1091"/>
      <c r="MEK917" s="1091"/>
      <c r="MEL917" s="1091"/>
      <c r="MEM917" s="1091"/>
      <c r="MEN917" s="1091"/>
      <c r="MEO917" s="1091"/>
      <c r="MEP917" s="1091"/>
      <c r="MEQ917" s="1091"/>
      <c r="MER917" s="1091"/>
      <c r="MES917" s="1091"/>
      <c r="MET917" s="1091"/>
      <c r="MEU917" s="1091"/>
      <c r="MEV917" s="1091"/>
      <c r="MEW917" s="1091"/>
      <c r="MEX917" s="1091"/>
      <c r="MEY917" s="1091"/>
      <c r="MEZ917" s="1091"/>
      <c r="MFA917" s="1091"/>
      <c r="MFB917" s="1091"/>
      <c r="MFC917" s="1091"/>
      <c r="MFD917" s="1091"/>
      <c r="MFE917" s="1091"/>
      <c r="MFF917" s="1091"/>
      <c r="MFG917" s="1091"/>
      <c r="MFH917" s="1091"/>
      <c r="MFI917" s="1091"/>
      <c r="MFJ917" s="1091"/>
      <c r="MFK917" s="1091"/>
      <c r="MFL917" s="1091"/>
      <c r="MFM917" s="1091"/>
      <c r="MFN917" s="1091"/>
      <c r="MFO917" s="1091"/>
      <c r="MFP917" s="1091"/>
      <c r="MFQ917" s="1091"/>
      <c r="MFR917" s="1091"/>
      <c r="MFS917" s="1091"/>
      <c r="MFT917" s="1091"/>
      <c r="MFU917" s="1091"/>
      <c r="MFV917" s="1091"/>
      <c r="MFW917" s="1091"/>
      <c r="MFX917" s="1091"/>
      <c r="MFY917" s="1091"/>
      <c r="MFZ917" s="1091"/>
      <c r="MGA917" s="1091"/>
      <c r="MGB917" s="1091"/>
      <c r="MGC917" s="1091"/>
      <c r="MGD917" s="1091"/>
      <c r="MGE917" s="1091"/>
      <c r="MGF917" s="1091"/>
      <c r="MGG917" s="1091"/>
      <c r="MGH917" s="1091"/>
      <c r="MGI917" s="1091"/>
      <c r="MGJ917" s="1091"/>
      <c r="MGK917" s="1091"/>
      <c r="MGL917" s="1091"/>
      <c r="MGM917" s="1091"/>
      <c r="MGN917" s="1091"/>
      <c r="MGO917" s="1091"/>
      <c r="MGP917" s="1091"/>
      <c r="MGQ917" s="1091"/>
      <c r="MGR917" s="1091"/>
      <c r="MGS917" s="1091"/>
      <c r="MGT917" s="1091"/>
      <c r="MGU917" s="1091"/>
      <c r="MGV917" s="1091"/>
      <c r="MGW917" s="1091"/>
      <c r="MGX917" s="1091"/>
      <c r="MGY917" s="1091"/>
      <c r="MGZ917" s="1091"/>
      <c r="MHA917" s="1091"/>
      <c r="MHB917" s="1091"/>
      <c r="MHC917" s="1091"/>
      <c r="MHD917" s="1091"/>
      <c r="MHE917" s="1091"/>
      <c r="MHF917" s="1091"/>
      <c r="MHG917" s="1091"/>
      <c r="MHH917" s="1091"/>
      <c r="MHI917" s="1091"/>
      <c r="MHJ917" s="1091"/>
      <c r="MHK917" s="1091"/>
      <c r="MHL917" s="1091"/>
      <c r="MHM917" s="1091"/>
      <c r="MHN917" s="1091"/>
      <c r="MHO917" s="1091"/>
      <c r="MHP917" s="1091"/>
      <c r="MHQ917" s="1091"/>
      <c r="MHR917" s="1091"/>
      <c r="MHS917" s="1091"/>
      <c r="MHT917" s="1091"/>
      <c r="MHU917" s="1091"/>
      <c r="MHV917" s="1091"/>
      <c r="MHW917" s="1091"/>
      <c r="MHX917" s="1091"/>
      <c r="MHY917" s="1091"/>
      <c r="MHZ917" s="1091"/>
      <c r="MIA917" s="1091"/>
      <c r="MIB917" s="1091"/>
      <c r="MIC917" s="1091"/>
      <c r="MID917" s="1091"/>
      <c r="MIE917" s="1091"/>
      <c r="MIF917" s="1091"/>
      <c r="MIG917" s="1091"/>
      <c r="MIH917" s="1091"/>
      <c r="MII917" s="1091"/>
      <c r="MIJ917" s="1091"/>
      <c r="MIK917" s="1091"/>
      <c r="MIL917" s="1091"/>
      <c r="MIM917" s="1091"/>
      <c r="MIN917" s="1091"/>
      <c r="MIO917" s="1091"/>
      <c r="MIP917" s="1091"/>
      <c r="MIQ917" s="1091"/>
      <c r="MIR917" s="1091"/>
      <c r="MIS917" s="1091"/>
      <c r="MIT917" s="1091"/>
      <c r="MIU917" s="1091"/>
      <c r="MIV917" s="1091"/>
      <c r="MIW917" s="1091"/>
      <c r="MIX917" s="1091"/>
      <c r="MIY917" s="1091"/>
      <c r="MIZ917" s="1091"/>
      <c r="MJA917" s="1091"/>
      <c r="MJB917" s="1091"/>
      <c r="MJC917" s="1091"/>
      <c r="MJD917" s="1091"/>
      <c r="MJE917" s="1091"/>
      <c r="MJF917" s="1091"/>
      <c r="MJG917" s="1091"/>
      <c r="MJH917" s="1091"/>
      <c r="MJI917" s="1091"/>
      <c r="MJJ917" s="1091"/>
      <c r="MJK917" s="1091"/>
      <c r="MJL917" s="1091"/>
      <c r="MJM917" s="1091"/>
      <c r="MJN917" s="1091"/>
      <c r="MJO917" s="1091"/>
      <c r="MJP917" s="1091"/>
      <c r="MJQ917" s="1091"/>
      <c r="MJR917" s="1091"/>
      <c r="MJS917" s="1091"/>
      <c r="MJT917" s="1091"/>
      <c r="MJU917" s="1091"/>
      <c r="MJV917" s="1091"/>
      <c r="MJW917" s="1091"/>
      <c r="MJX917" s="1091"/>
      <c r="MJY917" s="1091"/>
      <c r="MJZ917" s="1091"/>
      <c r="MKA917" s="1091"/>
      <c r="MKB917" s="1091"/>
      <c r="MKC917" s="1091"/>
      <c r="MKD917" s="1091"/>
      <c r="MKE917" s="1091"/>
      <c r="MKF917" s="1091"/>
      <c r="MKG917" s="1091"/>
      <c r="MKH917" s="1091"/>
      <c r="MKI917" s="1091"/>
      <c r="MKJ917" s="1091"/>
      <c r="MKK917" s="1091"/>
      <c r="MKL917" s="1091"/>
      <c r="MKM917" s="1091"/>
      <c r="MKN917" s="1091"/>
      <c r="MKO917" s="1091"/>
      <c r="MKP917" s="1091"/>
      <c r="MKQ917" s="1091"/>
      <c r="MKR917" s="1091"/>
      <c r="MKS917" s="1091"/>
      <c r="MKT917" s="1091"/>
      <c r="MKU917" s="1091"/>
      <c r="MKV917" s="1091"/>
      <c r="MKW917" s="1091"/>
      <c r="MKX917" s="1091"/>
      <c r="MKY917" s="1091"/>
      <c r="MKZ917" s="1091"/>
      <c r="MLA917" s="1091"/>
      <c r="MLB917" s="1091"/>
      <c r="MLC917" s="1091"/>
      <c r="MLD917" s="1091"/>
      <c r="MLE917" s="1091"/>
      <c r="MLF917" s="1091"/>
      <c r="MLG917" s="1091"/>
      <c r="MLH917" s="1091"/>
      <c r="MLI917" s="1091"/>
      <c r="MLJ917" s="1091"/>
      <c r="MLK917" s="1091"/>
      <c r="MLL917" s="1091"/>
      <c r="MLM917" s="1091"/>
      <c r="MLN917" s="1091"/>
      <c r="MLO917" s="1091"/>
      <c r="MLP917" s="1091"/>
      <c r="MLQ917" s="1091"/>
      <c r="MLR917" s="1091"/>
      <c r="MLS917" s="1091"/>
      <c r="MLT917" s="1091"/>
      <c r="MLU917" s="1091"/>
      <c r="MLV917" s="1091"/>
      <c r="MLW917" s="1091"/>
      <c r="MLX917" s="1091"/>
      <c r="MLY917" s="1091"/>
      <c r="MLZ917" s="1091"/>
      <c r="MMA917" s="1091"/>
      <c r="MMB917" s="1091"/>
      <c r="MMC917" s="1091"/>
      <c r="MMD917" s="1091"/>
      <c r="MME917" s="1091"/>
      <c r="MMF917" s="1091"/>
      <c r="MMG917" s="1091"/>
      <c r="MMH917" s="1091"/>
      <c r="MMI917" s="1091"/>
      <c r="MMJ917" s="1091"/>
      <c r="MMK917" s="1091"/>
      <c r="MML917" s="1091"/>
      <c r="MMM917" s="1091"/>
      <c r="MMN917" s="1091"/>
      <c r="MMO917" s="1091"/>
      <c r="MMP917" s="1091"/>
      <c r="MMQ917" s="1091"/>
      <c r="MMR917" s="1091"/>
      <c r="MMS917" s="1091"/>
      <c r="MMT917" s="1091"/>
      <c r="MMU917" s="1091"/>
      <c r="MMV917" s="1091"/>
      <c r="MMW917" s="1091"/>
      <c r="MMX917" s="1091"/>
      <c r="MMY917" s="1091"/>
      <c r="MMZ917" s="1091"/>
      <c r="MNA917" s="1091"/>
      <c r="MNB917" s="1091"/>
      <c r="MNC917" s="1091"/>
      <c r="MND917" s="1091"/>
      <c r="MNE917" s="1091"/>
      <c r="MNF917" s="1091"/>
      <c r="MNG917" s="1091"/>
      <c r="MNH917" s="1091"/>
      <c r="MNI917" s="1091"/>
      <c r="MNJ917" s="1091"/>
      <c r="MNK917" s="1091"/>
      <c r="MNL917" s="1091"/>
      <c r="MNM917" s="1091"/>
      <c r="MNN917" s="1091"/>
      <c r="MNO917" s="1091"/>
      <c r="MNP917" s="1091"/>
      <c r="MNQ917" s="1091"/>
      <c r="MNR917" s="1091"/>
      <c r="MNS917" s="1091"/>
      <c r="MNT917" s="1091"/>
      <c r="MNU917" s="1091"/>
      <c r="MNV917" s="1091"/>
      <c r="MNW917" s="1091"/>
      <c r="MNX917" s="1091"/>
      <c r="MNY917" s="1091"/>
      <c r="MNZ917" s="1091"/>
      <c r="MOA917" s="1091"/>
      <c r="MOB917" s="1091"/>
      <c r="MOC917" s="1091"/>
      <c r="MOD917" s="1091"/>
      <c r="MOE917" s="1091"/>
      <c r="MOF917" s="1091"/>
      <c r="MOG917" s="1091"/>
      <c r="MOH917" s="1091"/>
      <c r="MOI917" s="1091"/>
      <c r="MOJ917" s="1091"/>
      <c r="MOK917" s="1091"/>
      <c r="MOL917" s="1091"/>
      <c r="MOM917" s="1091"/>
      <c r="MON917" s="1091"/>
      <c r="MOO917" s="1091"/>
      <c r="MOP917" s="1091"/>
      <c r="MOQ917" s="1091"/>
      <c r="MOR917" s="1091"/>
      <c r="MOS917" s="1091"/>
      <c r="MOT917" s="1091"/>
      <c r="MOU917" s="1091"/>
      <c r="MOV917" s="1091"/>
      <c r="MOW917" s="1091"/>
      <c r="MOX917" s="1091"/>
      <c r="MOY917" s="1091"/>
      <c r="MOZ917" s="1091"/>
      <c r="MPA917" s="1091"/>
      <c r="MPB917" s="1091"/>
      <c r="MPC917" s="1091"/>
      <c r="MPD917" s="1091"/>
      <c r="MPE917" s="1091"/>
      <c r="MPF917" s="1091"/>
      <c r="MPG917" s="1091"/>
      <c r="MPH917" s="1091"/>
      <c r="MPI917" s="1091"/>
      <c r="MPJ917" s="1091"/>
      <c r="MPK917" s="1091"/>
      <c r="MPL917" s="1091"/>
      <c r="MPM917" s="1091"/>
      <c r="MPN917" s="1091"/>
      <c r="MPO917" s="1091"/>
      <c r="MPP917" s="1091"/>
      <c r="MPQ917" s="1091"/>
      <c r="MPR917" s="1091"/>
      <c r="MPS917" s="1091"/>
      <c r="MPT917" s="1091"/>
      <c r="MPU917" s="1091"/>
      <c r="MPV917" s="1091"/>
      <c r="MPW917" s="1091"/>
      <c r="MPX917" s="1091"/>
      <c r="MPY917" s="1091"/>
      <c r="MPZ917" s="1091"/>
      <c r="MQA917" s="1091"/>
      <c r="MQB917" s="1091"/>
      <c r="MQC917" s="1091"/>
      <c r="MQD917" s="1091"/>
      <c r="MQE917" s="1091"/>
      <c r="MQF917" s="1091"/>
      <c r="MQG917" s="1091"/>
      <c r="MQH917" s="1091"/>
      <c r="MQI917" s="1091"/>
      <c r="MQJ917" s="1091"/>
      <c r="MQK917" s="1091"/>
      <c r="MQL917" s="1091"/>
      <c r="MQM917" s="1091"/>
      <c r="MQN917" s="1091"/>
      <c r="MQO917" s="1091"/>
      <c r="MQP917" s="1091"/>
      <c r="MQQ917" s="1091"/>
      <c r="MQR917" s="1091"/>
      <c r="MQS917" s="1091"/>
      <c r="MQT917" s="1091"/>
      <c r="MQU917" s="1091"/>
      <c r="MQV917" s="1091"/>
      <c r="MQW917" s="1091"/>
      <c r="MQX917" s="1091"/>
      <c r="MQY917" s="1091"/>
      <c r="MQZ917" s="1091"/>
      <c r="MRA917" s="1091"/>
      <c r="MRB917" s="1091"/>
      <c r="MRC917" s="1091"/>
      <c r="MRD917" s="1091"/>
      <c r="MRE917" s="1091"/>
      <c r="MRF917" s="1091"/>
      <c r="MRG917" s="1091"/>
      <c r="MRH917" s="1091"/>
      <c r="MRI917" s="1091"/>
      <c r="MRJ917" s="1091"/>
      <c r="MRK917" s="1091"/>
      <c r="MRL917" s="1091"/>
      <c r="MRM917" s="1091"/>
      <c r="MRN917" s="1091"/>
      <c r="MRO917" s="1091"/>
      <c r="MRP917" s="1091"/>
      <c r="MRQ917" s="1091"/>
      <c r="MRR917" s="1091"/>
      <c r="MRS917" s="1091"/>
      <c r="MRT917" s="1091"/>
      <c r="MRU917" s="1091"/>
      <c r="MRV917" s="1091"/>
      <c r="MRW917" s="1091"/>
      <c r="MRX917" s="1091"/>
      <c r="MRY917" s="1091"/>
      <c r="MRZ917" s="1091"/>
      <c r="MSA917" s="1091"/>
      <c r="MSB917" s="1091"/>
      <c r="MSC917" s="1091"/>
      <c r="MSD917" s="1091"/>
      <c r="MSE917" s="1091"/>
      <c r="MSF917" s="1091"/>
      <c r="MSG917" s="1091"/>
      <c r="MSH917" s="1091"/>
      <c r="MSI917" s="1091"/>
      <c r="MSJ917" s="1091"/>
      <c r="MSK917" s="1091"/>
      <c r="MSL917" s="1091"/>
      <c r="MSM917" s="1091"/>
      <c r="MSN917" s="1091"/>
      <c r="MSO917" s="1091"/>
      <c r="MSP917" s="1091"/>
      <c r="MSQ917" s="1091"/>
      <c r="MSR917" s="1091"/>
      <c r="MSS917" s="1091"/>
      <c r="MST917" s="1091"/>
      <c r="MSU917" s="1091"/>
      <c r="MSV917" s="1091"/>
      <c r="MSW917" s="1091"/>
      <c r="MSX917" s="1091"/>
      <c r="MSY917" s="1091"/>
      <c r="MSZ917" s="1091"/>
      <c r="MTA917" s="1091"/>
      <c r="MTB917" s="1091"/>
      <c r="MTC917" s="1091"/>
      <c r="MTD917" s="1091"/>
      <c r="MTE917" s="1091"/>
      <c r="MTF917" s="1091"/>
      <c r="MTG917" s="1091"/>
      <c r="MTH917" s="1091"/>
      <c r="MTI917" s="1091"/>
      <c r="MTJ917" s="1091"/>
      <c r="MTK917" s="1091"/>
      <c r="MTL917" s="1091"/>
      <c r="MTM917" s="1091"/>
      <c r="MTN917" s="1091"/>
      <c r="MTO917" s="1091"/>
      <c r="MTP917" s="1091"/>
      <c r="MTQ917" s="1091"/>
      <c r="MTR917" s="1091"/>
      <c r="MTS917" s="1091"/>
      <c r="MTT917" s="1091"/>
      <c r="MTU917" s="1091"/>
      <c r="MTV917" s="1091"/>
      <c r="MTW917" s="1091"/>
      <c r="MTX917" s="1091"/>
      <c r="MTY917" s="1091"/>
      <c r="MTZ917" s="1091"/>
      <c r="MUA917" s="1091"/>
      <c r="MUB917" s="1091"/>
      <c r="MUC917" s="1091"/>
      <c r="MUD917" s="1091"/>
      <c r="MUE917" s="1091"/>
      <c r="MUF917" s="1091"/>
      <c r="MUG917" s="1091"/>
      <c r="MUH917" s="1091"/>
      <c r="MUI917" s="1091"/>
      <c r="MUJ917" s="1091"/>
      <c r="MUK917" s="1091"/>
      <c r="MUL917" s="1091"/>
      <c r="MUM917" s="1091"/>
      <c r="MUN917" s="1091"/>
      <c r="MUO917" s="1091"/>
      <c r="MUP917" s="1091"/>
      <c r="MUQ917" s="1091"/>
      <c r="MUR917" s="1091"/>
      <c r="MUS917" s="1091"/>
      <c r="MUT917" s="1091"/>
      <c r="MUU917" s="1091"/>
      <c r="MUV917" s="1091"/>
      <c r="MUW917" s="1091"/>
      <c r="MUX917" s="1091"/>
      <c r="MUY917" s="1091"/>
      <c r="MUZ917" s="1091"/>
      <c r="MVA917" s="1091"/>
      <c r="MVB917" s="1091"/>
      <c r="MVC917" s="1091"/>
      <c r="MVD917" s="1091"/>
      <c r="MVE917" s="1091"/>
      <c r="MVF917" s="1091"/>
      <c r="MVG917" s="1091"/>
      <c r="MVH917" s="1091"/>
      <c r="MVI917" s="1091"/>
      <c r="MVJ917" s="1091"/>
      <c r="MVK917" s="1091"/>
      <c r="MVL917" s="1091"/>
      <c r="MVM917" s="1091"/>
      <c r="MVN917" s="1091"/>
      <c r="MVO917" s="1091"/>
      <c r="MVP917" s="1091"/>
      <c r="MVQ917" s="1091"/>
      <c r="MVR917" s="1091"/>
      <c r="MVS917" s="1091"/>
      <c r="MVT917" s="1091"/>
      <c r="MVU917" s="1091"/>
      <c r="MVV917" s="1091"/>
      <c r="MVW917" s="1091"/>
      <c r="MVX917" s="1091"/>
      <c r="MVY917" s="1091"/>
      <c r="MVZ917" s="1091"/>
      <c r="MWA917" s="1091"/>
      <c r="MWB917" s="1091"/>
      <c r="MWC917" s="1091"/>
      <c r="MWD917" s="1091"/>
      <c r="MWE917" s="1091"/>
      <c r="MWF917" s="1091"/>
      <c r="MWG917" s="1091"/>
      <c r="MWH917" s="1091"/>
      <c r="MWI917" s="1091"/>
      <c r="MWJ917" s="1091"/>
      <c r="MWK917" s="1091"/>
      <c r="MWL917" s="1091"/>
      <c r="MWM917" s="1091"/>
      <c r="MWN917" s="1091"/>
      <c r="MWO917" s="1091"/>
      <c r="MWP917" s="1091"/>
      <c r="MWQ917" s="1091"/>
      <c r="MWR917" s="1091"/>
      <c r="MWS917" s="1091"/>
      <c r="MWT917" s="1091"/>
      <c r="MWU917" s="1091"/>
      <c r="MWV917" s="1091"/>
      <c r="MWW917" s="1091"/>
      <c r="MWX917" s="1091"/>
      <c r="MWY917" s="1091"/>
      <c r="MWZ917" s="1091"/>
      <c r="MXA917" s="1091"/>
      <c r="MXB917" s="1091"/>
      <c r="MXC917" s="1091"/>
      <c r="MXD917" s="1091"/>
      <c r="MXE917" s="1091"/>
      <c r="MXF917" s="1091"/>
      <c r="MXG917" s="1091"/>
      <c r="MXH917" s="1091"/>
      <c r="MXI917" s="1091"/>
      <c r="MXJ917" s="1091"/>
      <c r="MXK917" s="1091"/>
      <c r="MXL917" s="1091"/>
      <c r="MXM917" s="1091"/>
      <c r="MXN917" s="1091"/>
      <c r="MXO917" s="1091"/>
      <c r="MXP917" s="1091"/>
      <c r="MXQ917" s="1091"/>
      <c r="MXR917" s="1091"/>
      <c r="MXS917" s="1091"/>
      <c r="MXT917" s="1091"/>
      <c r="MXU917" s="1091"/>
      <c r="MXV917" s="1091"/>
      <c r="MXW917" s="1091"/>
      <c r="MXX917" s="1091"/>
      <c r="MXY917" s="1091"/>
      <c r="MXZ917" s="1091"/>
      <c r="MYA917" s="1091"/>
      <c r="MYB917" s="1091"/>
      <c r="MYC917" s="1091"/>
      <c r="MYD917" s="1091"/>
      <c r="MYE917" s="1091"/>
      <c r="MYF917" s="1091"/>
      <c r="MYG917" s="1091"/>
      <c r="MYH917" s="1091"/>
      <c r="MYI917" s="1091"/>
      <c r="MYJ917" s="1091"/>
      <c r="MYK917" s="1091"/>
      <c r="MYL917" s="1091"/>
      <c r="MYM917" s="1091"/>
      <c r="MYN917" s="1091"/>
      <c r="MYO917" s="1091"/>
      <c r="MYP917" s="1091"/>
      <c r="MYQ917" s="1091"/>
      <c r="MYR917" s="1091"/>
      <c r="MYS917" s="1091"/>
      <c r="MYT917" s="1091"/>
      <c r="MYU917" s="1091"/>
      <c r="MYV917" s="1091"/>
      <c r="MYW917" s="1091"/>
      <c r="MYX917" s="1091"/>
      <c r="MYY917" s="1091"/>
      <c r="MYZ917" s="1091"/>
      <c r="MZA917" s="1091"/>
      <c r="MZB917" s="1091"/>
      <c r="MZC917" s="1091"/>
      <c r="MZD917" s="1091"/>
      <c r="MZE917" s="1091"/>
      <c r="MZF917" s="1091"/>
      <c r="MZG917" s="1091"/>
      <c r="MZH917" s="1091"/>
      <c r="MZI917" s="1091"/>
      <c r="MZJ917" s="1091"/>
      <c r="MZK917" s="1091"/>
      <c r="MZL917" s="1091"/>
      <c r="MZM917" s="1091"/>
      <c r="MZN917" s="1091"/>
      <c r="MZO917" s="1091"/>
      <c r="MZP917" s="1091"/>
      <c r="MZQ917" s="1091"/>
      <c r="MZR917" s="1091"/>
      <c r="MZS917" s="1091"/>
      <c r="MZT917" s="1091"/>
      <c r="MZU917" s="1091"/>
      <c r="MZV917" s="1091"/>
      <c r="MZW917" s="1091"/>
      <c r="MZX917" s="1091"/>
      <c r="MZY917" s="1091"/>
      <c r="MZZ917" s="1091"/>
      <c r="NAA917" s="1091"/>
      <c r="NAB917" s="1091"/>
      <c r="NAC917" s="1091"/>
      <c r="NAD917" s="1091"/>
      <c r="NAE917" s="1091"/>
      <c r="NAF917" s="1091"/>
      <c r="NAG917" s="1091"/>
      <c r="NAH917" s="1091"/>
      <c r="NAI917" s="1091"/>
      <c r="NAJ917" s="1091"/>
      <c r="NAK917" s="1091"/>
      <c r="NAL917" s="1091"/>
      <c r="NAM917" s="1091"/>
      <c r="NAN917" s="1091"/>
      <c r="NAO917" s="1091"/>
      <c r="NAP917" s="1091"/>
      <c r="NAQ917" s="1091"/>
      <c r="NAR917" s="1091"/>
      <c r="NAS917" s="1091"/>
      <c r="NAT917" s="1091"/>
      <c r="NAU917" s="1091"/>
      <c r="NAV917" s="1091"/>
      <c r="NAW917" s="1091"/>
      <c r="NAX917" s="1091"/>
      <c r="NAY917" s="1091"/>
      <c r="NAZ917" s="1091"/>
      <c r="NBA917" s="1091"/>
      <c r="NBB917" s="1091"/>
      <c r="NBC917" s="1091"/>
      <c r="NBD917" s="1091"/>
      <c r="NBE917" s="1091"/>
      <c r="NBF917" s="1091"/>
      <c r="NBG917" s="1091"/>
      <c r="NBH917" s="1091"/>
      <c r="NBI917" s="1091"/>
      <c r="NBJ917" s="1091"/>
      <c r="NBK917" s="1091"/>
      <c r="NBL917" s="1091"/>
      <c r="NBM917" s="1091"/>
      <c r="NBN917" s="1091"/>
      <c r="NBO917" s="1091"/>
      <c r="NBP917" s="1091"/>
      <c r="NBQ917" s="1091"/>
      <c r="NBR917" s="1091"/>
      <c r="NBS917" s="1091"/>
      <c r="NBT917" s="1091"/>
      <c r="NBU917" s="1091"/>
      <c r="NBV917" s="1091"/>
      <c r="NBW917" s="1091"/>
      <c r="NBX917" s="1091"/>
      <c r="NBY917" s="1091"/>
      <c r="NBZ917" s="1091"/>
      <c r="NCA917" s="1091"/>
      <c r="NCB917" s="1091"/>
      <c r="NCC917" s="1091"/>
      <c r="NCD917" s="1091"/>
      <c r="NCE917" s="1091"/>
      <c r="NCF917" s="1091"/>
      <c r="NCG917" s="1091"/>
      <c r="NCH917" s="1091"/>
      <c r="NCI917" s="1091"/>
      <c r="NCJ917" s="1091"/>
      <c r="NCK917" s="1091"/>
      <c r="NCL917" s="1091"/>
      <c r="NCM917" s="1091"/>
      <c r="NCN917" s="1091"/>
      <c r="NCO917" s="1091"/>
      <c r="NCP917" s="1091"/>
      <c r="NCQ917" s="1091"/>
      <c r="NCR917" s="1091"/>
      <c r="NCS917" s="1091"/>
      <c r="NCT917" s="1091"/>
      <c r="NCU917" s="1091"/>
      <c r="NCV917" s="1091"/>
      <c r="NCW917" s="1091"/>
      <c r="NCX917" s="1091"/>
      <c r="NCY917" s="1091"/>
      <c r="NCZ917" s="1091"/>
      <c r="NDA917" s="1091"/>
      <c r="NDB917" s="1091"/>
      <c r="NDC917" s="1091"/>
      <c r="NDD917" s="1091"/>
      <c r="NDE917" s="1091"/>
      <c r="NDF917" s="1091"/>
      <c r="NDG917" s="1091"/>
      <c r="NDH917" s="1091"/>
      <c r="NDI917" s="1091"/>
      <c r="NDJ917" s="1091"/>
      <c r="NDK917" s="1091"/>
      <c r="NDL917" s="1091"/>
      <c r="NDM917" s="1091"/>
      <c r="NDN917" s="1091"/>
      <c r="NDO917" s="1091"/>
      <c r="NDP917" s="1091"/>
      <c r="NDQ917" s="1091"/>
      <c r="NDR917" s="1091"/>
      <c r="NDS917" s="1091"/>
      <c r="NDT917" s="1091"/>
      <c r="NDU917" s="1091"/>
      <c r="NDV917" s="1091"/>
      <c r="NDW917" s="1091"/>
      <c r="NDX917" s="1091"/>
      <c r="NDY917" s="1091"/>
      <c r="NDZ917" s="1091"/>
      <c r="NEA917" s="1091"/>
      <c r="NEB917" s="1091"/>
      <c r="NEC917" s="1091"/>
      <c r="NED917" s="1091"/>
      <c r="NEE917" s="1091"/>
      <c r="NEF917" s="1091"/>
      <c r="NEG917" s="1091"/>
      <c r="NEH917" s="1091"/>
      <c r="NEI917" s="1091"/>
      <c r="NEJ917" s="1091"/>
      <c r="NEK917" s="1091"/>
      <c r="NEL917" s="1091"/>
      <c r="NEM917" s="1091"/>
      <c r="NEN917" s="1091"/>
      <c r="NEO917" s="1091"/>
      <c r="NEP917" s="1091"/>
      <c r="NEQ917" s="1091"/>
      <c r="NER917" s="1091"/>
      <c r="NES917" s="1091"/>
      <c r="NET917" s="1091"/>
      <c r="NEU917" s="1091"/>
      <c r="NEV917" s="1091"/>
      <c r="NEW917" s="1091"/>
      <c r="NEX917" s="1091"/>
      <c r="NEY917" s="1091"/>
      <c r="NEZ917" s="1091"/>
      <c r="NFA917" s="1091"/>
      <c r="NFB917" s="1091"/>
      <c r="NFC917" s="1091"/>
      <c r="NFD917" s="1091"/>
      <c r="NFE917" s="1091"/>
      <c r="NFF917" s="1091"/>
      <c r="NFG917" s="1091"/>
      <c r="NFH917" s="1091"/>
      <c r="NFI917" s="1091"/>
      <c r="NFJ917" s="1091"/>
      <c r="NFK917" s="1091"/>
      <c r="NFL917" s="1091"/>
      <c r="NFM917" s="1091"/>
      <c r="NFN917" s="1091"/>
      <c r="NFO917" s="1091"/>
      <c r="NFP917" s="1091"/>
      <c r="NFQ917" s="1091"/>
      <c r="NFR917" s="1091"/>
      <c r="NFS917" s="1091"/>
      <c r="NFT917" s="1091"/>
      <c r="NFU917" s="1091"/>
      <c r="NFV917" s="1091"/>
      <c r="NFW917" s="1091"/>
      <c r="NFX917" s="1091"/>
      <c r="NFY917" s="1091"/>
      <c r="NFZ917" s="1091"/>
      <c r="NGA917" s="1091"/>
      <c r="NGB917" s="1091"/>
      <c r="NGC917" s="1091"/>
      <c r="NGD917" s="1091"/>
      <c r="NGE917" s="1091"/>
      <c r="NGF917" s="1091"/>
      <c r="NGG917" s="1091"/>
      <c r="NGH917" s="1091"/>
      <c r="NGI917" s="1091"/>
      <c r="NGJ917" s="1091"/>
      <c r="NGK917" s="1091"/>
      <c r="NGL917" s="1091"/>
      <c r="NGM917" s="1091"/>
      <c r="NGN917" s="1091"/>
      <c r="NGO917" s="1091"/>
      <c r="NGP917" s="1091"/>
      <c r="NGQ917" s="1091"/>
      <c r="NGR917" s="1091"/>
      <c r="NGS917" s="1091"/>
      <c r="NGT917" s="1091"/>
      <c r="NGU917" s="1091"/>
      <c r="NGV917" s="1091"/>
      <c r="NGW917" s="1091"/>
      <c r="NGX917" s="1091"/>
      <c r="NGY917" s="1091"/>
      <c r="NGZ917" s="1091"/>
      <c r="NHA917" s="1091"/>
      <c r="NHB917" s="1091"/>
      <c r="NHC917" s="1091"/>
      <c r="NHD917" s="1091"/>
      <c r="NHE917" s="1091"/>
      <c r="NHF917" s="1091"/>
      <c r="NHG917" s="1091"/>
      <c r="NHH917" s="1091"/>
      <c r="NHI917" s="1091"/>
      <c r="NHJ917" s="1091"/>
      <c r="NHK917" s="1091"/>
      <c r="NHL917" s="1091"/>
      <c r="NHM917" s="1091"/>
      <c r="NHN917" s="1091"/>
      <c r="NHO917" s="1091"/>
      <c r="NHP917" s="1091"/>
      <c r="NHQ917" s="1091"/>
      <c r="NHR917" s="1091"/>
      <c r="NHS917" s="1091"/>
      <c r="NHT917" s="1091"/>
      <c r="NHU917" s="1091"/>
      <c r="NHV917" s="1091"/>
      <c r="NHW917" s="1091"/>
      <c r="NHX917" s="1091"/>
      <c r="NHY917" s="1091"/>
      <c r="NHZ917" s="1091"/>
      <c r="NIA917" s="1091"/>
      <c r="NIB917" s="1091"/>
      <c r="NIC917" s="1091"/>
      <c r="NID917" s="1091"/>
      <c r="NIE917" s="1091"/>
      <c r="NIF917" s="1091"/>
      <c r="NIG917" s="1091"/>
      <c r="NIH917" s="1091"/>
      <c r="NII917" s="1091"/>
      <c r="NIJ917" s="1091"/>
      <c r="NIK917" s="1091"/>
      <c r="NIL917" s="1091"/>
      <c r="NIM917" s="1091"/>
      <c r="NIN917" s="1091"/>
      <c r="NIO917" s="1091"/>
      <c r="NIP917" s="1091"/>
      <c r="NIQ917" s="1091"/>
      <c r="NIR917" s="1091"/>
      <c r="NIS917" s="1091"/>
      <c r="NIT917" s="1091"/>
      <c r="NIU917" s="1091"/>
      <c r="NIV917" s="1091"/>
      <c r="NIW917" s="1091"/>
      <c r="NIX917" s="1091"/>
      <c r="NIY917" s="1091"/>
      <c r="NIZ917" s="1091"/>
      <c r="NJA917" s="1091"/>
      <c r="NJB917" s="1091"/>
      <c r="NJC917" s="1091"/>
      <c r="NJD917" s="1091"/>
      <c r="NJE917" s="1091"/>
      <c r="NJF917" s="1091"/>
      <c r="NJG917" s="1091"/>
      <c r="NJH917" s="1091"/>
      <c r="NJI917" s="1091"/>
      <c r="NJJ917" s="1091"/>
      <c r="NJK917" s="1091"/>
      <c r="NJL917" s="1091"/>
      <c r="NJM917" s="1091"/>
      <c r="NJN917" s="1091"/>
      <c r="NJO917" s="1091"/>
      <c r="NJP917" s="1091"/>
      <c r="NJQ917" s="1091"/>
      <c r="NJR917" s="1091"/>
      <c r="NJS917" s="1091"/>
      <c r="NJT917" s="1091"/>
      <c r="NJU917" s="1091"/>
      <c r="NJV917" s="1091"/>
      <c r="NJW917" s="1091"/>
      <c r="NJX917" s="1091"/>
      <c r="NJY917" s="1091"/>
      <c r="NJZ917" s="1091"/>
      <c r="NKA917" s="1091"/>
      <c r="NKB917" s="1091"/>
      <c r="NKC917" s="1091"/>
      <c r="NKD917" s="1091"/>
      <c r="NKE917" s="1091"/>
      <c r="NKF917" s="1091"/>
      <c r="NKG917" s="1091"/>
      <c r="NKH917" s="1091"/>
      <c r="NKI917" s="1091"/>
      <c r="NKJ917" s="1091"/>
      <c r="NKK917" s="1091"/>
      <c r="NKL917" s="1091"/>
      <c r="NKM917" s="1091"/>
      <c r="NKN917" s="1091"/>
      <c r="NKO917" s="1091"/>
      <c r="NKP917" s="1091"/>
      <c r="NKQ917" s="1091"/>
      <c r="NKR917" s="1091"/>
      <c r="NKS917" s="1091"/>
      <c r="NKT917" s="1091"/>
      <c r="NKU917" s="1091"/>
      <c r="NKV917" s="1091"/>
      <c r="NKW917" s="1091"/>
      <c r="NKX917" s="1091"/>
      <c r="NKY917" s="1091"/>
      <c r="NKZ917" s="1091"/>
      <c r="NLA917" s="1091"/>
      <c r="NLB917" s="1091"/>
      <c r="NLC917" s="1091"/>
      <c r="NLD917" s="1091"/>
      <c r="NLE917" s="1091"/>
      <c r="NLF917" s="1091"/>
      <c r="NLG917" s="1091"/>
      <c r="NLH917" s="1091"/>
      <c r="NLI917" s="1091"/>
      <c r="NLJ917" s="1091"/>
      <c r="NLK917" s="1091"/>
      <c r="NLL917" s="1091"/>
      <c r="NLM917" s="1091"/>
      <c r="NLN917" s="1091"/>
      <c r="NLO917" s="1091"/>
      <c r="NLP917" s="1091"/>
      <c r="NLQ917" s="1091"/>
      <c r="NLR917" s="1091"/>
      <c r="NLS917" s="1091"/>
      <c r="NLT917" s="1091"/>
      <c r="NLU917" s="1091"/>
      <c r="NLV917" s="1091"/>
      <c r="NLW917" s="1091"/>
      <c r="NLX917" s="1091"/>
      <c r="NLY917" s="1091"/>
      <c r="NLZ917" s="1091"/>
      <c r="NMA917" s="1091"/>
      <c r="NMB917" s="1091"/>
      <c r="NMC917" s="1091"/>
      <c r="NMD917" s="1091"/>
      <c r="NME917" s="1091"/>
      <c r="NMF917" s="1091"/>
      <c r="NMG917" s="1091"/>
      <c r="NMH917" s="1091"/>
      <c r="NMI917" s="1091"/>
      <c r="NMJ917" s="1091"/>
      <c r="NMK917" s="1091"/>
      <c r="NML917" s="1091"/>
      <c r="NMM917" s="1091"/>
      <c r="NMN917" s="1091"/>
      <c r="NMO917" s="1091"/>
      <c r="NMP917" s="1091"/>
      <c r="NMQ917" s="1091"/>
      <c r="NMR917" s="1091"/>
      <c r="NMS917" s="1091"/>
      <c r="NMT917" s="1091"/>
      <c r="NMU917" s="1091"/>
      <c r="NMV917" s="1091"/>
      <c r="NMW917" s="1091"/>
      <c r="NMX917" s="1091"/>
      <c r="NMY917" s="1091"/>
      <c r="NMZ917" s="1091"/>
      <c r="NNA917" s="1091"/>
      <c r="NNB917" s="1091"/>
      <c r="NNC917" s="1091"/>
      <c r="NND917" s="1091"/>
      <c r="NNE917" s="1091"/>
      <c r="NNF917" s="1091"/>
      <c r="NNG917" s="1091"/>
      <c r="NNH917" s="1091"/>
      <c r="NNI917" s="1091"/>
      <c r="NNJ917" s="1091"/>
      <c r="NNK917" s="1091"/>
      <c r="NNL917" s="1091"/>
      <c r="NNM917" s="1091"/>
      <c r="NNN917" s="1091"/>
      <c r="NNO917" s="1091"/>
      <c r="NNP917" s="1091"/>
      <c r="NNQ917" s="1091"/>
      <c r="NNR917" s="1091"/>
      <c r="NNS917" s="1091"/>
      <c r="NNT917" s="1091"/>
      <c r="NNU917" s="1091"/>
      <c r="NNV917" s="1091"/>
      <c r="NNW917" s="1091"/>
      <c r="NNX917" s="1091"/>
      <c r="NNY917" s="1091"/>
      <c r="NNZ917" s="1091"/>
      <c r="NOA917" s="1091"/>
      <c r="NOB917" s="1091"/>
      <c r="NOC917" s="1091"/>
      <c r="NOD917" s="1091"/>
      <c r="NOE917" s="1091"/>
      <c r="NOF917" s="1091"/>
      <c r="NOG917" s="1091"/>
      <c r="NOH917" s="1091"/>
      <c r="NOI917" s="1091"/>
      <c r="NOJ917" s="1091"/>
      <c r="NOK917" s="1091"/>
      <c r="NOL917" s="1091"/>
      <c r="NOM917" s="1091"/>
      <c r="NON917" s="1091"/>
      <c r="NOO917" s="1091"/>
      <c r="NOP917" s="1091"/>
      <c r="NOQ917" s="1091"/>
      <c r="NOR917" s="1091"/>
      <c r="NOS917" s="1091"/>
      <c r="NOT917" s="1091"/>
      <c r="NOU917" s="1091"/>
      <c r="NOV917" s="1091"/>
      <c r="NOW917" s="1091"/>
      <c r="NOX917" s="1091"/>
      <c r="NOY917" s="1091"/>
      <c r="NOZ917" s="1091"/>
      <c r="NPA917" s="1091"/>
      <c r="NPB917" s="1091"/>
      <c r="NPC917" s="1091"/>
      <c r="NPD917" s="1091"/>
      <c r="NPE917" s="1091"/>
      <c r="NPF917" s="1091"/>
      <c r="NPG917" s="1091"/>
      <c r="NPH917" s="1091"/>
      <c r="NPI917" s="1091"/>
      <c r="NPJ917" s="1091"/>
      <c r="NPK917" s="1091"/>
      <c r="NPL917" s="1091"/>
      <c r="NPM917" s="1091"/>
      <c r="NPN917" s="1091"/>
      <c r="NPO917" s="1091"/>
      <c r="NPP917" s="1091"/>
      <c r="NPQ917" s="1091"/>
      <c r="NPR917" s="1091"/>
      <c r="NPS917" s="1091"/>
      <c r="NPT917" s="1091"/>
      <c r="NPU917" s="1091"/>
      <c r="NPV917" s="1091"/>
      <c r="NPW917" s="1091"/>
      <c r="NPX917" s="1091"/>
      <c r="NPY917" s="1091"/>
      <c r="NPZ917" s="1091"/>
      <c r="NQA917" s="1091"/>
      <c r="NQB917" s="1091"/>
      <c r="NQC917" s="1091"/>
      <c r="NQD917" s="1091"/>
      <c r="NQE917" s="1091"/>
      <c r="NQF917" s="1091"/>
      <c r="NQG917" s="1091"/>
      <c r="NQH917" s="1091"/>
      <c r="NQI917" s="1091"/>
      <c r="NQJ917" s="1091"/>
      <c r="NQK917" s="1091"/>
      <c r="NQL917" s="1091"/>
      <c r="NQM917" s="1091"/>
      <c r="NQN917" s="1091"/>
      <c r="NQO917" s="1091"/>
      <c r="NQP917" s="1091"/>
      <c r="NQQ917" s="1091"/>
      <c r="NQR917" s="1091"/>
      <c r="NQS917" s="1091"/>
      <c r="NQT917" s="1091"/>
      <c r="NQU917" s="1091"/>
      <c r="NQV917" s="1091"/>
      <c r="NQW917" s="1091"/>
      <c r="NQX917" s="1091"/>
      <c r="NQY917" s="1091"/>
      <c r="NQZ917" s="1091"/>
      <c r="NRA917" s="1091"/>
      <c r="NRB917" s="1091"/>
      <c r="NRC917" s="1091"/>
      <c r="NRD917" s="1091"/>
      <c r="NRE917" s="1091"/>
      <c r="NRF917" s="1091"/>
      <c r="NRG917" s="1091"/>
      <c r="NRH917" s="1091"/>
      <c r="NRI917" s="1091"/>
      <c r="NRJ917" s="1091"/>
      <c r="NRK917" s="1091"/>
      <c r="NRL917" s="1091"/>
      <c r="NRM917" s="1091"/>
      <c r="NRN917" s="1091"/>
      <c r="NRO917" s="1091"/>
      <c r="NRP917" s="1091"/>
      <c r="NRQ917" s="1091"/>
      <c r="NRR917" s="1091"/>
      <c r="NRS917" s="1091"/>
      <c r="NRT917" s="1091"/>
      <c r="NRU917" s="1091"/>
      <c r="NRV917" s="1091"/>
      <c r="NRW917" s="1091"/>
      <c r="NRX917" s="1091"/>
      <c r="NRY917" s="1091"/>
      <c r="NRZ917" s="1091"/>
      <c r="NSA917" s="1091"/>
      <c r="NSB917" s="1091"/>
      <c r="NSC917" s="1091"/>
      <c r="NSD917" s="1091"/>
      <c r="NSE917" s="1091"/>
      <c r="NSF917" s="1091"/>
      <c r="NSG917" s="1091"/>
      <c r="NSH917" s="1091"/>
      <c r="NSI917" s="1091"/>
      <c r="NSJ917" s="1091"/>
      <c r="NSK917" s="1091"/>
      <c r="NSL917" s="1091"/>
      <c r="NSM917" s="1091"/>
      <c r="NSN917" s="1091"/>
      <c r="NSO917" s="1091"/>
      <c r="NSP917" s="1091"/>
      <c r="NSQ917" s="1091"/>
      <c r="NSR917" s="1091"/>
      <c r="NSS917" s="1091"/>
      <c r="NST917" s="1091"/>
      <c r="NSU917" s="1091"/>
      <c r="NSV917" s="1091"/>
      <c r="NSW917" s="1091"/>
      <c r="NSX917" s="1091"/>
      <c r="NSY917" s="1091"/>
      <c r="NSZ917" s="1091"/>
      <c r="NTA917" s="1091"/>
      <c r="NTB917" s="1091"/>
      <c r="NTC917" s="1091"/>
      <c r="NTD917" s="1091"/>
      <c r="NTE917" s="1091"/>
      <c r="NTF917" s="1091"/>
      <c r="NTG917" s="1091"/>
      <c r="NTH917" s="1091"/>
      <c r="NTI917" s="1091"/>
      <c r="NTJ917" s="1091"/>
      <c r="NTK917" s="1091"/>
      <c r="NTL917" s="1091"/>
      <c r="NTM917" s="1091"/>
      <c r="NTN917" s="1091"/>
      <c r="NTO917" s="1091"/>
      <c r="NTP917" s="1091"/>
      <c r="NTQ917" s="1091"/>
      <c r="NTR917" s="1091"/>
      <c r="NTS917" s="1091"/>
      <c r="NTT917" s="1091"/>
      <c r="NTU917" s="1091"/>
      <c r="NTV917" s="1091"/>
      <c r="NTW917" s="1091"/>
      <c r="NTX917" s="1091"/>
      <c r="NTY917" s="1091"/>
      <c r="NTZ917" s="1091"/>
      <c r="NUA917" s="1091"/>
      <c r="NUB917" s="1091"/>
      <c r="NUC917" s="1091"/>
      <c r="NUD917" s="1091"/>
      <c r="NUE917" s="1091"/>
      <c r="NUF917" s="1091"/>
      <c r="NUG917" s="1091"/>
      <c r="NUH917" s="1091"/>
      <c r="NUI917" s="1091"/>
      <c r="NUJ917" s="1091"/>
      <c r="NUK917" s="1091"/>
      <c r="NUL917" s="1091"/>
      <c r="NUM917" s="1091"/>
      <c r="NUN917" s="1091"/>
      <c r="NUO917" s="1091"/>
      <c r="NUP917" s="1091"/>
      <c r="NUQ917" s="1091"/>
      <c r="NUR917" s="1091"/>
      <c r="NUS917" s="1091"/>
      <c r="NUT917" s="1091"/>
      <c r="NUU917" s="1091"/>
      <c r="NUV917" s="1091"/>
      <c r="NUW917" s="1091"/>
      <c r="NUX917" s="1091"/>
      <c r="NUY917" s="1091"/>
      <c r="NUZ917" s="1091"/>
      <c r="NVA917" s="1091"/>
      <c r="NVB917" s="1091"/>
      <c r="NVC917" s="1091"/>
      <c r="NVD917" s="1091"/>
      <c r="NVE917" s="1091"/>
      <c r="NVF917" s="1091"/>
      <c r="NVG917" s="1091"/>
      <c r="NVH917" s="1091"/>
      <c r="NVI917" s="1091"/>
      <c r="NVJ917" s="1091"/>
      <c r="NVK917" s="1091"/>
      <c r="NVL917" s="1091"/>
      <c r="NVM917" s="1091"/>
      <c r="NVN917" s="1091"/>
      <c r="NVO917" s="1091"/>
      <c r="NVP917" s="1091"/>
      <c r="NVQ917" s="1091"/>
      <c r="NVR917" s="1091"/>
      <c r="NVS917" s="1091"/>
      <c r="NVT917" s="1091"/>
      <c r="NVU917" s="1091"/>
      <c r="NVV917" s="1091"/>
      <c r="NVW917" s="1091"/>
      <c r="NVX917" s="1091"/>
      <c r="NVY917" s="1091"/>
      <c r="NVZ917" s="1091"/>
      <c r="NWA917" s="1091"/>
      <c r="NWB917" s="1091"/>
      <c r="NWC917" s="1091"/>
      <c r="NWD917" s="1091"/>
      <c r="NWE917" s="1091"/>
      <c r="NWF917" s="1091"/>
      <c r="NWG917" s="1091"/>
      <c r="NWH917" s="1091"/>
      <c r="NWI917" s="1091"/>
      <c r="NWJ917" s="1091"/>
      <c r="NWK917" s="1091"/>
      <c r="NWL917" s="1091"/>
      <c r="NWM917" s="1091"/>
      <c r="NWN917" s="1091"/>
      <c r="NWO917" s="1091"/>
      <c r="NWP917" s="1091"/>
      <c r="NWQ917" s="1091"/>
      <c r="NWR917" s="1091"/>
      <c r="NWS917" s="1091"/>
      <c r="NWT917" s="1091"/>
      <c r="NWU917" s="1091"/>
      <c r="NWV917" s="1091"/>
      <c r="NWW917" s="1091"/>
      <c r="NWX917" s="1091"/>
      <c r="NWY917" s="1091"/>
      <c r="NWZ917" s="1091"/>
      <c r="NXA917" s="1091"/>
      <c r="NXB917" s="1091"/>
      <c r="NXC917" s="1091"/>
      <c r="NXD917" s="1091"/>
      <c r="NXE917" s="1091"/>
      <c r="NXF917" s="1091"/>
      <c r="NXG917" s="1091"/>
      <c r="NXH917" s="1091"/>
      <c r="NXI917" s="1091"/>
      <c r="NXJ917" s="1091"/>
      <c r="NXK917" s="1091"/>
      <c r="NXL917" s="1091"/>
      <c r="NXM917" s="1091"/>
      <c r="NXN917" s="1091"/>
      <c r="NXO917" s="1091"/>
      <c r="NXP917" s="1091"/>
      <c r="NXQ917" s="1091"/>
      <c r="NXR917" s="1091"/>
      <c r="NXS917" s="1091"/>
      <c r="NXT917" s="1091"/>
      <c r="NXU917" s="1091"/>
      <c r="NXV917" s="1091"/>
      <c r="NXW917" s="1091"/>
      <c r="NXX917" s="1091"/>
      <c r="NXY917" s="1091"/>
      <c r="NXZ917" s="1091"/>
      <c r="NYA917" s="1091"/>
      <c r="NYB917" s="1091"/>
      <c r="NYC917" s="1091"/>
      <c r="NYD917" s="1091"/>
      <c r="NYE917" s="1091"/>
      <c r="NYF917" s="1091"/>
      <c r="NYG917" s="1091"/>
      <c r="NYH917" s="1091"/>
      <c r="NYI917" s="1091"/>
      <c r="NYJ917" s="1091"/>
      <c r="NYK917" s="1091"/>
      <c r="NYL917" s="1091"/>
      <c r="NYM917" s="1091"/>
      <c r="NYN917" s="1091"/>
      <c r="NYO917" s="1091"/>
      <c r="NYP917" s="1091"/>
      <c r="NYQ917" s="1091"/>
      <c r="NYR917" s="1091"/>
      <c r="NYS917" s="1091"/>
      <c r="NYT917" s="1091"/>
      <c r="NYU917" s="1091"/>
      <c r="NYV917" s="1091"/>
      <c r="NYW917" s="1091"/>
      <c r="NYX917" s="1091"/>
      <c r="NYY917" s="1091"/>
      <c r="NYZ917" s="1091"/>
      <c r="NZA917" s="1091"/>
      <c r="NZB917" s="1091"/>
      <c r="NZC917" s="1091"/>
      <c r="NZD917" s="1091"/>
      <c r="NZE917" s="1091"/>
      <c r="NZF917" s="1091"/>
      <c r="NZG917" s="1091"/>
      <c r="NZH917" s="1091"/>
      <c r="NZI917" s="1091"/>
      <c r="NZJ917" s="1091"/>
      <c r="NZK917" s="1091"/>
      <c r="NZL917" s="1091"/>
      <c r="NZM917" s="1091"/>
      <c r="NZN917" s="1091"/>
      <c r="NZO917" s="1091"/>
      <c r="NZP917" s="1091"/>
      <c r="NZQ917" s="1091"/>
      <c r="NZR917" s="1091"/>
      <c r="NZS917" s="1091"/>
      <c r="NZT917" s="1091"/>
      <c r="NZU917" s="1091"/>
      <c r="NZV917" s="1091"/>
      <c r="NZW917" s="1091"/>
      <c r="NZX917" s="1091"/>
      <c r="NZY917" s="1091"/>
      <c r="NZZ917" s="1091"/>
      <c r="OAA917" s="1091"/>
      <c r="OAB917" s="1091"/>
      <c r="OAC917" s="1091"/>
      <c r="OAD917" s="1091"/>
      <c r="OAE917" s="1091"/>
      <c r="OAF917" s="1091"/>
      <c r="OAG917" s="1091"/>
      <c r="OAH917" s="1091"/>
      <c r="OAI917" s="1091"/>
      <c r="OAJ917" s="1091"/>
      <c r="OAK917" s="1091"/>
      <c r="OAL917" s="1091"/>
      <c r="OAM917" s="1091"/>
      <c r="OAN917" s="1091"/>
      <c r="OAO917" s="1091"/>
      <c r="OAP917" s="1091"/>
      <c r="OAQ917" s="1091"/>
      <c r="OAR917" s="1091"/>
      <c r="OAS917" s="1091"/>
      <c r="OAT917" s="1091"/>
      <c r="OAU917" s="1091"/>
      <c r="OAV917" s="1091"/>
      <c r="OAW917" s="1091"/>
      <c r="OAX917" s="1091"/>
      <c r="OAY917" s="1091"/>
      <c r="OAZ917" s="1091"/>
      <c r="OBA917" s="1091"/>
      <c r="OBB917" s="1091"/>
      <c r="OBC917" s="1091"/>
      <c r="OBD917" s="1091"/>
      <c r="OBE917" s="1091"/>
      <c r="OBF917" s="1091"/>
      <c r="OBG917" s="1091"/>
      <c r="OBH917" s="1091"/>
      <c r="OBI917" s="1091"/>
      <c r="OBJ917" s="1091"/>
      <c r="OBK917" s="1091"/>
      <c r="OBL917" s="1091"/>
      <c r="OBM917" s="1091"/>
      <c r="OBN917" s="1091"/>
      <c r="OBO917" s="1091"/>
      <c r="OBP917" s="1091"/>
      <c r="OBQ917" s="1091"/>
      <c r="OBR917" s="1091"/>
      <c r="OBS917" s="1091"/>
      <c r="OBT917" s="1091"/>
      <c r="OBU917" s="1091"/>
      <c r="OBV917" s="1091"/>
      <c r="OBW917" s="1091"/>
      <c r="OBX917" s="1091"/>
      <c r="OBY917" s="1091"/>
      <c r="OBZ917" s="1091"/>
      <c r="OCA917" s="1091"/>
      <c r="OCB917" s="1091"/>
      <c r="OCC917" s="1091"/>
      <c r="OCD917" s="1091"/>
      <c r="OCE917" s="1091"/>
      <c r="OCF917" s="1091"/>
      <c r="OCG917" s="1091"/>
      <c r="OCH917" s="1091"/>
      <c r="OCI917" s="1091"/>
      <c r="OCJ917" s="1091"/>
      <c r="OCK917" s="1091"/>
      <c r="OCL917" s="1091"/>
      <c r="OCM917" s="1091"/>
      <c r="OCN917" s="1091"/>
      <c r="OCO917" s="1091"/>
      <c r="OCP917" s="1091"/>
      <c r="OCQ917" s="1091"/>
      <c r="OCR917" s="1091"/>
      <c r="OCS917" s="1091"/>
      <c r="OCT917" s="1091"/>
      <c r="OCU917" s="1091"/>
      <c r="OCV917" s="1091"/>
      <c r="OCW917" s="1091"/>
      <c r="OCX917" s="1091"/>
      <c r="OCY917" s="1091"/>
      <c r="OCZ917" s="1091"/>
      <c r="ODA917" s="1091"/>
      <c r="ODB917" s="1091"/>
      <c r="ODC917" s="1091"/>
      <c r="ODD917" s="1091"/>
      <c r="ODE917" s="1091"/>
      <c r="ODF917" s="1091"/>
      <c r="ODG917" s="1091"/>
      <c r="ODH917" s="1091"/>
      <c r="ODI917" s="1091"/>
      <c r="ODJ917" s="1091"/>
      <c r="ODK917" s="1091"/>
      <c r="ODL917" s="1091"/>
      <c r="ODM917" s="1091"/>
      <c r="ODN917" s="1091"/>
      <c r="ODO917" s="1091"/>
      <c r="ODP917" s="1091"/>
      <c r="ODQ917" s="1091"/>
      <c r="ODR917" s="1091"/>
      <c r="ODS917" s="1091"/>
      <c r="ODT917" s="1091"/>
      <c r="ODU917" s="1091"/>
      <c r="ODV917" s="1091"/>
      <c r="ODW917" s="1091"/>
      <c r="ODX917" s="1091"/>
      <c r="ODY917" s="1091"/>
      <c r="ODZ917" s="1091"/>
      <c r="OEA917" s="1091"/>
      <c r="OEB917" s="1091"/>
      <c r="OEC917" s="1091"/>
      <c r="OED917" s="1091"/>
      <c r="OEE917" s="1091"/>
      <c r="OEF917" s="1091"/>
      <c r="OEG917" s="1091"/>
      <c r="OEH917" s="1091"/>
      <c r="OEI917" s="1091"/>
      <c r="OEJ917" s="1091"/>
      <c r="OEK917" s="1091"/>
      <c r="OEL917" s="1091"/>
      <c r="OEM917" s="1091"/>
      <c r="OEN917" s="1091"/>
      <c r="OEO917" s="1091"/>
      <c r="OEP917" s="1091"/>
      <c r="OEQ917" s="1091"/>
      <c r="OER917" s="1091"/>
      <c r="OES917" s="1091"/>
      <c r="OET917" s="1091"/>
      <c r="OEU917" s="1091"/>
      <c r="OEV917" s="1091"/>
      <c r="OEW917" s="1091"/>
      <c r="OEX917" s="1091"/>
      <c r="OEY917" s="1091"/>
      <c r="OEZ917" s="1091"/>
      <c r="OFA917" s="1091"/>
      <c r="OFB917" s="1091"/>
      <c r="OFC917" s="1091"/>
      <c r="OFD917" s="1091"/>
      <c r="OFE917" s="1091"/>
      <c r="OFF917" s="1091"/>
      <c r="OFG917" s="1091"/>
      <c r="OFH917" s="1091"/>
      <c r="OFI917" s="1091"/>
      <c r="OFJ917" s="1091"/>
      <c r="OFK917" s="1091"/>
      <c r="OFL917" s="1091"/>
      <c r="OFM917" s="1091"/>
      <c r="OFN917" s="1091"/>
      <c r="OFO917" s="1091"/>
      <c r="OFP917" s="1091"/>
      <c r="OFQ917" s="1091"/>
      <c r="OFR917" s="1091"/>
      <c r="OFS917" s="1091"/>
      <c r="OFT917" s="1091"/>
      <c r="OFU917" s="1091"/>
      <c r="OFV917" s="1091"/>
      <c r="OFW917" s="1091"/>
      <c r="OFX917" s="1091"/>
      <c r="OFY917" s="1091"/>
      <c r="OFZ917" s="1091"/>
      <c r="OGA917" s="1091"/>
      <c r="OGB917" s="1091"/>
      <c r="OGC917" s="1091"/>
      <c r="OGD917" s="1091"/>
      <c r="OGE917" s="1091"/>
      <c r="OGF917" s="1091"/>
      <c r="OGG917" s="1091"/>
      <c r="OGH917" s="1091"/>
      <c r="OGI917" s="1091"/>
      <c r="OGJ917" s="1091"/>
      <c r="OGK917" s="1091"/>
      <c r="OGL917" s="1091"/>
      <c r="OGM917" s="1091"/>
      <c r="OGN917" s="1091"/>
      <c r="OGO917" s="1091"/>
      <c r="OGP917" s="1091"/>
      <c r="OGQ917" s="1091"/>
      <c r="OGR917" s="1091"/>
      <c r="OGS917" s="1091"/>
      <c r="OGT917" s="1091"/>
      <c r="OGU917" s="1091"/>
      <c r="OGV917" s="1091"/>
      <c r="OGW917" s="1091"/>
      <c r="OGX917" s="1091"/>
      <c r="OGY917" s="1091"/>
      <c r="OGZ917" s="1091"/>
      <c r="OHA917" s="1091"/>
      <c r="OHB917" s="1091"/>
      <c r="OHC917" s="1091"/>
      <c r="OHD917" s="1091"/>
      <c r="OHE917" s="1091"/>
      <c r="OHF917" s="1091"/>
      <c r="OHG917" s="1091"/>
      <c r="OHH917" s="1091"/>
      <c r="OHI917" s="1091"/>
      <c r="OHJ917" s="1091"/>
      <c r="OHK917" s="1091"/>
      <c r="OHL917" s="1091"/>
      <c r="OHM917" s="1091"/>
      <c r="OHN917" s="1091"/>
      <c r="OHO917" s="1091"/>
      <c r="OHP917" s="1091"/>
      <c r="OHQ917" s="1091"/>
      <c r="OHR917" s="1091"/>
      <c r="OHS917" s="1091"/>
      <c r="OHT917" s="1091"/>
      <c r="OHU917" s="1091"/>
      <c r="OHV917" s="1091"/>
      <c r="OHW917" s="1091"/>
      <c r="OHX917" s="1091"/>
      <c r="OHY917" s="1091"/>
      <c r="OHZ917" s="1091"/>
      <c r="OIA917" s="1091"/>
      <c r="OIB917" s="1091"/>
      <c r="OIC917" s="1091"/>
      <c r="OID917" s="1091"/>
      <c r="OIE917" s="1091"/>
      <c r="OIF917" s="1091"/>
      <c r="OIG917" s="1091"/>
      <c r="OIH917" s="1091"/>
      <c r="OII917" s="1091"/>
      <c r="OIJ917" s="1091"/>
      <c r="OIK917" s="1091"/>
      <c r="OIL917" s="1091"/>
      <c r="OIM917" s="1091"/>
      <c r="OIN917" s="1091"/>
      <c r="OIO917" s="1091"/>
      <c r="OIP917" s="1091"/>
      <c r="OIQ917" s="1091"/>
      <c r="OIR917" s="1091"/>
      <c r="OIS917" s="1091"/>
      <c r="OIT917" s="1091"/>
      <c r="OIU917" s="1091"/>
      <c r="OIV917" s="1091"/>
      <c r="OIW917" s="1091"/>
      <c r="OIX917" s="1091"/>
      <c r="OIY917" s="1091"/>
      <c r="OIZ917" s="1091"/>
      <c r="OJA917" s="1091"/>
      <c r="OJB917" s="1091"/>
      <c r="OJC917" s="1091"/>
      <c r="OJD917" s="1091"/>
      <c r="OJE917" s="1091"/>
      <c r="OJF917" s="1091"/>
      <c r="OJG917" s="1091"/>
      <c r="OJH917" s="1091"/>
      <c r="OJI917" s="1091"/>
      <c r="OJJ917" s="1091"/>
      <c r="OJK917" s="1091"/>
      <c r="OJL917" s="1091"/>
      <c r="OJM917" s="1091"/>
      <c r="OJN917" s="1091"/>
      <c r="OJO917" s="1091"/>
      <c r="OJP917" s="1091"/>
      <c r="OJQ917" s="1091"/>
      <c r="OJR917" s="1091"/>
      <c r="OJS917" s="1091"/>
      <c r="OJT917" s="1091"/>
      <c r="OJU917" s="1091"/>
      <c r="OJV917" s="1091"/>
      <c r="OJW917" s="1091"/>
      <c r="OJX917" s="1091"/>
      <c r="OJY917" s="1091"/>
      <c r="OJZ917" s="1091"/>
      <c r="OKA917" s="1091"/>
      <c r="OKB917" s="1091"/>
      <c r="OKC917" s="1091"/>
      <c r="OKD917" s="1091"/>
      <c r="OKE917" s="1091"/>
      <c r="OKF917" s="1091"/>
      <c r="OKG917" s="1091"/>
      <c r="OKH917" s="1091"/>
      <c r="OKI917" s="1091"/>
      <c r="OKJ917" s="1091"/>
      <c r="OKK917" s="1091"/>
      <c r="OKL917" s="1091"/>
      <c r="OKM917" s="1091"/>
      <c r="OKN917" s="1091"/>
      <c r="OKO917" s="1091"/>
      <c r="OKP917" s="1091"/>
      <c r="OKQ917" s="1091"/>
      <c r="OKR917" s="1091"/>
      <c r="OKS917" s="1091"/>
      <c r="OKT917" s="1091"/>
      <c r="OKU917" s="1091"/>
      <c r="OKV917" s="1091"/>
      <c r="OKW917" s="1091"/>
      <c r="OKX917" s="1091"/>
      <c r="OKY917" s="1091"/>
      <c r="OKZ917" s="1091"/>
      <c r="OLA917" s="1091"/>
      <c r="OLB917" s="1091"/>
      <c r="OLC917" s="1091"/>
      <c r="OLD917" s="1091"/>
      <c r="OLE917" s="1091"/>
      <c r="OLF917" s="1091"/>
      <c r="OLG917" s="1091"/>
      <c r="OLH917" s="1091"/>
      <c r="OLI917" s="1091"/>
      <c r="OLJ917" s="1091"/>
      <c r="OLK917" s="1091"/>
      <c r="OLL917" s="1091"/>
      <c r="OLM917" s="1091"/>
      <c r="OLN917" s="1091"/>
      <c r="OLO917" s="1091"/>
      <c r="OLP917" s="1091"/>
      <c r="OLQ917" s="1091"/>
      <c r="OLR917" s="1091"/>
      <c r="OLS917" s="1091"/>
      <c r="OLT917" s="1091"/>
      <c r="OLU917" s="1091"/>
      <c r="OLV917" s="1091"/>
      <c r="OLW917" s="1091"/>
      <c r="OLX917" s="1091"/>
      <c r="OLY917" s="1091"/>
      <c r="OLZ917" s="1091"/>
      <c r="OMA917" s="1091"/>
      <c r="OMB917" s="1091"/>
      <c r="OMC917" s="1091"/>
      <c r="OMD917" s="1091"/>
      <c r="OME917" s="1091"/>
      <c r="OMF917" s="1091"/>
      <c r="OMG917" s="1091"/>
      <c r="OMH917" s="1091"/>
      <c r="OMI917" s="1091"/>
      <c r="OMJ917" s="1091"/>
      <c r="OMK917" s="1091"/>
      <c r="OML917" s="1091"/>
      <c r="OMM917" s="1091"/>
      <c r="OMN917" s="1091"/>
      <c r="OMO917" s="1091"/>
      <c r="OMP917" s="1091"/>
      <c r="OMQ917" s="1091"/>
      <c r="OMR917" s="1091"/>
      <c r="OMS917" s="1091"/>
      <c r="OMT917" s="1091"/>
      <c r="OMU917" s="1091"/>
      <c r="OMV917" s="1091"/>
      <c r="OMW917" s="1091"/>
      <c r="OMX917" s="1091"/>
      <c r="OMY917" s="1091"/>
      <c r="OMZ917" s="1091"/>
      <c r="ONA917" s="1091"/>
      <c r="ONB917" s="1091"/>
      <c r="ONC917" s="1091"/>
      <c r="OND917" s="1091"/>
      <c r="ONE917" s="1091"/>
      <c r="ONF917" s="1091"/>
      <c r="ONG917" s="1091"/>
      <c r="ONH917" s="1091"/>
      <c r="ONI917" s="1091"/>
      <c r="ONJ917" s="1091"/>
      <c r="ONK917" s="1091"/>
      <c r="ONL917" s="1091"/>
      <c r="ONM917" s="1091"/>
      <c r="ONN917" s="1091"/>
      <c r="ONO917" s="1091"/>
      <c r="ONP917" s="1091"/>
      <c r="ONQ917" s="1091"/>
      <c r="ONR917" s="1091"/>
      <c r="ONS917" s="1091"/>
      <c r="ONT917" s="1091"/>
      <c r="ONU917" s="1091"/>
      <c r="ONV917" s="1091"/>
      <c r="ONW917" s="1091"/>
      <c r="ONX917" s="1091"/>
      <c r="ONY917" s="1091"/>
      <c r="ONZ917" s="1091"/>
      <c r="OOA917" s="1091"/>
      <c r="OOB917" s="1091"/>
      <c r="OOC917" s="1091"/>
      <c r="OOD917" s="1091"/>
      <c r="OOE917" s="1091"/>
      <c r="OOF917" s="1091"/>
      <c r="OOG917" s="1091"/>
      <c r="OOH917" s="1091"/>
      <c r="OOI917" s="1091"/>
      <c r="OOJ917" s="1091"/>
      <c r="OOK917" s="1091"/>
      <c r="OOL917" s="1091"/>
      <c r="OOM917" s="1091"/>
      <c r="OON917" s="1091"/>
      <c r="OOO917" s="1091"/>
      <c r="OOP917" s="1091"/>
      <c r="OOQ917" s="1091"/>
      <c r="OOR917" s="1091"/>
      <c r="OOS917" s="1091"/>
      <c r="OOT917" s="1091"/>
      <c r="OOU917" s="1091"/>
      <c r="OOV917" s="1091"/>
      <c r="OOW917" s="1091"/>
      <c r="OOX917" s="1091"/>
      <c r="OOY917" s="1091"/>
      <c r="OOZ917" s="1091"/>
      <c r="OPA917" s="1091"/>
      <c r="OPB917" s="1091"/>
      <c r="OPC917" s="1091"/>
      <c r="OPD917" s="1091"/>
      <c r="OPE917" s="1091"/>
      <c r="OPF917" s="1091"/>
      <c r="OPG917" s="1091"/>
      <c r="OPH917" s="1091"/>
      <c r="OPI917" s="1091"/>
      <c r="OPJ917" s="1091"/>
      <c r="OPK917" s="1091"/>
      <c r="OPL917" s="1091"/>
      <c r="OPM917" s="1091"/>
      <c r="OPN917" s="1091"/>
      <c r="OPO917" s="1091"/>
      <c r="OPP917" s="1091"/>
      <c r="OPQ917" s="1091"/>
      <c r="OPR917" s="1091"/>
      <c r="OPS917" s="1091"/>
      <c r="OPT917" s="1091"/>
      <c r="OPU917" s="1091"/>
      <c r="OPV917" s="1091"/>
      <c r="OPW917" s="1091"/>
      <c r="OPX917" s="1091"/>
      <c r="OPY917" s="1091"/>
      <c r="OPZ917" s="1091"/>
      <c r="OQA917" s="1091"/>
      <c r="OQB917" s="1091"/>
      <c r="OQC917" s="1091"/>
      <c r="OQD917" s="1091"/>
      <c r="OQE917" s="1091"/>
      <c r="OQF917" s="1091"/>
      <c r="OQG917" s="1091"/>
      <c r="OQH917" s="1091"/>
      <c r="OQI917" s="1091"/>
      <c r="OQJ917" s="1091"/>
      <c r="OQK917" s="1091"/>
      <c r="OQL917" s="1091"/>
      <c r="OQM917" s="1091"/>
      <c r="OQN917" s="1091"/>
      <c r="OQO917" s="1091"/>
      <c r="OQP917" s="1091"/>
      <c r="OQQ917" s="1091"/>
      <c r="OQR917" s="1091"/>
      <c r="OQS917" s="1091"/>
      <c r="OQT917" s="1091"/>
      <c r="OQU917" s="1091"/>
      <c r="OQV917" s="1091"/>
      <c r="OQW917" s="1091"/>
      <c r="OQX917" s="1091"/>
      <c r="OQY917" s="1091"/>
      <c r="OQZ917" s="1091"/>
      <c r="ORA917" s="1091"/>
      <c r="ORB917" s="1091"/>
      <c r="ORC917" s="1091"/>
      <c r="ORD917" s="1091"/>
      <c r="ORE917" s="1091"/>
      <c r="ORF917" s="1091"/>
      <c r="ORG917" s="1091"/>
      <c r="ORH917" s="1091"/>
      <c r="ORI917" s="1091"/>
      <c r="ORJ917" s="1091"/>
      <c r="ORK917" s="1091"/>
      <c r="ORL917" s="1091"/>
      <c r="ORM917" s="1091"/>
      <c r="ORN917" s="1091"/>
      <c r="ORO917" s="1091"/>
      <c r="ORP917" s="1091"/>
      <c r="ORQ917" s="1091"/>
      <c r="ORR917" s="1091"/>
      <c r="ORS917" s="1091"/>
      <c r="ORT917" s="1091"/>
      <c r="ORU917" s="1091"/>
      <c r="ORV917" s="1091"/>
      <c r="ORW917" s="1091"/>
      <c r="ORX917" s="1091"/>
      <c r="ORY917" s="1091"/>
      <c r="ORZ917" s="1091"/>
      <c r="OSA917" s="1091"/>
      <c r="OSB917" s="1091"/>
      <c r="OSC917" s="1091"/>
      <c r="OSD917" s="1091"/>
      <c r="OSE917" s="1091"/>
      <c r="OSF917" s="1091"/>
      <c r="OSG917" s="1091"/>
      <c r="OSH917" s="1091"/>
      <c r="OSI917" s="1091"/>
      <c r="OSJ917" s="1091"/>
      <c r="OSK917" s="1091"/>
      <c r="OSL917" s="1091"/>
      <c r="OSM917" s="1091"/>
      <c r="OSN917" s="1091"/>
      <c r="OSO917" s="1091"/>
      <c r="OSP917" s="1091"/>
      <c r="OSQ917" s="1091"/>
      <c r="OSR917" s="1091"/>
      <c r="OSS917" s="1091"/>
      <c r="OST917" s="1091"/>
      <c r="OSU917" s="1091"/>
      <c r="OSV917" s="1091"/>
      <c r="OSW917" s="1091"/>
      <c r="OSX917" s="1091"/>
      <c r="OSY917" s="1091"/>
      <c r="OSZ917" s="1091"/>
      <c r="OTA917" s="1091"/>
      <c r="OTB917" s="1091"/>
      <c r="OTC917" s="1091"/>
      <c r="OTD917" s="1091"/>
      <c r="OTE917" s="1091"/>
      <c r="OTF917" s="1091"/>
      <c r="OTG917" s="1091"/>
      <c r="OTH917" s="1091"/>
      <c r="OTI917" s="1091"/>
      <c r="OTJ917" s="1091"/>
      <c r="OTK917" s="1091"/>
      <c r="OTL917" s="1091"/>
      <c r="OTM917" s="1091"/>
      <c r="OTN917" s="1091"/>
      <c r="OTO917" s="1091"/>
      <c r="OTP917" s="1091"/>
      <c r="OTQ917" s="1091"/>
      <c r="OTR917" s="1091"/>
      <c r="OTS917" s="1091"/>
      <c r="OTT917" s="1091"/>
      <c r="OTU917" s="1091"/>
      <c r="OTV917" s="1091"/>
      <c r="OTW917" s="1091"/>
      <c r="OTX917" s="1091"/>
      <c r="OTY917" s="1091"/>
      <c r="OTZ917" s="1091"/>
      <c r="OUA917" s="1091"/>
      <c r="OUB917" s="1091"/>
      <c r="OUC917" s="1091"/>
      <c r="OUD917" s="1091"/>
      <c r="OUE917" s="1091"/>
      <c r="OUF917" s="1091"/>
      <c r="OUG917" s="1091"/>
      <c r="OUH917" s="1091"/>
      <c r="OUI917" s="1091"/>
      <c r="OUJ917" s="1091"/>
      <c r="OUK917" s="1091"/>
      <c r="OUL917" s="1091"/>
      <c r="OUM917" s="1091"/>
      <c r="OUN917" s="1091"/>
      <c r="OUO917" s="1091"/>
      <c r="OUP917" s="1091"/>
      <c r="OUQ917" s="1091"/>
      <c r="OUR917" s="1091"/>
      <c r="OUS917" s="1091"/>
      <c r="OUT917" s="1091"/>
      <c r="OUU917" s="1091"/>
      <c r="OUV917" s="1091"/>
      <c r="OUW917" s="1091"/>
      <c r="OUX917" s="1091"/>
      <c r="OUY917" s="1091"/>
      <c r="OUZ917" s="1091"/>
      <c r="OVA917" s="1091"/>
      <c r="OVB917" s="1091"/>
      <c r="OVC917" s="1091"/>
      <c r="OVD917" s="1091"/>
      <c r="OVE917" s="1091"/>
      <c r="OVF917" s="1091"/>
      <c r="OVG917" s="1091"/>
      <c r="OVH917" s="1091"/>
      <c r="OVI917" s="1091"/>
      <c r="OVJ917" s="1091"/>
      <c r="OVK917" s="1091"/>
      <c r="OVL917" s="1091"/>
      <c r="OVM917" s="1091"/>
      <c r="OVN917" s="1091"/>
      <c r="OVO917" s="1091"/>
      <c r="OVP917" s="1091"/>
      <c r="OVQ917" s="1091"/>
      <c r="OVR917" s="1091"/>
      <c r="OVS917" s="1091"/>
      <c r="OVT917" s="1091"/>
      <c r="OVU917" s="1091"/>
      <c r="OVV917" s="1091"/>
      <c r="OVW917" s="1091"/>
      <c r="OVX917" s="1091"/>
      <c r="OVY917" s="1091"/>
      <c r="OVZ917" s="1091"/>
      <c r="OWA917" s="1091"/>
      <c r="OWB917" s="1091"/>
      <c r="OWC917" s="1091"/>
      <c r="OWD917" s="1091"/>
      <c r="OWE917" s="1091"/>
      <c r="OWF917" s="1091"/>
      <c r="OWG917" s="1091"/>
      <c r="OWH917" s="1091"/>
      <c r="OWI917" s="1091"/>
      <c r="OWJ917" s="1091"/>
      <c r="OWK917" s="1091"/>
      <c r="OWL917" s="1091"/>
      <c r="OWM917" s="1091"/>
      <c r="OWN917" s="1091"/>
      <c r="OWO917" s="1091"/>
      <c r="OWP917" s="1091"/>
      <c r="OWQ917" s="1091"/>
      <c r="OWR917" s="1091"/>
      <c r="OWS917" s="1091"/>
      <c r="OWT917" s="1091"/>
      <c r="OWU917" s="1091"/>
      <c r="OWV917" s="1091"/>
      <c r="OWW917" s="1091"/>
      <c r="OWX917" s="1091"/>
      <c r="OWY917" s="1091"/>
      <c r="OWZ917" s="1091"/>
      <c r="OXA917" s="1091"/>
      <c r="OXB917" s="1091"/>
      <c r="OXC917" s="1091"/>
      <c r="OXD917" s="1091"/>
      <c r="OXE917" s="1091"/>
      <c r="OXF917" s="1091"/>
      <c r="OXG917" s="1091"/>
      <c r="OXH917" s="1091"/>
      <c r="OXI917" s="1091"/>
      <c r="OXJ917" s="1091"/>
      <c r="OXK917" s="1091"/>
      <c r="OXL917" s="1091"/>
      <c r="OXM917" s="1091"/>
      <c r="OXN917" s="1091"/>
      <c r="OXO917" s="1091"/>
      <c r="OXP917" s="1091"/>
      <c r="OXQ917" s="1091"/>
      <c r="OXR917" s="1091"/>
      <c r="OXS917" s="1091"/>
      <c r="OXT917" s="1091"/>
      <c r="OXU917" s="1091"/>
      <c r="OXV917" s="1091"/>
      <c r="OXW917" s="1091"/>
      <c r="OXX917" s="1091"/>
      <c r="OXY917" s="1091"/>
      <c r="OXZ917" s="1091"/>
      <c r="OYA917" s="1091"/>
      <c r="OYB917" s="1091"/>
      <c r="OYC917" s="1091"/>
      <c r="OYD917" s="1091"/>
      <c r="OYE917" s="1091"/>
      <c r="OYF917" s="1091"/>
      <c r="OYG917" s="1091"/>
      <c r="OYH917" s="1091"/>
      <c r="OYI917" s="1091"/>
      <c r="OYJ917" s="1091"/>
      <c r="OYK917" s="1091"/>
      <c r="OYL917" s="1091"/>
      <c r="OYM917" s="1091"/>
      <c r="OYN917" s="1091"/>
      <c r="OYO917" s="1091"/>
      <c r="OYP917" s="1091"/>
      <c r="OYQ917" s="1091"/>
      <c r="OYR917" s="1091"/>
      <c r="OYS917" s="1091"/>
      <c r="OYT917" s="1091"/>
      <c r="OYU917" s="1091"/>
      <c r="OYV917" s="1091"/>
      <c r="OYW917" s="1091"/>
      <c r="OYX917" s="1091"/>
      <c r="OYY917" s="1091"/>
      <c r="OYZ917" s="1091"/>
      <c r="OZA917" s="1091"/>
      <c r="OZB917" s="1091"/>
      <c r="OZC917" s="1091"/>
      <c r="OZD917" s="1091"/>
      <c r="OZE917" s="1091"/>
      <c r="OZF917" s="1091"/>
      <c r="OZG917" s="1091"/>
      <c r="OZH917" s="1091"/>
      <c r="OZI917" s="1091"/>
      <c r="OZJ917" s="1091"/>
      <c r="OZK917" s="1091"/>
      <c r="OZL917" s="1091"/>
      <c r="OZM917" s="1091"/>
      <c r="OZN917" s="1091"/>
      <c r="OZO917" s="1091"/>
      <c r="OZP917" s="1091"/>
      <c r="OZQ917" s="1091"/>
      <c r="OZR917" s="1091"/>
      <c r="OZS917" s="1091"/>
      <c r="OZT917" s="1091"/>
      <c r="OZU917" s="1091"/>
      <c r="OZV917" s="1091"/>
      <c r="OZW917" s="1091"/>
      <c r="OZX917" s="1091"/>
      <c r="OZY917" s="1091"/>
      <c r="OZZ917" s="1091"/>
      <c r="PAA917" s="1091"/>
      <c r="PAB917" s="1091"/>
      <c r="PAC917" s="1091"/>
      <c r="PAD917" s="1091"/>
      <c r="PAE917" s="1091"/>
      <c r="PAF917" s="1091"/>
      <c r="PAG917" s="1091"/>
      <c r="PAH917" s="1091"/>
      <c r="PAI917" s="1091"/>
      <c r="PAJ917" s="1091"/>
      <c r="PAK917" s="1091"/>
      <c r="PAL917" s="1091"/>
      <c r="PAM917" s="1091"/>
      <c r="PAN917" s="1091"/>
      <c r="PAO917" s="1091"/>
      <c r="PAP917" s="1091"/>
      <c r="PAQ917" s="1091"/>
      <c r="PAR917" s="1091"/>
      <c r="PAS917" s="1091"/>
      <c r="PAT917" s="1091"/>
      <c r="PAU917" s="1091"/>
      <c r="PAV917" s="1091"/>
      <c r="PAW917" s="1091"/>
      <c r="PAX917" s="1091"/>
      <c r="PAY917" s="1091"/>
      <c r="PAZ917" s="1091"/>
      <c r="PBA917" s="1091"/>
      <c r="PBB917" s="1091"/>
      <c r="PBC917" s="1091"/>
      <c r="PBD917" s="1091"/>
      <c r="PBE917" s="1091"/>
      <c r="PBF917" s="1091"/>
      <c r="PBG917" s="1091"/>
      <c r="PBH917" s="1091"/>
      <c r="PBI917" s="1091"/>
      <c r="PBJ917" s="1091"/>
      <c r="PBK917" s="1091"/>
      <c r="PBL917" s="1091"/>
      <c r="PBM917" s="1091"/>
      <c r="PBN917" s="1091"/>
      <c r="PBO917" s="1091"/>
      <c r="PBP917" s="1091"/>
      <c r="PBQ917" s="1091"/>
      <c r="PBR917" s="1091"/>
      <c r="PBS917" s="1091"/>
      <c r="PBT917" s="1091"/>
      <c r="PBU917" s="1091"/>
      <c r="PBV917" s="1091"/>
      <c r="PBW917" s="1091"/>
      <c r="PBX917" s="1091"/>
      <c r="PBY917" s="1091"/>
      <c r="PBZ917" s="1091"/>
      <c r="PCA917" s="1091"/>
      <c r="PCB917" s="1091"/>
      <c r="PCC917" s="1091"/>
      <c r="PCD917" s="1091"/>
      <c r="PCE917" s="1091"/>
      <c r="PCF917" s="1091"/>
      <c r="PCG917" s="1091"/>
      <c r="PCH917" s="1091"/>
      <c r="PCI917" s="1091"/>
      <c r="PCJ917" s="1091"/>
      <c r="PCK917" s="1091"/>
      <c r="PCL917" s="1091"/>
      <c r="PCM917" s="1091"/>
      <c r="PCN917" s="1091"/>
      <c r="PCO917" s="1091"/>
      <c r="PCP917" s="1091"/>
      <c r="PCQ917" s="1091"/>
      <c r="PCR917" s="1091"/>
      <c r="PCS917" s="1091"/>
      <c r="PCT917" s="1091"/>
      <c r="PCU917" s="1091"/>
      <c r="PCV917" s="1091"/>
      <c r="PCW917" s="1091"/>
      <c r="PCX917" s="1091"/>
      <c r="PCY917" s="1091"/>
      <c r="PCZ917" s="1091"/>
      <c r="PDA917" s="1091"/>
      <c r="PDB917" s="1091"/>
      <c r="PDC917" s="1091"/>
      <c r="PDD917" s="1091"/>
      <c r="PDE917" s="1091"/>
      <c r="PDF917" s="1091"/>
      <c r="PDG917" s="1091"/>
      <c r="PDH917" s="1091"/>
      <c r="PDI917" s="1091"/>
      <c r="PDJ917" s="1091"/>
      <c r="PDK917" s="1091"/>
      <c r="PDL917" s="1091"/>
      <c r="PDM917" s="1091"/>
      <c r="PDN917" s="1091"/>
      <c r="PDO917" s="1091"/>
      <c r="PDP917" s="1091"/>
      <c r="PDQ917" s="1091"/>
      <c r="PDR917" s="1091"/>
      <c r="PDS917" s="1091"/>
      <c r="PDT917" s="1091"/>
      <c r="PDU917" s="1091"/>
      <c r="PDV917" s="1091"/>
      <c r="PDW917" s="1091"/>
      <c r="PDX917" s="1091"/>
      <c r="PDY917" s="1091"/>
      <c r="PDZ917" s="1091"/>
      <c r="PEA917" s="1091"/>
      <c r="PEB917" s="1091"/>
      <c r="PEC917" s="1091"/>
      <c r="PED917" s="1091"/>
      <c r="PEE917" s="1091"/>
      <c r="PEF917" s="1091"/>
      <c r="PEG917" s="1091"/>
      <c r="PEH917" s="1091"/>
      <c r="PEI917" s="1091"/>
      <c r="PEJ917" s="1091"/>
      <c r="PEK917" s="1091"/>
      <c r="PEL917" s="1091"/>
      <c r="PEM917" s="1091"/>
      <c r="PEN917" s="1091"/>
      <c r="PEO917" s="1091"/>
      <c r="PEP917" s="1091"/>
      <c r="PEQ917" s="1091"/>
      <c r="PER917" s="1091"/>
      <c r="PES917" s="1091"/>
      <c r="PET917" s="1091"/>
      <c r="PEU917" s="1091"/>
      <c r="PEV917" s="1091"/>
      <c r="PEW917" s="1091"/>
      <c r="PEX917" s="1091"/>
      <c r="PEY917" s="1091"/>
      <c r="PEZ917" s="1091"/>
      <c r="PFA917" s="1091"/>
      <c r="PFB917" s="1091"/>
      <c r="PFC917" s="1091"/>
      <c r="PFD917" s="1091"/>
      <c r="PFE917" s="1091"/>
      <c r="PFF917" s="1091"/>
      <c r="PFG917" s="1091"/>
      <c r="PFH917" s="1091"/>
      <c r="PFI917" s="1091"/>
      <c r="PFJ917" s="1091"/>
      <c r="PFK917" s="1091"/>
      <c r="PFL917" s="1091"/>
      <c r="PFM917" s="1091"/>
      <c r="PFN917" s="1091"/>
      <c r="PFO917" s="1091"/>
      <c r="PFP917" s="1091"/>
      <c r="PFQ917" s="1091"/>
      <c r="PFR917" s="1091"/>
      <c r="PFS917" s="1091"/>
      <c r="PFT917" s="1091"/>
      <c r="PFU917" s="1091"/>
      <c r="PFV917" s="1091"/>
      <c r="PFW917" s="1091"/>
      <c r="PFX917" s="1091"/>
      <c r="PFY917" s="1091"/>
      <c r="PFZ917" s="1091"/>
      <c r="PGA917" s="1091"/>
      <c r="PGB917" s="1091"/>
      <c r="PGC917" s="1091"/>
      <c r="PGD917" s="1091"/>
      <c r="PGE917" s="1091"/>
      <c r="PGF917" s="1091"/>
      <c r="PGG917" s="1091"/>
      <c r="PGH917" s="1091"/>
      <c r="PGI917" s="1091"/>
      <c r="PGJ917" s="1091"/>
      <c r="PGK917" s="1091"/>
      <c r="PGL917" s="1091"/>
      <c r="PGM917" s="1091"/>
      <c r="PGN917" s="1091"/>
      <c r="PGO917" s="1091"/>
      <c r="PGP917" s="1091"/>
      <c r="PGQ917" s="1091"/>
      <c r="PGR917" s="1091"/>
      <c r="PGS917" s="1091"/>
      <c r="PGT917" s="1091"/>
      <c r="PGU917" s="1091"/>
      <c r="PGV917" s="1091"/>
      <c r="PGW917" s="1091"/>
      <c r="PGX917" s="1091"/>
      <c r="PGY917" s="1091"/>
      <c r="PGZ917" s="1091"/>
      <c r="PHA917" s="1091"/>
      <c r="PHB917" s="1091"/>
      <c r="PHC917" s="1091"/>
      <c r="PHD917" s="1091"/>
      <c r="PHE917" s="1091"/>
      <c r="PHF917" s="1091"/>
      <c r="PHG917" s="1091"/>
      <c r="PHH917" s="1091"/>
      <c r="PHI917" s="1091"/>
      <c r="PHJ917" s="1091"/>
      <c r="PHK917" s="1091"/>
      <c r="PHL917" s="1091"/>
      <c r="PHM917" s="1091"/>
      <c r="PHN917" s="1091"/>
      <c r="PHO917" s="1091"/>
      <c r="PHP917" s="1091"/>
      <c r="PHQ917" s="1091"/>
      <c r="PHR917" s="1091"/>
      <c r="PHS917" s="1091"/>
      <c r="PHT917" s="1091"/>
      <c r="PHU917" s="1091"/>
      <c r="PHV917" s="1091"/>
      <c r="PHW917" s="1091"/>
      <c r="PHX917" s="1091"/>
      <c r="PHY917" s="1091"/>
      <c r="PHZ917" s="1091"/>
      <c r="PIA917" s="1091"/>
      <c r="PIB917" s="1091"/>
      <c r="PIC917" s="1091"/>
      <c r="PID917" s="1091"/>
      <c r="PIE917" s="1091"/>
      <c r="PIF917" s="1091"/>
      <c r="PIG917" s="1091"/>
      <c r="PIH917" s="1091"/>
      <c r="PII917" s="1091"/>
      <c r="PIJ917" s="1091"/>
      <c r="PIK917" s="1091"/>
      <c r="PIL917" s="1091"/>
      <c r="PIM917" s="1091"/>
      <c r="PIN917" s="1091"/>
      <c r="PIO917" s="1091"/>
      <c r="PIP917" s="1091"/>
      <c r="PIQ917" s="1091"/>
      <c r="PIR917" s="1091"/>
      <c r="PIS917" s="1091"/>
      <c r="PIT917" s="1091"/>
      <c r="PIU917" s="1091"/>
      <c r="PIV917" s="1091"/>
      <c r="PIW917" s="1091"/>
      <c r="PIX917" s="1091"/>
      <c r="PIY917" s="1091"/>
      <c r="PIZ917" s="1091"/>
      <c r="PJA917" s="1091"/>
      <c r="PJB917" s="1091"/>
      <c r="PJC917" s="1091"/>
      <c r="PJD917" s="1091"/>
      <c r="PJE917" s="1091"/>
      <c r="PJF917" s="1091"/>
      <c r="PJG917" s="1091"/>
      <c r="PJH917" s="1091"/>
      <c r="PJI917" s="1091"/>
      <c r="PJJ917" s="1091"/>
      <c r="PJK917" s="1091"/>
      <c r="PJL917" s="1091"/>
      <c r="PJM917" s="1091"/>
      <c r="PJN917" s="1091"/>
      <c r="PJO917" s="1091"/>
      <c r="PJP917" s="1091"/>
      <c r="PJQ917" s="1091"/>
      <c r="PJR917" s="1091"/>
      <c r="PJS917" s="1091"/>
      <c r="PJT917" s="1091"/>
      <c r="PJU917" s="1091"/>
      <c r="PJV917" s="1091"/>
      <c r="PJW917" s="1091"/>
      <c r="PJX917" s="1091"/>
      <c r="PJY917" s="1091"/>
      <c r="PJZ917" s="1091"/>
      <c r="PKA917" s="1091"/>
      <c r="PKB917" s="1091"/>
      <c r="PKC917" s="1091"/>
      <c r="PKD917" s="1091"/>
      <c r="PKE917" s="1091"/>
      <c r="PKF917" s="1091"/>
      <c r="PKG917" s="1091"/>
      <c r="PKH917" s="1091"/>
      <c r="PKI917" s="1091"/>
      <c r="PKJ917" s="1091"/>
      <c r="PKK917" s="1091"/>
      <c r="PKL917" s="1091"/>
      <c r="PKM917" s="1091"/>
      <c r="PKN917" s="1091"/>
      <c r="PKO917" s="1091"/>
      <c r="PKP917" s="1091"/>
      <c r="PKQ917" s="1091"/>
      <c r="PKR917" s="1091"/>
      <c r="PKS917" s="1091"/>
      <c r="PKT917" s="1091"/>
      <c r="PKU917" s="1091"/>
      <c r="PKV917" s="1091"/>
      <c r="PKW917" s="1091"/>
      <c r="PKX917" s="1091"/>
      <c r="PKY917" s="1091"/>
      <c r="PKZ917" s="1091"/>
      <c r="PLA917" s="1091"/>
      <c r="PLB917" s="1091"/>
      <c r="PLC917" s="1091"/>
      <c r="PLD917" s="1091"/>
      <c r="PLE917" s="1091"/>
      <c r="PLF917" s="1091"/>
      <c r="PLG917" s="1091"/>
      <c r="PLH917" s="1091"/>
      <c r="PLI917" s="1091"/>
      <c r="PLJ917" s="1091"/>
      <c r="PLK917" s="1091"/>
      <c r="PLL917" s="1091"/>
      <c r="PLM917" s="1091"/>
      <c r="PLN917" s="1091"/>
      <c r="PLO917" s="1091"/>
      <c r="PLP917" s="1091"/>
      <c r="PLQ917" s="1091"/>
      <c r="PLR917" s="1091"/>
      <c r="PLS917" s="1091"/>
      <c r="PLT917" s="1091"/>
      <c r="PLU917" s="1091"/>
      <c r="PLV917" s="1091"/>
      <c r="PLW917" s="1091"/>
      <c r="PLX917" s="1091"/>
      <c r="PLY917" s="1091"/>
      <c r="PLZ917" s="1091"/>
      <c r="PMA917" s="1091"/>
      <c r="PMB917" s="1091"/>
      <c r="PMC917" s="1091"/>
      <c r="PMD917" s="1091"/>
      <c r="PME917" s="1091"/>
      <c r="PMF917" s="1091"/>
      <c r="PMG917" s="1091"/>
      <c r="PMH917" s="1091"/>
      <c r="PMI917" s="1091"/>
      <c r="PMJ917" s="1091"/>
      <c r="PMK917" s="1091"/>
      <c r="PML917" s="1091"/>
      <c r="PMM917" s="1091"/>
      <c r="PMN917" s="1091"/>
      <c r="PMO917" s="1091"/>
      <c r="PMP917" s="1091"/>
      <c r="PMQ917" s="1091"/>
      <c r="PMR917" s="1091"/>
      <c r="PMS917" s="1091"/>
      <c r="PMT917" s="1091"/>
      <c r="PMU917" s="1091"/>
      <c r="PMV917" s="1091"/>
      <c r="PMW917" s="1091"/>
      <c r="PMX917" s="1091"/>
      <c r="PMY917" s="1091"/>
      <c r="PMZ917" s="1091"/>
      <c r="PNA917" s="1091"/>
      <c r="PNB917" s="1091"/>
      <c r="PNC917" s="1091"/>
      <c r="PND917" s="1091"/>
      <c r="PNE917" s="1091"/>
      <c r="PNF917" s="1091"/>
      <c r="PNG917" s="1091"/>
      <c r="PNH917" s="1091"/>
      <c r="PNI917" s="1091"/>
      <c r="PNJ917" s="1091"/>
      <c r="PNK917" s="1091"/>
      <c r="PNL917" s="1091"/>
      <c r="PNM917" s="1091"/>
      <c r="PNN917" s="1091"/>
      <c r="PNO917" s="1091"/>
      <c r="PNP917" s="1091"/>
      <c r="PNQ917" s="1091"/>
      <c r="PNR917" s="1091"/>
      <c r="PNS917" s="1091"/>
      <c r="PNT917" s="1091"/>
      <c r="PNU917" s="1091"/>
      <c r="PNV917" s="1091"/>
      <c r="PNW917" s="1091"/>
      <c r="PNX917" s="1091"/>
      <c r="PNY917" s="1091"/>
      <c r="PNZ917" s="1091"/>
      <c r="POA917" s="1091"/>
      <c r="POB917" s="1091"/>
      <c r="POC917" s="1091"/>
      <c r="POD917" s="1091"/>
      <c r="POE917" s="1091"/>
      <c r="POF917" s="1091"/>
      <c r="POG917" s="1091"/>
      <c r="POH917" s="1091"/>
      <c r="POI917" s="1091"/>
      <c r="POJ917" s="1091"/>
      <c r="POK917" s="1091"/>
      <c r="POL917" s="1091"/>
      <c r="POM917" s="1091"/>
      <c r="PON917" s="1091"/>
      <c r="POO917" s="1091"/>
      <c r="POP917" s="1091"/>
      <c r="POQ917" s="1091"/>
      <c r="POR917" s="1091"/>
      <c r="POS917" s="1091"/>
      <c r="POT917" s="1091"/>
      <c r="POU917" s="1091"/>
      <c r="POV917" s="1091"/>
      <c r="POW917" s="1091"/>
      <c r="POX917" s="1091"/>
      <c r="POY917" s="1091"/>
      <c r="POZ917" s="1091"/>
      <c r="PPA917" s="1091"/>
      <c r="PPB917" s="1091"/>
      <c r="PPC917" s="1091"/>
      <c r="PPD917" s="1091"/>
      <c r="PPE917" s="1091"/>
      <c r="PPF917" s="1091"/>
      <c r="PPG917" s="1091"/>
      <c r="PPH917" s="1091"/>
      <c r="PPI917" s="1091"/>
      <c r="PPJ917" s="1091"/>
      <c r="PPK917" s="1091"/>
      <c r="PPL917" s="1091"/>
      <c r="PPM917" s="1091"/>
      <c r="PPN917" s="1091"/>
      <c r="PPO917" s="1091"/>
      <c r="PPP917" s="1091"/>
      <c r="PPQ917" s="1091"/>
      <c r="PPR917" s="1091"/>
      <c r="PPS917" s="1091"/>
      <c r="PPT917" s="1091"/>
      <c r="PPU917" s="1091"/>
      <c r="PPV917" s="1091"/>
      <c r="PPW917" s="1091"/>
      <c r="PPX917" s="1091"/>
      <c r="PPY917" s="1091"/>
      <c r="PPZ917" s="1091"/>
      <c r="PQA917" s="1091"/>
      <c r="PQB917" s="1091"/>
      <c r="PQC917" s="1091"/>
      <c r="PQD917" s="1091"/>
      <c r="PQE917" s="1091"/>
      <c r="PQF917" s="1091"/>
      <c r="PQG917" s="1091"/>
      <c r="PQH917" s="1091"/>
      <c r="PQI917" s="1091"/>
      <c r="PQJ917" s="1091"/>
      <c r="PQK917" s="1091"/>
      <c r="PQL917" s="1091"/>
      <c r="PQM917" s="1091"/>
      <c r="PQN917" s="1091"/>
      <c r="PQO917" s="1091"/>
      <c r="PQP917" s="1091"/>
      <c r="PQQ917" s="1091"/>
      <c r="PQR917" s="1091"/>
      <c r="PQS917" s="1091"/>
      <c r="PQT917" s="1091"/>
      <c r="PQU917" s="1091"/>
      <c r="PQV917" s="1091"/>
      <c r="PQW917" s="1091"/>
      <c r="PQX917" s="1091"/>
      <c r="PQY917" s="1091"/>
      <c r="PQZ917" s="1091"/>
      <c r="PRA917" s="1091"/>
      <c r="PRB917" s="1091"/>
      <c r="PRC917" s="1091"/>
      <c r="PRD917" s="1091"/>
      <c r="PRE917" s="1091"/>
      <c r="PRF917" s="1091"/>
      <c r="PRG917" s="1091"/>
      <c r="PRH917" s="1091"/>
      <c r="PRI917" s="1091"/>
      <c r="PRJ917" s="1091"/>
      <c r="PRK917" s="1091"/>
      <c r="PRL917" s="1091"/>
      <c r="PRM917" s="1091"/>
      <c r="PRN917" s="1091"/>
      <c r="PRO917" s="1091"/>
      <c r="PRP917" s="1091"/>
      <c r="PRQ917" s="1091"/>
      <c r="PRR917" s="1091"/>
      <c r="PRS917" s="1091"/>
      <c r="PRT917" s="1091"/>
      <c r="PRU917" s="1091"/>
      <c r="PRV917" s="1091"/>
      <c r="PRW917" s="1091"/>
      <c r="PRX917" s="1091"/>
      <c r="PRY917" s="1091"/>
      <c r="PRZ917" s="1091"/>
      <c r="PSA917" s="1091"/>
      <c r="PSB917" s="1091"/>
      <c r="PSC917" s="1091"/>
      <c r="PSD917" s="1091"/>
      <c r="PSE917" s="1091"/>
      <c r="PSF917" s="1091"/>
      <c r="PSG917" s="1091"/>
      <c r="PSH917" s="1091"/>
      <c r="PSI917" s="1091"/>
      <c r="PSJ917" s="1091"/>
      <c r="PSK917" s="1091"/>
      <c r="PSL917" s="1091"/>
      <c r="PSM917" s="1091"/>
      <c r="PSN917" s="1091"/>
      <c r="PSO917" s="1091"/>
      <c r="PSP917" s="1091"/>
      <c r="PSQ917" s="1091"/>
      <c r="PSR917" s="1091"/>
      <c r="PSS917" s="1091"/>
      <c r="PST917" s="1091"/>
      <c r="PSU917" s="1091"/>
      <c r="PSV917" s="1091"/>
      <c r="PSW917" s="1091"/>
      <c r="PSX917" s="1091"/>
      <c r="PSY917" s="1091"/>
      <c r="PSZ917" s="1091"/>
      <c r="PTA917" s="1091"/>
      <c r="PTB917" s="1091"/>
      <c r="PTC917" s="1091"/>
      <c r="PTD917" s="1091"/>
      <c r="PTE917" s="1091"/>
      <c r="PTF917" s="1091"/>
      <c r="PTG917" s="1091"/>
      <c r="PTH917" s="1091"/>
      <c r="PTI917" s="1091"/>
      <c r="PTJ917" s="1091"/>
      <c r="PTK917" s="1091"/>
      <c r="PTL917" s="1091"/>
      <c r="PTM917" s="1091"/>
      <c r="PTN917" s="1091"/>
      <c r="PTO917" s="1091"/>
      <c r="PTP917" s="1091"/>
      <c r="PTQ917" s="1091"/>
      <c r="PTR917" s="1091"/>
      <c r="PTS917" s="1091"/>
      <c r="PTT917" s="1091"/>
      <c r="PTU917" s="1091"/>
      <c r="PTV917" s="1091"/>
      <c r="PTW917" s="1091"/>
      <c r="PTX917" s="1091"/>
      <c r="PTY917" s="1091"/>
      <c r="PTZ917" s="1091"/>
      <c r="PUA917" s="1091"/>
      <c r="PUB917" s="1091"/>
      <c r="PUC917" s="1091"/>
      <c r="PUD917" s="1091"/>
      <c r="PUE917" s="1091"/>
      <c r="PUF917" s="1091"/>
      <c r="PUG917" s="1091"/>
      <c r="PUH917" s="1091"/>
      <c r="PUI917" s="1091"/>
      <c r="PUJ917" s="1091"/>
      <c r="PUK917" s="1091"/>
      <c r="PUL917" s="1091"/>
      <c r="PUM917" s="1091"/>
      <c r="PUN917" s="1091"/>
      <c r="PUO917" s="1091"/>
      <c r="PUP917" s="1091"/>
      <c r="PUQ917" s="1091"/>
      <c r="PUR917" s="1091"/>
      <c r="PUS917" s="1091"/>
      <c r="PUT917" s="1091"/>
      <c r="PUU917" s="1091"/>
      <c r="PUV917" s="1091"/>
      <c r="PUW917" s="1091"/>
      <c r="PUX917" s="1091"/>
      <c r="PUY917" s="1091"/>
      <c r="PUZ917" s="1091"/>
      <c r="PVA917" s="1091"/>
      <c r="PVB917" s="1091"/>
      <c r="PVC917" s="1091"/>
      <c r="PVD917" s="1091"/>
      <c r="PVE917" s="1091"/>
      <c r="PVF917" s="1091"/>
      <c r="PVG917" s="1091"/>
      <c r="PVH917" s="1091"/>
      <c r="PVI917" s="1091"/>
      <c r="PVJ917" s="1091"/>
      <c r="PVK917" s="1091"/>
      <c r="PVL917" s="1091"/>
      <c r="PVM917" s="1091"/>
      <c r="PVN917" s="1091"/>
      <c r="PVO917" s="1091"/>
      <c r="PVP917" s="1091"/>
      <c r="PVQ917" s="1091"/>
      <c r="PVR917" s="1091"/>
      <c r="PVS917" s="1091"/>
      <c r="PVT917" s="1091"/>
      <c r="PVU917" s="1091"/>
      <c r="PVV917" s="1091"/>
      <c r="PVW917" s="1091"/>
      <c r="PVX917" s="1091"/>
      <c r="PVY917" s="1091"/>
      <c r="PVZ917" s="1091"/>
      <c r="PWA917" s="1091"/>
      <c r="PWB917" s="1091"/>
      <c r="PWC917" s="1091"/>
      <c r="PWD917" s="1091"/>
      <c r="PWE917" s="1091"/>
      <c r="PWF917" s="1091"/>
      <c r="PWG917" s="1091"/>
      <c r="PWH917" s="1091"/>
      <c r="PWI917" s="1091"/>
      <c r="PWJ917" s="1091"/>
      <c r="PWK917" s="1091"/>
      <c r="PWL917" s="1091"/>
      <c r="PWM917" s="1091"/>
      <c r="PWN917" s="1091"/>
      <c r="PWO917" s="1091"/>
      <c r="PWP917" s="1091"/>
      <c r="PWQ917" s="1091"/>
      <c r="PWR917" s="1091"/>
      <c r="PWS917" s="1091"/>
      <c r="PWT917" s="1091"/>
      <c r="PWU917" s="1091"/>
      <c r="PWV917" s="1091"/>
      <c r="PWW917" s="1091"/>
      <c r="PWX917" s="1091"/>
      <c r="PWY917" s="1091"/>
      <c r="PWZ917" s="1091"/>
      <c r="PXA917" s="1091"/>
      <c r="PXB917" s="1091"/>
      <c r="PXC917" s="1091"/>
      <c r="PXD917" s="1091"/>
      <c r="PXE917" s="1091"/>
      <c r="PXF917" s="1091"/>
      <c r="PXG917" s="1091"/>
      <c r="PXH917" s="1091"/>
      <c r="PXI917" s="1091"/>
      <c r="PXJ917" s="1091"/>
      <c r="PXK917" s="1091"/>
      <c r="PXL917" s="1091"/>
      <c r="PXM917" s="1091"/>
      <c r="PXN917" s="1091"/>
      <c r="PXO917" s="1091"/>
      <c r="PXP917" s="1091"/>
      <c r="PXQ917" s="1091"/>
      <c r="PXR917" s="1091"/>
      <c r="PXS917" s="1091"/>
      <c r="PXT917" s="1091"/>
      <c r="PXU917" s="1091"/>
      <c r="PXV917" s="1091"/>
      <c r="PXW917" s="1091"/>
      <c r="PXX917" s="1091"/>
      <c r="PXY917" s="1091"/>
      <c r="PXZ917" s="1091"/>
      <c r="PYA917" s="1091"/>
      <c r="PYB917" s="1091"/>
      <c r="PYC917" s="1091"/>
      <c r="PYD917" s="1091"/>
      <c r="PYE917" s="1091"/>
      <c r="PYF917" s="1091"/>
      <c r="PYG917" s="1091"/>
      <c r="PYH917" s="1091"/>
      <c r="PYI917" s="1091"/>
      <c r="PYJ917" s="1091"/>
      <c r="PYK917" s="1091"/>
      <c r="PYL917" s="1091"/>
      <c r="PYM917" s="1091"/>
      <c r="PYN917" s="1091"/>
      <c r="PYO917" s="1091"/>
      <c r="PYP917" s="1091"/>
      <c r="PYQ917" s="1091"/>
      <c r="PYR917" s="1091"/>
      <c r="PYS917" s="1091"/>
      <c r="PYT917" s="1091"/>
      <c r="PYU917" s="1091"/>
      <c r="PYV917" s="1091"/>
      <c r="PYW917" s="1091"/>
      <c r="PYX917" s="1091"/>
      <c r="PYY917" s="1091"/>
      <c r="PYZ917" s="1091"/>
      <c r="PZA917" s="1091"/>
      <c r="PZB917" s="1091"/>
      <c r="PZC917" s="1091"/>
      <c r="PZD917" s="1091"/>
      <c r="PZE917" s="1091"/>
      <c r="PZF917" s="1091"/>
      <c r="PZG917" s="1091"/>
      <c r="PZH917" s="1091"/>
      <c r="PZI917" s="1091"/>
      <c r="PZJ917" s="1091"/>
      <c r="PZK917" s="1091"/>
      <c r="PZL917" s="1091"/>
      <c r="PZM917" s="1091"/>
      <c r="PZN917" s="1091"/>
      <c r="PZO917" s="1091"/>
      <c r="PZP917" s="1091"/>
      <c r="PZQ917" s="1091"/>
      <c r="PZR917" s="1091"/>
      <c r="PZS917" s="1091"/>
      <c r="PZT917" s="1091"/>
      <c r="PZU917" s="1091"/>
      <c r="PZV917" s="1091"/>
      <c r="PZW917" s="1091"/>
      <c r="PZX917" s="1091"/>
      <c r="PZY917" s="1091"/>
      <c r="PZZ917" s="1091"/>
      <c r="QAA917" s="1091"/>
      <c r="QAB917" s="1091"/>
      <c r="QAC917" s="1091"/>
      <c r="QAD917" s="1091"/>
      <c r="QAE917" s="1091"/>
      <c r="QAF917" s="1091"/>
      <c r="QAG917" s="1091"/>
      <c r="QAH917" s="1091"/>
      <c r="QAI917" s="1091"/>
      <c r="QAJ917" s="1091"/>
      <c r="QAK917" s="1091"/>
      <c r="QAL917" s="1091"/>
      <c r="QAM917" s="1091"/>
      <c r="QAN917" s="1091"/>
      <c r="QAO917" s="1091"/>
      <c r="QAP917" s="1091"/>
      <c r="QAQ917" s="1091"/>
      <c r="QAR917" s="1091"/>
      <c r="QAS917" s="1091"/>
      <c r="QAT917" s="1091"/>
      <c r="QAU917" s="1091"/>
      <c r="QAV917" s="1091"/>
      <c r="QAW917" s="1091"/>
      <c r="QAX917" s="1091"/>
      <c r="QAY917" s="1091"/>
      <c r="QAZ917" s="1091"/>
      <c r="QBA917" s="1091"/>
      <c r="QBB917" s="1091"/>
      <c r="QBC917" s="1091"/>
      <c r="QBD917" s="1091"/>
      <c r="QBE917" s="1091"/>
      <c r="QBF917" s="1091"/>
      <c r="QBG917" s="1091"/>
      <c r="QBH917" s="1091"/>
      <c r="QBI917" s="1091"/>
      <c r="QBJ917" s="1091"/>
      <c r="QBK917" s="1091"/>
      <c r="QBL917" s="1091"/>
      <c r="QBM917" s="1091"/>
      <c r="QBN917" s="1091"/>
      <c r="QBO917" s="1091"/>
      <c r="QBP917" s="1091"/>
      <c r="QBQ917" s="1091"/>
      <c r="QBR917" s="1091"/>
      <c r="QBS917" s="1091"/>
      <c r="QBT917" s="1091"/>
      <c r="QBU917" s="1091"/>
      <c r="QBV917" s="1091"/>
      <c r="QBW917" s="1091"/>
      <c r="QBX917" s="1091"/>
      <c r="QBY917" s="1091"/>
      <c r="QBZ917" s="1091"/>
      <c r="QCA917" s="1091"/>
      <c r="QCB917" s="1091"/>
      <c r="QCC917" s="1091"/>
      <c r="QCD917" s="1091"/>
      <c r="QCE917" s="1091"/>
      <c r="QCF917" s="1091"/>
      <c r="QCG917" s="1091"/>
      <c r="QCH917" s="1091"/>
      <c r="QCI917" s="1091"/>
      <c r="QCJ917" s="1091"/>
      <c r="QCK917" s="1091"/>
      <c r="QCL917" s="1091"/>
      <c r="QCM917" s="1091"/>
      <c r="QCN917" s="1091"/>
      <c r="QCO917" s="1091"/>
      <c r="QCP917" s="1091"/>
      <c r="QCQ917" s="1091"/>
      <c r="QCR917" s="1091"/>
      <c r="QCS917" s="1091"/>
      <c r="QCT917" s="1091"/>
      <c r="QCU917" s="1091"/>
      <c r="QCV917" s="1091"/>
      <c r="QCW917" s="1091"/>
      <c r="QCX917" s="1091"/>
      <c r="QCY917" s="1091"/>
      <c r="QCZ917" s="1091"/>
      <c r="QDA917" s="1091"/>
      <c r="QDB917" s="1091"/>
      <c r="QDC917" s="1091"/>
      <c r="QDD917" s="1091"/>
      <c r="QDE917" s="1091"/>
      <c r="QDF917" s="1091"/>
      <c r="QDG917" s="1091"/>
      <c r="QDH917" s="1091"/>
      <c r="QDI917" s="1091"/>
      <c r="QDJ917" s="1091"/>
      <c r="QDK917" s="1091"/>
      <c r="QDL917" s="1091"/>
      <c r="QDM917" s="1091"/>
      <c r="QDN917" s="1091"/>
      <c r="QDO917" s="1091"/>
      <c r="QDP917" s="1091"/>
      <c r="QDQ917" s="1091"/>
      <c r="QDR917" s="1091"/>
      <c r="QDS917" s="1091"/>
      <c r="QDT917" s="1091"/>
      <c r="QDU917" s="1091"/>
      <c r="QDV917" s="1091"/>
      <c r="QDW917" s="1091"/>
      <c r="QDX917" s="1091"/>
      <c r="QDY917" s="1091"/>
      <c r="QDZ917" s="1091"/>
      <c r="QEA917" s="1091"/>
      <c r="QEB917" s="1091"/>
      <c r="QEC917" s="1091"/>
      <c r="QED917" s="1091"/>
      <c r="QEE917" s="1091"/>
      <c r="QEF917" s="1091"/>
      <c r="QEG917" s="1091"/>
      <c r="QEH917" s="1091"/>
      <c r="QEI917" s="1091"/>
      <c r="QEJ917" s="1091"/>
      <c r="QEK917" s="1091"/>
      <c r="QEL917" s="1091"/>
      <c r="QEM917" s="1091"/>
      <c r="QEN917" s="1091"/>
      <c r="QEO917" s="1091"/>
      <c r="QEP917" s="1091"/>
      <c r="QEQ917" s="1091"/>
      <c r="QER917" s="1091"/>
      <c r="QES917" s="1091"/>
      <c r="QET917" s="1091"/>
      <c r="QEU917" s="1091"/>
      <c r="QEV917" s="1091"/>
      <c r="QEW917" s="1091"/>
      <c r="QEX917" s="1091"/>
      <c r="QEY917" s="1091"/>
      <c r="QEZ917" s="1091"/>
      <c r="QFA917" s="1091"/>
      <c r="QFB917" s="1091"/>
      <c r="QFC917" s="1091"/>
      <c r="QFD917" s="1091"/>
      <c r="QFE917" s="1091"/>
      <c r="QFF917" s="1091"/>
      <c r="QFG917" s="1091"/>
      <c r="QFH917" s="1091"/>
      <c r="QFI917" s="1091"/>
      <c r="QFJ917" s="1091"/>
      <c r="QFK917" s="1091"/>
      <c r="QFL917" s="1091"/>
      <c r="QFM917" s="1091"/>
      <c r="QFN917" s="1091"/>
      <c r="QFO917" s="1091"/>
      <c r="QFP917" s="1091"/>
      <c r="QFQ917" s="1091"/>
      <c r="QFR917" s="1091"/>
      <c r="QFS917" s="1091"/>
      <c r="QFT917" s="1091"/>
      <c r="QFU917" s="1091"/>
      <c r="QFV917" s="1091"/>
      <c r="QFW917" s="1091"/>
      <c r="QFX917" s="1091"/>
      <c r="QFY917" s="1091"/>
      <c r="QFZ917" s="1091"/>
      <c r="QGA917" s="1091"/>
      <c r="QGB917" s="1091"/>
      <c r="QGC917" s="1091"/>
      <c r="QGD917" s="1091"/>
      <c r="QGE917" s="1091"/>
      <c r="QGF917" s="1091"/>
      <c r="QGG917" s="1091"/>
      <c r="QGH917" s="1091"/>
      <c r="QGI917" s="1091"/>
      <c r="QGJ917" s="1091"/>
      <c r="QGK917" s="1091"/>
      <c r="QGL917" s="1091"/>
      <c r="QGM917" s="1091"/>
      <c r="QGN917" s="1091"/>
      <c r="QGO917" s="1091"/>
      <c r="QGP917" s="1091"/>
      <c r="QGQ917" s="1091"/>
      <c r="QGR917" s="1091"/>
      <c r="QGS917" s="1091"/>
      <c r="QGT917" s="1091"/>
      <c r="QGU917" s="1091"/>
      <c r="QGV917" s="1091"/>
      <c r="QGW917" s="1091"/>
      <c r="QGX917" s="1091"/>
      <c r="QGY917" s="1091"/>
      <c r="QGZ917" s="1091"/>
      <c r="QHA917" s="1091"/>
      <c r="QHB917" s="1091"/>
      <c r="QHC917" s="1091"/>
      <c r="QHD917" s="1091"/>
      <c r="QHE917" s="1091"/>
      <c r="QHF917" s="1091"/>
      <c r="QHG917" s="1091"/>
      <c r="QHH917" s="1091"/>
      <c r="QHI917" s="1091"/>
      <c r="QHJ917" s="1091"/>
      <c r="QHK917" s="1091"/>
      <c r="QHL917" s="1091"/>
      <c r="QHM917" s="1091"/>
      <c r="QHN917" s="1091"/>
      <c r="QHO917" s="1091"/>
      <c r="QHP917" s="1091"/>
      <c r="QHQ917" s="1091"/>
      <c r="QHR917" s="1091"/>
      <c r="QHS917" s="1091"/>
      <c r="QHT917" s="1091"/>
      <c r="QHU917" s="1091"/>
      <c r="QHV917" s="1091"/>
      <c r="QHW917" s="1091"/>
      <c r="QHX917" s="1091"/>
      <c r="QHY917" s="1091"/>
      <c r="QHZ917" s="1091"/>
      <c r="QIA917" s="1091"/>
      <c r="QIB917" s="1091"/>
      <c r="QIC917" s="1091"/>
      <c r="QID917" s="1091"/>
      <c r="QIE917" s="1091"/>
      <c r="QIF917" s="1091"/>
      <c r="QIG917" s="1091"/>
      <c r="QIH917" s="1091"/>
      <c r="QII917" s="1091"/>
      <c r="QIJ917" s="1091"/>
      <c r="QIK917" s="1091"/>
      <c r="QIL917" s="1091"/>
      <c r="QIM917" s="1091"/>
      <c r="QIN917" s="1091"/>
      <c r="QIO917" s="1091"/>
      <c r="QIP917" s="1091"/>
      <c r="QIQ917" s="1091"/>
      <c r="QIR917" s="1091"/>
      <c r="QIS917" s="1091"/>
      <c r="QIT917" s="1091"/>
      <c r="QIU917" s="1091"/>
      <c r="QIV917" s="1091"/>
      <c r="QIW917" s="1091"/>
      <c r="QIX917" s="1091"/>
      <c r="QIY917" s="1091"/>
      <c r="QIZ917" s="1091"/>
      <c r="QJA917" s="1091"/>
      <c r="QJB917" s="1091"/>
      <c r="QJC917" s="1091"/>
      <c r="QJD917" s="1091"/>
      <c r="QJE917" s="1091"/>
      <c r="QJF917" s="1091"/>
      <c r="QJG917" s="1091"/>
      <c r="QJH917" s="1091"/>
      <c r="QJI917" s="1091"/>
      <c r="QJJ917" s="1091"/>
      <c r="QJK917" s="1091"/>
      <c r="QJL917" s="1091"/>
      <c r="QJM917" s="1091"/>
      <c r="QJN917" s="1091"/>
      <c r="QJO917" s="1091"/>
      <c r="QJP917" s="1091"/>
      <c r="QJQ917" s="1091"/>
      <c r="QJR917" s="1091"/>
      <c r="QJS917" s="1091"/>
      <c r="QJT917" s="1091"/>
      <c r="QJU917" s="1091"/>
      <c r="QJV917" s="1091"/>
      <c r="QJW917" s="1091"/>
      <c r="QJX917" s="1091"/>
      <c r="QJY917" s="1091"/>
      <c r="QJZ917" s="1091"/>
      <c r="QKA917" s="1091"/>
      <c r="QKB917" s="1091"/>
      <c r="QKC917" s="1091"/>
      <c r="QKD917" s="1091"/>
      <c r="QKE917" s="1091"/>
      <c r="QKF917" s="1091"/>
      <c r="QKG917" s="1091"/>
      <c r="QKH917" s="1091"/>
      <c r="QKI917" s="1091"/>
      <c r="QKJ917" s="1091"/>
      <c r="QKK917" s="1091"/>
      <c r="QKL917" s="1091"/>
      <c r="QKM917" s="1091"/>
      <c r="QKN917" s="1091"/>
      <c r="QKO917" s="1091"/>
      <c r="QKP917" s="1091"/>
      <c r="QKQ917" s="1091"/>
      <c r="QKR917" s="1091"/>
      <c r="QKS917" s="1091"/>
      <c r="QKT917" s="1091"/>
      <c r="QKU917" s="1091"/>
      <c r="QKV917" s="1091"/>
      <c r="QKW917" s="1091"/>
      <c r="QKX917" s="1091"/>
      <c r="QKY917" s="1091"/>
      <c r="QKZ917" s="1091"/>
      <c r="QLA917" s="1091"/>
      <c r="QLB917" s="1091"/>
      <c r="QLC917" s="1091"/>
      <c r="QLD917" s="1091"/>
      <c r="QLE917" s="1091"/>
      <c r="QLF917" s="1091"/>
      <c r="QLG917" s="1091"/>
      <c r="QLH917" s="1091"/>
      <c r="QLI917" s="1091"/>
      <c r="QLJ917" s="1091"/>
      <c r="QLK917" s="1091"/>
      <c r="QLL917" s="1091"/>
      <c r="QLM917" s="1091"/>
      <c r="QLN917" s="1091"/>
      <c r="QLO917" s="1091"/>
      <c r="QLP917" s="1091"/>
      <c r="QLQ917" s="1091"/>
      <c r="QLR917" s="1091"/>
      <c r="QLS917" s="1091"/>
      <c r="QLT917" s="1091"/>
      <c r="QLU917" s="1091"/>
      <c r="QLV917" s="1091"/>
      <c r="QLW917" s="1091"/>
      <c r="QLX917" s="1091"/>
      <c r="QLY917" s="1091"/>
      <c r="QLZ917" s="1091"/>
      <c r="QMA917" s="1091"/>
      <c r="QMB917" s="1091"/>
      <c r="QMC917" s="1091"/>
      <c r="QMD917" s="1091"/>
      <c r="QME917" s="1091"/>
      <c r="QMF917" s="1091"/>
      <c r="QMG917" s="1091"/>
      <c r="QMH917" s="1091"/>
      <c r="QMI917" s="1091"/>
      <c r="QMJ917" s="1091"/>
      <c r="QMK917" s="1091"/>
      <c r="QML917" s="1091"/>
      <c r="QMM917" s="1091"/>
      <c r="QMN917" s="1091"/>
      <c r="QMO917" s="1091"/>
      <c r="QMP917" s="1091"/>
      <c r="QMQ917" s="1091"/>
      <c r="QMR917" s="1091"/>
      <c r="QMS917" s="1091"/>
      <c r="QMT917" s="1091"/>
      <c r="QMU917" s="1091"/>
      <c r="QMV917" s="1091"/>
      <c r="QMW917" s="1091"/>
      <c r="QMX917" s="1091"/>
      <c r="QMY917" s="1091"/>
      <c r="QMZ917" s="1091"/>
      <c r="QNA917" s="1091"/>
      <c r="QNB917" s="1091"/>
      <c r="QNC917" s="1091"/>
      <c r="QND917" s="1091"/>
      <c r="QNE917" s="1091"/>
      <c r="QNF917" s="1091"/>
      <c r="QNG917" s="1091"/>
      <c r="QNH917" s="1091"/>
      <c r="QNI917" s="1091"/>
      <c r="QNJ917" s="1091"/>
      <c r="QNK917" s="1091"/>
      <c r="QNL917" s="1091"/>
      <c r="QNM917" s="1091"/>
      <c r="QNN917" s="1091"/>
      <c r="QNO917" s="1091"/>
      <c r="QNP917" s="1091"/>
      <c r="QNQ917" s="1091"/>
      <c r="QNR917" s="1091"/>
      <c r="QNS917" s="1091"/>
      <c r="QNT917" s="1091"/>
      <c r="QNU917" s="1091"/>
      <c r="QNV917" s="1091"/>
      <c r="QNW917" s="1091"/>
      <c r="QNX917" s="1091"/>
      <c r="QNY917" s="1091"/>
      <c r="QNZ917" s="1091"/>
      <c r="QOA917" s="1091"/>
      <c r="QOB917" s="1091"/>
      <c r="QOC917" s="1091"/>
      <c r="QOD917" s="1091"/>
      <c r="QOE917" s="1091"/>
      <c r="QOF917" s="1091"/>
      <c r="QOG917" s="1091"/>
      <c r="QOH917" s="1091"/>
      <c r="QOI917" s="1091"/>
      <c r="QOJ917" s="1091"/>
      <c r="QOK917" s="1091"/>
      <c r="QOL917" s="1091"/>
      <c r="QOM917" s="1091"/>
      <c r="QON917" s="1091"/>
      <c r="QOO917" s="1091"/>
      <c r="QOP917" s="1091"/>
      <c r="QOQ917" s="1091"/>
      <c r="QOR917" s="1091"/>
      <c r="QOS917" s="1091"/>
      <c r="QOT917" s="1091"/>
      <c r="QOU917" s="1091"/>
      <c r="QOV917" s="1091"/>
      <c r="QOW917" s="1091"/>
      <c r="QOX917" s="1091"/>
      <c r="QOY917" s="1091"/>
      <c r="QOZ917" s="1091"/>
      <c r="QPA917" s="1091"/>
      <c r="QPB917" s="1091"/>
      <c r="QPC917" s="1091"/>
      <c r="QPD917" s="1091"/>
      <c r="QPE917" s="1091"/>
      <c r="QPF917" s="1091"/>
      <c r="QPG917" s="1091"/>
      <c r="QPH917" s="1091"/>
      <c r="QPI917" s="1091"/>
      <c r="QPJ917" s="1091"/>
      <c r="QPK917" s="1091"/>
      <c r="QPL917" s="1091"/>
      <c r="QPM917" s="1091"/>
      <c r="QPN917" s="1091"/>
      <c r="QPO917" s="1091"/>
      <c r="QPP917" s="1091"/>
      <c r="QPQ917" s="1091"/>
      <c r="QPR917" s="1091"/>
      <c r="QPS917" s="1091"/>
      <c r="QPT917" s="1091"/>
      <c r="QPU917" s="1091"/>
      <c r="QPV917" s="1091"/>
      <c r="QPW917" s="1091"/>
      <c r="QPX917" s="1091"/>
      <c r="QPY917" s="1091"/>
      <c r="QPZ917" s="1091"/>
      <c r="QQA917" s="1091"/>
      <c r="QQB917" s="1091"/>
      <c r="QQC917" s="1091"/>
      <c r="QQD917" s="1091"/>
      <c r="QQE917" s="1091"/>
      <c r="QQF917" s="1091"/>
      <c r="QQG917" s="1091"/>
      <c r="QQH917" s="1091"/>
      <c r="QQI917" s="1091"/>
      <c r="QQJ917" s="1091"/>
      <c r="QQK917" s="1091"/>
      <c r="QQL917" s="1091"/>
      <c r="QQM917" s="1091"/>
      <c r="QQN917" s="1091"/>
      <c r="QQO917" s="1091"/>
      <c r="QQP917" s="1091"/>
      <c r="QQQ917" s="1091"/>
      <c r="QQR917" s="1091"/>
      <c r="QQS917" s="1091"/>
      <c r="QQT917" s="1091"/>
      <c r="QQU917" s="1091"/>
      <c r="QQV917" s="1091"/>
      <c r="QQW917" s="1091"/>
      <c r="QQX917" s="1091"/>
      <c r="QQY917" s="1091"/>
      <c r="QQZ917" s="1091"/>
      <c r="QRA917" s="1091"/>
      <c r="QRB917" s="1091"/>
      <c r="QRC917" s="1091"/>
      <c r="QRD917" s="1091"/>
      <c r="QRE917" s="1091"/>
      <c r="QRF917" s="1091"/>
      <c r="QRG917" s="1091"/>
      <c r="QRH917" s="1091"/>
      <c r="QRI917" s="1091"/>
      <c r="QRJ917" s="1091"/>
      <c r="QRK917" s="1091"/>
      <c r="QRL917" s="1091"/>
      <c r="QRM917" s="1091"/>
      <c r="QRN917" s="1091"/>
      <c r="QRO917" s="1091"/>
      <c r="QRP917" s="1091"/>
      <c r="QRQ917" s="1091"/>
      <c r="QRR917" s="1091"/>
      <c r="QRS917" s="1091"/>
      <c r="QRT917" s="1091"/>
      <c r="QRU917" s="1091"/>
      <c r="QRV917" s="1091"/>
      <c r="QRW917" s="1091"/>
      <c r="QRX917" s="1091"/>
      <c r="QRY917" s="1091"/>
      <c r="QRZ917" s="1091"/>
      <c r="QSA917" s="1091"/>
      <c r="QSB917" s="1091"/>
      <c r="QSC917" s="1091"/>
      <c r="QSD917" s="1091"/>
      <c r="QSE917" s="1091"/>
      <c r="QSF917" s="1091"/>
      <c r="QSG917" s="1091"/>
      <c r="QSH917" s="1091"/>
      <c r="QSI917" s="1091"/>
      <c r="QSJ917" s="1091"/>
      <c r="QSK917" s="1091"/>
      <c r="QSL917" s="1091"/>
      <c r="QSM917" s="1091"/>
      <c r="QSN917" s="1091"/>
      <c r="QSO917" s="1091"/>
      <c r="QSP917" s="1091"/>
      <c r="QSQ917" s="1091"/>
      <c r="QSR917" s="1091"/>
      <c r="QSS917" s="1091"/>
      <c r="QST917" s="1091"/>
      <c r="QSU917" s="1091"/>
      <c r="QSV917" s="1091"/>
      <c r="QSW917" s="1091"/>
      <c r="QSX917" s="1091"/>
      <c r="QSY917" s="1091"/>
      <c r="QSZ917" s="1091"/>
      <c r="QTA917" s="1091"/>
      <c r="QTB917" s="1091"/>
      <c r="QTC917" s="1091"/>
      <c r="QTD917" s="1091"/>
      <c r="QTE917" s="1091"/>
      <c r="QTF917" s="1091"/>
      <c r="QTG917" s="1091"/>
      <c r="QTH917" s="1091"/>
      <c r="QTI917" s="1091"/>
      <c r="QTJ917" s="1091"/>
      <c r="QTK917" s="1091"/>
      <c r="QTL917" s="1091"/>
      <c r="QTM917" s="1091"/>
      <c r="QTN917" s="1091"/>
      <c r="QTO917" s="1091"/>
      <c r="QTP917" s="1091"/>
      <c r="QTQ917" s="1091"/>
      <c r="QTR917" s="1091"/>
      <c r="QTS917" s="1091"/>
      <c r="QTT917" s="1091"/>
      <c r="QTU917" s="1091"/>
      <c r="QTV917" s="1091"/>
      <c r="QTW917" s="1091"/>
      <c r="QTX917" s="1091"/>
      <c r="QTY917" s="1091"/>
      <c r="QTZ917" s="1091"/>
      <c r="QUA917" s="1091"/>
      <c r="QUB917" s="1091"/>
      <c r="QUC917" s="1091"/>
      <c r="QUD917" s="1091"/>
      <c r="QUE917" s="1091"/>
      <c r="QUF917" s="1091"/>
      <c r="QUG917" s="1091"/>
      <c r="QUH917" s="1091"/>
      <c r="QUI917" s="1091"/>
      <c r="QUJ917" s="1091"/>
      <c r="QUK917" s="1091"/>
      <c r="QUL917" s="1091"/>
      <c r="QUM917" s="1091"/>
      <c r="QUN917" s="1091"/>
      <c r="QUO917" s="1091"/>
      <c r="QUP917" s="1091"/>
      <c r="QUQ917" s="1091"/>
      <c r="QUR917" s="1091"/>
      <c r="QUS917" s="1091"/>
      <c r="QUT917" s="1091"/>
      <c r="QUU917" s="1091"/>
      <c r="QUV917" s="1091"/>
      <c r="QUW917" s="1091"/>
      <c r="QUX917" s="1091"/>
      <c r="QUY917" s="1091"/>
      <c r="QUZ917" s="1091"/>
      <c r="QVA917" s="1091"/>
      <c r="QVB917" s="1091"/>
      <c r="QVC917" s="1091"/>
      <c r="QVD917" s="1091"/>
      <c r="QVE917" s="1091"/>
      <c r="QVF917" s="1091"/>
      <c r="QVG917" s="1091"/>
      <c r="QVH917" s="1091"/>
      <c r="QVI917" s="1091"/>
      <c r="QVJ917" s="1091"/>
      <c r="QVK917" s="1091"/>
      <c r="QVL917" s="1091"/>
      <c r="QVM917" s="1091"/>
      <c r="QVN917" s="1091"/>
      <c r="QVO917" s="1091"/>
      <c r="QVP917" s="1091"/>
      <c r="QVQ917" s="1091"/>
      <c r="QVR917" s="1091"/>
      <c r="QVS917" s="1091"/>
      <c r="QVT917" s="1091"/>
      <c r="QVU917" s="1091"/>
      <c r="QVV917" s="1091"/>
      <c r="QVW917" s="1091"/>
      <c r="QVX917" s="1091"/>
      <c r="QVY917" s="1091"/>
      <c r="QVZ917" s="1091"/>
      <c r="QWA917" s="1091"/>
      <c r="QWB917" s="1091"/>
      <c r="QWC917" s="1091"/>
      <c r="QWD917" s="1091"/>
      <c r="QWE917" s="1091"/>
      <c r="QWF917" s="1091"/>
      <c r="QWG917" s="1091"/>
      <c r="QWH917" s="1091"/>
      <c r="QWI917" s="1091"/>
      <c r="QWJ917" s="1091"/>
      <c r="QWK917" s="1091"/>
      <c r="QWL917" s="1091"/>
      <c r="QWM917" s="1091"/>
      <c r="QWN917" s="1091"/>
      <c r="QWO917" s="1091"/>
      <c r="QWP917" s="1091"/>
      <c r="QWQ917" s="1091"/>
      <c r="QWR917" s="1091"/>
      <c r="QWS917" s="1091"/>
      <c r="QWT917" s="1091"/>
      <c r="QWU917" s="1091"/>
      <c r="QWV917" s="1091"/>
      <c r="QWW917" s="1091"/>
      <c r="QWX917" s="1091"/>
      <c r="QWY917" s="1091"/>
      <c r="QWZ917" s="1091"/>
      <c r="QXA917" s="1091"/>
      <c r="QXB917" s="1091"/>
      <c r="QXC917" s="1091"/>
      <c r="QXD917" s="1091"/>
      <c r="QXE917" s="1091"/>
      <c r="QXF917" s="1091"/>
      <c r="QXG917" s="1091"/>
      <c r="QXH917" s="1091"/>
      <c r="QXI917" s="1091"/>
      <c r="QXJ917" s="1091"/>
      <c r="QXK917" s="1091"/>
      <c r="QXL917" s="1091"/>
      <c r="QXM917" s="1091"/>
      <c r="QXN917" s="1091"/>
      <c r="QXO917" s="1091"/>
      <c r="QXP917" s="1091"/>
      <c r="QXQ917" s="1091"/>
      <c r="QXR917" s="1091"/>
      <c r="QXS917" s="1091"/>
      <c r="QXT917" s="1091"/>
      <c r="QXU917" s="1091"/>
      <c r="QXV917" s="1091"/>
      <c r="QXW917" s="1091"/>
      <c r="QXX917" s="1091"/>
      <c r="QXY917" s="1091"/>
      <c r="QXZ917" s="1091"/>
      <c r="QYA917" s="1091"/>
      <c r="QYB917" s="1091"/>
      <c r="QYC917" s="1091"/>
      <c r="QYD917" s="1091"/>
      <c r="QYE917" s="1091"/>
      <c r="QYF917" s="1091"/>
      <c r="QYG917" s="1091"/>
      <c r="QYH917" s="1091"/>
      <c r="QYI917" s="1091"/>
      <c r="QYJ917" s="1091"/>
      <c r="QYK917" s="1091"/>
      <c r="QYL917" s="1091"/>
      <c r="QYM917" s="1091"/>
      <c r="QYN917" s="1091"/>
      <c r="QYO917" s="1091"/>
      <c r="QYP917" s="1091"/>
      <c r="QYQ917" s="1091"/>
      <c r="QYR917" s="1091"/>
      <c r="QYS917" s="1091"/>
      <c r="QYT917" s="1091"/>
      <c r="QYU917" s="1091"/>
      <c r="QYV917" s="1091"/>
      <c r="QYW917" s="1091"/>
      <c r="QYX917" s="1091"/>
      <c r="QYY917" s="1091"/>
      <c r="QYZ917" s="1091"/>
      <c r="QZA917" s="1091"/>
      <c r="QZB917" s="1091"/>
      <c r="QZC917" s="1091"/>
      <c r="QZD917" s="1091"/>
      <c r="QZE917" s="1091"/>
      <c r="QZF917" s="1091"/>
      <c r="QZG917" s="1091"/>
      <c r="QZH917" s="1091"/>
      <c r="QZI917" s="1091"/>
      <c r="QZJ917" s="1091"/>
      <c r="QZK917" s="1091"/>
      <c r="QZL917" s="1091"/>
      <c r="QZM917" s="1091"/>
      <c r="QZN917" s="1091"/>
      <c r="QZO917" s="1091"/>
      <c r="QZP917" s="1091"/>
      <c r="QZQ917" s="1091"/>
      <c r="QZR917" s="1091"/>
      <c r="QZS917" s="1091"/>
      <c r="QZT917" s="1091"/>
      <c r="QZU917" s="1091"/>
      <c r="QZV917" s="1091"/>
      <c r="QZW917" s="1091"/>
      <c r="QZX917" s="1091"/>
      <c r="QZY917" s="1091"/>
      <c r="QZZ917" s="1091"/>
      <c r="RAA917" s="1091"/>
      <c r="RAB917" s="1091"/>
      <c r="RAC917" s="1091"/>
      <c r="RAD917" s="1091"/>
      <c r="RAE917" s="1091"/>
      <c r="RAF917" s="1091"/>
      <c r="RAG917" s="1091"/>
      <c r="RAH917" s="1091"/>
      <c r="RAI917" s="1091"/>
      <c r="RAJ917" s="1091"/>
      <c r="RAK917" s="1091"/>
      <c r="RAL917" s="1091"/>
      <c r="RAM917" s="1091"/>
      <c r="RAN917" s="1091"/>
      <c r="RAO917" s="1091"/>
      <c r="RAP917" s="1091"/>
      <c r="RAQ917" s="1091"/>
      <c r="RAR917" s="1091"/>
      <c r="RAS917" s="1091"/>
      <c r="RAT917" s="1091"/>
      <c r="RAU917" s="1091"/>
      <c r="RAV917" s="1091"/>
      <c r="RAW917" s="1091"/>
      <c r="RAX917" s="1091"/>
      <c r="RAY917" s="1091"/>
      <c r="RAZ917" s="1091"/>
      <c r="RBA917" s="1091"/>
      <c r="RBB917" s="1091"/>
      <c r="RBC917" s="1091"/>
      <c r="RBD917" s="1091"/>
      <c r="RBE917" s="1091"/>
      <c r="RBF917" s="1091"/>
      <c r="RBG917" s="1091"/>
      <c r="RBH917" s="1091"/>
      <c r="RBI917" s="1091"/>
      <c r="RBJ917" s="1091"/>
      <c r="RBK917" s="1091"/>
      <c r="RBL917" s="1091"/>
      <c r="RBM917" s="1091"/>
      <c r="RBN917" s="1091"/>
      <c r="RBO917" s="1091"/>
      <c r="RBP917" s="1091"/>
      <c r="RBQ917" s="1091"/>
      <c r="RBR917" s="1091"/>
      <c r="RBS917" s="1091"/>
      <c r="RBT917" s="1091"/>
      <c r="RBU917" s="1091"/>
      <c r="RBV917" s="1091"/>
      <c r="RBW917" s="1091"/>
      <c r="RBX917" s="1091"/>
      <c r="RBY917" s="1091"/>
      <c r="RBZ917" s="1091"/>
      <c r="RCA917" s="1091"/>
      <c r="RCB917" s="1091"/>
      <c r="RCC917" s="1091"/>
      <c r="RCD917" s="1091"/>
      <c r="RCE917" s="1091"/>
      <c r="RCF917" s="1091"/>
      <c r="RCG917" s="1091"/>
      <c r="RCH917" s="1091"/>
      <c r="RCI917" s="1091"/>
      <c r="RCJ917" s="1091"/>
      <c r="RCK917" s="1091"/>
      <c r="RCL917" s="1091"/>
      <c r="RCM917" s="1091"/>
      <c r="RCN917" s="1091"/>
      <c r="RCO917" s="1091"/>
      <c r="RCP917" s="1091"/>
      <c r="RCQ917" s="1091"/>
      <c r="RCR917" s="1091"/>
      <c r="RCS917" s="1091"/>
      <c r="RCT917" s="1091"/>
      <c r="RCU917" s="1091"/>
      <c r="RCV917" s="1091"/>
      <c r="RCW917" s="1091"/>
      <c r="RCX917" s="1091"/>
      <c r="RCY917" s="1091"/>
      <c r="RCZ917" s="1091"/>
      <c r="RDA917" s="1091"/>
      <c r="RDB917" s="1091"/>
      <c r="RDC917" s="1091"/>
      <c r="RDD917" s="1091"/>
      <c r="RDE917" s="1091"/>
      <c r="RDF917" s="1091"/>
      <c r="RDG917" s="1091"/>
      <c r="RDH917" s="1091"/>
      <c r="RDI917" s="1091"/>
      <c r="RDJ917" s="1091"/>
      <c r="RDK917" s="1091"/>
      <c r="RDL917" s="1091"/>
      <c r="RDM917" s="1091"/>
      <c r="RDN917" s="1091"/>
      <c r="RDO917" s="1091"/>
      <c r="RDP917" s="1091"/>
      <c r="RDQ917" s="1091"/>
      <c r="RDR917" s="1091"/>
      <c r="RDS917" s="1091"/>
      <c r="RDT917" s="1091"/>
      <c r="RDU917" s="1091"/>
      <c r="RDV917" s="1091"/>
      <c r="RDW917" s="1091"/>
      <c r="RDX917" s="1091"/>
      <c r="RDY917" s="1091"/>
      <c r="RDZ917" s="1091"/>
      <c r="REA917" s="1091"/>
      <c r="REB917" s="1091"/>
      <c r="REC917" s="1091"/>
      <c r="RED917" s="1091"/>
      <c r="REE917" s="1091"/>
      <c r="REF917" s="1091"/>
      <c r="REG917" s="1091"/>
      <c r="REH917" s="1091"/>
      <c r="REI917" s="1091"/>
      <c r="REJ917" s="1091"/>
      <c r="REK917" s="1091"/>
      <c r="REL917" s="1091"/>
      <c r="REM917" s="1091"/>
      <c r="REN917" s="1091"/>
      <c r="REO917" s="1091"/>
      <c r="REP917" s="1091"/>
      <c r="REQ917" s="1091"/>
      <c r="RER917" s="1091"/>
      <c r="RES917" s="1091"/>
      <c r="RET917" s="1091"/>
      <c r="REU917" s="1091"/>
      <c r="REV917" s="1091"/>
      <c r="REW917" s="1091"/>
      <c r="REX917" s="1091"/>
      <c r="REY917" s="1091"/>
      <c r="REZ917" s="1091"/>
      <c r="RFA917" s="1091"/>
      <c r="RFB917" s="1091"/>
      <c r="RFC917" s="1091"/>
      <c r="RFD917" s="1091"/>
      <c r="RFE917" s="1091"/>
      <c r="RFF917" s="1091"/>
      <c r="RFG917" s="1091"/>
      <c r="RFH917" s="1091"/>
      <c r="RFI917" s="1091"/>
      <c r="RFJ917" s="1091"/>
      <c r="RFK917" s="1091"/>
      <c r="RFL917" s="1091"/>
      <c r="RFM917" s="1091"/>
      <c r="RFN917" s="1091"/>
      <c r="RFO917" s="1091"/>
      <c r="RFP917" s="1091"/>
      <c r="RFQ917" s="1091"/>
      <c r="RFR917" s="1091"/>
      <c r="RFS917" s="1091"/>
      <c r="RFT917" s="1091"/>
      <c r="RFU917" s="1091"/>
      <c r="RFV917" s="1091"/>
      <c r="RFW917" s="1091"/>
      <c r="RFX917" s="1091"/>
      <c r="RFY917" s="1091"/>
      <c r="RFZ917" s="1091"/>
      <c r="RGA917" s="1091"/>
      <c r="RGB917" s="1091"/>
      <c r="RGC917" s="1091"/>
      <c r="RGD917" s="1091"/>
      <c r="RGE917" s="1091"/>
      <c r="RGF917" s="1091"/>
      <c r="RGG917" s="1091"/>
      <c r="RGH917" s="1091"/>
      <c r="RGI917" s="1091"/>
      <c r="RGJ917" s="1091"/>
      <c r="RGK917" s="1091"/>
      <c r="RGL917" s="1091"/>
      <c r="RGM917" s="1091"/>
      <c r="RGN917" s="1091"/>
      <c r="RGO917" s="1091"/>
      <c r="RGP917" s="1091"/>
      <c r="RGQ917" s="1091"/>
      <c r="RGR917" s="1091"/>
      <c r="RGS917" s="1091"/>
      <c r="RGT917" s="1091"/>
      <c r="RGU917" s="1091"/>
      <c r="RGV917" s="1091"/>
      <c r="RGW917" s="1091"/>
      <c r="RGX917" s="1091"/>
      <c r="RGY917" s="1091"/>
      <c r="RGZ917" s="1091"/>
      <c r="RHA917" s="1091"/>
      <c r="RHB917" s="1091"/>
      <c r="RHC917" s="1091"/>
      <c r="RHD917" s="1091"/>
      <c r="RHE917" s="1091"/>
      <c r="RHF917" s="1091"/>
      <c r="RHG917" s="1091"/>
      <c r="RHH917" s="1091"/>
      <c r="RHI917" s="1091"/>
      <c r="RHJ917" s="1091"/>
      <c r="RHK917" s="1091"/>
      <c r="RHL917" s="1091"/>
      <c r="RHM917" s="1091"/>
      <c r="RHN917" s="1091"/>
      <c r="RHO917" s="1091"/>
      <c r="RHP917" s="1091"/>
      <c r="RHQ917" s="1091"/>
      <c r="RHR917" s="1091"/>
      <c r="RHS917" s="1091"/>
      <c r="RHT917" s="1091"/>
      <c r="RHU917" s="1091"/>
      <c r="RHV917" s="1091"/>
      <c r="RHW917" s="1091"/>
      <c r="RHX917" s="1091"/>
      <c r="RHY917" s="1091"/>
      <c r="RHZ917" s="1091"/>
      <c r="RIA917" s="1091"/>
      <c r="RIB917" s="1091"/>
      <c r="RIC917" s="1091"/>
      <c r="RID917" s="1091"/>
      <c r="RIE917" s="1091"/>
      <c r="RIF917" s="1091"/>
      <c r="RIG917" s="1091"/>
      <c r="RIH917" s="1091"/>
      <c r="RII917" s="1091"/>
      <c r="RIJ917" s="1091"/>
      <c r="RIK917" s="1091"/>
      <c r="RIL917" s="1091"/>
      <c r="RIM917" s="1091"/>
      <c r="RIN917" s="1091"/>
      <c r="RIO917" s="1091"/>
      <c r="RIP917" s="1091"/>
      <c r="RIQ917" s="1091"/>
      <c r="RIR917" s="1091"/>
      <c r="RIS917" s="1091"/>
      <c r="RIT917" s="1091"/>
      <c r="RIU917" s="1091"/>
      <c r="RIV917" s="1091"/>
      <c r="RIW917" s="1091"/>
      <c r="RIX917" s="1091"/>
      <c r="RIY917" s="1091"/>
      <c r="RIZ917" s="1091"/>
      <c r="RJA917" s="1091"/>
      <c r="RJB917" s="1091"/>
      <c r="RJC917" s="1091"/>
      <c r="RJD917" s="1091"/>
      <c r="RJE917" s="1091"/>
      <c r="RJF917" s="1091"/>
      <c r="RJG917" s="1091"/>
      <c r="RJH917" s="1091"/>
      <c r="RJI917" s="1091"/>
      <c r="RJJ917" s="1091"/>
      <c r="RJK917" s="1091"/>
      <c r="RJL917" s="1091"/>
      <c r="RJM917" s="1091"/>
      <c r="RJN917" s="1091"/>
      <c r="RJO917" s="1091"/>
      <c r="RJP917" s="1091"/>
      <c r="RJQ917" s="1091"/>
      <c r="RJR917" s="1091"/>
      <c r="RJS917" s="1091"/>
      <c r="RJT917" s="1091"/>
      <c r="RJU917" s="1091"/>
      <c r="RJV917" s="1091"/>
      <c r="RJW917" s="1091"/>
      <c r="RJX917" s="1091"/>
      <c r="RJY917" s="1091"/>
      <c r="RJZ917" s="1091"/>
      <c r="RKA917" s="1091"/>
      <c r="RKB917" s="1091"/>
      <c r="RKC917" s="1091"/>
      <c r="RKD917" s="1091"/>
      <c r="RKE917" s="1091"/>
      <c r="RKF917" s="1091"/>
      <c r="RKG917" s="1091"/>
      <c r="RKH917" s="1091"/>
      <c r="RKI917" s="1091"/>
      <c r="RKJ917" s="1091"/>
      <c r="RKK917" s="1091"/>
      <c r="RKL917" s="1091"/>
      <c r="RKM917" s="1091"/>
      <c r="RKN917" s="1091"/>
      <c r="RKO917" s="1091"/>
      <c r="RKP917" s="1091"/>
      <c r="RKQ917" s="1091"/>
      <c r="RKR917" s="1091"/>
      <c r="RKS917" s="1091"/>
      <c r="RKT917" s="1091"/>
      <c r="RKU917" s="1091"/>
      <c r="RKV917" s="1091"/>
      <c r="RKW917" s="1091"/>
      <c r="RKX917" s="1091"/>
      <c r="RKY917" s="1091"/>
      <c r="RKZ917" s="1091"/>
      <c r="RLA917" s="1091"/>
      <c r="RLB917" s="1091"/>
      <c r="RLC917" s="1091"/>
      <c r="RLD917" s="1091"/>
      <c r="RLE917" s="1091"/>
      <c r="RLF917" s="1091"/>
      <c r="RLG917" s="1091"/>
      <c r="RLH917" s="1091"/>
      <c r="RLI917" s="1091"/>
      <c r="RLJ917" s="1091"/>
      <c r="RLK917" s="1091"/>
      <c r="RLL917" s="1091"/>
      <c r="RLM917" s="1091"/>
      <c r="RLN917" s="1091"/>
      <c r="RLO917" s="1091"/>
      <c r="RLP917" s="1091"/>
      <c r="RLQ917" s="1091"/>
      <c r="RLR917" s="1091"/>
      <c r="RLS917" s="1091"/>
      <c r="RLT917" s="1091"/>
      <c r="RLU917" s="1091"/>
      <c r="RLV917" s="1091"/>
      <c r="RLW917" s="1091"/>
      <c r="RLX917" s="1091"/>
      <c r="RLY917" s="1091"/>
      <c r="RLZ917" s="1091"/>
      <c r="RMA917" s="1091"/>
      <c r="RMB917" s="1091"/>
      <c r="RMC917" s="1091"/>
      <c r="RMD917" s="1091"/>
      <c r="RME917" s="1091"/>
      <c r="RMF917" s="1091"/>
      <c r="RMG917" s="1091"/>
      <c r="RMH917" s="1091"/>
      <c r="RMI917" s="1091"/>
      <c r="RMJ917" s="1091"/>
      <c r="RMK917" s="1091"/>
      <c r="RML917" s="1091"/>
      <c r="RMM917" s="1091"/>
      <c r="RMN917" s="1091"/>
      <c r="RMO917" s="1091"/>
      <c r="RMP917" s="1091"/>
      <c r="RMQ917" s="1091"/>
      <c r="RMR917" s="1091"/>
      <c r="RMS917" s="1091"/>
      <c r="RMT917" s="1091"/>
      <c r="RMU917" s="1091"/>
      <c r="RMV917" s="1091"/>
      <c r="RMW917" s="1091"/>
      <c r="RMX917" s="1091"/>
      <c r="RMY917" s="1091"/>
      <c r="RMZ917" s="1091"/>
      <c r="RNA917" s="1091"/>
      <c r="RNB917" s="1091"/>
      <c r="RNC917" s="1091"/>
      <c r="RND917" s="1091"/>
      <c r="RNE917" s="1091"/>
      <c r="RNF917" s="1091"/>
      <c r="RNG917" s="1091"/>
      <c r="RNH917" s="1091"/>
      <c r="RNI917" s="1091"/>
      <c r="RNJ917" s="1091"/>
      <c r="RNK917" s="1091"/>
      <c r="RNL917" s="1091"/>
      <c r="RNM917" s="1091"/>
      <c r="RNN917" s="1091"/>
      <c r="RNO917" s="1091"/>
      <c r="RNP917" s="1091"/>
      <c r="RNQ917" s="1091"/>
      <c r="RNR917" s="1091"/>
      <c r="RNS917" s="1091"/>
      <c r="RNT917" s="1091"/>
      <c r="RNU917" s="1091"/>
      <c r="RNV917" s="1091"/>
      <c r="RNW917" s="1091"/>
      <c r="RNX917" s="1091"/>
      <c r="RNY917" s="1091"/>
      <c r="RNZ917" s="1091"/>
      <c r="ROA917" s="1091"/>
      <c r="ROB917" s="1091"/>
      <c r="ROC917" s="1091"/>
      <c r="ROD917" s="1091"/>
      <c r="ROE917" s="1091"/>
      <c r="ROF917" s="1091"/>
      <c r="ROG917" s="1091"/>
      <c r="ROH917" s="1091"/>
      <c r="ROI917" s="1091"/>
      <c r="ROJ917" s="1091"/>
      <c r="ROK917" s="1091"/>
      <c r="ROL917" s="1091"/>
      <c r="ROM917" s="1091"/>
      <c r="RON917" s="1091"/>
      <c r="ROO917" s="1091"/>
      <c r="ROP917" s="1091"/>
      <c r="ROQ917" s="1091"/>
      <c r="ROR917" s="1091"/>
      <c r="ROS917" s="1091"/>
      <c r="ROT917" s="1091"/>
      <c r="ROU917" s="1091"/>
      <c r="ROV917" s="1091"/>
      <c r="ROW917" s="1091"/>
      <c r="ROX917" s="1091"/>
      <c r="ROY917" s="1091"/>
      <c r="ROZ917" s="1091"/>
      <c r="RPA917" s="1091"/>
      <c r="RPB917" s="1091"/>
      <c r="RPC917" s="1091"/>
      <c r="RPD917" s="1091"/>
      <c r="RPE917" s="1091"/>
      <c r="RPF917" s="1091"/>
      <c r="RPG917" s="1091"/>
      <c r="RPH917" s="1091"/>
      <c r="RPI917" s="1091"/>
      <c r="RPJ917" s="1091"/>
      <c r="RPK917" s="1091"/>
      <c r="RPL917" s="1091"/>
      <c r="RPM917" s="1091"/>
      <c r="RPN917" s="1091"/>
      <c r="RPO917" s="1091"/>
      <c r="RPP917" s="1091"/>
      <c r="RPQ917" s="1091"/>
      <c r="RPR917" s="1091"/>
      <c r="RPS917" s="1091"/>
      <c r="RPT917" s="1091"/>
      <c r="RPU917" s="1091"/>
      <c r="RPV917" s="1091"/>
      <c r="RPW917" s="1091"/>
      <c r="RPX917" s="1091"/>
      <c r="RPY917" s="1091"/>
      <c r="RPZ917" s="1091"/>
      <c r="RQA917" s="1091"/>
      <c r="RQB917" s="1091"/>
      <c r="RQC917" s="1091"/>
      <c r="RQD917" s="1091"/>
      <c r="RQE917" s="1091"/>
      <c r="RQF917" s="1091"/>
      <c r="RQG917" s="1091"/>
      <c r="RQH917" s="1091"/>
      <c r="RQI917" s="1091"/>
      <c r="RQJ917" s="1091"/>
      <c r="RQK917" s="1091"/>
      <c r="RQL917" s="1091"/>
      <c r="RQM917" s="1091"/>
      <c r="RQN917" s="1091"/>
      <c r="RQO917" s="1091"/>
      <c r="RQP917" s="1091"/>
      <c r="RQQ917" s="1091"/>
      <c r="RQR917" s="1091"/>
      <c r="RQS917" s="1091"/>
      <c r="RQT917" s="1091"/>
      <c r="RQU917" s="1091"/>
      <c r="RQV917" s="1091"/>
      <c r="RQW917" s="1091"/>
      <c r="RQX917" s="1091"/>
      <c r="RQY917" s="1091"/>
      <c r="RQZ917" s="1091"/>
      <c r="RRA917" s="1091"/>
      <c r="RRB917" s="1091"/>
      <c r="RRC917" s="1091"/>
      <c r="RRD917" s="1091"/>
      <c r="RRE917" s="1091"/>
      <c r="RRF917" s="1091"/>
      <c r="RRG917" s="1091"/>
      <c r="RRH917" s="1091"/>
      <c r="RRI917" s="1091"/>
      <c r="RRJ917" s="1091"/>
      <c r="RRK917" s="1091"/>
      <c r="RRL917" s="1091"/>
      <c r="RRM917" s="1091"/>
      <c r="RRN917" s="1091"/>
      <c r="RRO917" s="1091"/>
      <c r="RRP917" s="1091"/>
      <c r="RRQ917" s="1091"/>
      <c r="RRR917" s="1091"/>
      <c r="RRS917" s="1091"/>
      <c r="RRT917" s="1091"/>
      <c r="RRU917" s="1091"/>
      <c r="RRV917" s="1091"/>
      <c r="RRW917" s="1091"/>
      <c r="RRX917" s="1091"/>
      <c r="RRY917" s="1091"/>
      <c r="RRZ917" s="1091"/>
      <c r="RSA917" s="1091"/>
      <c r="RSB917" s="1091"/>
      <c r="RSC917" s="1091"/>
      <c r="RSD917" s="1091"/>
      <c r="RSE917" s="1091"/>
      <c r="RSF917" s="1091"/>
      <c r="RSG917" s="1091"/>
      <c r="RSH917" s="1091"/>
      <c r="RSI917" s="1091"/>
      <c r="RSJ917" s="1091"/>
      <c r="RSK917" s="1091"/>
      <c r="RSL917" s="1091"/>
      <c r="RSM917" s="1091"/>
      <c r="RSN917" s="1091"/>
      <c r="RSO917" s="1091"/>
      <c r="RSP917" s="1091"/>
      <c r="RSQ917" s="1091"/>
      <c r="RSR917" s="1091"/>
      <c r="RSS917" s="1091"/>
      <c r="RST917" s="1091"/>
      <c r="RSU917" s="1091"/>
      <c r="RSV917" s="1091"/>
      <c r="RSW917" s="1091"/>
      <c r="RSX917" s="1091"/>
      <c r="RSY917" s="1091"/>
      <c r="RSZ917" s="1091"/>
      <c r="RTA917" s="1091"/>
      <c r="RTB917" s="1091"/>
      <c r="RTC917" s="1091"/>
      <c r="RTD917" s="1091"/>
      <c r="RTE917" s="1091"/>
      <c r="RTF917" s="1091"/>
      <c r="RTG917" s="1091"/>
      <c r="RTH917" s="1091"/>
      <c r="RTI917" s="1091"/>
      <c r="RTJ917" s="1091"/>
      <c r="RTK917" s="1091"/>
      <c r="RTL917" s="1091"/>
      <c r="RTM917" s="1091"/>
      <c r="RTN917" s="1091"/>
      <c r="RTO917" s="1091"/>
      <c r="RTP917" s="1091"/>
      <c r="RTQ917" s="1091"/>
      <c r="RTR917" s="1091"/>
      <c r="RTS917" s="1091"/>
      <c r="RTT917" s="1091"/>
      <c r="RTU917" s="1091"/>
      <c r="RTV917" s="1091"/>
      <c r="RTW917" s="1091"/>
      <c r="RTX917" s="1091"/>
      <c r="RTY917" s="1091"/>
      <c r="RTZ917" s="1091"/>
      <c r="RUA917" s="1091"/>
      <c r="RUB917" s="1091"/>
      <c r="RUC917" s="1091"/>
      <c r="RUD917" s="1091"/>
      <c r="RUE917" s="1091"/>
      <c r="RUF917" s="1091"/>
      <c r="RUG917" s="1091"/>
      <c r="RUH917" s="1091"/>
      <c r="RUI917" s="1091"/>
      <c r="RUJ917" s="1091"/>
      <c r="RUK917" s="1091"/>
      <c r="RUL917" s="1091"/>
      <c r="RUM917" s="1091"/>
      <c r="RUN917" s="1091"/>
      <c r="RUO917" s="1091"/>
      <c r="RUP917" s="1091"/>
      <c r="RUQ917" s="1091"/>
      <c r="RUR917" s="1091"/>
      <c r="RUS917" s="1091"/>
      <c r="RUT917" s="1091"/>
      <c r="RUU917" s="1091"/>
      <c r="RUV917" s="1091"/>
      <c r="RUW917" s="1091"/>
      <c r="RUX917" s="1091"/>
      <c r="RUY917" s="1091"/>
      <c r="RUZ917" s="1091"/>
      <c r="RVA917" s="1091"/>
      <c r="RVB917" s="1091"/>
      <c r="RVC917" s="1091"/>
      <c r="RVD917" s="1091"/>
      <c r="RVE917" s="1091"/>
      <c r="RVF917" s="1091"/>
      <c r="RVG917" s="1091"/>
      <c r="RVH917" s="1091"/>
      <c r="RVI917" s="1091"/>
      <c r="RVJ917" s="1091"/>
      <c r="RVK917" s="1091"/>
      <c r="RVL917" s="1091"/>
      <c r="RVM917" s="1091"/>
      <c r="RVN917" s="1091"/>
      <c r="RVO917" s="1091"/>
      <c r="RVP917" s="1091"/>
      <c r="RVQ917" s="1091"/>
      <c r="RVR917" s="1091"/>
      <c r="RVS917" s="1091"/>
      <c r="RVT917" s="1091"/>
      <c r="RVU917" s="1091"/>
      <c r="RVV917" s="1091"/>
      <c r="RVW917" s="1091"/>
      <c r="RVX917" s="1091"/>
      <c r="RVY917" s="1091"/>
      <c r="RVZ917" s="1091"/>
      <c r="RWA917" s="1091"/>
      <c r="RWB917" s="1091"/>
      <c r="RWC917" s="1091"/>
      <c r="RWD917" s="1091"/>
      <c r="RWE917" s="1091"/>
      <c r="RWF917" s="1091"/>
      <c r="RWG917" s="1091"/>
      <c r="RWH917" s="1091"/>
      <c r="RWI917" s="1091"/>
      <c r="RWJ917" s="1091"/>
      <c r="RWK917" s="1091"/>
      <c r="RWL917" s="1091"/>
      <c r="RWM917" s="1091"/>
      <c r="RWN917" s="1091"/>
      <c r="RWO917" s="1091"/>
      <c r="RWP917" s="1091"/>
      <c r="RWQ917" s="1091"/>
      <c r="RWR917" s="1091"/>
      <c r="RWS917" s="1091"/>
      <c r="RWT917" s="1091"/>
      <c r="RWU917" s="1091"/>
      <c r="RWV917" s="1091"/>
      <c r="RWW917" s="1091"/>
      <c r="RWX917" s="1091"/>
      <c r="RWY917" s="1091"/>
      <c r="RWZ917" s="1091"/>
      <c r="RXA917" s="1091"/>
      <c r="RXB917" s="1091"/>
      <c r="RXC917" s="1091"/>
      <c r="RXD917" s="1091"/>
      <c r="RXE917" s="1091"/>
      <c r="RXF917" s="1091"/>
      <c r="RXG917" s="1091"/>
      <c r="RXH917" s="1091"/>
      <c r="RXI917" s="1091"/>
      <c r="RXJ917" s="1091"/>
      <c r="RXK917" s="1091"/>
      <c r="RXL917" s="1091"/>
      <c r="RXM917" s="1091"/>
      <c r="RXN917" s="1091"/>
      <c r="RXO917" s="1091"/>
      <c r="RXP917" s="1091"/>
      <c r="RXQ917" s="1091"/>
      <c r="RXR917" s="1091"/>
      <c r="RXS917" s="1091"/>
      <c r="RXT917" s="1091"/>
      <c r="RXU917" s="1091"/>
      <c r="RXV917" s="1091"/>
      <c r="RXW917" s="1091"/>
      <c r="RXX917" s="1091"/>
      <c r="RXY917" s="1091"/>
      <c r="RXZ917" s="1091"/>
      <c r="RYA917" s="1091"/>
      <c r="RYB917" s="1091"/>
      <c r="RYC917" s="1091"/>
      <c r="RYD917" s="1091"/>
      <c r="RYE917" s="1091"/>
      <c r="RYF917" s="1091"/>
      <c r="RYG917" s="1091"/>
      <c r="RYH917" s="1091"/>
      <c r="RYI917" s="1091"/>
      <c r="RYJ917" s="1091"/>
      <c r="RYK917" s="1091"/>
      <c r="RYL917" s="1091"/>
      <c r="RYM917" s="1091"/>
      <c r="RYN917" s="1091"/>
      <c r="RYO917" s="1091"/>
      <c r="RYP917" s="1091"/>
      <c r="RYQ917" s="1091"/>
      <c r="RYR917" s="1091"/>
      <c r="RYS917" s="1091"/>
      <c r="RYT917" s="1091"/>
      <c r="RYU917" s="1091"/>
      <c r="RYV917" s="1091"/>
      <c r="RYW917" s="1091"/>
      <c r="RYX917" s="1091"/>
      <c r="RYY917" s="1091"/>
      <c r="RYZ917" s="1091"/>
      <c r="RZA917" s="1091"/>
      <c r="RZB917" s="1091"/>
      <c r="RZC917" s="1091"/>
      <c r="RZD917" s="1091"/>
      <c r="RZE917" s="1091"/>
      <c r="RZF917" s="1091"/>
      <c r="RZG917" s="1091"/>
      <c r="RZH917" s="1091"/>
      <c r="RZI917" s="1091"/>
      <c r="RZJ917" s="1091"/>
      <c r="RZK917" s="1091"/>
      <c r="RZL917" s="1091"/>
      <c r="RZM917" s="1091"/>
      <c r="RZN917" s="1091"/>
      <c r="RZO917" s="1091"/>
      <c r="RZP917" s="1091"/>
      <c r="RZQ917" s="1091"/>
      <c r="RZR917" s="1091"/>
      <c r="RZS917" s="1091"/>
      <c r="RZT917" s="1091"/>
      <c r="RZU917" s="1091"/>
      <c r="RZV917" s="1091"/>
      <c r="RZW917" s="1091"/>
      <c r="RZX917" s="1091"/>
      <c r="RZY917" s="1091"/>
      <c r="RZZ917" s="1091"/>
      <c r="SAA917" s="1091"/>
      <c r="SAB917" s="1091"/>
      <c r="SAC917" s="1091"/>
      <c r="SAD917" s="1091"/>
      <c r="SAE917" s="1091"/>
      <c r="SAF917" s="1091"/>
      <c r="SAG917" s="1091"/>
      <c r="SAH917" s="1091"/>
      <c r="SAI917" s="1091"/>
      <c r="SAJ917" s="1091"/>
      <c r="SAK917" s="1091"/>
      <c r="SAL917" s="1091"/>
      <c r="SAM917" s="1091"/>
      <c r="SAN917" s="1091"/>
      <c r="SAO917" s="1091"/>
      <c r="SAP917" s="1091"/>
      <c r="SAQ917" s="1091"/>
      <c r="SAR917" s="1091"/>
      <c r="SAS917" s="1091"/>
      <c r="SAT917" s="1091"/>
      <c r="SAU917" s="1091"/>
      <c r="SAV917" s="1091"/>
      <c r="SAW917" s="1091"/>
      <c r="SAX917" s="1091"/>
      <c r="SAY917" s="1091"/>
      <c r="SAZ917" s="1091"/>
      <c r="SBA917" s="1091"/>
      <c r="SBB917" s="1091"/>
      <c r="SBC917" s="1091"/>
      <c r="SBD917" s="1091"/>
      <c r="SBE917" s="1091"/>
      <c r="SBF917" s="1091"/>
      <c r="SBG917" s="1091"/>
      <c r="SBH917" s="1091"/>
      <c r="SBI917" s="1091"/>
      <c r="SBJ917" s="1091"/>
      <c r="SBK917" s="1091"/>
      <c r="SBL917" s="1091"/>
      <c r="SBM917" s="1091"/>
      <c r="SBN917" s="1091"/>
      <c r="SBO917" s="1091"/>
      <c r="SBP917" s="1091"/>
      <c r="SBQ917" s="1091"/>
      <c r="SBR917" s="1091"/>
      <c r="SBS917" s="1091"/>
      <c r="SBT917" s="1091"/>
      <c r="SBU917" s="1091"/>
      <c r="SBV917" s="1091"/>
      <c r="SBW917" s="1091"/>
      <c r="SBX917" s="1091"/>
      <c r="SBY917" s="1091"/>
      <c r="SBZ917" s="1091"/>
      <c r="SCA917" s="1091"/>
      <c r="SCB917" s="1091"/>
      <c r="SCC917" s="1091"/>
      <c r="SCD917" s="1091"/>
      <c r="SCE917" s="1091"/>
      <c r="SCF917" s="1091"/>
      <c r="SCG917" s="1091"/>
      <c r="SCH917" s="1091"/>
      <c r="SCI917" s="1091"/>
      <c r="SCJ917" s="1091"/>
      <c r="SCK917" s="1091"/>
      <c r="SCL917" s="1091"/>
      <c r="SCM917" s="1091"/>
      <c r="SCN917" s="1091"/>
      <c r="SCO917" s="1091"/>
      <c r="SCP917" s="1091"/>
      <c r="SCQ917" s="1091"/>
      <c r="SCR917" s="1091"/>
      <c r="SCS917" s="1091"/>
      <c r="SCT917" s="1091"/>
      <c r="SCU917" s="1091"/>
      <c r="SCV917" s="1091"/>
      <c r="SCW917" s="1091"/>
      <c r="SCX917" s="1091"/>
      <c r="SCY917" s="1091"/>
      <c r="SCZ917" s="1091"/>
      <c r="SDA917" s="1091"/>
      <c r="SDB917" s="1091"/>
      <c r="SDC917" s="1091"/>
      <c r="SDD917" s="1091"/>
      <c r="SDE917" s="1091"/>
      <c r="SDF917" s="1091"/>
      <c r="SDG917" s="1091"/>
      <c r="SDH917" s="1091"/>
      <c r="SDI917" s="1091"/>
      <c r="SDJ917" s="1091"/>
      <c r="SDK917" s="1091"/>
      <c r="SDL917" s="1091"/>
      <c r="SDM917" s="1091"/>
      <c r="SDN917" s="1091"/>
      <c r="SDO917" s="1091"/>
      <c r="SDP917" s="1091"/>
      <c r="SDQ917" s="1091"/>
      <c r="SDR917" s="1091"/>
      <c r="SDS917" s="1091"/>
      <c r="SDT917" s="1091"/>
      <c r="SDU917" s="1091"/>
      <c r="SDV917" s="1091"/>
      <c r="SDW917" s="1091"/>
      <c r="SDX917" s="1091"/>
      <c r="SDY917" s="1091"/>
      <c r="SDZ917" s="1091"/>
      <c r="SEA917" s="1091"/>
      <c r="SEB917" s="1091"/>
      <c r="SEC917" s="1091"/>
      <c r="SED917" s="1091"/>
      <c r="SEE917" s="1091"/>
      <c r="SEF917" s="1091"/>
      <c r="SEG917" s="1091"/>
      <c r="SEH917" s="1091"/>
      <c r="SEI917" s="1091"/>
      <c r="SEJ917" s="1091"/>
      <c r="SEK917" s="1091"/>
      <c r="SEL917" s="1091"/>
      <c r="SEM917" s="1091"/>
      <c r="SEN917" s="1091"/>
      <c r="SEO917" s="1091"/>
      <c r="SEP917" s="1091"/>
      <c r="SEQ917" s="1091"/>
      <c r="SER917" s="1091"/>
      <c r="SES917" s="1091"/>
      <c r="SET917" s="1091"/>
      <c r="SEU917" s="1091"/>
      <c r="SEV917" s="1091"/>
      <c r="SEW917" s="1091"/>
      <c r="SEX917" s="1091"/>
      <c r="SEY917" s="1091"/>
      <c r="SEZ917" s="1091"/>
      <c r="SFA917" s="1091"/>
      <c r="SFB917" s="1091"/>
      <c r="SFC917" s="1091"/>
      <c r="SFD917" s="1091"/>
      <c r="SFE917" s="1091"/>
      <c r="SFF917" s="1091"/>
      <c r="SFG917" s="1091"/>
      <c r="SFH917" s="1091"/>
      <c r="SFI917" s="1091"/>
      <c r="SFJ917" s="1091"/>
      <c r="SFK917" s="1091"/>
      <c r="SFL917" s="1091"/>
      <c r="SFM917" s="1091"/>
      <c r="SFN917" s="1091"/>
      <c r="SFO917" s="1091"/>
      <c r="SFP917" s="1091"/>
      <c r="SFQ917" s="1091"/>
      <c r="SFR917" s="1091"/>
      <c r="SFS917" s="1091"/>
      <c r="SFT917" s="1091"/>
      <c r="SFU917" s="1091"/>
      <c r="SFV917" s="1091"/>
      <c r="SFW917" s="1091"/>
      <c r="SFX917" s="1091"/>
      <c r="SFY917" s="1091"/>
      <c r="SFZ917" s="1091"/>
      <c r="SGA917" s="1091"/>
      <c r="SGB917" s="1091"/>
      <c r="SGC917" s="1091"/>
      <c r="SGD917" s="1091"/>
      <c r="SGE917" s="1091"/>
      <c r="SGF917" s="1091"/>
      <c r="SGG917" s="1091"/>
      <c r="SGH917" s="1091"/>
      <c r="SGI917" s="1091"/>
      <c r="SGJ917" s="1091"/>
      <c r="SGK917" s="1091"/>
      <c r="SGL917" s="1091"/>
      <c r="SGM917" s="1091"/>
      <c r="SGN917" s="1091"/>
      <c r="SGO917" s="1091"/>
      <c r="SGP917" s="1091"/>
      <c r="SGQ917" s="1091"/>
      <c r="SGR917" s="1091"/>
      <c r="SGS917" s="1091"/>
      <c r="SGT917" s="1091"/>
      <c r="SGU917" s="1091"/>
      <c r="SGV917" s="1091"/>
      <c r="SGW917" s="1091"/>
      <c r="SGX917" s="1091"/>
      <c r="SGY917" s="1091"/>
      <c r="SGZ917" s="1091"/>
      <c r="SHA917" s="1091"/>
      <c r="SHB917" s="1091"/>
      <c r="SHC917" s="1091"/>
      <c r="SHD917" s="1091"/>
      <c r="SHE917" s="1091"/>
      <c r="SHF917" s="1091"/>
      <c r="SHG917" s="1091"/>
      <c r="SHH917" s="1091"/>
      <c r="SHI917" s="1091"/>
      <c r="SHJ917" s="1091"/>
      <c r="SHK917" s="1091"/>
      <c r="SHL917" s="1091"/>
      <c r="SHM917" s="1091"/>
      <c r="SHN917" s="1091"/>
      <c r="SHO917" s="1091"/>
      <c r="SHP917" s="1091"/>
      <c r="SHQ917" s="1091"/>
      <c r="SHR917" s="1091"/>
      <c r="SHS917" s="1091"/>
      <c r="SHT917" s="1091"/>
      <c r="SHU917" s="1091"/>
      <c r="SHV917" s="1091"/>
      <c r="SHW917" s="1091"/>
      <c r="SHX917" s="1091"/>
      <c r="SHY917" s="1091"/>
      <c r="SHZ917" s="1091"/>
      <c r="SIA917" s="1091"/>
      <c r="SIB917" s="1091"/>
      <c r="SIC917" s="1091"/>
      <c r="SID917" s="1091"/>
      <c r="SIE917" s="1091"/>
      <c r="SIF917" s="1091"/>
      <c r="SIG917" s="1091"/>
      <c r="SIH917" s="1091"/>
      <c r="SII917" s="1091"/>
      <c r="SIJ917" s="1091"/>
      <c r="SIK917" s="1091"/>
      <c r="SIL917" s="1091"/>
      <c r="SIM917" s="1091"/>
      <c r="SIN917" s="1091"/>
      <c r="SIO917" s="1091"/>
      <c r="SIP917" s="1091"/>
      <c r="SIQ917" s="1091"/>
      <c r="SIR917" s="1091"/>
      <c r="SIS917" s="1091"/>
      <c r="SIT917" s="1091"/>
      <c r="SIU917" s="1091"/>
      <c r="SIV917" s="1091"/>
      <c r="SIW917" s="1091"/>
      <c r="SIX917" s="1091"/>
      <c r="SIY917" s="1091"/>
      <c r="SIZ917" s="1091"/>
      <c r="SJA917" s="1091"/>
      <c r="SJB917" s="1091"/>
      <c r="SJC917" s="1091"/>
      <c r="SJD917" s="1091"/>
      <c r="SJE917" s="1091"/>
      <c r="SJF917" s="1091"/>
      <c r="SJG917" s="1091"/>
      <c r="SJH917" s="1091"/>
      <c r="SJI917" s="1091"/>
      <c r="SJJ917" s="1091"/>
      <c r="SJK917" s="1091"/>
      <c r="SJL917" s="1091"/>
      <c r="SJM917" s="1091"/>
      <c r="SJN917" s="1091"/>
      <c r="SJO917" s="1091"/>
      <c r="SJP917" s="1091"/>
      <c r="SJQ917" s="1091"/>
      <c r="SJR917" s="1091"/>
      <c r="SJS917" s="1091"/>
      <c r="SJT917" s="1091"/>
      <c r="SJU917" s="1091"/>
      <c r="SJV917" s="1091"/>
      <c r="SJW917" s="1091"/>
      <c r="SJX917" s="1091"/>
      <c r="SJY917" s="1091"/>
      <c r="SJZ917" s="1091"/>
      <c r="SKA917" s="1091"/>
      <c r="SKB917" s="1091"/>
      <c r="SKC917" s="1091"/>
      <c r="SKD917" s="1091"/>
      <c r="SKE917" s="1091"/>
      <c r="SKF917" s="1091"/>
      <c r="SKG917" s="1091"/>
      <c r="SKH917" s="1091"/>
      <c r="SKI917" s="1091"/>
      <c r="SKJ917" s="1091"/>
      <c r="SKK917" s="1091"/>
      <c r="SKL917" s="1091"/>
      <c r="SKM917" s="1091"/>
      <c r="SKN917" s="1091"/>
      <c r="SKO917" s="1091"/>
      <c r="SKP917" s="1091"/>
      <c r="SKQ917" s="1091"/>
      <c r="SKR917" s="1091"/>
      <c r="SKS917" s="1091"/>
      <c r="SKT917" s="1091"/>
      <c r="SKU917" s="1091"/>
      <c r="SKV917" s="1091"/>
      <c r="SKW917" s="1091"/>
      <c r="SKX917" s="1091"/>
      <c r="SKY917" s="1091"/>
      <c r="SKZ917" s="1091"/>
      <c r="SLA917" s="1091"/>
      <c r="SLB917" s="1091"/>
      <c r="SLC917" s="1091"/>
      <c r="SLD917" s="1091"/>
      <c r="SLE917" s="1091"/>
      <c r="SLF917" s="1091"/>
      <c r="SLG917" s="1091"/>
      <c r="SLH917" s="1091"/>
      <c r="SLI917" s="1091"/>
      <c r="SLJ917" s="1091"/>
      <c r="SLK917" s="1091"/>
      <c r="SLL917" s="1091"/>
      <c r="SLM917" s="1091"/>
      <c r="SLN917" s="1091"/>
      <c r="SLO917" s="1091"/>
      <c r="SLP917" s="1091"/>
      <c r="SLQ917" s="1091"/>
      <c r="SLR917" s="1091"/>
      <c r="SLS917" s="1091"/>
      <c r="SLT917" s="1091"/>
      <c r="SLU917" s="1091"/>
      <c r="SLV917" s="1091"/>
      <c r="SLW917" s="1091"/>
      <c r="SLX917" s="1091"/>
      <c r="SLY917" s="1091"/>
      <c r="SLZ917" s="1091"/>
      <c r="SMA917" s="1091"/>
      <c r="SMB917" s="1091"/>
      <c r="SMC917" s="1091"/>
      <c r="SMD917" s="1091"/>
      <c r="SME917" s="1091"/>
      <c r="SMF917" s="1091"/>
      <c r="SMG917" s="1091"/>
      <c r="SMH917" s="1091"/>
      <c r="SMI917" s="1091"/>
      <c r="SMJ917" s="1091"/>
      <c r="SMK917" s="1091"/>
      <c r="SML917" s="1091"/>
      <c r="SMM917" s="1091"/>
      <c r="SMN917" s="1091"/>
      <c r="SMO917" s="1091"/>
      <c r="SMP917" s="1091"/>
      <c r="SMQ917" s="1091"/>
      <c r="SMR917" s="1091"/>
      <c r="SMS917" s="1091"/>
      <c r="SMT917" s="1091"/>
      <c r="SMU917" s="1091"/>
      <c r="SMV917" s="1091"/>
      <c r="SMW917" s="1091"/>
      <c r="SMX917" s="1091"/>
      <c r="SMY917" s="1091"/>
      <c r="SMZ917" s="1091"/>
      <c r="SNA917" s="1091"/>
      <c r="SNB917" s="1091"/>
      <c r="SNC917" s="1091"/>
      <c r="SND917" s="1091"/>
      <c r="SNE917" s="1091"/>
      <c r="SNF917" s="1091"/>
      <c r="SNG917" s="1091"/>
      <c r="SNH917" s="1091"/>
      <c r="SNI917" s="1091"/>
      <c r="SNJ917" s="1091"/>
      <c r="SNK917" s="1091"/>
      <c r="SNL917" s="1091"/>
      <c r="SNM917" s="1091"/>
      <c r="SNN917" s="1091"/>
      <c r="SNO917" s="1091"/>
      <c r="SNP917" s="1091"/>
      <c r="SNQ917" s="1091"/>
      <c r="SNR917" s="1091"/>
      <c r="SNS917" s="1091"/>
      <c r="SNT917" s="1091"/>
      <c r="SNU917" s="1091"/>
      <c r="SNV917" s="1091"/>
      <c r="SNW917" s="1091"/>
      <c r="SNX917" s="1091"/>
      <c r="SNY917" s="1091"/>
      <c r="SNZ917" s="1091"/>
      <c r="SOA917" s="1091"/>
      <c r="SOB917" s="1091"/>
      <c r="SOC917" s="1091"/>
      <c r="SOD917" s="1091"/>
      <c r="SOE917" s="1091"/>
      <c r="SOF917" s="1091"/>
      <c r="SOG917" s="1091"/>
      <c r="SOH917" s="1091"/>
      <c r="SOI917" s="1091"/>
      <c r="SOJ917" s="1091"/>
      <c r="SOK917" s="1091"/>
      <c r="SOL917" s="1091"/>
      <c r="SOM917" s="1091"/>
      <c r="SON917" s="1091"/>
      <c r="SOO917" s="1091"/>
      <c r="SOP917" s="1091"/>
      <c r="SOQ917" s="1091"/>
      <c r="SOR917" s="1091"/>
      <c r="SOS917" s="1091"/>
      <c r="SOT917" s="1091"/>
      <c r="SOU917" s="1091"/>
      <c r="SOV917" s="1091"/>
      <c r="SOW917" s="1091"/>
      <c r="SOX917" s="1091"/>
      <c r="SOY917" s="1091"/>
      <c r="SOZ917" s="1091"/>
      <c r="SPA917" s="1091"/>
      <c r="SPB917" s="1091"/>
      <c r="SPC917" s="1091"/>
      <c r="SPD917" s="1091"/>
      <c r="SPE917" s="1091"/>
      <c r="SPF917" s="1091"/>
      <c r="SPG917" s="1091"/>
      <c r="SPH917" s="1091"/>
      <c r="SPI917" s="1091"/>
      <c r="SPJ917" s="1091"/>
      <c r="SPK917" s="1091"/>
      <c r="SPL917" s="1091"/>
      <c r="SPM917" s="1091"/>
      <c r="SPN917" s="1091"/>
      <c r="SPO917" s="1091"/>
      <c r="SPP917" s="1091"/>
      <c r="SPQ917" s="1091"/>
      <c r="SPR917" s="1091"/>
      <c r="SPS917" s="1091"/>
      <c r="SPT917" s="1091"/>
      <c r="SPU917" s="1091"/>
      <c r="SPV917" s="1091"/>
      <c r="SPW917" s="1091"/>
      <c r="SPX917" s="1091"/>
      <c r="SPY917" s="1091"/>
      <c r="SPZ917" s="1091"/>
      <c r="SQA917" s="1091"/>
      <c r="SQB917" s="1091"/>
      <c r="SQC917" s="1091"/>
      <c r="SQD917" s="1091"/>
      <c r="SQE917" s="1091"/>
      <c r="SQF917" s="1091"/>
      <c r="SQG917" s="1091"/>
      <c r="SQH917" s="1091"/>
      <c r="SQI917" s="1091"/>
      <c r="SQJ917" s="1091"/>
      <c r="SQK917" s="1091"/>
      <c r="SQL917" s="1091"/>
      <c r="SQM917" s="1091"/>
      <c r="SQN917" s="1091"/>
      <c r="SQO917" s="1091"/>
      <c r="SQP917" s="1091"/>
      <c r="SQQ917" s="1091"/>
      <c r="SQR917" s="1091"/>
      <c r="SQS917" s="1091"/>
      <c r="SQT917" s="1091"/>
      <c r="SQU917" s="1091"/>
      <c r="SQV917" s="1091"/>
      <c r="SQW917" s="1091"/>
      <c r="SQX917" s="1091"/>
      <c r="SQY917" s="1091"/>
      <c r="SQZ917" s="1091"/>
      <c r="SRA917" s="1091"/>
      <c r="SRB917" s="1091"/>
      <c r="SRC917" s="1091"/>
      <c r="SRD917" s="1091"/>
      <c r="SRE917" s="1091"/>
      <c r="SRF917" s="1091"/>
      <c r="SRG917" s="1091"/>
      <c r="SRH917" s="1091"/>
      <c r="SRI917" s="1091"/>
      <c r="SRJ917" s="1091"/>
      <c r="SRK917" s="1091"/>
      <c r="SRL917" s="1091"/>
      <c r="SRM917" s="1091"/>
      <c r="SRN917" s="1091"/>
      <c r="SRO917" s="1091"/>
      <c r="SRP917" s="1091"/>
      <c r="SRQ917" s="1091"/>
      <c r="SRR917" s="1091"/>
      <c r="SRS917" s="1091"/>
      <c r="SRT917" s="1091"/>
      <c r="SRU917" s="1091"/>
      <c r="SRV917" s="1091"/>
      <c r="SRW917" s="1091"/>
      <c r="SRX917" s="1091"/>
      <c r="SRY917" s="1091"/>
      <c r="SRZ917" s="1091"/>
      <c r="SSA917" s="1091"/>
      <c r="SSB917" s="1091"/>
      <c r="SSC917" s="1091"/>
      <c r="SSD917" s="1091"/>
      <c r="SSE917" s="1091"/>
      <c r="SSF917" s="1091"/>
      <c r="SSG917" s="1091"/>
      <c r="SSH917" s="1091"/>
      <c r="SSI917" s="1091"/>
      <c r="SSJ917" s="1091"/>
      <c r="SSK917" s="1091"/>
      <c r="SSL917" s="1091"/>
      <c r="SSM917" s="1091"/>
      <c r="SSN917" s="1091"/>
      <c r="SSO917" s="1091"/>
      <c r="SSP917" s="1091"/>
      <c r="SSQ917" s="1091"/>
      <c r="SSR917" s="1091"/>
      <c r="SSS917" s="1091"/>
      <c r="SST917" s="1091"/>
      <c r="SSU917" s="1091"/>
      <c r="SSV917" s="1091"/>
      <c r="SSW917" s="1091"/>
      <c r="SSX917" s="1091"/>
      <c r="SSY917" s="1091"/>
      <c r="SSZ917" s="1091"/>
      <c r="STA917" s="1091"/>
      <c r="STB917" s="1091"/>
      <c r="STC917" s="1091"/>
      <c r="STD917" s="1091"/>
      <c r="STE917" s="1091"/>
      <c r="STF917" s="1091"/>
      <c r="STG917" s="1091"/>
      <c r="STH917" s="1091"/>
      <c r="STI917" s="1091"/>
      <c r="STJ917" s="1091"/>
      <c r="STK917" s="1091"/>
      <c r="STL917" s="1091"/>
      <c r="STM917" s="1091"/>
      <c r="STN917" s="1091"/>
      <c r="STO917" s="1091"/>
      <c r="STP917" s="1091"/>
      <c r="STQ917" s="1091"/>
      <c r="STR917" s="1091"/>
      <c r="STS917" s="1091"/>
      <c r="STT917" s="1091"/>
      <c r="STU917" s="1091"/>
      <c r="STV917" s="1091"/>
      <c r="STW917" s="1091"/>
      <c r="STX917" s="1091"/>
      <c r="STY917" s="1091"/>
      <c r="STZ917" s="1091"/>
      <c r="SUA917" s="1091"/>
      <c r="SUB917" s="1091"/>
      <c r="SUC917" s="1091"/>
      <c r="SUD917" s="1091"/>
      <c r="SUE917" s="1091"/>
      <c r="SUF917" s="1091"/>
      <c r="SUG917" s="1091"/>
      <c r="SUH917" s="1091"/>
      <c r="SUI917" s="1091"/>
      <c r="SUJ917" s="1091"/>
      <c r="SUK917" s="1091"/>
      <c r="SUL917" s="1091"/>
      <c r="SUM917" s="1091"/>
      <c r="SUN917" s="1091"/>
      <c r="SUO917" s="1091"/>
      <c r="SUP917" s="1091"/>
      <c r="SUQ917" s="1091"/>
      <c r="SUR917" s="1091"/>
      <c r="SUS917" s="1091"/>
      <c r="SUT917" s="1091"/>
      <c r="SUU917" s="1091"/>
      <c r="SUV917" s="1091"/>
      <c r="SUW917" s="1091"/>
      <c r="SUX917" s="1091"/>
      <c r="SUY917" s="1091"/>
      <c r="SUZ917" s="1091"/>
      <c r="SVA917" s="1091"/>
      <c r="SVB917" s="1091"/>
      <c r="SVC917" s="1091"/>
      <c r="SVD917" s="1091"/>
      <c r="SVE917" s="1091"/>
      <c r="SVF917" s="1091"/>
      <c r="SVG917" s="1091"/>
      <c r="SVH917" s="1091"/>
      <c r="SVI917" s="1091"/>
      <c r="SVJ917" s="1091"/>
      <c r="SVK917" s="1091"/>
      <c r="SVL917" s="1091"/>
      <c r="SVM917" s="1091"/>
      <c r="SVN917" s="1091"/>
      <c r="SVO917" s="1091"/>
      <c r="SVP917" s="1091"/>
      <c r="SVQ917" s="1091"/>
      <c r="SVR917" s="1091"/>
      <c r="SVS917" s="1091"/>
      <c r="SVT917" s="1091"/>
      <c r="SVU917" s="1091"/>
      <c r="SVV917" s="1091"/>
      <c r="SVW917" s="1091"/>
      <c r="SVX917" s="1091"/>
      <c r="SVY917" s="1091"/>
      <c r="SVZ917" s="1091"/>
      <c r="SWA917" s="1091"/>
      <c r="SWB917" s="1091"/>
      <c r="SWC917" s="1091"/>
      <c r="SWD917" s="1091"/>
      <c r="SWE917" s="1091"/>
      <c r="SWF917" s="1091"/>
      <c r="SWG917" s="1091"/>
      <c r="SWH917" s="1091"/>
      <c r="SWI917" s="1091"/>
      <c r="SWJ917" s="1091"/>
      <c r="SWK917" s="1091"/>
      <c r="SWL917" s="1091"/>
      <c r="SWM917" s="1091"/>
      <c r="SWN917" s="1091"/>
      <c r="SWO917" s="1091"/>
      <c r="SWP917" s="1091"/>
      <c r="SWQ917" s="1091"/>
      <c r="SWR917" s="1091"/>
      <c r="SWS917" s="1091"/>
      <c r="SWT917" s="1091"/>
      <c r="SWU917" s="1091"/>
      <c r="SWV917" s="1091"/>
      <c r="SWW917" s="1091"/>
      <c r="SWX917" s="1091"/>
      <c r="SWY917" s="1091"/>
      <c r="SWZ917" s="1091"/>
      <c r="SXA917" s="1091"/>
      <c r="SXB917" s="1091"/>
      <c r="SXC917" s="1091"/>
      <c r="SXD917" s="1091"/>
      <c r="SXE917" s="1091"/>
      <c r="SXF917" s="1091"/>
      <c r="SXG917" s="1091"/>
      <c r="SXH917" s="1091"/>
      <c r="SXI917" s="1091"/>
      <c r="SXJ917" s="1091"/>
      <c r="SXK917" s="1091"/>
      <c r="SXL917" s="1091"/>
      <c r="SXM917" s="1091"/>
      <c r="SXN917" s="1091"/>
      <c r="SXO917" s="1091"/>
      <c r="SXP917" s="1091"/>
      <c r="SXQ917" s="1091"/>
      <c r="SXR917" s="1091"/>
      <c r="SXS917" s="1091"/>
      <c r="SXT917" s="1091"/>
      <c r="SXU917" s="1091"/>
      <c r="SXV917" s="1091"/>
      <c r="SXW917" s="1091"/>
      <c r="SXX917" s="1091"/>
      <c r="SXY917" s="1091"/>
      <c r="SXZ917" s="1091"/>
      <c r="SYA917" s="1091"/>
      <c r="SYB917" s="1091"/>
      <c r="SYC917" s="1091"/>
      <c r="SYD917" s="1091"/>
      <c r="SYE917" s="1091"/>
      <c r="SYF917" s="1091"/>
      <c r="SYG917" s="1091"/>
      <c r="SYH917" s="1091"/>
      <c r="SYI917" s="1091"/>
      <c r="SYJ917" s="1091"/>
      <c r="SYK917" s="1091"/>
      <c r="SYL917" s="1091"/>
      <c r="SYM917" s="1091"/>
      <c r="SYN917" s="1091"/>
      <c r="SYO917" s="1091"/>
      <c r="SYP917" s="1091"/>
      <c r="SYQ917" s="1091"/>
      <c r="SYR917" s="1091"/>
      <c r="SYS917" s="1091"/>
      <c r="SYT917" s="1091"/>
      <c r="SYU917" s="1091"/>
      <c r="SYV917" s="1091"/>
      <c r="SYW917" s="1091"/>
      <c r="SYX917" s="1091"/>
      <c r="SYY917" s="1091"/>
      <c r="SYZ917" s="1091"/>
      <c r="SZA917" s="1091"/>
      <c r="SZB917" s="1091"/>
      <c r="SZC917" s="1091"/>
      <c r="SZD917" s="1091"/>
      <c r="SZE917" s="1091"/>
      <c r="SZF917" s="1091"/>
      <c r="SZG917" s="1091"/>
      <c r="SZH917" s="1091"/>
      <c r="SZI917" s="1091"/>
      <c r="SZJ917" s="1091"/>
      <c r="SZK917" s="1091"/>
      <c r="SZL917" s="1091"/>
      <c r="SZM917" s="1091"/>
      <c r="SZN917" s="1091"/>
      <c r="SZO917" s="1091"/>
      <c r="SZP917" s="1091"/>
      <c r="SZQ917" s="1091"/>
      <c r="SZR917" s="1091"/>
      <c r="SZS917" s="1091"/>
      <c r="SZT917" s="1091"/>
      <c r="SZU917" s="1091"/>
      <c r="SZV917" s="1091"/>
      <c r="SZW917" s="1091"/>
      <c r="SZX917" s="1091"/>
      <c r="SZY917" s="1091"/>
      <c r="SZZ917" s="1091"/>
      <c r="TAA917" s="1091"/>
      <c r="TAB917" s="1091"/>
      <c r="TAC917" s="1091"/>
      <c r="TAD917" s="1091"/>
      <c r="TAE917" s="1091"/>
      <c r="TAF917" s="1091"/>
      <c r="TAG917" s="1091"/>
      <c r="TAH917" s="1091"/>
      <c r="TAI917" s="1091"/>
      <c r="TAJ917" s="1091"/>
      <c r="TAK917" s="1091"/>
      <c r="TAL917" s="1091"/>
      <c r="TAM917" s="1091"/>
      <c r="TAN917" s="1091"/>
      <c r="TAO917" s="1091"/>
      <c r="TAP917" s="1091"/>
      <c r="TAQ917" s="1091"/>
      <c r="TAR917" s="1091"/>
      <c r="TAS917" s="1091"/>
      <c r="TAT917" s="1091"/>
      <c r="TAU917" s="1091"/>
      <c r="TAV917" s="1091"/>
      <c r="TAW917" s="1091"/>
      <c r="TAX917" s="1091"/>
      <c r="TAY917" s="1091"/>
      <c r="TAZ917" s="1091"/>
      <c r="TBA917" s="1091"/>
      <c r="TBB917" s="1091"/>
      <c r="TBC917" s="1091"/>
      <c r="TBD917" s="1091"/>
      <c r="TBE917" s="1091"/>
      <c r="TBF917" s="1091"/>
      <c r="TBG917" s="1091"/>
      <c r="TBH917" s="1091"/>
      <c r="TBI917" s="1091"/>
      <c r="TBJ917" s="1091"/>
      <c r="TBK917" s="1091"/>
      <c r="TBL917" s="1091"/>
      <c r="TBM917" s="1091"/>
      <c r="TBN917" s="1091"/>
      <c r="TBO917" s="1091"/>
      <c r="TBP917" s="1091"/>
      <c r="TBQ917" s="1091"/>
      <c r="TBR917" s="1091"/>
      <c r="TBS917" s="1091"/>
      <c r="TBT917" s="1091"/>
      <c r="TBU917" s="1091"/>
      <c r="TBV917" s="1091"/>
      <c r="TBW917" s="1091"/>
      <c r="TBX917" s="1091"/>
      <c r="TBY917" s="1091"/>
      <c r="TBZ917" s="1091"/>
      <c r="TCA917" s="1091"/>
      <c r="TCB917" s="1091"/>
      <c r="TCC917" s="1091"/>
      <c r="TCD917" s="1091"/>
      <c r="TCE917" s="1091"/>
      <c r="TCF917" s="1091"/>
      <c r="TCG917" s="1091"/>
      <c r="TCH917" s="1091"/>
      <c r="TCI917" s="1091"/>
      <c r="TCJ917" s="1091"/>
      <c r="TCK917" s="1091"/>
      <c r="TCL917" s="1091"/>
      <c r="TCM917" s="1091"/>
      <c r="TCN917" s="1091"/>
      <c r="TCO917" s="1091"/>
      <c r="TCP917" s="1091"/>
      <c r="TCQ917" s="1091"/>
      <c r="TCR917" s="1091"/>
      <c r="TCS917" s="1091"/>
      <c r="TCT917" s="1091"/>
      <c r="TCU917" s="1091"/>
      <c r="TCV917" s="1091"/>
      <c r="TCW917" s="1091"/>
      <c r="TCX917" s="1091"/>
      <c r="TCY917" s="1091"/>
      <c r="TCZ917" s="1091"/>
      <c r="TDA917" s="1091"/>
      <c r="TDB917" s="1091"/>
      <c r="TDC917" s="1091"/>
      <c r="TDD917" s="1091"/>
      <c r="TDE917" s="1091"/>
      <c r="TDF917" s="1091"/>
      <c r="TDG917" s="1091"/>
      <c r="TDH917" s="1091"/>
      <c r="TDI917" s="1091"/>
      <c r="TDJ917" s="1091"/>
      <c r="TDK917" s="1091"/>
      <c r="TDL917" s="1091"/>
      <c r="TDM917" s="1091"/>
      <c r="TDN917" s="1091"/>
      <c r="TDO917" s="1091"/>
      <c r="TDP917" s="1091"/>
      <c r="TDQ917" s="1091"/>
      <c r="TDR917" s="1091"/>
      <c r="TDS917" s="1091"/>
      <c r="TDT917" s="1091"/>
      <c r="TDU917" s="1091"/>
      <c r="TDV917" s="1091"/>
      <c r="TDW917" s="1091"/>
      <c r="TDX917" s="1091"/>
      <c r="TDY917" s="1091"/>
      <c r="TDZ917" s="1091"/>
      <c r="TEA917" s="1091"/>
      <c r="TEB917" s="1091"/>
      <c r="TEC917" s="1091"/>
      <c r="TED917" s="1091"/>
      <c r="TEE917" s="1091"/>
      <c r="TEF917" s="1091"/>
      <c r="TEG917" s="1091"/>
      <c r="TEH917" s="1091"/>
      <c r="TEI917" s="1091"/>
      <c r="TEJ917" s="1091"/>
      <c r="TEK917" s="1091"/>
      <c r="TEL917" s="1091"/>
      <c r="TEM917" s="1091"/>
      <c r="TEN917" s="1091"/>
      <c r="TEO917" s="1091"/>
      <c r="TEP917" s="1091"/>
      <c r="TEQ917" s="1091"/>
      <c r="TER917" s="1091"/>
      <c r="TES917" s="1091"/>
      <c r="TET917" s="1091"/>
      <c r="TEU917" s="1091"/>
      <c r="TEV917" s="1091"/>
      <c r="TEW917" s="1091"/>
      <c r="TEX917" s="1091"/>
      <c r="TEY917" s="1091"/>
      <c r="TEZ917" s="1091"/>
      <c r="TFA917" s="1091"/>
      <c r="TFB917" s="1091"/>
      <c r="TFC917" s="1091"/>
      <c r="TFD917" s="1091"/>
      <c r="TFE917" s="1091"/>
      <c r="TFF917" s="1091"/>
      <c r="TFG917" s="1091"/>
      <c r="TFH917" s="1091"/>
      <c r="TFI917" s="1091"/>
      <c r="TFJ917" s="1091"/>
      <c r="TFK917" s="1091"/>
      <c r="TFL917" s="1091"/>
      <c r="TFM917" s="1091"/>
      <c r="TFN917" s="1091"/>
      <c r="TFO917" s="1091"/>
      <c r="TFP917" s="1091"/>
      <c r="TFQ917" s="1091"/>
      <c r="TFR917" s="1091"/>
      <c r="TFS917" s="1091"/>
      <c r="TFT917" s="1091"/>
      <c r="TFU917" s="1091"/>
      <c r="TFV917" s="1091"/>
      <c r="TFW917" s="1091"/>
      <c r="TFX917" s="1091"/>
      <c r="TFY917" s="1091"/>
      <c r="TFZ917" s="1091"/>
      <c r="TGA917" s="1091"/>
      <c r="TGB917" s="1091"/>
      <c r="TGC917" s="1091"/>
      <c r="TGD917" s="1091"/>
      <c r="TGE917" s="1091"/>
      <c r="TGF917" s="1091"/>
      <c r="TGG917" s="1091"/>
      <c r="TGH917" s="1091"/>
      <c r="TGI917" s="1091"/>
      <c r="TGJ917" s="1091"/>
      <c r="TGK917" s="1091"/>
      <c r="TGL917" s="1091"/>
      <c r="TGM917" s="1091"/>
      <c r="TGN917" s="1091"/>
      <c r="TGO917" s="1091"/>
      <c r="TGP917" s="1091"/>
      <c r="TGQ917" s="1091"/>
      <c r="TGR917" s="1091"/>
      <c r="TGS917" s="1091"/>
      <c r="TGT917" s="1091"/>
      <c r="TGU917" s="1091"/>
      <c r="TGV917" s="1091"/>
      <c r="TGW917" s="1091"/>
      <c r="TGX917" s="1091"/>
      <c r="TGY917" s="1091"/>
      <c r="TGZ917" s="1091"/>
      <c r="THA917" s="1091"/>
      <c r="THB917" s="1091"/>
      <c r="THC917" s="1091"/>
      <c r="THD917" s="1091"/>
      <c r="THE917" s="1091"/>
      <c r="THF917" s="1091"/>
      <c r="THG917" s="1091"/>
      <c r="THH917" s="1091"/>
      <c r="THI917" s="1091"/>
      <c r="THJ917" s="1091"/>
      <c r="THK917" s="1091"/>
      <c r="THL917" s="1091"/>
      <c r="THM917" s="1091"/>
      <c r="THN917" s="1091"/>
      <c r="THO917" s="1091"/>
      <c r="THP917" s="1091"/>
      <c r="THQ917" s="1091"/>
      <c r="THR917" s="1091"/>
      <c r="THS917" s="1091"/>
      <c r="THT917" s="1091"/>
      <c r="THU917" s="1091"/>
      <c r="THV917" s="1091"/>
      <c r="THW917" s="1091"/>
      <c r="THX917" s="1091"/>
      <c r="THY917" s="1091"/>
      <c r="THZ917" s="1091"/>
      <c r="TIA917" s="1091"/>
      <c r="TIB917" s="1091"/>
      <c r="TIC917" s="1091"/>
      <c r="TID917" s="1091"/>
      <c r="TIE917" s="1091"/>
      <c r="TIF917" s="1091"/>
      <c r="TIG917" s="1091"/>
      <c r="TIH917" s="1091"/>
      <c r="TII917" s="1091"/>
      <c r="TIJ917" s="1091"/>
      <c r="TIK917" s="1091"/>
      <c r="TIL917" s="1091"/>
      <c r="TIM917" s="1091"/>
      <c r="TIN917" s="1091"/>
      <c r="TIO917" s="1091"/>
      <c r="TIP917" s="1091"/>
      <c r="TIQ917" s="1091"/>
      <c r="TIR917" s="1091"/>
      <c r="TIS917" s="1091"/>
      <c r="TIT917" s="1091"/>
      <c r="TIU917" s="1091"/>
      <c r="TIV917" s="1091"/>
      <c r="TIW917" s="1091"/>
      <c r="TIX917" s="1091"/>
      <c r="TIY917" s="1091"/>
      <c r="TIZ917" s="1091"/>
      <c r="TJA917" s="1091"/>
      <c r="TJB917" s="1091"/>
      <c r="TJC917" s="1091"/>
      <c r="TJD917" s="1091"/>
      <c r="TJE917" s="1091"/>
      <c r="TJF917" s="1091"/>
      <c r="TJG917" s="1091"/>
      <c r="TJH917" s="1091"/>
      <c r="TJI917" s="1091"/>
      <c r="TJJ917" s="1091"/>
      <c r="TJK917" s="1091"/>
      <c r="TJL917" s="1091"/>
      <c r="TJM917" s="1091"/>
      <c r="TJN917" s="1091"/>
      <c r="TJO917" s="1091"/>
      <c r="TJP917" s="1091"/>
      <c r="TJQ917" s="1091"/>
      <c r="TJR917" s="1091"/>
      <c r="TJS917" s="1091"/>
      <c r="TJT917" s="1091"/>
      <c r="TJU917" s="1091"/>
      <c r="TJV917" s="1091"/>
      <c r="TJW917" s="1091"/>
      <c r="TJX917" s="1091"/>
      <c r="TJY917" s="1091"/>
      <c r="TJZ917" s="1091"/>
      <c r="TKA917" s="1091"/>
      <c r="TKB917" s="1091"/>
      <c r="TKC917" s="1091"/>
      <c r="TKD917" s="1091"/>
      <c r="TKE917" s="1091"/>
      <c r="TKF917" s="1091"/>
      <c r="TKG917" s="1091"/>
      <c r="TKH917" s="1091"/>
      <c r="TKI917" s="1091"/>
      <c r="TKJ917" s="1091"/>
      <c r="TKK917" s="1091"/>
      <c r="TKL917" s="1091"/>
      <c r="TKM917" s="1091"/>
      <c r="TKN917" s="1091"/>
      <c r="TKO917" s="1091"/>
      <c r="TKP917" s="1091"/>
      <c r="TKQ917" s="1091"/>
      <c r="TKR917" s="1091"/>
      <c r="TKS917" s="1091"/>
      <c r="TKT917" s="1091"/>
      <c r="TKU917" s="1091"/>
      <c r="TKV917" s="1091"/>
      <c r="TKW917" s="1091"/>
      <c r="TKX917" s="1091"/>
      <c r="TKY917" s="1091"/>
      <c r="TKZ917" s="1091"/>
      <c r="TLA917" s="1091"/>
      <c r="TLB917" s="1091"/>
      <c r="TLC917" s="1091"/>
      <c r="TLD917" s="1091"/>
      <c r="TLE917" s="1091"/>
      <c r="TLF917" s="1091"/>
      <c r="TLG917" s="1091"/>
      <c r="TLH917" s="1091"/>
      <c r="TLI917" s="1091"/>
      <c r="TLJ917" s="1091"/>
      <c r="TLK917" s="1091"/>
      <c r="TLL917" s="1091"/>
      <c r="TLM917" s="1091"/>
      <c r="TLN917" s="1091"/>
      <c r="TLO917" s="1091"/>
      <c r="TLP917" s="1091"/>
      <c r="TLQ917" s="1091"/>
      <c r="TLR917" s="1091"/>
      <c r="TLS917" s="1091"/>
      <c r="TLT917" s="1091"/>
      <c r="TLU917" s="1091"/>
      <c r="TLV917" s="1091"/>
      <c r="TLW917" s="1091"/>
      <c r="TLX917" s="1091"/>
      <c r="TLY917" s="1091"/>
      <c r="TLZ917" s="1091"/>
      <c r="TMA917" s="1091"/>
      <c r="TMB917" s="1091"/>
      <c r="TMC917" s="1091"/>
      <c r="TMD917" s="1091"/>
      <c r="TME917" s="1091"/>
      <c r="TMF917" s="1091"/>
      <c r="TMG917" s="1091"/>
      <c r="TMH917" s="1091"/>
      <c r="TMI917" s="1091"/>
      <c r="TMJ917" s="1091"/>
      <c r="TMK917" s="1091"/>
      <c r="TML917" s="1091"/>
      <c r="TMM917" s="1091"/>
      <c r="TMN917" s="1091"/>
      <c r="TMO917" s="1091"/>
      <c r="TMP917" s="1091"/>
      <c r="TMQ917" s="1091"/>
      <c r="TMR917" s="1091"/>
      <c r="TMS917" s="1091"/>
      <c r="TMT917" s="1091"/>
      <c r="TMU917" s="1091"/>
      <c r="TMV917" s="1091"/>
      <c r="TMW917" s="1091"/>
      <c r="TMX917" s="1091"/>
      <c r="TMY917" s="1091"/>
      <c r="TMZ917" s="1091"/>
      <c r="TNA917" s="1091"/>
      <c r="TNB917" s="1091"/>
      <c r="TNC917" s="1091"/>
      <c r="TND917" s="1091"/>
      <c r="TNE917" s="1091"/>
      <c r="TNF917" s="1091"/>
      <c r="TNG917" s="1091"/>
      <c r="TNH917" s="1091"/>
      <c r="TNI917" s="1091"/>
      <c r="TNJ917" s="1091"/>
      <c r="TNK917" s="1091"/>
      <c r="TNL917" s="1091"/>
      <c r="TNM917" s="1091"/>
      <c r="TNN917" s="1091"/>
      <c r="TNO917" s="1091"/>
      <c r="TNP917" s="1091"/>
      <c r="TNQ917" s="1091"/>
      <c r="TNR917" s="1091"/>
      <c r="TNS917" s="1091"/>
      <c r="TNT917" s="1091"/>
      <c r="TNU917" s="1091"/>
      <c r="TNV917" s="1091"/>
      <c r="TNW917" s="1091"/>
      <c r="TNX917" s="1091"/>
      <c r="TNY917" s="1091"/>
      <c r="TNZ917" s="1091"/>
      <c r="TOA917" s="1091"/>
      <c r="TOB917" s="1091"/>
      <c r="TOC917" s="1091"/>
      <c r="TOD917" s="1091"/>
      <c r="TOE917" s="1091"/>
      <c r="TOF917" s="1091"/>
      <c r="TOG917" s="1091"/>
      <c r="TOH917" s="1091"/>
      <c r="TOI917" s="1091"/>
      <c r="TOJ917" s="1091"/>
      <c r="TOK917" s="1091"/>
      <c r="TOL917" s="1091"/>
      <c r="TOM917" s="1091"/>
      <c r="TON917" s="1091"/>
      <c r="TOO917" s="1091"/>
      <c r="TOP917" s="1091"/>
      <c r="TOQ917" s="1091"/>
      <c r="TOR917" s="1091"/>
      <c r="TOS917" s="1091"/>
      <c r="TOT917" s="1091"/>
      <c r="TOU917" s="1091"/>
      <c r="TOV917" s="1091"/>
      <c r="TOW917" s="1091"/>
      <c r="TOX917" s="1091"/>
      <c r="TOY917" s="1091"/>
      <c r="TOZ917" s="1091"/>
      <c r="TPA917" s="1091"/>
      <c r="TPB917" s="1091"/>
      <c r="TPC917" s="1091"/>
      <c r="TPD917" s="1091"/>
      <c r="TPE917" s="1091"/>
      <c r="TPF917" s="1091"/>
      <c r="TPG917" s="1091"/>
      <c r="TPH917" s="1091"/>
      <c r="TPI917" s="1091"/>
      <c r="TPJ917" s="1091"/>
      <c r="TPK917" s="1091"/>
      <c r="TPL917" s="1091"/>
      <c r="TPM917" s="1091"/>
      <c r="TPN917" s="1091"/>
      <c r="TPO917" s="1091"/>
      <c r="TPP917" s="1091"/>
      <c r="TPQ917" s="1091"/>
      <c r="TPR917" s="1091"/>
      <c r="TPS917" s="1091"/>
      <c r="TPT917" s="1091"/>
      <c r="TPU917" s="1091"/>
      <c r="TPV917" s="1091"/>
      <c r="TPW917" s="1091"/>
      <c r="TPX917" s="1091"/>
      <c r="TPY917" s="1091"/>
      <c r="TPZ917" s="1091"/>
      <c r="TQA917" s="1091"/>
      <c r="TQB917" s="1091"/>
      <c r="TQC917" s="1091"/>
      <c r="TQD917" s="1091"/>
      <c r="TQE917" s="1091"/>
      <c r="TQF917" s="1091"/>
      <c r="TQG917" s="1091"/>
      <c r="TQH917" s="1091"/>
      <c r="TQI917" s="1091"/>
      <c r="TQJ917" s="1091"/>
      <c r="TQK917" s="1091"/>
      <c r="TQL917" s="1091"/>
      <c r="TQM917" s="1091"/>
      <c r="TQN917" s="1091"/>
      <c r="TQO917" s="1091"/>
      <c r="TQP917" s="1091"/>
      <c r="TQQ917" s="1091"/>
      <c r="TQR917" s="1091"/>
      <c r="TQS917" s="1091"/>
      <c r="TQT917" s="1091"/>
      <c r="TQU917" s="1091"/>
      <c r="TQV917" s="1091"/>
      <c r="TQW917" s="1091"/>
      <c r="TQX917" s="1091"/>
      <c r="TQY917" s="1091"/>
      <c r="TQZ917" s="1091"/>
      <c r="TRA917" s="1091"/>
      <c r="TRB917" s="1091"/>
      <c r="TRC917" s="1091"/>
      <c r="TRD917" s="1091"/>
      <c r="TRE917" s="1091"/>
      <c r="TRF917" s="1091"/>
      <c r="TRG917" s="1091"/>
      <c r="TRH917" s="1091"/>
      <c r="TRI917" s="1091"/>
      <c r="TRJ917" s="1091"/>
      <c r="TRK917" s="1091"/>
      <c r="TRL917" s="1091"/>
      <c r="TRM917" s="1091"/>
      <c r="TRN917" s="1091"/>
      <c r="TRO917" s="1091"/>
      <c r="TRP917" s="1091"/>
      <c r="TRQ917" s="1091"/>
      <c r="TRR917" s="1091"/>
      <c r="TRS917" s="1091"/>
      <c r="TRT917" s="1091"/>
      <c r="TRU917" s="1091"/>
      <c r="TRV917" s="1091"/>
      <c r="TRW917" s="1091"/>
      <c r="TRX917" s="1091"/>
      <c r="TRY917" s="1091"/>
      <c r="TRZ917" s="1091"/>
      <c r="TSA917" s="1091"/>
      <c r="TSB917" s="1091"/>
      <c r="TSC917" s="1091"/>
      <c r="TSD917" s="1091"/>
      <c r="TSE917" s="1091"/>
      <c r="TSF917" s="1091"/>
      <c r="TSG917" s="1091"/>
      <c r="TSH917" s="1091"/>
      <c r="TSI917" s="1091"/>
      <c r="TSJ917" s="1091"/>
      <c r="TSK917" s="1091"/>
      <c r="TSL917" s="1091"/>
      <c r="TSM917" s="1091"/>
      <c r="TSN917" s="1091"/>
      <c r="TSO917" s="1091"/>
      <c r="TSP917" s="1091"/>
      <c r="TSQ917" s="1091"/>
      <c r="TSR917" s="1091"/>
      <c r="TSS917" s="1091"/>
      <c r="TST917" s="1091"/>
      <c r="TSU917" s="1091"/>
      <c r="TSV917" s="1091"/>
      <c r="TSW917" s="1091"/>
      <c r="TSX917" s="1091"/>
      <c r="TSY917" s="1091"/>
      <c r="TSZ917" s="1091"/>
      <c r="TTA917" s="1091"/>
      <c r="TTB917" s="1091"/>
      <c r="TTC917" s="1091"/>
      <c r="TTD917" s="1091"/>
      <c r="TTE917" s="1091"/>
      <c r="TTF917" s="1091"/>
      <c r="TTG917" s="1091"/>
      <c r="TTH917" s="1091"/>
      <c r="TTI917" s="1091"/>
      <c r="TTJ917" s="1091"/>
      <c r="TTK917" s="1091"/>
      <c r="TTL917" s="1091"/>
      <c r="TTM917" s="1091"/>
      <c r="TTN917" s="1091"/>
      <c r="TTO917" s="1091"/>
      <c r="TTP917" s="1091"/>
      <c r="TTQ917" s="1091"/>
      <c r="TTR917" s="1091"/>
      <c r="TTS917" s="1091"/>
      <c r="TTT917" s="1091"/>
      <c r="TTU917" s="1091"/>
      <c r="TTV917" s="1091"/>
      <c r="TTW917" s="1091"/>
      <c r="TTX917" s="1091"/>
      <c r="TTY917" s="1091"/>
      <c r="TTZ917" s="1091"/>
      <c r="TUA917" s="1091"/>
      <c r="TUB917" s="1091"/>
      <c r="TUC917" s="1091"/>
      <c r="TUD917" s="1091"/>
      <c r="TUE917" s="1091"/>
      <c r="TUF917" s="1091"/>
      <c r="TUG917" s="1091"/>
      <c r="TUH917" s="1091"/>
      <c r="TUI917" s="1091"/>
      <c r="TUJ917" s="1091"/>
      <c r="TUK917" s="1091"/>
      <c r="TUL917" s="1091"/>
      <c r="TUM917" s="1091"/>
      <c r="TUN917" s="1091"/>
      <c r="TUO917" s="1091"/>
      <c r="TUP917" s="1091"/>
      <c r="TUQ917" s="1091"/>
      <c r="TUR917" s="1091"/>
      <c r="TUS917" s="1091"/>
      <c r="TUT917" s="1091"/>
      <c r="TUU917" s="1091"/>
      <c r="TUV917" s="1091"/>
      <c r="TUW917" s="1091"/>
      <c r="TUX917" s="1091"/>
      <c r="TUY917" s="1091"/>
      <c r="TUZ917" s="1091"/>
      <c r="TVA917" s="1091"/>
      <c r="TVB917" s="1091"/>
      <c r="TVC917" s="1091"/>
      <c r="TVD917" s="1091"/>
      <c r="TVE917" s="1091"/>
      <c r="TVF917" s="1091"/>
      <c r="TVG917" s="1091"/>
      <c r="TVH917" s="1091"/>
      <c r="TVI917" s="1091"/>
      <c r="TVJ917" s="1091"/>
      <c r="TVK917" s="1091"/>
      <c r="TVL917" s="1091"/>
      <c r="TVM917" s="1091"/>
      <c r="TVN917" s="1091"/>
      <c r="TVO917" s="1091"/>
      <c r="TVP917" s="1091"/>
      <c r="TVQ917" s="1091"/>
      <c r="TVR917" s="1091"/>
      <c r="TVS917" s="1091"/>
      <c r="TVT917" s="1091"/>
      <c r="TVU917" s="1091"/>
      <c r="TVV917" s="1091"/>
      <c r="TVW917" s="1091"/>
      <c r="TVX917" s="1091"/>
      <c r="TVY917" s="1091"/>
      <c r="TVZ917" s="1091"/>
      <c r="TWA917" s="1091"/>
      <c r="TWB917" s="1091"/>
      <c r="TWC917" s="1091"/>
      <c r="TWD917" s="1091"/>
      <c r="TWE917" s="1091"/>
      <c r="TWF917" s="1091"/>
      <c r="TWG917" s="1091"/>
      <c r="TWH917" s="1091"/>
      <c r="TWI917" s="1091"/>
      <c r="TWJ917" s="1091"/>
      <c r="TWK917" s="1091"/>
      <c r="TWL917" s="1091"/>
      <c r="TWM917" s="1091"/>
      <c r="TWN917" s="1091"/>
      <c r="TWO917" s="1091"/>
      <c r="TWP917" s="1091"/>
      <c r="TWQ917" s="1091"/>
      <c r="TWR917" s="1091"/>
      <c r="TWS917" s="1091"/>
      <c r="TWT917" s="1091"/>
      <c r="TWU917" s="1091"/>
      <c r="TWV917" s="1091"/>
      <c r="TWW917" s="1091"/>
      <c r="TWX917" s="1091"/>
      <c r="TWY917" s="1091"/>
      <c r="TWZ917" s="1091"/>
      <c r="TXA917" s="1091"/>
      <c r="TXB917" s="1091"/>
      <c r="TXC917" s="1091"/>
      <c r="TXD917" s="1091"/>
      <c r="TXE917" s="1091"/>
      <c r="TXF917" s="1091"/>
      <c r="TXG917" s="1091"/>
      <c r="TXH917" s="1091"/>
      <c r="TXI917" s="1091"/>
      <c r="TXJ917" s="1091"/>
      <c r="TXK917" s="1091"/>
      <c r="TXL917" s="1091"/>
      <c r="TXM917" s="1091"/>
      <c r="TXN917" s="1091"/>
      <c r="TXO917" s="1091"/>
      <c r="TXP917" s="1091"/>
      <c r="TXQ917" s="1091"/>
      <c r="TXR917" s="1091"/>
      <c r="TXS917" s="1091"/>
      <c r="TXT917" s="1091"/>
      <c r="TXU917" s="1091"/>
      <c r="TXV917" s="1091"/>
      <c r="TXW917" s="1091"/>
      <c r="TXX917" s="1091"/>
      <c r="TXY917" s="1091"/>
      <c r="TXZ917" s="1091"/>
      <c r="TYA917" s="1091"/>
      <c r="TYB917" s="1091"/>
      <c r="TYC917" s="1091"/>
      <c r="TYD917" s="1091"/>
      <c r="TYE917" s="1091"/>
      <c r="TYF917" s="1091"/>
      <c r="TYG917" s="1091"/>
      <c r="TYH917" s="1091"/>
      <c r="TYI917" s="1091"/>
      <c r="TYJ917" s="1091"/>
      <c r="TYK917" s="1091"/>
      <c r="TYL917" s="1091"/>
      <c r="TYM917" s="1091"/>
      <c r="TYN917" s="1091"/>
      <c r="TYO917" s="1091"/>
      <c r="TYP917" s="1091"/>
      <c r="TYQ917" s="1091"/>
      <c r="TYR917" s="1091"/>
      <c r="TYS917" s="1091"/>
      <c r="TYT917" s="1091"/>
      <c r="TYU917" s="1091"/>
      <c r="TYV917" s="1091"/>
      <c r="TYW917" s="1091"/>
      <c r="TYX917" s="1091"/>
      <c r="TYY917" s="1091"/>
      <c r="TYZ917" s="1091"/>
      <c r="TZA917" s="1091"/>
      <c r="TZB917" s="1091"/>
      <c r="TZC917" s="1091"/>
      <c r="TZD917" s="1091"/>
      <c r="TZE917" s="1091"/>
      <c r="TZF917" s="1091"/>
      <c r="TZG917" s="1091"/>
      <c r="TZH917" s="1091"/>
      <c r="TZI917" s="1091"/>
      <c r="TZJ917" s="1091"/>
      <c r="TZK917" s="1091"/>
      <c r="TZL917" s="1091"/>
      <c r="TZM917" s="1091"/>
      <c r="TZN917" s="1091"/>
      <c r="TZO917" s="1091"/>
      <c r="TZP917" s="1091"/>
      <c r="TZQ917" s="1091"/>
      <c r="TZR917" s="1091"/>
      <c r="TZS917" s="1091"/>
      <c r="TZT917" s="1091"/>
      <c r="TZU917" s="1091"/>
      <c r="TZV917" s="1091"/>
      <c r="TZW917" s="1091"/>
      <c r="TZX917" s="1091"/>
      <c r="TZY917" s="1091"/>
      <c r="TZZ917" s="1091"/>
      <c r="UAA917" s="1091"/>
      <c r="UAB917" s="1091"/>
      <c r="UAC917" s="1091"/>
      <c r="UAD917" s="1091"/>
      <c r="UAE917" s="1091"/>
      <c r="UAF917" s="1091"/>
      <c r="UAG917" s="1091"/>
      <c r="UAH917" s="1091"/>
      <c r="UAI917" s="1091"/>
      <c r="UAJ917" s="1091"/>
      <c r="UAK917" s="1091"/>
      <c r="UAL917" s="1091"/>
      <c r="UAM917" s="1091"/>
      <c r="UAN917" s="1091"/>
      <c r="UAO917" s="1091"/>
      <c r="UAP917" s="1091"/>
      <c r="UAQ917" s="1091"/>
      <c r="UAR917" s="1091"/>
      <c r="UAS917" s="1091"/>
      <c r="UAT917" s="1091"/>
      <c r="UAU917" s="1091"/>
      <c r="UAV917" s="1091"/>
      <c r="UAW917" s="1091"/>
      <c r="UAX917" s="1091"/>
      <c r="UAY917" s="1091"/>
      <c r="UAZ917" s="1091"/>
      <c r="UBA917" s="1091"/>
      <c r="UBB917" s="1091"/>
      <c r="UBC917" s="1091"/>
      <c r="UBD917" s="1091"/>
      <c r="UBE917" s="1091"/>
      <c r="UBF917" s="1091"/>
      <c r="UBG917" s="1091"/>
      <c r="UBH917" s="1091"/>
      <c r="UBI917" s="1091"/>
      <c r="UBJ917" s="1091"/>
      <c r="UBK917" s="1091"/>
      <c r="UBL917" s="1091"/>
      <c r="UBM917" s="1091"/>
      <c r="UBN917" s="1091"/>
      <c r="UBO917" s="1091"/>
      <c r="UBP917" s="1091"/>
      <c r="UBQ917" s="1091"/>
      <c r="UBR917" s="1091"/>
      <c r="UBS917" s="1091"/>
      <c r="UBT917" s="1091"/>
      <c r="UBU917" s="1091"/>
      <c r="UBV917" s="1091"/>
      <c r="UBW917" s="1091"/>
      <c r="UBX917" s="1091"/>
      <c r="UBY917" s="1091"/>
      <c r="UBZ917" s="1091"/>
      <c r="UCA917" s="1091"/>
      <c r="UCB917" s="1091"/>
      <c r="UCC917" s="1091"/>
      <c r="UCD917" s="1091"/>
      <c r="UCE917" s="1091"/>
      <c r="UCF917" s="1091"/>
      <c r="UCG917" s="1091"/>
      <c r="UCH917" s="1091"/>
      <c r="UCI917" s="1091"/>
      <c r="UCJ917" s="1091"/>
      <c r="UCK917" s="1091"/>
      <c r="UCL917" s="1091"/>
      <c r="UCM917" s="1091"/>
      <c r="UCN917" s="1091"/>
      <c r="UCO917" s="1091"/>
      <c r="UCP917" s="1091"/>
      <c r="UCQ917" s="1091"/>
      <c r="UCR917" s="1091"/>
      <c r="UCS917" s="1091"/>
      <c r="UCT917" s="1091"/>
      <c r="UCU917" s="1091"/>
      <c r="UCV917" s="1091"/>
      <c r="UCW917" s="1091"/>
      <c r="UCX917" s="1091"/>
      <c r="UCY917" s="1091"/>
      <c r="UCZ917" s="1091"/>
      <c r="UDA917" s="1091"/>
      <c r="UDB917" s="1091"/>
      <c r="UDC917" s="1091"/>
      <c r="UDD917" s="1091"/>
      <c r="UDE917" s="1091"/>
      <c r="UDF917" s="1091"/>
      <c r="UDG917" s="1091"/>
      <c r="UDH917" s="1091"/>
      <c r="UDI917" s="1091"/>
      <c r="UDJ917" s="1091"/>
      <c r="UDK917" s="1091"/>
      <c r="UDL917" s="1091"/>
      <c r="UDM917" s="1091"/>
      <c r="UDN917" s="1091"/>
      <c r="UDO917" s="1091"/>
      <c r="UDP917" s="1091"/>
      <c r="UDQ917" s="1091"/>
      <c r="UDR917" s="1091"/>
      <c r="UDS917" s="1091"/>
      <c r="UDT917" s="1091"/>
      <c r="UDU917" s="1091"/>
      <c r="UDV917" s="1091"/>
      <c r="UDW917" s="1091"/>
      <c r="UDX917" s="1091"/>
      <c r="UDY917" s="1091"/>
      <c r="UDZ917" s="1091"/>
      <c r="UEA917" s="1091"/>
      <c r="UEB917" s="1091"/>
      <c r="UEC917" s="1091"/>
      <c r="UED917" s="1091"/>
      <c r="UEE917" s="1091"/>
      <c r="UEF917" s="1091"/>
      <c r="UEG917" s="1091"/>
      <c r="UEH917" s="1091"/>
      <c r="UEI917" s="1091"/>
      <c r="UEJ917" s="1091"/>
      <c r="UEK917" s="1091"/>
      <c r="UEL917" s="1091"/>
      <c r="UEM917" s="1091"/>
      <c r="UEN917" s="1091"/>
      <c r="UEO917" s="1091"/>
      <c r="UEP917" s="1091"/>
      <c r="UEQ917" s="1091"/>
      <c r="UER917" s="1091"/>
      <c r="UES917" s="1091"/>
      <c r="UET917" s="1091"/>
      <c r="UEU917" s="1091"/>
      <c r="UEV917" s="1091"/>
      <c r="UEW917" s="1091"/>
      <c r="UEX917" s="1091"/>
      <c r="UEY917" s="1091"/>
      <c r="UEZ917" s="1091"/>
      <c r="UFA917" s="1091"/>
      <c r="UFB917" s="1091"/>
      <c r="UFC917" s="1091"/>
      <c r="UFD917" s="1091"/>
      <c r="UFE917" s="1091"/>
      <c r="UFF917" s="1091"/>
      <c r="UFG917" s="1091"/>
      <c r="UFH917" s="1091"/>
      <c r="UFI917" s="1091"/>
      <c r="UFJ917" s="1091"/>
      <c r="UFK917" s="1091"/>
      <c r="UFL917" s="1091"/>
      <c r="UFM917" s="1091"/>
      <c r="UFN917" s="1091"/>
      <c r="UFO917" s="1091"/>
      <c r="UFP917" s="1091"/>
      <c r="UFQ917" s="1091"/>
      <c r="UFR917" s="1091"/>
      <c r="UFS917" s="1091"/>
      <c r="UFT917" s="1091"/>
      <c r="UFU917" s="1091"/>
      <c r="UFV917" s="1091"/>
      <c r="UFW917" s="1091"/>
      <c r="UFX917" s="1091"/>
      <c r="UFY917" s="1091"/>
      <c r="UFZ917" s="1091"/>
      <c r="UGA917" s="1091"/>
      <c r="UGB917" s="1091"/>
      <c r="UGC917" s="1091"/>
      <c r="UGD917" s="1091"/>
      <c r="UGE917" s="1091"/>
      <c r="UGF917" s="1091"/>
      <c r="UGG917" s="1091"/>
      <c r="UGH917" s="1091"/>
      <c r="UGI917" s="1091"/>
      <c r="UGJ917" s="1091"/>
      <c r="UGK917" s="1091"/>
      <c r="UGL917" s="1091"/>
      <c r="UGM917" s="1091"/>
      <c r="UGN917" s="1091"/>
      <c r="UGO917" s="1091"/>
      <c r="UGP917" s="1091"/>
      <c r="UGQ917" s="1091"/>
      <c r="UGR917" s="1091"/>
      <c r="UGS917" s="1091"/>
      <c r="UGT917" s="1091"/>
      <c r="UGU917" s="1091"/>
      <c r="UGV917" s="1091"/>
      <c r="UGW917" s="1091"/>
      <c r="UGX917" s="1091"/>
      <c r="UGY917" s="1091"/>
      <c r="UGZ917" s="1091"/>
      <c r="UHA917" s="1091"/>
      <c r="UHB917" s="1091"/>
      <c r="UHC917" s="1091"/>
      <c r="UHD917" s="1091"/>
      <c r="UHE917" s="1091"/>
      <c r="UHF917" s="1091"/>
      <c r="UHG917" s="1091"/>
      <c r="UHH917" s="1091"/>
      <c r="UHI917" s="1091"/>
      <c r="UHJ917" s="1091"/>
      <c r="UHK917" s="1091"/>
      <c r="UHL917" s="1091"/>
      <c r="UHM917" s="1091"/>
      <c r="UHN917" s="1091"/>
      <c r="UHO917" s="1091"/>
      <c r="UHP917" s="1091"/>
      <c r="UHQ917" s="1091"/>
      <c r="UHR917" s="1091"/>
      <c r="UHS917" s="1091"/>
      <c r="UHT917" s="1091"/>
      <c r="UHU917" s="1091"/>
      <c r="UHV917" s="1091"/>
      <c r="UHW917" s="1091"/>
      <c r="UHX917" s="1091"/>
      <c r="UHY917" s="1091"/>
      <c r="UHZ917" s="1091"/>
      <c r="UIA917" s="1091"/>
      <c r="UIB917" s="1091"/>
      <c r="UIC917" s="1091"/>
      <c r="UID917" s="1091"/>
      <c r="UIE917" s="1091"/>
      <c r="UIF917" s="1091"/>
      <c r="UIG917" s="1091"/>
      <c r="UIH917" s="1091"/>
      <c r="UII917" s="1091"/>
      <c r="UIJ917" s="1091"/>
      <c r="UIK917" s="1091"/>
      <c r="UIL917" s="1091"/>
      <c r="UIM917" s="1091"/>
      <c r="UIN917" s="1091"/>
      <c r="UIO917" s="1091"/>
      <c r="UIP917" s="1091"/>
      <c r="UIQ917" s="1091"/>
      <c r="UIR917" s="1091"/>
      <c r="UIS917" s="1091"/>
      <c r="UIT917" s="1091"/>
      <c r="UIU917" s="1091"/>
      <c r="UIV917" s="1091"/>
      <c r="UIW917" s="1091"/>
      <c r="UIX917" s="1091"/>
      <c r="UIY917" s="1091"/>
      <c r="UIZ917" s="1091"/>
      <c r="UJA917" s="1091"/>
      <c r="UJB917" s="1091"/>
      <c r="UJC917" s="1091"/>
      <c r="UJD917" s="1091"/>
      <c r="UJE917" s="1091"/>
      <c r="UJF917" s="1091"/>
      <c r="UJG917" s="1091"/>
      <c r="UJH917" s="1091"/>
      <c r="UJI917" s="1091"/>
      <c r="UJJ917" s="1091"/>
      <c r="UJK917" s="1091"/>
      <c r="UJL917" s="1091"/>
      <c r="UJM917" s="1091"/>
      <c r="UJN917" s="1091"/>
      <c r="UJO917" s="1091"/>
      <c r="UJP917" s="1091"/>
      <c r="UJQ917" s="1091"/>
      <c r="UJR917" s="1091"/>
      <c r="UJS917" s="1091"/>
      <c r="UJT917" s="1091"/>
      <c r="UJU917" s="1091"/>
      <c r="UJV917" s="1091"/>
      <c r="UJW917" s="1091"/>
      <c r="UJX917" s="1091"/>
      <c r="UJY917" s="1091"/>
      <c r="UJZ917" s="1091"/>
      <c r="UKA917" s="1091"/>
      <c r="UKB917" s="1091"/>
      <c r="UKC917" s="1091"/>
      <c r="UKD917" s="1091"/>
      <c r="UKE917" s="1091"/>
      <c r="UKF917" s="1091"/>
      <c r="UKG917" s="1091"/>
      <c r="UKH917" s="1091"/>
      <c r="UKI917" s="1091"/>
      <c r="UKJ917" s="1091"/>
      <c r="UKK917" s="1091"/>
      <c r="UKL917" s="1091"/>
      <c r="UKM917" s="1091"/>
      <c r="UKN917" s="1091"/>
      <c r="UKO917" s="1091"/>
      <c r="UKP917" s="1091"/>
      <c r="UKQ917" s="1091"/>
      <c r="UKR917" s="1091"/>
      <c r="UKS917" s="1091"/>
      <c r="UKT917" s="1091"/>
      <c r="UKU917" s="1091"/>
      <c r="UKV917" s="1091"/>
      <c r="UKW917" s="1091"/>
      <c r="UKX917" s="1091"/>
      <c r="UKY917" s="1091"/>
      <c r="UKZ917" s="1091"/>
      <c r="ULA917" s="1091"/>
      <c r="ULB917" s="1091"/>
      <c r="ULC917" s="1091"/>
      <c r="ULD917" s="1091"/>
      <c r="ULE917" s="1091"/>
      <c r="ULF917" s="1091"/>
      <c r="ULG917" s="1091"/>
      <c r="ULH917" s="1091"/>
      <c r="ULI917" s="1091"/>
      <c r="ULJ917" s="1091"/>
      <c r="ULK917" s="1091"/>
      <c r="ULL917" s="1091"/>
      <c r="ULM917" s="1091"/>
      <c r="ULN917" s="1091"/>
      <c r="ULO917" s="1091"/>
      <c r="ULP917" s="1091"/>
      <c r="ULQ917" s="1091"/>
      <c r="ULR917" s="1091"/>
      <c r="ULS917" s="1091"/>
      <c r="ULT917" s="1091"/>
      <c r="ULU917" s="1091"/>
      <c r="ULV917" s="1091"/>
      <c r="ULW917" s="1091"/>
      <c r="ULX917" s="1091"/>
      <c r="ULY917" s="1091"/>
      <c r="ULZ917" s="1091"/>
      <c r="UMA917" s="1091"/>
      <c r="UMB917" s="1091"/>
      <c r="UMC917" s="1091"/>
      <c r="UMD917" s="1091"/>
      <c r="UME917" s="1091"/>
      <c r="UMF917" s="1091"/>
      <c r="UMG917" s="1091"/>
      <c r="UMH917" s="1091"/>
      <c r="UMI917" s="1091"/>
      <c r="UMJ917" s="1091"/>
      <c r="UMK917" s="1091"/>
      <c r="UML917" s="1091"/>
      <c r="UMM917" s="1091"/>
      <c r="UMN917" s="1091"/>
      <c r="UMO917" s="1091"/>
      <c r="UMP917" s="1091"/>
      <c r="UMQ917" s="1091"/>
      <c r="UMR917" s="1091"/>
      <c r="UMS917" s="1091"/>
      <c r="UMT917" s="1091"/>
      <c r="UMU917" s="1091"/>
      <c r="UMV917" s="1091"/>
      <c r="UMW917" s="1091"/>
      <c r="UMX917" s="1091"/>
      <c r="UMY917" s="1091"/>
      <c r="UMZ917" s="1091"/>
      <c r="UNA917" s="1091"/>
      <c r="UNB917" s="1091"/>
      <c r="UNC917" s="1091"/>
      <c r="UND917" s="1091"/>
      <c r="UNE917" s="1091"/>
      <c r="UNF917" s="1091"/>
      <c r="UNG917" s="1091"/>
      <c r="UNH917" s="1091"/>
      <c r="UNI917" s="1091"/>
      <c r="UNJ917" s="1091"/>
      <c r="UNK917" s="1091"/>
      <c r="UNL917" s="1091"/>
      <c r="UNM917" s="1091"/>
      <c r="UNN917" s="1091"/>
      <c r="UNO917" s="1091"/>
      <c r="UNP917" s="1091"/>
      <c r="UNQ917" s="1091"/>
      <c r="UNR917" s="1091"/>
      <c r="UNS917" s="1091"/>
      <c r="UNT917" s="1091"/>
      <c r="UNU917" s="1091"/>
      <c r="UNV917" s="1091"/>
      <c r="UNW917" s="1091"/>
      <c r="UNX917" s="1091"/>
      <c r="UNY917" s="1091"/>
      <c r="UNZ917" s="1091"/>
      <c r="UOA917" s="1091"/>
      <c r="UOB917" s="1091"/>
      <c r="UOC917" s="1091"/>
      <c r="UOD917" s="1091"/>
      <c r="UOE917" s="1091"/>
      <c r="UOF917" s="1091"/>
      <c r="UOG917" s="1091"/>
      <c r="UOH917" s="1091"/>
      <c r="UOI917" s="1091"/>
      <c r="UOJ917" s="1091"/>
      <c r="UOK917" s="1091"/>
      <c r="UOL917" s="1091"/>
      <c r="UOM917" s="1091"/>
      <c r="UON917" s="1091"/>
      <c r="UOO917" s="1091"/>
      <c r="UOP917" s="1091"/>
      <c r="UOQ917" s="1091"/>
      <c r="UOR917" s="1091"/>
      <c r="UOS917" s="1091"/>
      <c r="UOT917" s="1091"/>
      <c r="UOU917" s="1091"/>
      <c r="UOV917" s="1091"/>
      <c r="UOW917" s="1091"/>
      <c r="UOX917" s="1091"/>
      <c r="UOY917" s="1091"/>
      <c r="UOZ917" s="1091"/>
      <c r="UPA917" s="1091"/>
      <c r="UPB917" s="1091"/>
      <c r="UPC917" s="1091"/>
      <c r="UPD917" s="1091"/>
      <c r="UPE917" s="1091"/>
      <c r="UPF917" s="1091"/>
      <c r="UPG917" s="1091"/>
      <c r="UPH917" s="1091"/>
      <c r="UPI917" s="1091"/>
      <c r="UPJ917" s="1091"/>
      <c r="UPK917" s="1091"/>
      <c r="UPL917" s="1091"/>
      <c r="UPM917" s="1091"/>
      <c r="UPN917" s="1091"/>
      <c r="UPO917" s="1091"/>
      <c r="UPP917" s="1091"/>
      <c r="UPQ917" s="1091"/>
      <c r="UPR917" s="1091"/>
      <c r="UPS917" s="1091"/>
      <c r="UPT917" s="1091"/>
      <c r="UPU917" s="1091"/>
      <c r="UPV917" s="1091"/>
      <c r="UPW917" s="1091"/>
      <c r="UPX917" s="1091"/>
      <c r="UPY917" s="1091"/>
      <c r="UPZ917" s="1091"/>
      <c r="UQA917" s="1091"/>
      <c r="UQB917" s="1091"/>
      <c r="UQC917" s="1091"/>
      <c r="UQD917" s="1091"/>
      <c r="UQE917" s="1091"/>
      <c r="UQF917" s="1091"/>
      <c r="UQG917" s="1091"/>
      <c r="UQH917" s="1091"/>
      <c r="UQI917" s="1091"/>
      <c r="UQJ917" s="1091"/>
      <c r="UQK917" s="1091"/>
      <c r="UQL917" s="1091"/>
      <c r="UQM917" s="1091"/>
      <c r="UQN917" s="1091"/>
      <c r="UQO917" s="1091"/>
      <c r="UQP917" s="1091"/>
      <c r="UQQ917" s="1091"/>
      <c r="UQR917" s="1091"/>
      <c r="UQS917" s="1091"/>
      <c r="UQT917" s="1091"/>
      <c r="UQU917" s="1091"/>
      <c r="UQV917" s="1091"/>
      <c r="UQW917" s="1091"/>
      <c r="UQX917" s="1091"/>
      <c r="UQY917" s="1091"/>
      <c r="UQZ917" s="1091"/>
      <c r="URA917" s="1091"/>
      <c r="URB917" s="1091"/>
      <c r="URC917" s="1091"/>
      <c r="URD917" s="1091"/>
      <c r="URE917" s="1091"/>
      <c r="URF917" s="1091"/>
      <c r="URG917" s="1091"/>
      <c r="URH917" s="1091"/>
      <c r="URI917" s="1091"/>
      <c r="URJ917" s="1091"/>
      <c r="URK917" s="1091"/>
      <c r="URL917" s="1091"/>
      <c r="URM917" s="1091"/>
      <c r="URN917" s="1091"/>
      <c r="URO917" s="1091"/>
      <c r="URP917" s="1091"/>
      <c r="URQ917" s="1091"/>
      <c r="URR917" s="1091"/>
      <c r="URS917" s="1091"/>
      <c r="URT917" s="1091"/>
      <c r="URU917" s="1091"/>
      <c r="URV917" s="1091"/>
      <c r="URW917" s="1091"/>
      <c r="URX917" s="1091"/>
      <c r="URY917" s="1091"/>
      <c r="URZ917" s="1091"/>
      <c r="USA917" s="1091"/>
      <c r="USB917" s="1091"/>
      <c r="USC917" s="1091"/>
      <c r="USD917" s="1091"/>
      <c r="USE917" s="1091"/>
      <c r="USF917" s="1091"/>
      <c r="USG917" s="1091"/>
      <c r="USH917" s="1091"/>
      <c r="USI917" s="1091"/>
      <c r="USJ917" s="1091"/>
      <c r="USK917" s="1091"/>
      <c r="USL917" s="1091"/>
      <c r="USM917" s="1091"/>
      <c r="USN917" s="1091"/>
      <c r="USO917" s="1091"/>
      <c r="USP917" s="1091"/>
      <c r="USQ917" s="1091"/>
      <c r="USR917" s="1091"/>
      <c r="USS917" s="1091"/>
      <c r="UST917" s="1091"/>
      <c r="USU917" s="1091"/>
      <c r="USV917" s="1091"/>
      <c r="USW917" s="1091"/>
      <c r="USX917" s="1091"/>
      <c r="USY917" s="1091"/>
      <c r="USZ917" s="1091"/>
      <c r="UTA917" s="1091"/>
      <c r="UTB917" s="1091"/>
      <c r="UTC917" s="1091"/>
      <c r="UTD917" s="1091"/>
      <c r="UTE917" s="1091"/>
      <c r="UTF917" s="1091"/>
      <c r="UTG917" s="1091"/>
      <c r="UTH917" s="1091"/>
      <c r="UTI917" s="1091"/>
      <c r="UTJ917" s="1091"/>
      <c r="UTK917" s="1091"/>
      <c r="UTL917" s="1091"/>
      <c r="UTM917" s="1091"/>
      <c r="UTN917" s="1091"/>
      <c r="UTO917" s="1091"/>
      <c r="UTP917" s="1091"/>
      <c r="UTQ917" s="1091"/>
      <c r="UTR917" s="1091"/>
      <c r="UTS917" s="1091"/>
      <c r="UTT917" s="1091"/>
      <c r="UTU917" s="1091"/>
      <c r="UTV917" s="1091"/>
      <c r="UTW917" s="1091"/>
      <c r="UTX917" s="1091"/>
      <c r="UTY917" s="1091"/>
      <c r="UTZ917" s="1091"/>
      <c r="UUA917" s="1091"/>
      <c r="UUB917" s="1091"/>
      <c r="UUC917" s="1091"/>
      <c r="UUD917" s="1091"/>
      <c r="UUE917" s="1091"/>
      <c r="UUF917" s="1091"/>
      <c r="UUG917" s="1091"/>
      <c r="UUH917" s="1091"/>
      <c r="UUI917" s="1091"/>
      <c r="UUJ917" s="1091"/>
      <c r="UUK917" s="1091"/>
      <c r="UUL917" s="1091"/>
      <c r="UUM917" s="1091"/>
      <c r="UUN917" s="1091"/>
      <c r="UUO917" s="1091"/>
      <c r="UUP917" s="1091"/>
      <c r="UUQ917" s="1091"/>
      <c r="UUR917" s="1091"/>
      <c r="UUS917" s="1091"/>
      <c r="UUT917" s="1091"/>
      <c r="UUU917" s="1091"/>
      <c r="UUV917" s="1091"/>
      <c r="UUW917" s="1091"/>
      <c r="UUX917" s="1091"/>
      <c r="UUY917" s="1091"/>
      <c r="UUZ917" s="1091"/>
      <c r="UVA917" s="1091"/>
      <c r="UVB917" s="1091"/>
      <c r="UVC917" s="1091"/>
      <c r="UVD917" s="1091"/>
      <c r="UVE917" s="1091"/>
      <c r="UVF917" s="1091"/>
      <c r="UVG917" s="1091"/>
      <c r="UVH917" s="1091"/>
      <c r="UVI917" s="1091"/>
      <c r="UVJ917" s="1091"/>
      <c r="UVK917" s="1091"/>
      <c r="UVL917" s="1091"/>
      <c r="UVM917" s="1091"/>
      <c r="UVN917" s="1091"/>
      <c r="UVO917" s="1091"/>
      <c r="UVP917" s="1091"/>
      <c r="UVQ917" s="1091"/>
      <c r="UVR917" s="1091"/>
      <c r="UVS917" s="1091"/>
      <c r="UVT917" s="1091"/>
      <c r="UVU917" s="1091"/>
      <c r="UVV917" s="1091"/>
      <c r="UVW917" s="1091"/>
      <c r="UVX917" s="1091"/>
      <c r="UVY917" s="1091"/>
      <c r="UVZ917" s="1091"/>
      <c r="UWA917" s="1091"/>
      <c r="UWB917" s="1091"/>
      <c r="UWC917" s="1091"/>
      <c r="UWD917" s="1091"/>
      <c r="UWE917" s="1091"/>
      <c r="UWF917" s="1091"/>
      <c r="UWG917" s="1091"/>
      <c r="UWH917" s="1091"/>
      <c r="UWI917" s="1091"/>
      <c r="UWJ917" s="1091"/>
      <c r="UWK917" s="1091"/>
      <c r="UWL917" s="1091"/>
      <c r="UWM917" s="1091"/>
      <c r="UWN917" s="1091"/>
      <c r="UWO917" s="1091"/>
      <c r="UWP917" s="1091"/>
      <c r="UWQ917" s="1091"/>
      <c r="UWR917" s="1091"/>
      <c r="UWS917" s="1091"/>
      <c r="UWT917" s="1091"/>
      <c r="UWU917" s="1091"/>
      <c r="UWV917" s="1091"/>
      <c r="UWW917" s="1091"/>
      <c r="UWX917" s="1091"/>
      <c r="UWY917" s="1091"/>
      <c r="UWZ917" s="1091"/>
      <c r="UXA917" s="1091"/>
      <c r="UXB917" s="1091"/>
      <c r="UXC917" s="1091"/>
      <c r="UXD917" s="1091"/>
      <c r="UXE917" s="1091"/>
      <c r="UXF917" s="1091"/>
      <c r="UXG917" s="1091"/>
      <c r="UXH917" s="1091"/>
      <c r="UXI917" s="1091"/>
      <c r="UXJ917" s="1091"/>
      <c r="UXK917" s="1091"/>
      <c r="UXL917" s="1091"/>
      <c r="UXM917" s="1091"/>
      <c r="UXN917" s="1091"/>
      <c r="UXO917" s="1091"/>
      <c r="UXP917" s="1091"/>
      <c r="UXQ917" s="1091"/>
      <c r="UXR917" s="1091"/>
      <c r="UXS917" s="1091"/>
      <c r="UXT917" s="1091"/>
      <c r="UXU917" s="1091"/>
      <c r="UXV917" s="1091"/>
      <c r="UXW917" s="1091"/>
      <c r="UXX917" s="1091"/>
      <c r="UXY917" s="1091"/>
      <c r="UXZ917" s="1091"/>
      <c r="UYA917" s="1091"/>
      <c r="UYB917" s="1091"/>
      <c r="UYC917" s="1091"/>
      <c r="UYD917" s="1091"/>
      <c r="UYE917" s="1091"/>
      <c r="UYF917" s="1091"/>
      <c r="UYG917" s="1091"/>
      <c r="UYH917" s="1091"/>
      <c r="UYI917" s="1091"/>
      <c r="UYJ917" s="1091"/>
      <c r="UYK917" s="1091"/>
      <c r="UYL917" s="1091"/>
      <c r="UYM917" s="1091"/>
      <c r="UYN917" s="1091"/>
      <c r="UYO917" s="1091"/>
      <c r="UYP917" s="1091"/>
      <c r="UYQ917" s="1091"/>
      <c r="UYR917" s="1091"/>
      <c r="UYS917" s="1091"/>
      <c r="UYT917" s="1091"/>
      <c r="UYU917" s="1091"/>
      <c r="UYV917" s="1091"/>
      <c r="UYW917" s="1091"/>
      <c r="UYX917" s="1091"/>
      <c r="UYY917" s="1091"/>
      <c r="UYZ917" s="1091"/>
      <c r="UZA917" s="1091"/>
      <c r="UZB917" s="1091"/>
      <c r="UZC917" s="1091"/>
      <c r="UZD917" s="1091"/>
      <c r="UZE917" s="1091"/>
      <c r="UZF917" s="1091"/>
      <c r="UZG917" s="1091"/>
      <c r="UZH917" s="1091"/>
      <c r="UZI917" s="1091"/>
      <c r="UZJ917" s="1091"/>
      <c r="UZK917" s="1091"/>
      <c r="UZL917" s="1091"/>
      <c r="UZM917" s="1091"/>
      <c r="UZN917" s="1091"/>
      <c r="UZO917" s="1091"/>
      <c r="UZP917" s="1091"/>
      <c r="UZQ917" s="1091"/>
      <c r="UZR917" s="1091"/>
      <c r="UZS917" s="1091"/>
      <c r="UZT917" s="1091"/>
      <c r="UZU917" s="1091"/>
      <c r="UZV917" s="1091"/>
      <c r="UZW917" s="1091"/>
      <c r="UZX917" s="1091"/>
      <c r="UZY917" s="1091"/>
      <c r="UZZ917" s="1091"/>
      <c r="VAA917" s="1091"/>
      <c r="VAB917" s="1091"/>
      <c r="VAC917" s="1091"/>
      <c r="VAD917" s="1091"/>
      <c r="VAE917" s="1091"/>
      <c r="VAF917" s="1091"/>
      <c r="VAG917" s="1091"/>
      <c r="VAH917" s="1091"/>
      <c r="VAI917" s="1091"/>
      <c r="VAJ917" s="1091"/>
      <c r="VAK917" s="1091"/>
      <c r="VAL917" s="1091"/>
      <c r="VAM917" s="1091"/>
      <c r="VAN917" s="1091"/>
      <c r="VAO917" s="1091"/>
      <c r="VAP917" s="1091"/>
      <c r="VAQ917" s="1091"/>
      <c r="VAR917" s="1091"/>
      <c r="VAS917" s="1091"/>
      <c r="VAT917" s="1091"/>
      <c r="VAU917" s="1091"/>
      <c r="VAV917" s="1091"/>
      <c r="VAW917" s="1091"/>
      <c r="VAX917" s="1091"/>
      <c r="VAY917" s="1091"/>
      <c r="VAZ917" s="1091"/>
      <c r="VBA917" s="1091"/>
      <c r="VBB917" s="1091"/>
      <c r="VBC917" s="1091"/>
      <c r="VBD917" s="1091"/>
      <c r="VBE917" s="1091"/>
      <c r="VBF917" s="1091"/>
      <c r="VBG917" s="1091"/>
      <c r="VBH917" s="1091"/>
      <c r="VBI917" s="1091"/>
      <c r="VBJ917" s="1091"/>
      <c r="VBK917" s="1091"/>
      <c r="VBL917" s="1091"/>
      <c r="VBM917" s="1091"/>
      <c r="VBN917" s="1091"/>
      <c r="VBO917" s="1091"/>
      <c r="VBP917" s="1091"/>
      <c r="VBQ917" s="1091"/>
      <c r="VBR917" s="1091"/>
      <c r="VBS917" s="1091"/>
      <c r="VBT917" s="1091"/>
      <c r="VBU917" s="1091"/>
      <c r="VBV917" s="1091"/>
      <c r="VBW917" s="1091"/>
      <c r="VBX917" s="1091"/>
      <c r="VBY917" s="1091"/>
      <c r="VBZ917" s="1091"/>
      <c r="VCA917" s="1091"/>
      <c r="VCB917" s="1091"/>
      <c r="VCC917" s="1091"/>
      <c r="VCD917" s="1091"/>
      <c r="VCE917" s="1091"/>
      <c r="VCF917" s="1091"/>
      <c r="VCG917" s="1091"/>
      <c r="VCH917" s="1091"/>
      <c r="VCI917" s="1091"/>
      <c r="VCJ917" s="1091"/>
      <c r="VCK917" s="1091"/>
      <c r="VCL917" s="1091"/>
      <c r="VCM917" s="1091"/>
      <c r="VCN917" s="1091"/>
      <c r="VCO917" s="1091"/>
      <c r="VCP917" s="1091"/>
      <c r="VCQ917" s="1091"/>
      <c r="VCR917" s="1091"/>
      <c r="VCS917" s="1091"/>
      <c r="VCT917" s="1091"/>
      <c r="VCU917" s="1091"/>
      <c r="VCV917" s="1091"/>
      <c r="VCW917" s="1091"/>
      <c r="VCX917" s="1091"/>
      <c r="VCY917" s="1091"/>
      <c r="VCZ917" s="1091"/>
      <c r="VDA917" s="1091"/>
      <c r="VDB917" s="1091"/>
      <c r="VDC917" s="1091"/>
      <c r="VDD917" s="1091"/>
      <c r="VDE917" s="1091"/>
      <c r="VDF917" s="1091"/>
      <c r="VDG917" s="1091"/>
      <c r="VDH917" s="1091"/>
      <c r="VDI917" s="1091"/>
      <c r="VDJ917" s="1091"/>
      <c r="VDK917" s="1091"/>
      <c r="VDL917" s="1091"/>
      <c r="VDM917" s="1091"/>
      <c r="VDN917" s="1091"/>
      <c r="VDO917" s="1091"/>
      <c r="VDP917" s="1091"/>
      <c r="VDQ917" s="1091"/>
      <c r="VDR917" s="1091"/>
      <c r="VDS917" s="1091"/>
      <c r="VDT917" s="1091"/>
      <c r="VDU917" s="1091"/>
      <c r="VDV917" s="1091"/>
      <c r="VDW917" s="1091"/>
      <c r="VDX917" s="1091"/>
      <c r="VDY917" s="1091"/>
      <c r="VDZ917" s="1091"/>
      <c r="VEA917" s="1091"/>
      <c r="VEB917" s="1091"/>
      <c r="VEC917" s="1091"/>
      <c r="VED917" s="1091"/>
      <c r="VEE917" s="1091"/>
      <c r="VEF917" s="1091"/>
      <c r="VEG917" s="1091"/>
      <c r="VEH917" s="1091"/>
      <c r="VEI917" s="1091"/>
      <c r="VEJ917" s="1091"/>
      <c r="VEK917" s="1091"/>
      <c r="VEL917" s="1091"/>
      <c r="VEM917" s="1091"/>
      <c r="VEN917" s="1091"/>
      <c r="VEO917" s="1091"/>
      <c r="VEP917" s="1091"/>
      <c r="VEQ917" s="1091"/>
      <c r="VER917" s="1091"/>
      <c r="VES917" s="1091"/>
      <c r="VET917" s="1091"/>
      <c r="VEU917" s="1091"/>
      <c r="VEV917" s="1091"/>
      <c r="VEW917" s="1091"/>
      <c r="VEX917" s="1091"/>
      <c r="VEY917" s="1091"/>
      <c r="VEZ917" s="1091"/>
      <c r="VFA917" s="1091"/>
      <c r="VFB917" s="1091"/>
      <c r="VFC917" s="1091"/>
      <c r="VFD917" s="1091"/>
      <c r="VFE917" s="1091"/>
      <c r="VFF917" s="1091"/>
      <c r="VFG917" s="1091"/>
      <c r="VFH917" s="1091"/>
      <c r="VFI917" s="1091"/>
      <c r="VFJ917" s="1091"/>
      <c r="VFK917" s="1091"/>
      <c r="VFL917" s="1091"/>
      <c r="VFM917" s="1091"/>
      <c r="VFN917" s="1091"/>
      <c r="VFO917" s="1091"/>
      <c r="VFP917" s="1091"/>
      <c r="VFQ917" s="1091"/>
      <c r="VFR917" s="1091"/>
      <c r="VFS917" s="1091"/>
      <c r="VFT917" s="1091"/>
      <c r="VFU917" s="1091"/>
      <c r="VFV917" s="1091"/>
      <c r="VFW917" s="1091"/>
      <c r="VFX917" s="1091"/>
      <c r="VFY917" s="1091"/>
      <c r="VFZ917" s="1091"/>
      <c r="VGA917" s="1091"/>
      <c r="VGB917" s="1091"/>
      <c r="VGC917" s="1091"/>
      <c r="VGD917" s="1091"/>
      <c r="VGE917" s="1091"/>
      <c r="VGF917" s="1091"/>
      <c r="VGG917" s="1091"/>
      <c r="VGH917" s="1091"/>
      <c r="VGI917" s="1091"/>
      <c r="VGJ917" s="1091"/>
      <c r="VGK917" s="1091"/>
      <c r="VGL917" s="1091"/>
      <c r="VGM917" s="1091"/>
      <c r="VGN917" s="1091"/>
      <c r="VGO917" s="1091"/>
      <c r="VGP917" s="1091"/>
      <c r="VGQ917" s="1091"/>
      <c r="VGR917" s="1091"/>
      <c r="VGS917" s="1091"/>
      <c r="VGT917" s="1091"/>
      <c r="VGU917" s="1091"/>
      <c r="VGV917" s="1091"/>
      <c r="VGW917" s="1091"/>
      <c r="VGX917" s="1091"/>
      <c r="VGY917" s="1091"/>
      <c r="VGZ917" s="1091"/>
      <c r="VHA917" s="1091"/>
      <c r="VHB917" s="1091"/>
      <c r="VHC917" s="1091"/>
      <c r="VHD917" s="1091"/>
      <c r="VHE917" s="1091"/>
      <c r="VHF917" s="1091"/>
      <c r="VHG917" s="1091"/>
      <c r="VHH917" s="1091"/>
      <c r="VHI917" s="1091"/>
      <c r="VHJ917" s="1091"/>
      <c r="VHK917" s="1091"/>
      <c r="VHL917" s="1091"/>
      <c r="VHM917" s="1091"/>
      <c r="VHN917" s="1091"/>
      <c r="VHO917" s="1091"/>
      <c r="VHP917" s="1091"/>
      <c r="VHQ917" s="1091"/>
      <c r="VHR917" s="1091"/>
      <c r="VHS917" s="1091"/>
      <c r="VHT917" s="1091"/>
      <c r="VHU917" s="1091"/>
      <c r="VHV917" s="1091"/>
      <c r="VHW917" s="1091"/>
      <c r="VHX917" s="1091"/>
      <c r="VHY917" s="1091"/>
      <c r="VHZ917" s="1091"/>
      <c r="VIA917" s="1091"/>
      <c r="VIB917" s="1091"/>
      <c r="VIC917" s="1091"/>
      <c r="VID917" s="1091"/>
      <c r="VIE917" s="1091"/>
      <c r="VIF917" s="1091"/>
      <c r="VIG917" s="1091"/>
      <c r="VIH917" s="1091"/>
      <c r="VII917" s="1091"/>
      <c r="VIJ917" s="1091"/>
      <c r="VIK917" s="1091"/>
      <c r="VIL917" s="1091"/>
      <c r="VIM917" s="1091"/>
      <c r="VIN917" s="1091"/>
      <c r="VIO917" s="1091"/>
      <c r="VIP917" s="1091"/>
      <c r="VIQ917" s="1091"/>
      <c r="VIR917" s="1091"/>
      <c r="VIS917" s="1091"/>
      <c r="VIT917" s="1091"/>
      <c r="VIU917" s="1091"/>
      <c r="VIV917" s="1091"/>
      <c r="VIW917" s="1091"/>
      <c r="VIX917" s="1091"/>
      <c r="VIY917" s="1091"/>
      <c r="VIZ917" s="1091"/>
      <c r="VJA917" s="1091"/>
      <c r="VJB917" s="1091"/>
      <c r="VJC917" s="1091"/>
      <c r="VJD917" s="1091"/>
      <c r="VJE917" s="1091"/>
      <c r="VJF917" s="1091"/>
      <c r="VJG917" s="1091"/>
      <c r="VJH917" s="1091"/>
      <c r="VJI917" s="1091"/>
      <c r="VJJ917" s="1091"/>
      <c r="VJK917" s="1091"/>
      <c r="VJL917" s="1091"/>
      <c r="VJM917" s="1091"/>
      <c r="VJN917" s="1091"/>
      <c r="VJO917" s="1091"/>
      <c r="VJP917" s="1091"/>
      <c r="VJQ917" s="1091"/>
      <c r="VJR917" s="1091"/>
      <c r="VJS917" s="1091"/>
      <c r="VJT917" s="1091"/>
      <c r="VJU917" s="1091"/>
      <c r="VJV917" s="1091"/>
      <c r="VJW917" s="1091"/>
      <c r="VJX917" s="1091"/>
      <c r="VJY917" s="1091"/>
      <c r="VJZ917" s="1091"/>
      <c r="VKA917" s="1091"/>
      <c r="VKB917" s="1091"/>
      <c r="VKC917" s="1091"/>
      <c r="VKD917" s="1091"/>
      <c r="VKE917" s="1091"/>
      <c r="VKF917" s="1091"/>
      <c r="VKG917" s="1091"/>
      <c r="VKH917" s="1091"/>
      <c r="VKI917" s="1091"/>
      <c r="VKJ917" s="1091"/>
      <c r="VKK917" s="1091"/>
      <c r="VKL917" s="1091"/>
      <c r="VKM917" s="1091"/>
      <c r="VKN917" s="1091"/>
      <c r="VKO917" s="1091"/>
      <c r="VKP917" s="1091"/>
      <c r="VKQ917" s="1091"/>
      <c r="VKR917" s="1091"/>
      <c r="VKS917" s="1091"/>
      <c r="VKT917" s="1091"/>
      <c r="VKU917" s="1091"/>
      <c r="VKV917" s="1091"/>
      <c r="VKW917" s="1091"/>
      <c r="VKX917" s="1091"/>
      <c r="VKY917" s="1091"/>
      <c r="VKZ917" s="1091"/>
      <c r="VLA917" s="1091"/>
      <c r="VLB917" s="1091"/>
      <c r="VLC917" s="1091"/>
      <c r="VLD917" s="1091"/>
      <c r="VLE917" s="1091"/>
      <c r="VLF917" s="1091"/>
      <c r="VLG917" s="1091"/>
      <c r="VLH917" s="1091"/>
      <c r="VLI917" s="1091"/>
      <c r="VLJ917" s="1091"/>
      <c r="VLK917" s="1091"/>
      <c r="VLL917" s="1091"/>
      <c r="VLM917" s="1091"/>
      <c r="VLN917" s="1091"/>
      <c r="VLO917" s="1091"/>
      <c r="VLP917" s="1091"/>
      <c r="VLQ917" s="1091"/>
      <c r="VLR917" s="1091"/>
      <c r="VLS917" s="1091"/>
      <c r="VLT917" s="1091"/>
      <c r="VLU917" s="1091"/>
      <c r="VLV917" s="1091"/>
      <c r="VLW917" s="1091"/>
      <c r="VLX917" s="1091"/>
      <c r="VLY917" s="1091"/>
      <c r="VLZ917" s="1091"/>
      <c r="VMA917" s="1091"/>
      <c r="VMB917" s="1091"/>
      <c r="VMC917" s="1091"/>
      <c r="VMD917" s="1091"/>
      <c r="VME917" s="1091"/>
      <c r="VMF917" s="1091"/>
      <c r="VMG917" s="1091"/>
      <c r="VMH917" s="1091"/>
      <c r="VMI917" s="1091"/>
      <c r="VMJ917" s="1091"/>
      <c r="VMK917" s="1091"/>
      <c r="VML917" s="1091"/>
      <c r="VMM917" s="1091"/>
      <c r="VMN917" s="1091"/>
      <c r="VMO917" s="1091"/>
      <c r="VMP917" s="1091"/>
      <c r="VMQ917" s="1091"/>
      <c r="VMR917" s="1091"/>
      <c r="VMS917" s="1091"/>
      <c r="VMT917" s="1091"/>
      <c r="VMU917" s="1091"/>
      <c r="VMV917" s="1091"/>
      <c r="VMW917" s="1091"/>
      <c r="VMX917" s="1091"/>
      <c r="VMY917" s="1091"/>
      <c r="VMZ917" s="1091"/>
      <c r="VNA917" s="1091"/>
      <c r="VNB917" s="1091"/>
      <c r="VNC917" s="1091"/>
      <c r="VND917" s="1091"/>
      <c r="VNE917" s="1091"/>
      <c r="VNF917" s="1091"/>
      <c r="VNG917" s="1091"/>
      <c r="VNH917" s="1091"/>
      <c r="VNI917" s="1091"/>
      <c r="VNJ917" s="1091"/>
      <c r="VNK917" s="1091"/>
      <c r="VNL917" s="1091"/>
      <c r="VNM917" s="1091"/>
      <c r="VNN917" s="1091"/>
      <c r="VNO917" s="1091"/>
      <c r="VNP917" s="1091"/>
      <c r="VNQ917" s="1091"/>
      <c r="VNR917" s="1091"/>
      <c r="VNS917" s="1091"/>
      <c r="VNT917" s="1091"/>
      <c r="VNU917" s="1091"/>
      <c r="VNV917" s="1091"/>
      <c r="VNW917" s="1091"/>
      <c r="VNX917" s="1091"/>
      <c r="VNY917" s="1091"/>
      <c r="VNZ917" s="1091"/>
      <c r="VOA917" s="1091"/>
      <c r="VOB917" s="1091"/>
      <c r="VOC917" s="1091"/>
      <c r="VOD917" s="1091"/>
      <c r="VOE917" s="1091"/>
      <c r="VOF917" s="1091"/>
      <c r="VOG917" s="1091"/>
      <c r="VOH917" s="1091"/>
      <c r="VOI917" s="1091"/>
      <c r="VOJ917" s="1091"/>
      <c r="VOK917" s="1091"/>
      <c r="VOL917" s="1091"/>
      <c r="VOM917" s="1091"/>
      <c r="VON917" s="1091"/>
      <c r="VOO917" s="1091"/>
      <c r="VOP917" s="1091"/>
      <c r="VOQ917" s="1091"/>
      <c r="VOR917" s="1091"/>
      <c r="VOS917" s="1091"/>
      <c r="VOT917" s="1091"/>
      <c r="VOU917" s="1091"/>
      <c r="VOV917" s="1091"/>
      <c r="VOW917" s="1091"/>
      <c r="VOX917" s="1091"/>
      <c r="VOY917" s="1091"/>
      <c r="VOZ917" s="1091"/>
      <c r="VPA917" s="1091"/>
      <c r="VPB917" s="1091"/>
      <c r="VPC917" s="1091"/>
      <c r="VPD917" s="1091"/>
      <c r="VPE917" s="1091"/>
      <c r="VPF917" s="1091"/>
      <c r="VPG917" s="1091"/>
      <c r="VPH917" s="1091"/>
      <c r="VPI917" s="1091"/>
      <c r="VPJ917" s="1091"/>
      <c r="VPK917" s="1091"/>
      <c r="VPL917" s="1091"/>
      <c r="VPM917" s="1091"/>
      <c r="VPN917" s="1091"/>
      <c r="VPO917" s="1091"/>
      <c r="VPP917" s="1091"/>
      <c r="VPQ917" s="1091"/>
      <c r="VPR917" s="1091"/>
      <c r="VPS917" s="1091"/>
      <c r="VPT917" s="1091"/>
      <c r="VPU917" s="1091"/>
      <c r="VPV917" s="1091"/>
      <c r="VPW917" s="1091"/>
      <c r="VPX917" s="1091"/>
      <c r="VPY917" s="1091"/>
      <c r="VPZ917" s="1091"/>
      <c r="VQA917" s="1091"/>
      <c r="VQB917" s="1091"/>
      <c r="VQC917" s="1091"/>
      <c r="VQD917" s="1091"/>
      <c r="VQE917" s="1091"/>
      <c r="VQF917" s="1091"/>
      <c r="VQG917" s="1091"/>
      <c r="VQH917" s="1091"/>
      <c r="VQI917" s="1091"/>
      <c r="VQJ917" s="1091"/>
      <c r="VQK917" s="1091"/>
      <c r="VQL917" s="1091"/>
      <c r="VQM917" s="1091"/>
      <c r="VQN917" s="1091"/>
      <c r="VQO917" s="1091"/>
      <c r="VQP917" s="1091"/>
      <c r="VQQ917" s="1091"/>
      <c r="VQR917" s="1091"/>
      <c r="VQS917" s="1091"/>
      <c r="VQT917" s="1091"/>
      <c r="VQU917" s="1091"/>
      <c r="VQV917" s="1091"/>
      <c r="VQW917" s="1091"/>
      <c r="VQX917" s="1091"/>
      <c r="VQY917" s="1091"/>
      <c r="VQZ917" s="1091"/>
      <c r="VRA917" s="1091"/>
      <c r="VRB917" s="1091"/>
      <c r="VRC917" s="1091"/>
      <c r="VRD917" s="1091"/>
      <c r="VRE917" s="1091"/>
      <c r="VRF917" s="1091"/>
      <c r="VRG917" s="1091"/>
      <c r="VRH917" s="1091"/>
      <c r="VRI917" s="1091"/>
      <c r="VRJ917" s="1091"/>
      <c r="VRK917" s="1091"/>
      <c r="VRL917" s="1091"/>
      <c r="VRM917" s="1091"/>
      <c r="VRN917" s="1091"/>
      <c r="VRO917" s="1091"/>
      <c r="VRP917" s="1091"/>
      <c r="VRQ917" s="1091"/>
      <c r="VRR917" s="1091"/>
      <c r="VRS917" s="1091"/>
      <c r="VRT917" s="1091"/>
      <c r="VRU917" s="1091"/>
      <c r="VRV917" s="1091"/>
      <c r="VRW917" s="1091"/>
      <c r="VRX917" s="1091"/>
      <c r="VRY917" s="1091"/>
      <c r="VRZ917" s="1091"/>
      <c r="VSA917" s="1091"/>
      <c r="VSB917" s="1091"/>
      <c r="VSC917" s="1091"/>
      <c r="VSD917" s="1091"/>
      <c r="VSE917" s="1091"/>
      <c r="VSF917" s="1091"/>
      <c r="VSG917" s="1091"/>
      <c r="VSH917" s="1091"/>
      <c r="VSI917" s="1091"/>
      <c r="VSJ917" s="1091"/>
      <c r="VSK917" s="1091"/>
      <c r="VSL917" s="1091"/>
      <c r="VSM917" s="1091"/>
      <c r="VSN917" s="1091"/>
      <c r="VSO917" s="1091"/>
      <c r="VSP917" s="1091"/>
      <c r="VSQ917" s="1091"/>
      <c r="VSR917" s="1091"/>
      <c r="VSS917" s="1091"/>
      <c r="VST917" s="1091"/>
      <c r="VSU917" s="1091"/>
      <c r="VSV917" s="1091"/>
      <c r="VSW917" s="1091"/>
      <c r="VSX917" s="1091"/>
      <c r="VSY917" s="1091"/>
      <c r="VSZ917" s="1091"/>
      <c r="VTA917" s="1091"/>
      <c r="VTB917" s="1091"/>
      <c r="VTC917" s="1091"/>
      <c r="VTD917" s="1091"/>
      <c r="VTE917" s="1091"/>
      <c r="VTF917" s="1091"/>
      <c r="VTG917" s="1091"/>
      <c r="VTH917" s="1091"/>
      <c r="VTI917" s="1091"/>
      <c r="VTJ917" s="1091"/>
      <c r="VTK917" s="1091"/>
      <c r="VTL917" s="1091"/>
      <c r="VTM917" s="1091"/>
      <c r="VTN917" s="1091"/>
      <c r="VTO917" s="1091"/>
      <c r="VTP917" s="1091"/>
      <c r="VTQ917" s="1091"/>
      <c r="VTR917" s="1091"/>
      <c r="VTS917" s="1091"/>
      <c r="VTT917" s="1091"/>
      <c r="VTU917" s="1091"/>
      <c r="VTV917" s="1091"/>
      <c r="VTW917" s="1091"/>
      <c r="VTX917" s="1091"/>
      <c r="VTY917" s="1091"/>
      <c r="VTZ917" s="1091"/>
      <c r="VUA917" s="1091"/>
      <c r="VUB917" s="1091"/>
      <c r="VUC917" s="1091"/>
      <c r="VUD917" s="1091"/>
      <c r="VUE917" s="1091"/>
      <c r="VUF917" s="1091"/>
      <c r="VUG917" s="1091"/>
      <c r="VUH917" s="1091"/>
      <c r="VUI917" s="1091"/>
      <c r="VUJ917" s="1091"/>
      <c r="VUK917" s="1091"/>
      <c r="VUL917" s="1091"/>
      <c r="VUM917" s="1091"/>
      <c r="VUN917" s="1091"/>
      <c r="VUO917" s="1091"/>
      <c r="VUP917" s="1091"/>
      <c r="VUQ917" s="1091"/>
      <c r="VUR917" s="1091"/>
      <c r="VUS917" s="1091"/>
      <c r="VUT917" s="1091"/>
      <c r="VUU917" s="1091"/>
      <c r="VUV917" s="1091"/>
      <c r="VUW917" s="1091"/>
      <c r="VUX917" s="1091"/>
      <c r="VUY917" s="1091"/>
      <c r="VUZ917" s="1091"/>
      <c r="VVA917" s="1091"/>
      <c r="VVB917" s="1091"/>
      <c r="VVC917" s="1091"/>
      <c r="VVD917" s="1091"/>
      <c r="VVE917" s="1091"/>
      <c r="VVF917" s="1091"/>
      <c r="VVG917" s="1091"/>
      <c r="VVH917" s="1091"/>
      <c r="VVI917" s="1091"/>
      <c r="VVJ917" s="1091"/>
      <c r="VVK917" s="1091"/>
      <c r="VVL917" s="1091"/>
      <c r="VVM917" s="1091"/>
      <c r="VVN917" s="1091"/>
      <c r="VVO917" s="1091"/>
      <c r="VVP917" s="1091"/>
      <c r="VVQ917" s="1091"/>
      <c r="VVR917" s="1091"/>
      <c r="VVS917" s="1091"/>
      <c r="VVT917" s="1091"/>
      <c r="VVU917" s="1091"/>
      <c r="VVV917" s="1091"/>
      <c r="VVW917" s="1091"/>
      <c r="VVX917" s="1091"/>
      <c r="VVY917" s="1091"/>
      <c r="VVZ917" s="1091"/>
      <c r="VWA917" s="1091"/>
      <c r="VWB917" s="1091"/>
      <c r="VWC917" s="1091"/>
      <c r="VWD917" s="1091"/>
      <c r="VWE917" s="1091"/>
      <c r="VWF917" s="1091"/>
      <c r="VWG917" s="1091"/>
      <c r="VWH917" s="1091"/>
      <c r="VWI917" s="1091"/>
      <c r="VWJ917" s="1091"/>
      <c r="VWK917" s="1091"/>
      <c r="VWL917" s="1091"/>
      <c r="VWM917" s="1091"/>
      <c r="VWN917" s="1091"/>
      <c r="VWO917" s="1091"/>
      <c r="VWP917" s="1091"/>
      <c r="VWQ917" s="1091"/>
      <c r="VWR917" s="1091"/>
      <c r="VWS917" s="1091"/>
      <c r="VWT917" s="1091"/>
      <c r="VWU917" s="1091"/>
      <c r="VWV917" s="1091"/>
      <c r="VWW917" s="1091"/>
      <c r="VWX917" s="1091"/>
      <c r="VWY917" s="1091"/>
      <c r="VWZ917" s="1091"/>
      <c r="VXA917" s="1091"/>
      <c r="VXB917" s="1091"/>
      <c r="VXC917" s="1091"/>
      <c r="VXD917" s="1091"/>
      <c r="VXE917" s="1091"/>
      <c r="VXF917" s="1091"/>
      <c r="VXG917" s="1091"/>
      <c r="VXH917" s="1091"/>
      <c r="VXI917" s="1091"/>
      <c r="VXJ917" s="1091"/>
      <c r="VXK917" s="1091"/>
      <c r="VXL917" s="1091"/>
      <c r="VXM917" s="1091"/>
      <c r="VXN917" s="1091"/>
      <c r="VXO917" s="1091"/>
      <c r="VXP917" s="1091"/>
      <c r="VXQ917" s="1091"/>
      <c r="VXR917" s="1091"/>
      <c r="VXS917" s="1091"/>
      <c r="VXT917" s="1091"/>
      <c r="VXU917" s="1091"/>
      <c r="VXV917" s="1091"/>
      <c r="VXW917" s="1091"/>
      <c r="VXX917" s="1091"/>
      <c r="VXY917" s="1091"/>
      <c r="VXZ917" s="1091"/>
      <c r="VYA917" s="1091"/>
      <c r="VYB917" s="1091"/>
      <c r="VYC917" s="1091"/>
      <c r="VYD917" s="1091"/>
      <c r="VYE917" s="1091"/>
      <c r="VYF917" s="1091"/>
      <c r="VYG917" s="1091"/>
      <c r="VYH917" s="1091"/>
      <c r="VYI917" s="1091"/>
      <c r="VYJ917" s="1091"/>
      <c r="VYK917" s="1091"/>
      <c r="VYL917" s="1091"/>
      <c r="VYM917" s="1091"/>
      <c r="VYN917" s="1091"/>
      <c r="VYO917" s="1091"/>
      <c r="VYP917" s="1091"/>
      <c r="VYQ917" s="1091"/>
      <c r="VYR917" s="1091"/>
      <c r="VYS917" s="1091"/>
      <c r="VYT917" s="1091"/>
      <c r="VYU917" s="1091"/>
      <c r="VYV917" s="1091"/>
      <c r="VYW917" s="1091"/>
      <c r="VYX917" s="1091"/>
      <c r="VYY917" s="1091"/>
      <c r="VYZ917" s="1091"/>
      <c r="VZA917" s="1091"/>
      <c r="VZB917" s="1091"/>
      <c r="VZC917" s="1091"/>
      <c r="VZD917" s="1091"/>
      <c r="VZE917" s="1091"/>
      <c r="VZF917" s="1091"/>
      <c r="VZG917" s="1091"/>
      <c r="VZH917" s="1091"/>
      <c r="VZI917" s="1091"/>
      <c r="VZJ917" s="1091"/>
      <c r="VZK917" s="1091"/>
      <c r="VZL917" s="1091"/>
      <c r="VZM917" s="1091"/>
      <c r="VZN917" s="1091"/>
      <c r="VZO917" s="1091"/>
      <c r="VZP917" s="1091"/>
      <c r="VZQ917" s="1091"/>
      <c r="VZR917" s="1091"/>
      <c r="VZS917" s="1091"/>
      <c r="VZT917" s="1091"/>
      <c r="VZU917" s="1091"/>
      <c r="VZV917" s="1091"/>
      <c r="VZW917" s="1091"/>
      <c r="VZX917" s="1091"/>
      <c r="VZY917" s="1091"/>
      <c r="VZZ917" s="1091"/>
      <c r="WAA917" s="1091"/>
      <c r="WAB917" s="1091"/>
      <c r="WAC917" s="1091"/>
      <c r="WAD917" s="1091"/>
      <c r="WAE917" s="1091"/>
      <c r="WAF917" s="1091"/>
      <c r="WAG917" s="1091"/>
      <c r="WAH917" s="1091"/>
      <c r="WAI917" s="1091"/>
      <c r="WAJ917" s="1091"/>
      <c r="WAK917" s="1091"/>
      <c r="WAL917" s="1091"/>
      <c r="WAM917" s="1091"/>
      <c r="WAN917" s="1091"/>
      <c r="WAO917" s="1091"/>
      <c r="WAP917" s="1091"/>
      <c r="WAQ917" s="1091"/>
      <c r="WAR917" s="1091"/>
      <c r="WAS917" s="1091"/>
      <c r="WAT917" s="1091"/>
      <c r="WAU917" s="1091"/>
      <c r="WAV917" s="1091"/>
      <c r="WAW917" s="1091"/>
      <c r="WAX917" s="1091"/>
      <c r="WAY917" s="1091"/>
      <c r="WAZ917" s="1091"/>
      <c r="WBA917" s="1091"/>
      <c r="WBB917" s="1091"/>
      <c r="WBC917" s="1091"/>
      <c r="WBD917" s="1091"/>
      <c r="WBE917" s="1091"/>
      <c r="WBF917" s="1091"/>
      <c r="WBG917" s="1091"/>
      <c r="WBH917" s="1091"/>
      <c r="WBI917" s="1091"/>
      <c r="WBJ917" s="1091"/>
      <c r="WBK917" s="1091"/>
      <c r="WBL917" s="1091"/>
      <c r="WBM917" s="1091"/>
      <c r="WBN917" s="1091"/>
      <c r="WBO917" s="1091"/>
      <c r="WBP917" s="1091"/>
      <c r="WBQ917" s="1091"/>
      <c r="WBR917" s="1091"/>
      <c r="WBS917" s="1091"/>
      <c r="WBT917" s="1091"/>
      <c r="WBU917" s="1091"/>
      <c r="WBV917" s="1091"/>
      <c r="WBW917" s="1091"/>
      <c r="WBX917" s="1091"/>
      <c r="WBY917" s="1091"/>
      <c r="WBZ917" s="1091"/>
      <c r="WCA917" s="1091"/>
      <c r="WCB917" s="1091"/>
      <c r="WCC917" s="1091"/>
      <c r="WCD917" s="1091"/>
      <c r="WCE917" s="1091"/>
      <c r="WCF917" s="1091"/>
      <c r="WCG917" s="1091"/>
      <c r="WCH917" s="1091"/>
      <c r="WCI917" s="1091"/>
      <c r="WCJ917" s="1091"/>
      <c r="WCK917" s="1091"/>
      <c r="WCL917" s="1091"/>
      <c r="WCM917" s="1091"/>
      <c r="WCN917" s="1091"/>
      <c r="WCO917" s="1091"/>
      <c r="WCP917" s="1091"/>
      <c r="WCQ917" s="1091"/>
      <c r="WCR917" s="1091"/>
      <c r="WCS917" s="1091"/>
      <c r="WCT917" s="1091"/>
      <c r="WCU917" s="1091"/>
      <c r="WCV917" s="1091"/>
      <c r="WCW917" s="1091"/>
      <c r="WCX917" s="1091"/>
      <c r="WCY917" s="1091"/>
      <c r="WCZ917" s="1091"/>
      <c r="WDA917" s="1091"/>
      <c r="WDB917" s="1091"/>
      <c r="WDC917" s="1091"/>
      <c r="WDD917" s="1091"/>
      <c r="WDE917" s="1091"/>
      <c r="WDF917" s="1091"/>
      <c r="WDG917" s="1091"/>
      <c r="WDH917" s="1091"/>
      <c r="WDI917" s="1091"/>
      <c r="WDJ917" s="1091"/>
      <c r="WDK917" s="1091"/>
      <c r="WDL917" s="1091"/>
      <c r="WDM917" s="1091"/>
      <c r="WDN917" s="1091"/>
      <c r="WDO917" s="1091"/>
      <c r="WDP917" s="1091"/>
      <c r="WDQ917" s="1091"/>
      <c r="WDR917" s="1091"/>
      <c r="WDS917" s="1091"/>
      <c r="WDT917" s="1091"/>
      <c r="WDU917" s="1091"/>
      <c r="WDV917" s="1091"/>
      <c r="WDW917" s="1091"/>
      <c r="WDX917" s="1091"/>
      <c r="WDY917" s="1091"/>
      <c r="WDZ917" s="1091"/>
      <c r="WEA917" s="1091"/>
      <c r="WEB917" s="1091"/>
      <c r="WEC917" s="1091"/>
      <c r="WED917" s="1091"/>
      <c r="WEE917" s="1091"/>
      <c r="WEF917" s="1091"/>
      <c r="WEG917" s="1091"/>
      <c r="WEH917" s="1091"/>
      <c r="WEI917" s="1091"/>
      <c r="WEJ917" s="1091"/>
      <c r="WEK917" s="1091"/>
      <c r="WEL917" s="1091"/>
      <c r="WEM917" s="1091"/>
      <c r="WEN917" s="1091"/>
      <c r="WEO917" s="1091"/>
      <c r="WEP917" s="1091"/>
      <c r="WEQ917" s="1091"/>
      <c r="WER917" s="1091"/>
      <c r="WES917" s="1091"/>
      <c r="WET917" s="1091"/>
      <c r="WEU917" s="1091"/>
      <c r="WEV917" s="1091"/>
      <c r="WEW917" s="1091"/>
      <c r="WEX917" s="1091"/>
      <c r="WEY917" s="1091"/>
      <c r="WEZ917" s="1091"/>
      <c r="WFA917" s="1091"/>
      <c r="WFB917" s="1091"/>
      <c r="WFC917" s="1091"/>
      <c r="WFD917" s="1091"/>
      <c r="WFE917" s="1091"/>
      <c r="WFF917" s="1091"/>
      <c r="WFG917" s="1091"/>
      <c r="WFH917" s="1091"/>
      <c r="WFI917" s="1091"/>
      <c r="WFJ917" s="1091"/>
      <c r="WFK917" s="1091"/>
      <c r="WFL917" s="1091"/>
      <c r="WFM917" s="1091"/>
      <c r="WFN917" s="1091"/>
      <c r="WFO917" s="1091"/>
      <c r="WFP917" s="1091"/>
      <c r="WFQ917" s="1091"/>
      <c r="WFR917" s="1091"/>
      <c r="WFS917" s="1091"/>
      <c r="WFT917" s="1091"/>
      <c r="WFU917" s="1091"/>
      <c r="WFV917" s="1091"/>
      <c r="WFW917" s="1091"/>
      <c r="WFX917" s="1091"/>
      <c r="WFY917" s="1091"/>
      <c r="WFZ917" s="1091"/>
      <c r="WGA917" s="1091"/>
      <c r="WGB917" s="1091"/>
      <c r="WGC917" s="1091"/>
      <c r="WGD917" s="1091"/>
      <c r="WGE917" s="1091"/>
      <c r="WGF917" s="1091"/>
      <c r="WGG917" s="1091"/>
      <c r="WGH917" s="1091"/>
      <c r="WGI917" s="1091"/>
      <c r="WGJ917" s="1091"/>
      <c r="WGK917" s="1091"/>
      <c r="WGL917" s="1091"/>
      <c r="WGM917" s="1091"/>
      <c r="WGN917" s="1091"/>
      <c r="WGO917" s="1091"/>
      <c r="WGP917" s="1091"/>
      <c r="WGQ917" s="1091"/>
      <c r="WGR917" s="1091"/>
      <c r="WGS917" s="1091"/>
      <c r="WGT917" s="1091"/>
      <c r="WGU917" s="1091"/>
      <c r="WGV917" s="1091"/>
      <c r="WGW917" s="1091"/>
      <c r="WGX917" s="1091"/>
      <c r="WGY917" s="1091"/>
      <c r="WGZ917" s="1091"/>
      <c r="WHA917" s="1091"/>
      <c r="WHB917" s="1091"/>
      <c r="WHC917" s="1091"/>
      <c r="WHD917" s="1091"/>
      <c r="WHE917" s="1091"/>
      <c r="WHF917" s="1091"/>
      <c r="WHG917" s="1091"/>
      <c r="WHH917" s="1091"/>
      <c r="WHI917" s="1091"/>
      <c r="WHJ917" s="1091"/>
      <c r="WHK917" s="1091"/>
      <c r="WHL917" s="1091"/>
      <c r="WHM917" s="1091"/>
      <c r="WHN917" s="1091"/>
      <c r="WHO917" s="1091"/>
      <c r="WHP917" s="1091"/>
      <c r="WHQ917" s="1091"/>
      <c r="WHR917" s="1091"/>
      <c r="WHS917" s="1091"/>
      <c r="WHT917" s="1091"/>
      <c r="WHU917" s="1091"/>
      <c r="WHV917" s="1091"/>
      <c r="WHW917" s="1091"/>
      <c r="WHX917" s="1091"/>
      <c r="WHY917" s="1091"/>
      <c r="WHZ917" s="1091"/>
      <c r="WIA917" s="1091"/>
      <c r="WIB917" s="1091"/>
      <c r="WIC917" s="1091"/>
      <c r="WID917" s="1091"/>
      <c r="WIE917" s="1091"/>
      <c r="WIF917" s="1091"/>
      <c r="WIG917" s="1091"/>
      <c r="WIH917" s="1091"/>
      <c r="WII917" s="1091"/>
      <c r="WIJ917" s="1091"/>
      <c r="WIK917" s="1091"/>
      <c r="WIL917" s="1091"/>
      <c r="WIM917" s="1091"/>
      <c r="WIN917" s="1091"/>
      <c r="WIO917" s="1091"/>
      <c r="WIP917" s="1091"/>
      <c r="WIQ917" s="1091"/>
      <c r="WIR917" s="1091"/>
      <c r="WIS917" s="1091"/>
      <c r="WIT917" s="1091"/>
      <c r="WIU917" s="1091"/>
      <c r="WIV917" s="1091"/>
      <c r="WIW917" s="1091"/>
      <c r="WIX917" s="1091"/>
      <c r="WIY917" s="1091"/>
      <c r="WIZ917" s="1091"/>
      <c r="WJA917" s="1091"/>
      <c r="WJB917" s="1091"/>
      <c r="WJC917" s="1091"/>
      <c r="WJD917" s="1091"/>
      <c r="WJE917" s="1091"/>
      <c r="WJF917" s="1091"/>
      <c r="WJG917" s="1091"/>
      <c r="WJH917" s="1091"/>
      <c r="WJI917" s="1091"/>
      <c r="WJJ917" s="1091"/>
      <c r="WJK917" s="1091"/>
      <c r="WJL917" s="1091"/>
      <c r="WJM917" s="1091"/>
      <c r="WJN917" s="1091"/>
      <c r="WJO917" s="1091"/>
      <c r="WJP917" s="1091"/>
      <c r="WJQ917" s="1091"/>
      <c r="WJR917" s="1091"/>
      <c r="WJS917" s="1091"/>
      <c r="WJT917" s="1091"/>
      <c r="WJU917" s="1091"/>
      <c r="WJV917" s="1091"/>
      <c r="WJW917" s="1091"/>
      <c r="WJX917" s="1091"/>
      <c r="WJY917" s="1091"/>
      <c r="WJZ917" s="1091"/>
      <c r="WKA917" s="1091"/>
      <c r="WKB917" s="1091"/>
      <c r="WKC917" s="1091"/>
      <c r="WKD917" s="1091"/>
      <c r="WKE917" s="1091"/>
      <c r="WKF917" s="1091"/>
      <c r="WKG917" s="1091"/>
      <c r="WKH917" s="1091"/>
      <c r="WKI917" s="1091"/>
      <c r="WKJ917" s="1091"/>
      <c r="WKK917" s="1091"/>
      <c r="WKL917" s="1091"/>
      <c r="WKM917" s="1091"/>
      <c r="WKN917" s="1091"/>
      <c r="WKO917" s="1091"/>
      <c r="WKP917" s="1091"/>
      <c r="WKQ917" s="1091"/>
      <c r="WKR917" s="1091"/>
      <c r="WKS917" s="1091"/>
      <c r="WKT917" s="1091"/>
      <c r="WKU917" s="1091"/>
      <c r="WKV917" s="1091"/>
      <c r="WKW917" s="1091"/>
      <c r="WKX917" s="1091"/>
      <c r="WKY917" s="1091"/>
      <c r="WKZ917" s="1091"/>
      <c r="WLA917" s="1091"/>
      <c r="WLB917" s="1091"/>
      <c r="WLC917" s="1091"/>
      <c r="WLD917" s="1091"/>
      <c r="WLE917" s="1091"/>
      <c r="WLF917" s="1091"/>
      <c r="WLG917" s="1091"/>
      <c r="WLH917" s="1091"/>
      <c r="WLI917" s="1091"/>
      <c r="WLJ917" s="1091"/>
      <c r="WLK917" s="1091"/>
      <c r="WLL917" s="1091"/>
      <c r="WLM917" s="1091"/>
      <c r="WLN917" s="1091"/>
      <c r="WLO917" s="1091"/>
      <c r="WLP917" s="1091"/>
      <c r="WLQ917" s="1091"/>
      <c r="WLR917" s="1091"/>
      <c r="WLS917" s="1091"/>
      <c r="WLT917" s="1091"/>
      <c r="WLU917" s="1091"/>
      <c r="WLV917" s="1091"/>
      <c r="WLW917" s="1091"/>
      <c r="WLX917" s="1091"/>
      <c r="WLY917" s="1091"/>
      <c r="WLZ917" s="1091"/>
      <c r="WMA917" s="1091"/>
      <c r="WMB917" s="1091"/>
      <c r="WMC917" s="1091"/>
      <c r="WMD917" s="1091"/>
      <c r="WME917" s="1091"/>
      <c r="WMF917" s="1091"/>
      <c r="WMG917" s="1091"/>
      <c r="WMH917" s="1091"/>
      <c r="WMI917" s="1091"/>
      <c r="WMJ917" s="1091"/>
      <c r="WMK917" s="1091"/>
      <c r="WML917" s="1091"/>
      <c r="WMM917" s="1091"/>
      <c r="WMN917" s="1091"/>
      <c r="WMO917" s="1091"/>
      <c r="WMP917" s="1091"/>
      <c r="WMQ917" s="1091"/>
      <c r="WMR917" s="1091"/>
      <c r="WMS917" s="1091"/>
      <c r="WMT917" s="1091"/>
      <c r="WMU917" s="1091"/>
      <c r="WMV917" s="1091"/>
      <c r="WMW917" s="1091"/>
      <c r="WMX917" s="1091"/>
      <c r="WMY917" s="1091"/>
      <c r="WMZ917" s="1091"/>
      <c r="WNA917" s="1091"/>
      <c r="WNB917" s="1091"/>
      <c r="WNC917" s="1091"/>
      <c r="WND917" s="1091"/>
      <c r="WNE917" s="1091"/>
      <c r="WNF917" s="1091"/>
      <c r="WNG917" s="1091"/>
      <c r="WNH917" s="1091"/>
      <c r="WNI917" s="1091"/>
      <c r="WNJ917" s="1091"/>
      <c r="WNK917" s="1091"/>
      <c r="WNL917" s="1091"/>
      <c r="WNM917" s="1091"/>
      <c r="WNN917" s="1091"/>
      <c r="WNO917" s="1091"/>
      <c r="WNP917" s="1091"/>
      <c r="WNQ917" s="1091"/>
      <c r="WNR917" s="1091"/>
      <c r="WNS917" s="1091"/>
      <c r="WNT917" s="1091"/>
      <c r="WNU917" s="1091"/>
      <c r="WNV917" s="1091"/>
      <c r="WNW917" s="1091"/>
      <c r="WNX917" s="1091"/>
      <c r="WNY917" s="1091"/>
      <c r="WNZ917" s="1091"/>
      <c r="WOA917" s="1091"/>
      <c r="WOB917" s="1091"/>
      <c r="WOC917" s="1091"/>
      <c r="WOD917" s="1091"/>
      <c r="WOE917" s="1091"/>
      <c r="WOF917" s="1091"/>
      <c r="WOG917" s="1091"/>
      <c r="WOH917" s="1091"/>
      <c r="WOI917" s="1091"/>
      <c r="WOJ917" s="1091"/>
      <c r="WOK917" s="1091"/>
      <c r="WOL917" s="1091"/>
      <c r="WOM917" s="1091"/>
      <c r="WON917" s="1091"/>
      <c r="WOO917" s="1091"/>
      <c r="WOP917" s="1091"/>
      <c r="WOQ917" s="1091"/>
      <c r="WOR917" s="1091"/>
      <c r="WOS917" s="1091"/>
      <c r="WOT917" s="1091"/>
      <c r="WOU917" s="1091"/>
      <c r="WOV917" s="1091"/>
      <c r="WOW917" s="1091"/>
      <c r="WOX917" s="1091"/>
      <c r="WOY917" s="1091"/>
      <c r="WOZ917" s="1091"/>
      <c r="WPA917" s="1091"/>
      <c r="WPB917" s="1091"/>
      <c r="WPC917" s="1091"/>
      <c r="WPD917" s="1091"/>
      <c r="WPE917" s="1091"/>
      <c r="WPF917" s="1091"/>
      <c r="WPG917" s="1091"/>
      <c r="WPH917" s="1091"/>
      <c r="WPI917" s="1091"/>
      <c r="WPJ917" s="1091"/>
      <c r="WPK917" s="1091"/>
      <c r="WPL917" s="1091"/>
      <c r="WPM917" s="1091"/>
      <c r="WPN917" s="1091"/>
      <c r="WPO917" s="1091"/>
      <c r="WPP917" s="1091"/>
      <c r="WPQ917" s="1091"/>
      <c r="WPR917" s="1091"/>
      <c r="WPS917" s="1091"/>
      <c r="WPT917" s="1091"/>
      <c r="WPU917" s="1091"/>
      <c r="WPV917" s="1091"/>
      <c r="WPW917" s="1091"/>
      <c r="WPX917" s="1091"/>
      <c r="WPY917" s="1091"/>
      <c r="WPZ917" s="1091"/>
      <c r="WQA917" s="1091"/>
      <c r="WQB917" s="1091"/>
      <c r="WQC917" s="1091"/>
      <c r="WQD917" s="1091"/>
      <c r="WQE917" s="1091"/>
      <c r="WQF917" s="1091"/>
      <c r="WQG917" s="1091"/>
      <c r="WQH917" s="1091"/>
      <c r="WQI917" s="1091"/>
      <c r="WQJ917" s="1091"/>
      <c r="WQK917" s="1091"/>
      <c r="WQL917" s="1091"/>
      <c r="WQM917" s="1091"/>
      <c r="WQN917" s="1091"/>
      <c r="WQO917" s="1091"/>
      <c r="WQP917" s="1091"/>
      <c r="WQQ917" s="1091"/>
      <c r="WQR917" s="1091"/>
      <c r="WQS917" s="1091"/>
      <c r="WQT917" s="1091"/>
      <c r="WQU917" s="1091"/>
      <c r="WQV917" s="1091"/>
      <c r="WQW917" s="1091"/>
      <c r="WQX917" s="1091"/>
      <c r="WQY917" s="1091"/>
      <c r="WQZ917" s="1091"/>
      <c r="WRA917" s="1091"/>
      <c r="WRB917" s="1091"/>
      <c r="WRC917" s="1091"/>
      <c r="WRD917" s="1091"/>
      <c r="WRE917" s="1091"/>
      <c r="WRF917" s="1091"/>
      <c r="WRG917" s="1091"/>
      <c r="WRH917" s="1091"/>
      <c r="WRI917" s="1091"/>
      <c r="WRJ917" s="1091"/>
      <c r="WRK917" s="1091"/>
      <c r="WRL917" s="1091"/>
      <c r="WRM917" s="1091"/>
      <c r="WRN917" s="1091"/>
      <c r="WRO917" s="1091"/>
      <c r="WRP917" s="1091"/>
      <c r="WRQ917" s="1091"/>
      <c r="WRR917" s="1091"/>
      <c r="WRS917" s="1091"/>
      <c r="WRT917" s="1091"/>
      <c r="WRU917" s="1091"/>
      <c r="WRV917" s="1091"/>
      <c r="WRW917" s="1091"/>
      <c r="WRX917" s="1091"/>
      <c r="WRY917" s="1091"/>
      <c r="WRZ917" s="1091"/>
      <c r="WSA917" s="1091"/>
      <c r="WSB917" s="1091"/>
      <c r="WSC917" s="1091"/>
      <c r="WSD917" s="1091"/>
      <c r="WSE917" s="1091"/>
      <c r="WSF917" s="1091"/>
      <c r="WSG917" s="1091"/>
      <c r="WSH917" s="1091"/>
      <c r="WSI917" s="1091"/>
      <c r="WSJ917" s="1091"/>
      <c r="WSK917" s="1091"/>
      <c r="WSL917" s="1091"/>
      <c r="WSM917" s="1091"/>
      <c r="WSN917" s="1091"/>
      <c r="WSO917" s="1091"/>
      <c r="WSP917" s="1091"/>
      <c r="WSQ917" s="1091"/>
      <c r="WSR917" s="1091"/>
      <c r="WSS917" s="1091"/>
      <c r="WST917" s="1091"/>
      <c r="WSU917" s="1091"/>
      <c r="WSV917" s="1091"/>
      <c r="WSW917" s="1091"/>
      <c r="WSX917" s="1091"/>
      <c r="WSY917" s="1091"/>
      <c r="WSZ917" s="1091"/>
      <c r="WTA917" s="1091"/>
      <c r="WTB917" s="1091"/>
      <c r="WTC917" s="1091"/>
      <c r="WTD917" s="1091"/>
      <c r="WTE917" s="1091"/>
      <c r="WTF917" s="1091"/>
      <c r="WTG917" s="1091"/>
      <c r="WTH917" s="1091"/>
      <c r="WTI917" s="1091"/>
      <c r="WTJ917" s="1091"/>
      <c r="WTK917" s="1091"/>
      <c r="WTL917" s="1091"/>
      <c r="WTM917" s="1091"/>
      <c r="WTN917" s="1091"/>
      <c r="WTO917" s="1091"/>
      <c r="WTP917" s="1091"/>
      <c r="WTQ917" s="1091"/>
      <c r="WTR917" s="1091"/>
      <c r="WTS917" s="1091"/>
      <c r="WTT917" s="1091"/>
      <c r="WTU917" s="1091"/>
      <c r="WTV917" s="1091"/>
      <c r="WTW917" s="1091"/>
      <c r="WTX917" s="1091"/>
      <c r="WTY917" s="1091"/>
      <c r="WTZ917" s="1091"/>
      <c r="WUA917" s="1091"/>
      <c r="WUB917" s="1091"/>
      <c r="WUC917" s="1091"/>
      <c r="WUD917" s="1091"/>
      <c r="WUE917" s="1091"/>
      <c r="WUF917" s="1091"/>
      <c r="WUG917" s="1091"/>
      <c r="WUH917" s="1091"/>
      <c r="WUI917" s="1091"/>
      <c r="WUJ917" s="1091"/>
      <c r="WUK917" s="1091"/>
      <c r="WUL917" s="1091"/>
      <c r="WUM917" s="1091"/>
      <c r="WUN917" s="1091"/>
      <c r="WUO917" s="1091"/>
      <c r="WUP917" s="1091"/>
      <c r="WUQ917" s="1091"/>
      <c r="WUR917" s="1091"/>
      <c r="WUS917" s="1091"/>
      <c r="WUT917" s="1091"/>
      <c r="WUU917" s="1091"/>
      <c r="WUV917" s="1091"/>
      <c r="WUW917" s="1091"/>
      <c r="WUX917" s="1091"/>
      <c r="WUY917" s="1091"/>
      <c r="WUZ917" s="1091"/>
      <c r="WVA917" s="1091"/>
      <c r="WVB917" s="1091"/>
      <c r="WVC917" s="1091"/>
      <c r="WVD917" s="1091"/>
      <c r="WVE917" s="1091"/>
      <c r="WVF917" s="1091"/>
      <c r="WVG917" s="1091"/>
      <c r="WVH917" s="1091"/>
      <c r="WVI917" s="1091"/>
      <c r="WVJ917" s="1091"/>
      <c r="WVK917" s="1091"/>
      <c r="WVL917" s="1091"/>
      <c r="WVM917" s="1091"/>
      <c r="WVN917" s="1091"/>
      <c r="WVO917" s="1091"/>
      <c r="WVP917" s="1091"/>
      <c r="WVQ917" s="1091"/>
      <c r="WVR917" s="1091"/>
      <c r="WVS917" s="1091"/>
      <c r="WVT917" s="1091"/>
      <c r="WVU917" s="1091"/>
      <c r="WVV917" s="1091"/>
      <c r="WVW917" s="1091"/>
      <c r="WVX917" s="1091"/>
      <c r="WVY917" s="1091"/>
      <c r="WVZ917" s="1091"/>
      <c r="WWA917" s="1091"/>
      <c r="WWB917" s="1091"/>
      <c r="WWC917" s="1091"/>
      <c r="WWD917" s="1091"/>
      <c r="WWE917" s="1091"/>
      <c r="WWF917" s="1091"/>
      <c r="WWG917" s="1091"/>
      <c r="WWH917" s="1091"/>
      <c r="WWI917" s="1091"/>
      <c r="WWJ917" s="1091"/>
      <c r="WWK917" s="1091"/>
      <c r="WWL917" s="1091"/>
      <c r="WWM917" s="1091"/>
      <c r="WWN917" s="1091"/>
      <c r="WWO917" s="1091"/>
      <c r="WWP917" s="1091"/>
      <c r="WWQ917" s="1091"/>
      <c r="WWR917" s="1091"/>
      <c r="WWS917" s="1091"/>
      <c r="WWT917" s="1091"/>
      <c r="WWU917" s="1091"/>
      <c r="WWV917" s="1091"/>
      <c r="WWW917" s="1091"/>
      <c r="WWX917" s="1091"/>
      <c r="WWY917" s="1091"/>
      <c r="WWZ917" s="1091"/>
      <c r="WXA917" s="1091"/>
      <c r="WXB917" s="1091"/>
      <c r="WXC917" s="1091"/>
      <c r="WXD917" s="1091"/>
      <c r="WXE917" s="1091"/>
      <c r="WXF917" s="1091"/>
      <c r="WXG917" s="1091"/>
      <c r="WXH917" s="1091"/>
      <c r="WXI917" s="1091"/>
      <c r="WXJ917" s="1091"/>
      <c r="WXK917" s="1091"/>
      <c r="WXL917" s="1091"/>
      <c r="WXM917" s="1091"/>
      <c r="WXN917" s="1091"/>
      <c r="WXO917" s="1091"/>
      <c r="WXP917" s="1091"/>
      <c r="WXQ917" s="1091"/>
      <c r="WXR917" s="1091"/>
      <c r="WXS917" s="1091"/>
      <c r="WXT917" s="1091"/>
      <c r="WXU917" s="1091"/>
      <c r="WXV917" s="1091"/>
      <c r="WXW917" s="1091"/>
      <c r="WXX917" s="1091"/>
      <c r="WXY917" s="1091"/>
      <c r="WXZ917" s="1091"/>
      <c r="WYA917" s="1091"/>
      <c r="WYB917" s="1091"/>
      <c r="WYC917" s="1091"/>
      <c r="WYD917" s="1091"/>
      <c r="WYE917" s="1091"/>
      <c r="WYF917" s="1091"/>
      <c r="WYG917" s="1091"/>
      <c r="WYH917" s="1091"/>
      <c r="WYI917" s="1091"/>
      <c r="WYJ917" s="1091"/>
      <c r="WYK917" s="1091"/>
      <c r="WYL917" s="1091"/>
      <c r="WYM917" s="1091"/>
      <c r="WYN917" s="1091"/>
      <c r="WYO917" s="1091"/>
      <c r="WYP917" s="1091"/>
      <c r="WYQ917" s="1091"/>
      <c r="WYR917" s="1091"/>
      <c r="WYS917" s="1091"/>
      <c r="WYT917" s="1091"/>
      <c r="WYU917" s="1091"/>
      <c r="WYV917" s="1091"/>
      <c r="WYW917" s="1091"/>
      <c r="WYX917" s="1091"/>
      <c r="WYY917" s="1091"/>
      <c r="WYZ917" s="1091"/>
      <c r="WZA917" s="1091"/>
      <c r="WZB917" s="1091"/>
      <c r="WZC917" s="1091"/>
      <c r="WZD917" s="1091"/>
      <c r="WZE917" s="1091"/>
      <c r="WZF917" s="1091"/>
      <c r="WZG917" s="1091"/>
      <c r="WZH917" s="1091"/>
      <c r="WZI917" s="1091"/>
      <c r="WZJ917" s="1091"/>
      <c r="WZK917" s="1091"/>
      <c r="WZL917" s="1091"/>
      <c r="WZM917" s="1091"/>
      <c r="WZN917" s="1091"/>
      <c r="WZO917" s="1091"/>
      <c r="WZP917" s="1091"/>
      <c r="WZQ917" s="1091"/>
      <c r="WZR917" s="1091"/>
      <c r="WZS917" s="1091"/>
      <c r="WZT917" s="1091"/>
      <c r="WZU917" s="1091"/>
      <c r="WZV917" s="1091"/>
      <c r="WZW917" s="1091"/>
      <c r="WZX917" s="1091"/>
      <c r="WZY917" s="1091"/>
      <c r="WZZ917" s="1091"/>
      <c r="XAA917" s="1091"/>
      <c r="XAB917" s="1091"/>
      <c r="XAC917" s="1091"/>
      <c r="XAD917" s="1091"/>
      <c r="XAE917" s="1091"/>
      <c r="XAF917" s="1091"/>
      <c r="XAG917" s="1091"/>
      <c r="XAH917" s="1091"/>
      <c r="XAI917" s="1091"/>
      <c r="XAJ917" s="1091"/>
      <c r="XAK917" s="1091"/>
      <c r="XAL917" s="1091"/>
      <c r="XAM917" s="1091"/>
      <c r="XAN917" s="1091"/>
      <c r="XAO917" s="1091"/>
      <c r="XAP917" s="1091"/>
      <c r="XAQ917" s="1091"/>
      <c r="XAR917" s="1091"/>
      <c r="XAS917" s="1091"/>
      <c r="XAT917" s="1091"/>
      <c r="XAU917" s="1091"/>
      <c r="XAV917" s="1091"/>
      <c r="XAW917" s="1091"/>
      <c r="XAX917" s="1091"/>
      <c r="XAY917" s="1091"/>
      <c r="XAZ917" s="1091"/>
      <c r="XBA917" s="1091"/>
      <c r="XBB917" s="1091"/>
      <c r="XBC917" s="1091"/>
      <c r="XBD917" s="1091"/>
      <c r="XBE917" s="1091"/>
      <c r="XBF917" s="1091"/>
      <c r="XBG917" s="1091"/>
      <c r="XBH917" s="1091"/>
      <c r="XBI917" s="1091"/>
      <c r="XBJ917" s="1091"/>
      <c r="XBK917" s="1091"/>
      <c r="XBL917" s="1091"/>
      <c r="XBM917" s="1091"/>
      <c r="XBN917" s="1091"/>
      <c r="XBO917" s="1091"/>
      <c r="XBP917" s="1091"/>
      <c r="XBQ917" s="1091"/>
      <c r="XBR917" s="1091"/>
      <c r="XBS917" s="1091"/>
      <c r="XBT917" s="1091"/>
      <c r="XBU917" s="1091"/>
      <c r="XBV917" s="1091"/>
      <c r="XBW917" s="1091"/>
      <c r="XBX917" s="1091"/>
      <c r="XBY917" s="1091"/>
      <c r="XBZ917" s="1091"/>
      <c r="XCA917" s="1091"/>
      <c r="XCB917" s="1091"/>
      <c r="XCC917" s="1091"/>
      <c r="XCD917" s="1091"/>
      <c r="XCE917" s="1091"/>
      <c r="XCF917" s="1091"/>
      <c r="XCG917" s="1091"/>
      <c r="XCH917" s="1091"/>
      <c r="XCI917" s="1091"/>
      <c r="XCJ917" s="1091"/>
      <c r="XCK917" s="1091"/>
      <c r="XCL917" s="1091"/>
      <c r="XCM917" s="1091"/>
      <c r="XCN917" s="1091"/>
      <c r="XCO917" s="1091"/>
      <c r="XCP917" s="1091"/>
      <c r="XCQ917" s="1091"/>
      <c r="XCR917" s="1091"/>
      <c r="XCS917" s="1091"/>
      <c r="XCT917" s="1091"/>
      <c r="XCU917" s="1091"/>
      <c r="XCV917" s="1091"/>
      <c r="XCW917" s="1091"/>
      <c r="XCX917" s="1091"/>
      <c r="XCY917" s="1091"/>
      <c r="XCZ917" s="1091"/>
      <c r="XDA917" s="1091"/>
      <c r="XDB917" s="1091"/>
      <c r="XDC917" s="1091"/>
      <c r="XDD917" s="1091"/>
      <c r="XDE917" s="1091"/>
      <c r="XDF917" s="1091"/>
      <c r="XDG917" s="1091"/>
      <c r="XDH917" s="1091"/>
      <c r="XDI917" s="1091"/>
      <c r="XDJ917" s="1091"/>
      <c r="XDK917" s="1091"/>
      <c r="XDL917" s="1091"/>
      <c r="XDM917" s="1091"/>
      <c r="XDN917" s="1091"/>
      <c r="XDO917" s="1091"/>
      <c r="XDP917" s="1091"/>
      <c r="XDQ917" s="1091"/>
      <c r="XDR917" s="1091"/>
      <c r="XDS917" s="1091"/>
      <c r="XDT917" s="1091"/>
      <c r="XDU917" s="1091"/>
      <c r="XDV917" s="1091"/>
      <c r="XDW917" s="1091"/>
      <c r="XDX917" s="1091"/>
      <c r="XDY917" s="1091"/>
      <c r="XDZ917" s="1091"/>
      <c r="XEA917" s="1091"/>
      <c r="XEB917" s="1091"/>
      <c r="XEC917" s="1091"/>
      <c r="XED917" s="1091"/>
      <c r="XEE917" s="1091"/>
      <c r="XEF917" s="1091"/>
      <c r="XEG917" s="1091"/>
      <c r="XEH917" s="1091"/>
      <c r="XEI917" s="1091"/>
      <c r="XEJ917" s="1091"/>
      <c r="XEK917" s="1091"/>
      <c r="XEL917" s="1091"/>
      <c r="XEM917" s="1091"/>
      <c r="XEN917" s="1091"/>
      <c r="XEO917" s="1091"/>
      <c r="XEP917" s="1091"/>
      <c r="XEQ917" s="1091"/>
      <c r="XER917" s="1091"/>
      <c r="XES917" s="1091"/>
      <c r="XET917" s="1091"/>
      <c r="XEU917" s="1091"/>
      <c r="XEV917" s="1091"/>
      <c r="XEW917" s="1091"/>
      <c r="XEX917" s="1091"/>
      <c r="XEY917" s="1091"/>
      <c r="XEZ917" s="1091"/>
      <c r="XFA917" s="1091"/>
      <c r="XFB917" s="1091"/>
      <c r="XFC917" s="1091"/>
      <c r="XFD917" s="1091"/>
    </row>
    <row r="2344" spans="1:16384" s="1071" customFormat="1" x14ac:dyDescent="0.25">
      <c r="A2344" s="1100"/>
      <c r="C2344" s="1095"/>
      <c r="E2344" s="1091"/>
      <c r="F2344" s="1091"/>
      <c r="G2344" s="1091"/>
      <c r="H2344" s="1091"/>
      <c r="I2344" s="1091"/>
      <c r="J2344" s="1091"/>
      <c r="K2344" s="1091"/>
      <c r="L2344" s="1091"/>
      <c r="M2344" s="1091"/>
      <c r="N2344" s="1091"/>
      <c r="O2344" s="1091"/>
      <c r="P2344" s="1091"/>
      <c r="Q2344" s="1091"/>
      <c r="R2344" s="1091"/>
      <c r="S2344" s="1091"/>
      <c r="T2344" s="1091"/>
      <c r="U2344" s="1091"/>
      <c r="V2344" s="1091"/>
      <c r="W2344" s="1091"/>
      <c r="X2344" s="1091"/>
      <c r="Y2344" s="1091"/>
      <c r="Z2344" s="1091"/>
      <c r="AA2344" s="1091"/>
      <c r="AB2344" s="1091"/>
      <c r="AC2344" s="1091"/>
      <c r="AD2344" s="1091"/>
      <c r="AE2344" s="1091"/>
      <c r="AF2344" s="1091"/>
      <c r="AG2344" s="1091"/>
      <c r="AH2344" s="1091"/>
      <c r="AI2344" s="1091"/>
      <c r="AJ2344" s="1091"/>
      <c r="AK2344" s="1091"/>
      <c r="AL2344" s="1091"/>
      <c r="AM2344" s="1091"/>
      <c r="AN2344" s="1091"/>
      <c r="AO2344" s="1091"/>
      <c r="AP2344" s="1091"/>
      <c r="AQ2344" s="1091"/>
      <c r="AR2344" s="1091"/>
      <c r="AS2344" s="1091"/>
      <c r="AT2344" s="1091"/>
      <c r="AU2344" s="1091"/>
      <c r="AV2344" s="1091"/>
      <c r="AW2344" s="1091"/>
      <c r="AX2344" s="1091"/>
      <c r="AY2344" s="1091"/>
      <c r="AZ2344" s="1091"/>
      <c r="BA2344" s="1091"/>
      <c r="BB2344" s="1091"/>
      <c r="BC2344" s="1091"/>
      <c r="BD2344" s="1091"/>
      <c r="BE2344" s="1091"/>
      <c r="BF2344" s="1091"/>
      <c r="BG2344" s="1091"/>
      <c r="BH2344" s="1091"/>
      <c r="BI2344" s="1091"/>
      <c r="BJ2344" s="1091"/>
      <c r="BK2344" s="1091"/>
      <c r="BL2344" s="1091"/>
      <c r="BM2344" s="1091"/>
      <c r="BN2344" s="1091"/>
      <c r="BO2344" s="1091"/>
      <c r="BP2344" s="1091"/>
      <c r="BQ2344" s="1091"/>
      <c r="BR2344" s="1091"/>
      <c r="BS2344" s="1091"/>
      <c r="BT2344" s="1091"/>
      <c r="BU2344" s="1091"/>
      <c r="BV2344" s="1091"/>
      <c r="BW2344" s="1091"/>
      <c r="BX2344" s="1091"/>
      <c r="BY2344" s="1091"/>
      <c r="BZ2344" s="1091"/>
      <c r="CA2344" s="1091"/>
      <c r="CB2344" s="1091"/>
      <c r="CC2344" s="1091"/>
      <c r="CD2344" s="1091"/>
      <c r="CE2344" s="1091"/>
      <c r="CF2344" s="1091"/>
      <c r="CG2344" s="1091"/>
      <c r="CH2344" s="1091"/>
      <c r="CI2344" s="1091"/>
      <c r="CJ2344" s="1091"/>
      <c r="CK2344" s="1091"/>
      <c r="CL2344" s="1091"/>
      <c r="CM2344" s="1091"/>
      <c r="CN2344" s="1091"/>
      <c r="CO2344" s="1091"/>
      <c r="CP2344" s="1091"/>
      <c r="CQ2344" s="1091"/>
      <c r="CR2344" s="1091"/>
      <c r="CS2344" s="1091"/>
      <c r="CT2344" s="1091"/>
      <c r="CU2344" s="1091"/>
      <c r="CV2344" s="1091"/>
      <c r="CW2344" s="1091"/>
      <c r="CX2344" s="1091"/>
      <c r="CY2344" s="1091"/>
      <c r="CZ2344" s="1091"/>
      <c r="DA2344" s="1091"/>
      <c r="DB2344" s="1091"/>
      <c r="DC2344" s="1091"/>
      <c r="DD2344" s="1091"/>
      <c r="DE2344" s="1091"/>
      <c r="DF2344" s="1091"/>
      <c r="DG2344" s="1091"/>
      <c r="DH2344" s="1091"/>
      <c r="DI2344" s="1091"/>
      <c r="DJ2344" s="1091"/>
      <c r="DK2344" s="1091"/>
      <c r="DL2344" s="1091"/>
      <c r="DM2344" s="1091"/>
      <c r="DN2344" s="1091"/>
      <c r="DO2344" s="1091"/>
      <c r="DP2344" s="1091"/>
      <c r="DQ2344" s="1091"/>
      <c r="DR2344" s="1091"/>
      <c r="DS2344" s="1091"/>
      <c r="DT2344" s="1091"/>
      <c r="DU2344" s="1091"/>
      <c r="DV2344" s="1091"/>
      <c r="DW2344" s="1091"/>
      <c r="DX2344" s="1091"/>
      <c r="DY2344" s="1091"/>
      <c r="DZ2344" s="1091"/>
      <c r="EA2344" s="1091"/>
      <c r="EB2344" s="1091"/>
      <c r="EC2344" s="1091"/>
      <c r="ED2344" s="1091"/>
      <c r="EE2344" s="1091"/>
      <c r="EF2344" s="1091"/>
      <c r="EG2344" s="1091"/>
      <c r="EH2344" s="1091"/>
      <c r="EI2344" s="1091"/>
      <c r="EJ2344" s="1091"/>
      <c r="EK2344" s="1091"/>
      <c r="EL2344" s="1091"/>
      <c r="EM2344" s="1091"/>
      <c r="EN2344" s="1091"/>
      <c r="EO2344" s="1091"/>
      <c r="EP2344" s="1091"/>
      <c r="EQ2344" s="1091"/>
      <c r="ER2344" s="1091"/>
      <c r="ES2344" s="1091"/>
      <c r="ET2344" s="1091"/>
      <c r="EU2344" s="1091"/>
      <c r="EV2344" s="1091"/>
      <c r="EW2344" s="1091"/>
      <c r="EX2344" s="1091"/>
      <c r="EY2344" s="1091"/>
      <c r="EZ2344" s="1091"/>
      <c r="FA2344" s="1091"/>
      <c r="FB2344" s="1091"/>
      <c r="FC2344" s="1091"/>
      <c r="FD2344" s="1091"/>
      <c r="FE2344" s="1091"/>
      <c r="FF2344" s="1091"/>
      <c r="FG2344" s="1091"/>
      <c r="FH2344" s="1091"/>
      <c r="FI2344" s="1091"/>
      <c r="FJ2344" s="1091"/>
      <c r="FK2344" s="1091"/>
      <c r="FL2344" s="1091"/>
      <c r="FM2344" s="1091"/>
      <c r="FN2344" s="1091"/>
      <c r="FO2344" s="1091"/>
      <c r="FP2344" s="1091"/>
      <c r="FQ2344" s="1091"/>
      <c r="FR2344" s="1091"/>
      <c r="FS2344" s="1091"/>
      <c r="FT2344" s="1091"/>
      <c r="FU2344" s="1091"/>
      <c r="FV2344" s="1091"/>
      <c r="FW2344" s="1091"/>
      <c r="FX2344" s="1091"/>
      <c r="FY2344" s="1091"/>
      <c r="FZ2344" s="1091"/>
      <c r="GA2344" s="1091"/>
      <c r="GB2344" s="1091"/>
      <c r="GC2344" s="1091"/>
      <c r="GD2344" s="1091"/>
      <c r="GE2344" s="1091"/>
      <c r="GF2344" s="1091"/>
      <c r="GG2344" s="1091"/>
      <c r="GH2344" s="1091"/>
      <c r="GI2344" s="1091"/>
      <c r="GJ2344" s="1091"/>
      <c r="GK2344" s="1091"/>
      <c r="GL2344" s="1091"/>
      <c r="GM2344" s="1091"/>
      <c r="GN2344" s="1091"/>
      <c r="GO2344" s="1091"/>
      <c r="GP2344" s="1091"/>
      <c r="GQ2344" s="1091"/>
      <c r="GR2344" s="1091"/>
      <c r="GS2344" s="1091"/>
      <c r="GT2344" s="1091"/>
      <c r="GU2344" s="1091"/>
      <c r="GV2344" s="1091"/>
      <c r="GW2344" s="1091"/>
      <c r="GX2344" s="1091"/>
      <c r="GY2344" s="1091"/>
      <c r="GZ2344" s="1091"/>
      <c r="HA2344" s="1091"/>
      <c r="HB2344" s="1091"/>
      <c r="HC2344" s="1091"/>
      <c r="HD2344" s="1091"/>
      <c r="HE2344" s="1091"/>
      <c r="HF2344" s="1091"/>
      <c r="HG2344" s="1091"/>
      <c r="HH2344" s="1091"/>
      <c r="HI2344" s="1091"/>
      <c r="HJ2344" s="1091"/>
      <c r="HK2344" s="1091"/>
      <c r="HL2344" s="1091"/>
      <c r="HM2344" s="1091"/>
      <c r="HN2344" s="1091"/>
      <c r="HO2344" s="1091"/>
      <c r="HP2344" s="1091"/>
      <c r="HQ2344" s="1091"/>
      <c r="HR2344" s="1091"/>
      <c r="HS2344" s="1091"/>
      <c r="HT2344" s="1091"/>
      <c r="HU2344" s="1091"/>
      <c r="HV2344" s="1091"/>
      <c r="HW2344" s="1091"/>
      <c r="HX2344" s="1091"/>
      <c r="HY2344" s="1091"/>
      <c r="HZ2344" s="1091"/>
      <c r="IA2344" s="1091"/>
      <c r="IB2344" s="1091"/>
      <c r="IC2344" s="1091"/>
      <c r="ID2344" s="1091"/>
      <c r="IE2344" s="1091"/>
      <c r="IF2344" s="1091"/>
      <c r="IG2344" s="1091"/>
      <c r="IH2344" s="1091"/>
      <c r="II2344" s="1091"/>
      <c r="IJ2344" s="1091"/>
      <c r="IK2344" s="1091"/>
      <c r="IL2344" s="1091"/>
      <c r="IM2344" s="1091"/>
      <c r="IN2344" s="1091"/>
      <c r="IO2344" s="1091"/>
      <c r="IP2344" s="1091"/>
      <c r="IQ2344" s="1091"/>
      <c r="IR2344" s="1091"/>
      <c r="IS2344" s="1091"/>
      <c r="IT2344" s="1091"/>
      <c r="IU2344" s="1091"/>
      <c r="IV2344" s="1091"/>
      <c r="IW2344" s="1091"/>
      <c r="IX2344" s="1091"/>
      <c r="IY2344" s="1091"/>
      <c r="IZ2344" s="1091"/>
      <c r="JA2344" s="1091"/>
      <c r="JB2344" s="1091"/>
      <c r="JC2344" s="1091"/>
      <c r="JD2344" s="1091"/>
      <c r="JE2344" s="1091"/>
      <c r="JF2344" s="1091"/>
      <c r="JG2344" s="1091"/>
      <c r="JH2344" s="1091"/>
      <c r="JI2344" s="1091"/>
      <c r="JJ2344" s="1091"/>
      <c r="JK2344" s="1091"/>
      <c r="JL2344" s="1091"/>
      <c r="JM2344" s="1091"/>
      <c r="JN2344" s="1091"/>
      <c r="JO2344" s="1091"/>
      <c r="JP2344" s="1091"/>
      <c r="JQ2344" s="1091"/>
      <c r="JR2344" s="1091"/>
      <c r="JS2344" s="1091"/>
      <c r="JT2344" s="1091"/>
      <c r="JU2344" s="1091"/>
      <c r="JV2344" s="1091"/>
      <c r="JW2344" s="1091"/>
      <c r="JX2344" s="1091"/>
      <c r="JY2344" s="1091"/>
      <c r="JZ2344" s="1091"/>
      <c r="KA2344" s="1091"/>
      <c r="KB2344" s="1091"/>
      <c r="KC2344" s="1091"/>
      <c r="KD2344" s="1091"/>
      <c r="KE2344" s="1091"/>
      <c r="KF2344" s="1091"/>
      <c r="KG2344" s="1091"/>
      <c r="KH2344" s="1091"/>
      <c r="KI2344" s="1091"/>
      <c r="KJ2344" s="1091"/>
      <c r="KK2344" s="1091"/>
      <c r="KL2344" s="1091"/>
      <c r="KM2344" s="1091"/>
      <c r="KN2344" s="1091"/>
      <c r="KO2344" s="1091"/>
      <c r="KP2344" s="1091"/>
      <c r="KQ2344" s="1091"/>
      <c r="KR2344" s="1091"/>
      <c r="KS2344" s="1091"/>
      <c r="KT2344" s="1091"/>
      <c r="KU2344" s="1091"/>
      <c r="KV2344" s="1091"/>
      <c r="KW2344" s="1091"/>
      <c r="KX2344" s="1091"/>
      <c r="KY2344" s="1091"/>
      <c r="KZ2344" s="1091"/>
      <c r="LA2344" s="1091"/>
      <c r="LB2344" s="1091"/>
      <c r="LC2344" s="1091"/>
      <c r="LD2344" s="1091"/>
      <c r="LE2344" s="1091"/>
      <c r="LF2344" s="1091"/>
      <c r="LG2344" s="1091"/>
      <c r="LH2344" s="1091"/>
      <c r="LI2344" s="1091"/>
      <c r="LJ2344" s="1091"/>
      <c r="LK2344" s="1091"/>
      <c r="LL2344" s="1091"/>
      <c r="LM2344" s="1091"/>
      <c r="LN2344" s="1091"/>
      <c r="LO2344" s="1091"/>
      <c r="LP2344" s="1091"/>
      <c r="LQ2344" s="1091"/>
      <c r="LR2344" s="1091"/>
      <c r="LS2344" s="1091"/>
      <c r="LT2344" s="1091"/>
      <c r="LU2344" s="1091"/>
      <c r="LV2344" s="1091"/>
      <c r="LW2344" s="1091"/>
      <c r="LX2344" s="1091"/>
      <c r="LY2344" s="1091"/>
      <c r="LZ2344" s="1091"/>
      <c r="MA2344" s="1091"/>
      <c r="MB2344" s="1091"/>
      <c r="MC2344" s="1091"/>
      <c r="MD2344" s="1091"/>
      <c r="ME2344" s="1091"/>
      <c r="MF2344" s="1091"/>
      <c r="MG2344" s="1091"/>
      <c r="MH2344" s="1091"/>
      <c r="MI2344" s="1091"/>
      <c r="MJ2344" s="1091"/>
      <c r="MK2344" s="1091"/>
      <c r="ML2344" s="1091"/>
      <c r="MM2344" s="1091"/>
      <c r="MN2344" s="1091"/>
      <c r="MO2344" s="1091"/>
      <c r="MP2344" s="1091"/>
      <c r="MQ2344" s="1091"/>
      <c r="MR2344" s="1091"/>
      <c r="MS2344" s="1091"/>
      <c r="MT2344" s="1091"/>
      <c r="MU2344" s="1091"/>
      <c r="MV2344" s="1091"/>
      <c r="MW2344" s="1091"/>
      <c r="MX2344" s="1091"/>
      <c r="MY2344" s="1091"/>
      <c r="MZ2344" s="1091"/>
      <c r="NA2344" s="1091"/>
      <c r="NB2344" s="1091"/>
      <c r="NC2344" s="1091"/>
      <c r="ND2344" s="1091"/>
      <c r="NE2344" s="1091"/>
      <c r="NF2344" s="1091"/>
      <c r="NG2344" s="1091"/>
      <c r="NH2344" s="1091"/>
      <c r="NI2344" s="1091"/>
      <c r="NJ2344" s="1091"/>
      <c r="NK2344" s="1091"/>
      <c r="NL2344" s="1091"/>
      <c r="NM2344" s="1091"/>
      <c r="NN2344" s="1091"/>
      <c r="NO2344" s="1091"/>
      <c r="NP2344" s="1091"/>
      <c r="NQ2344" s="1091"/>
      <c r="NR2344" s="1091"/>
      <c r="NS2344" s="1091"/>
      <c r="NT2344" s="1091"/>
      <c r="NU2344" s="1091"/>
      <c r="NV2344" s="1091"/>
      <c r="NW2344" s="1091"/>
      <c r="NX2344" s="1091"/>
      <c r="NY2344" s="1091"/>
      <c r="NZ2344" s="1091"/>
      <c r="OA2344" s="1091"/>
      <c r="OB2344" s="1091"/>
      <c r="OC2344" s="1091"/>
      <c r="OD2344" s="1091"/>
      <c r="OE2344" s="1091"/>
      <c r="OF2344" s="1091"/>
      <c r="OG2344" s="1091"/>
      <c r="OH2344" s="1091"/>
      <c r="OI2344" s="1091"/>
      <c r="OJ2344" s="1091"/>
      <c r="OK2344" s="1091"/>
      <c r="OL2344" s="1091"/>
      <c r="OM2344" s="1091"/>
      <c r="ON2344" s="1091"/>
      <c r="OO2344" s="1091"/>
      <c r="OP2344" s="1091"/>
      <c r="OQ2344" s="1091"/>
      <c r="OR2344" s="1091"/>
      <c r="OS2344" s="1091"/>
      <c r="OT2344" s="1091"/>
      <c r="OU2344" s="1091"/>
      <c r="OV2344" s="1091"/>
      <c r="OW2344" s="1091"/>
      <c r="OX2344" s="1091"/>
      <c r="OY2344" s="1091"/>
      <c r="OZ2344" s="1091"/>
      <c r="PA2344" s="1091"/>
      <c r="PB2344" s="1091"/>
      <c r="PC2344" s="1091"/>
      <c r="PD2344" s="1091"/>
      <c r="PE2344" s="1091"/>
      <c r="PF2344" s="1091"/>
      <c r="PG2344" s="1091"/>
      <c r="PH2344" s="1091"/>
      <c r="PI2344" s="1091"/>
      <c r="PJ2344" s="1091"/>
      <c r="PK2344" s="1091"/>
      <c r="PL2344" s="1091"/>
      <c r="PM2344" s="1091"/>
      <c r="PN2344" s="1091"/>
      <c r="PO2344" s="1091"/>
      <c r="PP2344" s="1091"/>
      <c r="PQ2344" s="1091"/>
      <c r="PR2344" s="1091"/>
      <c r="PS2344" s="1091"/>
      <c r="PT2344" s="1091"/>
      <c r="PU2344" s="1091"/>
      <c r="PV2344" s="1091"/>
      <c r="PW2344" s="1091"/>
      <c r="PX2344" s="1091"/>
      <c r="PY2344" s="1091"/>
      <c r="PZ2344" s="1091"/>
      <c r="QA2344" s="1091"/>
      <c r="QB2344" s="1091"/>
      <c r="QC2344" s="1091"/>
      <c r="QD2344" s="1091"/>
      <c r="QE2344" s="1091"/>
      <c r="QF2344" s="1091"/>
      <c r="QG2344" s="1091"/>
      <c r="QH2344" s="1091"/>
      <c r="QI2344" s="1091"/>
      <c r="QJ2344" s="1091"/>
      <c r="QK2344" s="1091"/>
      <c r="QL2344" s="1091"/>
      <c r="QM2344" s="1091"/>
      <c r="QN2344" s="1091"/>
      <c r="QO2344" s="1091"/>
      <c r="QP2344" s="1091"/>
      <c r="QQ2344" s="1091"/>
      <c r="QR2344" s="1091"/>
      <c r="QS2344" s="1091"/>
      <c r="QT2344" s="1091"/>
      <c r="QU2344" s="1091"/>
      <c r="QV2344" s="1091"/>
      <c r="QW2344" s="1091"/>
      <c r="QX2344" s="1091"/>
      <c r="QY2344" s="1091"/>
      <c r="QZ2344" s="1091"/>
      <c r="RA2344" s="1091"/>
      <c r="RB2344" s="1091"/>
      <c r="RC2344" s="1091"/>
      <c r="RD2344" s="1091"/>
      <c r="RE2344" s="1091"/>
      <c r="RF2344" s="1091"/>
      <c r="RG2344" s="1091"/>
      <c r="RH2344" s="1091"/>
      <c r="RI2344" s="1091"/>
      <c r="RJ2344" s="1091"/>
      <c r="RK2344" s="1091"/>
      <c r="RL2344" s="1091"/>
      <c r="RM2344" s="1091"/>
      <c r="RN2344" s="1091"/>
      <c r="RO2344" s="1091"/>
      <c r="RP2344" s="1091"/>
      <c r="RQ2344" s="1091"/>
      <c r="RR2344" s="1091"/>
      <c r="RS2344" s="1091"/>
      <c r="RT2344" s="1091"/>
      <c r="RU2344" s="1091"/>
      <c r="RV2344" s="1091"/>
      <c r="RW2344" s="1091"/>
      <c r="RX2344" s="1091"/>
      <c r="RY2344" s="1091"/>
      <c r="RZ2344" s="1091"/>
      <c r="SA2344" s="1091"/>
      <c r="SB2344" s="1091"/>
      <c r="SC2344" s="1091"/>
      <c r="SD2344" s="1091"/>
      <c r="SE2344" s="1091"/>
      <c r="SF2344" s="1091"/>
      <c r="SG2344" s="1091"/>
      <c r="SH2344" s="1091"/>
      <c r="SI2344" s="1091"/>
      <c r="SJ2344" s="1091"/>
      <c r="SK2344" s="1091"/>
      <c r="SL2344" s="1091"/>
      <c r="SM2344" s="1091"/>
      <c r="SN2344" s="1091"/>
      <c r="SO2344" s="1091"/>
      <c r="SP2344" s="1091"/>
      <c r="SQ2344" s="1091"/>
      <c r="SR2344" s="1091"/>
      <c r="SS2344" s="1091"/>
      <c r="ST2344" s="1091"/>
      <c r="SU2344" s="1091"/>
      <c r="SV2344" s="1091"/>
      <c r="SW2344" s="1091"/>
      <c r="SX2344" s="1091"/>
      <c r="SY2344" s="1091"/>
      <c r="SZ2344" s="1091"/>
      <c r="TA2344" s="1091"/>
      <c r="TB2344" s="1091"/>
      <c r="TC2344" s="1091"/>
      <c r="TD2344" s="1091"/>
      <c r="TE2344" s="1091"/>
      <c r="TF2344" s="1091"/>
      <c r="TG2344" s="1091"/>
      <c r="TH2344" s="1091"/>
      <c r="TI2344" s="1091"/>
      <c r="TJ2344" s="1091"/>
      <c r="TK2344" s="1091"/>
      <c r="TL2344" s="1091"/>
      <c r="TM2344" s="1091"/>
      <c r="TN2344" s="1091"/>
      <c r="TO2344" s="1091"/>
      <c r="TP2344" s="1091"/>
      <c r="TQ2344" s="1091"/>
      <c r="TR2344" s="1091"/>
      <c r="TS2344" s="1091"/>
      <c r="TT2344" s="1091"/>
      <c r="TU2344" s="1091"/>
      <c r="TV2344" s="1091"/>
      <c r="TW2344" s="1091"/>
      <c r="TX2344" s="1091"/>
      <c r="TY2344" s="1091"/>
      <c r="TZ2344" s="1091"/>
      <c r="UA2344" s="1091"/>
      <c r="UB2344" s="1091"/>
      <c r="UC2344" s="1091"/>
      <c r="UD2344" s="1091"/>
      <c r="UE2344" s="1091"/>
      <c r="UF2344" s="1091"/>
      <c r="UG2344" s="1091"/>
      <c r="UH2344" s="1091"/>
      <c r="UI2344" s="1091"/>
      <c r="UJ2344" s="1091"/>
      <c r="UK2344" s="1091"/>
      <c r="UL2344" s="1091"/>
      <c r="UM2344" s="1091"/>
      <c r="UN2344" s="1091"/>
      <c r="UO2344" s="1091"/>
      <c r="UP2344" s="1091"/>
      <c r="UQ2344" s="1091"/>
      <c r="UR2344" s="1091"/>
      <c r="US2344" s="1091"/>
      <c r="UT2344" s="1091"/>
      <c r="UU2344" s="1091"/>
      <c r="UV2344" s="1091"/>
      <c r="UW2344" s="1091"/>
      <c r="UX2344" s="1091"/>
      <c r="UY2344" s="1091"/>
      <c r="UZ2344" s="1091"/>
      <c r="VA2344" s="1091"/>
      <c r="VB2344" s="1091"/>
      <c r="VC2344" s="1091"/>
      <c r="VD2344" s="1091"/>
      <c r="VE2344" s="1091"/>
      <c r="VF2344" s="1091"/>
      <c r="VG2344" s="1091"/>
      <c r="VH2344" s="1091"/>
      <c r="VI2344" s="1091"/>
      <c r="VJ2344" s="1091"/>
      <c r="VK2344" s="1091"/>
      <c r="VL2344" s="1091"/>
      <c r="VM2344" s="1091"/>
      <c r="VN2344" s="1091"/>
      <c r="VO2344" s="1091"/>
      <c r="VP2344" s="1091"/>
      <c r="VQ2344" s="1091"/>
      <c r="VR2344" s="1091"/>
      <c r="VS2344" s="1091"/>
      <c r="VT2344" s="1091"/>
      <c r="VU2344" s="1091"/>
      <c r="VV2344" s="1091"/>
      <c r="VW2344" s="1091"/>
      <c r="VX2344" s="1091"/>
      <c r="VY2344" s="1091"/>
      <c r="VZ2344" s="1091"/>
      <c r="WA2344" s="1091"/>
      <c r="WB2344" s="1091"/>
      <c r="WC2344" s="1091"/>
      <c r="WD2344" s="1091"/>
      <c r="WE2344" s="1091"/>
      <c r="WF2344" s="1091"/>
      <c r="WG2344" s="1091"/>
      <c r="WH2344" s="1091"/>
      <c r="WI2344" s="1091"/>
      <c r="WJ2344" s="1091"/>
      <c r="WK2344" s="1091"/>
      <c r="WL2344" s="1091"/>
      <c r="WM2344" s="1091"/>
      <c r="WN2344" s="1091"/>
      <c r="WO2344" s="1091"/>
      <c r="WP2344" s="1091"/>
      <c r="WQ2344" s="1091"/>
      <c r="WR2344" s="1091"/>
      <c r="WS2344" s="1091"/>
      <c r="WT2344" s="1091"/>
      <c r="WU2344" s="1091"/>
      <c r="WV2344" s="1091"/>
      <c r="WW2344" s="1091"/>
      <c r="WX2344" s="1091"/>
      <c r="WY2344" s="1091"/>
      <c r="WZ2344" s="1091"/>
      <c r="XA2344" s="1091"/>
      <c r="XB2344" s="1091"/>
      <c r="XC2344" s="1091"/>
      <c r="XD2344" s="1091"/>
      <c r="XE2344" s="1091"/>
      <c r="XF2344" s="1091"/>
      <c r="XG2344" s="1091"/>
      <c r="XH2344" s="1091"/>
      <c r="XI2344" s="1091"/>
      <c r="XJ2344" s="1091"/>
      <c r="XK2344" s="1091"/>
      <c r="XL2344" s="1091"/>
      <c r="XM2344" s="1091"/>
      <c r="XN2344" s="1091"/>
      <c r="XO2344" s="1091"/>
      <c r="XP2344" s="1091"/>
      <c r="XQ2344" s="1091"/>
      <c r="XR2344" s="1091"/>
      <c r="XS2344" s="1091"/>
      <c r="XT2344" s="1091"/>
      <c r="XU2344" s="1091"/>
      <c r="XV2344" s="1091"/>
      <c r="XW2344" s="1091"/>
      <c r="XX2344" s="1091"/>
      <c r="XY2344" s="1091"/>
      <c r="XZ2344" s="1091"/>
      <c r="YA2344" s="1091"/>
      <c r="YB2344" s="1091"/>
      <c r="YC2344" s="1091"/>
      <c r="YD2344" s="1091"/>
      <c r="YE2344" s="1091"/>
      <c r="YF2344" s="1091"/>
      <c r="YG2344" s="1091"/>
      <c r="YH2344" s="1091"/>
      <c r="YI2344" s="1091"/>
      <c r="YJ2344" s="1091"/>
      <c r="YK2344" s="1091"/>
      <c r="YL2344" s="1091"/>
      <c r="YM2344" s="1091"/>
      <c r="YN2344" s="1091"/>
      <c r="YO2344" s="1091"/>
      <c r="YP2344" s="1091"/>
      <c r="YQ2344" s="1091"/>
      <c r="YR2344" s="1091"/>
      <c r="YS2344" s="1091"/>
      <c r="YT2344" s="1091"/>
      <c r="YU2344" s="1091"/>
      <c r="YV2344" s="1091"/>
      <c r="YW2344" s="1091"/>
      <c r="YX2344" s="1091"/>
      <c r="YY2344" s="1091"/>
      <c r="YZ2344" s="1091"/>
      <c r="ZA2344" s="1091"/>
      <c r="ZB2344" s="1091"/>
      <c r="ZC2344" s="1091"/>
      <c r="ZD2344" s="1091"/>
      <c r="ZE2344" s="1091"/>
      <c r="ZF2344" s="1091"/>
      <c r="ZG2344" s="1091"/>
      <c r="ZH2344" s="1091"/>
      <c r="ZI2344" s="1091"/>
      <c r="ZJ2344" s="1091"/>
      <c r="ZK2344" s="1091"/>
      <c r="ZL2344" s="1091"/>
      <c r="ZM2344" s="1091"/>
      <c r="ZN2344" s="1091"/>
      <c r="ZO2344" s="1091"/>
      <c r="ZP2344" s="1091"/>
      <c r="ZQ2344" s="1091"/>
      <c r="ZR2344" s="1091"/>
      <c r="ZS2344" s="1091"/>
      <c r="ZT2344" s="1091"/>
      <c r="ZU2344" s="1091"/>
      <c r="ZV2344" s="1091"/>
      <c r="ZW2344" s="1091"/>
      <c r="ZX2344" s="1091"/>
      <c r="ZY2344" s="1091"/>
      <c r="ZZ2344" s="1091"/>
      <c r="AAA2344" s="1091"/>
      <c r="AAB2344" s="1091"/>
      <c r="AAC2344" s="1091"/>
      <c r="AAD2344" s="1091"/>
      <c r="AAE2344" s="1091"/>
      <c r="AAF2344" s="1091"/>
      <c r="AAG2344" s="1091"/>
      <c r="AAH2344" s="1091"/>
      <c r="AAI2344" s="1091"/>
      <c r="AAJ2344" s="1091"/>
      <c r="AAK2344" s="1091"/>
      <c r="AAL2344" s="1091"/>
      <c r="AAM2344" s="1091"/>
      <c r="AAN2344" s="1091"/>
      <c r="AAO2344" s="1091"/>
      <c r="AAP2344" s="1091"/>
      <c r="AAQ2344" s="1091"/>
      <c r="AAR2344" s="1091"/>
      <c r="AAS2344" s="1091"/>
      <c r="AAT2344" s="1091"/>
      <c r="AAU2344" s="1091"/>
      <c r="AAV2344" s="1091"/>
      <c r="AAW2344" s="1091"/>
      <c r="AAX2344" s="1091"/>
      <c r="AAY2344" s="1091"/>
      <c r="AAZ2344" s="1091"/>
      <c r="ABA2344" s="1091"/>
      <c r="ABB2344" s="1091"/>
      <c r="ABC2344" s="1091"/>
      <c r="ABD2344" s="1091"/>
      <c r="ABE2344" s="1091"/>
      <c r="ABF2344" s="1091"/>
      <c r="ABG2344" s="1091"/>
      <c r="ABH2344" s="1091"/>
      <c r="ABI2344" s="1091"/>
      <c r="ABJ2344" s="1091"/>
      <c r="ABK2344" s="1091"/>
      <c r="ABL2344" s="1091"/>
      <c r="ABM2344" s="1091"/>
      <c r="ABN2344" s="1091"/>
      <c r="ABO2344" s="1091"/>
      <c r="ABP2344" s="1091"/>
      <c r="ABQ2344" s="1091"/>
      <c r="ABR2344" s="1091"/>
      <c r="ABS2344" s="1091"/>
      <c r="ABT2344" s="1091"/>
      <c r="ABU2344" s="1091"/>
      <c r="ABV2344" s="1091"/>
      <c r="ABW2344" s="1091"/>
      <c r="ABX2344" s="1091"/>
      <c r="ABY2344" s="1091"/>
      <c r="ABZ2344" s="1091"/>
      <c r="ACA2344" s="1091"/>
      <c r="ACB2344" s="1091"/>
      <c r="ACC2344" s="1091"/>
      <c r="ACD2344" s="1091"/>
      <c r="ACE2344" s="1091"/>
      <c r="ACF2344" s="1091"/>
      <c r="ACG2344" s="1091"/>
      <c r="ACH2344" s="1091"/>
      <c r="ACI2344" s="1091"/>
      <c r="ACJ2344" s="1091"/>
      <c r="ACK2344" s="1091"/>
      <c r="ACL2344" s="1091"/>
      <c r="ACM2344" s="1091"/>
      <c r="ACN2344" s="1091"/>
      <c r="ACO2344" s="1091"/>
      <c r="ACP2344" s="1091"/>
      <c r="ACQ2344" s="1091"/>
      <c r="ACR2344" s="1091"/>
      <c r="ACS2344" s="1091"/>
      <c r="ACT2344" s="1091"/>
      <c r="ACU2344" s="1091"/>
      <c r="ACV2344" s="1091"/>
      <c r="ACW2344" s="1091"/>
      <c r="ACX2344" s="1091"/>
      <c r="ACY2344" s="1091"/>
      <c r="ACZ2344" s="1091"/>
      <c r="ADA2344" s="1091"/>
      <c r="ADB2344" s="1091"/>
      <c r="ADC2344" s="1091"/>
      <c r="ADD2344" s="1091"/>
      <c r="ADE2344" s="1091"/>
      <c r="ADF2344" s="1091"/>
      <c r="ADG2344" s="1091"/>
      <c r="ADH2344" s="1091"/>
      <c r="ADI2344" s="1091"/>
      <c r="ADJ2344" s="1091"/>
      <c r="ADK2344" s="1091"/>
      <c r="ADL2344" s="1091"/>
      <c r="ADM2344" s="1091"/>
      <c r="ADN2344" s="1091"/>
      <c r="ADO2344" s="1091"/>
      <c r="ADP2344" s="1091"/>
      <c r="ADQ2344" s="1091"/>
      <c r="ADR2344" s="1091"/>
      <c r="ADS2344" s="1091"/>
      <c r="ADT2344" s="1091"/>
      <c r="ADU2344" s="1091"/>
      <c r="ADV2344" s="1091"/>
      <c r="ADW2344" s="1091"/>
      <c r="ADX2344" s="1091"/>
      <c r="ADY2344" s="1091"/>
      <c r="ADZ2344" s="1091"/>
      <c r="AEA2344" s="1091"/>
      <c r="AEB2344" s="1091"/>
      <c r="AEC2344" s="1091"/>
      <c r="AED2344" s="1091"/>
      <c r="AEE2344" s="1091"/>
      <c r="AEF2344" s="1091"/>
      <c r="AEG2344" s="1091"/>
      <c r="AEH2344" s="1091"/>
      <c r="AEI2344" s="1091"/>
      <c r="AEJ2344" s="1091"/>
      <c r="AEK2344" s="1091"/>
      <c r="AEL2344" s="1091"/>
      <c r="AEM2344" s="1091"/>
      <c r="AEN2344" s="1091"/>
      <c r="AEO2344" s="1091"/>
      <c r="AEP2344" s="1091"/>
      <c r="AEQ2344" s="1091"/>
      <c r="AER2344" s="1091"/>
      <c r="AES2344" s="1091"/>
      <c r="AET2344" s="1091"/>
      <c r="AEU2344" s="1091"/>
      <c r="AEV2344" s="1091"/>
      <c r="AEW2344" s="1091"/>
      <c r="AEX2344" s="1091"/>
      <c r="AEY2344" s="1091"/>
      <c r="AEZ2344" s="1091"/>
      <c r="AFA2344" s="1091"/>
      <c r="AFB2344" s="1091"/>
      <c r="AFC2344" s="1091"/>
      <c r="AFD2344" s="1091"/>
      <c r="AFE2344" s="1091"/>
      <c r="AFF2344" s="1091"/>
      <c r="AFG2344" s="1091"/>
      <c r="AFH2344" s="1091"/>
      <c r="AFI2344" s="1091"/>
      <c r="AFJ2344" s="1091"/>
      <c r="AFK2344" s="1091"/>
      <c r="AFL2344" s="1091"/>
      <c r="AFM2344" s="1091"/>
      <c r="AFN2344" s="1091"/>
      <c r="AFO2344" s="1091"/>
      <c r="AFP2344" s="1091"/>
      <c r="AFQ2344" s="1091"/>
      <c r="AFR2344" s="1091"/>
      <c r="AFS2344" s="1091"/>
      <c r="AFT2344" s="1091"/>
      <c r="AFU2344" s="1091"/>
      <c r="AFV2344" s="1091"/>
      <c r="AFW2344" s="1091"/>
      <c r="AFX2344" s="1091"/>
      <c r="AFY2344" s="1091"/>
      <c r="AFZ2344" s="1091"/>
      <c r="AGA2344" s="1091"/>
      <c r="AGB2344" s="1091"/>
      <c r="AGC2344" s="1091"/>
      <c r="AGD2344" s="1091"/>
      <c r="AGE2344" s="1091"/>
      <c r="AGF2344" s="1091"/>
      <c r="AGG2344" s="1091"/>
      <c r="AGH2344" s="1091"/>
      <c r="AGI2344" s="1091"/>
      <c r="AGJ2344" s="1091"/>
      <c r="AGK2344" s="1091"/>
      <c r="AGL2344" s="1091"/>
      <c r="AGM2344" s="1091"/>
      <c r="AGN2344" s="1091"/>
      <c r="AGO2344" s="1091"/>
      <c r="AGP2344" s="1091"/>
      <c r="AGQ2344" s="1091"/>
      <c r="AGR2344" s="1091"/>
      <c r="AGS2344" s="1091"/>
      <c r="AGT2344" s="1091"/>
      <c r="AGU2344" s="1091"/>
      <c r="AGV2344" s="1091"/>
      <c r="AGW2344" s="1091"/>
      <c r="AGX2344" s="1091"/>
      <c r="AGY2344" s="1091"/>
      <c r="AGZ2344" s="1091"/>
      <c r="AHA2344" s="1091"/>
      <c r="AHB2344" s="1091"/>
      <c r="AHC2344" s="1091"/>
      <c r="AHD2344" s="1091"/>
      <c r="AHE2344" s="1091"/>
      <c r="AHF2344" s="1091"/>
      <c r="AHG2344" s="1091"/>
      <c r="AHH2344" s="1091"/>
      <c r="AHI2344" s="1091"/>
      <c r="AHJ2344" s="1091"/>
      <c r="AHK2344" s="1091"/>
      <c r="AHL2344" s="1091"/>
      <c r="AHM2344" s="1091"/>
      <c r="AHN2344" s="1091"/>
      <c r="AHO2344" s="1091"/>
      <c r="AHP2344" s="1091"/>
      <c r="AHQ2344" s="1091"/>
      <c r="AHR2344" s="1091"/>
      <c r="AHS2344" s="1091"/>
      <c r="AHT2344" s="1091"/>
      <c r="AHU2344" s="1091"/>
      <c r="AHV2344" s="1091"/>
      <c r="AHW2344" s="1091"/>
      <c r="AHX2344" s="1091"/>
      <c r="AHY2344" s="1091"/>
      <c r="AHZ2344" s="1091"/>
      <c r="AIA2344" s="1091"/>
      <c r="AIB2344" s="1091"/>
      <c r="AIC2344" s="1091"/>
      <c r="AID2344" s="1091"/>
      <c r="AIE2344" s="1091"/>
      <c r="AIF2344" s="1091"/>
      <c r="AIG2344" s="1091"/>
      <c r="AIH2344" s="1091"/>
      <c r="AII2344" s="1091"/>
      <c r="AIJ2344" s="1091"/>
      <c r="AIK2344" s="1091"/>
      <c r="AIL2344" s="1091"/>
      <c r="AIM2344" s="1091"/>
      <c r="AIN2344" s="1091"/>
      <c r="AIO2344" s="1091"/>
      <c r="AIP2344" s="1091"/>
      <c r="AIQ2344" s="1091"/>
      <c r="AIR2344" s="1091"/>
      <c r="AIS2344" s="1091"/>
      <c r="AIT2344" s="1091"/>
      <c r="AIU2344" s="1091"/>
      <c r="AIV2344" s="1091"/>
      <c r="AIW2344" s="1091"/>
      <c r="AIX2344" s="1091"/>
      <c r="AIY2344" s="1091"/>
      <c r="AIZ2344" s="1091"/>
      <c r="AJA2344" s="1091"/>
      <c r="AJB2344" s="1091"/>
      <c r="AJC2344" s="1091"/>
      <c r="AJD2344" s="1091"/>
      <c r="AJE2344" s="1091"/>
      <c r="AJF2344" s="1091"/>
      <c r="AJG2344" s="1091"/>
      <c r="AJH2344" s="1091"/>
      <c r="AJI2344" s="1091"/>
      <c r="AJJ2344" s="1091"/>
      <c r="AJK2344" s="1091"/>
      <c r="AJL2344" s="1091"/>
      <c r="AJM2344" s="1091"/>
      <c r="AJN2344" s="1091"/>
      <c r="AJO2344" s="1091"/>
      <c r="AJP2344" s="1091"/>
      <c r="AJQ2344" s="1091"/>
      <c r="AJR2344" s="1091"/>
      <c r="AJS2344" s="1091"/>
      <c r="AJT2344" s="1091"/>
      <c r="AJU2344" s="1091"/>
      <c r="AJV2344" s="1091"/>
      <c r="AJW2344" s="1091"/>
      <c r="AJX2344" s="1091"/>
      <c r="AJY2344" s="1091"/>
      <c r="AJZ2344" s="1091"/>
      <c r="AKA2344" s="1091"/>
      <c r="AKB2344" s="1091"/>
      <c r="AKC2344" s="1091"/>
      <c r="AKD2344" s="1091"/>
      <c r="AKE2344" s="1091"/>
      <c r="AKF2344" s="1091"/>
      <c r="AKG2344" s="1091"/>
      <c r="AKH2344" s="1091"/>
      <c r="AKI2344" s="1091"/>
      <c r="AKJ2344" s="1091"/>
      <c r="AKK2344" s="1091"/>
      <c r="AKL2344" s="1091"/>
      <c r="AKM2344" s="1091"/>
      <c r="AKN2344" s="1091"/>
      <c r="AKO2344" s="1091"/>
      <c r="AKP2344" s="1091"/>
      <c r="AKQ2344" s="1091"/>
      <c r="AKR2344" s="1091"/>
      <c r="AKS2344" s="1091"/>
      <c r="AKT2344" s="1091"/>
      <c r="AKU2344" s="1091"/>
      <c r="AKV2344" s="1091"/>
      <c r="AKW2344" s="1091"/>
      <c r="AKX2344" s="1091"/>
      <c r="AKY2344" s="1091"/>
      <c r="AKZ2344" s="1091"/>
      <c r="ALA2344" s="1091"/>
      <c r="ALB2344" s="1091"/>
      <c r="ALC2344" s="1091"/>
      <c r="ALD2344" s="1091"/>
      <c r="ALE2344" s="1091"/>
      <c r="ALF2344" s="1091"/>
      <c r="ALG2344" s="1091"/>
      <c r="ALH2344" s="1091"/>
      <c r="ALI2344" s="1091"/>
      <c r="ALJ2344" s="1091"/>
      <c r="ALK2344" s="1091"/>
      <c r="ALL2344" s="1091"/>
      <c r="ALM2344" s="1091"/>
      <c r="ALN2344" s="1091"/>
      <c r="ALO2344" s="1091"/>
      <c r="ALP2344" s="1091"/>
      <c r="ALQ2344" s="1091"/>
      <c r="ALR2344" s="1091"/>
      <c r="ALS2344" s="1091"/>
      <c r="ALT2344" s="1091"/>
      <c r="ALU2344" s="1091"/>
      <c r="ALV2344" s="1091"/>
      <c r="ALW2344" s="1091"/>
      <c r="ALX2344" s="1091"/>
      <c r="ALY2344" s="1091"/>
      <c r="ALZ2344" s="1091"/>
      <c r="AMA2344" s="1091"/>
      <c r="AMB2344" s="1091"/>
      <c r="AMC2344" s="1091"/>
      <c r="AMD2344" s="1091"/>
      <c r="AME2344" s="1091"/>
      <c r="AMF2344" s="1091"/>
      <c r="AMG2344" s="1091"/>
      <c r="AMH2344" s="1091"/>
      <c r="AMI2344" s="1091"/>
      <c r="AMJ2344" s="1091"/>
      <c r="AMK2344" s="1091"/>
      <c r="AML2344" s="1091"/>
      <c r="AMM2344" s="1091"/>
      <c r="AMN2344" s="1091"/>
      <c r="AMO2344" s="1091"/>
      <c r="AMP2344" s="1091"/>
      <c r="AMQ2344" s="1091"/>
      <c r="AMR2344" s="1091"/>
      <c r="AMS2344" s="1091"/>
      <c r="AMT2344" s="1091"/>
      <c r="AMU2344" s="1091"/>
      <c r="AMV2344" s="1091"/>
      <c r="AMW2344" s="1091"/>
      <c r="AMX2344" s="1091"/>
      <c r="AMY2344" s="1091"/>
      <c r="AMZ2344" s="1091"/>
      <c r="ANA2344" s="1091"/>
      <c r="ANB2344" s="1091"/>
      <c r="ANC2344" s="1091"/>
      <c r="AND2344" s="1091"/>
      <c r="ANE2344" s="1091"/>
      <c r="ANF2344" s="1091"/>
      <c r="ANG2344" s="1091"/>
      <c r="ANH2344" s="1091"/>
      <c r="ANI2344" s="1091"/>
      <c r="ANJ2344" s="1091"/>
      <c r="ANK2344" s="1091"/>
      <c r="ANL2344" s="1091"/>
      <c r="ANM2344" s="1091"/>
      <c r="ANN2344" s="1091"/>
      <c r="ANO2344" s="1091"/>
      <c r="ANP2344" s="1091"/>
      <c r="ANQ2344" s="1091"/>
      <c r="ANR2344" s="1091"/>
      <c r="ANS2344" s="1091"/>
      <c r="ANT2344" s="1091"/>
      <c r="ANU2344" s="1091"/>
      <c r="ANV2344" s="1091"/>
      <c r="ANW2344" s="1091"/>
      <c r="ANX2344" s="1091"/>
      <c r="ANY2344" s="1091"/>
      <c r="ANZ2344" s="1091"/>
      <c r="AOA2344" s="1091"/>
      <c r="AOB2344" s="1091"/>
      <c r="AOC2344" s="1091"/>
      <c r="AOD2344" s="1091"/>
      <c r="AOE2344" s="1091"/>
      <c r="AOF2344" s="1091"/>
      <c r="AOG2344" s="1091"/>
      <c r="AOH2344" s="1091"/>
      <c r="AOI2344" s="1091"/>
      <c r="AOJ2344" s="1091"/>
      <c r="AOK2344" s="1091"/>
      <c r="AOL2344" s="1091"/>
      <c r="AOM2344" s="1091"/>
      <c r="AON2344" s="1091"/>
      <c r="AOO2344" s="1091"/>
      <c r="AOP2344" s="1091"/>
      <c r="AOQ2344" s="1091"/>
      <c r="AOR2344" s="1091"/>
      <c r="AOS2344" s="1091"/>
      <c r="AOT2344" s="1091"/>
      <c r="AOU2344" s="1091"/>
      <c r="AOV2344" s="1091"/>
      <c r="AOW2344" s="1091"/>
      <c r="AOX2344" s="1091"/>
      <c r="AOY2344" s="1091"/>
      <c r="AOZ2344" s="1091"/>
      <c r="APA2344" s="1091"/>
      <c r="APB2344" s="1091"/>
      <c r="APC2344" s="1091"/>
      <c r="APD2344" s="1091"/>
      <c r="APE2344" s="1091"/>
      <c r="APF2344" s="1091"/>
      <c r="APG2344" s="1091"/>
      <c r="APH2344" s="1091"/>
      <c r="API2344" s="1091"/>
      <c r="APJ2344" s="1091"/>
      <c r="APK2344" s="1091"/>
      <c r="APL2344" s="1091"/>
      <c r="APM2344" s="1091"/>
      <c r="APN2344" s="1091"/>
      <c r="APO2344" s="1091"/>
      <c r="APP2344" s="1091"/>
      <c r="APQ2344" s="1091"/>
      <c r="APR2344" s="1091"/>
      <c r="APS2344" s="1091"/>
      <c r="APT2344" s="1091"/>
      <c r="APU2344" s="1091"/>
      <c r="APV2344" s="1091"/>
      <c r="APW2344" s="1091"/>
      <c r="APX2344" s="1091"/>
      <c r="APY2344" s="1091"/>
      <c r="APZ2344" s="1091"/>
      <c r="AQA2344" s="1091"/>
      <c r="AQB2344" s="1091"/>
      <c r="AQC2344" s="1091"/>
      <c r="AQD2344" s="1091"/>
      <c r="AQE2344" s="1091"/>
      <c r="AQF2344" s="1091"/>
      <c r="AQG2344" s="1091"/>
      <c r="AQH2344" s="1091"/>
      <c r="AQI2344" s="1091"/>
      <c r="AQJ2344" s="1091"/>
      <c r="AQK2344" s="1091"/>
      <c r="AQL2344" s="1091"/>
      <c r="AQM2344" s="1091"/>
      <c r="AQN2344" s="1091"/>
      <c r="AQO2344" s="1091"/>
      <c r="AQP2344" s="1091"/>
      <c r="AQQ2344" s="1091"/>
      <c r="AQR2344" s="1091"/>
      <c r="AQS2344" s="1091"/>
      <c r="AQT2344" s="1091"/>
      <c r="AQU2344" s="1091"/>
      <c r="AQV2344" s="1091"/>
      <c r="AQW2344" s="1091"/>
      <c r="AQX2344" s="1091"/>
      <c r="AQY2344" s="1091"/>
      <c r="AQZ2344" s="1091"/>
      <c r="ARA2344" s="1091"/>
      <c r="ARB2344" s="1091"/>
      <c r="ARC2344" s="1091"/>
      <c r="ARD2344" s="1091"/>
      <c r="ARE2344" s="1091"/>
      <c r="ARF2344" s="1091"/>
      <c r="ARG2344" s="1091"/>
      <c r="ARH2344" s="1091"/>
      <c r="ARI2344" s="1091"/>
      <c r="ARJ2344" s="1091"/>
      <c r="ARK2344" s="1091"/>
      <c r="ARL2344" s="1091"/>
      <c r="ARM2344" s="1091"/>
      <c r="ARN2344" s="1091"/>
      <c r="ARO2344" s="1091"/>
      <c r="ARP2344" s="1091"/>
      <c r="ARQ2344" s="1091"/>
      <c r="ARR2344" s="1091"/>
      <c r="ARS2344" s="1091"/>
      <c r="ART2344" s="1091"/>
      <c r="ARU2344" s="1091"/>
      <c r="ARV2344" s="1091"/>
      <c r="ARW2344" s="1091"/>
      <c r="ARX2344" s="1091"/>
      <c r="ARY2344" s="1091"/>
      <c r="ARZ2344" s="1091"/>
      <c r="ASA2344" s="1091"/>
      <c r="ASB2344" s="1091"/>
      <c r="ASC2344" s="1091"/>
      <c r="ASD2344" s="1091"/>
      <c r="ASE2344" s="1091"/>
      <c r="ASF2344" s="1091"/>
      <c r="ASG2344" s="1091"/>
      <c r="ASH2344" s="1091"/>
      <c r="ASI2344" s="1091"/>
      <c r="ASJ2344" s="1091"/>
      <c r="ASK2344" s="1091"/>
      <c r="ASL2344" s="1091"/>
      <c r="ASM2344" s="1091"/>
      <c r="ASN2344" s="1091"/>
      <c r="ASO2344" s="1091"/>
      <c r="ASP2344" s="1091"/>
      <c r="ASQ2344" s="1091"/>
      <c r="ASR2344" s="1091"/>
      <c r="ASS2344" s="1091"/>
      <c r="AST2344" s="1091"/>
      <c r="ASU2344" s="1091"/>
      <c r="ASV2344" s="1091"/>
      <c r="ASW2344" s="1091"/>
      <c r="ASX2344" s="1091"/>
      <c r="ASY2344" s="1091"/>
      <c r="ASZ2344" s="1091"/>
      <c r="ATA2344" s="1091"/>
      <c r="ATB2344" s="1091"/>
      <c r="ATC2344" s="1091"/>
      <c r="ATD2344" s="1091"/>
      <c r="ATE2344" s="1091"/>
      <c r="ATF2344" s="1091"/>
      <c r="ATG2344" s="1091"/>
      <c r="ATH2344" s="1091"/>
      <c r="ATI2344" s="1091"/>
      <c r="ATJ2344" s="1091"/>
      <c r="ATK2344" s="1091"/>
      <c r="ATL2344" s="1091"/>
      <c r="ATM2344" s="1091"/>
      <c r="ATN2344" s="1091"/>
      <c r="ATO2344" s="1091"/>
      <c r="ATP2344" s="1091"/>
      <c r="ATQ2344" s="1091"/>
      <c r="ATR2344" s="1091"/>
      <c r="ATS2344" s="1091"/>
      <c r="ATT2344" s="1091"/>
      <c r="ATU2344" s="1091"/>
      <c r="ATV2344" s="1091"/>
      <c r="ATW2344" s="1091"/>
      <c r="ATX2344" s="1091"/>
      <c r="ATY2344" s="1091"/>
      <c r="ATZ2344" s="1091"/>
      <c r="AUA2344" s="1091"/>
      <c r="AUB2344" s="1091"/>
      <c r="AUC2344" s="1091"/>
      <c r="AUD2344" s="1091"/>
      <c r="AUE2344" s="1091"/>
      <c r="AUF2344" s="1091"/>
      <c r="AUG2344" s="1091"/>
      <c r="AUH2344" s="1091"/>
      <c r="AUI2344" s="1091"/>
      <c r="AUJ2344" s="1091"/>
      <c r="AUK2344" s="1091"/>
      <c r="AUL2344" s="1091"/>
      <c r="AUM2344" s="1091"/>
      <c r="AUN2344" s="1091"/>
      <c r="AUO2344" s="1091"/>
      <c r="AUP2344" s="1091"/>
      <c r="AUQ2344" s="1091"/>
      <c r="AUR2344" s="1091"/>
      <c r="AUS2344" s="1091"/>
      <c r="AUT2344" s="1091"/>
      <c r="AUU2344" s="1091"/>
      <c r="AUV2344" s="1091"/>
      <c r="AUW2344" s="1091"/>
      <c r="AUX2344" s="1091"/>
      <c r="AUY2344" s="1091"/>
      <c r="AUZ2344" s="1091"/>
      <c r="AVA2344" s="1091"/>
      <c r="AVB2344" s="1091"/>
      <c r="AVC2344" s="1091"/>
      <c r="AVD2344" s="1091"/>
      <c r="AVE2344" s="1091"/>
      <c r="AVF2344" s="1091"/>
      <c r="AVG2344" s="1091"/>
      <c r="AVH2344" s="1091"/>
      <c r="AVI2344" s="1091"/>
      <c r="AVJ2344" s="1091"/>
      <c r="AVK2344" s="1091"/>
      <c r="AVL2344" s="1091"/>
      <c r="AVM2344" s="1091"/>
      <c r="AVN2344" s="1091"/>
      <c r="AVO2344" s="1091"/>
      <c r="AVP2344" s="1091"/>
      <c r="AVQ2344" s="1091"/>
      <c r="AVR2344" s="1091"/>
      <c r="AVS2344" s="1091"/>
      <c r="AVT2344" s="1091"/>
      <c r="AVU2344" s="1091"/>
      <c r="AVV2344" s="1091"/>
      <c r="AVW2344" s="1091"/>
      <c r="AVX2344" s="1091"/>
      <c r="AVY2344" s="1091"/>
      <c r="AVZ2344" s="1091"/>
      <c r="AWA2344" s="1091"/>
      <c r="AWB2344" s="1091"/>
      <c r="AWC2344" s="1091"/>
      <c r="AWD2344" s="1091"/>
      <c r="AWE2344" s="1091"/>
      <c r="AWF2344" s="1091"/>
      <c r="AWG2344" s="1091"/>
      <c r="AWH2344" s="1091"/>
      <c r="AWI2344" s="1091"/>
      <c r="AWJ2344" s="1091"/>
      <c r="AWK2344" s="1091"/>
      <c r="AWL2344" s="1091"/>
      <c r="AWM2344" s="1091"/>
      <c r="AWN2344" s="1091"/>
      <c r="AWO2344" s="1091"/>
      <c r="AWP2344" s="1091"/>
      <c r="AWQ2344" s="1091"/>
      <c r="AWR2344" s="1091"/>
      <c r="AWS2344" s="1091"/>
      <c r="AWT2344" s="1091"/>
      <c r="AWU2344" s="1091"/>
      <c r="AWV2344" s="1091"/>
      <c r="AWW2344" s="1091"/>
      <c r="AWX2344" s="1091"/>
      <c r="AWY2344" s="1091"/>
      <c r="AWZ2344" s="1091"/>
      <c r="AXA2344" s="1091"/>
      <c r="AXB2344" s="1091"/>
      <c r="AXC2344" s="1091"/>
      <c r="AXD2344" s="1091"/>
      <c r="AXE2344" s="1091"/>
      <c r="AXF2344" s="1091"/>
      <c r="AXG2344" s="1091"/>
      <c r="AXH2344" s="1091"/>
      <c r="AXI2344" s="1091"/>
      <c r="AXJ2344" s="1091"/>
      <c r="AXK2344" s="1091"/>
      <c r="AXL2344" s="1091"/>
      <c r="AXM2344" s="1091"/>
      <c r="AXN2344" s="1091"/>
      <c r="AXO2344" s="1091"/>
      <c r="AXP2344" s="1091"/>
      <c r="AXQ2344" s="1091"/>
      <c r="AXR2344" s="1091"/>
      <c r="AXS2344" s="1091"/>
      <c r="AXT2344" s="1091"/>
      <c r="AXU2344" s="1091"/>
      <c r="AXV2344" s="1091"/>
      <c r="AXW2344" s="1091"/>
      <c r="AXX2344" s="1091"/>
      <c r="AXY2344" s="1091"/>
      <c r="AXZ2344" s="1091"/>
      <c r="AYA2344" s="1091"/>
      <c r="AYB2344" s="1091"/>
      <c r="AYC2344" s="1091"/>
      <c r="AYD2344" s="1091"/>
      <c r="AYE2344" s="1091"/>
      <c r="AYF2344" s="1091"/>
      <c r="AYG2344" s="1091"/>
      <c r="AYH2344" s="1091"/>
      <c r="AYI2344" s="1091"/>
      <c r="AYJ2344" s="1091"/>
      <c r="AYK2344" s="1091"/>
      <c r="AYL2344" s="1091"/>
      <c r="AYM2344" s="1091"/>
      <c r="AYN2344" s="1091"/>
      <c r="AYO2344" s="1091"/>
      <c r="AYP2344" s="1091"/>
      <c r="AYQ2344" s="1091"/>
      <c r="AYR2344" s="1091"/>
      <c r="AYS2344" s="1091"/>
      <c r="AYT2344" s="1091"/>
      <c r="AYU2344" s="1091"/>
      <c r="AYV2344" s="1091"/>
      <c r="AYW2344" s="1091"/>
      <c r="AYX2344" s="1091"/>
      <c r="AYY2344" s="1091"/>
      <c r="AYZ2344" s="1091"/>
      <c r="AZA2344" s="1091"/>
      <c r="AZB2344" s="1091"/>
      <c r="AZC2344" s="1091"/>
      <c r="AZD2344" s="1091"/>
      <c r="AZE2344" s="1091"/>
      <c r="AZF2344" s="1091"/>
      <c r="AZG2344" s="1091"/>
      <c r="AZH2344" s="1091"/>
      <c r="AZI2344" s="1091"/>
      <c r="AZJ2344" s="1091"/>
      <c r="AZK2344" s="1091"/>
      <c r="AZL2344" s="1091"/>
      <c r="AZM2344" s="1091"/>
      <c r="AZN2344" s="1091"/>
      <c r="AZO2344" s="1091"/>
      <c r="AZP2344" s="1091"/>
      <c r="AZQ2344" s="1091"/>
      <c r="AZR2344" s="1091"/>
      <c r="AZS2344" s="1091"/>
      <c r="AZT2344" s="1091"/>
      <c r="AZU2344" s="1091"/>
      <c r="AZV2344" s="1091"/>
      <c r="AZW2344" s="1091"/>
      <c r="AZX2344" s="1091"/>
      <c r="AZY2344" s="1091"/>
      <c r="AZZ2344" s="1091"/>
      <c r="BAA2344" s="1091"/>
      <c r="BAB2344" s="1091"/>
      <c r="BAC2344" s="1091"/>
      <c r="BAD2344" s="1091"/>
      <c r="BAE2344" s="1091"/>
      <c r="BAF2344" s="1091"/>
      <c r="BAG2344" s="1091"/>
      <c r="BAH2344" s="1091"/>
      <c r="BAI2344" s="1091"/>
      <c r="BAJ2344" s="1091"/>
      <c r="BAK2344" s="1091"/>
      <c r="BAL2344" s="1091"/>
      <c r="BAM2344" s="1091"/>
      <c r="BAN2344" s="1091"/>
      <c r="BAO2344" s="1091"/>
      <c r="BAP2344" s="1091"/>
      <c r="BAQ2344" s="1091"/>
      <c r="BAR2344" s="1091"/>
      <c r="BAS2344" s="1091"/>
      <c r="BAT2344" s="1091"/>
      <c r="BAU2344" s="1091"/>
      <c r="BAV2344" s="1091"/>
      <c r="BAW2344" s="1091"/>
      <c r="BAX2344" s="1091"/>
      <c r="BAY2344" s="1091"/>
      <c r="BAZ2344" s="1091"/>
      <c r="BBA2344" s="1091"/>
      <c r="BBB2344" s="1091"/>
      <c r="BBC2344" s="1091"/>
      <c r="BBD2344" s="1091"/>
      <c r="BBE2344" s="1091"/>
      <c r="BBF2344" s="1091"/>
      <c r="BBG2344" s="1091"/>
      <c r="BBH2344" s="1091"/>
      <c r="BBI2344" s="1091"/>
      <c r="BBJ2344" s="1091"/>
      <c r="BBK2344" s="1091"/>
      <c r="BBL2344" s="1091"/>
      <c r="BBM2344" s="1091"/>
      <c r="BBN2344" s="1091"/>
      <c r="BBO2344" s="1091"/>
      <c r="BBP2344" s="1091"/>
      <c r="BBQ2344" s="1091"/>
      <c r="BBR2344" s="1091"/>
      <c r="BBS2344" s="1091"/>
      <c r="BBT2344" s="1091"/>
      <c r="BBU2344" s="1091"/>
      <c r="BBV2344" s="1091"/>
      <c r="BBW2344" s="1091"/>
      <c r="BBX2344" s="1091"/>
      <c r="BBY2344" s="1091"/>
      <c r="BBZ2344" s="1091"/>
      <c r="BCA2344" s="1091"/>
      <c r="BCB2344" s="1091"/>
      <c r="BCC2344" s="1091"/>
      <c r="BCD2344" s="1091"/>
      <c r="BCE2344" s="1091"/>
      <c r="BCF2344" s="1091"/>
      <c r="BCG2344" s="1091"/>
      <c r="BCH2344" s="1091"/>
      <c r="BCI2344" s="1091"/>
      <c r="BCJ2344" s="1091"/>
      <c r="BCK2344" s="1091"/>
      <c r="BCL2344" s="1091"/>
      <c r="BCM2344" s="1091"/>
      <c r="BCN2344" s="1091"/>
      <c r="BCO2344" s="1091"/>
      <c r="BCP2344" s="1091"/>
      <c r="BCQ2344" s="1091"/>
      <c r="BCR2344" s="1091"/>
      <c r="BCS2344" s="1091"/>
      <c r="BCT2344" s="1091"/>
      <c r="BCU2344" s="1091"/>
      <c r="BCV2344" s="1091"/>
      <c r="BCW2344" s="1091"/>
      <c r="BCX2344" s="1091"/>
      <c r="BCY2344" s="1091"/>
      <c r="BCZ2344" s="1091"/>
      <c r="BDA2344" s="1091"/>
      <c r="BDB2344" s="1091"/>
      <c r="BDC2344" s="1091"/>
      <c r="BDD2344" s="1091"/>
      <c r="BDE2344" s="1091"/>
      <c r="BDF2344" s="1091"/>
      <c r="BDG2344" s="1091"/>
      <c r="BDH2344" s="1091"/>
      <c r="BDI2344" s="1091"/>
      <c r="BDJ2344" s="1091"/>
      <c r="BDK2344" s="1091"/>
      <c r="BDL2344" s="1091"/>
      <c r="BDM2344" s="1091"/>
      <c r="BDN2344" s="1091"/>
      <c r="BDO2344" s="1091"/>
      <c r="BDP2344" s="1091"/>
      <c r="BDQ2344" s="1091"/>
      <c r="BDR2344" s="1091"/>
      <c r="BDS2344" s="1091"/>
      <c r="BDT2344" s="1091"/>
      <c r="BDU2344" s="1091"/>
      <c r="BDV2344" s="1091"/>
      <c r="BDW2344" s="1091"/>
      <c r="BDX2344" s="1091"/>
      <c r="BDY2344" s="1091"/>
      <c r="BDZ2344" s="1091"/>
      <c r="BEA2344" s="1091"/>
      <c r="BEB2344" s="1091"/>
      <c r="BEC2344" s="1091"/>
      <c r="BED2344" s="1091"/>
      <c r="BEE2344" s="1091"/>
      <c r="BEF2344" s="1091"/>
      <c r="BEG2344" s="1091"/>
      <c r="BEH2344" s="1091"/>
      <c r="BEI2344" s="1091"/>
      <c r="BEJ2344" s="1091"/>
      <c r="BEK2344" s="1091"/>
      <c r="BEL2344" s="1091"/>
      <c r="BEM2344" s="1091"/>
      <c r="BEN2344" s="1091"/>
      <c r="BEO2344" s="1091"/>
      <c r="BEP2344" s="1091"/>
      <c r="BEQ2344" s="1091"/>
      <c r="BER2344" s="1091"/>
      <c r="BES2344" s="1091"/>
      <c r="BET2344" s="1091"/>
      <c r="BEU2344" s="1091"/>
      <c r="BEV2344" s="1091"/>
      <c r="BEW2344" s="1091"/>
      <c r="BEX2344" s="1091"/>
      <c r="BEY2344" s="1091"/>
      <c r="BEZ2344" s="1091"/>
      <c r="BFA2344" s="1091"/>
      <c r="BFB2344" s="1091"/>
      <c r="BFC2344" s="1091"/>
      <c r="BFD2344" s="1091"/>
      <c r="BFE2344" s="1091"/>
      <c r="BFF2344" s="1091"/>
      <c r="BFG2344" s="1091"/>
      <c r="BFH2344" s="1091"/>
      <c r="BFI2344" s="1091"/>
      <c r="BFJ2344" s="1091"/>
      <c r="BFK2344" s="1091"/>
      <c r="BFL2344" s="1091"/>
      <c r="BFM2344" s="1091"/>
      <c r="BFN2344" s="1091"/>
      <c r="BFO2344" s="1091"/>
      <c r="BFP2344" s="1091"/>
      <c r="BFQ2344" s="1091"/>
      <c r="BFR2344" s="1091"/>
      <c r="BFS2344" s="1091"/>
      <c r="BFT2344" s="1091"/>
      <c r="BFU2344" s="1091"/>
      <c r="BFV2344" s="1091"/>
      <c r="BFW2344" s="1091"/>
      <c r="BFX2344" s="1091"/>
      <c r="BFY2344" s="1091"/>
      <c r="BFZ2344" s="1091"/>
      <c r="BGA2344" s="1091"/>
      <c r="BGB2344" s="1091"/>
      <c r="BGC2344" s="1091"/>
      <c r="BGD2344" s="1091"/>
      <c r="BGE2344" s="1091"/>
      <c r="BGF2344" s="1091"/>
      <c r="BGG2344" s="1091"/>
      <c r="BGH2344" s="1091"/>
      <c r="BGI2344" s="1091"/>
      <c r="BGJ2344" s="1091"/>
      <c r="BGK2344" s="1091"/>
      <c r="BGL2344" s="1091"/>
      <c r="BGM2344" s="1091"/>
      <c r="BGN2344" s="1091"/>
      <c r="BGO2344" s="1091"/>
      <c r="BGP2344" s="1091"/>
      <c r="BGQ2344" s="1091"/>
      <c r="BGR2344" s="1091"/>
      <c r="BGS2344" s="1091"/>
      <c r="BGT2344" s="1091"/>
      <c r="BGU2344" s="1091"/>
      <c r="BGV2344" s="1091"/>
      <c r="BGW2344" s="1091"/>
      <c r="BGX2344" s="1091"/>
      <c r="BGY2344" s="1091"/>
      <c r="BGZ2344" s="1091"/>
      <c r="BHA2344" s="1091"/>
      <c r="BHB2344" s="1091"/>
      <c r="BHC2344" s="1091"/>
      <c r="BHD2344" s="1091"/>
      <c r="BHE2344" s="1091"/>
      <c r="BHF2344" s="1091"/>
      <c r="BHG2344" s="1091"/>
      <c r="BHH2344" s="1091"/>
      <c r="BHI2344" s="1091"/>
      <c r="BHJ2344" s="1091"/>
      <c r="BHK2344" s="1091"/>
      <c r="BHL2344" s="1091"/>
      <c r="BHM2344" s="1091"/>
      <c r="BHN2344" s="1091"/>
      <c r="BHO2344" s="1091"/>
      <c r="BHP2344" s="1091"/>
      <c r="BHQ2344" s="1091"/>
      <c r="BHR2344" s="1091"/>
      <c r="BHS2344" s="1091"/>
      <c r="BHT2344" s="1091"/>
      <c r="BHU2344" s="1091"/>
      <c r="BHV2344" s="1091"/>
      <c r="BHW2344" s="1091"/>
      <c r="BHX2344" s="1091"/>
      <c r="BHY2344" s="1091"/>
      <c r="BHZ2344" s="1091"/>
      <c r="BIA2344" s="1091"/>
      <c r="BIB2344" s="1091"/>
      <c r="BIC2344" s="1091"/>
      <c r="BID2344" s="1091"/>
      <c r="BIE2344" s="1091"/>
      <c r="BIF2344" s="1091"/>
      <c r="BIG2344" s="1091"/>
      <c r="BIH2344" s="1091"/>
      <c r="BII2344" s="1091"/>
      <c r="BIJ2344" s="1091"/>
      <c r="BIK2344" s="1091"/>
      <c r="BIL2344" s="1091"/>
      <c r="BIM2344" s="1091"/>
      <c r="BIN2344" s="1091"/>
      <c r="BIO2344" s="1091"/>
      <c r="BIP2344" s="1091"/>
      <c r="BIQ2344" s="1091"/>
      <c r="BIR2344" s="1091"/>
      <c r="BIS2344" s="1091"/>
      <c r="BIT2344" s="1091"/>
      <c r="BIU2344" s="1091"/>
      <c r="BIV2344" s="1091"/>
      <c r="BIW2344" s="1091"/>
      <c r="BIX2344" s="1091"/>
      <c r="BIY2344" s="1091"/>
      <c r="BIZ2344" s="1091"/>
      <c r="BJA2344" s="1091"/>
      <c r="BJB2344" s="1091"/>
      <c r="BJC2344" s="1091"/>
      <c r="BJD2344" s="1091"/>
      <c r="BJE2344" s="1091"/>
      <c r="BJF2344" s="1091"/>
      <c r="BJG2344" s="1091"/>
      <c r="BJH2344" s="1091"/>
      <c r="BJI2344" s="1091"/>
      <c r="BJJ2344" s="1091"/>
      <c r="BJK2344" s="1091"/>
      <c r="BJL2344" s="1091"/>
      <c r="BJM2344" s="1091"/>
      <c r="BJN2344" s="1091"/>
      <c r="BJO2344" s="1091"/>
      <c r="BJP2344" s="1091"/>
      <c r="BJQ2344" s="1091"/>
      <c r="BJR2344" s="1091"/>
      <c r="BJS2344" s="1091"/>
      <c r="BJT2344" s="1091"/>
      <c r="BJU2344" s="1091"/>
      <c r="BJV2344" s="1091"/>
      <c r="BJW2344" s="1091"/>
      <c r="BJX2344" s="1091"/>
      <c r="BJY2344" s="1091"/>
      <c r="BJZ2344" s="1091"/>
      <c r="BKA2344" s="1091"/>
      <c r="BKB2344" s="1091"/>
      <c r="BKC2344" s="1091"/>
      <c r="BKD2344" s="1091"/>
      <c r="BKE2344" s="1091"/>
      <c r="BKF2344" s="1091"/>
      <c r="BKG2344" s="1091"/>
      <c r="BKH2344" s="1091"/>
      <c r="BKI2344" s="1091"/>
      <c r="BKJ2344" s="1091"/>
      <c r="BKK2344" s="1091"/>
      <c r="BKL2344" s="1091"/>
      <c r="BKM2344" s="1091"/>
      <c r="BKN2344" s="1091"/>
      <c r="BKO2344" s="1091"/>
      <c r="BKP2344" s="1091"/>
      <c r="BKQ2344" s="1091"/>
      <c r="BKR2344" s="1091"/>
      <c r="BKS2344" s="1091"/>
      <c r="BKT2344" s="1091"/>
      <c r="BKU2344" s="1091"/>
      <c r="BKV2344" s="1091"/>
      <c r="BKW2344" s="1091"/>
      <c r="BKX2344" s="1091"/>
      <c r="BKY2344" s="1091"/>
      <c r="BKZ2344" s="1091"/>
      <c r="BLA2344" s="1091"/>
      <c r="BLB2344" s="1091"/>
      <c r="BLC2344" s="1091"/>
      <c r="BLD2344" s="1091"/>
      <c r="BLE2344" s="1091"/>
      <c r="BLF2344" s="1091"/>
      <c r="BLG2344" s="1091"/>
      <c r="BLH2344" s="1091"/>
      <c r="BLI2344" s="1091"/>
      <c r="BLJ2344" s="1091"/>
      <c r="BLK2344" s="1091"/>
      <c r="BLL2344" s="1091"/>
      <c r="BLM2344" s="1091"/>
      <c r="BLN2344" s="1091"/>
      <c r="BLO2344" s="1091"/>
      <c r="BLP2344" s="1091"/>
      <c r="BLQ2344" s="1091"/>
      <c r="BLR2344" s="1091"/>
      <c r="BLS2344" s="1091"/>
      <c r="BLT2344" s="1091"/>
      <c r="BLU2344" s="1091"/>
      <c r="BLV2344" s="1091"/>
      <c r="BLW2344" s="1091"/>
      <c r="BLX2344" s="1091"/>
      <c r="BLY2344" s="1091"/>
      <c r="BLZ2344" s="1091"/>
      <c r="BMA2344" s="1091"/>
      <c r="BMB2344" s="1091"/>
      <c r="BMC2344" s="1091"/>
      <c r="BMD2344" s="1091"/>
      <c r="BME2344" s="1091"/>
      <c r="BMF2344" s="1091"/>
      <c r="BMG2344" s="1091"/>
      <c r="BMH2344" s="1091"/>
      <c r="BMI2344" s="1091"/>
      <c r="BMJ2344" s="1091"/>
      <c r="BMK2344" s="1091"/>
      <c r="BML2344" s="1091"/>
      <c r="BMM2344" s="1091"/>
      <c r="BMN2344" s="1091"/>
      <c r="BMO2344" s="1091"/>
      <c r="BMP2344" s="1091"/>
      <c r="BMQ2344" s="1091"/>
      <c r="BMR2344" s="1091"/>
      <c r="BMS2344" s="1091"/>
      <c r="BMT2344" s="1091"/>
      <c r="BMU2344" s="1091"/>
      <c r="BMV2344" s="1091"/>
      <c r="BMW2344" s="1091"/>
      <c r="BMX2344" s="1091"/>
      <c r="BMY2344" s="1091"/>
      <c r="BMZ2344" s="1091"/>
      <c r="BNA2344" s="1091"/>
      <c r="BNB2344" s="1091"/>
      <c r="BNC2344" s="1091"/>
      <c r="BND2344" s="1091"/>
      <c r="BNE2344" s="1091"/>
      <c r="BNF2344" s="1091"/>
      <c r="BNG2344" s="1091"/>
      <c r="BNH2344" s="1091"/>
      <c r="BNI2344" s="1091"/>
      <c r="BNJ2344" s="1091"/>
      <c r="BNK2344" s="1091"/>
      <c r="BNL2344" s="1091"/>
      <c r="BNM2344" s="1091"/>
      <c r="BNN2344" s="1091"/>
      <c r="BNO2344" s="1091"/>
      <c r="BNP2344" s="1091"/>
      <c r="BNQ2344" s="1091"/>
      <c r="BNR2344" s="1091"/>
      <c r="BNS2344" s="1091"/>
      <c r="BNT2344" s="1091"/>
      <c r="BNU2344" s="1091"/>
      <c r="BNV2344" s="1091"/>
      <c r="BNW2344" s="1091"/>
      <c r="BNX2344" s="1091"/>
      <c r="BNY2344" s="1091"/>
      <c r="BNZ2344" s="1091"/>
      <c r="BOA2344" s="1091"/>
      <c r="BOB2344" s="1091"/>
      <c r="BOC2344" s="1091"/>
      <c r="BOD2344" s="1091"/>
      <c r="BOE2344" s="1091"/>
      <c r="BOF2344" s="1091"/>
      <c r="BOG2344" s="1091"/>
      <c r="BOH2344" s="1091"/>
      <c r="BOI2344" s="1091"/>
      <c r="BOJ2344" s="1091"/>
      <c r="BOK2344" s="1091"/>
      <c r="BOL2344" s="1091"/>
      <c r="BOM2344" s="1091"/>
      <c r="BON2344" s="1091"/>
      <c r="BOO2344" s="1091"/>
      <c r="BOP2344" s="1091"/>
      <c r="BOQ2344" s="1091"/>
      <c r="BOR2344" s="1091"/>
      <c r="BOS2344" s="1091"/>
      <c r="BOT2344" s="1091"/>
      <c r="BOU2344" s="1091"/>
      <c r="BOV2344" s="1091"/>
      <c r="BOW2344" s="1091"/>
      <c r="BOX2344" s="1091"/>
      <c r="BOY2344" s="1091"/>
      <c r="BOZ2344" s="1091"/>
      <c r="BPA2344" s="1091"/>
      <c r="BPB2344" s="1091"/>
      <c r="BPC2344" s="1091"/>
      <c r="BPD2344" s="1091"/>
      <c r="BPE2344" s="1091"/>
      <c r="BPF2344" s="1091"/>
      <c r="BPG2344" s="1091"/>
      <c r="BPH2344" s="1091"/>
      <c r="BPI2344" s="1091"/>
      <c r="BPJ2344" s="1091"/>
      <c r="BPK2344" s="1091"/>
      <c r="BPL2344" s="1091"/>
      <c r="BPM2344" s="1091"/>
      <c r="BPN2344" s="1091"/>
      <c r="BPO2344" s="1091"/>
      <c r="BPP2344" s="1091"/>
      <c r="BPQ2344" s="1091"/>
      <c r="BPR2344" s="1091"/>
      <c r="BPS2344" s="1091"/>
      <c r="BPT2344" s="1091"/>
      <c r="BPU2344" s="1091"/>
      <c r="BPV2344" s="1091"/>
      <c r="BPW2344" s="1091"/>
      <c r="BPX2344" s="1091"/>
      <c r="BPY2344" s="1091"/>
      <c r="BPZ2344" s="1091"/>
      <c r="BQA2344" s="1091"/>
      <c r="BQB2344" s="1091"/>
      <c r="BQC2344" s="1091"/>
      <c r="BQD2344" s="1091"/>
      <c r="BQE2344" s="1091"/>
      <c r="BQF2344" s="1091"/>
      <c r="BQG2344" s="1091"/>
      <c r="BQH2344" s="1091"/>
      <c r="BQI2344" s="1091"/>
      <c r="BQJ2344" s="1091"/>
      <c r="BQK2344" s="1091"/>
      <c r="BQL2344" s="1091"/>
      <c r="BQM2344" s="1091"/>
      <c r="BQN2344" s="1091"/>
      <c r="BQO2344" s="1091"/>
      <c r="BQP2344" s="1091"/>
      <c r="BQQ2344" s="1091"/>
      <c r="BQR2344" s="1091"/>
      <c r="BQS2344" s="1091"/>
      <c r="BQT2344" s="1091"/>
      <c r="BQU2344" s="1091"/>
      <c r="BQV2344" s="1091"/>
      <c r="BQW2344" s="1091"/>
      <c r="BQX2344" s="1091"/>
      <c r="BQY2344" s="1091"/>
      <c r="BQZ2344" s="1091"/>
      <c r="BRA2344" s="1091"/>
      <c r="BRB2344" s="1091"/>
      <c r="BRC2344" s="1091"/>
      <c r="BRD2344" s="1091"/>
      <c r="BRE2344" s="1091"/>
      <c r="BRF2344" s="1091"/>
      <c r="BRG2344" s="1091"/>
      <c r="BRH2344" s="1091"/>
      <c r="BRI2344" s="1091"/>
      <c r="BRJ2344" s="1091"/>
      <c r="BRK2344" s="1091"/>
      <c r="BRL2344" s="1091"/>
      <c r="BRM2344" s="1091"/>
      <c r="BRN2344" s="1091"/>
      <c r="BRO2344" s="1091"/>
      <c r="BRP2344" s="1091"/>
      <c r="BRQ2344" s="1091"/>
      <c r="BRR2344" s="1091"/>
      <c r="BRS2344" s="1091"/>
      <c r="BRT2344" s="1091"/>
      <c r="BRU2344" s="1091"/>
      <c r="BRV2344" s="1091"/>
      <c r="BRW2344" s="1091"/>
      <c r="BRX2344" s="1091"/>
      <c r="BRY2344" s="1091"/>
      <c r="BRZ2344" s="1091"/>
      <c r="BSA2344" s="1091"/>
      <c r="BSB2344" s="1091"/>
      <c r="BSC2344" s="1091"/>
      <c r="BSD2344" s="1091"/>
      <c r="BSE2344" s="1091"/>
      <c r="BSF2344" s="1091"/>
      <c r="BSG2344" s="1091"/>
      <c r="BSH2344" s="1091"/>
      <c r="BSI2344" s="1091"/>
      <c r="BSJ2344" s="1091"/>
      <c r="BSK2344" s="1091"/>
      <c r="BSL2344" s="1091"/>
      <c r="BSM2344" s="1091"/>
      <c r="BSN2344" s="1091"/>
      <c r="BSO2344" s="1091"/>
      <c r="BSP2344" s="1091"/>
      <c r="BSQ2344" s="1091"/>
      <c r="BSR2344" s="1091"/>
      <c r="BSS2344" s="1091"/>
      <c r="BST2344" s="1091"/>
      <c r="BSU2344" s="1091"/>
      <c r="BSV2344" s="1091"/>
      <c r="BSW2344" s="1091"/>
      <c r="BSX2344" s="1091"/>
      <c r="BSY2344" s="1091"/>
      <c r="BSZ2344" s="1091"/>
      <c r="BTA2344" s="1091"/>
      <c r="BTB2344" s="1091"/>
      <c r="BTC2344" s="1091"/>
      <c r="BTD2344" s="1091"/>
      <c r="BTE2344" s="1091"/>
      <c r="BTF2344" s="1091"/>
      <c r="BTG2344" s="1091"/>
      <c r="BTH2344" s="1091"/>
      <c r="BTI2344" s="1091"/>
      <c r="BTJ2344" s="1091"/>
      <c r="BTK2344" s="1091"/>
      <c r="BTL2344" s="1091"/>
      <c r="BTM2344" s="1091"/>
      <c r="BTN2344" s="1091"/>
      <c r="BTO2344" s="1091"/>
      <c r="BTP2344" s="1091"/>
      <c r="BTQ2344" s="1091"/>
      <c r="BTR2344" s="1091"/>
      <c r="BTS2344" s="1091"/>
      <c r="BTT2344" s="1091"/>
      <c r="BTU2344" s="1091"/>
      <c r="BTV2344" s="1091"/>
      <c r="BTW2344" s="1091"/>
      <c r="BTX2344" s="1091"/>
      <c r="BTY2344" s="1091"/>
      <c r="BTZ2344" s="1091"/>
      <c r="BUA2344" s="1091"/>
      <c r="BUB2344" s="1091"/>
      <c r="BUC2344" s="1091"/>
      <c r="BUD2344" s="1091"/>
      <c r="BUE2344" s="1091"/>
      <c r="BUF2344" s="1091"/>
      <c r="BUG2344" s="1091"/>
      <c r="BUH2344" s="1091"/>
      <c r="BUI2344" s="1091"/>
      <c r="BUJ2344" s="1091"/>
      <c r="BUK2344" s="1091"/>
      <c r="BUL2344" s="1091"/>
      <c r="BUM2344" s="1091"/>
      <c r="BUN2344" s="1091"/>
      <c r="BUO2344" s="1091"/>
      <c r="BUP2344" s="1091"/>
      <c r="BUQ2344" s="1091"/>
      <c r="BUR2344" s="1091"/>
      <c r="BUS2344" s="1091"/>
      <c r="BUT2344" s="1091"/>
      <c r="BUU2344" s="1091"/>
      <c r="BUV2344" s="1091"/>
      <c r="BUW2344" s="1091"/>
      <c r="BUX2344" s="1091"/>
      <c r="BUY2344" s="1091"/>
      <c r="BUZ2344" s="1091"/>
      <c r="BVA2344" s="1091"/>
      <c r="BVB2344" s="1091"/>
      <c r="BVC2344" s="1091"/>
      <c r="BVD2344" s="1091"/>
      <c r="BVE2344" s="1091"/>
      <c r="BVF2344" s="1091"/>
      <c r="BVG2344" s="1091"/>
      <c r="BVH2344" s="1091"/>
      <c r="BVI2344" s="1091"/>
      <c r="BVJ2344" s="1091"/>
      <c r="BVK2344" s="1091"/>
      <c r="BVL2344" s="1091"/>
      <c r="BVM2344" s="1091"/>
      <c r="BVN2344" s="1091"/>
      <c r="BVO2344" s="1091"/>
      <c r="BVP2344" s="1091"/>
      <c r="BVQ2344" s="1091"/>
      <c r="BVR2344" s="1091"/>
      <c r="BVS2344" s="1091"/>
      <c r="BVT2344" s="1091"/>
      <c r="BVU2344" s="1091"/>
      <c r="BVV2344" s="1091"/>
      <c r="BVW2344" s="1091"/>
      <c r="BVX2344" s="1091"/>
      <c r="BVY2344" s="1091"/>
      <c r="BVZ2344" s="1091"/>
      <c r="BWA2344" s="1091"/>
      <c r="BWB2344" s="1091"/>
      <c r="BWC2344" s="1091"/>
      <c r="BWD2344" s="1091"/>
      <c r="BWE2344" s="1091"/>
      <c r="BWF2344" s="1091"/>
      <c r="BWG2344" s="1091"/>
      <c r="BWH2344" s="1091"/>
      <c r="BWI2344" s="1091"/>
      <c r="BWJ2344" s="1091"/>
      <c r="BWK2344" s="1091"/>
      <c r="BWL2344" s="1091"/>
      <c r="BWM2344" s="1091"/>
      <c r="BWN2344" s="1091"/>
      <c r="BWO2344" s="1091"/>
      <c r="BWP2344" s="1091"/>
      <c r="BWQ2344" s="1091"/>
      <c r="BWR2344" s="1091"/>
      <c r="BWS2344" s="1091"/>
      <c r="BWT2344" s="1091"/>
      <c r="BWU2344" s="1091"/>
      <c r="BWV2344" s="1091"/>
      <c r="BWW2344" s="1091"/>
      <c r="BWX2344" s="1091"/>
      <c r="BWY2344" s="1091"/>
      <c r="BWZ2344" s="1091"/>
      <c r="BXA2344" s="1091"/>
      <c r="BXB2344" s="1091"/>
      <c r="BXC2344" s="1091"/>
      <c r="BXD2344" s="1091"/>
      <c r="BXE2344" s="1091"/>
      <c r="BXF2344" s="1091"/>
      <c r="BXG2344" s="1091"/>
      <c r="BXH2344" s="1091"/>
      <c r="BXI2344" s="1091"/>
      <c r="BXJ2344" s="1091"/>
      <c r="BXK2344" s="1091"/>
      <c r="BXL2344" s="1091"/>
      <c r="BXM2344" s="1091"/>
      <c r="BXN2344" s="1091"/>
      <c r="BXO2344" s="1091"/>
      <c r="BXP2344" s="1091"/>
      <c r="BXQ2344" s="1091"/>
      <c r="BXR2344" s="1091"/>
      <c r="BXS2344" s="1091"/>
      <c r="BXT2344" s="1091"/>
      <c r="BXU2344" s="1091"/>
      <c r="BXV2344" s="1091"/>
      <c r="BXW2344" s="1091"/>
      <c r="BXX2344" s="1091"/>
      <c r="BXY2344" s="1091"/>
      <c r="BXZ2344" s="1091"/>
      <c r="BYA2344" s="1091"/>
      <c r="BYB2344" s="1091"/>
      <c r="BYC2344" s="1091"/>
      <c r="BYD2344" s="1091"/>
      <c r="BYE2344" s="1091"/>
      <c r="BYF2344" s="1091"/>
      <c r="BYG2344" s="1091"/>
      <c r="BYH2344" s="1091"/>
      <c r="BYI2344" s="1091"/>
      <c r="BYJ2344" s="1091"/>
      <c r="BYK2344" s="1091"/>
      <c r="BYL2344" s="1091"/>
      <c r="BYM2344" s="1091"/>
      <c r="BYN2344" s="1091"/>
      <c r="BYO2344" s="1091"/>
      <c r="BYP2344" s="1091"/>
      <c r="BYQ2344" s="1091"/>
      <c r="BYR2344" s="1091"/>
      <c r="BYS2344" s="1091"/>
      <c r="BYT2344" s="1091"/>
      <c r="BYU2344" s="1091"/>
      <c r="BYV2344" s="1091"/>
      <c r="BYW2344" s="1091"/>
      <c r="BYX2344" s="1091"/>
      <c r="BYY2344" s="1091"/>
      <c r="BYZ2344" s="1091"/>
      <c r="BZA2344" s="1091"/>
      <c r="BZB2344" s="1091"/>
      <c r="BZC2344" s="1091"/>
      <c r="BZD2344" s="1091"/>
      <c r="BZE2344" s="1091"/>
      <c r="BZF2344" s="1091"/>
      <c r="BZG2344" s="1091"/>
      <c r="BZH2344" s="1091"/>
      <c r="BZI2344" s="1091"/>
      <c r="BZJ2344" s="1091"/>
      <c r="BZK2344" s="1091"/>
      <c r="BZL2344" s="1091"/>
      <c r="BZM2344" s="1091"/>
      <c r="BZN2344" s="1091"/>
      <c r="BZO2344" s="1091"/>
      <c r="BZP2344" s="1091"/>
      <c r="BZQ2344" s="1091"/>
      <c r="BZR2344" s="1091"/>
      <c r="BZS2344" s="1091"/>
      <c r="BZT2344" s="1091"/>
      <c r="BZU2344" s="1091"/>
      <c r="BZV2344" s="1091"/>
      <c r="BZW2344" s="1091"/>
      <c r="BZX2344" s="1091"/>
      <c r="BZY2344" s="1091"/>
      <c r="BZZ2344" s="1091"/>
      <c r="CAA2344" s="1091"/>
      <c r="CAB2344" s="1091"/>
      <c r="CAC2344" s="1091"/>
      <c r="CAD2344" s="1091"/>
      <c r="CAE2344" s="1091"/>
      <c r="CAF2344" s="1091"/>
      <c r="CAG2344" s="1091"/>
      <c r="CAH2344" s="1091"/>
      <c r="CAI2344" s="1091"/>
      <c r="CAJ2344" s="1091"/>
      <c r="CAK2344" s="1091"/>
      <c r="CAL2344" s="1091"/>
      <c r="CAM2344" s="1091"/>
      <c r="CAN2344" s="1091"/>
      <c r="CAO2344" s="1091"/>
      <c r="CAP2344" s="1091"/>
      <c r="CAQ2344" s="1091"/>
      <c r="CAR2344" s="1091"/>
      <c r="CAS2344" s="1091"/>
      <c r="CAT2344" s="1091"/>
      <c r="CAU2344" s="1091"/>
      <c r="CAV2344" s="1091"/>
      <c r="CAW2344" s="1091"/>
      <c r="CAX2344" s="1091"/>
      <c r="CAY2344" s="1091"/>
      <c r="CAZ2344" s="1091"/>
      <c r="CBA2344" s="1091"/>
      <c r="CBB2344" s="1091"/>
      <c r="CBC2344" s="1091"/>
      <c r="CBD2344" s="1091"/>
      <c r="CBE2344" s="1091"/>
      <c r="CBF2344" s="1091"/>
      <c r="CBG2344" s="1091"/>
      <c r="CBH2344" s="1091"/>
      <c r="CBI2344" s="1091"/>
      <c r="CBJ2344" s="1091"/>
      <c r="CBK2344" s="1091"/>
      <c r="CBL2344" s="1091"/>
      <c r="CBM2344" s="1091"/>
      <c r="CBN2344" s="1091"/>
      <c r="CBO2344" s="1091"/>
      <c r="CBP2344" s="1091"/>
      <c r="CBQ2344" s="1091"/>
      <c r="CBR2344" s="1091"/>
      <c r="CBS2344" s="1091"/>
      <c r="CBT2344" s="1091"/>
      <c r="CBU2344" s="1091"/>
      <c r="CBV2344" s="1091"/>
      <c r="CBW2344" s="1091"/>
      <c r="CBX2344" s="1091"/>
      <c r="CBY2344" s="1091"/>
      <c r="CBZ2344" s="1091"/>
      <c r="CCA2344" s="1091"/>
      <c r="CCB2344" s="1091"/>
      <c r="CCC2344" s="1091"/>
      <c r="CCD2344" s="1091"/>
      <c r="CCE2344" s="1091"/>
      <c r="CCF2344" s="1091"/>
      <c r="CCG2344" s="1091"/>
      <c r="CCH2344" s="1091"/>
      <c r="CCI2344" s="1091"/>
      <c r="CCJ2344" s="1091"/>
      <c r="CCK2344" s="1091"/>
      <c r="CCL2344" s="1091"/>
      <c r="CCM2344" s="1091"/>
      <c r="CCN2344" s="1091"/>
      <c r="CCO2344" s="1091"/>
      <c r="CCP2344" s="1091"/>
      <c r="CCQ2344" s="1091"/>
      <c r="CCR2344" s="1091"/>
      <c r="CCS2344" s="1091"/>
      <c r="CCT2344" s="1091"/>
      <c r="CCU2344" s="1091"/>
      <c r="CCV2344" s="1091"/>
      <c r="CCW2344" s="1091"/>
      <c r="CCX2344" s="1091"/>
      <c r="CCY2344" s="1091"/>
      <c r="CCZ2344" s="1091"/>
      <c r="CDA2344" s="1091"/>
      <c r="CDB2344" s="1091"/>
      <c r="CDC2344" s="1091"/>
      <c r="CDD2344" s="1091"/>
      <c r="CDE2344" s="1091"/>
      <c r="CDF2344" s="1091"/>
      <c r="CDG2344" s="1091"/>
      <c r="CDH2344" s="1091"/>
      <c r="CDI2344" s="1091"/>
      <c r="CDJ2344" s="1091"/>
      <c r="CDK2344" s="1091"/>
      <c r="CDL2344" s="1091"/>
      <c r="CDM2344" s="1091"/>
      <c r="CDN2344" s="1091"/>
      <c r="CDO2344" s="1091"/>
      <c r="CDP2344" s="1091"/>
      <c r="CDQ2344" s="1091"/>
      <c r="CDR2344" s="1091"/>
      <c r="CDS2344" s="1091"/>
      <c r="CDT2344" s="1091"/>
      <c r="CDU2344" s="1091"/>
      <c r="CDV2344" s="1091"/>
      <c r="CDW2344" s="1091"/>
      <c r="CDX2344" s="1091"/>
      <c r="CDY2344" s="1091"/>
      <c r="CDZ2344" s="1091"/>
      <c r="CEA2344" s="1091"/>
      <c r="CEB2344" s="1091"/>
      <c r="CEC2344" s="1091"/>
      <c r="CED2344" s="1091"/>
      <c r="CEE2344" s="1091"/>
      <c r="CEF2344" s="1091"/>
      <c r="CEG2344" s="1091"/>
      <c r="CEH2344" s="1091"/>
      <c r="CEI2344" s="1091"/>
      <c r="CEJ2344" s="1091"/>
      <c r="CEK2344" s="1091"/>
      <c r="CEL2344" s="1091"/>
      <c r="CEM2344" s="1091"/>
      <c r="CEN2344" s="1091"/>
      <c r="CEO2344" s="1091"/>
      <c r="CEP2344" s="1091"/>
      <c r="CEQ2344" s="1091"/>
      <c r="CER2344" s="1091"/>
      <c r="CES2344" s="1091"/>
      <c r="CET2344" s="1091"/>
      <c r="CEU2344" s="1091"/>
      <c r="CEV2344" s="1091"/>
      <c r="CEW2344" s="1091"/>
      <c r="CEX2344" s="1091"/>
      <c r="CEY2344" s="1091"/>
      <c r="CEZ2344" s="1091"/>
      <c r="CFA2344" s="1091"/>
      <c r="CFB2344" s="1091"/>
      <c r="CFC2344" s="1091"/>
      <c r="CFD2344" s="1091"/>
      <c r="CFE2344" s="1091"/>
      <c r="CFF2344" s="1091"/>
      <c r="CFG2344" s="1091"/>
      <c r="CFH2344" s="1091"/>
      <c r="CFI2344" s="1091"/>
      <c r="CFJ2344" s="1091"/>
      <c r="CFK2344" s="1091"/>
      <c r="CFL2344" s="1091"/>
      <c r="CFM2344" s="1091"/>
      <c r="CFN2344" s="1091"/>
      <c r="CFO2344" s="1091"/>
      <c r="CFP2344" s="1091"/>
      <c r="CFQ2344" s="1091"/>
      <c r="CFR2344" s="1091"/>
      <c r="CFS2344" s="1091"/>
      <c r="CFT2344" s="1091"/>
      <c r="CFU2344" s="1091"/>
      <c r="CFV2344" s="1091"/>
      <c r="CFW2344" s="1091"/>
      <c r="CFX2344" s="1091"/>
      <c r="CFY2344" s="1091"/>
      <c r="CFZ2344" s="1091"/>
      <c r="CGA2344" s="1091"/>
      <c r="CGB2344" s="1091"/>
      <c r="CGC2344" s="1091"/>
      <c r="CGD2344" s="1091"/>
      <c r="CGE2344" s="1091"/>
      <c r="CGF2344" s="1091"/>
      <c r="CGG2344" s="1091"/>
      <c r="CGH2344" s="1091"/>
      <c r="CGI2344" s="1091"/>
      <c r="CGJ2344" s="1091"/>
      <c r="CGK2344" s="1091"/>
      <c r="CGL2344" s="1091"/>
      <c r="CGM2344" s="1091"/>
      <c r="CGN2344" s="1091"/>
      <c r="CGO2344" s="1091"/>
      <c r="CGP2344" s="1091"/>
      <c r="CGQ2344" s="1091"/>
      <c r="CGR2344" s="1091"/>
      <c r="CGS2344" s="1091"/>
      <c r="CGT2344" s="1091"/>
      <c r="CGU2344" s="1091"/>
      <c r="CGV2344" s="1091"/>
      <c r="CGW2344" s="1091"/>
      <c r="CGX2344" s="1091"/>
      <c r="CGY2344" s="1091"/>
      <c r="CGZ2344" s="1091"/>
      <c r="CHA2344" s="1091"/>
      <c r="CHB2344" s="1091"/>
      <c r="CHC2344" s="1091"/>
      <c r="CHD2344" s="1091"/>
      <c r="CHE2344" s="1091"/>
      <c r="CHF2344" s="1091"/>
      <c r="CHG2344" s="1091"/>
      <c r="CHH2344" s="1091"/>
      <c r="CHI2344" s="1091"/>
      <c r="CHJ2344" s="1091"/>
      <c r="CHK2344" s="1091"/>
      <c r="CHL2344" s="1091"/>
      <c r="CHM2344" s="1091"/>
      <c r="CHN2344" s="1091"/>
      <c r="CHO2344" s="1091"/>
      <c r="CHP2344" s="1091"/>
      <c r="CHQ2344" s="1091"/>
      <c r="CHR2344" s="1091"/>
      <c r="CHS2344" s="1091"/>
      <c r="CHT2344" s="1091"/>
      <c r="CHU2344" s="1091"/>
      <c r="CHV2344" s="1091"/>
      <c r="CHW2344" s="1091"/>
      <c r="CHX2344" s="1091"/>
      <c r="CHY2344" s="1091"/>
      <c r="CHZ2344" s="1091"/>
      <c r="CIA2344" s="1091"/>
      <c r="CIB2344" s="1091"/>
      <c r="CIC2344" s="1091"/>
      <c r="CID2344" s="1091"/>
      <c r="CIE2344" s="1091"/>
      <c r="CIF2344" s="1091"/>
      <c r="CIG2344" s="1091"/>
      <c r="CIH2344" s="1091"/>
      <c r="CII2344" s="1091"/>
      <c r="CIJ2344" s="1091"/>
      <c r="CIK2344" s="1091"/>
      <c r="CIL2344" s="1091"/>
      <c r="CIM2344" s="1091"/>
      <c r="CIN2344" s="1091"/>
      <c r="CIO2344" s="1091"/>
      <c r="CIP2344" s="1091"/>
      <c r="CIQ2344" s="1091"/>
      <c r="CIR2344" s="1091"/>
      <c r="CIS2344" s="1091"/>
      <c r="CIT2344" s="1091"/>
      <c r="CIU2344" s="1091"/>
      <c r="CIV2344" s="1091"/>
      <c r="CIW2344" s="1091"/>
      <c r="CIX2344" s="1091"/>
      <c r="CIY2344" s="1091"/>
      <c r="CIZ2344" s="1091"/>
      <c r="CJA2344" s="1091"/>
      <c r="CJB2344" s="1091"/>
      <c r="CJC2344" s="1091"/>
      <c r="CJD2344" s="1091"/>
      <c r="CJE2344" s="1091"/>
      <c r="CJF2344" s="1091"/>
      <c r="CJG2344" s="1091"/>
      <c r="CJH2344" s="1091"/>
      <c r="CJI2344" s="1091"/>
      <c r="CJJ2344" s="1091"/>
      <c r="CJK2344" s="1091"/>
      <c r="CJL2344" s="1091"/>
      <c r="CJM2344" s="1091"/>
      <c r="CJN2344" s="1091"/>
      <c r="CJO2344" s="1091"/>
      <c r="CJP2344" s="1091"/>
      <c r="CJQ2344" s="1091"/>
      <c r="CJR2344" s="1091"/>
      <c r="CJS2344" s="1091"/>
      <c r="CJT2344" s="1091"/>
      <c r="CJU2344" s="1091"/>
      <c r="CJV2344" s="1091"/>
      <c r="CJW2344" s="1091"/>
      <c r="CJX2344" s="1091"/>
      <c r="CJY2344" s="1091"/>
      <c r="CJZ2344" s="1091"/>
      <c r="CKA2344" s="1091"/>
      <c r="CKB2344" s="1091"/>
      <c r="CKC2344" s="1091"/>
      <c r="CKD2344" s="1091"/>
      <c r="CKE2344" s="1091"/>
      <c r="CKF2344" s="1091"/>
      <c r="CKG2344" s="1091"/>
      <c r="CKH2344" s="1091"/>
      <c r="CKI2344" s="1091"/>
      <c r="CKJ2344" s="1091"/>
      <c r="CKK2344" s="1091"/>
      <c r="CKL2344" s="1091"/>
      <c r="CKM2344" s="1091"/>
      <c r="CKN2344" s="1091"/>
      <c r="CKO2344" s="1091"/>
      <c r="CKP2344" s="1091"/>
      <c r="CKQ2344" s="1091"/>
      <c r="CKR2344" s="1091"/>
      <c r="CKS2344" s="1091"/>
      <c r="CKT2344" s="1091"/>
      <c r="CKU2344" s="1091"/>
      <c r="CKV2344" s="1091"/>
      <c r="CKW2344" s="1091"/>
      <c r="CKX2344" s="1091"/>
      <c r="CKY2344" s="1091"/>
      <c r="CKZ2344" s="1091"/>
      <c r="CLA2344" s="1091"/>
      <c r="CLB2344" s="1091"/>
      <c r="CLC2344" s="1091"/>
      <c r="CLD2344" s="1091"/>
      <c r="CLE2344" s="1091"/>
      <c r="CLF2344" s="1091"/>
      <c r="CLG2344" s="1091"/>
      <c r="CLH2344" s="1091"/>
      <c r="CLI2344" s="1091"/>
      <c r="CLJ2344" s="1091"/>
      <c r="CLK2344" s="1091"/>
      <c r="CLL2344" s="1091"/>
      <c r="CLM2344" s="1091"/>
      <c r="CLN2344" s="1091"/>
      <c r="CLO2344" s="1091"/>
      <c r="CLP2344" s="1091"/>
      <c r="CLQ2344" s="1091"/>
      <c r="CLR2344" s="1091"/>
      <c r="CLS2344" s="1091"/>
      <c r="CLT2344" s="1091"/>
      <c r="CLU2344" s="1091"/>
      <c r="CLV2344" s="1091"/>
      <c r="CLW2344" s="1091"/>
      <c r="CLX2344" s="1091"/>
      <c r="CLY2344" s="1091"/>
      <c r="CLZ2344" s="1091"/>
      <c r="CMA2344" s="1091"/>
      <c r="CMB2344" s="1091"/>
      <c r="CMC2344" s="1091"/>
      <c r="CMD2344" s="1091"/>
      <c r="CME2344" s="1091"/>
      <c r="CMF2344" s="1091"/>
      <c r="CMG2344" s="1091"/>
      <c r="CMH2344" s="1091"/>
      <c r="CMI2344" s="1091"/>
      <c r="CMJ2344" s="1091"/>
      <c r="CMK2344" s="1091"/>
      <c r="CML2344" s="1091"/>
      <c r="CMM2344" s="1091"/>
      <c r="CMN2344" s="1091"/>
      <c r="CMO2344" s="1091"/>
      <c r="CMP2344" s="1091"/>
      <c r="CMQ2344" s="1091"/>
      <c r="CMR2344" s="1091"/>
      <c r="CMS2344" s="1091"/>
      <c r="CMT2344" s="1091"/>
      <c r="CMU2344" s="1091"/>
      <c r="CMV2344" s="1091"/>
      <c r="CMW2344" s="1091"/>
      <c r="CMX2344" s="1091"/>
      <c r="CMY2344" s="1091"/>
      <c r="CMZ2344" s="1091"/>
      <c r="CNA2344" s="1091"/>
      <c r="CNB2344" s="1091"/>
      <c r="CNC2344" s="1091"/>
      <c r="CND2344" s="1091"/>
      <c r="CNE2344" s="1091"/>
      <c r="CNF2344" s="1091"/>
      <c r="CNG2344" s="1091"/>
      <c r="CNH2344" s="1091"/>
      <c r="CNI2344" s="1091"/>
      <c r="CNJ2344" s="1091"/>
      <c r="CNK2344" s="1091"/>
      <c r="CNL2344" s="1091"/>
      <c r="CNM2344" s="1091"/>
      <c r="CNN2344" s="1091"/>
      <c r="CNO2344" s="1091"/>
      <c r="CNP2344" s="1091"/>
      <c r="CNQ2344" s="1091"/>
      <c r="CNR2344" s="1091"/>
      <c r="CNS2344" s="1091"/>
      <c r="CNT2344" s="1091"/>
      <c r="CNU2344" s="1091"/>
      <c r="CNV2344" s="1091"/>
      <c r="CNW2344" s="1091"/>
      <c r="CNX2344" s="1091"/>
      <c r="CNY2344" s="1091"/>
      <c r="CNZ2344" s="1091"/>
      <c r="COA2344" s="1091"/>
      <c r="COB2344" s="1091"/>
      <c r="COC2344" s="1091"/>
      <c r="COD2344" s="1091"/>
      <c r="COE2344" s="1091"/>
      <c r="COF2344" s="1091"/>
      <c r="COG2344" s="1091"/>
      <c r="COH2344" s="1091"/>
      <c r="COI2344" s="1091"/>
      <c r="COJ2344" s="1091"/>
      <c r="COK2344" s="1091"/>
      <c r="COL2344" s="1091"/>
      <c r="COM2344" s="1091"/>
      <c r="CON2344" s="1091"/>
      <c r="COO2344" s="1091"/>
      <c r="COP2344" s="1091"/>
      <c r="COQ2344" s="1091"/>
      <c r="COR2344" s="1091"/>
      <c r="COS2344" s="1091"/>
      <c r="COT2344" s="1091"/>
      <c r="COU2344" s="1091"/>
      <c r="COV2344" s="1091"/>
      <c r="COW2344" s="1091"/>
      <c r="COX2344" s="1091"/>
      <c r="COY2344" s="1091"/>
      <c r="COZ2344" s="1091"/>
      <c r="CPA2344" s="1091"/>
      <c r="CPB2344" s="1091"/>
      <c r="CPC2344" s="1091"/>
      <c r="CPD2344" s="1091"/>
      <c r="CPE2344" s="1091"/>
      <c r="CPF2344" s="1091"/>
      <c r="CPG2344" s="1091"/>
      <c r="CPH2344" s="1091"/>
      <c r="CPI2344" s="1091"/>
      <c r="CPJ2344" s="1091"/>
      <c r="CPK2344" s="1091"/>
      <c r="CPL2344" s="1091"/>
      <c r="CPM2344" s="1091"/>
      <c r="CPN2344" s="1091"/>
      <c r="CPO2344" s="1091"/>
      <c r="CPP2344" s="1091"/>
      <c r="CPQ2344" s="1091"/>
      <c r="CPR2344" s="1091"/>
      <c r="CPS2344" s="1091"/>
      <c r="CPT2344" s="1091"/>
      <c r="CPU2344" s="1091"/>
      <c r="CPV2344" s="1091"/>
      <c r="CPW2344" s="1091"/>
      <c r="CPX2344" s="1091"/>
      <c r="CPY2344" s="1091"/>
      <c r="CPZ2344" s="1091"/>
      <c r="CQA2344" s="1091"/>
      <c r="CQB2344" s="1091"/>
      <c r="CQC2344" s="1091"/>
      <c r="CQD2344" s="1091"/>
      <c r="CQE2344" s="1091"/>
      <c r="CQF2344" s="1091"/>
      <c r="CQG2344" s="1091"/>
      <c r="CQH2344" s="1091"/>
      <c r="CQI2344" s="1091"/>
      <c r="CQJ2344" s="1091"/>
      <c r="CQK2344" s="1091"/>
      <c r="CQL2344" s="1091"/>
      <c r="CQM2344" s="1091"/>
      <c r="CQN2344" s="1091"/>
      <c r="CQO2344" s="1091"/>
      <c r="CQP2344" s="1091"/>
      <c r="CQQ2344" s="1091"/>
      <c r="CQR2344" s="1091"/>
      <c r="CQS2344" s="1091"/>
      <c r="CQT2344" s="1091"/>
      <c r="CQU2344" s="1091"/>
      <c r="CQV2344" s="1091"/>
      <c r="CQW2344" s="1091"/>
      <c r="CQX2344" s="1091"/>
      <c r="CQY2344" s="1091"/>
      <c r="CQZ2344" s="1091"/>
      <c r="CRA2344" s="1091"/>
      <c r="CRB2344" s="1091"/>
      <c r="CRC2344" s="1091"/>
      <c r="CRD2344" s="1091"/>
      <c r="CRE2344" s="1091"/>
      <c r="CRF2344" s="1091"/>
      <c r="CRG2344" s="1091"/>
      <c r="CRH2344" s="1091"/>
      <c r="CRI2344" s="1091"/>
      <c r="CRJ2344" s="1091"/>
      <c r="CRK2344" s="1091"/>
      <c r="CRL2344" s="1091"/>
      <c r="CRM2344" s="1091"/>
      <c r="CRN2344" s="1091"/>
      <c r="CRO2344" s="1091"/>
      <c r="CRP2344" s="1091"/>
      <c r="CRQ2344" s="1091"/>
      <c r="CRR2344" s="1091"/>
      <c r="CRS2344" s="1091"/>
      <c r="CRT2344" s="1091"/>
      <c r="CRU2344" s="1091"/>
      <c r="CRV2344" s="1091"/>
      <c r="CRW2344" s="1091"/>
      <c r="CRX2344" s="1091"/>
      <c r="CRY2344" s="1091"/>
      <c r="CRZ2344" s="1091"/>
      <c r="CSA2344" s="1091"/>
      <c r="CSB2344" s="1091"/>
      <c r="CSC2344" s="1091"/>
      <c r="CSD2344" s="1091"/>
      <c r="CSE2344" s="1091"/>
      <c r="CSF2344" s="1091"/>
      <c r="CSG2344" s="1091"/>
      <c r="CSH2344" s="1091"/>
      <c r="CSI2344" s="1091"/>
      <c r="CSJ2344" s="1091"/>
      <c r="CSK2344" s="1091"/>
      <c r="CSL2344" s="1091"/>
      <c r="CSM2344" s="1091"/>
      <c r="CSN2344" s="1091"/>
      <c r="CSO2344" s="1091"/>
      <c r="CSP2344" s="1091"/>
      <c r="CSQ2344" s="1091"/>
      <c r="CSR2344" s="1091"/>
      <c r="CSS2344" s="1091"/>
      <c r="CST2344" s="1091"/>
      <c r="CSU2344" s="1091"/>
      <c r="CSV2344" s="1091"/>
      <c r="CSW2344" s="1091"/>
      <c r="CSX2344" s="1091"/>
      <c r="CSY2344" s="1091"/>
      <c r="CSZ2344" s="1091"/>
      <c r="CTA2344" s="1091"/>
      <c r="CTB2344" s="1091"/>
      <c r="CTC2344" s="1091"/>
      <c r="CTD2344" s="1091"/>
      <c r="CTE2344" s="1091"/>
      <c r="CTF2344" s="1091"/>
      <c r="CTG2344" s="1091"/>
      <c r="CTH2344" s="1091"/>
      <c r="CTI2344" s="1091"/>
      <c r="CTJ2344" s="1091"/>
      <c r="CTK2344" s="1091"/>
      <c r="CTL2344" s="1091"/>
      <c r="CTM2344" s="1091"/>
      <c r="CTN2344" s="1091"/>
      <c r="CTO2344" s="1091"/>
      <c r="CTP2344" s="1091"/>
      <c r="CTQ2344" s="1091"/>
      <c r="CTR2344" s="1091"/>
      <c r="CTS2344" s="1091"/>
      <c r="CTT2344" s="1091"/>
      <c r="CTU2344" s="1091"/>
      <c r="CTV2344" s="1091"/>
      <c r="CTW2344" s="1091"/>
      <c r="CTX2344" s="1091"/>
      <c r="CTY2344" s="1091"/>
      <c r="CTZ2344" s="1091"/>
      <c r="CUA2344" s="1091"/>
      <c r="CUB2344" s="1091"/>
      <c r="CUC2344" s="1091"/>
      <c r="CUD2344" s="1091"/>
      <c r="CUE2344" s="1091"/>
      <c r="CUF2344" s="1091"/>
      <c r="CUG2344" s="1091"/>
      <c r="CUH2344" s="1091"/>
      <c r="CUI2344" s="1091"/>
      <c r="CUJ2344" s="1091"/>
      <c r="CUK2344" s="1091"/>
      <c r="CUL2344" s="1091"/>
      <c r="CUM2344" s="1091"/>
      <c r="CUN2344" s="1091"/>
      <c r="CUO2344" s="1091"/>
      <c r="CUP2344" s="1091"/>
      <c r="CUQ2344" s="1091"/>
      <c r="CUR2344" s="1091"/>
      <c r="CUS2344" s="1091"/>
      <c r="CUT2344" s="1091"/>
      <c r="CUU2344" s="1091"/>
      <c r="CUV2344" s="1091"/>
      <c r="CUW2344" s="1091"/>
      <c r="CUX2344" s="1091"/>
      <c r="CUY2344" s="1091"/>
      <c r="CUZ2344" s="1091"/>
      <c r="CVA2344" s="1091"/>
      <c r="CVB2344" s="1091"/>
      <c r="CVC2344" s="1091"/>
      <c r="CVD2344" s="1091"/>
      <c r="CVE2344" s="1091"/>
      <c r="CVF2344" s="1091"/>
      <c r="CVG2344" s="1091"/>
      <c r="CVH2344" s="1091"/>
      <c r="CVI2344" s="1091"/>
      <c r="CVJ2344" s="1091"/>
      <c r="CVK2344" s="1091"/>
      <c r="CVL2344" s="1091"/>
      <c r="CVM2344" s="1091"/>
      <c r="CVN2344" s="1091"/>
      <c r="CVO2344" s="1091"/>
      <c r="CVP2344" s="1091"/>
      <c r="CVQ2344" s="1091"/>
      <c r="CVR2344" s="1091"/>
      <c r="CVS2344" s="1091"/>
      <c r="CVT2344" s="1091"/>
      <c r="CVU2344" s="1091"/>
      <c r="CVV2344" s="1091"/>
      <c r="CVW2344" s="1091"/>
      <c r="CVX2344" s="1091"/>
      <c r="CVY2344" s="1091"/>
      <c r="CVZ2344" s="1091"/>
      <c r="CWA2344" s="1091"/>
      <c r="CWB2344" s="1091"/>
      <c r="CWC2344" s="1091"/>
      <c r="CWD2344" s="1091"/>
      <c r="CWE2344" s="1091"/>
      <c r="CWF2344" s="1091"/>
      <c r="CWG2344" s="1091"/>
      <c r="CWH2344" s="1091"/>
      <c r="CWI2344" s="1091"/>
      <c r="CWJ2344" s="1091"/>
      <c r="CWK2344" s="1091"/>
      <c r="CWL2344" s="1091"/>
      <c r="CWM2344" s="1091"/>
      <c r="CWN2344" s="1091"/>
      <c r="CWO2344" s="1091"/>
      <c r="CWP2344" s="1091"/>
      <c r="CWQ2344" s="1091"/>
      <c r="CWR2344" s="1091"/>
      <c r="CWS2344" s="1091"/>
      <c r="CWT2344" s="1091"/>
      <c r="CWU2344" s="1091"/>
      <c r="CWV2344" s="1091"/>
      <c r="CWW2344" s="1091"/>
      <c r="CWX2344" s="1091"/>
      <c r="CWY2344" s="1091"/>
      <c r="CWZ2344" s="1091"/>
      <c r="CXA2344" s="1091"/>
      <c r="CXB2344" s="1091"/>
      <c r="CXC2344" s="1091"/>
      <c r="CXD2344" s="1091"/>
      <c r="CXE2344" s="1091"/>
      <c r="CXF2344" s="1091"/>
      <c r="CXG2344" s="1091"/>
      <c r="CXH2344" s="1091"/>
      <c r="CXI2344" s="1091"/>
      <c r="CXJ2344" s="1091"/>
      <c r="CXK2344" s="1091"/>
      <c r="CXL2344" s="1091"/>
      <c r="CXM2344" s="1091"/>
      <c r="CXN2344" s="1091"/>
      <c r="CXO2344" s="1091"/>
      <c r="CXP2344" s="1091"/>
      <c r="CXQ2344" s="1091"/>
      <c r="CXR2344" s="1091"/>
      <c r="CXS2344" s="1091"/>
      <c r="CXT2344" s="1091"/>
      <c r="CXU2344" s="1091"/>
      <c r="CXV2344" s="1091"/>
      <c r="CXW2344" s="1091"/>
      <c r="CXX2344" s="1091"/>
      <c r="CXY2344" s="1091"/>
      <c r="CXZ2344" s="1091"/>
      <c r="CYA2344" s="1091"/>
      <c r="CYB2344" s="1091"/>
      <c r="CYC2344" s="1091"/>
      <c r="CYD2344" s="1091"/>
      <c r="CYE2344" s="1091"/>
      <c r="CYF2344" s="1091"/>
      <c r="CYG2344" s="1091"/>
      <c r="CYH2344" s="1091"/>
      <c r="CYI2344" s="1091"/>
      <c r="CYJ2344" s="1091"/>
      <c r="CYK2344" s="1091"/>
      <c r="CYL2344" s="1091"/>
      <c r="CYM2344" s="1091"/>
      <c r="CYN2344" s="1091"/>
      <c r="CYO2344" s="1091"/>
      <c r="CYP2344" s="1091"/>
      <c r="CYQ2344" s="1091"/>
      <c r="CYR2344" s="1091"/>
      <c r="CYS2344" s="1091"/>
      <c r="CYT2344" s="1091"/>
      <c r="CYU2344" s="1091"/>
      <c r="CYV2344" s="1091"/>
      <c r="CYW2344" s="1091"/>
      <c r="CYX2344" s="1091"/>
      <c r="CYY2344" s="1091"/>
      <c r="CYZ2344" s="1091"/>
      <c r="CZA2344" s="1091"/>
      <c r="CZB2344" s="1091"/>
      <c r="CZC2344" s="1091"/>
      <c r="CZD2344" s="1091"/>
      <c r="CZE2344" s="1091"/>
      <c r="CZF2344" s="1091"/>
      <c r="CZG2344" s="1091"/>
      <c r="CZH2344" s="1091"/>
      <c r="CZI2344" s="1091"/>
      <c r="CZJ2344" s="1091"/>
      <c r="CZK2344" s="1091"/>
      <c r="CZL2344" s="1091"/>
      <c r="CZM2344" s="1091"/>
      <c r="CZN2344" s="1091"/>
      <c r="CZO2344" s="1091"/>
      <c r="CZP2344" s="1091"/>
      <c r="CZQ2344" s="1091"/>
      <c r="CZR2344" s="1091"/>
      <c r="CZS2344" s="1091"/>
      <c r="CZT2344" s="1091"/>
      <c r="CZU2344" s="1091"/>
      <c r="CZV2344" s="1091"/>
      <c r="CZW2344" s="1091"/>
      <c r="CZX2344" s="1091"/>
      <c r="CZY2344" s="1091"/>
      <c r="CZZ2344" s="1091"/>
      <c r="DAA2344" s="1091"/>
      <c r="DAB2344" s="1091"/>
      <c r="DAC2344" s="1091"/>
      <c r="DAD2344" s="1091"/>
      <c r="DAE2344" s="1091"/>
      <c r="DAF2344" s="1091"/>
      <c r="DAG2344" s="1091"/>
      <c r="DAH2344" s="1091"/>
      <c r="DAI2344" s="1091"/>
      <c r="DAJ2344" s="1091"/>
      <c r="DAK2344" s="1091"/>
      <c r="DAL2344" s="1091"/>
      <c r="DAM2344" s="1091"/>
      <c r="DAN2344" s="1091"/>
      <c r="DAO2344" s="1091"/>
      <c r="DAP2344" s="1091"/>
      <c r="DAQ2344" s="1091"/>
      <c r="DAR2344" s="1091"/>
      <c r="DAS2344" s="1091"/>
      <c r="DAT2344" s="1091"/>
      <c r="DAU2344" s="1091"/>
      <c r="DAV2344" s="1091"/>
      <c r="DAW2344" s="1091"/>
      <c r="DAX2344" s="1091"/>
      <c r="DAY2344" s="1091"/>
      <c r="DAZ2344" s="1091"/>
      <c r="DBA2344" s="1091"/>
      <c r="DBB2344" s="1091"/>
      <c r="DBC2344" s="1091"/>
      <c r="DBD2344" s="1091"/>
      <c r="DBE2344" s="1091"/>
      <c r="DBF2344" s="1091"/>
      <c r="DBG2344" s="1091"/>
      <c r="DBH2344" s="1091"/>
      <c r="DBI2344" s="1091"/>
      <c r="DBJ2344" s="1091"/>
      <c r="DBK2344" s="1091"/>
      <c r="DBL2344" s="1091"/>
      <c r="DBM2344" s="1091"/>
      <c r="DBN2344" s="1091"/>
      <c r="DBO2344" s="1091"/>
      <c r="DBP2344" s="1091"/>
      <c r="DBQ2344" s="1091"/>
      <c r="DBR2344" s="1091"/>
      <c r="DBS2344" s="1091"/>
      <c r="DBT2344" s="1091"/>
      <c r="DBU2344" s="1091"/>
      <c r="DBV2344" s="1091"/>
      <c r="DBW2344" s="1091"/>
      <c r="DBX2344" s="1091"/>
      <c r="DBY2344" s="1091"/>
      <c r="DBZ2344" s="1091"/>
      <c r="DCA2344" s="1091"/>
      <c r="DCB2344" s="1091"/>
      <c r="DCC2344" s="1091"/>
      <c r="DCD2344" s="1091"/>
      <c r="DCE2344" s="1091"/>
      <c r="DCF2344" s="1091"/>
      <c r="DCG2344" s="1091"/>
      <c r="DCH2344" s="1091"/>
      <c r="DCI2344" s="1091"/>
      <c r="DCJ2344" s="1091"/>
      <c r="DCK2344" s="1091"/>
      <c r="DCL2344" s="1091"/>
      <c r="DCM2344" s="1091"/>
      <c r="DCN2344" s="1091"/>
      <c r="DCO2344" s="1091"/>
      <c r="DCP2344" s="1091"/>
      <c r="DCQ2344" s="1091"/>
      <c r="DCR2344" s="1091"/>
      <c r="DCS2344" s="1091"/>
      <c r="DCT2344" s="1091"/>
      <c r="DCU2344" s="1091"/>
      <c r="DCV2344" s="1091"/>
      <c r="DCW2344" s="1091"/>
      <c r="DCX2344" s="1091"/>
      <c r="DCY2344" s="1091"/>
      <c r="DCZ2344" s="1091"/>
      <c r="DDA2344" s="1091"/>
      <c r="DDB2344" s="1091"/>
      <c r="DDC2344" s="1091"/>
      <c r="DDD2344" s="1091"/>
      <c r="DDE2344" s="1091"/>
      <c r="DDF2344" s="1091"/>
      <c r="DDG2344" s="1091"/>
      <c r="DDH2344" s="1091"/>
      <c r="DDI2344" s="1091"/>
      <c r="DDJ2344" s="1091"/>
      <c r="DDK2344" s="1091"/>
      <c r="DDL2344" s="1091"/>
      <c r="DDM2344" s="1091"/>
      <c r="DDN2344" s="1091"/>
      <c r="DDO2344" s="1091"/>
      <c r="DDP2344" s="1091"/>
      <c r="DDQ2344" s="1091"/>
      <c r="DDR2344" s="1091"/>
      <c r="DDS2344" s="1091"/>
      <c r="DDT2344" s="1091"/>
      <c r="DDU2344" s="1091"/>
      <c r="DDV2344" s="1091"/>
      <c r="DDW2344" s="1091"/>
      <c r="DDX2344" s="1091"/>
      <c r="DDY2344" s="1091"/>
      <c r="DDZ2344" s="1091"/>
      <c r="DEA2344" s="1091"/>
      <c r="DEB2344" s="1091"/>
      <c r="DEC2344" s="1091"/>
      <c r="DED2344" s="1091"/>
      <c r="DEE2344" s="1091"/>
      <c r="DEF2344" s="1091"/>
      <c r="DEG2344" s="1091"/>
      <c r="DEH2344" s="1091"/>
      <c r="DEI2344" s="1091"/>
      <c r="DEJ2344" s="1091"/>
      <c r="DEK2344" s="1091"/>
      <c r="DEL2344" s="1091"/>
      <c r="DEM2344" s="1091"/>
      <c r="DEN2344" s="1091"/>
      <c r="DEO2344" s="1091"/>
      <c r="DEP2344" s="1091"/>
      <c r="DEQ2344" s="1091"/>
      <c r="DER2344" s="1091"/>
      <c r="DES2344" s="1091"/>
      <c r="DET2344" s="1091"/>
      <c r="DEU2344" s="1091"/>
      <c r="DEV2344" s="1091"/>
      <c r="DEW2344" s="1091"/>
      <c r="DEX2344" s="1091"/>
      <c r="DEY2344" s="1091"/>
      <c r="DEZ2344" s="1091"/>
      <c r="DFA2344" s="1091"/>
      <c r="DFB2344" s="1091"/>
      <c r="DFC2344" s="1091"/>
      <c r="DFD2344" s="1091"/>
      <c r="DFE2344" s="1091"/>
      <c r="DFF2344" s="1091"/>
      <c r="DFG2344" s="1091"/>
      <c r="DFH2344" s="1091"/>
      <c r="DFI2344" s="1091"/>
      <c r="DFJ2344" s="1091"/>
      <c r="DFK2344" s="1091"/>
      <c r="DFL2344" s="1091"/>
      <c r="DFM2344" s="1091"/>
      <c r="DFN2344" s="1091"/>
      <c r="DFO2344" s="1091"/>
      <c r="DFP2344" s="1091"/>
      <c r="DFQ2344" s="1091"/>
      <c r="DFR2344" s="1091"/>
      <c r="DFS2344" s="1091"/>
      <c r="DFT2344" s="1091"/>
      <c r="DFU2344" s="1091"/>
      <c r="DFV2344" s="1091"/>
      <c r="DFW2344" s="1091"/>
      <c r="DFX2344" s="1091"/>
      <c r="DFY2344" s="1091"/>
      <c r="DFZ2344" s="1091"/>
      <c r="DGA2344" s="1091"/>
      <c r="DGB2344" s="1091"/>
      <c r="DGC2344" s="1091"/>
      <c r="DGD2344" s="1091"/>
      <c r="DGE2344" s="1091"/>
      <c r="DGF2344" s="1091"/>
      <c r="DGG2344" s="1091"/>
      <c r="DGH2344" s="1091"/>
      <c r="DGI2344" s="1091"/>
      <c r="DGJ2344" s="1091"/>
      <c r="DGK2344" s="1091"/>
      <c r="DGL2344" s="1091"/>
      <c r="DGM2344" s="1091"/>
      <c r="DGN2344" s="1091"/>
      <c r="DGO2344" s="1091"/>
      <c r="DGP2344" s="1091"/>
      <c r="DGQ2344" s="1091"/>
      <c r="DGR2344" s="1091"/>
      <c r="DGS2344" s="1091"/>
      <c r="DGT2344" s="1091"/>
      <c r="DGU2344" s="1091"/>
      <c r="DGV2344" s="1091"/>
      <c r="DGW2344" s="1091"/>
      <c r="DGX2344" s="1091"/>
      <c r="DGY2344" s="1091"/>
      <c r="DGZ2344" s="1091"/>
      <c r="DHA2344" s="1091"/>
      <c r="DHB2344" s="1091"/>
      <c r="DHC2344" s="1091"/>
      <c r="DHD2344" s="1091"/>
      <c r="DHE2344" s="1091"/>
      <c r="DHF2344" s="1091"/>
      <c r="DHG2344" s="1091"/>
      <c r="DHH2344" s="1091"/>
      <c r="DHI2344" s="1091"/>
      <c r="DHJ2344" s="1091"/>
      <c r="DHK2344" s="1091"/>
      <c r="DHL2344" s="1091"/>
      <c r="DHM2344" s="1091"/>
      <c r="DHN2344" s="1091"/>
      <c r="DHO2344" s="1091"/>
      <c r="DHP2344" s="1091"/>
      <c r="DHQ2344" s="1091"/>
      <c r="DHR2344" s="1091"/>
      <c r="DHS2344" s="1091"/>
      <c r="DHT2344" s="1091"/>
      <c r="DHU2344" s="1091"/>
      <c r="DHV2344" s="1091"/>
      <c r="DHW2344" s="1091"/>
      <c r="DHX2344" s="1091"/>
      <c r="DHY2344" s="1091"/>
      <c r="DHZ2344" s="1091"/>
      <c r="DIA2344" s="1091"/>
      <c r="DIB2344" s="1091"/>
      <c r="DIC2344" s="1091"/>
      <c r="DID2344" s="1091"/>
      <c r="DIE2344" s="1091"/>
      <c r="DIF2344" s="1091"/>
      <c r="DIG2344" s="1091"/>
      <c r="DIH2344" s="1091"/>
      <c r="DII2344" s="1091"/>
      <c r="DIJ2344" s="1091"/>
      <c r="DIK2344" s="1091"/>
      <c r="DIL2344" s="1091"/>
      <c r="DIM2344" s="1091"/>
      <c r="DIN2344" s="1091"/>
      <c r="DIO2344" s="1091"/>
      <c r="DIP2344" s="1091"/>
      <c r="DIQ2344" s="1091"/>
      <c r="DIR2344" s="1091"/>
      <c r="DIS2344" s="1091"/>
      <c r="DIT2344" s="1091"/>
      <c r="DIU2344" s="1091"/>
      <c r="DIV2344" s="1091"/>
      <c r="DIW2344" s="1091"/>
      <c r="DIX2344" s="1091"/>
      <c r="DIY2344" s="1091"/>
      <c r="DIZ2344" s="1091"/>
      <c r="DJA2344" s="1091"/>
      <c r="DJB2344" s="1091"/>
      <c r="DJC2344" s="1091"/>
      <c r="DJD2344" s="1091"/>
      <c r="DJE2344" s="1091"/>
      <c r="DJF2344" s="1091"/>
      <c r="DJG2344" s="1091"/>
      <c r="DJH2344" s="1091"/>
      <c r="DJI2344" s="1091"/>
      <c r="DJJ2344" s="1091"/>
      <c r="DJK2344" s="1091"/>
      <c r="DJL2344" s="1091"/>
      <c r="DJM2344" s="1091"/>
      <c r="DJN2344" s="1091"/>
      <c r="DJO2344" s="1091"/>
      <c r="DJP2344" s="1091"/>
      <c r="DJQ2344" s="1091"/>
      <c r="DJR2344" s="1091"/>
      <c r="DJS2344" s="1091"/>
      <c r="DJT2344" s="1091"/>
      <c r="DJU2344" s="1091"/>
      <c r="DJV2344" s="1091"/>
      <c r="DJW2344" s="1091"/>
      <c r="DJX2344" s="1091"/>
      <c r="DJY2344" s="1091"/>
      <c r="DJZ2344" s="1091"/>
      <c r="DKA2344" s="1091"/>
      <c r="DKB2344" s="1091"/>
      <c r="DKC2344" s="1091"/>
      <c r="DKD2344" s="1091"/>
      <c r="DKE2344" s="1091"/>
      <c r="DKF2344" s="1091"/>
      <c r="DKG2344" s="1091"/>
      <c r="DKH2344" s="1091"/>
      <c r="DKI2344" s="1091"/>
      <c r="DKJ2344" s="1091"/>
      <c r="DKK2344" s="1091"/>
      <c r="DKL2344" s="1091"/>
      <c r="DKM2344" s="1091"/>
      <c r="DKN2344" s="1091"/>
      <c r="DKO2344" s="1091"/>
      <c r="DKP2344" s="1091"/>
      <c r="DKQ2344" s="1091"/>
      <c r="DKR2344" s="1091"/>
      <c r="DKS2344" s="1091"/>
      <c r="DKT2344" s="1091"/>
      <c r="DKU2344" s="1091"/>
      <c r="DKV2344" s="1091"/>
      <c r="DKW2344" s="1091"/>
      <c r="DKX2344" s="1091"/>
      <c r="DKY2344" s="1091"/>
      <c r="DKZ2344" s="1091"/>
      <c r="DLA2344" s="1091"/>
      <c r="DLB2344" s="1091"/>
      <c r="DLC2344" s="1091"/>
      <c r="DLD2344" s="1091"/>
      <c r="DLE2344" s="1091"/>
      <c r="DLF2344" s="1091"/>
      <c r="DLG2344" s="1091"/>
      <c r="DLH2344" s="1091"/>
      <c r="DLI2344" s="1091"/>
      <c r="DLJ2344" s="1091"/>
      <c r="DLK2344" s="1091"/>
      <c r="DLL2344" s="1091"/>
      <c r="DLM2344" s="1091"/>
      <c r="DLN2344" s="1091"/>
      <c r="DLO2344" s="1091"/>
      <c r="DLP2344" s="1091"/>
      <c r="DLQ2344" s="1091"/>
      <c r="DLR2344" s="1091"/>
      <c r="DLS2344" s="1091"/>
      <c r="DLT2344" s="1091"/>
      <c r="DLU2344" s="1091"/>
      <c r="DLV2344" s="1091"/>
      <c r="DLW2344" s="1091"/>
      <c r="DLX2344" s="1091"/>
      <c r="DLY2344" s="1091"/>
      <c r="DLZ2344" s="1091"/>
      <c r="DMA2344" s="1091"/>
      <c r="DMB2344" s="1091"/>
      <c r="DMC2344" s="1091"/>
      <c r="DMD2344" s="1091"/>
      <c r="DME2344" s="1091"/>
      <c r="DMF2344" s="1091"/>
      <c r="DMG2344" s="1091"/>
      <c r="DMH2344" s="1091"/>
      <c r="DMI2344" s="1091"/>
      <c r="DMJ2344" s="1091"/>
      <c r="DMK2344" s="1091"/>
      <c r="DML2344" s="1091"/>
      <c r="DMM2344" s="1091"/>
      <c r="DMN2344" s="1091"/>
      <c r="DMO2344" s="1091"/>
      <c r="DMP2344" s="1091"/>
      <c r="DMQ2344" s="1091"/>
      <c r="DMR2344" s="1091"/>
      <c r="DMS2344" s="1091"/>
      <c r="DMT2344" s="1091"/>
      <c r="DMU2344" s="1091"/>
      <c r="DMV2344" s="1091"/>
      <c r="DMW2344" s="1091"/>
      <c r="DMX2344" s="1091"/>
      <c r="DMY2344" s="1091"/>
      <c r="DMZ2344" s="1091"/>
      <c r="DNA2344" s="1091"/>
      <c r="DNB2344" s="1091"/>
      <c r="DNC2344" s="1091"/>
      <c r="DND2344" s="1091"/>
      <c r="DNE2344" s="1091"/>
      <c r="DNF2344" s="1091"/>
      <c r="DNG2344" s="1091"/>
      <c r="DNH2344" s="1091"/>
      <c r="DNI2344" s="1091"/>
      <c r="DNJ2344" s="1091"/>
      <c r="DNK2344" s="1091"/>
      <c r="DNL2344" s="1091"/>
      <c r="DNM2344" s="1091"/>
      <c r="DNN2344" s="1091"/>
      <c r="DNO2344" s="1091"/>
      <c r="DNP2344" s="1091"/>
      <c r="DNQ2344" s="1091"/>
      <c r="DNR2344" s="1091"/>
      <c r="DNS2344" s="1091"/>
      <c r="DNT2344" s="1091"/>
      <c r="DNU2344" s="1091"/>
      <c r="DNV2344" s="1091"/>
      <c r="DNW2344" s="1091"/>
      <c r="DNX2344" s="1091"/>
      <c r="DNY2344" s="1091"/>
      <c r="DNZ2344" s="1091"/>
      <c r="DOA2344" s="1091"/>
      <c r="DOB2344" s="1091"/>
      <c r="DOC2344" s="1091"/>
      <c r="DOD2344" s="1091"/>
      <c r="DOE2344" s="1091"/>
      <c r="DOF2344" s="1091"/>
      <c r="DOG2344" s="1091"/>
      <c r="DOH2344" s="1091"/>
      <c r="DOI2344" s="1091"/>
      <c r="DOJ2344" s="1091"/>
      <c r="DOK2344" s="1091"/>
      <c r="DOL2344" s="1091"/>
      <c r="DOM2344" s="1091"/>
      <c r="DON2344" s="1091"/>
      <c r="DOO2344" s="1091"/>
      <c r="DOP2344" s="1091"/>
      <c r="DOQ2344" s="1091"/>
      <c r="DOR2344" s="1091"/>
      <c r="DOS2344" s="1091"/>
      <c r="DOT2344" s="1091"/>
      <c r="DOU2344" s="1091"/>
      <c r="DOV2344" s="1091"/>
      <c r="DOW2344" s="1091"/>
      <c r="DOX2344" s="1091"/>
      <c r="DOY2344" s="1091"/>
      <c r="DOZ2344" s="1091"/>
      <c r="DPA2344" s="1091"/>
      <c r="DPB2344" s="1091"/>
      <c r="DPC2344" s="1091"/>
      <c r="DPD2344" s="1091"/>
      <c r="DPE2344" s="1091"/>
      <c r="DPF2344" s="1091"/>
      <c r="DPG2344" s="1091"/>
      <c r="DPH2344" s="1091"/>
      <c r="DPI2344" s="1091"/>
      <c r="DPJ2344" s="1091"/>
      <c r="DPK2344" s="1091"/>
      <c r="DPL2344" s="1091"/>
      <c r="DPM2344" s="1091"/>
      <c r="DPN2344" s="1091"/>
      <c r="DPO2344" s="1091"/>
      <c r="DPP2344" s="1091"/>
      <c r="DPQ2344" s="1091"/>
      <c r="DPR2344" s="1091"/>
      <c r="DPS2344" s="1091"/>
      <c r="DPT2344" s="1091"/>
      <c r="DPU2344" s="1091"/>
      <c r="DPV2344" s="1091"/>
      <c r="DPW2344" s="1091"/>
      <c r="DPX2344" s="1091"/>
      <c r="DPY2344" s="1091"/>
      <c r="DPZ2344" s="1091"/>
      <c r="DQA2344" s="1091"/>
      <c r="DQB2344" s="1091"/>
      <c r="DQC2344" s="1091"/>
      <c r="DQD2344" s="1091"/>
      <c r="DQE2344" s="1091"/>
      <c r="DQF2344" s="1091"/>
      <c r="DQG2344" s="1091"/>
      <c r="DQH2344" s="1091"/>
      <c r="DQI2344" s="1091"/>
      <c r="DQJ2344" s="1091"/>
      <c r="DQK2344" s="1091"/>
      <c r="DQL2344" s="1091"/>
      <c r="DQM2344" s="1091"/>
      <c r="DQN2344" s="1091"/>
      <c r="DQO2344" s="1091"/>
      <c r="DQP2344" s="1091"/>
      <c r="DQQ2344" s="1091"/>
      <c r="DQR2344" s="1091"/>
      <c r="DQS2344" s="1091"/>
      <c r="DQT2344" s="1091"/>
      <c r="DQU2344" s="1091"/>
      <c r="DQV2344" s="1091"/>
      <c r="DQW2344" s="1091"/>
      <c r="DQX2344" s="1091"/>
      <c r="DQY2344" s="1091"/>
      <c r="DQZ2344" s="1091"/>
      <c r="DRA2344" s="1091"/>
      <c r="DRB2344" s="1091"/>
      <c r="DRC2344" s="1091"/>
      <c r="DRD2344" s="1091"/>
      <c r="DRE2344" s="1091"/>
      <c r="DRF2344" s="1091"/>
      <c r="DRG2344" s="1091"/>
      <c r="DRH2344" s="1091"/>
      <c r="DRI2344" s="1091"/>
      <c r="DRJ2344" s="1091"/>
      <c r="DRK2344" s="1091"/>
      <c r="DRL2344" s="1091"/>
      <c r="DRM2344" s="1091"/>
      <c r="DRN2344" s="1091"/>
      <c r="DRO2344" s="1091"/>
      <c r="DRP2344" s="1091"/>
      <c r="DRQ2344" s="1091"/>
      <c r="DRR2344" s="1091"/>
      <c r="DRS2344" s="1091"/>
      <c r="DRT2344" s="1091"/>
      <c r="DRU2344" s="1091"/>
      <c r="DRV2344" s="1091"/>
      <c r="DRW2344" s="1091"/>
      <c r="DRX2344" s="1091"/>
      <c r="DRY2344" s="1091"/>
      <c r="DRZ2344" s="1091"/>
      <c r="DSA2344" s="1091"/>
      <c r="DSB2344" s="1091"/>
      <c r="DSC2344" s="1091"/>
      <c r="DSD2344" s="1091"/>
      <c r="DSE2344" s="1091"/>
      <c r="DSF2344" s="1091"/>
      <c r="DSG2344" s="1091"/>
      <c r="DSH2344" s="1091"/>
      <c r="DSI2344" s="1091"/>
      <c r="DSJ2344" s="1091"/>
      <c r="DSK2344" s="1091"/>
      <c r="DSL2344" s="1091"/>
      <c r="DSM2344" s="1091"/>
      <c r="DSN2344" s="1091"/>
      <c r="DSO2344" s="1091"/>
      <c r="DSP2344" s="1091"/>
      <c r="DSQ2344" s="1091"/>
      <c r="DSR2344" s="1091"/>
      <c r="DSS2344" s="1091"/>
      <c r="DST2344" s="1091"/>
      <c r="DSU2344" s="1091"/>
      <c r="DSV2344" s="1091"/>
      <c r="DSW2344" s="1091"/>
      <c r="DSX2344" s="1091"/>
      <c r="DSY2344" s="1091"/>
      <c r="DSZ2344" s="1091"/>
      <c r="DTA2344" s="1091"/>
      <c r="DTB2344" s="1091"/>
      <c r="DTC2344" s="1091"/>
      <c r="DTD2344" s="1091"/>
      <c r="DTE2344" s="1091"/>
      <c r="DTF2344" s="1091"/>
      <c r="DTG2344" s="1091"/>
      <c r="DTH2344" s="1091"/>
      <c r="DTI2344" s="1091"/>
      <c r="DTJ2344" s="1091"/>
      <c r="DTK2344" s="1091"/>
      <c r="DTL2344" s="1091"/>
      <c r="DTM2344" s="1091"/>
      <c r="DTN2344" s="1091"/>
      <c r="DTO2344" s="1091"/>
      <c r="DTP2344" s="1091"/>
      <c r="DTQ2344" s="1091"/>
      <c r="DTR2344" s="1091"/>
      <c r="DTS2344" s="1091"/>
      <c r="DTT2344" s="1091"/>
      <c r="DTU2344" s="1091"/>
      <c r="DTV2344" s="1091"/>
      <c r="DTW2344" s="1091"/>
      <c r="DTX2344" s="1091"/>
      <c r="DTY2344" s="1091"/>
      <c r="DTZ2344" s="1091"/>
      <c r="DUA2344" s="1091"/>
      <c r="DUB2344" s="1091"/>
      <c r="DUC2344" s="1091"/>
      <c r="DUD2344" s="1091"/>
      <c r="DUE2344" s="1091"/>
      <c r="DUF2344" s="1091"/>
      <c r="DUG2344" s="1091"/>
      <c r="DUH2344" s="1091"/>
      <c r="DUI2344" s="1091"/>
      <c r="DUJ2344" s="1091"/>
      <c r="DUK2344" s="1091"/>
      <c r="DUL2344" s="1091"/>
      <c r="DUM2344" s="1091"/>
      <c r="DUN2344" s="1091"/>
      <c r="DUO2344" s="1091"/>
      <c r="DUP2344" s="1091"/>
      <c r="DUQ2344" s="1091"/>
      <c r="DUR2344" s="1091"/>
      <c r="DUS2344" s="1091"/>
      <c r="DUT2344" s="1091"/>
      <c r="DUU2344" s="1091"/>
      <c r="DUV2344" s="1091"/>
      <c r="DUW2344" s="1091"/>
      <c r="DUX2344" s="1091"/>
      <c r="DUY2344" s="1091"/>
      <c r="DUZ2344" s="1091"/>
      <c r="DVA2344" s="1091"/>
      <c r="DVB2344" s="1091"/>
      <c r="DVC2344" s="1091"/>
      <c r="DVD2344" s="1091"/>
      <c r="DVE2344" s="1091"/>
      <c r="DVF2344" s="1091"/>
      <c r="DVG2344" s="1091"/>
      <c r="DVH2344" s="1091"/>
      <c r="DVI2344" s="1091"/>
      <c r="DVJ2344" s="1091"/>
      <c r="DVK2344" s="1091"/>
      <c r="DVL2344" s="1091"/>
      <c r="DVM2344" s="1091"/>
      <c r="DVN2344" s="1091"/>
      <c r="DVO2344" s="1091"/>
      <c r="DVP2344" s="1091"/>
      <c r="DVQ2344" s="1091"/>
      <c r="DVR2344" s="1091"/>
      <c r="DVS2344" s="1091"/>
      <c r="DVT2344" s="1091"/>
      <c r="DVU2344" s="1091"/>
      <c r="DVV2344" s="1091"/>
      <c r="DVW2344" s="1091"/>
      <c r="DVX2344" s="1091"/>
      <c r="DVY2344" s="1091"/>
      <c r="DVZ2344" s="1091"/>
      <c r="DWA2344" s="1091"/>
      <c r="DWB2344" s="1091"/>
      <c r="DWC2344" s="1091"/>
      <c r="DWD2344" s="1091"/>
      <c r="DWE2344" s="1091"/>
      <c r="DWF2344" s="1091"/>
      <c r="DWG2344" s="1091"/>
      <c r="DWH2344" s="1091"/>
      <c r="DWI2344" s="1091"/>
      <c r="DWJ2344" s="1091"/>
      <c r="DWK2344" s="1091"/>
      <c r="DWL2344" s="1091"/>
      <c r="DWM2344" s="1091"/>
      <c r="DWN2344" s="1091"/>
      <c r="DWO2344" s="1091"/>
      <c r="DWP2344" s="1091"/>
      <c r="DWQ2344" s="1091"/>
      <c r="DWR2344" s="1091"/>
      <c r="DWS2344" s="1091"/>
      <c r="DWT2344" s="1091"/>
      <c r="DWU2344" s="1091"/>
      <c r="DWV2344" s="1091"/>
      <c r="DWW2344" s="1091"/>
      <c r="DWX2344" s="1091"/>
      <c r="DWY2344" s="1091"/>
      <c r="DWZ2344" s="1091"/>
      <c r="DXA2344" s="1091"/>
      <c r="DXB2344" s="1091"/>
      <c r="DXC2344" s="1091"/>
      <c r="DXD2344" s="1091"/>
      <c r="DXE2344" s="1091"/>
      <c r="DXF2344" s="1091"/>
      <c r="DXG2344" s="1091"/>
      <c r="DXH2344" s="1091"/>
      <c r="DXI2344" s="1091"/>
      <c r="DXJ2344" s="1091"/>
      <c r="DXK2344" s="1091"/>
      <c r="DXL2344" s="1091"/>
      <c r="DXM2344" s="1091"/>
      <c r="DXN2344" s="1091"/>
      <c r="DXO2344" s="1091"/>
      <c r="DXP2344" s="1091"/>
      <c r="DXQ2344" s="1091"/>
      <c r="DXR2344" s="1091"/>
      <c r="DXS2344" s="1091"/>
      <c r="DXT2344" s="1091"/>
      <c r="DXU2344" s="1091"/>
      <c r="DXV2344" s="1091"/>
      <c r="DXW2344" s="1091"/>
      <c r="DXX2344" s="1091"/>
      <c r="DXY2344" s="1091"/>
      <c r="DXZ2344" s="1091"/>
      <c r="DYA2344" s="1091"/>
      <c r="DYB2344" s="1091"/>
      <c r="DYC2344" s="1091"/>
      <c r="DYD2344" s="1091"/>
      <c r="DYE2344" s="1091"/>
      <c r="DYF2344" s="1091"/>
      <c r="DYG2344" s="1091"/>
      <c r="DYH2344" s="1091"/>
      <c r="DYI2344" s="1091"/>
      <c r="DYJ2344" s="1091"/>
      <c r="DYK2344" s="1091"/>
      <c r="DYL2344" s="1091"/>
      <c r="DYM2344" s="1091"/>
      <c r="DYN2344" s="1091"/>
      <c r="DYO2344" s="1091"/>
      <c r="DYP2344" s="1091"/>
      <c r="DYQ2344" s="1091"/>
      <c r="DYR2344" s="1091"/>
      <c r="DYS2344" s="1091"/>
      <c r="DYT2344" s="1091"/>
      <c r="DYU2344" s="1091"/>
      <c r="DYV2344" s="1091"/>
      <c r="DYW2344" s="1091"/>
      <c r="DYX2344" s="1091"/>
      <c r="DYY2344" s="1091"/>
      <c r="DYZ2344" s="1091"/>
      <c r="DZA2344" s="1091"/>
      <c r="DZB2344" s="1091"/>
      <c r="DZC2344" s="1091"/>
      <c r="DZD2344" s="1091"/>
      <c r="DZE2344" s="1091"/>
      <c r="DZF2344" s="1091"/>
      <c r="DZG2344" s="1091"/>
      <c r="DZH2344" s="1091"/>
      <c r="DZI2344" s="1091"/>
      <c r="DZJ2344" s="1091"/>
      <c r="DZK2344" s="1091"/>
      <c r="DZL2344" s="1091"/>
      <c r="DZM2344" s="1091"/>
      <c r="DZN2344" s="1091"/>
      <c r="DZO2344" s="1091"/>
      <c r="DZP2344" s="1091"/>
      <c r="DZQ2344" s="1091"/>
      <c r="DZR2344" s="1091"/>
      <c r="DZS2344" s="1091"/>
      <c r="DZT2344" s="1091"/>
      <c r="DZU2344" s="1091"/>
      <c r="DZV2344" s="1091"/>
      <c r="DZW2344" s="1091"/>
      <c r="DZX2344" s="1091"/>
      <c r="DZY2344" s="1091"/>
      <c r="DZZ2344" s="1091"/>
      <c r="EAA2344" s="1091"/>
      <c r="EAB2344" s="1091"/>
      <c r="EAC2344" s="1091"/>
      <c r="EAD2344" s="1091"/>
      <c r="EAE2344" s="1091"/>
      <c r="EAF2344" s="1091"/>
      <c r="EAG2344" s="1091"/>
      <c r="EAH2344" s="1091"/>
      <c r="EAI2344" s="1091"/>
      <c r="EAJ2344" s="1091"/>
      <c r="EAK2344" s="1091"/>
      <c r="EAL2344" s="1091"/>
      <c r="EAM2344" s="1091"/>
      <c r="EAN2344" s="1091"/>
      <c r="EAO2344" s="1091"/>
      <c r="EAP2344" s="1091"/>
      <c r="EAQ2344" s="1091"/>
      <c r="EAR2344" s="1091"/>
      <c r="EAS2344" s="1091"/>
      <c r="EAT2344" s="1091"/>
      <c r="EAU2344" s="1091"/>
      <c r="EAV2344" s="1091"/>
      <c r="EAW2344" s="1091"/>
      <c r="EAX2344" s="1091"/>
      <c r="EAY2344" s="1091"/>
      <c r="EAZ2344" s="1091"/>
      <c r="EBA2344" s="1091"/>
      <c r="EBB2344" s="1091"/>
      <c r="EBC2344" s="1091"/>
      <c r="EBD2344" s="1091"/>
      <c r="EBE2344" s="1091"/>
      <c r="EBF2344" s="1091"/>
      <c r="EBG2344" s="1091"/>
      <c r="EBH2344" s="1091"/>
      <c r="EBI2344" s="1091"/>
      <c r="EBJ2344" s="1091"/>
      <c r="EBK2344" s="1091"/>
      <c r="EBL2344" s="1091"/>
      <c r="EBM2344" s="1091"/>
      <c r="EBN2344" s="1091"/>
      <c r="EBO2344" s="1091"/>
      <c r="EBP2344" s="1091"/>
      <c r="EBQ2344" s="1091"/>
      <c r="EBR2344" s="1091"/>
      <c r="EBS2344" s="1091"/>
      <c r="EBT2344" s="1091"/>
      <c r="EBU2344" s="1091"/>
      <c r="EBV2344" s="1091"/>
      <c r="EBW2344" s="1091"/>
      <c r="EBX2344" s="1091"/>
      <c r="EBY2344" s="1091"/>
      <c r="EBZ2344" s="1091"/>
      <c r="ECA2344" s="1091"/>
      <c r="ECB2344" s="1091"/>
      <c r="ECC2344" s="1091"/>
      <c r="ECD2344" s="1091"/>
      <c r="ECE2344" s="1091"/>
      <c r="ECF2344" s="1091"/>
      <c r="ECG2344" s="1091"/>
      <c r="ECH2344" s="1091"/>
      <c r="ECI2344" s="1091"/>
      <c r="ECJ2344" s="1091"/>
      <c r="ECK2344" s="1091"/>
      <c r="ECL2344" s="1091"/>
      <c r="ECM2344" s="1091"/>
      <c r="ECN2344" s="1091"/>
      <c r="ECO2344" s="1091"/>
      <c r="ECP2344" s="1091"/>
      <c r="ECQ2344" s="1091"/>
      <c r="ECR2344" s="1091"/>
      <c r="ECS2344" s="1091"/>
      <c r="ECT2344" s="1091"/>
      <c r="ECU2344" s="1091"/>
      <c r="ECV2344" s="1091"/>
      <c r="ECW2344" s="1091"/>
      <c r="ECX2344" s="1091"/>
      <c r="ECY2344" s="1091"/>
      <c r="ECZ2344" s="1091"/>
      <c r="EDA2344" s="1091"/>
      <c r="EDB2344" s="1091"/>
      <c r="EDC2344" s="1091"/>
      <c r="EDD2344" s="1091"/>
      <c r="EDE2344" s="1091"/>
      <c r="EDF2344" s="1091"/>
      <c r="EDG2344" s="1091"/>
      <c r="EDH2344" s="1091"/>
      <c r="EDI2344" s="1091"/>
      <c r="EDJ2344" s="1091"/>
      <c r="EDK2344" s="1091"/>
      <c r="EDL2344" s="1091"/>
      <c r="EDM2344" s="1091"/>
      <c r="EDN2344" s="1091"/>
      <c r="EDO2344" s="1091"/>
      <c r="EDP2344" s="1091"/>
      <c r="EDQ2344" s="1091"/>
      <c r="EDR2344" s="1091"/>
      <c r="EDS2344" s="1091"/>
      <c r="EDT2344" s="1091"/>
      <c r="EDU2344" s="1091"/>
      <c r="EDV2344" s="1091"/>
      <c r="EDW2344" s="1091"/>
      <c r="EDX2344" s="1091"/>
      <c r="EDY2344" s="1091"/>
      <c r="EDZ2344" s="1091"/>
      <c r="EEA2344" s="1091"/>
      <c r="EEB2344" s="1091"/>
      <c r="EEC2344" s="1091"/>
      <c r="EED2344" s="1091"/>
      <c r="EEE2344" s="1091"/>
      <c r="EEF2344" s="1091"/>
      <c r="EEG2344" s="1091"/>
      <c r="EEH2344" s="1091"/>
      <c r="EEI2344" s="1091"/>
      <c r="EEJ2344" s="1091"/>
      <c r="EEK2344" s="1091"/>
      <c r="EEL2344" s="1091"/>
      <c r="EEM2344" s="1091"/>
      <c r="EEN2344" s="1091"/>
      <c r="EEO2344" s="1091"/>
      <c r="EEP2344" s="1091"/>
      <c r="EEQ2344" s="1091"/>
      <c r="EER2344" s="1091"/>
      <c r="EES2344" s="1091"/>
      <c r="EET2344" s="1091"/>
      <c r="EEU2344" s="1091"/>
      <c r="EEV2344" s="1091"/>
      <c r="EEW2344" s="1091"/>
      <c r="EEX2344" s="1091"/>
      <c r="EEY2344" s="1091"/>
      <c r="EEZ2344" s="1091"/>
      <c r="EFA2344" s="1091"/>
      <c r="EFB2344" s="1091"/>
      <c r="EFC2344" s="1091"/>
      <c r="EFD2344" s="1091"/>
      <c r="EFE2344" s="1091"/>
      <c r="EFF2344" s="1091"/>
      <c r="EFG2344" s="1091"/>
      <c r="EFH2344" s="1091"/>
      <c r="EFI2344" s="1091"/>
      <c r="EFJ2344" s="1091"/>
      <c r="EFK2344" s="1091"/>
      <c r="EFL2344" s="1091"/>
      <c r="EFM2344" s="1091"/>
      <c r="EFN2344" s="1091"/>
      <c r="EFO2344" s="1091"/>
      <c r="EFP2344" s="1091"/>
      <c r="EFQ2344" s="1091"/>
      <c r="EFR2344" s="1091"/>
      <c r="EFS2344" s="1091"/>
      <c r="EFT2344" s="1091"/>
      <c r="EFU2344" s="1091"/>
      <c r="EFV2344" s="1091"/>
      <c r="EFW2344" s="1091"/>
      <c r="EFX2344" s="1091"/>
      <c r="EFY2344" s="1091"/>
      <c r="EFZ2344" s="1091"/>
      <c r="EGA2344" s="1091"/>
      <c r="EGB2344" s="1091"/>
      <c r="EGC2344" s="1091"/>
      <c r="EGD2344" s="1091"/>
      <c r="EGE2344" s="1091"/>
      <c r="EGF2344" s="1091"/>
      <c r="EGG2344" s="1091"/>
      <c r="EGH2344" s="1091"/>
      <c r="EGI2344" s="1091"/>
      <c r="EGJ2344" s="1091"/>
      <c r="EGK2344" s="1091"/>
      <c r="EGL2344" s="1091"/>
      <c r="EGM2344" s="1091"/>
      <c r="EGN2344" s="1091"/>
      <c r="EGO2344" s="1091"/>
      <c r="EGP2344" s="1091"/>
      <c r="EGQ2344" s="1091"/>
      <c r="EGR2344" s="1091"/>
      <c r="EGS2344" s="1091"/>
      <c r="EGT2344" s="1091"/>
      <c r="EGU2344" s="1091"/>
      <c r="EGV2344" s="1091"/>
      <c r="EGW2344" s="1091"/>
      <c r="EGX2344" s="1091"/>
      <c r="EGY2344" s="1091"/>
      <c r="EGZ2344" s="1091"/>
      <c r="EHA2344" s="1091"/>
      <c r="EHB2344" s="1091"/>
      <c r="EHC2344" s="1091"/>
      <c r="EHD2344" s="1091"/>
      <c r="EHE2344" s="1091"/>
      <c r="EHF2344" s="1091"/>
      <c r="EHG2344" s="1091"/>
      <c r="EHH2344" s="1091"/>
      <c r="EHI2344" s="1091"/>
      <c r="EHJ2344" s="1091"/>
      <c r="EHK2344" s="1091"/>
      <c r="EHL2344" s="1091"/>
      <c r="EHM2344" s="1091"/>
      <c r="EHN2344" s="1091"/>
      <c r="EHO2344" s="1091"/>
      <c r="EHP2344" s="1091"/>
      <c r="EHQ2344" s="1091"/>
      <c r="EHR2344" s="1091"/>
      <c r="EHS2344" s="1091"/>
      <c r="EHT2344" s="1091"/>
      <c r="EHU2344" s="1091"/>
      <c r="EHV2344" s="1091"/>
      <c r="EHW2344" s="1091"/>
      <c r="EHX2344" s="1091"/>
      <c r="EHY2344" s="1091"/>
      <c r="EHZ2344" s="1091"/>
      <c r="EIA2344" s="1091"/>
      <c r="EIB2344" s="1091"/>
      <c r="EIC2344" s="1091"/>
      <c r="EID2344" s="1091"/>
      <c r="EIE2344" s="1091"/>
      <c r="EIF2344" s="1091"/>
      <c r="EIG2344" s="1091"/>
      <c r="EIH2344" s="1091"/>
      <c r="EII2344" s="1091"/>
      <c r="EIJ2344" s="1091"/>
      <c r="EIK2344" s="1091"/>
      <c r="EIL2344" s="1091"/>
      <c r="EIM2344" s="1091"/>
      <c r="EIN2344" s="1091"/>
      <c r="EIO2344" s="1091"/>
      <c r="EIP2344" s="1091"/>
      <c r="EIQ2344" s="1091"/>
      <c r="EIR2344" s="1091"/>
      <c r="EIS2344" s="1091"/>
      <c r="EIT2344" s="1091"/>
      <c r="EIU2344" s="1091"/>
      <c r="EIV2344" s="1091"/>
      <c r="EIW2344" s="1091"/>
      <c r="EIX2344" s="1091"/>
      <c r="EIY2344" s="1091"/>
      <c r="EIZ2344" s="1091"/>
      <c r="EJA2344" s="1091"/>
      <c r="EJB2344" s="1091"/>
      <c r="EJC2344" s="1091"/>
      <c r="EJD2344" s="1091"/>
      <c r="EJE2344" s="1091"/>
      <c r="EJF2344" s="1091"/>
      <c r="EJG2344" s="1091"/>
      <c r="EJH2344" s="1091"/>
      <c r="EJI2344" s="1091"/>
      <c r="EJJ2344" s="1091"/>
      <c r="EJK2344" s="1091"/>
      <c r="EJL2344" s="1091"/>
      <c r="EJM2344" s="1091"/>
      <c r="EJN2344" s="1091"/>
      <c r="EJO2344" s="1091"/>
      <c r="EJP2344" s="1091"/>
      <c r="EJQ2344" s="1091"/>
      <c r="EJR2344" s="1091"/>
      <c r="EJS2344" s="1091"/>
      <c r="EJT2344" s="1091"/>
      <c r="EJU2344" s="1091"/>
      <c r="EJV2344" s="1091"/>
      <c r="EJW2344" s="1091"/>
      <c r="EJX2344" s="1091"/>
      <c r="EJY2344" s="1091"/>
      <c r="EJZ2344" s="1091"/>
      <c r="EKA2344" s="1091"/>
      <c r="EKB2344" s="1091"/>
      <c r="EKC2344" s="1091"/>
      <c r="EKD2344" s="1091"/>
      <c r="EKE2344" s="1091"/>
      <c r="EKF2344" s="1091"/>
      <c r="EKG2344" s="1091"/>
      <c r="EKH2344" s="1091"/>
      <c r="EKI2344" s="1091"/>
      <c r="EKJ2344" s="1091"/>
      <c r="EKK2344" s="1091"/>
      <c r="EKL2344" s="1091"/>
      <c r="EKM2344" s="1091"/>
      <c r="EKN2344" s="1091"/>
      <c r="EKO2344" s="1091"/>
      <c r="EKP2344" s="1091"/>
      <c r="EKQ2344" s="1091"/>
      <c r="EKR2344" s="1091"/>
      <c r="EKS2344" s="1091"/>
      <c r="EKT2344" s="1091"/>
      <c r="EKU2344" s="1091"/>
      <c r="EKV2344" s="1091"/>
      <c r="EKW2344" s="1091"/>
      <c r="EKX2344" s="1091"/>
      <c r="EKY2344" s="1091"/>
      <c r="EKZ2344" s="1091"/>
      <c r="ELA2344" s="1091"/>
      <c r="ELB2344" s="1091"/>
      <c r="ELC2344" s="1091"/>
      <c r="ELD2344" s="1091"/>
      <c r="ELE2344" s="1091"/>
      <c r="ELF2344" s="1091"/>
      <c r="ELG2344" s="1091"/>
      <c r="ELH2344" s="1091"/>
      <c r="ELI2344" s="1091"/>
      <c r="ELJ2344" s="1091"/>
      <c r="ELK2344" s="1091"/>
      <c r="ELL2344" s="1091"/>
      <c r="ELM2344" s="1091"/>
      <c r="ELN2344" s="1091"/>
      <c r="ELO2344" s="1091"/>
      <c r="ELP2344" s="1091"/>
      <c r="ELQ2344" s="1091"/>
      <c r="ELR2344" s="1091"/>
      <c r="ELS2344" s="1091"/>
      <c r="ELT2344" s="1091"/>
      <c r="ELU2344" s="1091"/>
      <c r="ELV2344" s="1091"/>
      <c r="ELW2344" s="1091"/>
      <c r="ELX2344" s="1091"/>
      <c r="ELY2344" s="1091"/>
      <c r="ELZ2344" s="1091"/>
      <c r="EMA2344" s="1091"/>
      <c r="EMB2344" s="1091"/>
      <c r="EMC2344" s="1091"/>
      <c r="EMD2344" s="1091"/>
      <c r="EME2344" s="1091"/>
      <c r="EMF2344" s="1091"/>
      <c r="EMG2344" s="1091"/>
      <c r="EMH2344" s="1091"/>
      <c r="EMI2344" s="1091"/>
      <c r="EMJ2344" s="1091"/>
      <c r="EMK2344" s="1091"/>
      <c r="EML2344" s="1091"/>
      <c r="EMM2344" s="1091"/>
      <c r="EMN2344" s="1091"/>
      <c r="EMO2344" s="1091"/>
      <c r="EMP2344" s="1091"/>
      <c r="EMQ2344" s="1091"/>
      <c r="EMR2344" s="1091"/>
      <c r="EMS2344" s="1091"/>
      <c r="EMT2344" s="1091"/>
      <c r="EMU2344" s="1091"/>
      <c r="EMV2344" s="1091"/>
      <c r="EMW2344" s="1091"/>
      <c r="EMX2344" s="1091"/>
      <c r="EMY2344" s="1091"/>
      <c r="EMZ2344" s="1091"/>
      <c r="ENA2344" s="1091"/>
      <c r="ENB2344" s="1091"/>
      <c r="ENC2344" s="1091"/>
      <c r="END2344" s="1091"/>
      <c r="ENE2344" s="1091"/>
      <c r="ENF2344" s="1091"/>
      <c r="ENG2344" s="1091"/>
      <c r="ENH2344" s="1091"/>
      <c r="ENI2344" s="1091"/>
      <c r="ENJ2344" s="1091"/>
      <c r="ENK2344" s="1091"/>
      <c r="ENL2344" s="1091"/>
      <c r="ENM2344" s="1091"/>
      <c r="ENN2344" s="1091"/>
      <c r="ENO2344" s="1091"/>
      <c r="ENP2344" s="1091"/>
      <c r="ENQ2344" s="1091"/>
      <c r="ENR2344" s="1091"/>
      <c r="ENS2344" s="1091"/>
      <c r="ENT2344" s="1091"/>
      <c r="ENU2344" s="1091"/>
      <c r="ENV2344" s="1091"/>
      <c r="ENW2344" s="1091"/>
      <c r="ENX2344" s="1091"/>
      <c r="ENY2344" s="1091"/>
      <c r="ENZ2344" s="1091"/>
      <c r="EOA2344" s="1091"/>
      <c r="EOB2344" s="1091"/>
      <c r="EOC2344" s="1091"/>
      <c r="EOD2344" s="1091"/>
      <c r="EOE2344" s="1091"/>
      <c r="EOF2344" s="1091"/>
      <c r="EOG2344" s="1091"/>
      <c r="EOH2344" s="1091"/>
      <c r="EOI2344" s="1091"/>
      <c r="EOJ2344" s="1091"/>
      <c r="EOK2344" s="1091"/>
      <c r="EOL2344" s="1091"/>
      <c r="EOM2344" s="1091"/>
      <c r="EON2344" s="1091"/>
      <c r="EOO2344" s="1091"/>
      <c r="EOP2344" s="1091"/>
      <c r="EOQ2344" s="1091"/>
      <c r="EOR2344" s="1091"/>
      <c r="EOS2344" s="1091"/>
      <c r="EOT2344" s="1091"/>
      <c r="EOU2344" s="1091"/>
      <c r="EOV2344" s="1091"/>
      <c r="EOW2344" s="1091"/>
      <c r="EOX2344" s="1091"/>
      <c r="EOY2344" s="1091"/>
      <c r="EOZ2344" s="1091"/>
      <c r="EPA2344" s="1091"/>
      <c r="EPB2344" s="1091"/>
      <c r="EPC2344" s="1091"/>
      <c r="EPD2344" s="1091"/>
      <c r="EPE2344" s="1091"/>
      <c r="EPF2344" s="1091"/>
      <c r="EPG2344" s="1091"/>
      <c r="EPH2344" s="1091"/>
      <c r="EPI2344" s="1091"/>
      <c r="EPJ2344" s="1091"/>
      <c r="EPK2344" s="1091"/>
      <c r="EPL2344" s="1091"/>
      <c r="EPM2344" s="1091"/>
      <c r="EPN2344" s="1091"/>
      <c r="EPO2344" s="1091"/>
      <c r="EPP2344" s="1091"/>
      <c r="EPQ2344" s="1091"/>
      <c r="EPR2344" s="1091"/>
      <c r="EPS2344" s="1091"/>
      <c r="EPT2344" s="1091"/>
      <c r="EPU2344" s="1091"/>
      <c r="EPV2344" s="1091"/>
      <c r="EPW2344" s="1091"/>
      <c r="EPX2344" s="1091"/>
      <c r="EPY2344" s="1091"/>
      <c r="EPZ2344" s="1091"/>
      <c r="EQA2344" s="1091"/>
      <c r="EQB2344" s="1091"/>
      <c r="EQC2344" s="1091"/>
      <c r="EQD2344" s="1091"/>
      <c r="EQE2344" s="1091"/>
      <c r="EQF2344" s="1091"/>
      <c r="EQG2344" s="1091"/>
      <c r="EQH2344" s="1091"/>
      <c r="EQI2344" s="1091"/>
      <c r="EQJ2344" s="1091"/>
      <c r="EQK2344" s="1091"/>
      <c r="EQL2344" s="1091"/>
      <c r="EQM2344" s="1091"/>
      <c r="EQN2344" s="1091"/>
      <c r="EQO2344" s="1091"/>
      <c r="EQP2344" s="1091"/>
      <c r="EQQ2344" s="1091"/>
      <c r="EQR2344" s="1091"/>
      <c r="EQS2344" s="1091"/>
      <c r="EQT2344" s="1091"/>
      <c r="EQU2344" s="1091"/>
      <c r="EQV2344" s="1091"/>
      <c r="EQW2344" s="1091"/>
      <c r="EQX2344" s="1091"/>
      <c r="EQY2344" s="1091"/>
      <c r="EQZ2344" s="1091"/>
      <c r="ERA2344" s="1091"/>
      <c r="ERB2344" s="1091"/>
      <c r="ERC2344" s="1091"/>
      <c r="ERD2344" s="1091"/>
      <c r="ERE2344" s="1091"/>
      <c r="ERF2344" s="1091"/>
      <c r="ERG2344" s="1091"/>
      <c r="ERH2344" s="1091"/>
      <c r="ERI2344" s="1091"/>
      <c r="ERJ2344" s="1091"/>
      <c r="ERK2344" s="1091"/>
      <c r="ERL2344" s="1091"/>
      <c r="ERM2344" s="1091"/>
      <c r="ERN2344" s="1091"/>
      <c r="ERO2344" s="1091"/>
      <c r="ERP2344" s="1091"/>
      <c r="ERQ2344" s="1091"/>
      <c r="ERR2344" s="1091"/>
      <c r="ERS2344" s="1091"/>
      <c r="ERT2344" s="1091"/>
      <c r="ERU2344" s="1091"/>
      <c r="ERV2344" s="1091"/>
      <c r="ERW2344" s="1091"/>
      <c r="ERX2344" s="1091"/>
      <c r="ERY2344" s="1091"/>
      <c r="ERZ2344" s="1091"/>
      <c r="ESA2344" s="1091"/>
      <c r="ESB2344" s="1091"/>
      <c r="ESC2344" s="1091"/>
      <c r="ESD2344" s="1091"/>
      <c r="ESE2344" s="1091"/>
      <c r="ESF2344" s="1091"/>
      <c r="ESG2344" s="1091"/>
      <c r="ESH2344" s="1091"/>
      <c r="ESI2344" s="1091"/>
      <c r="ESJ2344" s="1091"/>
      <c r="ESK2344" s="1091"/>
      <c r="ESL2344" s="1091"/>
      <c r="ESM2344" s="1091"/>
      <c r="ESN2344" s="1091"/>
      <c r="ESO2344" s="1091"/>
      <c r="ESP2344" s="1091"/>
      <c r="ESQ2344" s="1091"/>
      <c r="ESR2344" s="1091"/>
      <c r="ESS2344" s="1091"/>
      <c r="EST2344" s="1091"/>
      <c r="ESU2344" s="1091"/>
      <c r="ESV2344" s="1091"/>
      <c r="ESW2344" s="1091"/>
      <c r="ESX2344" s="1091"/>
      <c r="ESY2344" s="1091"/>
      <c r="ESZ2344" s="1091"/>
      <c r="ETA2344" s="1091"/>
      <c r="ETB2344" s="1091"/>
      <c r="ETC2344" s="1091"/>
      <c r="ETD2344" s="1091"/>
      <c r="ETE2344" s="1091"/>
      <c r="ETF2344" s="1091"/>
      <c r="ETG2344" s="1091"/>
      <c r="ETH2344" s="1091"/>
      <c r="ETI2344" s="1091"/>
      <c r="ETJ2344" s="1091"/>
      <c r="ETK2344" s="1091"/>
      <c r="ETL2344" s="1091"/>
      <c r="ETM2344" s="1091"/>
      <c r="ETN2344" s="1091"/>
      <c r="ETO2344" s="1091"/>
      <c r="ETP2344" s="1091"/>
      <c r="ETQ2344" s="1091"/>
      <c r="ETR2344" s="1091"/>
      <c r="ETS2344" s="1091"/>
      <c r="ETT2344" s="1091"/>
      <c r="ETU2344" s="1091"/>
      <c r="ETV2344" s="1091"/>
      <c r="ETW2344" s="1091"/>
      <c r="ETX2344" s="1091"/>
      <c r="ETY2344" s="1091"/>
      <c r="ETZ2344" s="1091"/>
      <c r="EUA2344" s="1091"/>
      <c r="EUB2344" s="1091"/>
      <c r="EUC2344" s="1091"/>
      <c r="EUD2344" s="1091"/>
      <c r="EUE2344" s="1091"/>
      <c r="EUF2344" s="1091"/>
      <c r="EUG2344" s="1091"/>
      <c r="EUH2344" s="1091"/>
      <c r="EUI2344" s="1091"/>
      <c r="EUJ2344" s="1091"/>
      <c r="EUK2344" s="1091"/>
      <c r="EUL2344" s="1091"/>
      <c r="EUM2344" s="1091"/>
      <c r="EUN2344" s="1091"/>
      <c r="EUO2344" s="1091"/>
      <c r="EUP2344" s="1091"/>
      <c r="EUQ2344" s="1091"/>
      <c r="EUR2344" s="1091"/>
      <c r="EUS2344" s="1091"/>
      <c r="EUT2344" s="1091"/>
      <c r="EUU2344" s="1091"/>
      <c r="EUV2344" s="1091"/>
      <c r="EUW2344" s="1091"/>
      <c r="EUX2344" s="1091"/>
      <c r="EUY2344" s="1091"/>
      <c r="EUZ2344" s="1091"/>
      <c r="EVA2344" s="1091"/>
      <c r="EVB2344" s="1091"/>
      <c r="EVC2344" s="1091"/>
      <c r="EVD2344" s="1091"/>
      <c r="EVE2344" s="1091"/>
      <c r="EVF2344" s="1091"/>
      <c r="EVG2344" s="1091"/>
      <c r="EVH2344" s="1091"/>
      <c r="EVI2344" s="1091"/>
      <c r="EVJ2344" s="1091"/>
      <c r="EVK2344" s="1091"/>
      <c r="EVL2344" s="1091"/>
      <c r="EVM2344" s="1091"/>
      <c r="EVN2344" s="1091"/>
      <c r="EVO2344" s="1091"/>
      <c r="EVP2344" s="1091"/>
      <c r="EVQ2344" s="1091"/>
      <c r="EVR2344" s="1091"/>
      <c r="EVS2344" s="1091"/>
      <c r="EVT2344" s="1091"/>
      <c r="EVU2344" s="1091"/>
      <c r="EVV2344" s="1091"/>
      <c r="EVW2344" s="1091"/>
      <c r="EVX2344" s="1091"/>
      <c r="EVY2344" s="1091"/>
      <c r="EVZ2344" s="1091"/>
      <c r="EWA2344" s="1091"/>
      <c r="EWB2344" s="1091"/>
      <c r="EWC2344" s="1091"/>
      <c r="EWD2344" s="1091"/>
      <c r="EWE2344" s="1091"/>
      <c r="EWF2344" s="1091"/>
      <c r="EWG2344" s="1091"/>
      <c r="EWH2344" s="1091"/>
      <c r="EWI2344" s="1091"/>
      <c r="EWJ2344" s="1091"/>
      <c r="EWK2344" s="1091"/>
      <c r="EWL2344" s="1091"/>
      <c r="EWM2344" s="1091"/>
      <c r="EWN2344" s="1091"/>
      <c r="EWO2344" s="1091"/>
      <c r="EWP2344" s="1091"/>
      <c r="EWQ2344" s="1091"/>
      <c r="EWR2344" s="1091"/>
      <c r="EWS2344" s="1091"/>
      <c r="EWT2344" s="1091"/>
      <c r="EWU2344" s="1091"/>
      <c r="EWV2344" s="1091"/>
      <c r="EWW2344" s="1091"/>
      <c r="EWX2344" s="1091"/>
      <c r="EWY2344" s="1091"/>
      <c r="EWZ2344" s="1091"/>
      <c r="EXA2344" s="1091"/>
      <c r="EXB2344" s="1091"/>
      <c r="EXC2344" s="1091"/>
      <c r="EXD2344" s="1091"/>
      <c r="EXE2344" s="1091"/>
      <c r="EXF2344" s="1091"/>
      <c r="EXG2344" s="1091"/>
      <c r="EXH2344" s="1091"/>
      <c r="EXI2344" s="1091"/>
      <c r="EXJ2344" s="1091"/>
      <c r="EXK2344" s="1091"/>
      <c r="EXL2344" s="1091"/>
      <c r="EXM2344" s="1091"/>
      <c r="EXN2344" s="1091"/>
      <c r="EXO2344" s="1091"/>
      <c r="EXP2344" s="1091"/>
      <c r="EXQ2344" s="1091"/>
      <c r="EXR2344" s="1091"/>
      <c r="EXS2344" s="1091"/>
      <c r="EXT2344" s="1091"/>
      <c r="EXU2344" s="1091"/>
      <c r="EXV2344" s="1091"/>
      <c r="EXW2344" s="1091"/>
      <c r="EXX2344" s="1091"/>
      <c r="EXY2344" s="1091"/>
      <c r="EXZ2344" s="1091"/>
      <c r="EYA2344" s="1091"/>
      <c r="EYB2344" s="1091"/>
      <c r="EYC2344" s="1091"/>
      <c r="EYD2344" s="1091"/>
      <c r="EYE2344" s="1091"/>
      <c r="EYF2344" s="1091"/>
      <c r="EYG2344" s="1091"/>
      <c r="EYH2344" s="1091"/>
      <c r="EYI2344" s="1091"/>
      <c r="EYJ2344" s="1091"/>
      <c r="EYK2344" s="1091"/>
      <c r="EYL2344" s="1091"/>
      <c r="EYM2344" s="1091"/>
      <c r="EYN2344" s="1091"/>
      <c r="EYO2344" s="1091"/>
      <c r="EYP2344" s="1091"/>
      <c r="EYQ2344" s="1091"/>
      <c r="EYR2344" s="1091"/>
      <c r="EYS2344" s="1091"/>
      <c r="EYT2344" s="1091"/>
      <c r="EYU2344" s="1091"/>
      <c r="EYV2344" s="1091"/>
      <c r="EYW2344" s="1091"/>
      <c r="EYX2344" s="1091"/>
      <c r="EYY2344" s="1091"/>
      <c r="EYZ2344" s="1091"/>
      <c r="EZA2344" s="1091"/>
      <c r="EZB2344" s="1091"/>
      <c r="EZC2344" s="1091"/>
      <c r="EZD2344" s="1091"/>
      <c r="EZE2344" s="1091"/>
      <c r="EZF2344" s="1091"/>
      <c r="EZG2344" s="1091"/>
      <c r="EZH2344" s="1091"/>
      <c r="EZI2344" s="1091"/>
      <c r="EZJ2344" s="1091"/>
      <c r="EZK2344" s="1091"/>
      <c r="EZL2344" s="1091"/>
      <c r="EZM2344" s="1091"/>
      <c r="EZN2344" s="1091"/>
      <c r="EZO2344" s="1091"/>
      <c r="EZP2344" s="1091"/>
      <c r="EZQ2344" s="1091"/>
      <c r="EZR2344" s="1091"/>
      <c r="EZS2344" s="1091"/>
      <c r="EZT2344" s="1091"/>
      <c r="EZU2344" s="1091"/>
      <c r="EZV2344" s="1091"/>
      <c r="EZW2344" s="1091"/>
      <c r="EZX2344" s="1091"/>
      <c r="EZY2344" s="1091"/>
      <c r="EZZ2344" s="1091"/>
      <c r="FAA2344" s="1091"/>
      <c r="FAB2344" s="1091"/>
      <c r="FAC2344" s="1091"/>
      <c r="FAD2344" s="1091"/>
      <c r="FAE2344" s="1091"/>
      <c r="FAF2344" s="1091"/>
      <c r="FAG2344" s="1091"/>
      <c r="FAH2344" s="1091"/>
      <c r="FAI2344" s="1091"/>
      <c r="FAJ2344" s="1091"/>
      <c r="FAK2344" s="1091"/>
      <c r="FAL2344" s="1091"/>
      <c r="FAM2344" s="1091"/>
      <c r="FAN2344" s="1091"/>
      <c r="FAO2344" s="1091"/>
      <c r="FAP2344" s="1091"/>
      <c r="FAQ2344" s="1091"/>
      <c r="FAR2344" s="1091"/>
      <c r="FAS2344" s="1091"/>
      <c r="FAT2344" s="1091"/>
      <c r="FAU2344" s="1091"/>
      <c r="FAV2344" s="1091"/>
      <c r="FAW2344" s="1091"/>
      <c r="FAX2344" s="1091"/>
      <c r="FAY2344" s="1091"/>
      <c r="FAZ2344" s="1091"/>
      <c r="FBA2344" s="1091"/>
      <c r="FBB2344" s="1091"/>
      <c r="FBC2344" s="1091"/>
      <c r="FBD2344" s="1091"/>
      <c r="FBE2344" s="1091"/>
      <c r="FBF2344" s="1091"/>
      <c r="FBG2344" s="1091"/>
      <c r="FBH2344" s="1091"/>
      <c r="FBI2344" s="1091"/>
      <c r="FBJ2344" s="1091"/>
      <c r="FBK2344" s="1091"/>
      <c r="FBL2344" s="1091"/>
      <c r="FBM2344" s="1091"/>
      <c r="FBN2344" s="1091"/>
      <c r="FBO2344" s="1091"/>
      <c r="FBP2344" s="1091"/>
      <c r="FBQ2344" s="1091"/>
      <c r="FBR2344" s="1091"/>
      <c r="FBS2344" s="1091"/>
      <c r="FBT2344" s="1091"/>
      <c r="FBU2344" s="1091"/>
      <c r="FBV2344" s="1091"/>
      <c r="FBW2344" s="1091"/>
      <c r="FBX2344" s="1091"/>
      <c r="FBY2344" s="1091"/>
      <c r="FBZ2344" s="1091"/>
      <c r="FCA2344" s="1091"/>
      <c r="FCB2344" s="1091"/>
      <c r="FCC2344" s="1091"/>
      <c r="FCD2344" s="1091"/>
      <c r="FCE2344" s="1091"/>
      <c r="FCF2344" s="1091"/>
      <c r="FCG2344" s="1091"/>
      <c r="FCH2344" s="1091"/>
      <c r="FCI2344" s="1091"/>
      <c r="FCJ2344" s="1091"/>
      <c r="FCK2344" s="1091"/>
      <c r="FCL2344" s="1091"/>
      <c r="FCM2344" s="1091"/>
      <c r="FCN2344" s="1091"/>
      <c r="FCO2344" s="1091"/>
      <c r="FCP2344" s="1091"/>
      <c r="FCQ2344" s="1091"/>
      <c r="FCR2344" s="1091"/>
      <c r="FCS2344" s="1091"/>
      <c r="FCT2344" s="1091"/>
      <c r="FCU2344" s="1091"/>
      <c r="FCV2344" s="1091"/>
      <c r="FCW2344" s="1091"/>
      <c r="FCX2344" s="1091"/>
      <c r="FCY2344" s="1091"/>
      <c r="FCZ2344" s="1091"/>
      <c r="FDA2344" s="1091"/>
      <c r="FDB2344" s="1091"/>
      <c r="FDC2344" s="1091"/>
      <c r="FDD2344" s="1091"/>
      <c r="FDE2344" s="1091"/>
      <c r="FDF2344" s="1091"/>
      <c r="FDG2344" s="1091"/>
      <c r="FDH2344" s="1091"/>
      <c r="FDI2344" s="1091"/>
      <c r="FDJ2344" s="1091"/>
      <c r="FDK2344" s="1091"/>
      <c r="FDL2344" s="1091"/>
      <c r="FDM2344" s="1091"/>
      <c r="FDN2344" s="1091"/>
      <c r="FDO2344" s="1091"/>
      <c r="FDP2344" s="1091"/>
      <c r="FDQ2344" s="1091"/>
      <c r="FDR2344" s="1091"/>
      <c r="FDS2344" s="1091"/>
      <c r="FDT2344" s="1091"/>
      <c r="FDU2344" s="1091"/>
      <c r="FDV2344" s="1091"/>
      <c r="FDW2344" s="1091"/>
      <c r="FDX2344" s="1091"/>
      <c r="FDY2344" s="1091"/>
      <c r="FDZ2344" s="1091"/>
      <c r="FEA2344" s="1091"/>
      <c r="FEB2344" s="1091"/>
      <c r="FEC2344" s="1091"/>
      <c r="FED2344" s="1091"/>
      <c r="FEE2344" s="1091"/>
      <c r="FEF2344" s="1091"/>
      <c r="FEG2344" s="1091"/>
      <c r="FEH2344" s="1091"/>
      <c r="FEI2344" s="1091"/>
      <c r="FEJ2344" s="1091"/>
      <c r="FEK2344" s="1091"/>
      <c r="FEL2344" s="1091"/>
      <c r="FEM2344" s="1091"/>
      <c r="FEN2344" s="1091"/>
      <c r="FEO2344" s="1091"/>
      <c r="FEP2344" s="1091"/>
      <c r="FEQ2344" s="1091"/>
      <c r="FER2344" s="1091"/>
      <c r="FES2344" s="1091"/>
      <c r="FET2344" s="1091"/>
      <c r="FEU2344" s="1091"/>
      <c r="FEV2344" s="1091"/>
      <c r="FEW2344" s="1091"/>
      <c r="FEX2344" s="1091"/>
      <c r="FEY2344" s="1091"/>
      <c r="FEZ2344" s="1091"/>
      <c r="FFA2344" s="1091"/>
      <c r="FFB2344" s="1091"/>
      <c r="FFC2344" s="1091"/>
      <c r="FFD2344" s="1091"/>
      <c r="FFE2344" s="1091"/>
      <c r="FFF2344" s="1091"/>
      <c r="FFG2344" s="1091"/>
      <c r="FFH2344" s="1091"/>
      <c r="FFI2344" s="1091"/>
      <c r="FFJ2344" s="1091"/>
      <c r="FFK2344" s="1091"/>
      <c r="FFL2344" s="1091"/>
      <c r="FFM2344" s="1091"/>
      <c r="FFN2344" s="1091"/>
      <c r="FFO2344" s="1091"/>
      <c r="FFP2344" s="1091"/>
      <c r="FFQ2344" s="1091"/>
      <c r="FFR2344" s="1091"/>
      <c r="FFS2344" s="1091"/>
      <c r="FFT2344" s="1091"/>
      <c r="FFU2344" s="1091"/>
      <c r="FFV2344" s="1091"/>
      <c r="FFW2344" s="1091"/>
      <c r="FFX2344" s="1091"/>
      <c r="FFY2344" s="1091"/>
      <c r="FFZ2344" s="1091"/>
      <c r="FGA2344" s="1091"/>
      <c r="FGB2344" s="1091"/>
      <c r="FGC2344" s="1091"/>
      <c r="FGD2344" s="1091"/>
      <c r="FGE2344" s="1091"/>
      <c r="FGF2344" s="1091"/>
      <c r="FGG2344" s="1091"/>
      <c r="FGH2344" s="1091"/>
      <c r="FGI2344" s="1091"/>
      <c r="FGJ2344" s="1091"/>
      <c r="FGK2344" s="1091"/>
      <c r="FGL2344" s="1091"/>
      <c r="FGM2344" s="1091"/>
      <c r="FGN2344" s="1091"/>
      <c r="FGO2344" s="1091"/>
      <c r="FGP2344" s="1091"/>
      <c r="FGQ2344" s="1091"/>
      <c r="FGR2344" s="1091"/>
      <c r="FGS2344" s="1091"/>
      <c r="FGT2344" s="1091"/>
      <c r="FGU2344" s="1091"/>
      <c r="FGV2344" s="1091"/>
      <c r="FGW2344" s="1091"/>
      <c r="FGX2344" s="1091"/>
      <c r="FGY2344" s="1091"/>
      <c r="FGZ2344" s="1091"/>
      <c r="FHA2344" s="1091"/>
      <c r="FHB2344" s="1091"/>
      <c r="FHC2344" s="1091"/>
      <c r="FHD2344" s="1091"/>
      <c r="FHE2344" s="1091"/>
      <c r="FHF2344" s="1091"/>
      <c r="FHG2344" s="1091"/>
      <c r="FHH2344" s="1091"/>
      <c r="FHI2344" s="1091"/>
      <c r="FHJ2344" s="1091"/>
      <c r="FHK2344" s="1091"/>
      <c r="FHL2344" s="1091"/>
      <c r="FHM2344" s="1091"/>
      <c r="FHN2344" s="1091"/>
      <c r="FHO2344" s="1091"/>
      <c r="FHP2344" s="1091"/>
      <c r="FHQ2344" s="1091"/>
      <c r="FHR2344" s="1091"/>
      <c r="FHS2344" s="1091"/>
      <c r="FHT2344" s="1091"/>
      <c r="FHU2344" s="1091"/>
      <c r="FHV2344" s="1091"/>
      <c r="FHW2344" s="1091"/>
      <c r="FHX2344" s="1091"/>
      <c r="FHY2344" s="1091"/>
      <c r="FHZ2344" s="1091"/>
      <c r="FIA2344" s="1091"/>
      <c r="FIB2344" s="1091"/>
      <c r="FIC2344" s="1091"/>
      <c r="FID2344" s="1091"/>
      <c r="FIE2344" s="1091"/>
      <c r="FIF2344" s="1091"/>
      <c r="FIG2344" s="1091"/>
      <c r="FIH2344" s="1091"/>
      <c r="FII2344" s="1091"/>
      <c r="FIJ2344" s="1091"/>
      <c r="FIK2344" s="1091"/>
      <c r="FIL2344" s="1091"/>
      <c r="FIM2344" s="1091"/>
      <c r="FIN2344" s="1091"/>
      <c r="FIO2344" s="1091"/>
      <c r="FIP2344" s="1091"/>
      <c r="FIQ2344" s="1091"/>
      <c r="FIR2344" s="1091"/>
      <c r="FIS2344" s="1091"/>
      <c r="FIT2344" s="1091"/>
      <c r="FIU2344" s="1091"/>
      <c r="FIV2344" s="1091"/>
      <c r="FIW2344" s="1091"/>
      <c r="FIX2344" s="1091"/>
      <c r="FIY2344" s="1091"/>
      <c r="FIZ2344" s="1091"/>
      <c r="FJA2344" s="1091"/>
      <c r="FJB2344" s="1091"/>
      <c r="FJC2344" s="1091"/>
      <c r="FJD2344" s="1091"/>
      <c r="FJE2344" s="1091"/>
      <c r="FJF2344" s="1091"/>
      <c r="FJG2344" s="1091"/>
      <c r="FJH2344" s="1091"/>
      <c r="FJI2344" s="1091"/>
      <c r="FJJ2344" s="1091"/>
      <c r="FJK2344" s="1091"/>
      <c r="FJL2344" s="1091"/>
      <c r="FJM2344" s="1091"/>
      <c r="FJN2344" s="1091"/>
      <c r="FJO2344" s="1091"/>
      <c r="FJP2344" s="1091"/>
      <c r="FJQ2344" s="1091"/>
      <c r="FJR2344" s="1091"/>
      <c r="FJS2344" s="1091"/>
      <c r="FJT2344" s="1091"/>
      <c r="FJU2344" s="1091"/>
      <c r="FJV2344" s="1091"/>
      <c r="FJW2344" s="1091"/>
      <c r="FJX2344" s="1091"/>
      <c r="FJY2344" s="1091"/>
      <c r="FJZ2344" s="1091"/>
      <c r="FKA2344" s="1091"/>
      <c r="FKB2344" s="1091"/>
      <c r="FKC2344" s="1091"/>
      <c r="FKD2344" s="1091"/>
      <c r="FKE2344" s="1091"/>
      <c r="FKF2344" s="1091"/>
      <c r="FKG2344" s="1091"/>
      <c r="FKH2344" s="1091"/>
      <c r="FKI2344" s="1091"/>
      <c r="FKJ2344" s="1091"/>
      <c r="FKK2344" s="1091"/>
      <c r="FKL2344" s="1091"/>
      <c r="FKM2344" s="1091"/>
      <c r="FKN2344" s="1091"/>
      <c r="FKO2344" s="1091"/>
      <c r="FKP2344" s="1091"/>
      <c r="FKQ2344" s="1091"/>
      <c r="FKR2344" s="1091"/>
      <c r="FKS2344" s="1091"/>
      <c r="FKT2344" s="1091"/>
      <c r="FKU2344" s="1091"/>
      <c r="FKV2344" s="1091"/>
      <c r="FKW2344" s="1091"/>
      <c r="FKX2344" s="1091"/>
      <c r="FKY2344" s="1091"/>
      <c r="FKZ2344" s="1091"/>
      <c r="FLA2344" s="1091"/>
      <c r="FLB2344" s="1091"/>
      <c r="FLC2344" s="1091"/>
      <c r="FLD2344" s="1091"/>
      <c r="FLE2344" s="1091"/>
      <c r="FLF2344" s="1091"/>
      <c r="FLG2344" s="1091"/>
      <c r="FLH2344" s="1091"/>
      <c r="FLI2344" s="1091"/>
      <c r="FLJ2344" s="1091"/>
      <c r="FLK2344" s="1091"/>
      <c r="FLL2344" s="1091"/>
      <c r="FLM2344" s="1091"/>
      <c r="FLN2344" s="1091"/>
      <c r="FLO2344" s="1091"/>
      <c r="FLP2344" s="1091"/>
      <c r="FLQ2344" s="1091"/>
      <c r="FLR2344" s="1091"/>
      <c r="FLS2344" s="1091"/>
      <c r="FLT2344" s="1091"/>
      <c r="FLU2344" s="1091"/>
      <c r="FLV2344" s="1091"/>
      <c r="FLW2344" s="1091"/>
      <c r="FLX2344" s="1091"/>
      <c r="FLY2344" s="1091"/>
      <c r="FLZ2344" s="1091"/>
      <c r="FMA2344" s="1091"/>
      <c r="FMB2344" s="1091"/>
      <c r="FMC2344" s="1091"/>
      <c r="FMD2344" s="1091"/>
      <c r="FME2344" s="1091"/>
      <c r="FMF2344" s="1091"/>
      <c r="FMG2344" s="1091"/>
      <c r="FMH2344" s="1091"/>
      <c r="FMI2344" s="1091"/>
      <c r="FMJ2344" s="1091"/>
      <c r="FMK2344" s="1091"/>
      <c r="FML2344" s="1091"/>
      <c r="FMM2344" s="1091"/>
      <c r="FMN2344" s="1091"/>
      <c r="FMO2344" s="1091"/>
      <c r="FMP2344" s="1091"/>
      <c r="FMQ2344" s="1091"/>
      <c r="FMR2344" s="1091"/>
      <c r="FMS2344" s="1091"/>
      <c r="FMT2344" s="1091"/>
      <c r="FMU2344" s="1091"/>
      <c r="FMV2344" s="1091"/>
      <c r="FMW2344" s="1091"/>
      <c r="FMX2344" s="1091"/>
      <c r="FMY2344" s="1091"/>
      <c r="FMZ2344" s="1091"/>
      <c r="FNA2344" s="1091"/>
      <c r="FNB2344" s="1091"/>
      <c r="FNC2344" s="1091"/>
      <c r="FND2344" s="1091"/>
      <c r="FNE2344" s="1091"/>
      <c r="FNF2344" s="1091"/>
      <c r="FNG2344" s="1091"/>
      <c r="FNH2344" s="1091"/>
      <c r="FNI2344" s="1091"/>
      <c r="FNJ2344" s="1091"/>
      <c r="FNK2344" s="1091"/>
      <c r="FNL2344" s="1091"/>
      <c r="FNM2344" s="1091"/>
      <c r="FNN2344" s="1091"/>
      <c r="FNO2344" s="1091"/>
      <c r="FNP2344" s="1091"/>
      <c r="FNQ2344" s="1091"/>
      <c r="FNR2344" s="1091"/>
      <c r="FNS2344" s="1091"/>
      <c r="FNT2344" s="1091"/>
      <c r="FNU2344" s="1091"/>
      <c r="FNV2344" s="1091"/>
      <c r="FNW2344" s="1091"/>
      <c r="FNX2344" s="1091"/>
      <c r="FNY2344" s="1091"/>
      <c r="FNZ2344" s="1091"/>
      <c r="FOA2344" s="1091"/>
      <c r="FOB2344" s="1091"/>
      <c r="FOC2344" s="1091"/>
      <c r="FOD2344" s="1091"/>
      <c r="FOE2344" s="1091"/>
      <c r="FOF2344" s="1091"/>
      <c r="FOG2344" s="1091"/>
      <c r="FOH2344" s="1091"/>
      <c r="FOI2344" s="1091"/>
      <c r="FOJ2344" s="1091"/>
      <c r="FOK2344" s="1091"/>
      <c r="FOL2344" s="1091"/>
      <c r="FOM2344" s="1091"/>
      <c r="FON2344" s="1091"/>
      <c r="FOO2344" s="1091"/>
      <c r="FOP2344" s="1091"/>
      <c r="FOQ2344" s="1091"/>
      <c r="FOR2344" s="1091"/>
      <c r="FOS2344" s="1091"/>
      <c r="FOT2344" s="1091"/>
      <c r="FOU2344" s="1091"/>
      <c r="FOV2344" s="1091"/>
      <c r="FOW2344" s="1091"/>
      <c r="FOX2344" s="1091"/>
      <c r="FOY2344" s="1091"/>
      <c r="FOZ2344" s="1091"/>
      <c r="FPA2344" s="1091"/>
      <c r="FPB2344" s="1091"/>
      <c r="FPC2344" s="1091"/>
      <c r="FPD2344" s="1091"/>
      <c r="FPE2344" s="1091"/>
      <c r="FPF2344" s="1091"/>
      <c r="FPG2344" s="1091"/>
      <c r="FPH2344" s="1091"/>
      <c r="FPI2344" s="1091"/>
      <c r="FPJ2344" s="1091"/>
      <c r="FPK2344" s="1091"/>
      <c r="FPL2344" s="1091"/>
      <c r="FPM2344" s="1091"/>
      <c r="FPN2344" s="1091"/>
      <c r="FPO2344" s="1091"/>
      <c r="FPP2344" s="1091"/>
      <c r="FPQ2344" s="1091"/>
      <c r="FPR2344" s="1091"/>
      <c r="FPS2344" s="1091"/>
      <c r="FPT2344" s="1091"/>
      <c r="FPU2344" s="1091"/>
      <c r="FPV2344" s="1091"/>
      <c r="FPW2344" s="1091"/>
      <c r="FPX2344" s="1091"/>
      <c r="FPY2344" s="1091"/>
      <c r="FPZ2344" s="1091"/>
      <c r="FQA2344" s="1091"/>
      <c r="FQB2344" s="1091"/>
      <c r="FQC2344" s="1091"/>
      <c r="FQD2344" s="1091"/>
      <c r="FQE2344" s="1091"/>
      <c r="FQF2344" s="1091"/>
      <c r="FQG2344" s="1091"/>
      <c r="FQH2344" s="1091"/>
      <c r="FQI2344" s="1091"/>
      <c r="FQJ2344" s="1091"/>
      <c r="FQK2344" s="1091"/>
      <c r="FQL2344" s="1091"/>
      <c r="FQM2344" s="1091"/>
      <c r="FQN2344" s="1091"/>
      <c r="FQO2344" s="1091"/>
      <c r="FQP2344" s="1091"/>
      <c r="FQQ2344" s="1091"/>
      <c r="FQR2344" s="1091"/>
      <c r="FQS2344" s="1091"/>
      <c r="FQT2344" s="1091"/>
      <c r="FQU2344" s="1091"/>
      <c r="FQV2344" s="1091"/>
      <c r="FQW2344" s="1091"/>
      <c r="FQX2344" s="1091"/>
      <c r="FQY2344" s="1091"/>
      <c r="FQZ2344" s="1091"/>
      <c r="FRA2344" s="1091"/>
      <c r="FRB2344" s="1091"/>
      <c r="FRC2344" s="1091"/>
      <c r="FRD2344" s="1091"/>
      <c r="FRE2344" s="1091"/>
      <c r="FRF2344" s="1091"/>
      <c r="FRG2344" s="1091"/>
      <c r="FRH2344" s="1091"/>
      <c r="FRI2344" s="1091"/>
      <c r="FRJ2344" s="1091"/>
      <c r="FRK2344" s="1091"/>
      <c r="FRL2344" s="1091"/>
      <c r="FRM2344" s="1091"/>
      <c r="FRN2344" s="1091"/>
      <c r="FRO2344" s="1091"/>
      <c r="FRP2344" s="1091"/>
      <c r="FRQ2344" s="1091"/>
      <c r="FRR2344" s="1091"/>
      <c r="FRS2344" s="1091"/>
      <c r="FRT2344" s="1091"/>
      <c r="FRU2344" s="1091"/>
      <c r="FRV2344" s="1091"/>
      <c r="FRW2344" s="1091"/>
      <c r="FRX2344" s="1091"/>
      <c r="FRY2344" s="1091"/>
      <c r="FRZ2344" s="1091"/>
      <c r="FSA2344" s="1091"/>
      <c r="FSB2344" s="1091"/>
      <c r="FSC2344" s="1091"/>
      <c r="FSD2344" s="1091"/>
      <c r="FSE2344" s="1091"/>
      <c r="FSF2344" s="1091"/>
      <c r="FSG2344" s="1091"/>
      <c r="FSH2344" s="1091"/>
      <c r="FSI2344" s="1091"/>
      <c r="FSJ2344" s="1091"/>
      <c r="FSK2344" s="1091"/>
      <c r="FSL2344" s="1091"/>
      <c r="FSM2344" s="1091"/>
      <c r="FSN2344" s="1091"/>
      <c r="FSO2344" s="1091"/>
      <c r="FSP2344" s="1091"/>
      <c r="FSQ2344" s="1091"/>
      <c r="FSR2344" s="1091"/>
      <c r="FSS2344" s="1091"/>
      <c r="FST2344" s="1091"/>
      <c r="FSU2344" s="1091"/>
      <c r="FSV2344" s="1091"/>
      <c r="FSW2344" s="1091"/>
      <c r="FSX2344" s="1091"/>
      <c r="FSY2344" s="1091"/>
      <c r="FSZ2344" s="1091"/>
      <c r="FTA2344" s="1091"/>
      <c r="FTB2344" s="1091"/>
      <c r="FTC2344" s="1091"/>
      <c r="FTD2344" s="1091"/>
      <c r="FTE2344" s="1091"/>
      <c r="FTF2344" s="1091"/>
      <c r="FTG2344" s="1091"/>
      <c r="FTH2344" s="1091"/>
      <c r="FTI2344" s="1091"/>
      <c r="FTJ2344" s="1091"/>
      <c r="FTK2344" s="1091"/>
      <c r="FTL2344" s="1091"/>
      <c r="FTM2344" s="1091"/>
      <c r="FTN2344" s="1091"/>
      <c r="FTO2344" s="1091"/>
      <c r="FTP2344" s="1091"/>
      <c r="FTQ2344" s="1091"/>
      <c r="FTR2344" s="1091"/>
      <c r="FTS2344" s="1091"/>
      <c r="FTT2344" s="1091"/>
      <c r="FTU2344" s="1091"/>
      <c r="FTV2344" s="1091"/>
      <c r="FTW2344" s="1091"/>
      <c r="FTX2344" s="1091"/>
      <c r="FTY2344" s="1091"/>
      <c r="FTZ2344" s="1091"/>
      <c r="FUA2344" s="1091"/>
      <c r="FUB2344" s="1091"/>
      <c r="FUC2344" s="1091"/>
      <c r="FUD2344" s="1091"/>
      <c r="FUE2344" s="1091"/>
      <c r="FUF2344" s="1091"/>
      <c r="FUG2344" s="1091"/>
      <c r="FUH2344" s="1091"/>
      <c r="FUI2344" s="1091"/>
      <c r="FUJ2344" s="1091"/>
      <c r="FUK2344" s="1091"/>
      <c r="FUL2344" s="1091"/>
      <c r="FUM2344" s="1091"/>
      <c r="FUN2344" s="1091"/>
      <c r="FUO2344" s="1091"/>
      <c r="FUP2344" s="1091"/>
      <c r="FUQ2344" s="1091"/>
      <c r="FUR2344" s="1091"/>
      <c r="FUS2344" s="1091"/>
      <c r="FUT2344" s="1091"/>
      <c r="FUU2344" s="1091"/>
      <c r="FUV2344" s="1091"/>
      <c r="FUW2344" s="1091"/>
      <c r="FUX2344" s="1091"/>
      <c r="FUY2344" s="1091"/>
      <c r="FUZ2344" s="1091"/>
      <c r="FVA2344" s="1091"/>
      <c r="FVB2344" s="1091"/>
      <c r="FVC2344" s="1091"/>
      <c r="FVD2344" s="1091"/>
      <c r="FVE2344" s="1091"/>
      <c r="FVF2344" s="1091"/>
      <c r="FVG2344" s="1091"/>
      <c r="FVH2344" s="1091"/>
      <c r="FVI2344" s="1091"/>
      <c r="FVJ2344" s="1091"/>
      <c r="FVK2344" s="1091"/>
      <c r="FVL2344" s="1091"/>
      <c r="FVM2344" s="1091"/>
      <c r="FVN2344" s="1091"/>
      <c r="FVO2344" s="1091"/>
      <c r="FVP2344" s="1091"/>
      <c r="FVQ2344" s="1091"/>
      <c r="FVR2344" s="1091"/>
      <c r="FVS2344" s="1091"/>
      <c r="FVT2344" s="1091"/>
      <c r="FVU2344" s="1091"/>
      <c r="FVV2344" s="1091"/>
      <c r="FVW2344" s="1091"/>
      <c r="FVX2344" s="1091"/>
      <c r="FVY2344" s="1091"/>
      <c r="FVZ2344" s="1091"/>
      <c r="FWA2344" s="1091"/>
      <c r="FWB2344" s="1091"/>
      <c r="FWC2344" s="1091"/>
      <c r="FWD2344" s="1091"/>
      <c r="FWE2344" s="1091"/>
      <c r="FWF2344" s="1091"/>
      <c r="FWG2344" s="1091"/>
      <c r="FWH2344" s="1091"/>
      <c r="FWI2344" s="1091"/>
      <c r="FWJ2344" s="1091"/>
      <c r="FWK2344" s="1091"/>
      <c r="FWL2344" s="1091"/>
      <c r="FWM2344" s="1091"/>
      <c r="FWN2344" s="1091"/>
      <c r="FWO2344" s="1091"/>
      <c r="FWP2344" s="1091"/>
      <c r="FWQ2344" s="1091"/>
      <c r="FWR2344" s="1091"/>
      <c r="FWS2344" s="1091"/>
      <c r="FWT2344" s="1091"/>
      <c r="FWU2344" s="1091"/>
      <c r="FWV2344" s="1091"/>
      <c r="FWW2344" s="1091"/>
      <c r="FWX2344" s="1091"/>
      <c r="FWY2344" s="1091"/>
      <c r="FWZ2344" s="1091"/>
      <c r="FXA2344" s="1091"/>
      <c r="FXB2344" s="1091"/>
      <c r="FXC2344" s="1091"/>
      <c r="FXD2344" s="1091"/>
      <c r="FXE2344" s="1091"/>
      <c r="FXF2344" s="1091"/>
      <c r="FXG2344" s="1091"/>
      <c r="FXH2344" s="1091"/>
      <c r="FXI2344" s="1091"/>
      <c r="FXJ2344" s="1091"/>
      <c r="FXK2344" s="1091"/>
      <c r="FXL2344" s="1091"/>
      <c r="FXM2344" s="1091"/>
      <c r="FXN2344" s="1091"/>
      <c r="FXO2344" s="1091"/>
      <c r="FXP2344" s="1091"/>
      <c r="FXQ2344" s="1091"/>
      <c r="FXR2344" s="1091"/>
      <c r="FXS2344" s="1091"/>
      <c r="FXT2344" s="1091"/>
      <c r="FXU2344" s="1091"/>
      <c r="FXV2344" s="1091"/>
      <c r="FXW2344" s="1091"/>
      <c r="FXX2344" s="1091"/>
      <c r="FXY2344" s="1091"/>
      <c r="FXZ2344" s="1091"/>
      <c r="FYA2344" s="1091"/>
      <c r="FYB2344" s="1091"/>
      <c r="FYC2344" s="1091"/>
      <c r="FYD2344" s="1091"/>
      <c r="FYE2344" s="1091"/>
      <c r="FYF2344" s="1091"/>
      <c r="FYG2344" s="1091"/>
      <c r="FYH2344" s="1091"/>
      <c r="FYI2344" s="1091"/>
      <c r="FYJ2344" s="1091"/>
      <c r="FYK2344" s="1091"/>
      <c r="FYL2344" s="1091"/>
      <c r="FYM2344" s="1091"/>
      <c r="FYN2344" s="1091"/>
      <c r="FYO2344" s="1091"/>
      <c r="FYP2344" s="1091"/>
      <c r="FYQ2344" s="1091"/>
      <c r="FYR2344" s="1091"/>
      <c r="FYS2344" s="1091"/>
      <c r="FYT2344" s="1091"/>
      <c r="FYU2344" s="1091"/>
      <c r="FYV2344" s="1091"/>
      <c r="FYW2344" s="1091"/>
      <c r="FYX2344" s="1091"/>
      <c r="FYY2344" s="1091"/>
      <c r="FYZ2344" s="1091"/>
      <c r="FZA2344" s="1091"/>
      <c r="FZB2344" s="1091"/>
      <c r="FZC2344" s="1091"/>
      <c r="FZD2344" s="1091"/>
      <c r="FZE2344" s="1091"/>
      <c r="FZF2344" s="1091"/>
      <c r="FZG2344" s="1091"/>
      <c r="FZH2344" s="1091"/>
      <c r="FZI2344" s="1091"/>
      <c r="FZJ2344" s="1091"/>
      <c r="FZK2344" s="1091"/>
      <c r="FZL2344" s="1091"/>
      <c r="FZM2344" s="1091"/>
      <c r="FZN2344" s="1091"/>
      <c r="FZO2344" s="1091"/>
      <c r="FZP2344" s="1091"/>
      <c r="FZQ2344" s="1091"/>
      <c r="FZR2344" s="1091"/>
      <c r="FZS2344" s="1091"/>
      <c r="FZT2344" s="1091"/>
      <c r="FZU2344" s="1091"/>
      <c r="FZV2344" s="1091"/>
      <c r="FZW2344" s="1091"/>
      <c r="FZX2344" s="1091"/>
      <c r="FZY2344" s="1091"/>
      <c r="FZZ2344" s="1091"/>
      <c r="GAA2344" s="1091"/>
      <c r="GAB2344" s="1091"/>
      <c r="GAC2344" s="1091"/>
      <c r="GAD2344" s="1091"/>
      <c r="GAE2344" s="1091"/>
      <c r="GAF2344" s="1091"/>
      <c r="GAG2344" s="1091"/>
      <c r="GAH2344" s="1091"/>
      <c r="GAI2344" s="1091"/>
      <c r="GAJ2344" s="1091"/>
      <c r="GAK2344" s="1091"/>
      <c r="GAL2344" s="1091"/>
      <c r="GAM2344" s="1091"/>
      <c r="GAN2344" s="1091"/>
      <c r="GAO2344" s="1091"/>
      <c r="GAP2344" s="1091"/>
      <c r="GAQ2344" s="1091"/>
      <c r="GAR2344" s="1091"/>
      <c r="GAS2344" s="1091"/>
      <c r="GAT2344" s="1091"/>
      <c r="GAU2344" s="1091"/>
      <c r="GAV2344" s="1091"/>
      <c r="GAW2344" s="1091"/>
      <c r="GAX2344" s="1091"/>
      <c r="GAY2344" s="1091"/>
      <c r="GAZ2344" s="1091"/>
      <c r="GBA2344" s="1091"/>
      <c r="GBB2344" s="1091"/>
      <c r="GBC2344" s="1091"/>
      <c r="GBD2344" s="1091"/>
      <c r="GBE2344" s="1091"/>
      <c r="GBF2344" s="1091"/>
      <c r="GBG2344" s="1091"/>
      <c r="GBH2344" s="1091"/>
      <c r="GBI2344" s="1091"/>
      <c r="GBJ2344" s="1091"/>
      <c r="GBK2344" s="1091"/>
      <c r="GBL2344" s="1091"/>
      <c r="GBM2344" s="1091"/>
      <c r="GBN2344" s="1091"/>
      <c r="GBO2344" s="1091"/>
      <c r="GBP2344" s="1091"/>
      <c r="GBQ2344" s="1091"/>
      <c r="GBR2344" s="1091"/>
      <c r="GBS2344" s="1091"/>
      <c r="GBT2344" s="1091"/>
      <c r="GBU2344" s="1091"/>
      <c r="GBV2344" s="1091"/>
      <c r="GBW2344" s="1091"/>
      <c r="GBX2344" s="1091"/>
      <c r="GBY2344" s="1091"/>
      <c r="GBZ2344" s="1091"/>
      <c r="GCA2344" s="1091"/>
      <c r="GCB2344" s="1091"/>
      <c r="GCC2344" s="1091"/>
      <c r="GCD2344" s="1091"/>
      <c r="GCE2344" s="1091"/>
      <c r="GCF2344" s="1091"/>
      <c r="GCG2344" s="1091"/>
      <c r="GCH2344" s="1091"/>
      <c r="GCI2344" s="1091"/>
      <c r="GCJ2344" s="1091"/>
      <c r="GCK2344" s="1091"/>
      <c r="GCL2344" s="1091"/>
      <c r="GCM2344" s="1091"/>
      <c r="GCN2344" s="1091"/>
      <c r="GCO2344" s="1091"/>
      <c r="GCP2344" s="1091"/>
      <c r="GCQ2344" s="1091"/>
      <c r="GCR2344" s="1091"/>
      <c r="GCS2344" s="1091"/>
      <c r="GCT2344" s="1091"/>
      <c r="GCU2344" s="1091"/>
      <c r="GCV2344" s="1091"/>
      <c r="GCW2344" s="1091"/>
      <c r="GCX2344" s="1091"/>
      <c r="GCY2344" s="1091"/>
      <c r="GCZ2344" s="1091"/>
      <c r="GDA2344" s="1091"/>
      <c r="GDB2344" s="1091"/>
      <c r="GDC2344" s="1091"/>
      <c r="GDD2344" s="1091"/>
      <c r="GDE2344" s="1091"/>
      <c r="GDF2344" s="1091"/>
      <c r="GDG2344" s="1091"/>
      <c r="GDH2344" s="1091"/>
      <c r="GDI2344" s="1091"/>
      <c r="GDJ2344" s="1091"/>
      <c r="GDK2344" s="1091"/>
      <c r="GDL2344" s="1091"/>
      <c r="GDM2344" s="1091"/>
      <c r="GDN2344" s="1091"/>
      <c r="GDO2344" s="1091"/>
      <c r="GDP2344" s="1091"/>
      <c r="GDQ2344" s="1091"/>
      <c r="GDR2344" s="1091"/>
      <c r="GDS2344" s="1091"/>
      <c r="GDT2344" s="1091"/>
      <c r="GDU2344" s="1091"/>
      <c r="GDV2344" s="1091"/>
      <c r="GDW2344" s="1091"/>
      <c r="GDX2344" s="1091"/>
      <c r="GDY2344" s="1091"/>
      <c r="GDZ2344" s="1091"/>
      <c r="GEA2344" s="1091"/>
      <c r="GEB2344" s="1091"/>
      <c r="GEC2344" s="1091"/>
      <c r="GED2344" s="1091"/>
      <c r="GEE2344" s="1091"/>
      <c r="GEF2344" s="1091"/>
      <c r="GEG2344" s="1091"/>
      <c r="GEH2344" s="1091"/>
      <c r="GEI2344" s="1091"/>
      <c r="GEJ2344" s="1091"/>
      <c r="GEK2344" s="1091"/>
      <c r="GEL2344" s="1091"/>
      <c r="GEM2344" s="1091"/>
      <c r="GEN2344" s="1091"/>
      <c r="GEO2344" s="1091"/>
      <c r="GEP2344" s="1091"/>
      <c r="GEQ2344" s="1091"/>
      <c r="GER2344" s="1091"/>
      <c r="GES2344" s="1091"/>
      <c r="GET2344" s="1091"/>
      <c r="GEU2344" s="1091"/>
      <c r="GEV2344" s="1091"/>
      <c r="GEW2344" s="1091"/>
      <c r="GEX2344" s="1091"/>
      <c r="GEY2344" s="1091"/>
      <c r="GEZ2344" s="1091"/>
      <c r="GFA2344" s="1091"/>
      <c r="GFB2344" s="1091"/>
      <c r="GFC2344" s="1091"/>
      <c r="GFD2344" s="1091"/>
      <c r="GFE2344" s="1091"/>
      <c r="GFF2344" s="1091"/>
      <c r="GFG2344" s="1091"/>
      <c r="GFH2344" s="1091"/>
      <c r="GFI2344" s="1091"/>
      <c r="GFJ2344" s="1091"/>
      <c r="GFK2344" s="1091"/>
      <c r="GFL2344" s="1091"/>
      <c r="GFM2344" s="1091"/>
      <c r="GFN2344" s="1091"/>
      <c r="GFO2344" s="1091"/>
      <c r="GFP2344" s="1091"/>
      <c r="GFQ2344" s="1091"/>
      <c r="GFR2344" s="1091"/>
      <c r="GFS2344" s="1091"/>
      <c r="GFT2344" s="1091"/>
      <c r="GFU2344" s="1091"/>
      <c r="GFV2344" s="1091"/>
      <c r="GFW2344" s="1091"/>
      <c r="GFX2344" s="1091"/>
      <c r="GFY2344" s="1091"/>
      <c r="GFZ2344" s="1091"/>
      <c r="GGA2344" s="1091"/>
      <c r="GGB2344" s="1091"/>
      <c r="GGC2344" s="1091"/>
      <c r="GGD2344" s="1091"/>
      <c r="GGE2344" s="1091"/>
      <c r="GGF2344" s="1091"/>
      <c r="GGG2344" s="1091"/>
      <c r="GGH2344" s="1091"/>
      <c r="GGI2344" s="1091"/>
      <c r="GGJ2344" s="1091"/>
      <c r="GGK2344" s="1091"/>
      <c r="GGL2344" s="1091"/>
      <c r="GGM2344" s="1091"/>
      <c r="GGN2344" s="1091"/>
      <c r="GGO2344" s="1091"/>
      <c r="GGP2344" s="1091"/>
      <c r="GGQ2344" s="1091"/>
      <c r="GGR2344" s="1091"/>
      <c r="GGS2344" s="1091"/>
      <c r="GGT2344" s="1091"/>
      <c r="GGU2344" s="1091"/>
      <c r="GGV2344" s="1091"/>
      <c r="GGW2344" s="1091"/>
      <c r="GGX2344" s="1091"/>
      <c r="GGY2344" s="1091"/>
      <c r="GGZ2344" s="1091"/>
      <c r="GHA2344" s="1091"/>
      <c r="GHB2344" s="1091"/>
      <c r="GHC2344" s="1091"/>
      <c r="GHD2344" s="1091"/>
      <c r="GHE2344" s="1091"/>
      <c r="GHF2344" s="1091"/>
      <c r="GHG2344" s="1091"/>
      <c r="GHH2344" s="1091"/>
      <c r="GHI2344" s="1091"/>
      <c r="GHJ2344" s="1091"/>
      <c r="GHK2344" s="1091"/>
      <c r="GHL2344" s="1091"/>
      <c r="GHM2344" s="1091"/>
      <c r="GHN2344" s="1091"/>
      <c r="GHO2344" s="1091"/>
      <c r="GHP2344" s="1091"/>
      <c r="GHQ2344" s="1091"/>
      <c r="GHR2344" s="1091"/>
      <c r="GHS2344" s="1091"/>
      <c r="GHT2344" s="1091"/>
      <c r="GHU2344" s="1091"/>
      <c r="GHV2344" s="1091"/>
      <c r="GHW2344" s="1091"/>
      <c r="GHX2344" s="1091"/>
      <c r="GHY2344" s="1091"/>
      <c r="GHZ2344" s="1091"/>
      <c r="GIA2344" s="1091"/>
      <c r="GIB2344" s="1091"/>
      <c r="GIC2344" s="1091"/>
      <c r="GID2344" s="1091"/>
      <c r="GIE2344" s="1091"/>
      <c r="GIF2344" s="1091"/>
      <c r="GIG2344" s="1091"/>
      <c r="GIH2344" s="1091"/>
      <c r="GII2344" s="1091"/>
      <c r="GIJ2344" s="1091"/>
      <c r="GIK2344" s="1091"/>
      <c r="GIL2344" s="1091"/>
      <c r="GIM2344" s="1091"/>
      <c r="GIN2344" s="1091"/>
      <c r="GIO2344" s="1091"/>
      <c r="GIP2344" s="1091"/>
      <c r="GIQ2344" s="1091"/>
      <c r="GIR2344" s="1091"/>
      <c r="GIS2344" s="1091"/>
      <c r="GIT2344" s="1091"/>
      <c r="GIU2344" s="1091"/>
      <c r="GIV2344" s="1091"/>
      <c r="GIW2344" s="1091"/>
      <c r="GIX2344" s="1091"/>
      <c r="GIY2344" s="1091"/>
      <c r="GIZ2344" s="1091"/>
      <c r="GJA2344" s="1091"/>
      <c r="GJB2344" s="1091"/>
      <c r="GJC2344" s="1091"/>
      <c r="GJD2344" s="1091"/>
      <c r="GJE2344" s="1091"/>
      <c r="GJF2344" s="1091"/>
      <c r="GJG2344" s="1091"/>
      <c r="GJH2344" s="1091"/>
      <c r="GJI2344" s="1091"/>
      <c r="GJJ2344" s="1091"/>
      <c r="GJK2344" s="1091"/>
      <c r="GJL2344" s="1091"/>
      <c r="GJM2344" s="1091"/>
      <c r="GJN2344" s="1091"/>
      <c r="GJO2344" s="1091"/>
      <c r="GJP2344" s="1091"/>
      <c r="GJQ2344" s="1091"/>
      <c r="GJR2344" s="1091"/>
      <c r="GJS2344" s="1091"/>
      <c r="GJT2344" s="1091"/>
      <c r="GJU2344" s="1091"/>
      <c r="GJV2344" s="1091"/>
      <c r="GJW2344" s="1091"/>
      <c r="GJX2344" s="1091"/>
      <c r="GJY2344" s="1091"/>
      <c r="GJZ2344" s="1091"/>
      <c r="GKA2344" s="1091"/>
      <c r="GKB2344" s="1091"/>
      <c r="GKC2344" s="1091"/>
      <c r="GKD2344" s="1091"/>
      <c r="GKE2344" s="1091"/>
      <c r="GKF2344" s="1091"/>
      <c r="GKG2344" s="1091"/>
      <c r="GKH2344" s="1091"/>
      <c r="GKI2344" s="1091"/>
      <c r="GKJ2344" s="1091"/>
      <c r="GKK2344" s="1091"/>
      <c r="GKL2344" s="1091"/>
      <c r="GKM2344" s="1091"/>
      <c r="GKN2344" s="1091"/>
      <c r="GKO2344" s="1091"/>
      <c r="GKP2344" s="1091"/>
      <c r="GKQ2344" s="1091"/>
      <c r="GKR2344" s="1091"/>
      <c r="GKS2344" s="1091"/>
      <c r="GKT2344" s="1091"/>
      <c r="GKU2344" s="1091"/>
      <c r="GKV2344" s="1091"/>
      <c r="GKW2344" s="1091"/>
      <c r="GKX2344" s="1091"/>
      <c r="GKY2344" s="1091"/>
      <c r="GKZ2344" s="1091"/>
      <c r="GLA2344" s="1091"/>
      <c r="GLB2344" s="1091"/>
      <c r="GLC2344" s="1091"/>
      <c r="GLD2344" s="1091"/>
      <c r="GLE2344" s="1091"/>
      <c r="GLF2344" s="1091"/>
      <c r="GLG2344" s="1091"/>
      <c r="GLH2344" s="1091"/>
      <c r="GLI2344" s="1091"/>
      <c r="GLJ2344" s="1091"/>
      <c r="GLK2344" s="1091"/>
      <c r="GLL2344" s="1091"/>
      <c r="GLM2344" s="1091"/>
      <c r="GLN2344" s="1091"/>
      <c r="GLO2344" s="1091"/>
      <c r="GLP2344" s="1091"/>
      <c r="GLQ2344" s="1091"/>
      <c r="GLR2344" s="1091"/>
      <c r="GLS2344" s="1091"/>
      <c r="GLT2344" s="1091"/>
      <c r="GLU2344" s="1091"/>
      <c r="GLV2344" s="1091"/>
      <c r="GLW2344" s="1091"/>
      <c r="GLX2344" s="1091"/>
      <c r="GLY2344" s="1091"/>
      <c r="GLZ2344" s="1091"/>
      <c r="GMA2344" s="1091"/>
      <c r="GMB2344" s="1091"/>
      <c r="GMC2344" s="1091"/>
      <c r="GMD2344" s="1091"/>
      <c r="GME2344" s="1091"/>
      <c r="GMF2344" s="1091"/>
      <c r="GMG2344" s="1091"/>
      <c r="GMH2344" s="1091"/>
      <c r="GMI2344" s="1091"/>
      <c r="GMJ2344" s="1091"/>
      <c r="GMK2344" s="1091"/>
      <c r="GML2344" s="1091"/>
      <c r="GMM2344" s="1091"/>
      <c r="GMN2344" s="1091"/>
      <c r="GMO2344" s="1091"/>
      <c r="GMP2344" s="1091"/>
      <c r="GMQ2344" s="1091"/>
      <c r="GMR2344" s="1091"/>
      <c r="GMS2344" s="1091"/>
      <c r="GMT2344" s="1091"/>
      <c r="GMU2344" s="1091"/>
      <c r="GMV2344" s="1091"/>
      <c r="GMW2344" s="1091"/>
      <c r="GMX2344" s="1091"/>
      <c r="GMY2344" s="1091"/>
      <c r="GMZ2344" s="1091"/>
      <c r="GNA2344" s="1091"/>
      <c r="GNB2344" s="1091"/>
      <c r="GNC2344" s="1091"/>
      <c r="GND2344" s="1091"/>
      <c r="GNE2344" s="1091"/>
      <c r="GNF2344" s="1091"/>
      <c r="GNG2344" s="1091"/>
      <c r="GNH2344" s="1091"/>
      <c r="GNI2344" s="1091"/>
      <c r="GNJ2344" s="1091"/>
      <c r="GNK2344" s="1091"/>
      <c r="GNL2344" s="1091"/>
      <c r="GNM2344" s="1091"/>
      <c r="GNN2344" s="1091"/>
      <c r="GNO2344" s="1091"/>
      <c r="GNP2344" s="1091"/>
      <c r="GNQ2344" s="1091"/>
      <c r="GNR2344" s="1091"/>
      <c r="GNS2344" s="1091"/>
      <c r="GNT2344" s="1091"/>
      <c r="GNU2344" s="1091"/>
      <c r="GNV2344" s="1091"/>
      <c r="GNW2344" s="1091"/>
      <c r="GNX2344" s="1091"/>
      <c r="GNY2344" s="1091"/>
      <c r="GNZ2344" s="1091"/>
      <c r="GOA2344" s="1091"/>
      <c r="GOB2344" s="1091"/>
      <c r="GOC2344" s="1091"/>
      <c r="GOD2344" s="1091"/>
      <c r="GOE2344" s="1091"/>
      <c r="GOF2344" s="1091"/>
      <c r="GOG2344" s="1091"/>
      <c r="GOH2344" s="1091"/>
      <c r="GOI2344" s="1091"/>
      <c r="GOJ2344" s="1091"/>
      <c r="GOK2344" s="1091"/>
      <c r="GOL2344" s="1091"/>
      <c r="GOM2344" s="1091"/>
      <c r="GON2344" s="1091"/>
      <c r="GOO2344" s="1091"/>
      <c r="GOP2344" s="1091"/>
      <c r="GOQ2344" s="1091"/>
      <c r="GOR2344" s="1091"/>
      <c r="GOS2344" s="1091"/>
      <c r="GOT2344" s="1091"/>
      <c r="GOU2344" s="1091"/>
      <c r="GOV2344" s="1091"/>
      <c r="GOW2344" s="1091"/>
      <c r="GOX2344" s="1091"/>
      <c r="GOY2344" s="1091"/>
      <c r="GOZ2344" s="1091"/>
      <c r="GPA2344" s="1091"/>
      <c r="GPB2344" s="1091"/>
      <c r="GPC2344" s="1091"/>
      <c r="GPD2344" s="1091"/>
      <c r="GPE2344" s="1091"/>
      <c r="GPF2344" s="1091"/>
      <c r="GPG2344" s="1091"/>
      <c r="GPH2344" s="1091"/>
      <c r="GPI2344" s="1091"/>
      <c r="GPJ2344" s="1091"/>
      <c r="GPK2344" s="1091"/>
      <c r="GPL2344" s="1091"/>
      <c r="GPM2344" s="1091"/>
      <c r="GPN2344" s="1091"/>
      <c r="GPO2344" s="1091"/>
      <c r="GPP2344" s="1091"/>
      <c r="GPQ2344" s="1091"/>
      <c r="GPR2344" s="1091"/>
      <c r="GPS2344" s="1091"/>
      <c r="GPT2344" s="1091"/>
      <c r="GPU2344" s="1091"/>
      <c r="GPV2344" s="1091"/>
      <c r="GPW2344" s="1091"/>
      <c r="GPX2344" s="1091"/>
      <c r="GPY2344" s="1091"/>
      <c r="GPZ2344" s="1091"/>
      <c r="GQA2344" s="1091"/>
      <c r="GQB2344" s="1091"/>
      <c r="GQC2344" s="1091"/>
      <c r="GQD2344" s="1091"/>
      <c r="GQE2344" s="1091"/>
      <c r="GQF2344" s="1091"/>
      <c r="GQG2344" s="1091"/>
      <c r="GQH2344" s="1091"/>
      <c r="GQI2344" s="1091"/>
      <c r="GQJ2344" s="1091"/>
      <c r="GQK2344" s="1091"/>
      <c r="GQL2344" s="1091"/>
      <c r="GQM2344" s="1091"/>
      <c r="GQN2344" s="1091"/>
      <c r="GQO2344" s="1091"/>
      <c r="GQP2344" s="1091"/>
      <c r="GQQ2344" s="1091"/>
      <c r="GQR2344" s="1091"/>
      <c r="GQS2344" s="1091"/>
      <c r="GQT2344" s="1091"/>
      <c r="GQU2344" s="1091"/>
      <c r="GQV2344" s="1091"/>
      <c r="GQW2344" s="1091"/>
      <c r="GQX2344" s="1091"/>
      <c r="GQY2344" s="1091"/>
      <c r="GQZ2344" s="1091"/>
      <c r="GRA2344" s="1091"/>
      <c r="GRB2344" s="1091"/>
      <c r="GRC2344" s="1091"/>
      <c r="GRD2344" s="1091"/>
      <c r="GRE2344" s="1091"/>
      <c r="GRF2344" s="1091"/>
      <c r="GRG2344" s="1091"/>
      <c r="GRH2344" s="1091"/>
      <c r="GRI2344" s="1091"/>
      <c r="GRJ2344" s="1091"/>
      <c r="GRK2344" s="1091"/>
      <c r="GRL2344" s="1091"/>
      <c r="GRM2344" s="1091"/>
      <c r="GRN2344" s="1091"/>
      <c r="GRO2344" s="1091"/>
      <c r="GRP2344" s="1091"/>
      <c r="GRQ2344" s="1091"/>
      <c r="GRR2344" s="1091"/>
      <c r="GRS2344" s="1091"/>
      <c r="GRT2344" s="1091"/>
      <c r="GRU2344" s="1091"/>
      <c r="GRV2344" s="1091"/>
      <c r="GRW2344" s="1091"/>
      <c r="GRX2344" s="1091"/>
      <c r="GRY2344" s="1091"/>
      <c r="GRZ2344" s="1091"/>
      <c r="GSA2344" s="1091"/>
      <c r="GSB2344" s="1091"/>
      <c r="GSC2344" s="1091"/>
      <c r="GSD2344" s="1091"/>
      <c r="GSE2344" s="1091"/>
      <c r="GSF2344" s="1091"/>
      <c r="GSG2344" s="1091"/>
      <c r="GSH2344" s="1091"/>
      <c r="GSI2344" s="1091"/>
      <c r="GSJ2344" s="1091"/>
      <c r="GSK2344" s="1091"/>
      <c r="GSL2344" s="1091"/>
      <c r="GSM2344" s="1091"/>
      <c r="GSN2344" s="1091"/>
      <c r="GSO2344" s="1091"/>
      <c r="GSP2344" s="1091"/>
      <c r="GSQ2344" s="1091"/>
      <c r="GSR2344" s="1091"/>
      <c r="GSS2344" s="1091"/>
      <c r="GST2344" s="1091"/>
      <c r="GSU2344" s="1091"/>
      <c r="GSV2344" s="1091"/>
      <c r="GSW2344" s="1091"/>
      <c r="GSX2344" s="1091"/>
      <c r="GSY2344" s="1091"/>
      <c r="GSZ2344" s="1091"/>
      <c r="GTA2344" s="1091"/>
      <c r="GTB2344" s="1091"/>
      <c r="GTC2344" s="1091"/>
      <c r="GTD2344" s="1091"/>
      <c r="GTE2344" s="1091"/>
      <c r="GTF2344" s="1091"/>
      <c r="GTG2344" s="1091"/>
      <c r="GTH2344" s="1091"/>
      <c r="GTI2344" s="1091"/>
      <c r="GTJ2344" s="1091"/>
      <c r="GTK2344" s="1091"/>
      <c r="GTL2344" s="1091"/>
      <c r="GTM2344" s="1091"/>
      <c r="GTN2344" s="1091"/>
      <c r="GTO2344" s="1091"/>
      <c r="GTP2344" s="1091"/>
      <c r="GTQ2344" s="1091"/>
      <c r="GTR2344" s="1091"/>
      <c r="GTS2344" s="1091"/>
      <c r="GTT2344" s="1091"/>
      <c r="GTU2344" s="1091"/>
      <c r="GTV2344" s="1091"/>
      <c r="GTW2344" s="1091"/>
      <c r="GTX2344" s="1091"/>
      <c r="GTY2344" s="1091"/>
      <c r="GTZ2344" s="1091"/>
      <c r="GUA2344" s="1091"/>
      <c r="GUB2344" s="1091"/>
      <c r="GUC2344" s="1091"/>
      <c r="GUD2344" s="1091"/>
      <c r="GUE2344" s="1091"/>
      <c r="GUF2344" s="1091"/>
      <c r="GUG2344" s="1091"/>
      <c r="GUH2344" s="1091"/>
      <c r="GUI2344" s="1091"/>
      <c r="GUJ2344" s="1091"/>
      <c r="GUK2344" s="1091"/>
      <c r="GUL2344" s="1091"/>
      <c r="GUM2344" s="1091"/>
      <c r="GUN2344" s="1091"/>
      <c r="GUO2344" s="1091"/>
      <c r="GUP2344" s="1091"/>
      <c r="GUQ2344" s="1091"/>
      <c r="GUR2344" s="1091"/>
      <c r="GUS2344" s="1091"/>
      <c r="GUT2344" s="1091"/>
      <c r="GUU2344" s="1091"/>
      <c r="GUV2344" s="1091"/>
      <c r="GUW2344" s="1091"/>
      <c r="GUX2344" s="1091"/>
      <c r="GUY2344" s="1091"/>
      <c r="GUZ2344" s="1091"/>
      <c r="GVA2344" s="1091"/>
      <c r="GVB2344" s="1091"/>
      <c r="GVC2344" s="1091"/>
      <c r="GVD2344" s="1091"/>
      <c r="GVE2344" s="1091"/>
      <c r="GVF2344" s="1091"/>
      <c r="GVG2344" s="1091"/>
      <c r="GVH2344" s="1091"/>
      <c r="GVI2344" s="1091"/>
      <c r="GVJ2344" s="1091"/>
      <c r="GVK2344" s="1091"/>
      <c r="GVL2344" s="1091"/>
      <c r="GVM2344" s="1091"/>
      <c r="GVN2344" s="1091"/>
      <c r="GVO2344" s="1091"/>
      <c r="GVP2344" s="1091"/>
      <c r="GVQ2344" s="1091"/>
      <c r="GVR2344" s="1091"/>
      <c r="GVS2344" s="1091"/>
      <c r="GVT2344" s="1091"/>
      <c r="GVU2344" s="1091"/>
      <c r="GVV2344" s="1091"/>
      <c r="GVW2344" s="1091"/>
      <c r="GVX2344" s="1091"/>
      <c r="GVY2344" s="1091"/>
      <c r="GVZ2344" s="1091"/>
      <c r="GWA2344" s="1091"/>
      <c r="GWB2344" s="1091"/>
      <c r="GWC2344" s="1091"/>
      <c r="GWD2344" s="1091"/>
      <c r="GWE2344" s="1091"/>
      <c r="GWF2344" s="1091"/>
      <c r="GWG2344" s="1091"/>
      <c r="GWH2344" s="1091"/>
      <c r="GWI2344" s="1091"/>
      <c r="GWJ2344" s="1091"/>
      <c r="GWK2344" s="1091"/>
      <c r="GWL2344" s="1091"/>
      <c r="GWM2344" s="1091"/>
      <c r="GWN2344" s="1091"/>
      <c r="GWO2344" s="1091"/>
      <c r="GWP2344" s="1091"/>
      <c r="GWQ2344" s="1091"/>
      <c r="GWR2344" s="1091"/>
      <c r="GWS2344" s="1091"/>
      <c r="GWT2344" s="1091"/>
      <c r="GWU2344" s="1091"/>
      <c r="GWV2344" s="1091"/>
      <c r="GWW2344" s="1091"/>
      <c r="GWX2344" s="1091"/>
      <c r="GWY2344" s="1091"/>
      <c r="GWZ2344" s="1091"/>
      <c r="GXA2344" s="1091"/>
      <c r="GXB2344" s="1091"/>
      <c r="GXC2344" s="1091"/>
      <c r="GXD2344" s="1091"/>
      <c r="GXE2344" s="1091"/>
      <c r="GXF2344" s="1091"/>
      <c r="GXG2344" s="1091"/>
      <c r="GXH2344" s="1091"/>
      <c r="GXI2344" s="1091"/>
      <c r="GXJ2344" s="1091"/>
      <c r="GXK2344" s="1091"/>
      <c r="GXL2344" s="1091"/>
      <c r="GXM2344" s="1091"/>
      <c r="GXN2344" s="1091"/>
      <c r="GXO2344" s="1091"/>
      <c r="GXP2344" s="1091"/>
      <c r="GXQ2344" s="1091"/>
      <c r="GXR2344" s="1091"/>
      <c r="GXS2344" s="1091"/>
      <c r="GXT2344" s="1091"/>
      <c r="GXU2344" s="1091"/>
      <c r="GXV2344" s="1091"/>
      <c r="GXW2344" s="1091"/>
      <c r="GXX2344" s="1091"/>
      <c r="GXY2344" s="1091"/>
      <c r="GXZ2344" s="1091"/>
      <c r="GYA2344" s="1091"/>
      <c r="GYB2344" s="1091"/>
      <c r="GYC2344" s="1091"/>
      <c r="GYD2344" s="1091"/>
      <c r="GYE2344" s="1091"/>
      <c r="GYF2344" s="1091"/>
      <c r="GYG2344" s="1091"/>
      <c r="GYH2344" s="1091"/>
      <c r="GYI2344" s="1091"/>
      <c r="GYJ2344" s="1091"/>
      <c r="GYK2344" s="1091"/>
      <c r="GYL2344" s="1091"/>
      <c r="GYM2344" s="1091"/>
      <c r="GYN2344" s="1091"/>
      <c r="GYO2344" s="1091"/>
      <c r="GYP2344" s="1091"/>
      <c r="GYQ2344" s="1091"/>
      <c r="GYR2344" s="1091"/>
      <c r="GYS2344" s="1091"/>
      <c r="GYT2344" s="1091"/>
      <c r="GYU2344" s="1091"/>
      <c r="GYV2344" s="1091"/>
      <c r="GYW2344" s="1091"/>
      <c r="GYX2344" s="1091"/>
      <c r="GYY2344" s="1091"/>
      <c r="GYZ2344" s="1091"/>
      <c r="GZA2344" s="1091"/>
      <c r="GZB2344" s="1091"/>
      <c r="GZC2344" s="1091"/>
      <c r="GZD2344" s="1091"/>
      <c r="GZE2344" s="1091"/>
      <c r="GZF2344" s="1091"/>
      <c r="GZG2344" s="1091"/>
      <c r="GZH2344" s="1091"/>
      <c r="GZI2344" s="1091"/>
      <c r="GZJ2344" s="1091"/>
      <c r="GZK2344" s="1091"/>
      <c r="GZL2344" s="1091"/>
      <c r="GZM2344" s="1091"/>
      <c r="GZN2344" s="1091"/>
      <c r="GZO2344" s="1091"/>
      <c r="GZP2344" s="1091"/>
      <c r="GZQ2344" s="1091"/>
      <c r="GZR2344" s="1091"/>
      <c r="GZS2344" s="1091"/>
      <c r="GZT2344" s="1091"/>
      <c r="GZU2344" s="1091"/>
      <c r="GZV2344" s="1091"/>
      <c r="GZW2344" s="1091"/>
      <c r="GZX2344" s="1091"/>
      <c r="GZY2344" s="1091"/>
      <c r="GZZ2344" s="1091"/>
      <c r="HAA2344" s="1091"/>
      <c r="HAB2344" s="1091"/>
      <c r="HAC2344" s="1091"/>
      <c r="HAD2344" s="1091"/>
      <c r="HAE2344" s="1091"/>
      <c r="HAF2344" s="1091"/>
      <c r="HAG2344" s="1091"/>
      <c r="HAH2344" s="1091"/>
      <c r="HAI2344" s="1091"/>
      <c r="HAJ2344" s="1091"/>
      <c r="HAK2344" s="1091"/>
      <c r="HAL2344" s="1091"/>
      <c r="HAM2344" s="1091"/>
      <c r="HAN2344" s="1091"/>
      <c r="HAO2344" s="1091"/>
      <c r="HAP2344" s="1091"/>
      <c r="HAQ2344" s="1091"/>
      <c r="HAR2344" s="1091"/>
      <c r="HAS2344" s="1091"/>
      <c r="HAT2344" s="1091"/>
      <c r="HAU2344" s="1091"/>
      <c r="HAV2344" s="1091"/>
      <c r="HAW2344" s="1091"/>
      <c r="HAX2344" s="1091"/>
      <c r="HAY2344" s="1091"/>
      <c r="HAZ2344" s="1091"/>
      <c r="HBA2344" s="1091"/>
      <c r="HBB2344" s="1091"/>
      <c r="HBC2344" s="1091"/>
      <c r="HBD2344" s="1091"/>
      <c r="HBE2344" s="1091"/>
      <c r="HBF2344" s="1091"/>
      <c r="HBG2344" s="1091"/>
      <c r="HBH2344" s="1091"/>
      <c r="HBI2344" s="1091"/>
      <c r="HBJ2344" s="1091"/>
      <c r="HBK2344" s="1091"/>
      <c r="HBL2344" s="1091"/>
      <c r="HBM2344" s="1091"/>
      <c r="HBN2344" s="1091"/>
      <c r="HBO2344" s="1091"/>
      <c r="HBP2344" s="1091"/>
      <c r="HBQ2344" s="1091"/>
      <c r="HBR2344" s="1091"/>
      <c r="HBS2344" s="1091"/>
      <c r="HBT2344" s="1091"/>
      <c r="HBU2344" s="1091"/>
      <c r="HBV2344" s="1091"/>
      <c r="HBW2344" s="1091"/>
      <c r="HBX2344" s="1091"/>
      <c r="HBY2344" s="1091"/>
      <c r="HBZ2344" s="1091"/>
      <c r="HCA2344" s="1091"/>
      <c r="HCB2344" s="1091"/>
      <c r="HCC2344" s="1091"/>
      <c r="HCD2344" s="1091"/>
      <c r="HCE2344" s="1091"/>
      <c r="HCF2344" s="1091"/>
      <c r="HCG2344" s="1091"/>
      <c r="HCH2344" s="1091"/>
      <c r="HCI2344" s="1091"/>
      <c r="HCJ2344" s="1091"/>
      <c r="HCK2344" s="1091"/>
      <c r="HCL2344" s="1091"/>
      <c r="HCM2344" s="1091"/>
      <c r="HCN2344" s="1091"/>
      <c r="HCO2344" s="1091"/>
      <c r="HCP2344" s="1091"/>
      <c r="HCQ2344" s="1091"/>
      <c r="HCR2344" s="1091"/>
      <c r="HCS2344" s="1091"/>
      <c r="HCT2344" s="1091"/>
      <c r="HCU2344" s="1091"/>
      <c r="HCV2344" s="1091"/>
      <c r="HCW2344" s="1091"/>
      <c r="HCX2344" s="1091"/>
      <c r="HCY2344" s="1091"/>
      <c r="HCZ2344" s="1091"/>
      <c r="HDA2344" s="1091"/>
      <c r="HDB2344" s="1091"/>
      <c r="HDC2344" s="1091"/>
      <c r="HDD2344" s="1091"/>
      <c r="HDE2344" s="1091"/>
      <c r="HDF2344" s="1091"/>
      <c r="HDG2344" s="1091"/>
      <c r="HDH2344" s="1091"/>
      <c r="HDI2344" s="1091"/>
      <c r="HDJ2344" s="1091"/>
      <c r="HDK2344" s="1091"/>
      <c r="HDL2344" s="1091"/>
      <c r="HDM2344" s="1091"/>
      <c r="HDN2344" s="1091"/>
      <c r="HDO2344" s="1091"/>
      <c r="HDP2344" s="1091"/>
      <c r="HDQ2344" s="1091"/>
      <c r="HDR2344" s="1091"/>
      <c r="HDS2344" s="1091"/>
      <c r="HDT2344" s="1091"/>
      <c r="HDU2344" s="1091"/>
      <c r="HDV2344" s="1091"/>
      <c r="HDW2344" s="1091"/>
      <c r="HDX2344" s="1091"/>
      <c r="HDY2344" s="1091"/>
      <c r="HDZ2344" s="1091"/>
      <c r="HEA2344" s="1091"/>
      <c r="HEB2344" s="1091"/>
      <c r="HEC2344" s="1091"/>
      <c r="HED2344" s="1091"/>
      <c r="HEE2344" s="1091"/>
      <c r="HEF2344" s="1091"/>
      <c r="HEG2344" s="1091"/>
      <c r="HEH2344" s="1091"/>
      <c r="HEI2344" s="1091"/>
      <c r="HEJ2344" s="1091"/>
      <c r="HEK2344" s="1091"/>
      <c r="HEL2344" s="1091"/>
      <c r="HEM2344" s="1091"/>
      <c r="HEN2344" s="1091"/>
      <c r="HEO2344" s="1091"/>
      <c r="HEP2344" s="1091"/>
      <c r="HEQ2344" s="1091"/>
      <c r="HER2344" s="1091"/>
      <c r="HES2344" s="1091"/>
      <c r="HET2344" s="1091"/>
      <c r="HEU2344" s="1091"/>
      <c r="HEV2344" s="1091"/>
      <c r="HEW2344" s="1091"/>
      <c r="HEX2344" s="1091"/>
      <c r="HEY2344" s="1091"/>
      <c r="HEZ2344" s="1091"/>
      <c r="HFA2344" s="1091"/>
      <c r="HFB2344" s="1091"/>
      <c r="HFC2344" s="1091"/>
      <c r="HFD2344" s="1091"/>
      <c r="HFE2344" s="1091"/>
      <c r="HFF2344" s="1091"/>
      <c r="HFG2344" s="1091"/>
      <c r="HFH2344" s="1091"/>
      <c r="HFI2344" s="1091"/>
      <c r="HFJ2344" s="1091"/>
      <c r="HFK2344" s="1091"/>
      <c r="HFL2344" s="1091"/>
      <c r="HFM2344" s="1091"/>
      <c r="HFN2344" s="1091"/>
      <c r="HFO2344" s="1091"/>
      <c r="HFP2344" s="1091"/>
      <c r="HFQ2344" s="1091"/>
      <c r="HFR2344" s="1091"/>
      <c r="HFS2344" s="1091"/>
      <c r="HFT2344" s="1091"/>
      <c r="HFU2344" s="1091"/>
      <c r="HFV2344" s="1091"/>
      <c r="HFW2344" s="1091"/>
      <c r="HFX2344" s="1091"/>
      <c r="HFY2344" s="1091"/>
      <c r="HFZ2344" s="1091"/>
      <c r="HGA2344" s="1091"/>
      <c r="HGB2344" s="1091"/>
      <c r="HGC2344" s="1091"/>
      <c r="HGD2344" s="1091"/>
      <c r="HGE2344" s="1091"/>
      <c r="HGF2344" s="1091"/>
      <c r="HGG2344" s="1091"/>
      <c r="HGH2344" s="1091"/>
      <c r="HGI2344" s="1091"/>
      <c r="HGJ2344" s="1091"/>
      <c r="HGK2344" s="1091"/>
      <c r="HGL2344" s="1091"/>
      <c r="HGM2344" s="1091"/>
      <c r="HGN2344" s="1091"/>
      <c r="HGO2344" s="1091"/>
      <c r="HGP2344" s="1091"/>
      <c r="HGQ2344" s="1091"/>
      <c r="HGR2344" s="1091"/>
      <c r="HGS2344" s="1091"/>
      <c r="HGT2344" s="1091"/>
      <c r="HGU2344" s="1091"/>
      <c r="HGV2344" s="1091"/>
      <c r="HGW2344" s="1091"/>
      <c r="HGX2344" s="1091"/>
      <c r="HGY2344" s="1091"/>
      <c r="HGZ2344" s="1091"/>
      <c r="HHA2344" s="1091"/>
      <c r="HHB2344" s="1091"/>
      <c r="HHC2344" s="1091"/>
      <c r="HHD2344" s="1091"/>
      <c r="HHE2344" s="1091"/>
      <c r="HHF2344" s="1091"/>
      <c r="HHG2344" s="1091"/>
      <c r="HHH2344" s="1091"/>
      <c r="HHI2344" s="1091"/>
      <c r="HHJ2344" s="1091"/>
      <c r="HHK2344" s="1091"/>
      <c r="HHL2344" s="1091"/>
      <c r="HHM2344" s="1091"/>
      <c r="HHN2344" s="1091"/>
      <c r="HHO2344" s="1091"/>
      <c r="HHP2344" s="1091"/>
      <c r="HHQ2344" s="1091"/>
      <c r="HHR2344" s="1091"/>
      <c r="HHS2344" s="1091"/>
      <c r="HHT2344" s="1091"/>
      <c r="HHU2344" s="1091"/>
      <c r="HHV2344" s="1091"/>
      <c r="HHW2344" s="1091"/>
      <c r="HHX2344" s="1091"/>
      <c r="HHY2344" s="1091"/>
      <c r="HHZ2344" s="1091"/>
      <c r="HIA2344" s="1091"/>
      <c r="HIB2344" s="1091"/>
      <c r="HIC2344" s="1091"/>
      <c r="HID2344" s="1091"/>
      <c r="HIE2344" s="1091"/>
      <c r="HIF2344" s="1091"/>
      <c r="HIG2344" s="1091"/>
      <c r="HIH2344" s="1091"/>
      <c r="HII2344" s="1091"/>
      <c r="HIJ2344" s="1091"/>
      <c r="HIK2344" s="1091"/>
      <c r="HIL2344" s="1091"/>
      <c r="HIM2344" s="1091"/>
      <c r="HIN2344" s="1091"/>
      <c r="HIO2344" s="1091"/>
      <c r="HIP2344" s="1091"/>
      <c r="HIQ2344" s="1091"/>
      <c r="HIR2344" s="1091"/>
      <c r="HIS2344" s="1091"/>
      <c r="HIT2344" s="1091"/>
      <c r="HIU2344" s="1091"/>
      <c r="HIV2344" s="1091"/>
      <c r="HIW2344" s="1091"/>
      <c r="HIX2344" s="1091"/>
      <c r="HIY2344" s="1091"/>
      <c r="HIZ2344" s="1091"/>
      <c r="HJA2344" s="1091"/>
      <c r="HJB2344" s="1091"/>
      <c r="HJC2344" s="1091"/>
      <c r="HJD2344" s="1091"/>
      <c r="HJE2344" s="1091"/>
      <c r="HJF2344" s="1091"/>
      <c r="HJG2344" s="1091"/>
      <c r="HJH2344" s="1091"/>
      <c r="HJI2344" s="1091"/>
      <c r="HJJ2344" s="1091"/>
      <c r="HJK2344" s="1091"/>
      <c r="HJL2344" s="1091"/>
      <c r="HJM2344" s="1091"/>
      <c r="HJN2344" s="1091"/>
      <c r="HJO2344" s="1091"/>
      <c r="HJP2344" s="1091"/>
      <c r="HJQ2344" s="1091"/>
      <c r="HJR2344" s="1091"/>
      <c r="HJS2344" s="1091"/>
      <c r="HJT2344" s="1091"/>
      <c r="HJU2344" s="1091"/>
      <c r="HJV2344" s="1091"/>
      <c r="HJW2344" s="1091"/>
      <c r="HJX2344" s="1091"/>
      <c r="HJY2344" s="1091"/>
      <c r="HJZ2344" s="1091"/>
      <c r="HKA2344" s="1091"/>
      <c r="HKB2344" s="1091"/>
      <c r="HKC2344" s="1091"/>
      <c r="HKD2344" s="1091"/>
      <c r="HKE2344" s="1091"/>
      <c r="HKF2344" s="1091"/>
      <c r="HKG2344" s="1091"/>
      <c r="HKH2344" s="1091"/>
      <c r="HKI2344" s="1091"/>
      <c r="HKJ2344" s="1091"/>
      <c r="HKK2344" s="1091"/>
      <c r="HKL2344" s="1091"/>
      <c r="HKM2344" s="1091"/>
      <c r="HKN2344" s="1091"/>
      <c r="HKO2344" s="1091"/>
      <c r="HKP2344" s="1091"/>
      <c r="HKQ2344" s="1091"/>
      <c r="HKR2344" s="1091"/>
      <c r="HKS2344" s="1091"/>
      <c r="HKT2344" s="1091"/>
      <c r="HKU2344" s="1091"/>
      <c r="HKV2344" s="1091"/>
      <c r="HKW2344" s="1091"/>
      <c r="HKX2344" s="1091"/>
      <c r="HKY2344" s="1091"/>
      <c r="HKZ2344" s="1091"/>
      <c r="HLA2344" s="1091"/>
      <c r="HLB2344" s="1091"/>
      <c r="HLC2344" s="1091"/>
      <c r="HLD2344" s="1091"/>
      <c r="HLE2344" s="1091"/>
      <c r="HLF2344" s="1091"/>
      <c r="HLG2344" s="1091"/>
      <c r="HLH2344" s="1091"/>
      <c r="HLI2344" s="1091"/>
      <c r="HLJ2344" s="1091"/>
      <c r="HLK2344" s="1091"/>
      <c r="HLL2344" s="1091"/>
      <c r="HLM2344" s="1091"/>
      <c r="HLN2344" s="1091"/>
      <c r="HLO2344" s="1091"/>
      <c r="HLP2344" s="1091"/>
      <c r="HLQ2344" s="1091"/>
      <c r="HLR2344" s="1091"/>
      <c r="HLS2344" s="1091"/>
      <c r="HLT2344" s="1091"/>
      <c r="HLU2344" s="1091"/>
      <c r="HLV2344" s="1091"/>
      <c r="HLW2344" s="1091"/>
      <c r="HLX2344" s="1091"/>
      <c r="HLY2344" s="1091"/>
      <c r="HLZ2344" s="1091"/>
      <c r="HMA2344" s="1091"/>
      <c r="HMB2344" s="1091"/>
      <c r="HMC2344" s="1091"/>
      <c r="HMD2344" s="1091"/>
      <c r="HME2344" s="1091"/>
      <c r="HMF2344" s="1091"/>
      <c r="HMG2344" s="1091"/>
      <c r="HMH2344" s="1091"/>
      <c r="HMI2344" s="1091"/>
      <c r="HMJ2344" s="1091"/>
      <c r="HMK2344" s="1091"/>
      <c r="HML2344" s="1091"/>
      <c r="HMM2344" s="1091"/>
      <c r="HMN2344" s="1091"/>
      <c r="HMO2344" s="1091"/>
      <c r="HMP2344" s="1091"/>
      <c r="HMQ2344" s="1091"/>
      <c r="HMR2344" s="1091"/>
      <c r="HMS2344" s="1091"/>
      <c r="HMT2344" s="1091"/>
      <c r="HMU2344" s="1091"/>
      <c r="HMV2344" s="1091"/>
      <c r="HMW2344" s="1091"/>
      <c r="HMX2344" s="1091"/>
      <c r="HMY2344" s="1091"/>
      <c r="HMZ2344" s="1091"/>
      <c r="HNA2344" s="1091"/>
      <c r="HNB2344" s="1091"/>
      <c r="HNC2344" s="1091"/>
      <c r="HND2344" s="1091"/>
      <c r="HNE2344" s="1091"/>
      <c r="HNF2344" s="1091"/>
      <c r="HNG2344" s="1091"/>
      <c r="HNH2344" s="1091"/>
      <c r="HNI2344" s="1091"/>
      <c r="HNJ2344" s="1091"/>
      <c r="HNK2344" s="1091"/>
      <c r="HNL2344" s="1091"/>
      <c r="HNM2344" s="1091"/>
      <c r="HNN2344" s="1091"/>
      <c r="HNO2344" s="1091"/>
      <c r="HNP2344" s="1091"/>
      <c r="HNQ2344" s="1091"/>
      <c r="HNR2344" s="1091"/>
      <c r="HNS2344" s="1091"/>
      <c r="HNT2344" s="1091"/>
      <c r="HNU2344" s="1091"/>
      <c r="HNV2344" s="1091"/>
      <c r="HNW2344" s="1091"/>
      <c r="HNX2344" s="1091"/>
      <c r="HNY2344" s="1091"/>
      <c r="HNZ2344" s="1091"/>
      <c r="HOA2344" s="1091"/>
      <c r="HOB2344" s="1091"/>
      <c r="HOC2344" s="1091"/>
      <c r="HOD2344" s="1091"/>
      <c r="HOE2344" s="1091"/>
      <c r="HOF2344" s="1091"/>
      <c r="HOG2344" s="1091"/>
      <c r="HOH2344" s="1091"/>
      <c r="HOI2344" s="1091"/>
      <c r="HOJ2344" s="1091"/>
      <c r="HOK2344" s="1091"/>
      <c r="HOL2344" s="1091"/>
      <c r="HOM2344" s="1091"/>
      <c r="HON2344" s="1091"/>
      <c r="HOO2344" s="1091"/>
      <c r="HOP2344" s="1091"/>
      <c r="HOQ2344" s="1091"/>
      <c r="HOR2344" s="1091"/>
      <c r="HOS2344" s="1091"/>
      <c r="HOT2344" s="1091"/>
      <c r="HOU2344" s="1091"/>
      <c r="HOV2344" s="1091"/>
      <c r="HOW2344" s="1091"/>
      <c r="HOX2344" s="1091"/>
      <c r="HOY2344" s="1091"/>
      <c r="HOZ2344" s="1091"/>
      <c r="HPA2344" s="1091"/>
      <c r="HPB2344" s="1091"/>
      <c r="HPC2344" s="1091"/>
      <c r="HPD2344" s="1091"/>
      <c r="HPE2344" s="1091"/>
      <c r="HPF2344" s="1091"/>
      <c r="HPG2344" s="1091"/>
      <c r="HPH2344" s="1091"/>
      <c r="HPI2344" s="1091"/>
      <c r="HPJ2344" s="1091"/>
      <c r="HPK2344" s="1091"/>
      <c r="HPL2344" s="1091"/>
      <c r="HPM2344" s="1091"/>
      <c r="HPN2344" s="1091"/>
      <c r="HPO2344" s="1091"/>
      <c r="HPP2344" s="1091"/>
      <c r="HPQ2344" s="1091"/>
      <c r="HPR2344" s="1091"/>
      <c r="HPS2344" s="1091"/>
      <c r="HPT2344" s="1091"/>
      <c r="HPU2344" s="1091"/>
      <c r="HPV2344" s="1091"/>
      <c r="HPW2344" s="1091"/>
      <c r="HPX2344" s="1091"/>
      <c r="HPY2344" s="1091"/>
      <c r="HPZ2344" s="1091"/>
      <c r="HQA2344" s="1091"/>
      <c r="HQB2344" s="1091"/>
      <c r="HQC2344" s="1091"/>
      <c r="HQD2344" s="1091"/>
      <c r="HQE2344" s="1091"/>
      <c r="HQF2344" s="1091"/>
      <c r="HQG2344" s="1091"/>
      <c r="HQH2344" s="1091"/>
      <c r="HQI2344" s="1091"/>
      <c r="HQJ2344" s="1091"/>
      <c r="HQK2344" s="1091"/>
      <c r="HQL2344" s="1091"/>
      <c r="HQM2344" s="1091"/>
      <c r="HQN2344" s="1091"/>
      <c r="HQO2344" s="1091"/>
      <c r="HQP2344" s="1091"/>
      <c r="HQQ2344" s="1091"/>
      <c r="HQR2344" s="1091"/>
      <c r="HQS2344" s="1091"/>
      <c r="HQT2344" s="1091"/>
      <c r="HQU2344" s="1091"/>
      <c r="HQV2344" s="1091"/>
      <c r="HQW2344" s="1091"/>
      <c r="HQX2344" s="1091"/>
      <c r="HQY2344" s="1091"/>
      <c r="HQZ2344" s="1091"/>
      <c r="HRA2344" s="1091"/>
      <c r="HRB2344" s="1091"/>
      <c r="HRC2344" s="1091"/>
      <c r="HRD2344" s="1091"/>
      <c r="HRE2344" s="1091"/>
      <c r="HRF2344" s="1091"/>
      <c r="HRG2344" s="1091"/>
      <c r="HRH2344" s="1091"/>
      <c r="HRI2344" s="1091"/>
      <c r="HRJ2344" s="1091"/>
      <c r="HRK2344" s="1091"/>
      <c r="HRL2344" s="1091"/>
      <c r="HRM2344" s="1091"/>
      <c r="HRN2344" s="1091"/>
      <c r="HRO2344" s="1091"/>
      <c r="HRP2344" s="1091"/>
      <c r="HRQ2344" s="1091"/>
      <c r="HRR2344" s="1091"/>
      <c r="HRS2344" s="1091"/>
      <c r="HRT2344" s="1091"/>
      <c r="HRU2344" s="1091"/>
      <c r="HRV2344" s="1091"/>
      <c r="HRW2344" s="1091"/>
      <c r="HRX2344" s="1091"/>
      <c r="HRY2344" s="1091"/>
      <c r="HRZ2344" s="1091"/>
      <c r="HSA2344" s="1091"/>
      <c r="HSB2344" s="1091"/>
      <c r="HSC2344" s="1091"/>
      <c r="HSD2344" s="1091"/>
      <c r="HSE2344" s="1091"/>
      <c r="HSF2344" s="1091"/>
      <c r="HSG2344" s="1091"/>
      <c r="HSH2344" s="1091"/>
      <c r="HSI2344" s="1091"/>
      <c r="HSJ2344" s="1091"/>
      <c r="HSK2344" s="1091"/>
      <c r="HSL2344" s="1091"/>
      <c r="HSM2344" s="1091"/>
      <c r="HSN2344" s="1091"/>
      <c r="HSO2344" s="1091"/>
      <c r="HSP2344" s="1091"/>
      <c r="HSQ2344" s="1091"/>
      <c r="HSR2344" s="1091"/>
      <c r="HSS2344" s="1091"/>
      <c r="HST2344" s="1091"/>
      <c r="HSU2344" s="1091"/>
      <c r="HSV2344" s="1091"/>
      <c r="HSW2344" s="1091"/>
      <c r="HSX2344" s="1091"/>
      <c r="HSY2344" s="1091"/>
      <c r="HSZ2344" s="1091"/>
      <c r="HTA2344" s="1091"/>
      <c r="HTB2344" s="1091"/>
      <c r="HTC2344" s="1091"/>
      <c r="HTD2344" s="1091"/>
      <c r="HTE2344" s="1091"/>
      <c r="HTF2344" s="1091"/>
      <c r="HTG2344" s="1091"/>
      <c r="HTH2344" s="1091"/>
      <c r="HTI2344" s="1091"/>
      <c r="HTJ2344" s="1091"/>
      <c r="HTK2344" s="1091"/>
      <c r="HTL2344" s="1091"/>
      <c r="HTM2344" s="1091"/>
      <c r="HTN2344" s="1091"/>
      <c r="HTO2344" s="1091"/>
      <c r="HTP2344" s="1091"/>
      <c r="HTQ2344" s="1091"/>
      <c r="HTR2344" s="1091"/>
      <c r="HTS2344" s="1091"/>
      <c r="HTT2344" s="1091"/>
      <c r="HTU2344" s="1091"/>
      <c r="HTV2344" s="1091"/>
      <c r="HTW2344" s="1091"/>
      <c r="HTX2344" s="1091"/>
      <c r="HTY2344" s="1091"/>
      <c r="HTZ2344" s="1091"/>
      <c r="HUA2344" s="1091"/>
      <c r="HUB2344" s="1091"/>
      <c r="HUC2344" s="1091"/>
      <c r="HUD2344" s="1091"/>
      <c r="HUE2344" s="1091"/>
      <c r="HUF2344" s="1091"/>
      <c r="HUG2344" s="1091"/>
      <c r="HUH2344" s="1091"/>
      <c r="HUI2344" s="1091"/>
      <c r="HUJ2344" s="1091"/>
      <c r="HUK2344" s="1091"/>
      <c r="HUL2344" s="1091"/>
      <c r="HUM2344" s="1091"/>
      <c r="HUN2344" s="1091"/>
      <c r="HUO2344" s="1091"/>
      <c r="HUP2344" s="1091"/>
      <c r="HUQ2344" s="1091"/>
      <c r="HUR2344" s="1091"/>
      <c r="HUS2344" s="1091"/>
      <c r="HUT2344" s="1091"/>
      <c r="HUU2344" s="1091"/>
      <c r="HUV2344" s="1091"/>
      <c r="HUW2344" s="1091"/>
      <c r="HUX2344" s="1091"/>
      <c r="HUY2344" s="1091"/>
      <c r="HUZ2344" s="1091"/>
      <c r="HVA2344" s="1091"/>
      <c r="HVB2344" s="1091"/>
      <c r="HVC2344" s="1091"/>
      <c r="HVD2344" s="1091"/>
      <c r="HVE2344" s="1091"/>
      <c r="HVF2344" s="1091"/>
      <c r="HVG2344" s="1091"/>
      <c r="HVH2344" s="1091"/>
      <c r="HVI2344" s="1091"/>
      <c r="HVJ2344" s="1091"/>
      <c r="HVK2344" s="1091"/>
      <c r="HVL2344" s="1091"/>
      <c r="HVM2344" s="1091"/>
      <c r="HVN2344" s="1091"/>
      <c r="HVO2344" s="1091"/>
      <c r="HVP2344" s="1091"/>
      <c r="HVQ2344" s="1091"/>
      <c r="HVR2344" s="1091"/>
      <c r="HVS2344" s="1091"/>
      <c r="HVT2344" s="1091"/>
      <c r="HVU2344" s="1091"/>
      <c r="HVV2344" s="1091"/>
      <c r="HVW2344" s="1091"/>
      <c r="HVX2344" s="1091"/>
      <c r="HVY2344" s="1091"/>
      <c r="HVZ2344" s="1091"/>
      <c r="HWA2344" s="1091"/>
      <c r="HWB2344" s="1091"/>
      <c r="HWC2344" s="1091"/>
      <c r="HWD2344" s="1091"/>
      <c r="HWE2344" s="1091"/>
      <c r="HWF2344" s="1091"/>
      <c r="HWG2344" s="1091"/>
      <c r="HWH2344" s="1091"/>
      <c r="HWI2344" s="1091"/>
      <c r="HWJ2344" s="1091"/>
      <c r="HWK2344" s="1091"/>
      <c r="HWL2344" s="1091"/>
      <c r="HWM2344" s="1091"/>
      <c r="HWN2344" s="1091"/>
      <c r="HWO2344" s="1091"/>
      <c r="HWP2344" s="1091"/>
      <c r="HWQ2344" s="1091"/>
      <c r="HWR2344" s="1091"/>
      <c r="HWS2344" s="1091"/>
      <c r="HWT2344" s="1091"/>
      <c r="HWU2344" s="1091"/>
      <c r="HWV2344" s="1091"/>
      <c r="HWW2344" s="1091"/>
      <c r="HWX2344" s="1091"/>
      <c r="HWY2344" s="1091"/>
      <c r="HWZ2344" s="1091"/>
      <c r="HXA2344" s="1091"/>
      <c r="HXB2344" s="1091"/>
      <c r="HXC2344" s="1091"/>
      <c r="HXD2344" s="1091"/>
      <c r="HXE2344" s="1091"/>
      <c r="HXF2344" s="1091"/>
      <c r="HXG2344" s="1091"/>
      <c r="HXH2344" s="1091"/>
      <c r="HXI2344" s="1091"/>
      <c r="HXJ2344" s="1091"/>
      <c r="HXK2344" s="1091"/>
      <c r="HXL2344" s="1091"/>
      <c r="HXM2344" s="1091"/>
      <c r="HXN2344" s="1091"/>
      <c r="HXO2344" s="1091"/>
      <c r="HXP2344" s="1091"/>
      <c r="HXQ2344" s="1091"/>
      <c r="HXR2344" s="1091"/>
      <c r="HXS2344" s="1091"/>
      <c r="HXT2344" s="1091"/>
      <c r="HXU2344" s="1091"/>
      <c r="HXV2344" s="1091"/>
      <c r="HXW2344" s="1091"/>
      <c r="HXX2344" s="1091"/>
      <c r="HXY2344" s="1091"/>
      <c r="HXZ2344" s="1091"/>
      <c r="HYA2344" s="1091"/>
      <c r="HYB2344" s="1091"/>
      <c r="HYC2344" s="1091"/>
      <c r="HYD2344" s="1091"/>
      <c r="HYE2344" s="1091"/>
      <c r="HYF2344" s="1091"/>
      <c r="HYG2344" s="1091"/>
      <c r="HYH2344" s="1091"/>
      <c r="HYI2344" s="1091"/>
      <c r="HYJ2344" s="1091"/>
      <c r="HYK2344" s="1091"/>
      <c r="HYL2344" s="1091"/>
      <c r="HYM2344" s="1091"/>
      <c r="HYN2344" s="1091"/>
      <c r="HYO2344" s="1091"/>
      <c r="HYP2344" s="1091"/>
      <c r="HYQ2344" s="1091"/>
      <c r="HYR2344" s="1091"/>
      <c r="HYS2344" s="1091"/>
      <c r="HYT2344" s="1091"/>
      <c r="HYU2344" s="1091"/>
      <c r="HYV2344" s="1091"/>
      <c r="HYW2344" s="1091"/>
      <c r="HYX2344" s="1091"/>
      <c r="HYY2344" s="1091"/>
      <c r="HYZ2344" s="1091"/>
      <c r="HZA2344" s="1091"/>
      <c r="HZB2344" s="1091"/>
      <c r="HZC2344" s="1091"/>
      <c r="HZD2344" s="1091"/>
      <c r="HZE2344" s="1091"/>
      <c r="HZF2344" s="1091"/>
      <c r="HZG2344" s="1091"/>
      <c r="HZH2344" s="1091"/>
      <c r="HZI2344" s="1091"/>
      <c r="HZJ2344" s="1091"/>
      <c r="HZK2344" s="1091"/>
      <c r="HZL2344" s="1091"/>
      <c r="HZM2344" s="1091"/>
      <c r="HZN2344" s="1091"/>
      <c r="HZO2344" s="1091"/>
      <c r="HZP2344" s="1091"/>
      <c r="HZQ2344" s="1091"/>
      <c r="HZR2344" s="1091"/>
      <c r="HZS2344" s="1091"/>
      <c r="HZT2344" s="1091"/>
      <c r="HZU2344" s="1091"/>
      <c r="HZV2344" s="1091"/>
      <c r="HZW2344" s="1091"/>
      <c r="HZX2344" s="1091"/>
      <c r="HZY2344" s="1091"/>
      <c r="HZZ2344" s="1091"/>
      <c r="IAA2344" s="1091"/>
      <c r="IAB2344" s="1091"/>
      <c r="IAC2344" s="1091"/>
      <c r="IAD2344" s="1091"/>
      <c r="IAE2344" s="1091"/>
      <c r="IAF2344" s="1091"/>
      <c r="IAG2344" s="1091"/>
      <c r="IAH2344" s="1091"/>
      <c r="IAI2344" s="1091"/>
      <c r="IAJ2344" s="1091"/>
      <c r="IAK2344" s="1091"/>
      <c r="IAL2344" s="1091"/>
      <c r="IAM2344" s="1091"/>
      <c r="IAN2344" s="1091"/>
      <c r="IAO2344" s="1091"/>
      <c r="IAP2344" s="1091"/>
      <c r="IAQ2344" s="1091"/>
      <c r="IAR2344" s="1091"/>
      <c r="IAS2344" s="1091"/>
      <c r="IAT2344" s="1091"/>
      <c r="IAU2344" s="1091"/>
      <c r="IAV2344" s="1091"/>
      <c r="IAW2344" s="1091"/>
      <c r="IAX2344" s="1091"/>
      <c r="IAY2344" s="1091"/>
      <c r="IAZ2344" s="1091"/>
      <c r="IBA2344" s="1091"/>
      <c r="IBB2344" s="1091"/>
      <c r="IBC2344" s="1091"/>
      <c r="IBD2344" s="1091"/>
      <c r="IBE2344" s="1091"/>
      <c r="IBF2344" s="1091"/>
      <c r="IBG2344" s="1091"/>
      <c r="IBH2344" s="1091"/>
      <c r="IBI2344" s="1091"/>
      <c r="IBJ2344" s="1091"/>
      <c r="IBK2344" s="1091"/>
      <c r="IBL2344" s="1091"/>
      <c r="IBM2344" s="1091"/>
      <c r="IBN2344" s="1091"/>
      <c r="IBO2344" s="1091"/>
      <c r="IBP2344" s="1091"/>
      <c r="IBQ2344" s="1091"/>
      <c r="IBR2344" s="1091"/>
      <c r="IBS2344" s="1091"/>
      <c r="IBT2344" s="1091"/>
      <c r="IBU2344" s="1091"/>
      <c r="IBV2344" s="1091"/>
      <c r="IBW2344" s="1091"/>
      <c r="IBX2344" s="1091"/>
      <c r="IBY2344" s="1091"/>
      <c r="IBZ2344" s="1091"/>
      <c r="ICA2344" s="1091"/>
      <c r="ICB2344" s="1091"/>
      <c r="ICC2344" s="1091"/>
      <c r="ICD2344" s="1091"/>
      <c r="ICE2344" s="1091"/>
      <c r="ICF2344" s="1091"/>
      <c r="ICG2344" s="1091"/>
      <c r="ICH2344" s="1091"/>
      <c r="ICI2344" s="1091"/>
      <c r="ICJ2344" s="1091"/>
      <c r="ICK2344" s="1091"/>
      <c r="ICL2344" s="1091"/>
      <c r="ICM2344" s="1091"/>
      <c r="ICN2344" s="1091"/>
      <c r="ICO2344" s="1091"/>
      <c r="ICP2344" s="1091"/>
      <c r="ICQ2344" s="1091"/>
      <c r="ICR2344" s="1091"/>
      <c r="ICS2344" s="1091"/>
      <c r="ICT2344" s="1091"/>
      <c r="ICU2344" s="1091"/>
      <c r="ICV2344" s="1091"/>
      <c r="ICW2344" s="1091"/>
      <c r="ICX2344" s="1091"/>
      <c r="ICY2344" s="1091"/>
      <c r="ICZ2344" s="1091"/>
      <c r="IDA2344" s="1091"/>
      <c r="IDB2344" s="1091"/>
      <c r="IDC2344" s="1091"/>
      <c r="IDD2344" s="1091"/>
      <c r="IDE2344" s="1091"/>
      <c r="IDF2344" s="1091"/>
      <c r="IDG2344" s="1091"/>
      <c r="IDH2344" s="1091"/>
      <c r="IDI2344" s="1091"/>
      <c r="IDJ2344" s="1091"/>
      <c r="IDK2344" s="1091"/>
      <c r="IDL2344" s="1091"/>
      <c r="IDM2344" s="1091"/>
      <c r="IDN2344" s="1091"/>
      <c r="IDO2344" s="1091"/>
      <c r="IDP2344" s="1091"/>
      <c r="IDQ2344" s="1091"/>
      <c r="IDR2344" s="1091"/>
      <c r="IDS2344" s="1091"/>
      <c r="IDT2344" s="1091"/>
      <c r="IDU2344" s="1091"/>
      <c r="IDV2344" s="1091"/>
      <c r="IDW2344" s="1091"/>
      <c r="IDX2344" s="1091"/>
      <c r="IDY2344" s="1091"/>
      <c r="IDZ2344" s="1091"/>
      <c r="IEA2344" s="1091"/>
      <c r="IEB2344" s="1091"/>
      <c r="IEC2344" s="1091"/>
      <c r="IED2344" s="1091"/>
      <c r="IEE2344" s="1091"/>
      <c r="IEF2344" s="1091"/>
      <c r="IEG2344" s="1091"/>
      <c r="IEH2344" s="1091"/>
      <c r="IEI2344" s="1091"/>
      <c r="IEJ2344" s="1091"/>
      <c r="IEK2344" s="1091"/>
      <c r="IEL2344" s="1091"/>
      <c r="IEM2344" s="1091"/>
      <c r="IEN2344" s="1091"/>
      <c r="IEO2344" s="1091"/>
      <c r="IEP2344" s="1091"/>
      <c r="IEQ2344" s="1091"/>
      <c r="IER2344" s="1091"/>
      <c r="IES2344" s="1091"/>
      <c r="IET2344" s="1091"/>
      <c r="IEU2344" s="1091"/>
      <c r="IEV2344" s="1091"/>
      <c r="IEW2344" s="1091"/>
      <c r="IEX2344" s="1091"/>
      <c r="IEY2344" s="1091"/>
      <c r="IEZ2344" s="1091"/>
      <c r="IFA2344" s="1091"/>
      <c r="IFB2344" s="1091"/>
      <c r="IFC2344" s="1091"/>
      <c r="IFD2344" s="1091"/>
      <c r="IFE2344" s="1091"/>
      <c r="IFF2344" s="1091"/>
      <c r="IFG2344" s="1091"/>
      <c r="IFH2344" s="1091"/>
      <c r="IFI2344" s="1091"/>
      <c r="IFJ2344" s="1091"/>
      <c r="IFK2344" s="1091"/>
      <c r="IFL2344" s="1091"/>
      <c r="IFM2344" s="1091"/>
      <c r="IFN2344" s="1091"/>
      <c r="IFO2344" s="1091"/>
      <c r="IFP2344" s="1091"/>
      <c r="IFQ2344" s="1091"/>
      <c r="IFR2344" s="1091"/>
      <c r="IFS2344" s="1091"/>
      <c r="IFT2344" s="1091"/>
      <c r="IFU2344" s="1091"/>
      <c r="IFV2344" s="1091"/>
      <c r="IFW2344" s="1091"/>
      <c r="IFX2344" s="1091"/>
      <c r="IFY2344" s="1091"/>
      <c r="IFZ2344" s="1091"/>
      <c r="IGA2344" s="1091"/>
      <c r="IGB2344" s="1091"/>
      <c r="IGC2344" s="1091"/>
      <c r="IGD2344" s="1091"/>
      <c r="IGE2344" s="1091"/>
      <c r="IGF2344" s="1091"/>
      <c r="IGG2344" s="1091"/>
      <c r="IGH2344" s="1091"/>
      <c r="IGI2344" s="1091"/>
      <c r="IGJ2344" s="1091"/>
      <c r="IGK2344" s="1091"/>
      <c r="IGL2344" s="1091"/>
      <c r="IGM2344" s="1091"/>
      <c r="IGN2344" s="1091"/>
      <c r="IGO2344" s="1091"/>
      <c r="IGP2344" s="1091"/>
      <c r="IGQ2344" s="1091"/>
      <c r="IGR2344" s="1091"/>
      <c r="IGS2344" s="1091"/>
      <c r="IGT2344" s="1091"/>
      <c r="IGU2344" s="1091"/>
      <c r="IGV2344" s="1091"/>
      <c r="IGW2344" s="1091"/>
      <c r="IGX2344" s="1091"/>
      <c r="IGY2344" s="1091"/>
      <c r="IGZ2344" s="1091"/>
      <c r="IHA2344" s="1091"/>
      <c r="IHB2344" s="1091"/>
      <c r="IHC2344" s="1091"/>
      <c r="IHD2344" s="1091"/>
      <c r="IHE2344" s="1091"/>
      <c r="IHF2344" s="1091"/>
      <c r="IHG2344" s="1091"/>
      <c r="IHH2344" s="1091"/>
      <c r="IHI2344" s="1091"/>
      <c r="IHJ2344" s="1091"/>
      <c r="IHK2344" s="1091"/>
      <c r="IHL2344" s="1091"/>
      <c r="IHM2344" s="1091"/>
      <c r="IHN2344" s="1091"/>
      <c r="IHO2344" s="1091"/>
      <c r="IHP2344" s="1091"/>
      <c r="IHQ2344" s="1091"/>
      <c r="IHR2344" s="1091"/>
      <c r="IHS2344" s="1091"/>
      <c r="IHT2344" s="1091"/>
      <c r="IHU2344" s="1091"/>
      <c r="IHV2344" s="1091"/>
      <c r="IHW2344" s="1091"/>
      <c r="IHX2344" s="1091"/>
      <c r="IHY2344" s="1091"/>
      <c r="IHZ2344" s="1091"/>
      <c r="IIA2344" s="1091"/>
      <c r="IIB2344" s="1091"/>
      <c r="IIC2344" s="1091"/>
      <c r="IID2344" s="1091"/>
      <c r="IIE2344" s="1091"/>
      <c r="IIF2344" s="1091"/>
      <c r="IIG2344" s="1091"/>
      <c r="IIH2344" s="1091"/>
      <c r="III2344" s="1091"/>
      <c r="IIJ2344" s="1091"/>
      <c r="IIK2344" s="1091"/>
      <c r="IIL2344" s="1091"/>
      <c r="IIM2344" s="1091"/>
      <c r="IIN2344" s="1091"/>
      <c r="IIO2344" s="1091"/>
      <c r="IIP2344" s="1091"/>
      <c r="IIQ2344" s="1091"/>
      <c r="IIR2344" s="1091"/>
      <c r="IIS2344" s="1091"/>
      <c r="IIT2344" s="1091"/>
      <c r="IIU2344" s="1091"/>
      <c r="IIV2344" s="1091"/>
      <c r="IIW2344" s="1091"/>
      <c r="IIX2344" s="1091"/>
      <c r="IIY2344" s="1091"/>
      <c r="IIZ2344" s="1091"/>
      <c r="IJA2344" s="1091"/>
      <c r="IJB2344" s="1091"/>
      <c r="IJC2344" s="1091"/>
      <c r="IJD2344" s="1091"/>
      <c r="IJE2344" s="1091"/>
      <c r="IJF2344" s="1091"/>
      <c r="IJG2344" s="1091"/>
      <c r="IJH2344" s="1091"/>
      <c r="IJI2344" s="1091"/>
      <c r="IJJ2344" s="1091"/>
      <c r="IJK2344" s="1091"/>
      <c r="IJL2344" s="1091"/>
      <c r="IJM2344" s="1091"/>
      <c r="IJN2344" s="1091"/>
      <c r="IJO2344" s="1091"/>
      <c r="IJP2344" s="1091"/>
      <c r="IJQ2344" s="1091"/>
      <c r="IJR2344" s="1091"/>
      <c r="IJS2344" s="1091"/>
      <c r="IJT2344" s="1091"/>
      <c r="IJU2344" s="1091"/>
      <c r="IJV2344" s="1091"/>
      <c r="IJW2344" s="1091"/>
      <c r="IJX2344" s="1091"/>
      <c r="IJY2344" s="1091"/>
      <c r="IJZ2344" s="1091"/>
      <c r="IKA2344" s="1091"/>
      <c r="IKB2344" s="1091"/>
      <c r="IKC2344" s="1091"/>
      <c r="IKD2344" s="1091"/>
      <c r="IKE2344" s="1091"/>
      <c r="IKF2344" s="1091"/>
      <c r="IKG2344" s="1091"/>
      <c r="IKH2344" s="1091"/>
      <c r="IKI2344" s="1091"/>
      <c r="IKJ2344" s="1091"/>
      <c r="IKK2344" s="1091"/>
      <c r="IKL2344" s="1091"/>
      <c r="IKM2344" s="1091"/>
      <c r="IKN2344" s="1091"/>
      <c r="IKO2344" s="1091"/>
      <c r="IKP2344" s="1091"/>
      <c r="IKQ2344" s="1091"/>
      <c r="IKR2344" s="1091"/>
      <c r="IKS2344" s="1091"/>
      <c r="IKT2344" s="1091"/>
      <c r="IKU2344" s="1091"/>
      <c r="IKV2344" s="1091"/>
      <c r="IKW2344" s="1091"/>
      <c r="IKX2344" s="1091"/>
      <c r="IKY2344" s="1091"/>
      <c r="IKZ2344" s="1091"/>
      <c r="ILA2344" s="1091"/>
      <c r="ILB2344" s="1091"/>
      <c r="ILC2344" s="1091"/>
      <c r="ILD2344" s="1091"/>
      <c r="ILE2344" s="1091"/>
      <c r="ILF2344" s="1091"/>
      <c r="ILG2344" s="1091"/>
      <c r="ILH2344" s="1091"/>
      <c r="ILI2344" s="1091"/>
      <c r="ILJ2344" s="1091"/>
      <c r="ILK2344" s="1091"/>
      <c r="ILL2344" s="1091"/>
      <c r="ILM2344" s="1091"/>
      <c r="ILN2344" s="1091"/>
      <c r="ILO2344" s="1091"/>
      <c r="ILP2344" s="1091"/>
      <c r="ILQ2344" s="1091"/>
      <c r="ILR2344" s="1091"/>
      <c r="ILS2344" s="1091"/>
      <c r="ILT2344" s="1091"/>
      <c r="ILU2344" s="1091"/>
      <c r="ILV2344" s="1091"/>
      <c r="ILW2344" s="1091"/>
      <c r="ILX2344" s="1091"/>
      <c r="ILY2344" s="1091"/>
      <c r="ILZ2344" s="1091"/>
      <c r="IMA2344" s="1091"/>
      <c r="IMB2344" s="1091"/>
      <c r="IMC2344" s="1091"/>
      <c r="IMD2344" s="1091"/>
      <c r="IME2344" s="1091"/>
      <c r="IMF2344" s="1091"/>
      <c r="IMG2344" s="1091"/>
      <c r="IMH2344" s="1091"/>
      <c r="IMI2344" s="1091"/>
      <c r="IMJ2344" s="1091"/>
      <c r="IMK2344" s="1091"/>
      <c r="IML2344" s="1091"/>
      <c r="IMM2344" s="1091"/>
      <c r="IMN2344" s="1091"/>
      <c r="IMO2344" s="1091"/>
      <c r="IMP2344" s="1091"/>
      <c r="IMQ2344" s="1091"/>
      <c r="IMR2344" s="1091"/>
      <c r="IMS2344" s="1091"/>
      <c r="IMT2344" s="1091"/>
      <c r="IMU2344" s="1091"/>
      <c r="IMV2344" s="1091"/>
      <c r="IMW2344" s="1091"/>
      <c r="IMX2344" s="1091"/>
      <c r="IMY2344" s="1091"/>
      <c r="IMZ2344" s="1091"/>
      <c r="INA2344" s="1091"/>
      <c r="INB2344" s="1091"/>
      <c r="INC2344" s="1091"/>
      <c r="IND2344" s="1091"/>
      <c r="INE2344" s="1091"/>
      <c r="INF2344" s="1091"/>
      <c r="ING2344" s="1091"/>
      <c r="INH2344" s="1091"/>
      <c r="INI2344" s="1091"/>
      <c r="INJ2344" s="1091"/>
      <c r="INK2344" s="1091"/>
      <c r="INL2344" s="1091"/>
      <c r="INM2344" s="1091"/>
      <c r="INN2344" s="1091"/>
      <c r="INO2344" s="1091"/>
      <c r="INP2344" s="1091"/>
      <c r="INQ2344" s="1091"/>
      <c r="INR2344" s="1091"/>
      <c r="INS2344" s="1091"/>
      <c r="INT2344" s="1091"/>
      <c r="INU2344" s="1091"/>
      <c r="INV2344" s="1091"/>
      <c r="INW2344" s="1091"/>
      <c r="INX2344" s="1091"/>
      <c r="INY2344" s="1091"/>
      <c r="INZ2344" s="1091"/>
      <c r="IOA2344" s="1091"/>
      <c r="IOB2344" s="1091"/>
      <c r="IOC2344" s="1091"/>
      <c r="IOD2344" s="1091"/>
      <c r="IOE2344" s="1091"/>
      <c r="IOF2344" s="1091"/>
      <c r="IOG2344" s="1091"/>
      <c r="IOH2344" s="1091"/>
      <c r="IOI2344" s="1091"/>
      <c r="IOJ2344" s="1091"/>
      <c r="IOK2344" s="1091"/>
      <c r="IOL2344" s="1091"/>
      <c r="IOM2344" s="1091"/>
      <c r="ION2344" s="1091"/>
      <c r="IOO2344" s="1091"/>
      <c r="IOP2344" s="1091"/>
      <c r="IOQ2344" s="1091"/>
      <c r="IOR2344" s="1091"/>
      <c r="IOS2344" s="1091"/>
      <c r="IOT2344" s="1091"/>
      <c r="IOU2344" s="1091"/>
      <c r="IOV2344" s="1091"/>
      <c r="IOW2344" s="1091"/>
      <c r="IOX2344" s="1091"/>
      <c r="IOY2344" s="1091"/>
      <c r="IOZ2344" s="1091"/>
      <c r="IPA2344" s="1091"/>
      <c r="IPB2344" s="1091"/>
      <c r="IPC2344" s="1091"/>
      <c r="IPD2344" s="1091"/>
      <c r="IPE2344" s="1091"/>
      <c r="IPF2344" s="1091"/>
      <c r="IPG2344" s="1091"/>
      <c r="IPH2344" s="1091"/>
      <c r="IPI2344" s="1091"/>
      <c r="IPJ2344" s="1091"/>
      <c r="IPK2344" s="1091"/>
      <c r="IPL2344" s="1091"/>
      <c r="IPM2344" s="1091"/>
      <c r="IPN2344" s="1091"/>
      <c r="IPO2344" s="1091"/>
      <c r="IPP2344" s="1091"/>
      <c r="IPQ2344" s="1091"/>
      <c r="IPR2344" s="1091"/>
      <c r="IPS2344" s="1091"/>
      <c r="IPT2344" s="1091"/>
      <c r="IPU2344" s="1091"/>
      <c r="IPV2344" s="1091"/>
      <c r="IPW2344" s="1091"/>
      <c r="IPX2344" s="1091"/>
      <c r="IPY2344" s="1091"/>
      <c r="IPZ2344" s="1091"/>
      <c r="IQA2344" s="1091"/>
      <c r="IQB2344" s="1091"/>
      <c r="IQC2344" s="1091"/>
      <c r="IQD2344" s="1091"/>
      <c r="IQE2344" s="1091"/>
      <c r="IQF2344" s="1091"/>
      <c r="IQG2344" s="1091"/>
      <c r="IQH2344" s="1091"/>
      <c r="IQI2344" s="1091"/>
      <c r="IQJ2344" s="1091"/>
      <c r="IQK2344" s="1091"/>
      <c r="IQL2344" s="1091"/>
      <c r="IQM2344" s="1091"/>
      <c r="IQN2344" s="1091"/>
      <c r="IQO2344" s="1091"/>
      <c r="IQP2344" s="1091"/>
      <c r="IQQ2344" s="1091"/>
      <c r="IQR2344" s="1091"/>
      <c r="IQS2344" s="1091"/>
      <c r="IQT2344" s="1091"/>
      <c r="IQU2344" s="1091"/>
      <c r="IQV2344" s="1091"/>
      <c r="IQW2344" s="1091"/>
      <c r="IQX2344" s="1091"/>
      <c r="IQY2344" s="1091"/>
      <c r="IQZ2344" s="1091"/>
      <c r="IRA2344" s="1091"/>
      <c r="IRB2344" s="1091"/>
      <c r="IRC2344" s="1091"/>
      <c r="IRD2344" s="1091"/>
      <c r="IRE2344" s="1091"/>
      <c r="IRF2344" s="1091"/>
      <c r="IRG2344" s="1091"/>
      <c r="IRH2344" s="1091"/>
      <c r="IRI2344" s="1091"/>
      <c r="IRJ2344" s="1091"/>
      <c r="IRK2344" s="1091"/>
      <c r="IRL2344" s="1091"/>
      <c r="IRM2344" s="1091"/>
      <c r="IRN2344" s="1091"/>
      <c r="IRO2344" s="1091"/>
      <c r="IRP2344" s="1091"/>
      <c r="IRQ2344" s="1091"/>
      <c r="IRR2344" s="1091"/>
      <c r="IRS2344" s="1091"/>
      <c r="IRT2344" s="1091"/>
      <c r="IRU2344" s="1091"/>
      <c r="IRV2344" s="1091"/>
      <c r="IRW2344" s="1091"/>
      <c r="IRX2344" s="1091"/>
      <c r="IRY2344" s="1091"/>
      <c r="IRZ2344" s="1091"/>
      <c r="ISA2344" s="1091"/>
      <c r="ISB2344" s="1091"/>
      <c r="ISC2344" s="1091"/>
      <c r="ISD2344" s="1091"/>
      <c r="ISE2344" s="1091"/>
      <c r="ISF2344" s="1091"/>
      <c r="ISG2344" s="1091"/>
      <c r="ISH2344" s="1091"/>
      <c r="ISI2344" s="1091"/>
      <c r="ISJ2344" s="1091"/>
      <c r="ISK2344" s="1091"/>
      <c r="ISL2344" s="1091"/>
      <c r="ISM2344" s="1091"/>
      <c r="ISN2344" s="1091"/>
      <c r="ISO2344" s="1091"/>
      <c r="ISP2344" s="1091"/>
      <c r="ISQ2344" s="1091"/>
      <c r="ISR2344" s="1091"/>
      <c r="ISS2344" s="1091"/>
      <c r="IST2344" s="1091"/>
      <c r="ISU2344" s="1091"/>
      <c r="ISV2344" s="1091"/>
      <c r="ISW2344" s="1091"/>
      <c r="ISX2344" s="1091"/>
      <c r="ISY2344" s="1091"/>
      <c r="ISZ2344" s="1091"/>
      <c r="ITA2344" s="1091"/>
      <c r="ITB2344" s="1091"/>
      <c r="ITC2344" s="1091"/>
      <c r="ITD2344" s="1091"/>
      <c r="ITE2344" s="1091"/>
      <c r="ITF2344" s="1091"/>
      <c r="ITG2344" s="1091"/>
      <c r="ITH2344" s="1091"/>
      <c r="ITI2344" s="1091"/>
      <c r="ITJ2344" s="1091"/>
      <c r="ITK2344" s="1091"/>
      <c r="ITL2344" s="1091"/>
      <c r="ITM2344" s="1091"/>
      <c r="ITN2344" s="1091"/>
      <c r="ITO2344" s="1091"/>
      <c r="ITP2344" s="1091"/>
      <c r="ITQ2344" s="1091"/>
      <c r="ITR2344" s="1091"/>
      <c r="ITS2344" s="1091"/>
      <c r="ITT2344" s="1091"/>
      <c r="ITU2344" s="1091"/>
      <c r="ITV2344" s="1091"/>
      <c r="ITW2344" s="1091"/>
      <c r="ITX2344" s="1091"/>
      <c r="ITY2344" s="1091"/>
      <c r="ITZ2344" s="1091"/>
      <c r="IUA2344" s="1091"/>
      <c r="IUB2344" s="1091"/>
      <c r="IUC2344" s="1091"/>
      <c r="IUD2344" s="1091"/>
      <c r="IUE2344" s="1091"/>
      <c r="IUF2344" s="1091"/>
      <c r="IUG2344" s="1091"/>
      <c r="IUH2344" s="1091"/>
      <c r="IUI2344" s="1091"/>
      <c r="IUJ2344" s="1091"/>
      <c r="IUK2344" s="1091"/>
      <c r="IUL2344" s="1091"/>
      <c r="IUM2344" s="1091"/>
      <c r="IUN2344" s="1091"/>
      <c r="IUO2344" s="1091"/>
      <c r="IUP2344" s="1091"/>
      <c r="IUQ2344" s="1091"/>
      <c r="IUR2344" s="1091"/>
      <c r="IUS2344" s="1091"/>
      <c r="IUT2344" s="1091"/>
      <c r="IUU2344" s="1091"/>
      <c r="IUV2344" s="1091"/>
      <c r="IUW2344" s="1091"/>
      <c r="IUX2344" s="1091"/>
      <c r="IUY2344" s="1091"/>
      <c r="IUZ2344" s="1091"/>
      <c r="IVA2344" s="1091"/>
      <c r="IVB2344" s="1091"/>
      <c r="IVC2344" s="1091"/>
      <c r="IVD2344" s="1091"/>
      <c r="IVE2344" s="1091"/>
      <c r="IVF2344" s="1091"/>
      <c r="IVG2344" s="1091"/>
      <c r="IVH2344" s="1091"/>
      <c r="IVI2344" s="1091"/>
      <c r="IVJ2344" s="1091"/>
      <c r="IVK2344" s="1091"/>
      <c r="IVL2344" s="1091"/>
      <c r="IVM2344" s="1091"/>
      <c r="IVN2344" s="1091"/>
      <c r="IVO2344" s="1091"/>
      <c r="IVP2344" s="1091"/>
      <c r="IVQ2344" s="1091"/>
      <c r="IVR2344" s="1091"/>
      <c r="IVS2344" s="1091"/>
      <c r="IVT2344" s="1091"/>
      <c r="IVU2344" s="1091"/>
      <c r="IVV2344" s="1091"/>
      <c r="IVW2344" s="1091"/>
      <c r="IVX2344" s="1091"/>
      <c r="IVY2344" s="1091"/>
      <c r="IVZ2344" s="1091"/>
      <c r="IWA2344" s="1091"/>
      <c r="IWB2344" s="1091"/>
      <c r="IWC2344" s="1091"/>
      <c r="IWD2344" s="1091"/>
      <c r="IWE2344" s="1091"/>
      <c r="IWF2344" s="1091"/>
      <c r="IWG2344" s="1091"/>
      <c r="IWH2344" s="1091"/>
      <c r="IWI2344" s="1091"/>
      <c r="IWJ2344" s="1091"/>
      <c r="IWK2344" s="1091"/>
      <c r="IWL2344" s="1091"/>
      <c r="IWM2344" s="1091"/>
      <c r="IWN2344" s="1091"/>
      <c r="IWO2344" s="1091"/>
      <c r="IWP2344" s="1091"/>
      <c r="IWQ2344" s="1091"/>
      <c r="IWR2344" s="1091"/>
      <c r="IWS2344" s="1091"/>
      <c r="IWT2344" s="1091"/>
      <c r="IWU2344" s="1091"/>
      <c r="IWV2344" s="1091"/>
      <c r="IWW2344" s="1091"/>
      <c r="IWX2344" s="1091"/>
      <c r="IWY2344" s="1091"/>
      <c r="IWZ2344" s="1091"/>
      <c r="IXA2344" s="1091"/>
      <c r="IXB2344" s="1091"/>
      <c r="IXC2344" s="1091"/>
      <c r="IXD2344" s="1091"/>
      <c r="IXE2344" s="1091"/>
      <c r="IXF2344" s="1091"/>
      <c r="IXG2344" s="1091"/>
      <c r="IXH2344" s="1091"/>
      <c r="IXI2344" s="1091"/>
      <c r="IXJ2344" s="1091"/>
      <c r="IXK2344" s="1091"/>
      <c r="IXL2344" s="1091"/>
      <c r="IXM2344" s="1091"/>
      <c r="IXN2344" s="1091"/>
      <c r="IXO2344" s="1091"/>
      <c r="IXP2344" s="1091"/>
      <c r="IXQ2344" s="1091"/>
      <c r="IXR2344" s="1091"/>
      <c r="IXS2344" s="1091"/>
      <c r="IXT2344" s="1091"/>
      <c r="IXU2344" s="1091"/>
      <c r="IXV2344" s="1091"/>
      <c r="IXW2344" s="1091"/>
      <c r="IXX2344" s="1091"/>
      <c r="IXY2344" s="1091"/>
      <c r="IXZ2344" s="1091"/>
      <c r="IYA2344" s="1091"/>
      <c r="IYB2344" s="1091"/>
      <c r="IYC2344" s="1091"/>
      <c r="IYD2344" s="1091"/>
      <c r="IYE2344" s="1091"/>
      <c r="IYF2344" s="1091"/>
      <c r="IYG2344" s="1091"/>
      <c r="IYH2344" s="1091"/>
      <c r="IYI2344" s="1091"/>
      <c r="IYJ2344" s="1091"/>
      <c r="IYK2344" s="1091"/>
      <c r="IYL2344" s="1091"/>
      <c r="IYM2344" s="1091"/>
      <c r="IYN2344" s="1091"/>
      <c r="IYO2344" s="1091"/>
      <c r="IYP2344" s="1091"/>
      <c r="IYQ2344" s="1091"/>
      <c r="IYR2344" s="1091"/>
      <c r="IYS2344" s="1091"/>
      <c r="IYT2344" s="1091"/>
      <c r="IYU2344" s="1091"/>
      <c r="IYV2344" s="1091"/>
      <c r="IYW2344" s="1091"/>
      <c r="IYX2344" s="1091"/>
      <c r="IYY2344" s="1091"/>
      <c r="IYZ2344" s="1091"/>
      <c r="IZA2344" s="1091"/>
      <c r="IZB2344" s="1091"/>
      <c r="IZC2344" s="1091"/>
      <c r="IZD2344" s="1091"/>
      <c r="IZE2344" s="1091"/>
      <c r="IZF2344" s="1091"/>
      <c r="IZG2344" s="1091"/>
      <c r="IZH2344" s="1091"/>
      <c r="IZI2344" s="1091"/>
      <c r="IZJ2344" s="1091"/>
      <c r="IZK2344" s="1091"/>
      <c r="IZL2344" s="1091"/>
      <c r="IZM2344" s="1091"/>
      <c r="IZN2344" s="1091"/>
      <c r="IZO2344" s="1091"/>
      <c r="IZP2344" s="1091"/>
      <c r="IZQ2344" s="1091"/>
      <c r="IZR2344" s="1091"/>
      <c r="IZS2344" s="1091"/>
      <c r="IZT2344" s="1091"/>
      <c r="IZU2344" s="1091"/>
      <c r="IZV2344" s="1091"/>
      <c r="IZW2344" s="1091"/>
      <c r="IZX2344" s="1091"/>
      <c r="IZY2344" s="1091"/>
      <c r="IZZ2344" s="1091"/>
      <c r="JAA2344" s="1091"/>
      <c r="JAB2344" s="1091"/>
      <c r="JAC2344" s="1091"/>
      <c r="JAD2344" s="1091"/>
      <c r="JAE2344" s="1091"/>
      <c r="JAF2344" s="1091"/>
      <c r="JAG2344" s="1091"/>
      <c r="JAH2344" s="1091"/>
      <c r="JAI2344" s="1091"/>
      <c r="JAJ2344" s="1091"/>
      <c r="JAK2344" s="1091"/>
      <c r="JAL2344" s="1091"/>
      <c r="JAM2344" s="1091"/>
      <c r="JAN2344" s="1091"/>
      <c r="JAO2344" s="1091"/>
      <c r="JAP2344" s="1091"/>
      <c r="JAQ2344" s="1091"/>
      <c r="JAR2344" s="1091"/>
      <c r="JAS2344" s="1091"/>
      <c r="JAT2344" s="1091"/>
      <c r="JAU2344" s="1091"/>
      <c r="JAV2344" s="1091"/>
      <c r="JAW2344" s="1091"/>
      <c r="JAX2344" s="1091"/>
      <c r="JAY2344" s="1091"/>
      <c r="JAZ2344" s="1091"/>
      <c r="JBA2344" s="1091"/>
      <c r="JBB2344" s="1091"/>
      <c r="JBC2344" s="1091"/>
      <c r="JBD2344" s="1091"/>
      <c r="JBE2344" s="1091"/>
      <c r="JBF2344" s="1091"/>
      <c r="JBG2344" s="1091"/>
      <c r="JBH2344" s="1091"/>
      <c r="JBI2344" s="1091"/>
      <c r="JBJ2344" s="1091"/>
      <c r="JBK2344" s="1091"/>
      <c r="JBL2344" s="1091"/>
      <c r="JBM2344" s="1091"/>
      <c r="JBN2344" s="1091"/>
      <c r="JBO2344" s="1091"/>
      <c r="JBP2344" s="1091"/>
      <c r="JBQ2344" s="1091"/>
      <c r="JBR2344" s="1091"/>
      <c r="JBS2344" s="1091"/>
      <c r="JBT2344" s="1091"/>
      <c r="JBU2344" s="1091"/>
      <c r="JBV2344" s="1091"/>
      <c r="JBW2344" s="1091"/>
      <c r="JBX2344" s="1091"/>
      <c r="JBY2344" s="1091"/>
      <c r="JBZ2344" s="1091"/>
      <c r="JCA2344" s="1091"/>
      <c r="JCB2344" s="1091"/>
      <c r="JCC2344" s="1091"/>
      <c r="JCD2344" s="1091"/>
      <c r="JCE2344" s="1091"/>
      <c r="JCF2344" s="1091"/>
      <c r="JCG2344" s="1091"/>
      <c r="JCH2344" s="1091"/>
      <c r="JCI2344" s="1091"/>
      <c r="JCJ2344" s="1091"/>
      <c r="JCK2344" s="1091"/>
      <c r="JCL2344" s="1091"/>
      <c r="JCM2344" s="1091"/>
      <c r="JCN2344" s="1091"/>
      <c r="JCO2344" s="1091"/>
      <c r="JCP2344" s="1091"/>
      <c r="JCQ2344" s="1091"/>
      <c r="JCR2344" s="1091"/>
      <c r="JCS2344" s="1091"/>
      <c r="JCT2344" s="1091"/>
      <c r="JCU2344" s="1091"/>
      <c r="JCV2344" s="1091"/>
      <c r="JCW2344" s="1091"/>
      <c r="JCX2344" s="1091"/>
      <c r="JCY2344" s="1091"/>
      <c r="JCZ2344" s="1091"/>
      <c r="JDA2344" s="1091"/>
      <c r="JDB2344" s="1091"/>
      <c r="JDC2344" s="1091"/>
      <c r="JDD2344" s="1091"/>
      <c r="JDE2344" s="1091"/>
      <c r="JDF2344" s="1091"/>
      <c r="JDG2344" s="1091"/>
      <c r="JDH2344" s="1091"/>
      <c r="JDI2344" s="1091"/>
      <c r="JDJ2344" s="1091"/>
      <c r="JDK2344" s="1091"/>
      <c r="JDL2344" s="1091"/>
      <c r="JDM2344" s="1091"/>
      <c r="JDN2344" s="1091"/>
      <c r="JDO2344" s="1091"/>
      <c r="JDP2344" s="1091"/>
      <c r="JDQ2344" s="1091"/>
      <c r="JDR2344" s="1091"/>
      <c r="JDS2344" s="1091"/>
      <c r="JDT2344" s="1091"/>
      <c r="JDU2344" s="1091"/>
      <c r="JDV2344" s="1091"/>
      <c r="JDW2344" s="1091"/>
      <c r="JDX2344" s="1091"/>
      <c r="JDY2344" s="1091"/>
      <c r="JDZ2344" s="1091"/>
      <c r="JEA2344" s="1091"/>
      <c r="JEB2344" s="1091"/>
      <c r="JEC2344" s="1091"/>
      <c r="JED2344" s="1091"/>
      <c r="JEE2344" s="1091"/>
      <c r="JEF2344" s="1091"/>
      <c r="JEG2344" s="1091"/>
      <c r="JEH2344" s="1091"/>
      <c r="JEI2344" s="1091"/>
      <c r="JEJ2344" s="1091"/>
      <c r="JEK2344" s="1091"/>
      <c r="JEL2344" s="1091"/>
      <c r="JEM2344" s="1091"/>
      <c r="JEN2344" s="1091"/>
      <c r="JEO2344" s="1091"/>
      <c r="JEP2344" s="1091"/>
      <c r="JEQ2344" s="1091"/>
      <c r="JER2344" s="1091"/>
      <c r="JES2344" s="1091"/>
      <c r="JET2344" s="1091"/>
      <c r="JEU2344" s="1091"/>
      <c r="JEV2344" s="1091"/>
      <c r="JEW2344" s="1091"/>
      <c r="JEX2344" s="1091"/>
      <c r="JEY2344" s="1091"/>
      <c r="JEZ2344" s="1091"/>
      <c r="JFA2344" s="1091"/>
      <c r="JFB2344" s="1091"/>
      <c r="JFC2344" s="1091"/>
      <c r="JFD2344" s="1091"/>
      <c r="JFE2344" s="1091"/>
      <c r="JFF2344" s="1091"/>
      <c r="JFG2344" s="1091"/>
      <c r="JFH2344" s="1091"/>
      <c r="JFI2344" s="1091"/>
      <c r="JFJ2344" s="1091"/>
      <c r="JFK2344" s="1091"/>
      <c r="JFL2344" s="1091"/>
      <c r="JFM2344" s="1091"/>
      <c r="JFN2344" s="1091"/>
      <c r="JFO2344" s="1091"/>
      <c r="JFP2344" s="1091"/>
      <c r="JFQ2344" s="1091"/>
      <c r="JFR2344" s="1091"/>
      <c r="JFS2344" s="1091"/>
      <c r="JFT2344" s="1091"/>
      <c r="JFU2344" s="1091"/>
      <c r="JFV2344" s="1091"/>
      <c r="JFW2344" s="1091"/>
      <c r="JFX2344" s="1091"/>
      <c r="JFY2344" s="1091"/>
      <c r="JFZ2344" s="1091"/>
      <c r="JGA2344" s="1091"/>
      <c r="JGB2344" s="1091"/>
      <c r="JGC2344" s="1091"/>
      <c r="JGD2344" s="1091"/>
      <c r="JGE2344" s="1091"/>
      <c r="JGF2344" s="1091"/>
      <c r="JGG2344" s="1091"/>
      <c r="JGH2344" s="1091"/>
      <c r="JGI2344" s="1091"/>
      <c r="JGJ2344" s="1091"/>
      <c r="JGK2344" s="1091"/>
      <c r="JGL2344" s="1091"/>
      <c r="JGM2344" s="1091"/>
      <c r="JGN2344" s="1091"/>
      <c r="JGO2344" s="1091"/>
      <c r="JGP2344" s="1091"/>
      <c r="JGQ2344" s="1091"/>
      <c r="JGR2344" s="1091"/>
      <c r="JGS2344" s="1091"/>
      <c r="JGT2344" s="1091"/>
      <c r="JGU2344" s="1091"/>
      <c r="JGV2344" s="1091"/>
      <c r="JGW2344" s="1091"/>
      <c r="JGX2344" s="1091"/>
      <c r="JGY2344" s="1091"/>
      <c r="JGZ2344" s="1091"/>
      <c r="JHA2344" s="1091"/>
      <c r="JHB2344" s="1091"/>
      <c r="JHC2344" s="1091"/>
      <c r="JHD2344" s="1091"/>
      <c r="JHE2344" s="1091"/>
      <c r="JHF2344" s="1091"/>
      <c r="JHG2344" s="1091"/>
      <c r="JHH2344" s="1091"/>
      <c r="JHI2344" s="1091"/>
      <c r="JHJ2344" s="1091"/>
      <c r="JHK2344" s="1091"/>
      <c r="JHL2344" s="1091"/>
      <c r="JHM2344" s="1091"/>
      <c r="JHN2344" s="1091"/>
      <c r="JHO2344" s="1091"/>
      <c r="JHP2344" s="1091"/>
      <c r="JHQ2344" s="1091"/>
      <c r="JHR2344" s="1091"/>
      <c r="JHS2344" s="1091"/>
      <c r="JHT2344" s="1091"/>
      <c r="JHU2344" s="1091"/>
      <c r="JHV2344" s="1091"/>
      <c r="JHW2344" s="1091"/>
      <c r="JHX2344" s="1091"/>
      <c r="JHY2344" s="1091"/>
      <c r="JHZ2344" s="1091"/>
      <c r="JIA2344" s="1091"/>
      <c r="JIB2344" s="1091"/>
      <c r="JIC2344" s="1091"/>
      <c r="JID2344" s="1091"/>
      <c r="JIE2344" s="1091"/>
      <c r="JIF2344" s="1091"/>
      <c r="JIG2344" s="1091"/>
      <c r="JIH2344" s="1091"/>
      <c r="JII2344" s="1091"/>
      <c r="JIJ2344" s="1091"/>
      <c r="JIK2344" s="1091"/>
      <c r="JIL2344" s="1091"/>
      <c r="JIM2344" s="1091"/>
      <c r="JIN2344" s="1091"/>
      <c r="JIO2344" s="1091"/>
      <c r="JIP2344" s="1091"/>
      <c r="JIQ2344" s="1091"/>
      <c r="JIR2344" s="1091"/>
      <c r="JIS2344" s="1091"/>
      <c r="JIT2344" s="1091"/>
      <c r="JIU2344" s="1091"/>
      <c r="JIV2344" s="1091"/>
      <c r="JIW2344" s="1091"/>
      <c r="JIX2344" s="1091"/>
      <c r="JIY2344" s="1091"/>
      <c r="JIZ2344" s="1091"/>
      <c r="JJA2344" s="1091"/>
      <c r="JJB2344" s="1091"/>
      <c r="JJC2344" s="1091"/>
      <c r="JJD2344" s="1091"/>
      <c r="JJE2344" s="1091"/>
      <c r="JJF2344" s="1091"/>
      <c r="JJG2344" s="1091"/>
      <c r="JJH2344" s="1091"/>
      <c r="JJI2344" s="1091"/>
      <c r="JJJ2344" s="1091"/>
      <c r="JJK2344" s="1091"/>
      <c r="JJL2344" s="1091"/>
      <c r="JJM2344" s="1091"/>
      <c r="JJN2344" s="1091"/>
      <c r="JJO2344" s="1091"/>
      <c r="JJP2344" s="1091"/>
      <c r="JJQ2344" s="1091"/>
      <c r="JJR2344" s="1091"/>
      <c r="JJS2344" s="1091"/>
      <c r="JJT2344" s="1091"/>
      <c r="JJU2344" s="1091"/>
      <c r="JJV2344" s="1091"/>
      <c r="JJW2344" s="1091"/>
      <c r="JJX2344" s="1091"/>
      <c r="JJY2344" s="1091"/>
      <c r="JJZ2344" s="1091"/>
      <c r="JKA2344" s="1091"/>
      <c r="JKB2344" s="1091"/>
      <c r="JKC2344" s="1091"/>
      <c r="JKD2344" s="1091"/>
      <c r="JKE2344" s="1091"/>
      <c r="JKF2344" s="1091"/>
      <c r="JKG2344" s="1091"/>
      <c r="JKH2344" s="1091"/>
      <c r="JKI2344" s="1091"/>
      <c r="JKJ2344" s="1091"/>
      <c r="JKK2344" s="1091"/>
      <c r="JKL2344" s="1091"/>
      <c r="JKM2344" s="1091"/>
      <c r="JKN2344" s="1091"/>
      <c r="JKO2344" s="1091"/>
      <c r="JKP2344" s="1091"/>
      <c r="JKQ2344" s="1091"/>
      <c r="JKR2344" s="1091"/>
      <c r="JKS2344" s="1091"/>
      <c r="JKT2344" s="1091"/>
      <c r="JKU2344" s="1091"/>
      <c r="JKV2344" s="1091"/>
      <c r="JKW2344" s="1091"/>
      <c r="JKX2344" s="1091"/>
      <c r="JKY2344" s="1091"/>
      <c r="JKZ2344" s="1091"/>
      <c r="JLA2344" s="1091"/>
      <c r="JLB2344" s="1091"/>
      <c r="JLC2344" s="1091"/>
      <c r="JLD2344" s="1091"/>
      <c r="JLE2344" s="1091"/>
      <c r="JLF2344" s="1091"/>
      <c r="JLG2344" s="1091"/>
      <c r="JLH2344" s="1091"/>
      <c r="JLI2344" s="1091"/>
      <c r="JLJ2344" s="1091"/>
      <c r="JLK2344" s="1091"/>
      <c r="JLL2344" s="1091"/>
      <c r="JLM2344" s="1091"/>
      <c r="JLN2344" s="1091"/>
      <c r="JLO2344" s="1091"/>
      <c r="JLP2344" s="1091"/>
      <c r="JLQ2344" s="1091"/>
      <c r="JLR2344" s="1091"/>
      <c r="JLS2344" s="1091"/>
      <c r="JLT2344" s="1091"/>
      <c r="JLU2344" s="1091"/>
      <c r="JLV2344" s="1091"/>
      <c r="JLW2344" s="1091"/>
      <c r="JLX2344" s="1091"/>
      <c r="JLY2344" s="1091"/>
      <c r="JLZ2344" s="1091"/>
      <c r="JMA2344" s="1091"/>
      <c r="JMB2344" s="1091"/>
      <c r="JMC2344" s="1091"/>
      <c r="JMD2344" s="1091"/>
      <c r="JME2344" s="1091"/>
      <c r="JMF2344" s="1091"/>
      <c r="JMG2344" s="1091"/>
      <c r="JMH2344" s="1091"/>
      <c r="JMI2344" s="1091"/>
      <c r="JMJ2344" s="1091"/>
      <c r="JMK2344" s="1091"/>
      <c r="JML2344" s="1091"/>
      <c r="JMM2344" s="1091"/>
      <c r="JMN2344" s="1091"/>
      <c r="JMO2344" s="1091"/>
      <c r="JMP2344" s="1091"/>
      <c r="JMQ2344" s="1091"/>
      <c r="JMR2344" s="1091"/>
      <c r="JMS2344" s="1091"/>
      <c r="JMT2344" s="1091"/>
      <c r="JMU2344" s="1091"/>
      <c r="JMV2344" s="1091"/>
      <c r="JMW2344" s="1091"/>
      <c r="JMX2344" s="1091"/>
      <c r="JMY2344" s="1091"/>
      <c r="JMZ2344" s="1091"/>
      <c r="JNA2344" s="1091"/>
      <c r="JNB2344" s="1091"/>
      <c r="JNC2344" s="1091"/>
      <c r="JND2344" s="1091"/>
      <c r="JNE2344" s="1091"/>
      <c r="JNF2344" s="1091"/>
      <c r="JNG2344" s="1091"/>
      <c r="JNH2344" s="1091"/>
      <c r="JNI2344" s="1091"/>
      <c r="JNJ2344" s="1091"/>
      <c r="JNK2344" s="1091"/>
      <c r="JNL2344" s="1091"/>
      <c r="JNM2344" s="1091"/>
      <c r="JNN2344" s="1091"/>
      <c r="JNO2344" s="1091"/>
      <c r="JNP2344" s="1091"/>
      <c r="JNQ2344" s="1091"/>
      <c r="JNR2344" s="1091"/>
      <c r="JNS2344" s="1091"/>
      <c r="JNT2344" s="1091"/>
      <c r="JNU2344" s="1091"/>
      <c r="JNV2344" s="1091"/>
      <c r="JNW2344" s="1091"/>
      <c r="JNX2344" s="1091"/>
      <c r="JNY2344" s="1091"/>
      <c r="JNZ2344" s="1091"/>
      <c r="JOA2344" s="1091"/>
      <c r="JOB2344" s="1091"/>
      <c r="JOC2344" s="1091"/>
      <c r="JOD2344" s="1091"/>
      <c r="JOE2344" s="1091"/>
      <c r="JOF2344" s="1091"/>
      <c r="JOG2344" s="1091"/>
      <c r="JOH2344" s="1091"/>
      <c r="JOI2344" s="1091"/>
      <c r="JOJ2344" s="1091"/>
      <c r="JOK2344" s="1091"/>
      <c r="JOL2344" s="1091"/>
      <c r="JOM2344" s="1091"/>
      <c r="JON2344" s="1091"/>
      <c r="JOO2344" s="1091"/>
      <c r="JOP2344" s="1091"/>
      <c r="JOQ2344" s="1091"/>
      <c r="JOR2344" s="1091"/>
      <c r="JOS2344" s="1091"/>
      <c r="JOT2344" s="1091"/>
      <c r="JOU2344" s="1091"/>
      <c r="JOV2344" s="1091"/>
      <c r="JOW2344" s="1091"/>
      <c r="JOX2344" s="1091"/>
      <c r="JOY2344" s="1091"/>
      <c r="JOZ2344" s="1091"/>
      <c r="JPA2344" s="1091"/>
      <c r="JPB2344" s="1091"/>
      <c r="JPC2344" s="1091"/>
      <c r="JPD2344" s="1091"/>
      <c r="JPE2344" s="1091"/>
      <c r="JPF2344" s="1091"/>
      <c r="JPG2344" s="1091"/>
      <c r="JPH2344" s="1091"/>
      <c r="JPI2344" s="1091"/>
      <c r="JPJ2344" s="1091"/>
      <c r="JPK2344" s="1091"/>
      <c r="JPL2344" s="1091"/>
      <c r="JPM2344" s="1091"/>
      <c r="JPN2344" s="1091"/>
      <c r="JPO2344" s="1091"/>
      <c r="JPP2344" s="1091"/>
      <c r="JPQ2344" s="1091"/>
      <c r="JPR2344" s="1091"/>
      <c r="JPS2344" s="1091"/>
      <c r="JPT2344" s="1091"/>
      <c r="JPU2344" s="1091"/>
      <c r="JPV2344" s="1091"/>
      <c r="JPW2344" s="1091"/>
      <c r="JPX2344" s="1091"/>
      <c r="JPY2344" s="1091"/>
      <c r="JPZ2344" s="1091"/>
      <c r="JQA2344" s="1091"/>
      <c r="JQB2344" s="1091"/>
      <c r="JQC2344" s="1091"/>
      <c r="JQD2344" s="1091"/>
      <c r="JQE2344" s="1091"/>
      <c r="JQF2344" s="1091"/>
      <c r="JQG2344" s="1091"/>
      <c r="JQH2344" s="1091"/>
      <c r="JQI2344" s="1091"/>
      <c r="JQJ2344" s="1091"/>
      <c r="JQK2344" s="1091"/>
      <c r="JQL2344" s="1091"/>
      <c r="JQM2344" s="1091"/>
      <c r="JQN2344" s="1091"/>
      <c r="JQO2344" s="1091"/>
      <c r="JQP2344" s="1091"/>
      <c r="JQQ2344" s="1091"/>
      <c r="JQR2344" s="1091"/>
      <c r="JQS2344" s="1091"/>
      <c r="JQT2344" s="1091"/>
      <c r="JQU2344" s="1091"/>
      <c r="JQV2344" s="1091"/>
      <c r="JQW2344" s="1091"/>
      <c r="JQX2344" s="1091"/>
      <c r="JQY2344" s="1091"/>
      <c r="JQZ2344" s="1091"/>
      <c r="JRA2344" s="1091"/>
      <c r="JRB2344" s="1091"/>
      <c r="JRC2344" s="1091"/>
      <c r="JRD2344" s="1091"/>
      <c r="JRE2344" s="1091"/>
      <c r="JRF2344" s="1091"/>
      <c r="JRG2344" s="1091"/>
      <c r="JRH2344" s="1091"/>
      <c r="JRI2344" s="1091"/>
      <c r="JRJ2344" s="1091"/>
      <c r="JRK2344" s="1091"/>
      <c r="JRL2344" s="1091"/>
      <c r="JRM2344" s="1091"/>
      <c r="JRN2344" s="1091"/>
      <c r="JRO2344" s="1091"/>
      <c r="JRP2344" s="1091"/>
      <c r="JRQ2344" s="1091"/>
      <c r="JRR2344" s="1091"/>
      <c r="JRS2344" s="1091"/>
      <c r="JRT2344" s="1091"/>
      <c r="JRU2344" s="1091"/>
      <c r="JRV2344" s="1091"/>
      <c r="JRW2344" s="1091"/>
      <c r="JRX2344" s="1091"/>
      <c r="JRY2344" s="1091"/>
      <c r="JRZ2344" s="1091"/>
      <c r="JSA2344" s="1091"/>
      <c r="JSB2344" s="1091"/>
      <c r="JSC2344" s="1091"/>
      <c r="JSD2344" s="1091"/>
      <c r="JSE2344" s="1091"/>
      <c r="JSF2344" s="1091"/>
      <c r="JSG2344" s="1091"/>
      <c r="JSH2344" s="1091"/>
      <c r="JSI2344" s="1091"/>
      <c r="JSJ2344" s="1091"/>
      <c r="JSK2344" s="1091"/>
      <c r="JSL2344" s="1091"/>
      <c r="JSM2344" s="1091"/>
      <c r="JSN2344" s="1091"/>
      <c r="JSO2344" s="1091"/>
      <c r="JSP2344" s="1091"/>
      <c r="JSQ2344" s="1091"/>
      <c r="JSR2344" s="1091"/>
      <c r="JSS2344" s="1091"/>
      <c r="JST2344" s="1091"/>
      <c r="JSU2344" s="1091"/>
      <c r="JSV2344" s="1091"/>
      <c r="JSW2344" s="1091"/>
      <c r="JSX2344" s="1091"/>
      <c r="JSY2344" s="1091"/>
      <c r="JSZ2344" s="1091"/>
      <c r="JTA2344" s="1091"/>
      <c r="JTB2344" s="1091"/>
      <c r="JTC2344" s="1091"/>
      <c r="JTD2344" s="1091"/>
      <c r="JTE2344" s="1091"/>
      <c r="JTF2344" s="1091"/>
      <c r="JTG2344" s="1091"/>
      <c r="JTH2344" s="1091"/>
      <c r="JTI2344" s="1091"/>
      <c r="JTJ2344" s="1091"/>
      <c r="JTK2344" s="1091"/>
      <c r="JTL2344" s="1091"/>
      <c r="JTM2344" s="1091"/>
      <c r="JTN2344" s="1091"/>
      <c r="JTO2344" s="1091"/>
      <c r="JTP2344" s="1091"/>
      <c r="JTQ2344" s="1091"/>
      <c r="JTR2344" s="1091"/>
      <c r="JTS2344" s="1091"/>
      <c r="JTT2344" s="1091"/>
      <c r="JTU2344" s="1091"/>
      <c r="JTV2344" s="1091"/>
      <c r="JTW2344" s="1091"/>
      <c r="JTX2344" s="1091"/>
      <c r="JTY2344" s="1091"/>
      <c r="JTZ2344" s="1091"/>
      <c r="JUA2344" s="1091"/>
      <c r="JUB2344" s="1091"/>
      <c r="JUC2344" s="1091"/>
      <c r="JUD2344" s="1091"/>
      <c r="JUE2344" s="1091"/>
      <c r="JUF2344" s="1091"/>
      <c r="JUG2344" s="1091"/>
      <c r="JUH2344" s="1091"/>
      <c r="JUI2344" s="1091"/>
      <c r="JUJ2344" s="1091"/>
      <c r="JUK2344" s="1091"/>
      <c r="JUL2344" s="1091"/>
      <c r="JUM2344" s="1091"/>
      <c r="JUN2344" s="1091"/>
      <c r="JUO2344" s="1091"/>
      <c r="JUP2344" s="1091"/>
      <c r="JUQ2344" s="1091"/>
      <c r="JUR2344" s="1091"/>
      <c r="JUS2344" s="1091"/>
      <c r="JUT2344" s="1091"/>
      <c r="JUU2344" s="1091"/>
      <c r="JUV2344" s="1091"/>
      <c r="JUW2344" s="1091"/>
      <c r="JUX2344" s="1091"/>
      <c r="JUY2344" s="1091"/>
      <c r="JUZ2344" s="1091"/>
      <c r="JVA2344" s="1091"/>
      <c r="JVB2344" s="1091"/>
      <c r="JVC2344" s="1091"/>
      <c r="JVD2344" s="1091"/>
      <c r="JVE2344" s="1091"/>
      <c r="JVF2344" s="1091"/>
      <c r="JVG2344" s="1091"/>
      <c r="JVH2344" s="1091"/>
      <c r="JVI2344" s="1091"/>
      <c r="JVJ2344" s="1091"/>
      <c r="JVK2344" s="1091"/>
      <c r="JVL2344" s="1091"/>
      <c r="JVM2344" s="1091"/>
      <c r="JVN2344" s="1091"/>
      <c r="JVO2344" s="1091"/>
      <c r="JVP2344" s="1091"/>
      <c r="JVQ2344" s="1091"/>
      <c r="JVR2344" s="1091"/>
      <c r="JVS2344" s="1091"/>
      <c r="JVT2344" s="1091"/>
      <c r="JVU2344" s="1091"/>
      <c r="JVV2344" s="1091"/>
      <c r="JVW2344" s="1091"/>
      <c r="JVX2344" s="1091"/>
      <c r="JVY2344" s="1091"/>
      <c r="JVZ2344" s="1091"/>
      <c r="JWA2344" s="1091"/>
      <c r="JWB2344" s="1091"/>
      <c r="JWC2344" s="1091"/>
      <c r="JWD2344" s="1091"/>
      <c r="JWE2344" s="1091"/>
      <c r="JWF2344" s="1091"/>
      <c r="JWG2344" s="1091"/>
      <c r="JWH2344" s="1091"/>
      <c r="JWI2344" s="1091"/>
      <c r="JWJ2344" s="1091"/>
      <c r="JWK2344" s="1091"/>
      <c r="JWL2344" s="1091"/>
      <c r="JWM2344" s="1091"/>
      <c r="JWN2344" s="1091"/>
      <c r="JWO2344" s="1091"/>
      <c r="JWP2344" s="1091"/>
      <c r="JWQ2344" s="1091"/>
      <c r="JWR2344" s="1091"/>
      <c r="JWS2344" s="1091"/>
      <c r="JWT2344" s="1091"/>
      <c r="JWU2344" s="1091"/>
      <c r="JWV2344" s="1091"/>
      <c r="JWW2344" s="1091"/>
      <c r="JWX2344" s="1091"/>
      <c r="JWY2344" s="1091"/>
      <c r="JWZ2344" s="1091"/>
      <c r="JXA2344" s="1091"/>
      <c r="JXB2344" s="1091"/>
      <c r="JXC2344" s="1091"/>
      <c r="JXD2344" s="1091"/>
      <c r="JXE2344" s="1091"/>
      <c r="JXF2344" s="1091"/>
      <c r="JXG2344" s="1091"/>
      <c r="JXH2344" s="1091"/>
      <c r="JXI2344" s="1091"/>
      <c r="JXJ2344" s="1091"/>
      <c r="JXK2344" s="1091"/>
      <c r="JXL2344" s="1091"/>
      <c r="JXM2344" s="1091"/>
      <c r="JXN2344" s="1091"/>
      <c r="JXO2344" s="1091"/>
      <c r="JXP2344" s="1091"/>
      <c r="JXQ2344" s="1091"/>
      <c r="JXR2344" s="1091"/>
      <c r="JXS2344" s="1091"/>
      <c r="JXT2344" s="1091"/>
      <c r="JXU2344" s="1091"/>
      <c r="JXV2344" s="1091"/>
      <c r="JXW2344" s="1091"/>
      <c r="JXX2344" s="1091"/>
      <c r="JXY2344" s="1091"/>
      <c r="JXZ2344" s="1091"/>
      <c r="JYA2344" s="1091"/>
      <c r="JYB2344" s="1091"/>
      <c r="JYC2344" s="1091"/>
      <c r="JYD2344" s="1091"/>
      <c r="JYE2344" s="1091"/>
      <c r="JYF2344" s="1091"/>
      <c r="JYG2344" s="1091"/>
      <c r="JYH2344" s="1091"/>
      <c r="JYI2344" s="1091"/>
      <c r="JYJ2344" s="1091"/>
      <c r="JYK2344" s="1091"/>
      <c r="JYL2344" s="1091"/>
      <c r="JYM2344" s="1091"/>
      <c r="JYN2344" s="1091"/>
      <c r="JYO2344" s="1091"/>
      <c r="JYP2344" s="1091"/>
      <c r="JYQ2344" s="1091"/>
      <c r="JYR2344" s="1091"/>
      <c r="JYS2344" s="1091"/>
      <c r="JYT2344" s="1091"/>
      <c r="JYU2344" s="1091"/>
      <c r="JYV2344" s="1091"/>
      <c r="JYW2344" s="1091"/>
      <c r="JYX2344" s="1091"/>
      <c r="JYY2344" s="1091"/>
      <c r="JYZ2344" s="1091"/>
      <c r="JZA2344" s="1091"/>
      <c r="JZB2344" s="1091"/>
      <c r="JZC2344" s="1091"/>
      <c r="JZD2344" s="1091"/>
      <c r="JZE2344" s="1091"/>
      <c r="JZF2344" s="1091"/>
      <c r="JZG2344" s="1091"/>
      <c r="JZH2344" s="1091"/>
      <c r="JZI2344" s="1091"/>
      <c r="JZJ2344" s="1091"/>
      <c r="JZK2344" s="1091"/>
      <c r="JZL2344" s="1091"/>
      <c r="JZM2344" s="1091"/>
      <c r="JZN2344" s="1091"/>
      <c r="JZO2344" s="1091"/>
      <c r="JZP2344" s="1091"/>
      <c r="JZQ2344" s="1091"/>
      <c r="JZR2344" s="1091"/>
      <c r="JZS2344" s="1091"/>
      <c r="JZT2344" s="1091"/>
      <c r="JZU2344" s="1091"/>
      <c r="JZV2344" s="1091"/>
      <c r="JZW2344" s="1091"/>
      <c r="JZX2344" s="1091"/>
      <c r="JZY2344" s="1091"/>
      <c r="JZZ2344" s="1091"/>
      <c r="KAA2344" s="1091"/>
      <c r="KAB2344" s="1091"/>
      <c r="KAC2344" s="1091"/>
      <c r="KAD2344" s="1091"/>
      <c r="KAE2344" s="1091"/>
      <c r="KAF2344" s="1091"/>
      <c r="KAG2344" s="1091"/>
      <c r="KAH2344" s="1091"/>
      <c r="KAI2344" s="1091"/>
      <c r="KAJ2344" s="1091"/>
      <c r="KAK2344" s="1091"/>
      <c r="KAL2344" s="1091"/>
      <c r="KAM2344" s="1091"/>
      <c r="KAN2344" s="1091"/>
      <c r="KAO2344" s="1091"/>
      <c r="KAP2344" s="1091"/>
      <c r="KAQ2344" s="1091"/>
      <c r="KAR2344" s="1091"/>
      <c r="KAS2344" s="1091"/>
      <c r="KAT2344" s="1091"/>
      <c r="KAU2344" s="1091"/>
      <c r="KAV2344" s="1091"/>
      <c r="KAW2344" s="1091"/>
      <c r="KAX2344" s="1091"/>
      <c r="KAY2344" s="1091"/>
      <c r="KAZ2344" s="1091"/>
      <c r="KBA2344" s="1091"/>
      <c r="KBB2344" s="1091"/>
      <c r="KBC2344" s="1091"/>
      <c r="KBD2344" s="1091"/>
      <c r="KBE2344" s="1091"/>
      <c r="KBF2344" s="1091"/>
      <c r="KBG2344" s="1091"/>
      <c r="KBH2344" s="1091"/>
      <c r="KBI2344" s="1091"/>
      <c r="KBJ2344" s="1091"/>
      <c r="KBK2344" s="1091"/>
      <c r="KBL2344" s="1091"/>
      <c r="KBM2344" s="1091"/>
      <c r="KBN2344" s="1091"/>
      <c r="KBO2344" s="1091"/>
      <c r="KBP2344" s="1091"/>
      <c r="KBQ2344" s="1091"/>
      <c r="KBR2344" s="1091"/>
      <c r="KBS2344" s="1091"/>
      <c r="KBT2344" s="1091"/>
      <c r="KBU2344" s="1091"/>
      <c r="KBV2344" s="1091"/>
      <c r="KBW2344" s="1091"/>
      <c r="KBX2344" s="1091"/>
      <c r="KBY2344" s="1091"/>
      <c r="KBZ2344" s="1091"/>
      <c r="KCA2344" s="1091"/>
      <c r="KCB2344" s="1091"/>
      <c r="KCC2344" s="1091"/>
      <c r="KCD2344" s="1091"/>
      <c r="KCE2344" s="1091"/>
      <c r="KCF2344" s="1091"/>
      <c r="KCG2344" s="1091"/>
      <c r="KCH2344" s="1091"/>
      <c r="KCI2344" s="1091"/>
      <c r="KCJ2344" s="1091"/>
      <c r="KCK2344" s="1091"/>
      <c r="KCL2344" s="1091"/>
      <c r="KCM2344" s="1091"/>
      <c r="KCN2344" s="1091"/>
      <c r="KCO2344" s="1091"/>
      <c r="KCP2344" s="1091"/>
      <c r="KCQ2344" s="1091"/>
      <c r="KCR2344" s="1091"/>
      <c r="KCS2344" s="1091"/>
      <c r="KCT2344" s="1091"/>
      <c r="KCU2344" s="1091"/>
      <c r="KCV2344" s="1091"/>
      <c r="KCW2344" s="1091"/>
      <c r="KCX2344" s="1091"/>
      <c r="KCY2344" s="1091"/>
      <c r="KCZ2344" s="1091"/>
      <c r="KDA2344" s="1091"/>
      <c r="KDB2344" s="1091"/>
      <c r="KDC2344" s="1091"/>
      <c r="KDD2344" s="1091"/>
      <c r="KDE2344" s="1091"/>
      <c r="KDF2344" s="1091"/>
      <c r="KDG2344" s="1091"/>
      <c r="KDH2344" s="1091"/>
      <c r="KDI2344" s="1091"/>
      <c r="KDJ2344" s="1091"/>
      <c r="KDK2344" s="1091"/>
      <c r="KDL2344" s="1091"/>
      <c r="KDM2344" s="1091"/>
      <c r="KDN2344" s="1091"/>
      <c r="KDO2344" s="1091"/>
      <c r="KDP2344" s="1091"/>
      <c r="KDQ2344" s="1091"/>
      <c r="KDR2344" s="1091"/>
      <c r="KDS2344" s="1091"/>
      <c r="KDT2344" s="1091"/>
      <c r="KDU2344" s="1091"/>
      <c r="KDV2344" s="1091"/>
      <c r="KDW2344" s="1091"/>
      <c r="KDX2344" s="1091"/>
      <c r="KDY2344" s="1091"/>
      <c r="KDZ2344" s="1091"/>
      <c r="KEA2344" s="1091"/>
      <c r="KEB2344" s="1091"/>
      <c r="KEC2344" s="1091"/>
      <c r="KED2344" s="1091"/>
      <c r="KEE2344" s="1091"/>
      <c r="KEF2344" s="1091"/>
      <c r="KEG2344" s="1091"/>
      <c r="KEH2344" s="1091"/>
      <c r="KEI2344" s="1091"/>
      <c r="KEJ2344" s="1091"/>
      <c r="KEK2344" s="1091"/>
      <c r="KEL2344" s="1091"/>
      <c r="KEM2344" s="1091"/>
      <c r="KEN2344" s="1091"/>
      <c r="KEO2344" s="1091"/>
      <c r="KEP2344" s="1091"/>
      <c r="KEQ2344" s="1091"/>
      <c r="KER2344" s="1091"/>
      <c r="KES2344" s="1091"/>
      <c r="KET2344" s="1091"/>
      <c r="KEU2344" s="1091"/>
      <c r="KEV2344" s="1091"/>
      <c r="KEW2344" s="1091"/>
      <c r="KEX2344" s="1091"/>
      <c r="KEY2344" s="1091"/>
      <c r="KEZ2344" s="1091"/>
      <c r="KFA2344" s="1091"/>
      <c r="KFB2344" s="1091"/>
      <c r="KFC2344" s="1091"/>
      <c r="KFD2344" s="1091"/>
      <c r="KFE2344" s="1091"/>
      <c r="KFF2344" s="1091"/>
      <c r="KFG2344" s="1091"/>
      <c r="KFH2344" s="1091"/>
      <c r="KFI2344" s="1091"/>
      <c r="KFJ2344" s="1091"/>
      <c r="KFK2344" s="1091"/>
      <c r="KFL2344" s="1091"/>
      <c r="KFM2344" s="1091"/>
      <c r="KFN2344" s="1091"/>
      <c r="KFO2344" s="1091"/>
      <c r="KFP2344" s="1091"/>
      <c r="KFQ2344" s="1091"/>
      <c r="KFR2344" s="1091"/>
      <c r="KFS2344" s="1091"/>
      <c r="KFT2344" s="1091"/>
      <c r="KFU2344" s="1091"/>
      <c r="KFV2344" s="1091"/>
      <c r="KFW2344" s="1091"/>
      <c r="KFX2344" s="1091"/>
      <c r="KFY2344" s="1091"/>
      <c r="KFZ2344" s="1091"/>
      <c r="KGA2344" s="1091"/>
      <c r="KGB2344" s="1091"/>
      <c r="KGC2344" s="1091"/>
      <c r="KGD2344" s="1091"/>
      <c r="KGE2344" s="1091"/>
      <c r="KGF2344" s="1091"/>
      <c r="KGG2344" s="1091"/>
      <c r="KGH2344" s="1091"/>
      <c r="KGI2344" s="1091"/>
      <c r="KGJ2344" s="1091"/>
      <c r="KGK2344" s="1091"/>
      <c r="KGL2344" s="1091"/>
      <c r="KGM2344" s="1091"/>
      <c r="KGN2344" s="1091"/>
      <c r="KGO2344" s="1091"/>
      <c r="KGP2344" s="1091"/>
      <c r="KGQ2344" s="1091"/>
      <c r="KGR2344" s="1091"/>
      <c r="KGS2344" s="1091"/>
      <c r="KGT2344" s="1091"/>
      <c r="KGU2344" s="1091"/>
      <c r="KGV2344" s="1091"/>
      <c r="KGW2344" s="1091"/>
      <c r="KGX2344" s="1091"/>
      <c r="KGY2344" s="1091"/>
      <c r="KGZ2344" s="1091"/>
      <c r="KHA2344" s="1091"/>
      <c r="KHB2344" s="1091"/>
      <c r="KHC2344" s="1091"/>
      <c r="KHD2344" s="1091"/>
      <c r="KHE2344" s="1091"/>
      <c r="KHF2344" s="1091"/>
      <c r="KHG2344" s="1091"/>
      <c r="KHH2344" s="1091"/>
      <c r="KHI2344" s="1091"/>
      <c r="KHJ2344" s="1091"/>
      <c r="KHK2344" s="1091"/>
      <c r="KHL2344" s="1091"/>
      <c r="KHM2344" s="1091"/>
      <c r="KHN2344" s="1091"/>
      <c r="KHO2344" s="1091"/>
      <c r="KHP2344" s="1091"/>
      <c r="KHQ2344" s="1091"/>
      <c r="KHR2344" s="1091"/>
      <c r="KHS2344" s="1091"/>
      <c r="KHT2344" s="1091"/>
      <c r="KHU2344" s="1091"/>
      <c r="KHV2344" s="1091"/>
      <c r="KHW2344" s="1091"/>
      <c r="KHX2344" s="1091"/>
      <c r="KHY2344" s="1091"/>
      <c r="KHZ2344" s="1091"/>
      <c r="KIA2344" s="1091"/>
      <c r="KIB2344" s="1091"/>
      <c r="KIC2344" s="1091"/>
      <c r="KID2344" s="1091"/>
      <c r="KIE2344" s="1091"/>
      <c r="KIF2344" s="1091"/>
      <c r="KIG2344" s="1091"/>
      <c r="KIH2344" s="1091"/>
      <c r="KII2344" s="1091"/>
      <c r="KIJ2344" s="1091"/>
      <c r="KIK2344" s="1091"/>
      <c r="KIL2344" s="1091"/>
      <c r="KIM2344" s="1091"/>
      <c r="KIN2344" s="1091"/>
      <c r="KIO2344" s="1091"/>
      <c r="KIP2344" s="1091"/>
      <c r="KIQ2344" s="1091"/>
      <c r="KIR2344" s="1091"/>
      <c r="KIS2344" s="1091"/>
      <c r="KIT2344" s="1091"/>
      <c r="KIU2344" s="1091"/>
      <c r="KIV2344" s="1091"/>
      <c r="KIW2344" s="1091"/>
      <c r="KIX2344" s="1091"/>
      <c r="KIY2344" s="1091"/>
      <c r="KIZ2344" s="1091"/>
      <c r="KJA2344" s="1091"/>
      <c r="KJB2344" s="1091"/>
      <c r="KJC2344" s="1091"/>
      <c r="KJD2344" s="1091"/>
      <c r="KJE2344" s="1091"/>
      <c r="KJF2344" s="1091"/>
      <c r="KJG2344" s="1091"/>
      <c r="KJH2344" s="1091"/>
      <c r="KJI2344" s="1091"/>
      <c r="KJJ2344" s="1091"/>
      <c r="KJK2344" s="1091"/>
      <c r="KJL2344" s="1091"/>
      <c r="KJM2344" s="1091"/>
      <c r="KJN2344" s="1091"/>
      <c r="KJO2344" s="1091"/>
      <c r="KJP2344" s="1091"/>
      <c r="KJQ2344" s="1091"/>
      <c r="KJR2344" s="1091"/>
      <c r="KJS2344" s="1091"/>
      <c r="KJT2344" s="1091"/>
      <c r="KJU2344" s="1091"/>
      <c r="KJV2344" s="1091"/>
      <c r="KJW2344" s="1091"/>
      <c r="KJX2344" s="1091"/>
      <c r="KJY2344" s="1091"/>
      <c r="KJZ2344" s="1091"/>
      <c r="KKA2344" s="1091"/>
      <c r="KKB2344" s="1091"/>
      <c r="KKC2344" s="1091"/>
      <c r="KKD2344" s="1091"/>
      <c r="KKE2344" s="1091"/>
      <c r="KKF2344" s="1091"/>
      <c r="KKG2344" s="1091"/>
      <c r="KKH2344" s="1091"/>
      <c r="KKI2344" s="1091"/>
      <c r="KKJ2344" s="1091"/>
      <c r="KKK2344" s="1091"/>
      <c r="KKL2344" s="1091"/>
      <c r="KKM2344" s="1091"/>
      <c r="KKN2344" s="1091"/>
      <c r="KKO2344" s="1091"/>
      <c r="KKP2344" s="1091"/>
      <c r="KKQ2344" s="1091"/>
      <c r="KKR2344" s="1091"/>
      <c r="KKS2344" s="1091"/>
      <c r="KKT2344" s="1091"/>
      <c r="KKU2344" s="1091"/>
      <c r="KKV2344" s="1091"/>
      <c r="KKW2344" s="1091"/>
      <c r="KKX2344" s="1091"/>
      <c r="KKY2344" s="1091"/>
      <c r="KKZ2344" s="1091"/>
      <c r="KLA2344" s="1091"/>
      <c r="KLB2344" s="1091"/>
      <c r="KLC2344" s="1091"/>
      <c r="KLD2344" s="1091"/>
      <c r="KLE2344" s="1091"/>
      <c r="KLF2344" s="1091"/>
      <c r="KLG2344" s="1091"/>
      <c r="KLH2344" s="1091"/>
      <c r="KLI2344" s="1091"/>
      <c r="KLJ2344" s="1091"/>
      <c r="KLK2344" s="1091"/>
      <c r="KLL2344" s="1091"/>
      <c r="KLM2344" s="1091"/>
      <c r="KLN2344" s="1091"/>
      <c r="KLO2344" s="1091"/>
      <c r="KLP2344" s="1091"/>
      <c r="KLQ2344" s="1091"/>
      <c r="KLR2344" s="1091"/>
      <c r="KLS2344" s="1091"/>
      <c r="KLT2344" s="1091"/>
      <c r="KLU2344" s="1091"/>
      <c r="KLV2344" s="1091"/>
      <c r="KLW2344" s="1091"/>
      <c r="KLX2344" s="1091"/>
      <c r="KLY2344" s="1091"/>
      <c r="KLZ2344" s="1091"/>
      <c r="KMA2344" s="1091"/>
      <c r="KMB2344" s="1091"/>
      <c r="KMC2344" s="1091"/>
      <c r="KMD2344" s="1091"/>
      <c r="KME2344" s="1091"/>
      <c r="KMF2344" s="1091"/>
      <c r="KMG2344" s="1091"/>
      <c r="KMH2344" s="1091"/>
      <c r="KMI2344" s="1091"/>
      <c r="KMJ2344" s="1091"/>
      <c r="KMK2344" s="1091"/>
      <c r="KML2344" s="1091"/>
      <c r="KMM2344" s="1091"/>
      <c r="KMN2344" s="1091"/>
      <c r="KMO2344" s="1091"/>
      <c r="KMP2344" s="1091"/>
      <c r="KMQ2344" s="1091"/>
      <c r="KMR2344" s="1091"/>
      <c r="KMS2344" s="1091"/>
      <c r="KMT2344" s="1091"/>
      <c r="KMU2344" s="1091"/>
      <c r="KMV2344" s="1091"/>
      <c r="KMW2344" s="1091"/>
      <c r="KMX2344" s="1091"/>
      <c r="KMY2344" s="1091"/>
      <c r="KMZ2344" s="1091"/>
      <c r="KNA2344" s="1091"/>
      <c r="KNB2344" s="1091"/>
      <c r="KNC2344" s="1091"/>
      <c r="KND2344" s="1091"/>
      <c r="KNE2344" s="1091"/>
      <c r="KNF2344" s="1091"/>
      <c r="KNG2344" s="1091"/>
      <c r="KNH2344" s="1091"/>
      <c r="KNI2344" s="1091"/>
      <c r="KNJ2344" s="1091"/>
      <c r="KNK2344" s="1091"/>
      <c r="KNL2344" s="1091"/>
      <c r="KNM2344" s="1091"/>
      <c r="KNN2344" s="1091"/>
      <c r="KNO2344" s="1091"/>
      <c r="KNP2344" s="1091"/>
      <c r="KNQ2344" s="1091"/>
      <c r="KNR2344" s="1091"/>
      <c r="KNS2344" s="1091"/>
      <c r="KNT2344" s="1091"/>
      <c r="KNU2344" s="1091"/>
      <c r="KNV2344" s="1091"/>
      <c r="KNW2344" s="1091"/>
      <c r="KNX2344" s="1091"/>
      <c r="KNY2344" s="1091"/>
      <c r="KNZ2344" s="1091"/>
      <c r="KOA2344" s="1091"/>
      <c r="KOB2344" s="1091"/>
      <c r="KOC2344" s="1091"/>
      <c r="KOD2344" s="1091"/>
      <c r="KOE2344" s="1091"/>
      <c r="KOF2344" s="1091"/>
      <c r="KOG2344" s="1091"/>
      <c r="KOH2344" s="1091"/>
      <c r="KOI2344" s="1091"/>
      <c r="KOJ2344" s="1091"/>
      <c r="KOK2344" s="1091"/>
      <c r="KOL2344" s="1091"/>
      <c r="KOM2344" s="1091"/>
      <c r="KON2344" s="1091"/>
      <c r="KOO2344" s="1091"/>
      <c r="KOP2344" s="1091"/>
      <c r="KOQ2344" s="1091"/>
      <c r="KOR2344" s="1091"/>
      <c r="KOS2344" s="1091"/>
      <c r="KOT2344" s="1091"/>
      <c r="KOU2344" s="1091"/>
      <c r="KOV2344" s="1091"/>
      <c r="KOW2344" s="1091"/>
      <c r="KOX2344" s="1091"/>
      <c r="KOY2344" s="1091"/>
      <c r="KOZ2344" s="1091"/>
      <c r="KPA2344" s="1091"/>
      <c r="KPB2344" s="1091"/>
      <c r="KPC2344" s="1091"/>
      <c r="KPD2344" s="1091"/>
      <c r="KPE2344" s="1091"/>
      <c r="KPF2344" s="1091"/>
      <c r="KPG2344" s="1091"/>
      <c r="KPH2344" s="1091"/>
      <c r="KPI2344" s="1091"/>
      <c r="KPJ2344" s="1091"/>
      <c r="KPK2344" s="1091"/>
      <c r="KPL2344" s="1091"/>
      <c r="KPM2344" s="1091"/>
      <c r="KPN2344" s="1091"/>
      <c r="KPO2344" s="1091"/>
      <c r="KPP2344" s="1091"/>
      <c r="KPQ2344" s="1091"/>
      <c r="KPR2344" s="1091"/>
      <c r="KPS2344" s="1091"/>
      <c r="KPT2344" s="1091"/>
      <c r="KPU2344" s="1091"/>
      <c r="KPV2344" s="1091"/>
      <c r="KPW2344" s="1091"/>
      <c r="KPX2344" s="1091"/>
      <c r="KPY2344" s="1091"/>
      <c r="KPZ2344" s="1091"/>
      <c r="KQA2344" s="1091"/>
      <c r="KQB2344" s="1091"/>
      <c r="KQC2344" s="1091"/>
      <c r="KQD2344" s="1091"/>
      <c r="KQE2344" s="1091"/>
      <c r="KQF2344" s="1091"/>
      <c r="KQG2344" s="1091"/>
      <c r="KQH2344" s="1091"/>
      <c r="KQI2344" s="1091"/>
      <c r="KQJ2344" s="1091"/>
      <c r="KQK2344" s="1091"/>
      <c r="KQL2344" s="1091"/>
      <c r="KQM2344" s="1091"/>
      <c r="KQN2344" s="1091"/>
      <c r="KQO2344" s="1091"/>
      <c r="KQP2344" s="1091"/>
      <c r="KQQ2344" s="1091"/>
      <c r="KQR2344" s="1091"/>
      <c r="KQS2344" s="1091"/>
      <c r="KQT2344" s="1091"/>
      <c r="KQU2344" s="1091"/>
      <c r="KQV2344" s="1091"/>
      <c r="KQW2344" s="1091"/>
      <c r="KQX2344" s="1091"/>
      <c r="KQY2344" s="1091"/>
      <c r="KQZ2344" s="1091"/>
      <c r="KRA2344" s="1091"/>
      <c r="KRB2344" s="1091"/>
      <c r="KRC2344" s="1091"/>
      <c r="KRD2344" s="1091"/>
      <c r="KRE2344" s="1091"/>
      <c r="KRF2344" s="1091"/>
      <c r="KRG2344" s="1091"/>
      <c r="KRH2344" s="1091"/>
      <c r="KRI2344" s="1091"/>
      <c r="KRJ2344" s="1091"/>
      <c r="KRK2344" s="1091"/>
      <c r="KRL2344" s="1091"/>
      <c r="KRM2344" s="1091"/>
      <c r="KRN2344" s="1091"/>
      <c r="KRO2344" s="1091"/>
      <c r="KRP2344" s="1091"/>
      <c r="KRQ2344" s="1091"/>
      <c r="KRR2344" s="1091"/>
      <c r="KRS2344" s="1091"/>
      <c r="KRT2344" s="1091"/>
      <c r="KRU2344" s="1091"/>
      <c r="KRV2344" s="1091"/>
      <c r="KRW2344" s="1091"/>
      <c r="KRX2344" s="1091"/>
      <c r="KRY2344" s="1091"/>
      <c r="KRZ2344" s="1091"/>
      <c r="KSA2344" s="1091"/>
      <c r="KSB2344" s="1091"/>
      <c r="KSC2344" s="1091"/>
      <c r="KSD2344" s="1091"/>
      <c r="KSE2344" s="1091"/>
      <c r="KSF2344" s="1091"/>
      <c r="KSG2344" s="1091"/>
      <c r="KSH2344" s="1091"/>
      <c r="KSI2344" s="1091"/>
      <c r="KSJ2344" s="1091"/>
      <c r="KSK2344" s="1091"/>
      <c r="KSL2344" s="1091"/>
      <c r="KSM2344" s="1091"/>
      <c r="KSN2344" s="1091"/>
      <c r="KSO2344" s="1091"/>
      <c r="KSP2344" s="1091"/>
      <c r="KSQ2344" s="1091"/>
      <c r="KSR2344" s="1091"/>
      <c r="KSS2344" s="1091"/>
      <c r="KST2344" s="1091"/>
      <c r="KSU2344" s="1091"/>
      <c r="KSV2344" s="1091"/>
      <c r="KSW2344" s="1091"/>
      <c r="KSX2344" s="1091"/>
      <c r="KSY2344" s="1091"/>
      <c r="KSZ2344" s="1091"/>
      <c r="KTA2344" s="1091"/>
      <c r="KTB2344" s="1091"/>
      <c r="KTC2344" s="1091"/>
      <c r="KTD2344" s="1091"/>
      <c r="KTE2344" s="1091"/>
      <c r="KTF2344" s="1091"/>
      <c r="KTG2344" s="1091"/>
      <c r="KTH2344" s="1091"/>
      <c r="KTI2344" s="1091"/>
      <c r="KTJ2344" s="1091"/>
      <c r="KTK2344" s="1091"/>
      <c r="KTL2344" s="1091"/>
      <c r="KTM2344" s="1091"/>
      <c r="KTN2344" s="1091"/>
      <c r="KTO2344" s="1091"/>
      <c r="KTP2344" s="1091"/>
      <c r="KTQ2344" s="1091"/>
      <c r="KTR2344" s="1091"/>
      <c r="KTS2344" s="1091"/>
      <c r="KTT2344" s="1091"/>
      <c r="KTU2344" s="1091"/>
      <c r="KTV2344" s="1091"/>
      <c r="KTW2344" s="1091"/>
      <c r="KTX2344" s="1091"/>
      <c r="KTY2344" s="1091"/>
      <c r="KTZ2344" s="1091"/>
      <c r="KUA2344" s="1091"/>
      <c r="KUB2344" s="1091"/>
      <c r="KUC2344" s="1091"/>
      <c r="KUD2344" s="1091"/>
      <c r="KUE2344" s="1091"/>
      <c r="KUF2344" s="1091"/>
      <c r="KUG2344" s="1091"/>
      <c r="KUH2344" s="1091"/>
      <c r="KUI2344" s="1091"/>
      <c r="KUJ2344" s="1091"/>
      <c r="KUK2344" s="1091"/>
      <c r="KUL2344" s="1091"/>
      <c r="KUM2344" s="1091"/>
      <c r="KUN2344" s="1091"/>
      <c r="KUO2344" s="1091"/>
      <c r="KUP2344" s="1091"/>
      <c r="KUQ2344" s="1091"/>
      <c r="KUR2344" s="1091"/>
      <c r="KUS2344" s="1091"/>
      <c r="KUT2344" s="1091"/>
      <c r="KUU2344" s="1091"/>
      <c r="KUV2344" s="1091"/>
      <c r="KUW2344" s="1091"/>
      <c r="KUX2344" s="1091"/>
      <c r="KUY2344" s="1091"/>
      <c r="KUZ2344" s="1091"/>
      <c r="KVA2344" s="1091"/>
      <c r="KVB2344" s="1091"/>
      <c r="KVC2344" s="1091"/>
      <c r="KVD2344" s="1091"/>
      <c r="KVE2344" s="1091"/>
      <c r="KVF2344" s="1091"/>
      <c r="KVG2344" s="1091"/>
      <c r="KVH2344" s="1091"/>
      <c r="KVI2344" s="1091"/>
      <c r="KVJ2344" s="1091"/>
      <c r="KVK2344" s="1091"/>
      <c r="KVL2344" s="1091"/>
      <c r="KVM2344" s="1091"/>
      <c r="KVN2344" s="1091"/>
      <c r="KVO2344" s="1091"/>
      <c r="KVP2344" s="1091"/>
      <c r="KVQ2344" s="1091"/>
      <c r="KVR2344" s="1091"/>
      <c r="KVS2344" s="1091"/>
      <c r="KVT2344" s="1091"/>
      <c r="KVU2344" s="1091"/>
      <c r="KVV2344" s="1091"/>
      <c r="KVW2344" s="1091"/>
      <c r="KVX2344" s="1091"/>
      <c r="KVY2344" s="1091"/>
      <c r="KVZ2344" s="1091"/>
      <c r="KWA2344" s="1091"/>
      <c r="KWB2344" s="1091"/>
      <c r="KWC2344" s="1091"/>
      <c r="KWD2344" s="1091"/>
      <c r="KWE2344" s="1091"/>
      <c r="KWF2344" s="1091"/>
      <c r="KWG2344" s="1091"/>
      <c r="KWH2344" s="1091"/>
      <c r="KWI2344" s="1091"/>
      <c r="KWJ2344" s="1091"/>
      <c r="KWK2344" s="1091"/>
      <c r="KWL2344" s="1091"/>
      <c r="KWM2344" s="1091"/>
      <c r="KWN2344" s="1091"/>
      <c r="KWO2344" s="1091"/>
      <c r="KWP2344" s="1091"/>
      <c r="KWQ2344" s="1091"/>
      <c r="KWR2344" s="1091"/>
      <c r="KWS2344" s="1091"/>
      <c r="KWT2344" s="1091"/>
      <c r="KWU2344" s="1091"/>
      <c r="KWV2344" s="1091"/>
      <c r="KWW2344" s="1091"/>
      <c r="KWX2344" s="1091"/>
      <c r="KWY2344" s="1091"/>
      <c r="KWZ2344" s="1091"/>
      <c r="KXA2344" s="1091"/>
      <c r="KXB2344" s="1091"/>
      <c r="KXC2344" s="1091"/>
      <c r="KXD2344" s="1091"/>
      <c r="KXE2344" s="1091"/>
      <c r="KXF2344" s="1091"/>
      <c r="KXG2344" s="1091"/>
      <c r="KXH2344" s="1091"/>
      <c r="KXI2344" s="1091"/>
      <c r="KXJ2344" s="1091"/>
      <c r="KXK2344" s="1091"/>
      <c r="KXL2344" s="1091"/>
      <c r="KXM2344" s="1091"/>
      <c r="KXN2344" s="1091"/>
      <c r="KXO2344" s="1091"/>
      <c r="KXP2344" s="1091"/>
      <c r="KXQ2344" s="1091"/>
      <c r="KXR2344" s="1091"/>
      <c r="KXS2344" s="1091"/>
      <c r="KXT2344" s="1091"/>
      <c r="KXU2344" s="1091"/>
      <c r="KXV2344" s="1091"/>
      <c r="KXW2344" s="1091"/>
      <c r="KXX2344" s="1091"/>
      <c r="KXY2344" s="1091"/>
      <c r="KXZ2344" s="1091"/>
      <c r="KYA2344" s="1091"/>
      <c r="KYB2344" s="1091"/>
      <c r="KYC2344" s="1091"/>
      <c r="KYD2344" s="1091"/>
      <c r="KYE2344" s="1091"/>
      <c r="KYF2344" s="1091"/>
      <c r="KYG2344" s="1091"/>
      <c r="KYH2344" s="1091"/>
      <c r="KYI2344" s="1091"/>
      <c r="KYJ2344" s="1091"/>
      <c r="KYK2344" s="1091"/>
      <c r="KYL2344" s="1091"/>
      <c r="KYM2344" s="1091"/>
      <c r="KYN2344" s="1091"/>
      <c r="KYO2344" s="1091"/>
      <c r="KYP2344" s="1091"/>
      <c r="KYQ2344" s="1091"/>
      <c r="KYR2344" s="1091"/>
      <c r="KYS2344" s="1091"/>
      <c r="KYT2344" s="1091"/>
      <c r="KYU2344" s="1091"/>
      <c r="KYV2344" s="1091"/>
      <c r="KYW2344" s="1091"/>
      <c r="KYX2344" s="1091"/>
      <c r="KYY2344" s="1091"/>
      <c r="KYZ2344" s="1091"/>
      <c r="KZA2344" s="1091"/>
      <c r="KZB2344" s="1091"/>
      <c r="KZC2344" s="1091"/>
      <c r="KZD2344" s="1091"/>
      <c r="KZE2344" s="1091"/>
      <c r="KZF2344" s="1091"/>
      <c r="KZG2344" s="1091"/>
      <c r="KZH2344" s="1091"/>
      <c r="KZI2344" s="1091"/>
      <c r="KZJ2344" s="1091"/>
      <c r="KZK2344" s="1091"/>
      <c r="KZL2344" s="1091"/>
      <c r="KZM2344" s="1091"/>
      <c r="KZN2344" s="1091"/>
      <c r="KZO2344" s="1091"/>
      <c r="KZP2344" s="1091"/>
      <c r="KZQ2344" s="1091"/>
      <c r="KZR2344" s="1091"/>
      <c r="KZS2344" s="1091"/>
      <c r="KZT2344" s="1091"/>
      <c r="KZU2344" s="1091"/>
      <c r="KZV2344" s="1091"/>
      <c r="KZW2344" s="1091"/>
      <c r="KZX2344" s="1091"/>
      <c r="KZY2344" s="1091"/>
      <c r="KZZ2344" s="1091"/>
      <c r="LAA2344" s="1091"/>
      <c r="LAB2344" s="1091"/>
      <c r="LAC2344" s="1091"/>
      <c r="LAD2344" s="1091"/>
      <c r="LAE2344" s="1091"/>
      <c r="LAF2344" s="1091"/>
      <c r="LAG2344" s="1091"/>
      <c r="LAH2344" s="1091"/>
      <c r="LAI2344" s="1091"/>
      <c r="LAJ2344" s="1091"/>
      <c r="LAK2344" s="1091"/>
      <c r="LAL2344" s="1091"/>
      <c r="LAM2344" s="1091"/>
      <c r="LAN2344" s="1091"/>
      <c r="LAO2344" s="1091"/>
      <c r="LAP2344" s="1091"/>
      <c r="LAQ2344" s="1091"/>
      <c r="LAR2344" s="1091"/>
      <c r="LAS2344" s="1091"/>
      <c r="LAT2344" s="1091"/>
      <c r="LAU2344" s="1091"/>
      <c r="LAV2344" s="1091"/>
      <c r="LAW2344" s="1091"/>
      <c r="LAX2344" s="1091"/>
      <c r="LAY2344" s="1091"/>
      <c r="LAZ2344" s="1091"/>
      <c r="LBA2344" s="1091"/>
      <c r="LBB2344" s="1091"/>
      <c r="LBC2344" s="1091"/>
      <c r="LBD2344" s="1091"/>
      <c r="LBE2344" s="1091"/>
      <c r="LBF2344" s="1091"/>
      <c r="LBG2344" s="1091"/>
      <c r="LBH2344" s="1091"/>
      <c r="LBI2344" s="1091"/>
      <c r="LBJ2344" s="1091"/>
      <c r="LBK2344" s="1091"/>
      <c r="LBL2344" s="1091"/>
      <c r="LBM2344" s="1091"/>
      <c r="LBN2344" s="1091"/>
      <c r="LBO2344" s="1091"/>
      <c r="LBP2344" s="1091"/>
      <c r="LBQ2344" s="1091"/>
      <c r="LBR2344" s="1091"/>
      <c r="LBS2344" s="1091"/>
      <c r="LBT2344" s="1091"/>
      <c r="LBU2344" s="1091"/>
      <c r="LBV2344" s="1091"/>
      <c r="LBW2344" s="1091"/>
      <c r="LBX2344" s="1091"/>
      <c r="LBY2344" s="1091"/>
      <c r="LBZ2344" s="1091"/>
      <c r="LCA2344" s="1091"/>
      <c r="LCB2344" s="1091"/>
      <c r="LCC2344" s="1091"/>
      <c r="LCD2344" s="1091"/>
      <c r="LCE2344" s="1091"/>
      <c r="LCF2344" s="1091"/>
      <c r="LCG2344" s="1091"/>
      <c r="LCH2344" s="1091"/>
      <c r="LCI2344" s="1091"/>
      <c r="LCJ2344" s="1091"/>
      <c r="LCK2344" s="1091"/>
      <c r="LCL2344" s="1091"/>
      <c r="LCM2344" s="1091"/>
      <c r="LCN2344" s="1091"/>
      <c r="LCO2344" s="1091"/>
      <c r="LCP2344" s="1091"/>
      <c r="LCQ2344" s="1091"/>
      <c r="LCR2344" s="1091"/>
      <c r="LCS2344" s="1091"/>
      <c r="LCT2344" s="1091"/>
      <c r="LCU2344" s="1091"/>
      <c r="LCV2344" s="1091"/>
      <c r="LCW2344" s="1091"/>
      <c r="LCX2344" s="1091"/>
      <c r="LCY2344" s="1091"/>
      <c r="LCZ2344" s="1091"/>
      <c r="LDA2344" s="1091"/>
      <c r="LDB2344" s="1091"/>
      <c r="LDC2344" s="1091"/>
      <c r="LDD2344" s="1091"/>
      <c r="LDE2344" s="1091"/>
      <c r="LDF2344" s="1091"/>
      <c r="LDG2344" s="1091"/>
      <c r="LDH2344" s="1091"/>
      <c r="LDI2344" s="1091"/>
      <c r="LDJ2344" s="1091"/>
      <c r="LDK2344" s="1091"/>
      <c r="LDL2344" s="1091"/>
      <c r="LDM2344" s="1091"/>
      <c r="LDN2344" s="1091"/>
      <c r="LDO2344" s="1091"/>
      <c r="LDP2344" s="1091"/>
      <c r="LDQ2344" s="1091"/>
      <c r="LDR2344" s="1091"/>
      <c r="LDS2344" s="1091"/>
      <c r="LDT2344" s="1091"/>
      <c r="LDU2344" s="1091"/>
      <c r="LDV2344" s="1091"/>
      <c r="LDW2344" s="1091"/>
      <c r="LDX2344" s="1091"/>
      <c r="LDY2344" s="1091"/>
      <c r="LDZ2344" s="1091"/>
      <c r="LEA2344" s="1091"/>
      <c r="LEB2344" s="1091"/>
      <c r="LEC2344" s="1091"/>
      <c r="LED2344" s="1091"/>
      <c r="LEE2344" s="1091"/>
      <c r="LEF2344" s="1091"/>
      <c r="LEG2344" s="1091"/>
      <c r="LEH2344" s="1091"/>
      <c r="LEI2344" s="1091"/>
      <c r="LEJ2344" s="1091"/>
      <c r="LEK2344" s="1091"/>
      <c r="LEL2344" s="1091"/>
      <c r="LEM2344" s="1091"/>
      <c r="LEN2344" s="1091"/>
      <c r="LEO2344" s="1091"/>
      <c r="LEP2344" s="1091"/>
      <c r="LEQ2344" s="1091"/>
      <c r="LER2344" s="1091"/>
      <c r="LES2344" s="1091"/>
      <c r="LET2344" s="1091"/>
      <c r="LEU2344" s="1091"/>
      <c r="LEV2344" s="1091"/>
      <c r="LEW2344" s="1091"/>
      <c r="LEX2344" s="1091"/>
      <c r="LEY2344" s="1091"/>
      <c r="LEZ2344" s="1091"/>
      <c r="LFA2344" s="1091"/>
      <c r="LFB2344" s="1091"/>
      <c r="LFC2344" s="1091"/>
      <c r="LFD2344" s="1091"/>
      <c r="LFE2344" s="1091"/>
      <c r="LFF2344" s="1091"/>
      <c r="LFG2344" s="1091"/>
      <c r="LFH2344" s="1091"/>
      <c r="LFI2344" s="1091"/>
      <c r="LFJ2344" s="1091"/>
      <c r="LFK2344" s="1091"/>
      <c r="LFL2344" s="1091"/>
      <c r="LFM2344" s="1091"/>
      <c r="LFN2344" s="1091"/>
      <c r="LFO2344" s="1091"/>
      <c r="LFP2344" s="1091"/>
      <c r="LFQ2344" s="1091"/>
      <c r="LFR2344" s="1091"/>
      <c r="LFS2344" s="1091"/>
      <c r="LFT2344" s="1091"/>
      <c r="LFU2344" s="1091"/>
      <c r="LFV2344" s="1091"/>
      <c r="LFW2344" s="1091"/>
      <c r="LFX2344" s="1091"/>
      <c r="LFY2344" s="1091"/>
      <c r="LFZ2344" s="1091"/>
      <c r="LGA2344" s="1091"/>
      <c r="LGB2344" s="1091"/>
      <c r="LGC2344" s="1091"/>
      <c r="LGD2344" s="1091"/>
      <c r="LGE2344" s="1091"/>
      <c r="LGF2344" s="1091"/>
      <c r="LGG2344" s="1091"/>
      <c r="LGH2344" s="1091"/>
      <c r="LGI2344" s="1091"/>
      <c r="LGJ2344" s="1091"/>
      <c r="LGK2344" s="1091"/>
      <c r="LGL2344" s="1091"/>
      <c r="LGM2344" s="1091"/>
      <c r="LGN2344" s="1091"/>
      <c r="LGO2344" s="1091"/>
      <c r="LGP2344" s="1091"/>
      <c r="LGQ2344" s="1091"/>
      <c r="LGR2344" s="1091"/>
      <c r="LGS2344" s="1091"/>
      <c r="LGT2344" s="1091"/>
      <c r="LGU2344" s="1091"/>
      <c r="LGV2344" s="1091"/>
      <c r="LGW2344" s="1091"/>
      <c r="LGX2344" s="1091"/>
      <c r="LGY2344" s="1091"/>
      <c r="LGZ2344" s="1091"/>
      <c r="LHA2344" s="1091"/>
      <c r="LHB2344" s="1091"/>
      <c r="LHC2344" s="1091"/>
      <c r="LHD2344" s="1091"/>
      <c r="LHE2344" s="1091"/>
      <c r="LHF2344" s="1091"/>
      <c r="LHG2344" s="1091"/>
      <c r="LHH2344" s="1091"/>
      <c r="LHI2344" s="1091"/>
      <c r="LHJ2344" s="1091"/>
      <c r="LHK2344" s="1091"/>
      <c r="LHL2344" s="1091"/>
      <c r="LHM2344" s="1091"/>
      <c r="LHN2344" s="1091"/>
      <c r="LHO2344" s="1091"/>
      <c r="LHP2344" s="1091"/>
      <c r="LHQ2344" s="1091"/>
      <c r="LHR2344" s="1091"/>
      <c r="LHS2344" s="1091"/>
      <c r="LHT2344" s="1091"/>
      <c r="LHU2344" s="1091"/>
      <c r="LHV2344" s="1091"/>
      <c r="LHW2344" s="1091"/>
      <c r="LHX2344" s="1091"/>
      <c r="LHY2344" s="1091"/>
      <c r="LHZ2344" s="1091"/>
      <c r="LIA2344" s="1091"/>
      <c r="LIB2344" s="1091"/>
      <c r="LIC2344" s="1091"/>
      <c r="LID2344" s="1091"/>
      <c r="LIE2344" s="1091"/>
      <c r="LIF2344" s="1091"/>
      <c r="LIG2344" s="1091"/>
      <c r="LIH2344" s="1091"/>
      <c r="LII2344" s="1091"/>
      <c r="LIJ2344" s="1091"/>
      <c r="LIK2344" s="1091"/>
      <c r="LIL2344" s="1091"/>
      <c r="LIM2344" s="1091"/>
      <c r="LIN2344" s="1091"/>
      <c r="LIO2344" s="1091"/>
      <c r="LIP2344" s="1091"/>
      <c r="LIQ2344" s="1091"/>
      <c r="LIR2344" s="1091"/>
      <c r="LIS2344" s="1091"/>
      <c r="LIT2344" s="1091"/>
      <c r="LIU2344" s="1091"/>
      <c r="LIV2344" s="1091"/>
      <c r="LIW2344" s="1091"/>
      <c r="LIX2344" s="1091"/>
      <c r="LIY2344" s="1091"/>
      <c r="LIZ2344" s="1091"/>
      <c r="LJA2344" s="1091"/>
      <c r="LJB2344" s="1091"/>
      <c r="LJC2344" s="1091"/>
      <c r="LJD2344" s="1091"/>
      <c r="LJE2344" s="1091"/>
      <c r="LJF2344" s="1091"/>
      <c r="LJG2344" s="1091"/>
      <c r="LJH2344" s="1091"/>
      <c r="LJI2344" s="1091"/>
      <c r="LJJ2344" s="1091"/>
      <c r="LJK2344" s="1091"/>
      <c r="LJL2344" s="1091"/>
      <c r="LJM2344" s="1091"/>
      <c r="LJN2344" s="1091"/>
      <c r="LJO2344" s="1091"/>
      <c r="LJP2344" s="1091"/>
      <c r="LJQ2344" s="1091"/>
      <c r="LJR2344" s="1091"/>
      <c r="LJS2344" s="1091"/>
      <c r="LJT2344" s="1091"/>
      <c r="LJU2344" s="1091"/>
      <c r="LJV2344" s="1091"/>
      <c r="LJW2344" s="1091"/>
      <c r="LJX2344" s="1091"/>
      <c r="LJY2344" s="1091"/>
      <c r="LJZ2344" s="1091"/>
      <c r="LKA2344" s="1091"/>
      <c r="LKB2344" s="1091"/>
      <c r="LKC2344" s="1091"/>
      <c r="LKD2344" s="1091"/>
      <c r="LKE2344" s="1091"/>
      <c r="LKF2344" s="1091"/>
      <c r="LKG2344" s="1091"/>
      <c r="LKH2344" s="1091"/>
      <c r="LKI2344" s="1091"/>
      <c r="LKJ2344" s="1091"/>
      <c r="LKK2344" s="1091"/>
      <c r="LKL2344" s="1091"/>
      <c r="LKM2344" s="1091"/>
      <c r="LKN2344" s="1091"/>
      <c r="LKO2344" s="1091"/>
      <c r="LKP2344" s="1091"/>
      <c r="LKQ2344" s="1091"/>
      <c r="LKR2344" s="1091"/>
      <c r="LKS2344" s="1091"/>
      <c r="LKT2344" s="1091"/>
      <c r="LKU2344" s="1091"/>
      <c r="LKV2344" s="1091"/>
      <c r="LKW2344" s="1091"/>
      <c r="LKX2344" s="1091"/>
      <c r="LKY2344" s="1091"/>
      <c r="LKZ2344" s="1091"/>
      <c r="LLA2344" s="1091"/>
      <c r="LLB2344" s="1091"/>
      <c r="LLC2344" s="1091"/>
      <c r="LLD2344" s="1091"/>
      <c r="LLE2344" s="1091"/>
      <c r="LLF2344" s="1091"/>
      <c r="LLG2344" s="1091"/>
      <c r="LLH2344" s="1091"/>
      <c r="LLI2344" s="1091"/>
      <c r="LLJ2344" s="1091"/>
      <c r="LLK2344" s="1091"/>
      <c r="LLL2344" s="1091"/>
      <c r="LLM2344" s="1091"/>
      <c r="LLN2344" s="1091"/>
      <c r="LLO2344" s="1091"/>
      <c r="LLP2344" s="1091"/>
      <c r="LLQ2344" s="1091"/>
      <c r="LLR2344" s="1091"/>
      <c r="LLS2344" s="1091"/>
      <c r="LLT2344" s="1091"/>
      <c r="LLU2344" s="1091"/>
      <c r="LLV2344" s="1091"/>
      <c r="LLW2344" s="1091"/>
      <c r="LLX2344" s="1091"/>
      <c r="LLY2344" s="1091"/>
      <c r="LLZ2344" s="1091"/>
      <c r="LMA2344" s="1091"/>
      <c r="LMB2344" s="1091"/>
      <c r="LMC2344" s="1091"/>
      <c r="LMD2344" s="1091"/>
      <c r="LME2344" s="1091"/>
      <c r="LMF2344" s="1091"/>
      <c r="LMG2344" s="1091"/>
      <c r="LMH2344" s="1091"/>
      <c r="LMI2344" s="1091"/>
      <c r="LMJ2344" s="1091"/>
      <c r="LMK2344" s="1091"/>
      <c r="LML2344" s="1091"/>
      <c r="LMM2344" s="1091"/>
      <c r="LMN2344" s="1091"/>
      <c r="LMO2344" s="1091"/>
      <c r="LMP2344" s="1091"/>
      <c r="LMQ2344" s="1091"/>
      <c r="LMR2344" s="1091"/>
      <c r="LMS2344" s="1091"/>
      <c r="LMT2344" s="1091"/>
      <c r="LMU2344" s="1091"/>
      <c r="LMV2344" s="1091"/>
      <c r="LMW2344" s="1091"/>
      <c r="LMX2344" s="1091"/>
      <c r="LMY2344" s="1091"/>
      <c r="LMZ2344" s="1091"/>
      <c r="LNA2344" s="1091"/>
      <c r="LNB2344" s="1091"/>
      <c r="LNC2344" s="1091"/>
      <c r="LND2344" s="1091"/>
      <c r="LNE2344" s="1091"/>
      <c r="LNF2344" s="1091"/>
      <c r="LNG2344" s="1091"/>
      <c r="LNH2344" s="1091"/>
      <c r="LNI2344" s="1091"/>
      <c r="LNJ2344" s="1091"/>
      <c r="LNK2344" s="1091"/>
      <c r="LNL2344" s="1091"/>
      <c r="LNM2344" s="1091"/>
      <c r="LNN2344" s="1091"/>
      <c r="LNO2344" s="1091"/>
      <c r="LNP2344" s="1091"/>
      <c r="LNQ2344" s="1091"/>
      <c r="LNR2344" s="1091"/>
      <c r="LNS2344" s="1091"/>
      <c r="LNT2344" s="1091"/>
      <c r="LNU2344" s="1091"/>
      <c r="LNV2344" s="1091"/>
      <c r="LNW2344" s="1091"/>
      <c r="LNX2344" s="1091"/>
      <c r="LNY2344" s="1091"/>
      <c r="LNZ2344" s="1091"/>
      <c r="LOA2344" s="1091"/>
      <c r="LOB2344" s="1091"/>
      <c r="LOC2344" s="1091"/>
      <c r="LOD2344" s="1091"/>
      <c r="LOE2344" s="1091"/>
      <c r="LOF2344" s="1091"/>
      <c r="LOG2344" s="1091"/>
      <c r="LOH2344" s="1091"/>
      <c r="LOI2344" s="1091"/>
      <c r="LOJ2344" s="1091"/>
      <c r="LOK2344" s="1091"/>
      <c r="LOL2344" s="1091"/>
      <c r="LOM2344" s="1091"/>
      <c r="LON2344" s="1091"/>
      <c r="LOO2344" s="1091"/>
      <c r="LOP2344" s="1091"/>
      <c r="LOQ2344" s="1091"/>
      <c r="LOR2344" s="1091"/>
      <c r="LOS2344" s="1091"/>
      <c r="LOT2344" s="1091"/>
      <c r="LOU2344" s="1091"/>
      <c r="LOV2344" s="1091"/>
      <c r="LOW2344" s="1091"/>
      <c r="LOX2344" s="1091"/>
      <c r="LOY2344" s="1091"/>
      <c r="LOZ2344" s="1091"/>
      <c r="LPA2344" s="1091"/>
      <c r="LPB2344" s="1091"/>
      <c r="LPC2344" s="1091"/>
      <c r="LPD2344" s="1091"/>
      <c r="LPE2344" s="1091"/>
      <c r="LPF2344" s="1091"/>
      <c r="LPG2344" s="1091"/>
      <c r="LPH2344" s="1091"/>
      <c r="LPI2344" s="1091"/>
      <c r="LPJ2344" s="1091"/>
      <c r="LPK2344" s="1091"/>
      <c r="LPL2344" s="1091"/>
      <c r="LPM2344" s="1091"/>
      <c r="LPN2344" s="1091"/>
      <c r="LPO2344" s="1091"/>
      <c r="LPP2344" s="1091"/>
      <c r="LPQ2344" s="1091"/>
      <c r="LPR2344" s="1091"/>
      <c r="LPS2344" s="1091"/>
      <c r="LPT2344" s="1091"/>
      <c r="LPU2344" s="1091"/>
      <c r="LPV2344" s="1091"/>
      <c r="LPW2344" s="1091"/>
      <c r="LPX2344" s="1091"/>
      <c r="LPY2344" s="1091"/>
      <c r="LPZ2344" s="1091"/>
      <c r="LQA2344" s="1091"/>
      <c r="LQB2344" s="1091"/>
      <c r="LQC2344" s="1091"/>
      <c r="LQD2344" s="1091"/>
      <c r="LQE2344" s="1091"/>
      <c r="LQF2344" s="1091"/>
      <c r="LQG2344" s="1091"/>
      <c r="LQH2344" s="1091"/>
      <c r="LQI2344" s="1091"/>
      <c r="LQJ2344" s="1091"/>
      <c r="LQK2344" s="1091"/>
      <c r="LQL2344" s="1091"/>
      <c r="LQM2344" s="1091"/>
      <c r="LQN2344" s="1091"/>
      <c r="LQO2344" s="1091"/>
      <c r="LQP2344" s="1091"/>
      <c r="LQQ2344" s="1091"/>
      <c r="LQR2344" s="1091"/>
      <c r="LQS2344" s="1091"/>
      <c r="LQT2344" s="1091"/>
      <c r="LQU2344" s="1091"/>
      <c r="LQV2344" s="1091"/>
      <c r="LQW2344" s="1091"/>
      <c r="LQX2344" s="1091"/>
      <c r="LQY2344" s="1091"/>
      <c r="LQZ2344" s="1091"/>
      <c r="LRA2344" s="1091"/>
      <c r="LRB2344" s="1091"/>
      <c r="LRC2344" s="1091"/>
      <c r="LRD2344" s="1091"/>
      <c r="LRE2344" s="1091"/>
      <c r="LRF2344" s="1091"/>
      <c r="LRG2344" s="1091"/>
      <c r="LRH2344" s="1091"/>
      <c r="LRI2344" s="1091"/>
      <c r="LRJ2344" s="1091"/>
      <c r="LRK2344" s="1091"/>
      <c r="LRL2344" s="1091"/>
      <c r="LRM2344" s="1091"/>
      <c r="LRN2344" s="1091"/>
      <c r="LRO2344" s="1091"/>
      <c r="LRP2344" s="1091"/>
      <c r="LRQ2344" s="1091"/>
      <c r="LRR2344" s="1091"/>
      <c r="LRS2344" s="1091"/>
      <c r="LRT2344" s="1091"/>
      <c r="LRU2344" s="1091"/>
      <c r="LRV2344" s="1091"/>
      <c r="LRW2344" s="1091"/>
      <c r="LRX2344" s="1091"/>
      <c r="LRY2344" s="1091"/>
      <c r="LRZ2344" s="1091"/>
      <c r="LSA2344" s="1091"/>
      <c r="LSB2344" s="1091"/>
      <c r="LSC2344" s="1091"/>
      <c r="LSD2344" s="1091"/>
      <c r="LSE2344" s="1091"/>
      <c r="LSF2344" s="1091"/>
      <c r="LSG2344" s="1091"/>
      <c r="LSH2344" s="1091"/>
      <c r="LSI2344" s="1091"/>
      <c r="LSJ2344" s="1091"/>
      <c r="LSK2344" s="1091"/>
      <c r="LSL2344" s="1091"/>
      <c r="LSM2344" s="1091"/>
      <c r="LSN2344" s="1091"/>
      <c r="LSO2344" s="1091"/>
      <c r="LSP2344" s="1091"/>
      <c r="LSQ2344" s="1091"/>
      <c r="LSR2344" s="1091"/>
      <c r="LSS2344" s="1091"/>
      <c r="LST2344" s="1091"/>
      <c r="LSU2344" s="1091"/>
      <c r="LSV2344" s="1091"/>
      <c r="LSW2344" s="1091"/>
      <c r="LSX2344" s="1091"/>
      <c r="LSY2344" s="1091"/>
      <c r="LSZ2344" s="1091"/>
      <c r="LTA2344" s="1091"/>
      <c r="LTB2344" s="1091"/>
      <c r="LTC2344" s="1091"/>
      <c r="LTD2344" s="1091"/>
      <c r="LTE2344" s="1091"/>
      <c r="LTF2344" s="1091"/>
      <c r="LTG2344" s="1091"/>
      <c r="LTH2344" s="1091"/>
      <c r="LTI2344" s="1091"/>
      <c r="LTJ2344" s="1091"/>
      <c r="LTK2344" s="1091"/>
      <c r="LTL2344" s="1091"/>
      <c r="LTM2344" s="1091"/>
      <c r="LTN2344" s="1091"/>
      <c r="LTO2344" s="1091"/>
      <c r="LTP2344" s="1091"/>
      <c r="LTQ2344" s="1091"/>
      <c r="LTR2344" s="1091"/>
      <c r="LTS2344" s="1091"/>
      <c r="LTT2344" s="1091"/>
      <c r="LTU2344" s="1091"/>
      <c r="LTV2344" s="1091"/>
      <c r="LTW2344" s="1091"/>
      <c r="LTX2344" s="1091"/>
      <c r="LTY2344" s="1091"/>
      <c r="LTZ2344" s="1091"/>
      <c r="LUA2344" s="1091"/>
      <c r="LUB2344" s="1091"/>
      <c r="LUC2344" s="1091"/>
      <c r="LUD2344" s="1091"/>
      <c r="LUE2344" s="1091"/>
      <c r="LUF2344" s="1091"/>
      <c r="LUG2344" s="1091"/>
      <c r="LUH2344" s="1091"/>
      <c r="LUI2344" s="1091"/>
      <c r="LUJ2344" s="1091"/>
      <c r="LUK2344" s="1091"/>
      <c r="LUL2344" s="1091"/>
      <c r="LUM2344" s="1091"/>
      <c r="LUN2344" s="1091"/>
      <c r="LUO2344" s="1091"/>
      <c r="LUP2344" s="1091"/>
      <c r="LUQ2344" s="1091"/>
      <c r="LUR2344" s="1091"/>
      <c r="LUS2344" s="1091"/>
      <c r="LUT2344" s="1091"/>
      <c r="LUU2344" s="1091"/>
      <c r="LUV2344" s="1091"/>
      <c r="LUW2344" s="1091"/>
      <c r="LUX2344" s="1091"/>
      <c r="LUY2344" s="1091"/>
      <c r="LUZ2344" s="1091"/>
      <c r="LVA2344" s="1091"/>
      <c r="LVB2344" s="1091"/>
      <c r="LVC2344" s="1091"/>
      <c r="LVD2344" s="1091"/>
      <c r="LVE2344" s="1091"/>
      <c r="LVF2344" s="1091"/>
      <c r="LVG2344" s="1091"/>
      <c r="LVH2344" s="1091"/>
      <c r="LVI2344" s="1091"/>
      <c r="LVJ2344" s="1091"/>
      <c r="LVK2344" s="1091"/>
      <c r="LVL2344" s="1091"/>
      <c r="LVM2344" s="1091"/>
      <c r="LVN2344" s="1091"/>
      <c r="LVO2344" s="1091"/>
      <c r="LVP2344" s="1091"/>
      <c r="LVQ2344" s="1091"/>
      <c r="LVR2344" s="1091"/>
      <c r="LVS2344" s="1091"/>
      <c r="LVT2344" s="1091"/>
      <c r="LVU2344" s="1091"/>
      <c r="LVV2344" s="1091"/>
      <c r="LVW2344" s="1091"/>
      <c r="LVX2344" s="1091"/>
      <c r="LVY2344" s="1091"/>
      <c r="LVZ2344" s="1091"/>
      <c r="LWA2344" s="1091"/>
      <c r="LWB2344" s="1091"/>
      <c r="LWC2344" s="1091"/>
      <c r="LWD2344" s="1091"/>
      <c r="LWE2344" s="1091"/>
      <c r="LWF2344" s="1091"/>
      <c r="LWG2344" s="1091"/>
      <c r="LWH2344" s="1091"/>
      <c r="LWI2344" s="1091"/>
      <c r="LWJ2344" s="1091"/>
      <c r="LWK2344" s="1091"/>
      <c r="LWL2344" s="1091"/>
      <c r="LWM2344" s="1091"/>
      <c r="LWN2344" s="1091"/>
      <c r="LWO2344" s="1091"/>
      <c r="LWP2344" s="1091"/>
      <c r="LWQ2344" s="1091"/>
      <c r="LWR2344" s="1091"/>
      <c r="LWS2344" s="1091"/>
      <c r="LWT2344" s="1091"/>
      <c r="LWU2344" s="1091"/>
      <c r="LWV2344" s="1091"/>
      <c r="LWW2344" s="1091"/>
      <c r="LWX2344" s="1091"/>
      <c r="LWY2344" s="1091"/>
      <c r="LWZ2344" s="1091"/>
      <c r="LXA2344" s="1091"/>
      <c r="LXB2344" s="1091"/>
      <c r="LXC2344" s="1091"/>
      <c r="LXD2344" s="1091"/>
      <c r="LXE2344" s="1091"/>
      <c r="LXF2344" s="1091"/>
      <c r="LXG2344" s="1091"/>
      <c r="LXH2344" s="1091"/>
      <c r="LXI2344" s="1091"/>
      <c r="LXJ2344" s="1091"/>
      <c r="LXK2344" s="1091"/>
      <c r="LXL2344" s="1091"/>
      <c r="LXM2344" s="1091"/>
      <c r="LXN2344" s="1091"/>
      <c r="LXO2344" s="1091"/>
      <c r="LXP2344" s="1091"/>
      <c r="LXQ2344" s="1091"/>
      <c r="LXR2344" s="1091"/>
      <c r="LXS2344" s="1091"/>
      <c r="LXT2344" s="1091"/>
      <c r="LXU2344" s="1091"/>
      <c r="LXV2344" s="1091"/>
      <c r="LXW2344" s="1091"/>
      <c r="LXX2344" s="1091"/>
      <c r="LXY2344" s="1091"/>
      <c r="LXZ2344" s="1091"/>
      <c r="LYA2344" s="1091"/>
      <c r="LYB2344" s="1091"/>
      <c r="LYC2344" s="1091"/>
      <c r="LYD2344" s="1091"/>
      <c r="LYE2344" s="1091"/>
      <c r="LYF2344" s="1091"/>
      <c r="LYG2344" s="1091"/>
      <c r="LYH2344" s="1091"/>
      <c r="LYI2344" s="1091"/>
      <c r="LYJ2344" s="1091"/>
      <c r="LYK2344" s="1091"/>
      <c r="LYL2344" s="1091"/>
      <c r="LYM2344" s="1091"/>
      <c r="LYN2344" s="1091"/>
      <c r="LYO2344" s="1091"/>
      <c r="LYP2344" s="1091"/>
      <c r="LYQ2344" s="1091"/>
      <c r="LYR2344" s="1091"/>
      <c r="LYS2344" s="1091"/>
      <c r="LYT2344" s="1091"/>
      <c r="LYU2344" s="1091"/>
      <c r="LYV2344" s="1091"/>
      <c r="LYW2344" s="1091"/>
      <c r="LYX2344" s="1091"/>
      <c r="LYY2344" s="1091"/>
      <c r="LYZ2344" s="1091"/>
      <c r="LZA2344" s="1091"/>
      <c r="LZB2344" s="1091"/>
      <c r="LZC2344" s="1091"/>
      <c r="LZD2344" s="1091"/>
      <c r="LZE2344" s="1091"/>
      <c r="LZF2344" s="1091"/>
      <c r="LZG2344" s="1091"/>
      <c r="LZH2344" s="1091"/>
      <c r="LZI2344" s="1091"/>
      <c r="LZJ2344" s="1091"/>
      <c r="LZK2344" s="1091"/>
      <c r="LZL2344" s="1091"/>
      <c r="LZM2344" s="1091"/>
      <c r="LZN2344" s="1091"/>
      <c r="LZO2344" s="1091"/>
      <c r="LZP2344" s="1091"/>
      <c r="LZQ2344" s="1091"/>
      <c r="LZR2344" s="1091"/>
      <c r="LZS2344" s="1091"/>
      <c r="LZT2344" s="1091"/>
      <c r="LZU2344" s="1091"/>
      <c r="LZV2344" s="1091"/>
      <c r="LZW2344" s="1091"/>
      <c r="LZX2344" s="1091"/>
      <c r="LZY2344" s="1091"/>
      <c r="LZZ2344" s="1091"/>
      <c r="MAA2344" s="1091"/>
      <c r="MAB2344" s="1091"/>
      <c r="MAC2344" s="1091"/>
      <c r="MAD2344" s="1091"/>
      <c r="MAE2344" s="1091"/>
      <c r="MAF2344" s="1091"/>
      <c r="MAG2344" s="1091"/>
      <c r="MAH2344" s="1091"/>
      <c r="MAI2344" s="1091"/>
      <c r="MAJ2344" s="1091"/>
      <c r="MAK2344" s="1091"/>
      <c r="MAL2344" s="1091"/>
      <c r="MAM2344" s="1091"/>
      <c r="MAN2344" s="1091"/>
      <c r="MAO2344" s="1091"/>
      <c r="MAP2344" s="1091"/>
      <c r="MAQ2344" s="1091"/>
      <c r="MAR2344" s="1091"/>
      <c r="MAS2344" s="1091"/>
      <c r="MAT2344" s="1091"/>
      <c r="MAU2344" s="1091"/>
      <c r="MAV2344" s="1091"/>
      <c r="MAW2344" s="1091"/>
      <c r="MAX2344" s="1091"/>
      <c r="MAY2344" s="1091"/>
      <c r="MAZ2344" s="1091"/>
      <c r="MBA2344" s="1091"/>
      <c r="MBB2344" s="1091"/>
      <c r="MBC2344" s="1091"/>
      <c r="MBD2344" s="1091"/>
      <c r="MBE2344" s="1091"/>
      <c r="MBF2344" s="1091"/>
      <c r="MBG2344" s="1091"/>
      <c r="MBH2344" s="1091"/>
      <c r="MBI2344" s="1091"/>
      <c r="MBJ2344" s="1091"/>
      <c r="MBK2344" s="1091"/>
      <c r="MBL2344" s="1091"/>
      <c r="MBM2344" s="1091"/>
      <c r="MBN2344" s="1091"/>
      <c r="MBO2344" s="1091"/>
      <c r="MBP2344" s="1091"/>
      <c r="MBQ2344" s="1091"/>
      <c r="MBR2344" s="1091"/>
      <c r="MBS2344" s="1091"/>
      <c r="MBT2344" s="1091"/>
      <c r="MBU2344" s="1091"/>
      <c r="MBV2344" s="1091"/>
      <c r="MBW2344" s="1091"/>
      <c r="MBX2344" s="1091"/>
      <c r="MBY2344" s="1091"/>
      <c r="MBZ2344" s="1091"/>
      <c r="MCA2344" s="1091"/>
      <c r="MCB2344" s="1091"/>
      <c r="MCC2344" s="1091"/>
      <c r="MCD2344" s="1091"/>
      <c r="MCE2344" s="1091"/>
      <c r="MCF2344" s="1091"/>
      <c r="MCG2344" s="1091"/>
      <c r="MCH2344" s="1091"/>
      <c r="MCI2344" s="1091"/>
      <c r="MCJ2344" s="1091"/>
      <c r="MCK2344" s="1091"/>
      <c r="MCL2344" s="1091"/>
      <c r="MCM2344" s="1091"/>
      <c r="MCN2344" s="1091"/>
      <c r="MCO2344" s="1091"/>
      <c r="MCP2344" s="1091"/>
      <c r="MCQ2344" s="1091"/>
      <c r="MCR2344" s="1091"/>
      <c r="MCS2344" s="1091"/>
      <c r="MCT2344" s="1091"/>
      <c r="MCU2344" s="1091"/>
      <c r="MCV2344" s="1091"/>
      <c r="MCW2344" s="1091"/>
      <c r="MCX2344" s="1091"/>
      <c r="MCY2344" s="1091"/>
      <c r="MCZ2344" s="1091"/>
      <c r="MDA2344" s="1091"/>
      <c r="MDB2344" s="1091"/>
      <c r="MDC2344" s="1091"/>
      <c r="MDD2344" s="1091"/>
      <c r="MDE2344" s="1091"/>
      <c r="MDF2344" s="1091"/>
      <c r="MDG2344" s="1091"/>
      <c r="MDH2344" s="1091"/>
      <c r="MDI2344" s="1091"/>
      <c r="MDJ2344" s="1091"/>
      <c r="MDK2344" s="1091"/>
      <c r="MDL2344" s="1091"/>
      <c r="MDM2344" s="1091"/>
      <c r="MDN2344" s="1091"/>
      <c r="MDO2344" s="1091"/>
      <c r="MDP2344" s="1091"/>
      <c r="MDQ2344" s="1091"/>
      <c r="MDR2344" s="1091"/>
      <c r="MDS2344" s="1091"/>
      <c r="MDT2344" s="1091"/>
      <c r="MDU2344" s="1091"/>
      <c r="MDV2344" s="1091"/>
      <c r="MDW2344" s="1091"/>
      <c r="MDX2344" s="1091"/>
      <c r="MDY2344" s="1091"/>
      <c r="MDZ2344" s="1091"/>
      <c r="MEA2344" s="1091"/>
      <c r="MEB2344" s="1091"/>
      <c r="MEC2344" s="1091"/>
      <c r="MED2344" s="1091"/>
      <c r="MEE2344" s="1091"/>
      <c r="MEF2344" s="1091"/>
      <c r="MEG2344" s="1091"/>
      <c r="MEH2344" s="1091"/>
      <c r="MEI2344" s="1091"/>
      <c r="MEJ2344" s="1091"/>
      <c r="MEK2344" s="1091"/>
      <c r="MEL2344" s="1091"/>
      <c r="MEM2344" s="1091"/>
      <c r="MEN2344" s="1091"/>
      <c r="MEO2344" s="1091"/>
      <c r="MEP2344" s="1091"/>
      <c r="MEQ2344" s="1091"/>
      <c r="MER2344" s="1091"/>
      <c r="MES2344" s="1091"/>
      <c r="MET2344" s="1091"/>
      <c r="MEU2344" s="1091"/>
      <c r="MEV2344" s="1091"/>
      <c r="MEW2344" s="1091"/>
      <c r="MEX2344" s="1091"/>
      <c r="MEY2344" s="1091"/>
      <c r="MEZ2344" s="1091"/>
      <c r="MFA2344" s="1091"/>
      <c r="MFB2344" s="1091"/>
      <c r="MFC2344" s="1091"/>
      <c r="MFD2344" s="1091"/>
      <c r="MFE2344" s="1091"/>
      <c r="MFF2344" s="1091"/>
      <c r="MFG2344" s="1091"/>
      <c r="MFH2344" s="1091"/>
      <c r="MFI2344" s="1091"/>
      <c r="MFJ2344" s="1091"/>
      <c r="MFK2344" s="1091"/>
      <c r="MFL2344" s="1091"/>
      <c r="MFM2344" s="1091"/>
      <c r="MFN2344" s="1091"/>
      <c r="MFO2344" s="1091"/>
      <c r="MFP2344" s="1091"/>
      <c r="MFQ2344" s="1091"/>
      <c r="MFR2344" s="1091"/>
      <c r="MFS2344" s="1091"/>
      <c r="MFT2344" s="1091"/>
      <c r="MFU2344" s="1091"/>
      <c r="MFV2344" s="1091"/>
      <c r="MFW2344" s="1091"/>
      <c r="MFX2344" s="1091"/>
      <c r="MFY2344" s="1091"/>
      <c r="MFZ2344" s="1091"/>
      <c r="MGA2344" s="1091"/>
      <c r="MGB2344" s="1091"/>
      <c r="MGC2344" s="1091"/>
      <c r="MGD2344" s="1091"/>
      <c r="MGE2344" s="1091"/>
      <c r="MGF2344" s="1091"/>
      <c r="MGG2344" s="1091"/>
      <c r="MGH2344" s="1091"/>
      <c r="MGI2344" s="1091"/>
      <c r="MGJ2344" s="1091"/>
      <c r="MGK2344" s="1091"/>
      <c r="MGL2344" s="1091"/>
      <c r="MGM2344" s="1091"/>
      <c r="MGN2344" s="1091"/>
      <c r="MGO2344" s="1091"/>
      <c r="MGP2344" s="1091"/>
      <c r="MGQ2344" s="1091"/>
      <c r="MGR2344" s="1091"/>
      <c r="MGS2344" s="1091"/>
      <c r="MGT2344" s="1091"/>
      <c r="MGU2344" s="1091"/>
      <c r="MGV2344" s="1091"/>
      <c r="MGW2344" s="1091"/>
      <c r="MGX2344" s="1091"/>
      <c r="MGY2344" s="1091"/>
      <c r="MGZ2344" s="1091"/>
      <c r="MHA2344" s="1091"/>
      <c r="MHB2344" s="1091"/>
      <c r="MHC2344" s="1091"/>
      <c r="MHD2344" s="1091"/>
      <c r="MHE2344" s="1091"/>
      <c r="MHF2344" s="1091"/>
      <c r="MHG2344" s="1091"/>
      <c r="MHH2344" s="1091"/>
      <c r="MHI2344" s="1091"/>
      <c r="MHJ2344" s="1091"/>
      <c r="MHK2344" s="1091"/>
      <c r="MHL2344" s="1091"/>
      <c r="MHM2344" s="1091"/>
      <c r="MHN2344" s="1091"/>
      <c r="MHO2344" s="1091"/>
      <c r="MHP2344" s="1091"/>
      <c r="MHQ2344" s="1091"/>
      <c r="MHR2344" s="1091"/>
      <c r="MHS2344" s="1091"/>
      <c r="MHT2344" s="1091"/>
      <c r="MHU2344" s="1091"/>
      <c r="MHV2344" s="1091"/>
      <c r="MHW2344" s="1091"/>
      <c r="MHX2344" s="1091"/>
      <c r="MHY2344" s="1091"/>
      <c r="MHZ2344" s="1091"/>
      <c r="MIA2344" s="1091"/>
      <c r="MIB2344" s="1091"/>
      <c r="MIC2344" s="1091"/>
      <c r="MID2344" s="1091"/>
      <c r="MIE2344" s="1091"/>
      <c r="MIF2344" s="1091"/>
      <c r="MIG2344" s="1091"/>
      <c r="MIH2344" s="1091"/>
      <c r="MII2344" s="1091"/>
      <c r="MIJ2344" s="1091"/>
      <c r="MIK2344" s="1091"/>
      <c r="MIL2344" s="1091"/>
      <c r="MIM2344" s="1091"/>
      <c r="MIN2344" s="1091"/>
      <c r="MIO2344" s="1091"/>
      <c r="MIP2344" s="1091"/>
      <c r="MIQ2344" s="1091"/>
      <c r="MIR2344" s="1091"/>
      <c r="MIS2344" s="1091"/>
      <c r="MIT2344" s="1091"/>
      <c r="MIU2344" s="1091"/>
      <c r="MIV2344" s="1091"/>
      <c r="MIW2344" s="1091"/>
      <c r="MIX2344" s="1091"/>
      <c r="MIY2344" s="1091"/>
      <c r="MIZ2344" s="1091"/>
      <c r="MJA2344" s="1091"/>
      <c r="MJB2344" s="1091"/>
      <c r="MJC2344" s="1091"/>
      <c r="MJD2344" s="1091"/>
      <c r="MJE2344" s="1091"/>
      <c r="MJF2344" s="1091"/>
      <c r="MJG2344" s="1091"/>
      <c r="MJH2344" s="1091"/>
      <c r="MJI2344" s="1091"/>
      <c r="MJJ2344" s="1091"/>
      <c r="MJK2344" s="1091"/>
      <c r="MJL2344" s="1091"/>
      <c r="MJM2344" s="1091"/>
      <c r="MJN2344" s="1091"/>
      <c r="MJO2344" s="1091"/>
      <c r="MJP2344" s="1091"/>
      <c r="MJQ2344" s="1091"/>
      <c r="MJR2344" s="1091"/>
      <c r="MJS2344" s="1091"/>
      <c r="MJT2344" s="1091"/>
      <c r="MJU2344" s="1091"/>
      <c r="MJV2344" s="1091"/>
      <c r="MJW2344" s="1091"/>
      <c r="MJX2344" s="1091"/>
      <c r="MJY2344" s="1091"/>
      <c r="MJZ2344" s="1091"/>
      <c r="MKA2344" s="1091"/>
      <c r="MKB2344" s="1091"/>
      <c r="MKC2344" s="1091"/>
      <c r="MKD2344" s="1091"/>
      <c r="MKE2344" s="1091"/>
      <c r="MKF2344" s="1091"/>
      <c r="MKG2344" s="1091"/>
      <c r="MKH2344" s="1091"/>
      <c r="MKI2344" s="1091"/>
      <c r="MKJ2344" s="1091"/>
      <c r="MKK2344" s="1091"/>
      <c r="MKL2344" s="1091"/>
      <c r="MKM2344" s="1091"/>
      <c r="MKN2344" s="1091"/>
      <c r="MKO2344" s="1091"/>
      <c r="MKP2344" s="1091"/>
      <c r="MKQ2344" s="1091"/>
      <c r="MKR2344" s="1091"/>
      <c r="MKS2344" s="1091"/>
      <c r="MKT2344" s="1091"/>
      <c r="MKU2344" s="1091"/>
      <c r="MKV2344" s="1091"/>
      <c r="MKW2344" s="1091"/>
      <c r="MKX2344" s="1091"/>
      <c r="MKY2344" s="1091"/>
      <c r="MKZ2344" s="1091"/>
      <c r="MLA2344" s="1091"/>
      <c r="MLB2344" s="1091"/>
      <c r="MLC2344" s="1091"/>
      <c r="MLD2344" s="1091"/>
      <c r="MLE2344" s="1091"/>
      <c r="MLF2344" s="1091"/>
      <c r="MLG2344" s="1091"/>
      <c r="MLH2344" s="1091"/>
      <c r="MLI2344" s="1091"/>
      <c r="MLJ2344" s="1091"/>
      <c r="MLK2344" s="1091"/>
      <c r="MLL2344" s="1091"/>
      <c r="MLM2344" s="1091"/>
      <c r="MLN2344" s="1091"/>
      <c r="MLO2344" s="1091"/>
      <c r="MLP2344" s="1091"/>
      <c r="MLQ2344" s="1091"/>
      <c r="MLR2344" s="1091"/>
      <c r="MLS2344" s="1091"/>
      <c r="MLT2344" s="1091"/>
      <c r="MLU2344" s="1091"/>
      <c r="MLV2344" s="1091"/>
      <c r="MLW2344" s="1091"/>
      <c r="MLX2344" s="1091"/>
      <c r="MLY2344" s="1091"/>
      <c r="MLZ2344" s="1091"/>
      <c r="MMA2344" s="1091"/>
      <c r="MMB2344" s="1091"/>
      <c r="MMC2344" s="1091"/>
      <c r="MMD2344" s="1091"/>
      <c r="MME2344" s="1091"/>
      <c r="MMF2344" s="1091"/>
      <c r="MMG2344" s="1091"/>
      <c r="MMH2344" s="1091"/>
      <c r="MMI2344" s="1091"/>
      <c r="MMJ2344" s="1091"/>
      <c r="MMK2344" s="1091"/>
      <c r="MML2344" s="1091"/>
      <c r="MMM2344" s="1091"/>
      <c r="MMN2344" s="1091"/>
      <c r="MMO2344" s="1091"/>
      <c r="MMP2344" s="1091"/>
      <c r="MMQ2344" s="1091"/>
      <c r="MMR2344" s="1091"/>
      <c r="MMS2344" s="1091"/>
      <c r="MMT2344" s="1091"/>
      <c r="MMU2344" s="1091"/>
      <c r="MMV2344" s="1091"/>
      <c r="MMW2344" s="1091"/>
      <c r="MMX2344" s="1091"/>
      <c r="MMY2344" s="1091"/>
      <c r="MMZ2344" s="1091"/>
      <c r="MNA2344" s="1091"/>
      <c r="MNB2344" s="1091"/>
      <c r="MNC2344" s="1091"/>
      <c r="MND2344" s="1091"/>
      <c r="MNE2344" s="1091"/>
      <c r="MNF2344" s="1091"/>
      <c r="MNG2344" s="1091"/>
      <c r="MNH2344" s="1091"/>
      <c r="MNI2344" s="1091"/>
      <c r="MNJ2344" s="1091"/>
      <c r="MNK2344" s="1091"/>
      <c r="MNL2344" s="1091"/>
      <c r="MNM2344" s="1091"/>
      <c r="MNN2344" s="1091"/>
      <c r="MNO2344" s="1091"/>
      <c r="MNP2344" s="1091"/>
      <c r="MNQ2344" s="1091"/>
      <c r="MNR2344" s="1091"/>
      <c r="MNS2344" s="1091"/>
      <c r="MNT2344" s="1091"/>
      <c r="MNU2344" s="1091"/>
      <c r="MNV2344" s="1091"/>
      <c r="MNW2344" s="1091"/>
      <c r="MNX2344" s="1091"/>
      <c r="MNY2344" s="1091"/>
      <c r="MNZ2344" s="1091"/>
      <c r="MOA2344" s="1091"/>
      <c r="MOB2344" s="1091"/>
      <c r="MOC2344" s="1091"/>
      <c r="MOD2344" s="1091"/>
      <c r="MOE2344" s="1091"/>
      <c r="MOF2344" s="1091"/>
      <c r="MOG2344" s="1091"/>
      <c r="MOH2344" s="1091"/>
      <c r="MOI2344" s="1091"/>
      <c r="MOJ2344" s="1091"/>
      <c r="MOK2344" s="1091"/>
      <c r="MOL2344" s="1091"/>
      <c r="MOM2344" s="1091"/>
      <c r="MON2344" s="1091"/>
      <c r="MOO2344" s="1091"/>
      <c r="MOP2344" s="1091"/>
      <c r="MOQ2344" s="1091"/>
      <c r="MOR2344" s="1091"/>
      <c r="MOS2344" s="1091"/>
      <c r="MOT2344" s="1091"/>
      <c r="MOU2344" s="1091"/>
      <c r="MOV2344" s="1091"/>
      <c r="MOW2344" s="1091"/>
      <c r="MOX2344" s="1091"/>
      <c r="MOY2344" s="1091"/>
      <c r="MOZ2344" s="1091"/>
      <c r="MPA2344" s="1091"/>
      <c r="MPB2344" s="1091"/>
      <c r="MPC2344" s="1091"/>
      <c r="MPD2344" s="1091"/>
      <c r="MPE2344" s="1091"/>
      <c r="MPF2344" s="1091"/>
      <c r="MPG2344" s="1091"/>
      <c r="MPH2344" s="1091"/>
      <c r="MPI2344" s="1091"/>
      <c r="MPJ2344" s="1091"/>
      <c r="MPK2344" s="1091"/>
      <c r="MPL2344" s="1091"/>
      <c r="MPM2344" s="1091"/>
      <c r="MPN2344" s="1091"/>
      <c r="MPO2344" s="1091"/>
      <c r="MPP2344" s="1091"/>
      <c r="MPQ2344" s="1091"/>
      <c r="MPR2344" s="1091"/>
      <c r="MPS2344" s="1091"/>
      <c r="MPT2344" s="1091"/>
      <c r="MPU2344" s="1091"/>
      <c r="MPV2344" s="1091"/>
      <c r="MPW2344" s="1091"/>
      <c r="MPX2344" s="1091"/>
      <c r="MPY2344" s="1091"/>
      <c r="MPZ2344" s="1091"/>
      <c r="MQA2344" s="1091"/>
      <c r="MQB2344" s="1091"/>
      <c r="MQC2344" s="1091"/>
      <c r="MQD2344" s="1091"/>
      <c r="MQE2344" s="1091"/>
      <c r="MQF2344" s="1091"/>
      <c r="MQG2344" s="1091"/>
      <c r="MQH2344" s="1091"/>
      <c r="MQI2344" s="1091"/>
      <c r="MQJ2344" s="1091"/>
      <c r="MQK2344" s="1091"/>
      <c r="MQL2344" s="1091"/>
      <c r="MQM2344" s="1091"/>
      <c r="MQN2344" s="1091"/>
      <c r="MQO2344" s="1091"/>
      <c r="MQP2344" s="1091"/>
      <c r="MQQ2344" s="1091"/>
      <c r="MQR2344" s="1091"/>
      <c r="MQS2344" s="1091"/>
      <c r="MQT2344" s="1091"/>
      <c r="MQU2344" s="1091"/>
      <c r="MQV2344" s="1091"/>
      <c r="MQW2344" s="1091"/>
      <c r="MQX2344" s="1091"/>
      <c r="MQY2344" s="1091"/>
      <c r="MQZ2344" s="1091"/>
      <c r="MRA2344" s="1091"/>
      <c r="MRB2344" s="1091"/>
      <c r="MRC2344" s="1091"/>
      <c r="MRD2344" s="1091"/>
      <c r="MRE2344" s="1091"/>
      <c r="MRF2344" s="1091"/>
      <c r="MRG2344" s="1091"/>
      <c r="MRH2344" s="1091"/>
      <c r="MRI2344" s="1091"/>
      <c r="MRJ2344" s="1091"/>
      <c r="MRK2344" s="1091"/>
      <c r="MRL2344" s="1091"/>
      <c r="MRM2344" s="1091"/>
      <c r="MRN2344" s="1091"/>
      <c r="MRO2344" s="1091"/>
      <c r="MRP2344" s="1091"/>
      <c r="MRQ2344" s="1091"/>
      <c r="MRR2344" s="1091"/>
      <c r="MRS2344" s="1091"/>
      <c r="MRT2344" s="1091"/>
      <c r="MRU2344" s="1091"/>
      <c r="MRV2344" s="1091"/>
      <c r="MRW2344" s="1091"/>
      <c r="MRX2344" s="1091"/>
      <c r="MRY2344" s="1091"/>
      <c r="MRZ2344" s="1091"/>
      <c r="MSA2344" s="1091"/>
      <c r="MSB2344" s="1091"/>
      <c r="MSC2344" s="1091"/>
      <c r="MSD2344" s="1091"/>
      <c r="MSE2344" s="1091"/>
      <c r="MSF2344" s="1091"/>
      <c r="MSG2344" s="1091"/>
      <c r="MSH2344" s="1091"/>
      <c r="MSI2344" s="1091"/>
      <c r="MSJ2344" s="1091"/>
      <c r="MSK2344" s="1091"/>
      <c r="MSL2344" s="1091"/>
      <c r="MSM2344" s="1091"/>
      <c r="MSN2344" s="1091"/>
      <c r="MSO2344" s="1091"/>
      <c r="MSP2344" s="1091"/>
      <c r="MSQ2344" s="1091"/>
      <c r="MSR2344" s="1091"/>
      <c r="MSS2344" s="1091"/>
      <c r="MST2344" s="1091"/>
      <c r="MSU2344" s="1091"/>
      <c r="MSV2344" s="1091"/>
      <c r="MSW2344" s="1091"/>
      <c r="MSX2344" s="1091"/>
      <c r="MSY2344" s="1091"/>
      <c r="MSZ2344" s="1091"/>
      <c r="MTA2344" s="1091"/>
      <c r="MTB2344" s="1091"/>
      <c r="MTC2344" s="1091"/>
      <c r="MTD2344" s="1091"/>
      <c r="MTE2344" s="1091"/>
      <c r="MTF2344" s="1091"/>
      <c r="MTG2344" s="1091"/>
      <c r="MTH2344" s="1091"/>
      <c r="MTI2344" s="1091"/>
      <c r="MTJ2344" s="1091"/>
      <c r="MTK2344" s="1091"/>
      <c r="MTL2344" s="1091"/>
      <c r="MTM2344" s="1091"/>
      <c r="MTN2344" s="1091"/>
      <c r="MTO2344" s="1091"/>
      <c r="MTP2344" s="1091"/>
      <c r="MTQ2344" s="1091"/>
      <c r="MTR2344" s="1091"/>
      <c r="MTS2344" s="1091"/>
      <c r="MTT2344" s="1091"/>
      <c r="MTU2344" s="1091"/>
      <c r="MTV2344" s="1091"/>
      <c r="MTW2344" s="1091"/>
      <c r="MTX2344" s="1091"/>
      <c r="MTY2344" s="1091"/>
      <c r="MTZ2344" s="1091"/>
      <c r="MUA2344" s="1091"/>
      <c r="MUB2344" s="1091"/>
      <c r="MUC2344" s="1091"/>
      <c r="MUD2344" s="1091"/>
      <c r="MUE2344" s="1091"/>
      <c r="MUF2344" s="1091"/>
      <c r="MUG2344" s="1091"/>
      <c r="MUH2344" s="1091"/>
      <c r="MUI2344" s="1091"/>
      <c r="MUJ2344" s="1091"/>
      <c r="MUK2344" s="1091"/>
      <c r="MUL2344" s="1091"/>
      <c r="MUM2344" s="1091"/>
      <c r="MUN2344" s="1091"/>
      <c r="MUO2344" s="1091"/>
      <c r="MUP2344" s="1091"/>
      <c r="MUQ2344" s="1091"/>
      <c r="MUR2344" s="1091"/>
      <c r="MUS2344" s="1091"/>
      <c r="MUT2344" s="1091"/>
      <c r="MUU2344" s="1091"/>
      <c r="MUV2344" s="1091"/>
      <c r="MUW2344" s="1091"/>
      <c r="MUX2344" s="1091"/>
      <c r="MUY2344" s="1091"/>
      <c r="MUZ2344" s="1091"/>
      <c r="MVA2344" s="1091"/>
      <c r="MVB2344" s="1091"/>
      <c r="MVC2344" s="1091"/>
      <c r="MVD2344" s="1091"/>
      <c r="MVE2344" s="1091"/>
      <c r="MVF2344" s="1091"/>
      <c r="MVG2344" s="1091"/>
      <c r="MVH2344" s="1091"/>
      <c r="MVI2344" s="1091"/>
      <c r="MVJ2344" s="1091"/>
      <c r="MVK2344" s="1091"/>
      <c r="MVL2344" s="1091"/>
      <c r="MVM2344" s="1091"/>
      <c r="MVN2344" s="1091"/>
      <c r="MVO2344" s="1091"/>
      <c r="MVP2344" s="1091"/>
      <c r="MVQ2344" s="1091"/>
      <c r="MVR2344" s="1091"/>
      <c r="MVS2344" s="1091"/>
      <c r="MVT2344" s="1091"/>
      <c r="MVU2344" s="1091"/>
      <c r="MVV2344" s="1091"/>
      <c r="MVW2344" s="1091"/>
      <c r="MVX2344" s="1091"/>
      <c r="MVY2344" s="1091"/>
      <c r="MVZ2344" s="1091"/>
      <c r="MWA2344" s="1091"/>
      <c r="MWB2344" s="1091"/>
      <c r="MWC2344" s="1091"/>
      <c r="MWD2344" s="1091"/>
      <c r="MWE2344" s="1091"/>
      <c r="MWF2344" s="1091"/>
      <c r="MWG2344" s="1091"/>
      <c r="MWH2344" s="1091"/>
      <c r="MWI2344" s="1091"/>
      <c r="MWJ2344" s="1091"/>
      <c r="MWK2344" s="1091"/>
      <c r="MWL2344" s="1091"/>
      <c r="MWM2344" s="1091"/>
      <c r="MWN2344" s="1091"/>
      <c r="MWO2344" s="1091"/>
      <c r="MWP2344" s="1091"/>
      <c r="MWQ2344" s="1091"/>
      <c r="MWR2344" s="1091"/>
      <c r="MWS2344" s="1091"/>
      <c r="MWT2344" s="1091"/>
      <c r="MWU2344" s="1091"/>
      <c r="MWV2344" s="1091"/>
      <c r="MWW2344" s="1091"/>
      <c r="MWX2344" s="1091"/>
      <c r="MWY2344" s="1091"/>
      <c r="MWZ2344" s="1091"/>
      <c r="MXA2344" s="1091"/>
      <c r="MXB2344" s="1091"/>
      <c r="MXC2344" s="1091"/>
      <c r="MXD2344" s="1091"/>
      <c r="MXE2344" s="1091"/>
      <c r="MXF2344" s="1091"/>
      <c r="MXG2344" s="1091"/>
      <c r="MXH2344" s="1091"/>
      <c r="MXI2344" s="1091"/>
      <c r="MXJ2344" s="1091"/>
      <c r="MXK2344" s="1091"/>
      <c r="MXL2344" s="1091"/>
      <c r="MXM2344" s="1091"/>
      <c r="MXN2344" s="1091"/>
      <c r="MXO2344" s="1091"/>
      <c r="MXP2344" s="1091"/>
      <c r="MXQ2344" s="1091"/>
      <c r="MXR2344" s="1091"/>
      <c r="MXS2344" s="1091"/>
      <c r="MXT2344" s="1091"/>
      <c r="MXU2344" s="1091"/>
      <c r="MXV2344" s="1091"/>
      <c r="MXW2344" s="1091"/>
      <c r="MXX2344" s="1091"/>
      <c r="MXY2344" s="1091"/>
      <c r="MXZ2344" s="1091"/>
      <c r="MYA2344" s="1091"/>
      <c r="MYB2344" s="1091"/>
      <c r="MYC2344" s="1091"/>
      <c r="MYD2344" s="1091"/>
      <c r="MYE2344" s="1091"/>
      <c r="MYF2344" s="1091"/>
      <c r="MYG2344" s="1091"/>
      <c r="MYH2344" s="1091"/>
      <c r="MYI2344" s="1091"/>
      <c r="MYJ2344" s="1091"/>
      <c r="MYK2344" s="1091"/>
      <c r="MYL2344" s="1091"/>
      <c r="MYM2344" s="1091"/>
      <c r="MYN2344" s="1091"/>
      <c r="MYO2344" s="1091"/>
      <c r="MYP2344" s="1091"/>
      <c r="MYQ2344" s="1091"/>
      <c r="MYR2344" s="1091"/>
      <c r="MYS2344" s="1091"/>
      <c r="MYT2344" s="1091"/>
      <c r="MYU2344" s="1091"/>
      <c r="MYV2344" s="1091"/>
      <c r="MYW2344" s="1091"/>
      <c r="MYX2344" s="1091"/>
      <c r="MYY2344" s="1091"/>
      <c r="MYZ2344" s="1091"/>
      <c r="MZA2344" s="1091"/>
      <c r="MZB2344" s="1091"/>
      <c r="MZC2344" s="1091"/>
      <c r="MZD2344" s="1091"/>
      <c r="MZE2344" s="1091"/>
      <c r="MZF2344" s="1091"/>
      <c r="MZG2344" s="1091"/>
      <c r="MZH2344" s="1091"/>
      <c r="MZI2344" s="1091"/>
      <c r="MZJ2344" s="1091"/>
      <c r="MZK2344" s="1091"/>
      <c r="MZL2344" s="1091"/>
      <c r="MZM2344" s="1091"/>
      <c r="MZN2344" s="1091"/>
      <c r="MZO2344" s="1091"/>
      <c r="MZP2344" s="1091"/>
      <c r="MZQ2344" s="1091"/>
      <c r="MZR2344" s="1091"/>
      <c r="MZS2344" s="1091"/>
      <c r="MZT2344" s="1091"/>
      <c r="MZU2344" s="1091"/>
      <c r="MZV2344" s="1091"/>
      <c r="MZW2344" s="1091"/>
      <c r="MZX2344" s="1091"/>
      <c r="MZY2344" s="1091"/>
      <c r="MZZ2344" s="1091"/>
      <c r="NAA2344" s="1091"/>
      <c r="NAB2344" s="1091"/>
      <c r="NAC2344" s="1091"/>
      <c r="NAD2344" s="1091"/>
      <c r="NAE2344" s="1091"/>
      <c r="NAF2344" s="1091"/>
      <c r="NAG2344" s="1091"/>
      <c r="NAH2344" s="1091"/>
      <c r="NAI2344" s="1091"/>
      <c r="NAJ2344" s="1091"/>
      <c r="NAK2344" s="1091"/>
      <c r="NAL2344" s="1091"/>
      <c r="NAM2344" s="1091"/>
      <c r="NAN2344" s="1091"/>
      <c r="NAO2344" s="1091"/>
      <c r="NAP2344" s="1091"/>
      <c r="NAQ2344" s="1091"/>
      <c r="NAR2344" s="1091"/>
      <c r="NAS2344" s="1091"/>
      <c r="NAT2344" s="1091"/>
      <c r="NAU2344" s="1091"/>
      <c r="NAV2344" s="1091"/>
      <c r="NAW2344" s="1091"/>
      <c r="NAX2344" s="1091"/>
      <c r="NAY2344" s="1091"/>
      <c r="NAZ2344" s="1091"/>
      <c r="NBA2344" s="1091"/>
      <c r="NBB2344" s="1091"/>
      <c r="NBC2344" s="1091"/>
      <c r="NBD2344" s="1091"/>
      <c r="NBE2344" s="1091"/>
      <c r="NBF2344" s="1091"/>
      <c r="NBG2344" s="1091"/>
      <c r="NBH2344" s="1091"/>
      <c r="NBI2344" s="1091"/>
      <c r="NBJ2344" s="1091"/>
      <c r="NBK2344" s="1091"/>
      <c r="NBL2344" s="1091"/>
      <c r="NBM2344" s="1091"/>
      <c r="NBN2344" s="1091"/>
      <c r="NBO2344" s="1091"/>
      <c r="NBP2344" s="1091"/>
      <c r="NBQ2344" s="1091"/>
      <c r="NBR2344" s="1091"/>
      <c r="NBS2344" s="1091"/>
      <c r="NBT2344" s="1091"/>
      <c r="NBU2344" s="1091"/>
      <c r="NBV2344" s="1091"/>
      <c r="NBW2344" s="1091"/>
      <c r="NBX2344" s="1091"/>
      <c r="NBY2344" s="1091"/>
      <c r="NBZ2344" s="1091"/>
      <c r="NCA2344" s="1091"/>
      <c r="NCB2344" s="1091"/>
      <c r="NCC2344" s="1091"/>
      <c r="NCD2344" s="1091"/>
      <c r="NCE2344" s="1091"/>
      <c r="NCF2344" s="1091"/>
      <c r="NCG2344" s="1091"/>
      <c r="NCH2344" s="1091"/>
      <c r="NCI2344" s="1091"/>
      <c r="NCJ2344" s="1091"/>
      <c r="NCK2344" s="1091"/>
      <c r="NCL2344" s="1091"/>
      <c r="NCM2344" s="1091"/>
      <c r="NCN2344" s="1091"/>
      <c r="NCO2344" s="1091"/>
      <c r="NCP2344" s="1091"/>
      <c r="NCQ2344" s="1091"/>
      <c r="NCR2344" s="1091"/>
      <c r="NCS2344" s="1091"/>
      <c r="NCT2344" s="1091"/>
      <c r="NCU2344" s="1091"/>
      <c r="NCV2344" s="1091"/>
      <c r="NCW2344" s="1091"/>
      <c r="NCX2344" s="1091"/>
      <c r="NCY2344" s="1091"/>
      <c r="NCZ2344" s="1091"/>
      <c r="NDA2344" s="1091"/>
      <c r="NDB2344" s="1091"/>
      <c r="NDC2344" s="1091"/>
      <c r="NDD2344" s="1091"/>
      <c r="NDE2344" s="1091"/>
      <c r="NDF2344" s="1091"/>
      <c r="NDG2344" s="1091"/>
      <c r="NDH2344" s="1091"/>
      <c r="NDI2344" s="1091"/>
      <c r="NDJ2344" s="1091"/>
      <c r="NDK2344" s="1091"/>
      <c r="NDL2344" s="1091"/>
      <c r="NDM2344" s="1091"/>
      <c r="NDN2344" s="1091"/>
      <c r="NDO2344" s="1091"/>
      <c r="NDP2344" s="1091"/>
      <c r="NDQ2344" s="1091"/>
      <c r="NDR2344" s="1091"/>
      <c r="NDS2344" s="1091"/>
      <c r="NDT2344" s="1091"/>
      <c r="NDU2344" s="1091"/>
      <c r="NDV2344" s="1091"/>
      <c r="NDW2344" s="1091"/>
      <c r="NDX2344" s="1091"/>
      <c r="NDY2344" s="1091"/>
      <c r="NDZ2344" s="1091"/>
      <c r="NEA2344" s="1091"/>
      <c r="NEB2344" s="1091"/>
      <c r="NEC2344" s="1091"/>
      <c r="NED2344" s="1091"/>
      <c r="NEE2344" s="1091"/>
      <c r="NEF2344" s="1091"/>
      <c r="NEG2344" s="1091"/>
      <c r="NEH2344" s="1091"/>
      <c r="NEI2344" s="1091"/>
      <c r="NEJ2344" s="1091"/>
      <c r="NEK2344" s="1091"/>
      <c r="NEL2344" s="1091"/>
      <c r="NEM2344" s="1091"/>
      <c r="NEN2344" s="1091"/>
      <c r="NEO2344" s="1091"/>
      <c r="NEP2344" s="1091"/>
      <c r="NEQ2344" s="1091"/>
      <c r="NER2344" s="1091"/>
      <c r="NES2344" s="1091"/>
      <c r="NET2344" s="1091"/>
      <c r="NEU2344" s="1091"/>
      <c r="NEV2344" s="1091"/>
      <c r="NEW2344" s="1091"/>
      <c r="NEX2344" s="1091"/>
      <c r="NEY2344" s="1091"/>
      <c r="NEZ2344" s="1091"/>
      <c r="NFA2344" s="1091"/>
      <c r="NFB2344" s="1091"/>
      <c r="NFC2344" s="1091"/>
      <c r="NFD2344" s="1091"/>
      <c r="NFE2344" s="1091"/>
      <c r="NFF2344" s="1091"/>
      <c r="NFG2344" s="1091"/>
      <c r="NFH2344" s="1091"/>
      <c r="NFI2344" s="1091"/>
      <c r="NFJ2344" s="1091"/>
      <c r="NFK2344" s="1091"/>
      <c r="NFL2344" s="1091"/>
      <c r="NFM2344" s="1091"/>
      <c r="NFN2344" s="1091"/>
      <c r="NFO2344" s="1091"/>
      <c r="NFP2344" s="1091"/>
      <c r="NFQ2344" s="1091"/>
      <c r="NFR2344" s="1091"/>
      <c r="NFS2344" s="1091"/>
      <c r="NFT2344" s="1091"/>
      <c r="NFU2344" s="1091"/>
      <c r="NFV2344" s="1091"/>
      <c r="NFW2344" s="1091"/>
      <c r="NFX2344" s="1091"/>
      <c r="NFY2344" s="1091"/>
      <c r="NFZ2344" s="1091"/>
      <c r="NGA2344" s="1091"/>
      <c r="NGB2344" s="1091"/>
      <c r="NGC2344" s="1091"/>
      <c r="NGD2344" s="1091"/>
      <c r="NGE2344" s="1091"/>
      <c r="NGF2344" s="1091"/>
      <c r="NGG2344" s="1091"/>
      <c r="NGH2344" s="1091"/>
      <c r="NGI2344" s="1091"/>
      <c r="NGJ2344" s="1091"/>
      <c r="NGK2344" s="1091"/>
      <c r="NGL2344" s="1091"/>
      <c r="NGM2344" s="1091"/>
      <c r="NGN2344" s="1091"/>
      <c r="NGO2344" s="1091"/>
      <c r="NGP2344" s="1091"/>
      <c r="NGQ2344" s="1091"/>
      <c r="NGR2344" s="1091"/>
      <c r="NGS2344" s="1091"/>
      <c r="NGT2344" s="1091"/>
      <c r="NGU2344" s="1091"/>
      <c r="NGV2344" s="1091"/>
      <c r="NGW2344" s="1091"/>
      <c r="NGX2344" s="1091"/>
      <c r="NGY2344" s="1091"/>
      <c r="NGZ2344" s="1091"/>
      <c r="NHA2344" s="1091"/>
      <c r="NHB2344" s="1091"/>
      <c r="NHC2344" s="1091"/>
      <c r="NHD2344" s="1091"/>
      <c r="NHE2344" s="1091"/>
      <c r="NHF2344" s="1091"/>
      <c r="NHG2344" s="1091"/>
      <c r="NHH2344" s="1091"/>
      <c r="NHI2344" s="1091"/>
      <c r="NHJ2344" s="1091"/>
      <c r="NHK2344" s="1091"/>
      <c r="NHL2344" s="1091"/>
      <c r="NHM2344" s="1091"/>
      <c r="NHN2344" s="1091"/>
      <c r="NHO2344" s="1091"/>
      <c r="NHP2344" s="1091"/>
      <c r="NHQ2344" s="1091"/>
      <c r="NHR2344" s="1091"/>
      <c r="NHS2344" s="1091"/>
      <c r="NHT2344" s="1091"/>
      <c r="NHU2344" s="1091"/>
      <c r="NHV2344" s="1091"/>
      <c r="NHW2344" s="1091"/>
      <c r="NHX2344" s="1091"/>
      <c r="NHY2344" s="1091"/>
      <c r="NHZ2344" s="1091"/>
      <c r="NIA2344" s="1091"/>
      <c r="NIB2344" s="1091"/>
      <c r="NIC2344" s="1091"/>
      <c r="NID2344" s="1091"/>
      <c r="NIE2344" s="1091"/>
      <c r="NIF2344" s="1091"/>
      <c r="NIG2344" s="1091"/>
      <c r="NIH2344" s="1091"/>
      <c r="NII2344" s="1091"/>
      <c r="NIJ2344" s="1091"/>
      <c r="NIK2344" s="1091"/>
      <c r="NIL2344" s="1091"/>
      <c r="NIM2344" s="1091"/>
      <c r="NIN2344" s="1091"/>
      <c r="NIO2344" s="1091"/>
      <c r="NIP2344" s="1091"/>
      <c r="NIQ2344" s="1091"/>
      <c r="NIR2344" s="1091"/>
      <c r="NIS2344" s="1091"/>
      <c r="NIT2344" s="1091"/>
      <c r="NIU2344" s="1091"/>
      <c r="NIV2344" s="1091"/>
      <c r="NIW2344" s="1091"/>
      <c r="NIX2344" s="1091"/>
      <c r="NIY2344" s="1091"/>
      <c r="NIZ2344" s="1091"/>
      <c r="NJA2344" s="1091"/>
      <c r="NJB2344" s="1091"/>
      <c r="NJC2344" s="1091"/>
      <c r="NJD2344" s="1091"/>
      <c r="NJE2344" s="1091"/>
      <c r="NJF2344" s="1091"/>
      <c r="NJG2344" s="1091"/>
      <c r="NJH2344" s="1091"/>
      <c r="NJI2344" s="1091"/>
      <c r="NJJ2344" s="1091"/>
      <c r="NJK2344" s="1091"/>
      <c r="NJL2344" s="1091"/>
      <c r="NJM2344" s="1091"/>
      <c r="NJN2344" s="1091"/>
      <c r="NJO2344" s="1091"/>
      <c r="NJP2344" s="1091"/>
      <c r="NJQ2344" s="1091"/>
      <c r="NJR2344" s="1091"/>
      <c r="NJS2344" s="1091"/>
      <c r="NJT2344" s="1091"/>
      <c r="NJU2344" s="1091"/>
      <c r="NJV2344" s="1091"/>
      <c r="NJW2344" s="1091"/>
      <c r="NJX2344" s="1091"/>
      <c r="NJY2344" s="1091"/>
      <c r="NJZ2344" s="1091"/>
      <c r="NKA2344" s="1091"/>
      <c r="NKB2344" s="1091"/>
      <c r="NKC2344" s="1091"/>
      <c r="NKD2344" s="1091"/>
      <c r="NKE2344" s="1091"/>
      <c r="NKF2344" s="1091"/>
      <c r="NKG2344" s="1091"/>
      <c r="NKH2344" s="1091"/>
      <c r="NKI2344" s="1091"/>
      <c r="NKJ2344" s="1091"/>
      <c r="NKK2344" s="1091"/>
      <c r="NKL2344" s="1091"/>
      <c r="NKM2344" s="1091"/>
      <c r="NKN2344" s="1091"/>
      <c r="NKO2344" s="1091"/>
      <c r="NKP2344" s="1091"/>
      <c r="NKQ2344" s="1091"/>
      <c r="NKR2344" s="1091"/>
      <c r="NKS2344" s="1091"/>
      <c r="NKT2344" s="1091"/>
      <c r="NKU2344" s="1091"/>
      <c r="NKV2344" s="1091"/>
      <c r="NKW2344" s="1091"/>
      <c r="NKX2344" s="1091"/>
      <c r="NKY2344" s="1091"/>
      <c r="NKZ2344" s="1091"/>
      <c r="NLA2344" s="1091"/>
      <c r="NLB2344" s="1091"/>
      <c r="NLC2344" s="1091"/>
      <c r="NLD2344" s="1091"/>
      <c r="NLE2344" s="1091"/>
      <c r="NLF2344" s="1091"/>
      <c r="NLG2344" s="1091"/>
      <c r="NLH2344" s="1091"/>
      <c r="NLI2344" s="1091"/>
      <c r="NLJ2344" s="1091"/>
      <c r="NLK2344" s="1091"/>
      <c r="NLL2344" s="1091"/>
      <c r="NLM2344" s="1091"/>
      <c r="NLN2344" s="1091"/>
      <c r="NLO2344" s="1091"/>
      <c r="NLP2344" s="1091"/>
      <c r="NLQ2344" s="1091"/>
      <c r="NLR2344" s="1091"/>
      <c r="NLS2344" s="1091"/>
      <c r="NLT2344" s="1091"/>
      <c r="NLU2344" s="1091"/>
      <c r="NLV2344" s="1091"/>
      <c r="NLW2344" s="1091"/>
      <c r="NLX2344" s="1091"/>
      <c r="NLY2344" s="1091"/>
      <c r="NLZ2344" s="1091"/>
      <c r="NMA2344" s="1091"/>
      <c r="NMB2344" s="1091"/>
      <c r="NMC2344" s="1091"/>
      <c r="NMD2344" s="1091"/>
      <c r="NME2344" s="1091"/>
      <c r="NMF2344" s="1091"/>
      <c r="NMG2344" s="1091"/>
      <c r="NMH2344" s="1091"/>
      <c r="NMI2344" s="1091"/>
      <c r="NMJ2344" s="1091"/>
      <c r="NMK2344" s="1091"/>
      <c r="NML2344" s="1091"/>
      <c r="NMM2344" s="1091"/>
      <c r="NMN2344" s="1091"/>
      <c r="NMO2344" s="1091"/>
      <c r="NMP2344" s="1091"/>
      <c r="NMQ2344" s="1091"/>
      <c r="NMR2344" s="1091"/>
      <c r="NMS2344" s="1091"/>
      <c r="NMT2344" s="1091"/>
      <c r="NMU2344" s="1091"/>
      <c r="NMV2344" s="1091"/>
      <c r="NMW2344" s="1091"/>
      <c r="NMX2344" s="1091"/>
      <c r="NMY2344" s="1091"/>
      <c r="NMZ2344" s="1091"/>
      <c r="NNA2344" s="1091"/>
      <c r="NNB2344" s="1091"/>
      <c r="NNC2344" s="1091"/>
      <c r="NND2344" s="1091"/>
      <c r="NNE2344" s="1091"/>
      <c r="NNF2344" s="1091"/>
      <c r="NNG2344" s="1091"/>
      <c r="NNH2344" s="1091"/>
      <c r="NNI2344" s="1091"/>
      <c r="NNJ2344" s="1091"/>
      <c r="NNK2344" s="1091"/>
      <c r="NNL2344" s="1091"/>
      <c r="NNM2344" s="1091"/>
      <c r="NNN2344" s="1091"/>
      <c r="NNO2344" s="1091"/>
      <c r="NNP2344" s="1091"/>
      <c r="NNQ2344" s="1091"/>
      <c r="NNR2344" s="1091"/>
      <c r="NNS2344" s="1091"/>
      <c r="NNT2344" s="1091"/>
      <c r="NNU2344" s="1091"/>
      <c r="NNV2344" s="1091"/>
      <c r="NNW2344" s="1091"/>
      <c r="NNX2344" s="1091"/>
      <c r="NNY2344" s="1091"/>
      <c r="NNZ2344" s="1091"/>
      <c r="NOA2344" s="1091"/>
      <c r="NOB2344" s="1091"/>
      <c r="NOC2344" s="1091"/>
      <c r="NOD2344" s="1091"/>
      <c r="NOE2344" s="1091"/>
      <c r="NOF2344" s="1091"/>
      <c r="NOG2344" s="1091"/>
      <c r="NOH2344" s="1091"/>
      <c r="NOI2344" s="1091"/>
      <c r="NOJ2344" s="1091"/>
      <c r="NOK2344" s="1091"/>
      <c r="NOL2344" s="1091"/>
      <c r="NOM2344" s="1091"/>
      <c r="NON2344" s="1091"/>
      <c r="NOO2344" s="1091"/>
      <c r="NOP2344" s="1091"/>
      <c r="NOQ2344" s="1091"/>
      <c r="NOR2344" s="1091"/>
      <c r="NOS2344" s="1091"/>
      <c r="NOT2344" s="1091"/>
      <c r="NOU2344" s="1091"/>
      <c r="NOV2344" s="1091"/>
      <c r="NOW2344" s="1091"/>
      <c r="NOX2344" s="1091"/>
      <c r="NOY2344" s="1091"/>
      <c r="NOZ2344" s="1091"/>
      <c r="NPA2344" s="1091"/>
      <c r="NPB2344" s="1091"/>
      <c r="NPC2344" s="1091"/>
      <c r="NPD2344" s="1091"/>
      <c r="NPE2344" s="1091"/>
      <c r="NPF2344" s="1091"/>
      <c r="NPG2344" s="1091"/>
      <c r="NPH2344" s="1091"/>
      <c r="NPI2344" s="1091"/>
      <c r="NPJ2344" s="1091"/>
      <c r="NPK2344" s="1091"/>
      <c r="NPL2344" s="1091"/>
      <c r="NPM2344" s="1091"/>
      <c r="NPN2344" s="1091"/>
      <c r="NPO2344" s="1091"/>
      <c r="NPP2344" s="1091"/>
      <c r="NPQ2344" s="1091"/>
      <c r="NPR2344" s="1091"/>
      <c r="NPS2344" s="1091"/>
      <c r="NPT2344" s="1091"/>
      <c r="NPU2344" s="1091"/>
      <c r="NPV2344" s="1091"/>
      <c r="NPW2344" s="1091"/>
      <c r="NPX2344" s="1091"/>
      <c r="NPY2344" s="1091"/>
      <c r="NPZ2344" s="1091"/>
      <c r="NQA2344" s="1091"/>
      <c r="NQB2344" s="1091"/>
      <c r="NQC2344" s="1091"/>
      <c r="NQD2344" s="1091"/>
      <c r="NQE2344" s="1091"/>
      <c r="NQF2344" s="1091"/>
      <c r="NQG2344" s="1091"/>
      <c r="NQH2344" s="1091"/>
      <c r="NQI2344" s="1091"/>
      <c r="NQJ2344" s="1091"/>
      <c r="NQK2344" s="1091"/>
      <c r="NQL2344" s="1091"/>
      <c r="NQM2344" s="1091"/>
      <c r="NQN2344" s="1091"/>
      <c r="NQO2344" s="1091"/>
      <c r="NQP2344" s="1091"/>
      <c r="NQQ2344" s="1091"/>
      <c r="NQR2344" s="1091"/>
      <c r="NQS2344" s="1091"/>
      <c r="NQT2344" s="1091"/>
      <c r="NQU2344" s="1091"/>
      <c r="NQV2344" s="1091"/>
      <c r="NQW2344" s="1091"/>
      <c r="NQX2344" s="1091"/>
      <c r="NQY2344" s="1091"/>
      <c r="NQZ2344" s="1091"/>
      <c r="NRA2344" s="1091"/>
      <c r="NRB2344" s="1091"/>
      <c r="NRC2344" s="1091"/>
      <c r="NRD2344" s="1091"/>
      <c r="NRE2344" s="1091"/>
      <c r="NRF2344" s="1091"/>
      <c r="NRG2344" s="1091"/>
      <c r="NRH2344" s="1091"/>
      <c r="NRI2344" s="1091"/>
      <c r="NRJ2344" s="1091"/>
      <c r="NRK2344" s="1091"/>
      <c r="NRL2344" s="1091"/>
      <c r="NRM2344" s="1091"/>
      <c r="NRN2344" s="1091"/>
      <c r="NRO2344" s="1091"/>
      <c r="NRP2344" s="1091"/>
      <c r="NRQ2344" s="1091"/>
      <c r="NRR2344" s="1091"/>
      <c r="NRS2344" s="1091"/>
      <c r="NRT2344" s="1091"/>
      <c r="NRU2344" s="1091"/>
      <c r="NRV2344" s="1091"/>
      <c r="NRW2344" s="1091"/>
      <c r="NRX2344" s="1091"/>
      <c r="NRY2344" s="1091"/>
      <c r="NRZ2344" s="1091"/>
      <c r="NSA2344" s="1091"/>
      <c r="NSB2344" s="1091"/>
      <c r="NSC2344" s="1091"/>
      <c r="NSD2344" s="1091"/>
      <c r="NSE2344" s="1091"/>
      <c r="NSF2344" s="1091"/>
      <c r="NSG2344" s="1091"/>
      <c r="NSH2344" s="1091"/>
      <c r="NSI2344" s="1091"/>
      <c r="NSJ2344" s="1091"/>
      <c r="NSK2344" s="1091"/>
      <c r="NSL2344" s="1091"/>
      <c r="NSM2344" s="1091"/>
      <c r="NSN2344" s="1091"/>
      <c r="NSO2344" s="1091"/>
      <c r="NSP2344" s="1091"/>
      <c r="NSQ2344" s="1091"/>
      <c r="NSR2344" s="1091"/>
      <c r="NSS2344" s="1091"/>
      <c r="NST2344" s="1091"/>
      <c r="NSU2344" s="1091"/>
      <c r="NSV2344" s="1091"/>
      <c r="NSW2344" s="1091"/>
      <c r="NSX2344" s="1091"/>
      <c r="NSY2344" s="1091"/>
      <c r="NSZ2344" s="1091"/>
      <c r="NTA2344" s="1091"/>
      <c r="NTB2344" s="1091"/>
      <c r="NTC2344" s="1091"/>
      <c r="NTD2344" s="1091"/>
      <c r="NTE2344" s="1091"/>
      <c r="NTF2344" s="1091"/>
      <c r="NTG2344" s="1091"/>
      <c r="NTH2344" s="1091"/>
      <c r="NTI2344" s="1091"/>
      <c r="NTJ2344" s="1091"/>
      <c r="NTK2344" s="1091"/>
      <c r="NTL2344" s="1091"/>
      <c r="NTM2344" s="1091"/>
      <c r="NTN2344" s="1091"/>
      <c r="NTO2344" s="1091"/>
      <c r="NTP2344" s="1091"/>
      <c r="NTQ2344" s="1091"/>
      <c r="NTR2344" s="1091"/>
      <c r="NTS2344" s="1091"/>
      <c r="NTT2344" s="1091"/>
      <c r="NTU2344" s="1091"/>
      <c r="NTV2344" s="1091"/>
      <c r="NTW2344" s="1091"/>
      <c r="NTX2344" s="1091"/>
      <c r="NTY2344" s="1091"/>
      <c r="NTZ2344" s="1091"/>
      <c r="NUA2344" s="1091"/>
      <c r="NUB2344" s="1091"/>
      <c r="NUC2344" s="1091"/>
      <c r="NUD2344" s="1091"/>
      <c r="NUE2344" s="1091"/>
      <c r="NUF2344" s="1091"/>
      <c r="NUG2344" s="1091"/>
      <c r="NUH2344" s="1091"/>
      <c r="NUI2344" s="1091"/>
      <c r="NUJ2344" s="1091"/>
      <c r="NUK2344" s="1091"/>
      <c r="NUL2344" s="1091"/>
      <c r="NUM2344" s="1091"/>
      <c r="NUN2344" s="1091"/>
      <c r="NUO2344" s="1091"/>
      <c r="NUP2344" s="1091"/>
      <c r="NUQ2344" s="1091"/>
      <c r="NUR2344" s="1091"/>
      <c r="NUS2344" s="1091"/>
      <c r="NUT2344" s="1091"/>
      <c r="NUU2344" s="1091"/>
      <c r="NUV2344" s="1091"/>
      <c r="NUW2344" s="1091"/>
      <c r="NUX2344" s="1091"/>
      <c r="NUY2344" s="1091"/>
      <c r="NUZ2344" s="1091"/>
      <c r="NVA2344" s="1091"/>
      <c r="NVB2344" s="1091"/>
      <c r="NVC2344" s="1091"/>
      <c r="NVD2344" s="1091"/>
      <c r="NVE2344" s="1091"/>
      <c r="NVF2344" s="1091"/>
      <c r="NVG2344" s="1091"/>
      <c r="NVH2344" s="1091"/>
      <c r="NVI2344" s="1091"/>
      <c r="NVJ2344" s="1091"/>
      <c r="NVK2344" s="1091"/>
      <c r="NVL2344" s="1091"/>
      <c r="NVM2344" s="1091"/>
      <c r="NVN2344" s="1091"/>
      <c r="NVO2344" s="1091"/>
      <c r="NVP2344" s="1091"/>
      <c r="NVQ2344" s="1091"/>
      <c r="NVR2344" s="1091"/>
      <c r="NVS2344" s="1091"/>
      <c r="NVT2344" s="1091"/>
      <c r="NVU2344" s="1091"/>
      <c r="NVV2344" s="1091"/>
      <c r="NVW2344" s="1091"/>
      <c r="NVX2344" s="1091"/>
      <c r="NVY2344" s="1091"/>
      <c r="NVZ2344" s="1091"/>
      <c r="NWA2344" s="1091"/>
      <c r="NWB2344" s="1091"/>
      <c r="NWC2344" s="1091"/>
      <c r="NWD2344" s="1091"/>
      <c r="NWE2344" s="1091"/>
      <c r="NWF2344" s="1091"/>
      <c r="NWG2344" s="1091"/>
      <c r="NWH2344" s="1091"/>
      <c r="NWI2344" s="1091"/>
      <c r="NWJ2344" s="1091"/>
      <c r="NWK2344" s="1091"/>
      <c r="NWL2344" s="1091"/>
      <c r="NWM2344" s="1091"/>
      <c r="NWN2344" s="1091"/>
      <c r="NWO2344" s="1091"/>
      <c r="NWP2344" s="1091"/>
      <c r="NWQ2344" s="1091"/>
      <c r="NWR2344" s="1091"/>
      <c r="NWS2344" s="1091"/>
      <c r="NWT2344" s="1091"/>
      <c r="NWU2344" s="1091"/>
      <c r="NWV2344" s="1091"/>
      <c r="NWW2344" s="1091"/>
      <c r="NWX2344" s="1091"/>
      <c r="NWY2344" s="1091"/>
      <c r="NWZ2344" s="1091"/>
      <c r="NXA2344" s="1091"/>
      <c r="NXB2344" s="1091"/>
      <c r="NXC2344" s="1091"/>
      <c r="NXD2344" s="1091"/>
      <c r="NXE2344" s="1091"/>
      <c r="NXF2344" s="1091"/>
      <c r="NXG2344" s="1091"/>
      <c r="NXH2344" s="1091"/>
      <c r="NXI2344" s="1091"/>
      <c r="NXJ2344" s="1091"/>
      <c r="NXK2344" s="1091"/>
      <c r="NXL2344" s="1091"/>
      <c r="NXM2344" s="1091"/>
      <c r="NXN2344" s="1091"/>
      <c r="NXO2344" s="1091"/>
      <c r="NXP2344" s="1091"/>
      <c r="NXQ2344" s="1091"/>
      <c r="NXR2344" s="1091"/>
      <c r="NXS2344" s="1091"/>
      <c r="NXT2344" s="1091"/>
      <c r="NXU2344" s="1091"/>
      <c r="NXV2344" s="1091"/>
      <c r="NXW2344" s="1091"/>
      <c r="NXX2344" s="1091"/>
      <c r="NXY2344" s="1091"/>
      <c r="NXZ2344" s="1091"/>
      <c r="NYA2344" s="1091"/>
      <c r="NYB2344" s="1091"/>
      <c r="NYC2344" s="1091"/>
      <c r="NYD2344" s="1091"/>
      <c r="NYE2344" s="1091"/>
      <c r="NYF2344" s="1091"/>
      <c r="NYG2344" s="1091"/>
      <c r="NYH2344" s="1091"/>
      <c r="NYI2344" s="1091"/>
      <c r="NYJ2344" s="1091"/>
      <c r="NYK2344" s="1091"/>
      <c r="NYL2344" s="1091"/>
      <c r="NYM2344" s="1091"/>
      <c r="NYN2344" s="1091"/>
      <c r="NYO2344" s="1091"/>
      <c r="NYP2344" s="1091"/>
      <c r="NYQ2344" s="1091"/>
      <c r="NYR2344" s="1091"/>
      <c r="NYS2344" s="1091"/>
      <c r="NYT2344" s="1091"/>
      <c r="NYU2344" s="1091"/>
      <c r="NYV2344" s="1091"/>
      <c r="NYW2344" s="1091"/>
      <c r="NYX2344" s="1091"/>
      <c r="NYY2344" s="1091"/>
      <c r="NYZ2344" s="1091"/>
      <c r="NZA2344" s="1091"/>
      <c r="NZB2344" s="1091"/>
      <c r="NZC2344" s="1091"/>
      <c r="NZD2344" s="1091"/>
      <c r="NZE2344" s="1091"/>
      <c r="NZF2344" s="1091"/>
      <c r="NZG2344" s="1091"/>
      <c r="NZH2344" s="1091"/>
      <c r="NZI2344" s="1091"/>
      <c r="NZJ2344" s="1091"/>
      <c r="NZK2344" s="1091"/>
      <c r="NZL2344" s="1091"/>
      <c r="NZM2344" s="1091"/>
      <c r="NZN2344" s="1091"/>
      <c r="NZO2344" s="1091"/>
      <c r="NZP2344" s="1091"/>
      <c r="NZQ2344" s="1091"/>
      <c r="NZR2344" s="1091"/>
      <c r="NZS2344" s="1091"/>
      <c r="NZT2344" s="1091"/>
      <c r="NZU2344" s="1091"/>
      <c r="NZV2344" s="1091"/>
      <c r="NZW2344" s="1091"/>
      <c r="NZX2344" s="1091"/>
      <c r="NZY2344" s="1091"/>
      <c r="NZZ2344" s="1091"/>
      <c r="OAA2344" s="1091"/>
      <c r="OAB2344" s="1091"/>
      <c r="OAC2344" s="1091"/>
      <c r="OAD2344" s="1091"/>
      <c r="OAE2344" s="1091"/>
      <c r="OAF2344" s="1091"/>
      <c r="OAG2344" s="1091"/>
      <c r="OAH2344" s="1091"/>
      <c r="OAI2344" s="1091"/>
      <c r="OAJ2344" s="1091"/>
      <c r="OAK2344" s="1091"/>
      <c r="OAL2344" s="1091"/>
      <c r="OAM2344" s="1091"/>
      <c r="OAN2344" s="1091"/>
      <c r="OAO2344" s="1091"/>
      <c r="OAP2344" s="1091"/>
      <c r="OAQ2344" s="1091"/>
      <c r="OAR2344" s="1091"/>
      <c r="OAS2344" s="1091"/>
      <c r="OAT2344" s="1091"/>
      <c r="OAU2344" s="1091"/>
      <c r="OAV2344" s="1091"/>
      <c r="OAW2344" s="1091"/>
      <c r="OAX2344" s="1091"/>
      <c r="OAY2344" s="1091"/>
      <c r="OAZ2344" s="1091"/>
      <c r="OBA2344" s="1091"/>
      <c r="OBB2344" s="1091"/>
      <c r="OBC2344" s="1091"/>
      <c r="OBD2344" s="1091"/>
      <c r="OBE2344" s="1091"/>
      <c r="OBF2344" s="1091"/>
      <c r="OBG2344" s="1091"/>
      <c r="OBH2344" s="1091"/>
      <c r="OBI2344" s="1091"/>
      <c r="OBJ2344" s="1091"/>
      <c r="OBK2344" s="1091"/>
      <c r="OBL2344" s="1091"/>
      <c r="OBM2344" s="1091"/>
      <c r="OBN2344" s="1091"/>
      <c r="OBO2344" s="1091"/>
      <c r="OBP2344" s="1091"/>
      <c r="OBQ2344" s="1091"/>
      <c r="OBR2344" s="1091"/>
      <c r="OBS2344" s="1091"/>
      <c r="OBT2344" s="1091"/>
      <c r="OBU2344" s="1091"/>
      <c r="OBV2344" s="1091"/>
      <c r="OBW2344" s="1091"/>
      <c r="OBX2344" s="1091"/>
      <c r="OBY2344" s="1091"/>
      <c r="OBZ2344" s="1091"/>
      <c r="OCA2344" s="1091"/>
      <c r="OCB2344" s="1091"/>
      <c r="OCC2344" s="1091"/>
      <c r="OCD2344" s="1091"/>
      <c r="OCE2344" s="1091"/>
      <c r="OCF2344" s="1091"/>
      <c r="OCG2344" s="1091"/>
      <c r="OCH2344" s="1091"/>
      <c r="OCI2344" s="1091"/>
      <c r="OCJ2344" s="1091"/>
      <c r="OCK2344" s="1091"/>
      <c r="OCL2344" s="1091"/>
      <c r="OCM2344" s="1091"/>
      <c r="OCN2344" s="1091"/>
      <c r="OCO2344" s="1091"/>
      <c r="OCP2344" s="1091"/>
      <c r="OCQ2344" s="1091"/>
      <c r="OCR2344" s="1091"/>
      <c r="OCS2344" s="1091"/>
      <c r="OCT2344" s="1091"/>
      <c r="OCU2344" s="1091"/>
      <c r="OCV2344" s="1091"/>
      <c r="OCW2344" s="1091"/>
      <c r="OCX2344" s="1091"/>
      <c r="OCY2344" s="1091"/>
      <c r="OCZ2344" s="1091"/>
      <c r="ODA2344" s="1091"/>
      <c r="ODB2344" s="1091"/>
      <c r="ODC2344" s="1091"/>
      <c r="ODD2344" s="1091"/>
      <c r="ODE2344" s="1091"/>
      <c r="ODF2344" s="1091"/>
      <c r="ODG2344" s="1091"/>
      <c r="ODH2344" s="1091"/>
      <c r="ODI2344" s="1091"/>
      <c r="ODJ2344" s="1091"/>
      <c r="ODK2344" s="1091"/>
      <c r="ODL2344" s="1091"/>
      <c r="ODM2344" s="1091"/>
      <c r="ODN2344" s="1091"/>
      <c r="ODO2344" s="1091"/>
      <c r="ODP2344" s="1091"/>
      <c r="ODQ2344" s="1091"/>
      <c r="ODR2344" s="1091"/>
      <c r="ODS2344" s="1091"/>
      <c r="ODT2344" s="1091"/>
      <c r="ODU2344" s="1091"/>
      <c r="ODV2344" s="1091"/>
      <c r="ODW2344" s="1091"/>
      <c r="ODX2344" s="1091"/>
      <c r="ODY2344" s="1091"/>
      <c r="ODZ2344" s="1091"/>
      <c r="OEA2344" s="1091"/>
      <c r="OEB2344" s="1091"/>
      <c r="OEC2344" s="1091"/>
      <c r="OED2344" s="1091"/>
      <c r="OEE2344" s="1091"/>
      <c r="OEF2344" s="1091"/>
      <c r="OEG2344" s="1091"/>
      <c r="OEH2344" s="1091"/>
      <c r="OEI2344" s="1091"/>
      <c r="OEJ2344" s="1091"/>
      <c r="OEK2344" s="1091"/>
      <c r="OEL2344" s="1091"/>
      <c r="OEM2344" s="1091"/>
      <c r="OEN2344" s="1091"/>
      <c r="OEO2344" s="1091"/>
      <c r="OEP2344" s="1091"/>
      <c r="OEQ2344" s="1091"/>
      <c r="OER2344" s="1091"/>
      <c r="OES2344" s="1091"/>
      <c r="OET2344" s="1091"/>
      <c r="OEU2344" s="1091"/>
      <c r="OEV2344" s="1091"/>
      <c r="OEW2344" s="1091"/>
      <c r="OEX2344" s="1091"/>
      <c r="OEY2344" s="1091"/>
      <c r="OEZ2344" s="1091"/>
      <c r="OFA2344" s="1091"/>
      <c r="OFB2344" s="1091"/>
      <c r="OFC2344" s="1091"/>
      <c r="OFD2344" s="1091"/>
      <c r="OFE2344" s="1091"/>
      <c r="OFF2344" s="1091"/>
      <c r="OFG2344" s="1091"/>
      <c r="OFH2344" s="1091"/>
      <c r="OFI2344" s="1091"/>
      <c r="OFJ2344" s="1091"/>
      <c r="OFK2344" s="1091"/>
      <c r="OFL2344" s="1091"/>
      <c r="OFM2344" s="1091"/>
      <c r="OFN2344" s="1091"/>
      <c r="OFO2344" s="1091"/>
      <c r="OFP2344" s="1091"/>
      <c r="OFQ2344" s="1091"/>
      <c r="OFR2344" s="1091"/>
      <c r="OFS2344" s="1091"/>
      <c r="OFT2344" s="1091"/>
      <c r="OFU2344" s="1091"/>
      <c r="OFV2344" s="1091"/>
      <c r="OFW2344" s="1091"/>
      <c r="OFX2344" s="1091"/>
      <c r="OFY2344" s="1091"/>
      <c r="OFZ2344" s="1091"/>
      <c r="OGA2344" s="1091"/>
      <c r="OGB2344" s="1091"/>
      <c r="OGC2344" s="1091"/>
      <c r="OGD2344" s="1091"/>
      <c r="OGE2344" s="1091"/>
      <c r="OGF2344" s="1091"/>
      <c r="OGG2344" s="1091"/>
      <c r="OGH2344" s="1091"/>
      <c r="OGI2344" s="1091"/>
      <c r="OGJ2344" s="1091"/>
      <c r="OGK2344" s="1091"/>
      <c r="OGL2344" s="1091"/>
      <c r="OGM2344" s="1091"/>
      <c r="OGN2344" s="1091"/>
      <c r="OGO2344" s="1091"/>
      <c r="OGP2344" s="1091"/>
      <c r="OGQ2344" s="1091"/>
      <c r="OGR2344" s="1091"/>
      <c r="OGS2344" s="1091"/>
      <c r="OGT2344" s="1091"/>
      <c r="OGU2344" s="1091"/>
      <c r="OGV2344" s="1091"/>
      <c r="OGW2344" s="1091"/>
      <c r="OGX2344" s="1091"/>
      <c r="OGY2344" s="1091"/>
      <c r="OGZ2344" s="1091"/>
      <c r="OHA2344" s="1091"/>
      <c r="OHB2344" s="1091"/>
      <c r="OHC2344" s="1091"/>
      <c r="OHD2344" s="1091"/>
      <c r="OHE2344" s="1091"/>
      <c r="OHF2344" s="1091"/>
      <c r="OHG2344" s="1091"/>
      <c r="OHH2344" s="1091"/>
      <c r="OHI2344" s="1091"/>
      <c r="OHJ2344" s="1091"/>
      <c r="OHK2344" s="1091"/>
      <c r="OHL2344" s="1091"/>
      <c r="OHM2344" s="1091"/>
      <c r="OHN2344" s="1091"/>
      <c r="OHO2344" s="1091"/>
      <c r="OHP2344" s="1091"/>
      <c r="OHQ2344" s="1091"/>
      <c r="OHR2344" s="1091"/>
      <c r="OHS2344" s="1091"/>
      <c r="OHT2344" s="1091"/>
      <c r="OHU2344" s="1091"/>
      <c r="OHV2344" s="1091"/>
      <c r="OHW2344" s="1091"/>
      <c r="OHX2344" s="1091"/>
      <c r="OHY2344" s="1091"/>
      <c r="OHZ2344" s="1091"/>
      <c r="OIA2344" s="1091"/>
      <c r="OIB2344" s="1091"/>
      <c r="OIC2344" s="1091"/>
      <c r="OID2344" s="1091"/>
      <c r="OIE2344" s="1091"/>
      <c r="OIF2344" s="1091"/>
      <c r="OIG2344" s="1091"/>
      <c r="OIH2344" s="1091"/>
      <c r="OII2344" s="1091"/>
      <c r="OIJ2344" s="1091"/>
      <c r="OIK2344" s="1091"/>
      <c r="OIL2344" s="1091"/>
      <c r="OIM2344" s="1091"/>
      <c r="OIN2344" s="1091"/>
      <c r="OIO2344" s="1091"/>
      <c r="OIP2344" s="1091"/>
      <c r="OIQ2344" s="1091"/>
      <c r="OIR2344" s="1091"/>
      <c r="OIS2344" s="1091"/>
      <c r="OIT2344" s="1091"/>
      <c r="OIU2344" s="1091"/>
      <c r="OIV2344" s="1091"/>
      <c r="OIW2344" s="1091"/>
      <c r="OIX2344" s="1091"/>
      <c r="OIY2344" s="1091"/>
      <c r="OIZ2344" s="1091"/>
      <c r="OJA2344" s="1091"/>
      <c r="OJB2344" s="1091"/>
      <c r="OJC2344" s="1091"/>
      <c r="OJD2344" s="1091"/>
      <c r="OJE2344" s="1091"/>
      <c r="OJF2344" s="1091"/>
      <c r="OJG2344" s="1091"/>
      <c r="OJH2344" s="1091"/>
      <c r="OJI2344" s="1091"/>
      <c r="OJJ2344" s="1091"/>
      <c r="OJK2344" s="1091"/>
      <c r="OJL2344" s="1091"/>
      <c r="OJM2344" s="1091"/>
      <c r="OJN2344" s="1091"/>
      <c r="OJO2344" s="1091"/>
      <c r="OJP2344" s="1091"/>
      <c r="OJQ2344" s="1091"/>
      <c r="OJR2344" s="1091"/>
      <c r="OJS2344" s="1091"/>
      <c r="OJT2344" s="1091"/>
      <c r="OJU2344" s="1091"/>
      <c r="OJV2344" s="1091"/>
      <c r="OJW2344" s="1091"/>
      <c r="OJX2344" s="1091"/>
      <c r="OJY2344" s="1091"/>
      <c r="OJZ2344" s="1091"/>
      <c r="OKA2344" s="1091"/>
      <c r="OKB2344" s="1091"/>
      <c r="OKC2344" s="1091"/>
      <c r="OKD2344" s="1091"/>
      <c r="OKE2344" s="1091"/>
      <c r="OKF2344" s="1091"/>
      <c r="OKG2344" s="1091"/>
      <c r="OKH2344" s="1091"/>
      <c r="OKI2344" s="1091"/>
      <c r="OKJ2344" s="1091"/>
      <c r="OKK2344" s="1091"/>
      <c r="OKL2344" s="1091"/>
      <c r="OKM2344" s="1091"/>
      <c r="OKN2344" s="1091"/>
      <c r="OKO2344" s="1091"/>
      <c r="OKP2344" s="1091"/>
      <c r="OKQ2344" s="1091"/>
      <c r="OKR2344" s="1091"/>
      <c r="OKS2344" s="1091"/>
      <c r="OKT2344" s="1091"/>
      <c r="OKU2344" s="1091"/>
      <c r="OKV2344" s="1091"/>
      <c r="OKW2344" s="1091"/>
      <c r="OKX2344" s="1091"/>
      <c r="OKY2344" s="1091"/>
      <c r="OKZ2344" s="1091"/>
      <c r="OLA2344" s="1091"/>
      <c r="OLB2344" s="1091"/>
      <c r="OLC2344" s="1091"/>
      <c r="OLD2344" s="1091"/>
      <c r="OLE2344" s="1091"/>
      <c r="OLF2344" s="1091"/>
      <c r="OLG2344" s="1091"/>
      <c r="OLH2344" s="1091"/>
      <c r="OLI2344" s="1091"/>
      <c r="OLJ2344" s="1091"/>
      <c r="OLK2344" s="1091"/>
      <c r="OLL2344" s="1091"/>
      <c r="OLM2344" s="1091"/>
      <c r="OLN2344" s="1091"/>
      <c r="OLO2344" s="1091"/>
      <c r="OLP2344" s="1091"/>
      <c r="OLQ2344" s="1091"/>
      <c r="OLR2344" s="1091"/>
      <c r="OLS2344" s="1091"/>
      <c r="OLT2344" s="1091"/>
      <c r="OLU2344" s="1091"/>
      <c r="OLV2344" s="1091"/>
      <c r="OLW2344" s="1091"/>
      <c r="OLX2344" s="1091"/>
      <c r="OLY2344" s="1091"/>
      <c r="OLZ2344" s="1091"/>
      <c r="OMA2344" s="1091"/>
      <c r="OMB2344" s="1091"/>
      <c r="OMC2344" s="1091"/>
      <c r="OMD2344" s="1091"/>
      <c r="OME2344" s="1091"/>
      <c r="OMF2344" s="1091"/>
      <c r="OMG2344" s="1091"/>
      <c r="OMH2344" s="1091"/>
      <c r="OMI2344" s="1091"/>
      <c r="OMJ2344" s="1091"/>
      <c r="OMK2344" s="1091"/>
      <c r="OML2344" s="1091"/>
      <c r="OMM2344" s="1091"/>
      <c r="OMN2344" s="1091"/>
      <c r="OMO2344" s="1091"/>
      <c r="OMP2344" s="1091"/>
      <c r="OMQ2344" s="1091"/>
      <c r="OMR2344" s="1091"/>
      <c r="OMS2344" s="1091"/>
      <c r="OMT2344" s="1091"/>
      <c r="OMU2344" s="1091"/>
      <c r="OMV2344" s="1091"/>
      <c r="OMW2344" s="1091"/>
      <c r="OMX2344" s="1091"/>
      <c r="OMY2344" s="1091"/>
      <c r="OMZ2344" s="1091"/>
      <c r="ONA2344" s="1091"/>
      <c r="ONB2344" s="1091"/>
      <c r="ONC2344" s="1091"/>
      <c r="OND2344" s="1091"/>
      <c r="ONE2344" s="1091"/>
      <c r="ONF2344" s="1091"/>
      <c r="ONG2344" s="1091"/>
      <c r="ONH2344" s="1091"/>
      <c r="ONI2344" s="1091"/>
      <c r="ONJ2344" s="1091"/>
      <c r="ONK2344" s="1091"/>
      <c r="ONL2344" s="1091"/>
      <c r="ONM2344" s="1091"/>
      <c r="ONN2344" s="1091"/>
      <c r="ONO2344" s="1091"/>
      <c r="ONP2344" s="1091"/>
      <c r="ONQ2344" s="1091"/>
      <c r="ONR2344" s="1091"/>
      <c r="ONS2344" s="1091"/>
      <c r="ONT2344" s="1091"/>
      <c r="ONU2344" s="1091"/>
      <c r="ONV2344" s="1091"/>
      <c r="ONW2344" s="1091"/>
      <c r="ONX2344" s="1091"/>
      <c r="ONY2344" s="1091"/>
      <c r="ONZ2344" s="1091"/>
      <c r="OOA2344" s="1091"/>
      <c r="OOB2344" s="1091"/>
      <c r="OOC2344" s="1091"/>
      <c r="OOD2344" s="1091"/>
      <c r="OOE2344" s="1091"/>
      <c r="OOF2344" s="1091"/>
      <c r="OOG2344" s="1091"/>
      <c r="OOH2344" s="1091"/>
      <c r="OOI2344" s="1091"/>
      <c r="OOJ2344" s="1091"/>
      <c r="OOK2344" s="1091"/>
      <c r="OOL2344" s="1091"/>
      <c r="OOM2344" s="1091"/>
      <c r="OON2344" s="1091"/>
      <c r="OOO2344" s="1091"/>
      <c r="OOP2344" s="1091"/>
      <c r="OOQ2344" s="1091"/>
      <c r="OOR2344" s="1091"/>
      <c r="OOS2344" s="1091"/>
      <c r="OOT2344" s="1091"/>
      <c r="OOU2344" s="1091"/>
      <c r="OOV2344" s="1091"/>
      <c r="OOW2344" s="1091"/>
      <c r="OOX2344" s="1091"/>
      <c r="OOY2344" s="1091"/>
      <c r="OOZ2344" s="1091"/>
      <c r="OPA2344" s="1091"/>
      <c r="OPB2344" s="1091"/>
      <c r="OPC2344" s="1091"/>
      <c r="OPD2344" s="1091"/>
      <c r="OPE2344" s="1091"/>
      <c r="OPF2344" s="1091"/>
      <c r="OPG2344" s="1091"/>
      <c r="OPH2344" s="1091"/>
      <c r="OPI2344" s="1091"/>
      <c r="OPJ2344" s="1091"/>
      <c r="OPK2344" s="1091"/>
      <c r="OPL2344" s="1091"/>
      <c r="OPM2344" s="1091"/>
      <c r="OPN2344" s="1091"/>
      <c r="OPO2344" s="1091"/>
      <c r="OPP2344" s="1091"/>
      <c r="OPQ2344" s="1091"/>
      <c r="OPR2344" s="1091"/>
      <c r="OPS2344" s="1091"/>
      <c r="OPT2344" s="1091"/>
      <c r="OPU2344" s="1091"/>
      <c r="OPV2344" s="1091"/>
      <c r="OPW2344" s="1091"/>
      <c r="OPX2344" s="1091"/>
      <c r="OPY2344" s="1091"/>
      <c r="OPZ2344" s="1091"/>
      <c r="OQA2344" s="1091"/>
      <c r="OQB2344" s="1091"/>
      <c r="OQC2344" s="1091"/>
      <c r="OQD2344" s="1091"/>
      <c r="OQE2344" s="1091"/>
      <c r="OQF2344" s="1091"/>
      <c r="OQG2344" s="1091"/>
      <c r="OQH2344" s="1091"/>
      <c r="OQI2344" s="1091"/>
      <c r="OQJ2344" s="1091"/>
      <c r="OQK2344" s="1091"/>
      <c r="OQL2344" s="1091"/>
      <c r="OQM2344" s="1091"/>
      <c r="OQN2344" s="1091"/>
      <c r="OQO2344" s="1091"/>
      <c r="OQP2344" s="1091"/>
      <c r="OQQ2344" s="1091"/>
      <c r="OQR2344" s="1091"/>
      <c r="OQS2344" s="1091"/>
      <c r="OQT2344" s="1091"/>
      <c r="OQU2344" s="1091"/>
      <c r="OQV2344" s="1091"/>
      <c r="OQW2344" s="1091"/>
      <c r="OQX2344" s="1091"/>
      <c r="OQY2344" s="1091"/>
      <c r="OQZ2344" s="1091"/>
      <c r="ORA2344" s="1091"/>
      <c r="ORB2344" s="1091"/>
      <c r="ORC2344" s="1091"/>
      <c r="ORD2344" s="1091"/>
      <c r="ORE2344" s="1091"/>
      <c r="ORF2344" s="1091"/>
      <c r="ORG2344" s="1091"/>
      <c r="ORH2344" s="1091"/>
      <c r="ORI2344" s="1091"/>
      <c r="ORJ2344" s="1091"/>
      <c r="ORK2344" s="1091"/>
      <c r="ORL2344" s="1091"/>
      <c r="ORM2344" s="1091"/>
      <c r="ORN2344" s="1091"/>
      <c r="ORO2344" s="1091"/>
      <c r="ORP2344" s="1091"/>
      <c r="ORQ2344" s="1091"/>
      <c r="ORR2344" s="1091"/>
      <c r="ORS2344" s="1091"/>
      <c r="ORT2344" s="1091"/>
      <c r="ORU2344" s="1091"/>
      <c r="ORV2344" s="1091"/>
      <c r="ORW2344" s="1091"/>
      <c r="ORX2344" s="1091"/>
      <c r="ORY2344" s="1091"/>
      <c r="ORZ2344" s="1091"/>
      <c r="OSA2344" s="1091"/>
      <c r="OSB2344" s="1091"/>
      <c r="OSC2344" s="1091"/>
      <c r="OSD2344" s="1091"/>
      <c r="OSE2344" s="1091"/>
      <c r="OSF2344" s="1091"/>
      <c r="OSG2344" s="1091"/>
      <c r="OSH2344" s="1091"/>
      <c r="OSI2344" s="1091"/>
      <c r="OSJ2344" s="1091"/>
      <c r="OSK2344" s="1091"/>
      <c r="OSL2344" s="1091"/>
      <c r="OSM2344" s="1091"/>
      <c r="OSN2344" s="1091"/>
      <c r="OSO2344" s="1091"/>
      <c r="OSP2344" s="1091"/>
      <c r="OSQ2344" s="1091"/>
      <c r="OSR2344" s="1091"/>
      <c r="OSS2344" s="1091"/>
      <c r="OST2344" s="1091"/>
      <c r="OSU2344" s="1091"/>
      <c r="OSV2344" s="1091"/>
      <c r="OSW2344" s="1091"/>
      <c r="OSX2344" s="1091"/>
      <c r="OSY2344" s="1091"/>
      <c r="OSZ2344" s="1091"/>
      <c r="OTA2344" s="1091"/>
      <c r="OTB2344" s="1091"/>
      <c r="OTC2344" s="1091"/>
      <c r="OTD2344" s="1091"/>
      <c r="OTE2344" s="1091"/>
      <c r="OTF2344" s="1091"/>
      <c r="OTG2344" s="1091"/>
      <c r="OTH2344" s="1091"/>
      <c r="OTI2344" s="1091"/>
      <c r="OTJ2344" s="1091"/>
      <c r="OTK2344" s="1091"/>
      <c r="OTL2344" s="1091"/>
      <c r="OTM2344" s="1091"/>
      <c r="OTN2344" s="1091"/>
      <c r="OTO2344" s="1091"/>
      <c r="OTP2344" s="1091"/>
      <c r="OTQ2344" s="1091"/>
      <c r="OTR2344" s="1091"/>
      <c r="OTS2344" s="1091"/>
      <c r="OTT2344" s="1091"/>
      <c r="OTU2344" s="1091"/>
      <c r="OTV2344" s="1091"/>
      <c r="OTW2344" s="1091"/>
      <c r="OTX2344" s="1091"/>
      <c r="OTY2344" s="1091"/>
      <c r="OTZ2344" s="1091"/>
      <c r="OUA2344" s="1091"/>
      <c r="OUB2344" s="1091"/>
      <c r="OUC2344" s="1091"/>
      <c r="OUD2344" s="1091"/>
      <c r="OUE2344" s="1091"/>
      <c r="OUF2344" s="1091"/>
      <c r="OUG2344" s="1091"/>
      <c r="OUH2344" s="1091"/>
      <c r="OUI2344" s="1091"/>
      <c r="OUJ2344" s="1091"/>
      <c r="OUK2344" s="1091"/>
      <c r="OUL2344" s="1091"/>
      <c r="OUM2344" s="1091"/>
      <c r="OUN2344" s="1091"/>
      <c r="OUO2344" s="1091"/>
      <c r="OUP2344" s="1091"/>
      <c r="OUQ2344" s="1091"/>
      <c r="OUR2344" s="1091"/>
      <c r="OUS2344" s="1091"/>
      <c r="OUT2344" s="1091"/>
      <c r="OUU2344" s="1091"/>
      <c r="OUV2344" s="1091"/>
      <c r="OUW2344" s="1091"/>
      <c r="OUX2344" s="1091"/>
      <c r="OUY2344" s="1091"/>
      <c r="OUZ2344" s="1091"/>
      <c r="OVA2344" s="1091"/>
      <c r="OVB2344" s="1091"/>
      <c r="OVC2344" s="1091"/>
      <c r="OVD2344" s="1091"/>
      <c r="OVE2344" s="1091"/>
      <c r="OVF2344" s="1091"/>
      <c r="OVG2344" s="1091"/>
      <c r="OVH2344" s="1091"/>
      <c r="OVI2344" s="1091"/>
      <c r="OVJ2344" s="1091"/>
      <c r="OVK2344" s="1091"/>
      <c r="OVL2344" s="1091"/>
      <c r="OVM2344" s="1091"/>
      <c r="OVN2344" s="1091"/>
      <c r="OVO2344" s="1091"/>
      <c r="OVP2344" s="1091"/>
      <c r="OVQ2344" s="1091"/>
      <c r="OVR2344" s="1091"/>
      <c r="OVS2344" s="1091"/>
      <c r="OVT2344" s="1091"/>
      <c r="OVU2344" s="1091"/>
      <c r="OVV2344" s="1091"/>
      <c r="OVW2344" s="1091"/>
      <c r="OVX2344" s="1091"/>
      <c r="OVY2344" s="1091"/>
      <c r="OVZ2344" s="1091"/>
      <c r="OWA2344" s="1091"/>
      <c r="OWB2344" s="1091"/>
      <c r="OWC2344" s="1091"/>
      <c r="OWD2344" s="1091"/>
      <c r="OWE2344" s="1091"/>
      <c r="OWF2344" s="1091"/>
      <c r="OWG2344" s="1091"/>
      <c r="OWH2344" s="1091"/>
      <c r="OWI2344" s="1091"/>
      <c r="OWJ2344" s="1091"/>
      <c r="OWK2344" s="1091"/>
      <c r="OWL2344" s="1091"/>
      <c r="OWM2344" s="1091"/>
      <c r="OWN2344" s="1091"/>
      <c r="OWO2344" s="1091"/>
      <c r="OWP2344" s="1091"/>
      <c r="OWQ2344" s="1091"/>
      <c r="OWR2344" s="1091"/>
      <c r="OWS2344" s="1091"/>
      <c r="OWT2344" s="1091"/>
      <c r="OWU2344" s="1091"/>
      <c r="OWV2344" s="1091"/>
      <c r="OWW2344" s="1091"/>
      <c r="OWX2344" s="1091"/>
      <c r="OWY2344" s="1091"/>
      <c r="OWZ2344" s="1091"/>
      <c r="OXA2344" s="1091"/>
      <c r="OXB2344" s="1091"/>
      <c r="OXC2344" s="1091"/>
      <c r="OXD2344" s="1091"/>
      <c r="OXE2344" s="1091"/>
      <c r="OXF2344" s="1091"/>
      <c r="OXG2344" s="1091"/>
      <c r="OXH2344" s="1091"/>
      <c r="OXI2344" s="1091"/>
      <c r="OXJ2344" s="1091"/>
      <c r="OXK2344" s="1091"/>
      <c r="OXL2344" s="1091"/>
      <c r="OXM2344" s="1091"/>
      <c r="OXN2344" s="1091"/>
      <c r="OXO2344" s="1091"/>
      <c r="OXP2344" s="1091"/>
      <c r="OXQ2344" s="1091"/>
      <c r="OXR2344" s="1091"/>
      <c r="OXS2344" s="1091"/>
      <c r="OXT2344" s="1091"/>
      <c r="OXU2344" s="1091"/>
      <c r="OXV2344" s="1091"/>
      <c r="OXW2344" s="1091"/>
      <c r="OXX2344" s="1091"/>
      <c r="OXY2344" s="1091"/>
      <c r="OXZ2344" s="1091"/>
      <c r="OYA2344" s="1091"/>
      <c r="OYB2344" s="1091"/>
      <c r="OYC2344" s="1091"/>
      <c r="OYD2344" s="1091"/>
      <c r="OYE2344" s="1091"/>
      <c r="OYF2344" s="1091"/>
      <c r="OYG2344" s="1091"/>
      <c r="OYH2344" s="1091"/>
      <c r="OYI2344" s="1091"/>
      <c r="OYJ2344" s="1091"/>
      <c r="OYK2344" s="1091"/>
      <c r="OYL2344" s="1091"/>
      <c r="OYM2344" s="1091"/>
      <c r="OYN2344" s="1091"/>
      <c r="OYO2344" s="1091"/>
      <c r="OYP2344" s="1091"/>
      <c r="OYQ2344" s="1091"/>
      <c r="OYR2344" s="1091"/>
      <c r="OYS2344" s="1091"/>
      <c r="OYT2344" s="1091"/>
      <c r="OYU2344" s="1091"/>
      <c r="OYV2344" s="1091"/>
      <c r="OYW2344" s="1091"/>
      <c r="OYX2344" s="1091"/>
      <c r="OYY2344" s="1091"/>
      <c r="OYZ2344" s="1091"/>
      <c r="OZA2344" s="1091"/>
      <c r="OZB2344" s="1091"/>
      <c r="OZC2344" s="1091"/>
      <c r="OZD2344" s="1091"/>
      <c r="OZE2344" s="1091"/>
      <c r="OZF2344" s="1091"/>
      <c r="OZG2344" s="1091"/>
      <c r="OZH2344" s="1091"/>
      <c r="OZI2344" s="1091"/>
      <c r="OZJ2344" s="1091"/>
      <c r="OZK2344" s="1091"/>
      <c r="OZL2344" s="1091"/>
      <c r="OZM2344" s="1091"/>
      <c r="OZN2344" s="1091"/>
      <c r="OZO2344" s="1091"/>
      <c r="OZP2344" s="1091"/>
      <c r="OZQ2344" s="1091"/>
      <c r="OZR2344" s="1091"/>
      <c r="OZS2344" s="1091"/>
      <c r="OZT2344" s="1091"/>
      <c r="OZU2344" s="1091"/>
      <c r="OZV2344" s="1091"/>
      <c r="OZW2344" s="1091"/>
      <c r="OZX2344" s="1091"/>
      <c r="OZY2344" s="1091"/>
      <c r="OZZ2344" s="1091"/>
      <c r="PAA2344" s="1091"/>
      <c r="PAB2344" s="1091"/>
      <c r="PAC2344" s="1091"/>
      <c r="PAD2344" s="1091"/>
      <c r="PAE2344" s="1091"/>
      <c r="PAF2344" s="1091"/>
      <c r="PAG2344" s="1091"/>
      <c r="PAH2344" s="1091"/>
      <c r="PAI2344" s="1091"/>
      <c r="PAJ2344" s="1091"/>
      <c r="PAK2344" s="1091"/>
      <c r="PAL2344" s="1091"/>
      <c r="PAM2344" s="1091"/>
      <c r="PAN2344" s="1091"/>
      <c r="PAO2344" s="1091"/>
      <c r="PAP2344" s="1091"/>
      <c r="PAQ2344" s="1091"/>
      <c r="PAR2344" s="1091"/>
      <c r="PAS2344" s="1091"/>
      <c r="PAT2344" s="1091"/>
      <c r="PAU2344" s="1091"/>
      <c r="PAV2344" s="1091"/>
      <c r="PAW2344" s="1091"/>
      <c r="PAX2344" s="1091"/>
      <c r="PAY2344" s="1091"/>
      <c r="PAZ2344" s="1091"/>
      <c r="PBA2344" s="1091"/>
      <c r="PBB2344" s="1091"/>
      <c r="PBC2344" s="1091"/>
      <c r="PBD2344" s="1091"/>
      <c r="PBE2344" s="1091"/>
      <c r="PBF2344" s="1091"/>
      <c r="PBG2344" s="1091"/>
      <c r="PBH2344" s="1091"/>
      <c r="PBI2344" s="1091"/>
      <c r="PBJ2344" s="1091"/>
      <c r="PBK2344" s="1091"/>
      <c r="PBL2344" s="1091"/>
      <c r="PBM2344" s="1091"/>
      <c r="PBN2344" s="1091"/>
      <c r="PBO2344" s="1091"/>
      <c r="PBP2344" s="1091"/>
      <c r="PBQ2344" s="1091"/>
      <c r="PBR2344" s="1091"/>
      <c r="PBS2344" s="1091"/>
      <c r="PBT2344" s="1091"/>
      <c r="PBU2344" s="1091"/>
      <c r="PBV2344" s="1091"/>
      <c r="PBW2344" s="1091"/>
      <c r="PBX2344" s="1091"/>
      <c r="PBY2344" s="1091"/>
      <c r="PBZ2344" s="1091"/>
      <c r="PCA2344" s="1091"/>
      <c r="PCB2344" s="1091"/>
      <c r="PCC2344" s="1091"/>
      <c r="PCD2344" s="1091"/>
      <c r="PCE2344" s="1091"/>
      <c r="PCF2344" s="1091"/>
      <c r="PCG2344" s="1091"/>
      <c r="PCH2344" s="1091"/>
      <c r="PCI2344" s="1091"/>
      <c r="PCJ2344" s="1091"/>
      <c r="PCK2344" s="1091"/>
      <c r="PCL2344" s="1091"/>
      <c r="PCM2344" s="1091"/>
      <c r="PCN2344" s="1091"/>
      <c r="PCO2344" s="1091"/>
      <c r="PCP2344" s="1091"/>
      <c r="PCQ2344" s="1091"/>
      <c r="PCR2344" s="1091"/>
      <c r="PCS2344" s="1091"/>
      <c r="PCT2344" s="1091"/>
      <c r="PCU2344" s="1091"/>
      <c r="PCV2344" s="1091"/>
      <c r="PCW2344" s="1091"/>
      <c r="PCX2344" s="1091"/>
      <c r="PCY2344" s="1091"/>
      <c r="PCZ2344" s="1091"/>
      <c r="PDA2344" s="1091"/>
      <c r="PDB2344" s="1091"/>
      <c r="PDC2344" s="1091"/>
      <c r="PDD2344" s="1091"/>
      <c r="PDE2344" s="1091"/>
      <c r="PDF2344" s="1091"/>
      <c r="PDG2344" s="1091"/>
      <c r="PDH2344" s="1091"/>
      <c r="PDI2344" s="1091"/>
      <c r="PDJ2344" s="1091"/>
      <c r="PDK2344" s="1091"/>
      <c r="PDL2344" s="1091"/>
      <c r="PDM2344" s="1091"/>
      <c r="PDN2344" s="1091"/>
      <c r="PDO2344" s="1091"/>
      <c r="PDP2344" s="1091"/>
      <c r="PDQ2344" s="1091"/>
      <c r="PDR2344" s="1091"/>
      <c r="PDS2344" s="1091"/>
      <c r="PDT2344" s="1091"/>
      <c r="PDU2344" s="1091"/>
      <c r="PDV2344" s="1091"/>
      <c r="PDW2344" s="1091"/>
      <c r="PDX2344" s="1091"/>
      <c r="PDY2344" s="1091"/>
      <c r="PDZ2344" s="1091"/>
      <c r="PEA2344" s="1091"/>
      <c r="PEB2344" s="1091"/>
      <c r="PEC2344" s="1091"/>
      <c r="PED2344" s="1091"/>
      <c r="PEE2344" s="1091"/>
      <c r="PEF2344" s="1091"/>
      <c r="PEG2344" s="1091"/>
      <c r="PEH2344" s="1091"/>
      <c r="PEI2344" s="1091"/>
      <c r="PEJ2344" s="1091"/>
      <c r="PEK2344" s="1091"/>
      <c r="PEL2344" s="1091"/>
      <c r="PEM2344" s="1091"/>
      <c r="PEN2344" s="1091"/>
      <c r="PEO2344" s="1091"/>
      <c r="PEP2344" s="1091"/>
      <c r="PEQ2344" s="1091"/>
      <c r="PER2344" s="1091"/>
      <c r="PES2344" s="1091"/>
      <c r="PET2344" s="1091"/>
      <c r="PEU2344" s="1091"/>
      <c r="PEV2344" s="1091"/>
      <c r="PEW2344" s="1091"/>
      <c r="PEX2344" s="1091"/>
      <c r="PEY2344" s="1091"/>
      <c r="PEZ2344" s="1091"/>
      <c r="PFA2344" s="1091"/>
      <c r="PFB2344" s="1091"/>
      <c r="PFC2344" s="1091"/>
      <c r="PFD2344" s="1091"/>
      <c r="PFE2344" s="1091"/>
      <c r="PFF2344" s="1091"/>
      <c r="PFG2344" s="1091"/>
      <c r="PFH2344" s="1091"/>
      <c r="PFI2344" s="1091"/>
      <c r="PFJ2344" s="1091"/>
      <c r="PFK2344" s="1091"/>
      <c r="PFL2344" s="1091"/>
      <c r="PFM2344" s="1091"/>
      <c r="PFN2344" s="1091"/>
      <c r="PFO2344" s="1091"/>
      <c r="PFP2344" s="1091"/>
      <c r="PFQ2344" s="1091"/>
      <c r="PFR2344" s="1091"/>
      <c r="PFS2344" s="1091"/>
      <c r="PFT2344" s="1091"/>
      <c r="PFU2344" s="1091"/>
      <c r="PFV2344" s="1091"/>
      <c r="PFW2344" s="1091"/>
      <c r="PFX2344" s="1091"/>
      <c r="PFY2344" s="1091"/>
      <c r="PFZ2344" s="1091"/>
      <c r="PGA2344" s="1091"/>
      <c r="PGB2344" s="1091"/>
      <c r="PGC2344" s="1091"/>
      <c r="PGD2344" s="1091"/>
      <c r="PGE2344" s="1091"/>
      <c r="PGF2344" s="1091"/>
      <c r="PGG2344" s="1091"/>
      <c r="PGH2344" s="1091"/>
      <c r="PGI2344" s="1091"/>
      <c r="PGJ2344" s="1091"/>
      <c r="PGK2344" s="1091"/>
      <c r="PGL2344" s="1091"/>
      <c r="PGM2344" s="1091"/>
      <c r="PGN2344" s="1091"/>
      <c r="PGO2344" s="1091"/>
      <c r="PGP2344" s="1091"/>
      <c r="PGQ2344" s="1091"/>
      <c r="PGR2344" s="1091"/>
      <c r="PGS2344" s="1091"/>
      <c r="PGT2344" s="1091"/>
      <c r="PGU2344" s="1091"/>
      <c r="PGV2344" s="1091"/>
      <c r="PGW2344" s="1091"/>
      <c r="PGX2344" s="1091"/>
      <c r="PGY2344" s="1091"/>
      <c r="PGZ2344" s="1091"/>
      <c r="PHA2344" s="1091"/>
      <c r="PHB2344" s="1091"/>
      <c r="PHC2344" s="1091"/>
      <c r="PHD2344" s="1091"/>
      <c r="PHE2344" s="1091"/>
      <c r="PHF2344" s="1091"/>
      <c r="PHG2344" s="1091"/>
      <c r="PHH2344" s="1091"/>
      <c r="PHI2344" s="1091"/>
      <c r="PHJ2344" s="1091"/>
      <c r="PHK2344" s="1091"/>
      <c r="PHL2344" s="1091"/>
      <c r="PHM2344" s="1091"/>
      <c r="PHN2344" s="1091"/>
      <c r="PHO2344" s="1091"/>
      <c r="PHP2344" s="1091"/>
      <c r="PHQ2344" s="1091"/>
      <c r="PHR2344" s="1091"/>
      <c r="PHS2344" s="1091"/>
      <c r="PHT2344" s="1091"/>
      <c r="PHU2344" s="1091"/>
      <c r="PHV2344" s="1091"/>
      <c r="PHW2344" s="1091"/>
      <c r="PHX2344" s="1091"/>
      <c r="PHY2344" s="1091"/>
      <c r="PHZ2344" s="1091"/>
      <c r="PIA2344" s="1091"/>
      <c r="PIB2344" s="1091"/>
      <c r="PIC2344" s="1091"/>
      <c r="PID2344" s="1091"/>
      <c r="PIE2344" s="1091"/>
      <c r="PIF2344" s="1091"/>
      <c r="PIG2344" s="1091"/>
      <c r="PIH2344" s="1091"/>
      <c r="PII2344" s="1091"/>
      <c r="PIJ2344" s="1091"/>
      <c r="PIK2344" s="1091"/>
      <c r="PIL2344" s="1091"/>
      <c r="PIM2344" s="1091"/>
      <c r="PIN2344" s="1091"/>
      <c r="PIO2344" s="1091"/>
      <c r="PIP2344" s="1091"/>
      <c r="PIQ2344" s="1091"/>
      <c r="PIR2344" s="1091"/>
      <c r="PIS2344" s="1091"/>
      <c r="PIT2344" s="1091"/>
      <c r="PIU2344" s="1091"/>
      <c r="PIV2344" s="1091"/>
      <c r="PIW2344" s="1091"/>
      <c r="PIX2344" s="1091"/>
      <c r="PIY2344" s="1091"/>
      <c r="PIZ2344" s="1091"/>
      <c r="PJA2344" s="1091"/>
      <c r="PJB2344" s="1091"/>
      <c r="PJC2344" s="1091"/>
      <c r="PJD2344" s="1091"/>
      <c r="PJE2344" s="1091"/>
      <c r="PJF2344" s="1091"/>
      <c r="PJG2344" s="1091"/>
      <c r="PJH2344" s="1091"/>
      <c r="PJI2344" s="1091"/>
      <c r="PJJ2344" s="1091"/>
      <c r="PJK2344" s="1091"/>
      <c r="PJL2344" s="1091"/>
      <c r="PJM2344" s="1091"/>
      <c r="PJN2344" s="1091"/>
      <c r="PJO2344" s="1091"/>
      <c r="PJP2344" s="1091"/>
      <c r="PJQ2344" s="1091"/>
      <c r="PJR2344" s="1091"/>
      <c r="PJS2344" s="1091"/>
      <c r="PJT2344" s="1091"/>
      <c r="PJU2344" s="1091"/>
      <c r="PJV2344" s="1091"/>
      <c r="PJW2344" s="1091"/>
      <c r="PJX2344" s="1091"/>
      <c r="PJY2344" s="1091"/>
      <c r="PJZ2344" s="1091"/>
      <c r="PKA2344" s="1091"/>
      <c r="PKB2344" s="1091"/>
      <c r="PKC2344" s="1091"/>
      <c r="PKD2344" s="1091"/>
      <c r="PKE2344" s="1091"/>
      <c r="PKF2344" s="1091"/>
      <c r="PKG2344" s="1091"/>
      <c r="PKH2344" s="1091"/>
      <c r="PKI2344" s="1091"/>
      <c r="PKJ2344" s="1091"/>
      <c r="PKK2344" s="1091"/>
      <c r="PKL2344" s="1091"/>
      <c r="PKM2344" s="1091"/>
      <c r="PKN2344" s="1091"/>
      <c r="PKO2344" s="1091"/>
      <c r="PKP2344" s="1091"/>
      <c r="PKQ2344" s="1091"/>
      <c r="PKR2344" s="1091"/>
      <c r="PKS2344" s="1091"/>
      <c r="PKT2344" s="1091"/>
      <c r="PKU2344" s="1091"/>
      <c r="PKV2344" s="1091"/>
      <c r="PKW2344" s="1091"/>
      <c r="PKX2344" s="1091"/>
      <c r="PKY2344" s="1091"/>
      <c r="PKZ2344" s="1091"/>
      <c r="PLA2344" s="1091"/>
      <c r="PLB2344" s="1091"/>
      <c r="PLC2344" s="1091"/>
      <c r="PLD2344" s="1091"/>
      <c r="PLE2344" s="1091"/>
      <c r="PLF2344" s="1091"/>
      <c r="PLG2344" s="1091"/>
      <c r="PLH2344" s="1091"/>
      <c r="PLI2344" s="1091"/>
      <c r="PLJ2344" s="1091"/>
      <c r="PLK2344" s="1091"/>
      <c r="PLL2344" s="1091"/>
      <c r="PLM2344" s="1091"/>
      <c r="PLN2344" s="1091"/>
      <c r="PLO2344" s="1091"/>
      <c r="PLP2344" s="1091"/>
      <c r="PLQ2344" s="1091"/>
      <c r="PLR2344" s="1091"/>
      <c r="PLS2344" s="1091"/>
      <c r="PLT2344" s="1091"/>
      <c r="PLU2344" s="1091"/>
      <c r="PLV2344" s="1091"/>
      <c r="PLW2344" s="1091"/>
      <c r="PLX2344" s="1091"/>
      <c r="PLY2344" s="1091"/>
      <c r="PLZ2344" s="1091"/>
      <c r="PMA2344" s="1091"/>
      <c r="PMB2344" s="1091"/>
      <c r="PMC2344" s="1091"/>
      <c r="PMD2344" s="1091"/>
      <c r="PME2344" s="1091"/>
      <c r="PMF2344" s="1091"/>
      <c r="PMG2344" s="1091"/>
      <c r="PMH2344" s="1091"/>
      <c r="PMI2344" s="1091"/>
      <c r="PMJ2344" s="1091"/>
      <c r="PMK2344" s="1091"/>
      <c r="PML2344" s="1091"/>
      <c r="PMM2344" s="1091"/>
      <c r="PMN2344" s="1091"/>
      <c r="PMO2344" s="1091"/>
      <c r="PMP2344" s="1091"/>
      <c r="PMQ2344" s="1091"/>
      <c r="PMR2344" s="1091"/>
      <c r="PMS2344" s="1091"/>
      <c r="PMT2344" s="1091"/>
      <c r="PMU2344" s="1091"/>
      <c r="PMV2344" s="1091"/>
      <c r="PMW2344" s="1091"/>
      <c r="PMX2344" s="1091"/>
      <c r="PMY2344" s="1091"/>
      <c r="PMZ2344" s="1091"/>
      <c r="PNA2344" s="1091"/>
      <c r="PNB2344" s="1091"/>
      <c r="PNC2344" s="1091"/>
      <c r="PND2344" s="1091"/>
      <c r="PNE2344" s="1091"/>
      <c r="PNF2344" s="1091"/>
      <c r="PNG2344" s="1091"/>
      <c r="PNH2344" s="1091"/>
      <c r="PNI2344" s="1091"/>
      <c r="PNJ2344" s="1091"/>
      <c r="PNK2344" s="1091"/>
      <c r="PNL2344" s="1091"/>
      <c r="PNM2344" s="1091"/>
      <c r="PNN2344" s="1091"/>
      <c r="PNO2344" s="1091"/>
      <c r="PNP2344" s="1091"/>
      <c r="PNQ2344" s="1091"/>
      <c r="PNR2344" s="1091"/>
      <c r="PNS2344" s="1091"/>
      <c r="PNT2344" s="1091"/>
      <c r="PNU2344" s="1091"/>
      <c r="PNV2344" s="1091"/>
      <c r="PNW2344" s="1091"/>
      <c r="PNX2344" s="1091"/>
      <c r="PNY2344" s="1091"/>
      <c r="PNZ2344" s="1091"/>
      <c r="POA2344" s="1091"/>
      <c r="POB2344" s="1091"/>
      <c r="POC2344" s="1091"/>
      <c r="POD2344" s="1091"/>
      <c r="POE2344" s="1091"/>
      <c r="POF2344" s="1091"/>
      <c r="POG2344" s="1091"/>
      <c r="POH2344" s="1091"/>
      <c r="POI2344" s="1091"/>
      <c r="POJ2344" s="1091"/>
      <c r="POK2344" s="1091"/>
      <c r="POL2344" s="1091"/>
      <c r="POM2344" s="1091"/>
      <c r="PON2344" s="1091"/>
      <c r="POO2344" s="1091"/>
      <c r="POP2344" s="1091"/>
      <c r="POQ2344" s="1091"/>
      <c r="POR2344" s="1091"/>
      <c r="POS2344" s="1091"/>
      <c r="POT2344" s="1091"/>
      <c r="POU2344" s="1091"/>
      <c r="POV2344" s="1091"/>
      <c r="POW2344" s="1091"/>
      <c r="POX2344" s="1091"/>
      <c r="POY2344" s="1091"/>
      <c r="POZ2344" s="1091"/>
      <c r="PPA2344" s="1091"/>
      <c r="PPB2344" s="1091"/>
      <c r="PPC2344" s="1091"/>
      <c r="PPD2344" s="1091"/>
      <c r="PPE2344" s="1091"/>
      <c r="PPF2344" s="1091"/>
      <c r="PPG2344" s="1091"/>
      <c r="PPH2344" s="1091"/>
      <c r="PPI2344" s="1091"/>
      <c r="PPJ2344" s="1091"/>
      <c r="PPK2344" s="1091"/>
      <c r="PPL2344" s="1091"/>
      <c r="PPM2344" s="1091"/>
      <c r="PPN2344" s="1091"/>
      <c r="PPO2344" s="1091"/>
      <c r="PPP2344" s="1091"/>
      <c r="PPQ2344" s="1091"/>
      <c r="PPR2344" s="1091"/>
      <c r="PPS2344" s="1091"/>
      <c r="PPT2344" s="1091"/>
      <c r="PPU2344" s="1091"/>
      <c r="PPV2344" s="1091"/>
      <c r="PPW2344" s="1091"/>
      <c r="PPX2344" s="1091"/>
      <c r="PPY2344" s="1091"/>
      <c r="PPZ2344" s="1091"/>
      <c r="PQA2344" s="1091"/>
      <c r="PQB2344" s="1091"/>
      <c r="PQC2344" s="1091"/>
      <c r="PQD2344" s="1091"/>
      <c r="PQE2344" s="1091"/>
      <c r="PQF2344" s="1091"/>
      <c r="PQG2344" s="1091"/>
      <c r="PQH2344" s="1091"/>
      <c r="PQI2344" s="1091"/>
      <c r="PQJ2344" s="1091"/>
      <c r="PQK2344" s="1091"/>
      <c r="PQL2344" s="1091"/>
      <c r="PQM2344" s="1091"/>
      <c r="PQN2344" s="1091"/>
      <c r="PQO2344" s="1091"/>
      <c r="PQP2344" s="1091"/>
      <c r="PQQ2344" s="1091"/>
      <c r="PQR2344" s="1091"/>
      <c r="PQS2344" s="1091"/>
      <c r="PQT2344" s="1091"/>
      <c r="PQU2344" s="1091"/>
      <c r="PQV2344" s="1091"/>
      <c r="PQW2344" s="1091"/>
      <c r="PQX2344" s="1091"/>
      <c r="PQY2344" s="1091"/>
      <c r="PQZ2344" s="1091"/>
      <c r="PRA2344" s="1091"/>
      <c r="PRB2344" s="1091"/>
      <c r="PRC2344" s="1091"/>
      <c r="PRD2344" s="1091"/>
      <c r="PRE2344" s="1091"/>
      <c r="PRF2344" s="1091"/>
      <c r="PRG2344" s="1091"/>
      <c r="PRH2344" s="1091"/>
      <c r="PRI2344" s="1091"/>
      <c r="PRJ2344" s="1091"/>
      <c r="PRK2344" s="1091"/>
      <c r="PRL2344" s="1091"/>
      <c r="PRM2344" s="1091"/>
      <c r="PRN2344" s="1091"/>
      <c r="PRO2344" s="1091"/>
      <c r="PRP2344" s="1091"/>
      <c r="PRQ2344" s="1091"/>
      <c r="PRR2344" s="1091"/>
      <c r="PRS2344" s="1091"/>
      <c r="PRT2344" s="1091"/>
      <c r="PRU2344" s="1091"/>
      <c r="PRV2344" s="1091"/>
      <c r="PRW2344" s="1091"/>
      <c r="PRX2344" s="1091"/>
      <c r="PRY2344" s="1091"/>
      <c r="PRZ2344" s="1091"/>
      <c r="PSA2344" s="1091"/>
      <c r="PSB2344" s="1091"/>
      <c r="PSC2344" s="1091"/>
      <c r="PSD2344" s="1091"/>
      <c r="PSE2344" s="1091"/>
      <c r="PSF2344" s="1091"/>
      <c r="PSG2344" s="1091"/>
      <c r="PSH2344" s="1091"/>
      <c r="PSI2344" s="1091"/>
      <c r="PSJ2344" s="1091"/>
      <c r="PSK2344" s="1091"/>
      <c r="PSL2344" s="1091"/>
      <c r="PSM2344" s="1091"/>
      <c r="PSN2344" s="1091"/>
      <c r="PSO2344" s="1091"/>
      <c r="PSP2344" s="1091"/>
      <c r="PSQ2344" s="1091"/>
      <c r="PSR2344" s="1091"/>
      <c r="PSS2344" s="1091"/>
      <c r="PST2344" s="1091"/>
      <c r="PSU2344" s="1091"/>
      <c r="PSV2344" s="1091"/>
      <c r="PSW2344" s="1091"/>
      <c r="PSX2344" s="1091"/>
      <c r="PSY2344" s="1091"/>
      <c r="PSZ2344" s="1091"/>
      <c r="PTA2344" s="1091"/>
      <c r="PTB2344" s="1091"/>
      <c r="PTC2344" s="1091"/>
      <c r="PTD2344" s="1091"/>
      <c r="PTE2344" s="1091"/>
      <c r="PTF2344" s="1091"/>
      <c r="PTG2344" s="1091"/>
      <c r="PTH2344" s="1091"/>
      <c r="PTI2344" s="1091"/>
      <c r="PTJ2344" s="1091"/>
      <c r="PTK2344" s="1091"/>
      <c r="PTL2344" s="1091"/>
      <c r="PTM2344" s="1091"/>
      <c r="PTN2344" s="1091"/>
      <c r="PTO2344" s="1091"/>
      <c r="PTP2344" s="1091"/>
      <c r="PTQ2344" s="1091"/>
      <c r="PTR2344" s="1091"/>
      <c r="PTS2344" s="1091"/>
      <c r="PTT2344" s="1091"/>
      <c r="PTU2344" s="1091"/>
      <c r="PTV2344" s="1091"/>
      <c r="PTW2344" s="1091"/>
      <c r="PTX2344" s="1091"/>
      <c r="PTY2344" s="1091"/>
      <c r="PTZ2344" s="1091"/>
      <c r="PUA2344" s="1091"/>
      <c r="PUB2344" s="1091"/>
      <c r="PUC2344" s="1091"/>
      <c r="PUD2344" s="1091"/>
      <c r="PUE2344" s="1091"/>
      <c r="PUF2344" s="1091"/>
      <c r="PUG2344" s="1091"/>
      <c r="PUH2344" s="1091"/>
      <c r="PUI2344" s="1091"/>
      <c r="PUJ2344" s="1091"/>
      <c r="PUK2344" s="1091"/>
      <c r="PUL2344" s="1091"/>
      <c r="PUM2344" s="1091"/>
      <c r="PUN2344" s="1091"/>
      <c r="PUO2344" s="1091"/>
      <c r="PUP2344" s="1091"/>
      <c r="PUQ2344" s="1091"/>
      <c r="PUR2344" s="1091"/>
      <c r="PUS2344" s="1091"/>
      <c r="PUT2344" s="1091"/>
      <c r="PUU2344" s="1091"/>
      <c r="PUV2344" s="1091"/>
      <c r="PUW2344" s="1091"/>
      <c r="PUX2344" s="1091"/>
      <c r="PUY2344" s="1091"/>
      <c r="PUZ2344" s="1091"/>
      <c r="PVA2344" s="1091"/>
      <c r="PVB2344" s="1091"/>
      <c r="PVC2344" s="1091"/>
      <c r="PVD2344" s="1091"/>
      <c r="PVE2344" s="1091"/>
      <c r="PVF2344" s="1091"/>
      <c r="PVG2344" s="1091"/>
      <c r="PVH2344" s="1091"/>
      <c r="PVI2344" s="1091"/>
      <c r="PVJ2344" s="1091"/>
      <c r="PVK2344" s="1091"/>
      <c r="PVL2344" s="1091"/>
      <c r="PVM2344" s="1091"/>
      <c r="PVN2344" s="1091"/>
      <c r="PVO2344" s="1091"/>
      <c r="PVP2344" s="1091"/>
      <c r="PVQ2344" s="1091"/>
      <c r="PVR2344" s="1091"/>
      <c r="PVS2344" s="1091"/>
      <c r="PVT2344" s="1091"/>
      <c r="PVU2344" s="1091"/>
      <c r="PVV2344" s="1091"/>
      <c r="PVW2344" s="1091"/>
      <c r="PVX2344" s="1091"/>
      <c r="PVY2344" s="1091"/>
      <c r="PVZ2344" s="1091"/>
      <c r="PWA2344" s="1091"/>
      <c r="PWB2344" s="1091"/>
      <c r="PWC2344" s="1091"/>
      <c r="PWD2344" s="1091"/>
      <c r="PWE2344" s="1091"/>
      <c r="PWF2344" s="1091"/>
      <c r="PWG2344" s="1091"/>
      <c r="PWH2344" s="1091"/>
      <c r="PWI2344" s="1091"/>
      <c r="PWJ2344" s="1091"/>
      <c r="PWK2344" s="1091"/>
      <c r="PWL2344" s="1091"/>
      <c r="PWM2344" s="1091"/>
      <c r="PWN2344" s="1091"/>
      <c r="PWO2344" s="1091"/>
      <c r="PWP2344" s="1091"/>
      <c r="PWQ2344" s="1091"/>
      <c r="PWR2344" s="1091"/>
      <c r="PWS2344" s="1091"/>
      <c r="PWT2344" s="1091"/>
      <c r="PWU2344" s="1091"/>
      <c r="PWV2344" s="1091"/>
      <c r="PWW2344" s="1091"/>
      <c r="PWX2344" s="1091"/>
      <c r="PWY2344" s="1091"/>
      <c r="PWZ2344" s="1091"/>
      <c r="PXA2344" s="1091"/>
      <c r="PXB2344" s="1091"/>
      <c r="PXC2344" s="1091"/>
      <c r="PXD2344" s="1091"/>
      <c r="PXE2344" s="1091"/>
      <c r="PXF2344" s="1091"/>
      <c r="PXG2344" s="1091"/>
      <c r="PXH2344" s="1091"/>
      <c r="PXI2344" s="1091"/>
      <c r="PXJ2344" s="1091"/>
      <c r="PXK2344" s="1091"/>
      <c r="PXL2344" s="1091"/>
      <c r="PXM2344" s="1091"/>
      <c r="PXN2344" s="1091"/>
      <c r="PXO2344" s="1091"/>
      <c r="PXP2344" s="1091"/>
      <c r="PXQ2344" s="1091"/>
      <c r="PXR2344" s="1091"/>
      <c r="PXS2344" s="1091"/>
      <c r="PXT2344" s="1091"/>
      <c r="PXU2344" s="1091"/>
      <c r="PXV2344" s="1091"/>
      <c r="PXW2344" s="1091"/>
      <c r="PXX2344" s="1091"/>
      <c r="PXY2344" s="1091"/>
      <c r="PXZ2344" s="1091"/>
      <c r="PYA2344" s="1091"/>
      <c r="PYB2344" s="1091"/>
      <c r="PYC2344" s="1091"/>
      <c r="PYD2344" s="1091"/>
      <c r="PYE2344" s="1091"/>
      <c r="PYF2344" s="1091"/>
      <c r="PYG2344" s="1091"/>
      <c r="PYH2344" s="1091"/>
      <c r="PYI2344" s="1091"/>
      <c r="PYJ2344" s="1091"/>
      <c r="PYK2344" s="1091"/>
      <c r="PYL2344" s="1091"/>
      <c r="PYM2344" s="1091"/>
      <c r="PYN2344" s="1091"/>
      <c r="PYO2344" s="1091"/>
      <c r="PYP2344" s="1091"/>
      <c r="PYQ2344" s="1091"/>
      <c r="PYR2344" s="1091"/>
      <c r="PYS2344" s="1091"/>
      <c r="PYT2344" s="1091"/>
      <c r="PYU2344" s="1091"/>
      <c r="PYV2344" s="1091"/>
      <c r="PYW2344" s="1091"/>
      <c r="PYX2344" s="1091"/>
      <c r="PYY2344" s="1091"/>
      <c r="PYZ2344" s="1091"/>
      <c r="PZA2344" s="1091"/>
      <c r="PZB2344" s="1091"/>
      <c r="PZC2344" s="1091"/>
      <c r="PZD2344" s="1091"/>
      <c r="PZE2344" s="1091"/>
      <c r="PZF2344" s="1091"/>
      <c r="PZG2344" s="1091"/>
      <c r="PZH2344" s="1091"/>
      <c r="PZI2344" s="1091"/>
      <c r="PZJ2344" s="1091"/>
      <c r="PZK2344" s="1091"/>
      <c r="PZL2344" s="1091"/>
      <c r="PZM2344" s="1091"/>
      <c r="PZN2344" s="1091"/>
      <c r="PZO2344" s="1091"/>
      <c r="PZP2344" s="1091"/>
      <c r="PZQ2344" s="1091"/>
      <c r="PZR2344" s="1091"/>
      <c r="PZS2344" s="1091"/>
      <c r="PZT2344" s="1091"/>
      <c r="PZU2344" s="1091"/>
      <c r="PZV2344" s="1091"/>
      <c r="PZW2344" s="1091"/>
      <c r="PZX2344" s="1091"/>
      <c r="PZY2344" s="1091"/>
      <c r="PZZ2344" s="1091"/>
      <c r="QAA2344" s="1091"/>
      <c r="QAB2344" s="1091"/>
      <c r="QAC2344" s="1091"/>
      <c r="QAD2344" s="1091"/>
      <c r="QAE2344" s="1091"/>
      <c r="QAF2344" s="1091"/>
      <c r="QAG2344" s="1091"/>
      <c r="QAH2344" s="1091"/>
      <c r="QAI2344" s="1091"/>
      <c r="QAJ2344" s="1091"/>
      <c r="QAK2344" s="1091"/>
      <c r="QAL2344" s="1091"/>
      <c r="QAM2344" s="1091"/>
      <c r="QAN2344" s="1091"/>
      <c r="QAO2344" s="1091"/>
      <c r="QAP2344" s="1091"/>
      <c r="QAQ2344" s="1091"/>
      <c r="QAR2344" s="1091"/>
      <c r="QAS2344" s="1091"/>
      <c r="QAT2344" s="1091"/>
      <c r="QAU2344" s="1091"/>
      <c r="QAV2344" s="1091"/>
      <c r="QAW2344" s="1091"/>
      <c r="QAX2344" s="1091"/>
      <c r="QAY2344" s="1091"/>
      <c r="QAZ2344" s="1091"/>
      <c r="QBA2344" s="1091"/>
      <c r="QBB2344" s="1091"/>
      <c r="QBC2344" s="1091"/>
      <c r="QBD2344" s="1091"/>
      <c r="QBE2344" s="1091"/>
      <c r="QBF2344" s="1091"/>
      <c r="QBG2344" s="1091"/>
      <c r="QBH2344" s="1091"/>
      <c r="QBI2344" s="1091"/>
      <c r="QBJ2344" s="1091"/>
      <c r="QBK2344" s="1091"/>
      <c r="QBL2344" s="1091"/>
      <c r="QBM2344" s="1091"/>
      <c r="QBN2344" s="1091"/>
      <c r="QBO2344" s="1091"/>
      <c r="QBP2344" s="1091"/>
      <c r="QBQ2344" s="1091"/>
      <c r="QBR2344" s="1091"/>
      <c r="QBS2344" s="1091"/>
      <c r="QBT2344" s="1091"/>
      <c r="QBU2344" s="1091"/>
      <c r="QBV2344" s="1091"/>
      <c r="QBW2344" s="1091"/>
      <c r="QBX2344" s="1091"/>
      <c r="QBY2344" s="1091"/>
      <c r="QBZ2344" s="1091"/>
      <c r="QCA2344" s="1091"/>
      <c r="QCB2344" s="1091"/>
      <c r="QCC2344" s="1091"/>
      <c r="QCD2344" s="1091"/>
      <c r="QCE2344" s="1091"/>
      <c r="QCF2344" s="1091"/>
      <c r="QCG2344" s="1091"/>
      <c r="QCH2344" s="1091"/>
      <c r="QCI2344" s="1091"/>
      <c r="QCJ2344" s="1091"/>
      <c r="QCK2344" s="1091"/>
      <c r="QCL2344" s="1091"/>
      <c r="QCM2344" s="1091"/>
      <c r="QCN2344" s="1091"/>
      <c r="QCO2344" s="1091"/>
      <c r="QCP2344" s="1091"/>
      <c r="QCQ2344" s="1091"/>
      <c r="QCR2344" s="1091"/>
      <c r="QCS2344" s="1091"/>
      <c r="QCT2344" s="1091"/>
      <c r="QCU2344" s="1091"/>
      <c r="QCV2344" s="1091"/>
      <c r="QCW2344" s="1091"/>
      <c r="QCX2344" s="1091"/>
      <c r="QCY2344" s="1091"/>
      <c r="QCZ2344" s="1091"/>
      <c r="QDA2344" s="1091"/>
      <c r="QDB2344" s="1091"/>
      <c r="QDC2344" s="1091"/>
      <c r="QDD2344" s="1091"/>
      <c r="QDE2344" s="1091"/>
      <c r="QDF2344" s="1091"/>
      <c r="QDG2344" s="1091"/>
      <c r="QDH2344" s="1091"/>
      <c r="QDI2344" s="1091"/>
      <c r="QDJ2344" s="1091"/>
      <c r="QDK2344" s="1091"/>
      <c r="QDL2344" s="1091"/>
      <c r="QDM2344" s="1091"/>
      <c r="QDN2344" s="1091"/>
      <c r="QDO2344" s="1091"/>
      <c r="QDP2344" s="1091"/>
      <c r="QDQ2344" s="1091"/>
      <c r="QDR2344" s="1091"/>
      <c r="QDS2344" s="1091"/>
      <c r="QDT2344" s="1091"/>
      <c r="QDU2344" s="1091"/>
      <c r="QDV2344" s="1091"/>
      <c r="QDW2344" s="1091"/>
      <c r="QDX2344" s="1091"/>
      <c r="QDY2344" s="1091"/>
      <c r="QDZ2344" s="1091"/>
      <c r="QEA2344" s="1091"/>
      <c r="QEB2344" s="1091"/>
      <c r="QEC2344" s="1091"/>
      <c r="QED2344" s="1091"/>
      <c r="QEE2344" s="1091"/>
      <c r="QEF2344" s="1091"/>
      <c r="QEG2344" s="1091"/>
      <c r="QEH2344" s="1091"/>
      <c r="QEI2344" s="1091"/>
      <c r="QEJ2344" s="1091"/>
      <c r="QEK2344" s="1091"/>
      <c r="QEL2344" s="1091"/>
      <c r="QEM2344" s="1091"/>
      <c r="QEN2344" s="1091"/>
      <c r="QEO2344" s="1091"/>
      <c r="QEP2344" s="1091"/>
      <c r="QEQ2344" s="1091"/>
      <c r="QER2344" s="1091"/>
      <c r="QES2344" s="1091"/>
      <c r="QET2344" s="1091"/>
      <c r="QEU2344" s="1091"/>
      <c r="QEV2344" s="1091"/>
      <c r="QEW2344" s="1091"/>
      <c r="QEX2344" s="1091"/>
      <c r="QEY2344" s="1091"/>
      <c r="QEZ2344" s="1091"/>
      <c r="QFA2344" s="1091"/>
      <c r="QFB2344" s="1091"/>
      <c r="QFC2344" s="1091"/>
      <c r="QFD2344" s="1091"/>
      <c r="QFE2344" s="1091"/>
      <c r="QFF2344" s="1091"/>
      <c r="QFG2344" s="1091"/>
      <c r="QFH2344" s="1091"/>
      <c r="QFI2344" s="1091"/>
      <c r="QFJ2344" s="1091"/>
      <c r="QFK2344" s="1091"/>
      <c r="QFL2344" s="1091"/>
      <c r="QFM2344" s="1091"/>
      <c r="QFN2344" s="1091"/>
      <c r="QFO2344" s="1091"/>
      <c r="QFP2344" s="1091"/>
      <c r="QFQ2344" s="1091"/>
      <c r="QFR2344" s="1091"/>
      <c r="QFS2344" s="1091"/>
      <c r="QFT2344" s="1091"/>
      <c r="QFU2344" s="1091"/>
      <c r="QFV2344" s="1091"/>
      <c r="QFW2344" s="1091"/>
      <c r="QFX2344" s="1091"/>
      <c r="QFY2344" s="1091"/>
      <c r="QFZ2344" s="1091"/>
      <c r="QGA2344" s="1091"/>
      <c r="QGB2344" s="1091"/>
      <c r="QGC2344" s="1091"/>
      <c r="QGD2344" s="1091"/>
      <c r="QGE2344" s="1091"/>
      <c r="QGF2344" s="1091"/>
      <c r="QGG2344" s="1091"/>
      <c r="QGH2344" s="1091"/>
      <c r="QGI2344" s="1091"/>
      <c r="QGJ2344" s="1091"/>
      <c r="QGK2344" s="1091"/>
      <c r="QGL2344" s="1091"/>
      <c r="QGM2344" s="1091"/>
      <c r="QGN2344" s="1091"/>
      <c r="QGO2344" s="1091"/>
      <c r="QGP2344" s="1091"/>
      <c r="QGQ2344" s="1091"/>
      <c r="QGR2344" s="1091"/>
      <c r="QGS2344" s="1091"/>
      <c r="QGT2344" s="1091"/>
      <c r="QGU2344" s="1091"/>
      <c r="QGV2344" s="1091"/>
      <c r="QGW2344" s="1091"/>
      <c r="QGX2344" s="1091"/>
      <c r="QGY2344" s="1091"/>
      <c r="QGZ2344" s="1091"/>
      <c r="QHA2344" s="1091"/>
      <c r="QHB2344" s="1091"/>
      <c r="QHC2344" s="1091"/>
      <c r="QHD2344" s="1091"/>
      <c r="QHE2344" s="1091"/>
      <c r="QHF2344" s="1091"/>
      <c r="QHG2344" s="1091"/>
      <c r="QHH2344" s="1091"/>
      <c r="QHI2344" s="1091"/>
      <c r="QHJ2344" s="1091"/>
      <c r="QHK2344" s="1091"/>
      <c r="QHL2344" s="1091"/>
      <c r="QHM2344" s="1091"/>
      <c r="QHN2344" s="1091"/>
      <c r="QHO2344" s="1091"/>
      <c r="QHP2344" s="1091"/>
      <c r="QHQ2344" s="1091"/>
      <c r="QHR2344" s="1091"/>
      <c r="QHS2344" s="1091"/>
      <c r="QHT2344" s="1091"/>
      <c r="QHU2344" s="1091"/>
      <c r="QHV2344" s="1091"/>
      <c r="QHW2344" s="1091"/>
      <c r="QHX2344" s="1091"/>
      <c r="QHY2344" s="1091"/>
      <c r="QHZ2344" s="1091"/>
      <c r="QIA2344" s="1091"/>
      <c r="QIB2344" s="1091"/>
      <c r="QIC2344" s="1091"/>
      <c r="QID2344" s="1091"/>
      <c r="QIE2344" s="1091"/>
      <c r="QIF2344" s="1091"/>
      <c r="QIG2344" s="1091"/>
      <c r="QIH2344" s="1091"/>
      <c r="QII2344" s="1091"/>
      <c r="QIJ2344" s="1091"/>
      <c r="QIK2344" s="1091"/>
      <c r="QIL2344" s="1091"/>
      <c r="QIM2344" s="1091"/>
      <c r="QIN2344" s="1091"/>
      <c r="QIO2344" s="1091"/>
      <c r="QIP2344" s="1091"/>
      <c r="QIQ2344" s="1091"/>
      <c r="QIR2344" s="1091"/>
      <c r="QIS2344" s="1091"/>
      <c r="QIT2344" s="1091"/>
      <c r="QIU2344" s="1091"/>
      <c r="QIV2344" s="1091"/>
      <c r="QIW2344" s="1091"/>
      <c r="QIX2344" s="1091"/>
      <c r="QIY2344" s="1091"/>
      <c r="QIZ2344" s="1091"/>
      <c r="QJA2344" s="1091"/>
      <c r="QJB2344" s="1091"/>
      <c r="QJC2344" s="1091"/>
      <c r="QJD2344" s="1091"/>
      <c r="QJE2344" s="1091"/>
      <c r="QJF2344" s="1091"/>
      <c r="QJG2344" s="1091"/>
      <c r="QJH2344" s="1091"/>
      <c r="QJI2344" s="1091"/>
      <c r="QJJ2344" s="1091"/>
      <c r="QJK2344" s="1091"/>
      <c r="QJL2344" s="1091"/>
      <c r="QJM2344" s="1091"/>
      <c r="QJN2344" s="1091"/>
      <c r="QJO2344" s="1091"/>
      <c r="QJP2344" s="1091"/>
      <c r="QJQ2344" s="1091"/>
      <c r="QJR2344" s="1091"/>
      <c r="QJS2344" s="1091"/>
      <c r="QJT2344" s="1091"/>
      <c r="QJU2344" s="1091"/>
      <c r="QJV2344" s="1091"/>
      <c r="QJW2344" s="1091"/>
      <c r="QJX2344" s="1091"/>
      <c r="QJY2344" s="1091"/>
      <c r="QJZ2344" s="1091"/>
      <c r="QKA2344" s="1091"/>
      <c r="QKB2344" s="1091"/>
      <c r="QKC2344" s="1091"/>
      <c r="QKD2344" s="1091"/>
      <c r="QKE2344" s="1091"/>
      <c r="QKF2344" s="1091"/>
      <c r="QKG2344" s="1091"/>
      <c r="QKH2344" s="1091"/>
      <c r="QKI2344" s="1091"/>
      <c r="QKJ2344" s="1091"/>
      <c r="QKK2344" s="1091"/>
      <c r="QKL2344" s="1091"/>
      <c r="QKM2344" s="1091"/>
      <c r="QKN2344" s="1091"/>
      <c r="QKO2344" s="1091"/>
      <c r="QKP2344" s="1091"/>
      <c r="QKQ2344" s="1091"/>
      <c r="QKR2344" s="1091"/>
      <c r="QKS2344" s="1091"/>
      <c r="QKT2344" s="1091"/>
      <c r="QKU2344" s="1091"/>
      <c r="QKV2344" s="1091"/>
      <c r="QKW2344" s="1091"/>
      <c r="QKX2344" s="1091"/>
      <c r="QKY2344" s="1091"/>
      <c r="QKZ2344" s="1091"/>
      <c r="QLA2344" s="1091"/>
      <c r="QLB2344" s="1091"/>
      <c r="QLC2344" s="1091"/>
      <c r="QLD2344" s="1091"/>
      <c r="QLE2344" s="1091"/>
      <c r="QLF2344" s="1091"/>
      <c r="QLG2344" s="1091"/>
      <c r="QLH2344" s="1091"/>
      <c r="QLI2344" s="1091"/>
      <c r="QLJ2344" s="1091"/>
      <c r="QLK2344" s="1091"/>
      <c r="QLL2344" s="1091"/>
      <c r="QLM2344" s="1091"/>
      <c r="QLN2344" s="1091"/>
      <c r="QLO2344" s="1091"/>
      <c r="QLP2344" s="1091"/>
      <c r="QLQ2344" s="1091"/>
      <c r="QLR2344" s="1091"/>
      <c r="QLS2344" s="1091"/>
      <c r="QLT2344" s="1091"/>
      <c r="QLU2344" s="1091"/>
      <c r="QLV2344" s="1091"/>
      <c r="QLW2344" s="1091"/>
      <c r="QLX2344" s="1091"/>
      <c r="QLY2344" s="1091"/>
      <c r="QLZ2344" s="1091"/>
      <c r="QMA2344" s="1091"/>
      <c r="QMB2344" s="1091"/>
      <c r="QMC2344" s="1091"/>
      <c r="QMD2344" s="1091"/>
      <c r="QME2344" s="1091"/>
      <c r="QMF2344" s="1091"/>
      <c r="QMG2344" s="1091"/>
      <c r="QMH2344" s="1091"/>
      <c r="QMI2344" s="1091"/>
      <c r="QMJ2344" s="1091"/>
      <c r="QMK2344" s="1091"/>
      <c r="QML2344" s="1091"/>
      <c r="QMM2344" s="1091"/>
      <c r="QMN2344" s="1091"/>
      <c r="QMO2344" s="1091"/>
      <c r="QMP2344" s="1091"/>
      <c r="QMQ2344" s="1091"/>
      <c r="QMR2344" s="1091"/>
      <c r="QMS2344" s="1091"/>
      <c r="QMT2344" s="1091"/>
      <c r="QMU2344" s="1091"/>
      <c r="QMV2344" s="1091"/>
      <c r="QMW2344" s="1091"/>
      <c r="QMX2344" s="1091"/>
      <c r="QMY2344" s="1091"/>
      <c r="QMZ2344" s="1091"/>
      <c r="QNA2344" s="1091"/>
      <c r="QNB2344" s="1091"/>
      <c r="QNC2344" s="1091"/>
      <c r="QND2344" s="1091"/>
      <c r="QNE2344" s="1091"/>
      <c r="QNF2344" s="1091"/>
      <c r="QNG2344" s="1091"/>
      <c r="QNH2344" s="1091"/>
      <c r="QNI2344" s="1091"/>
      <c r="QNJ2344" s="1091"/>
      <c r="QNK2344" s="1091"/>
      <c r="QNL2344" s="1091"/>
      <c r="QNM2344" s="1091"/>
      <c r="QNN2344" s="1091"/>
      <c r="QNO2344" s="1091"/>
      <c r="QNP2344" s="1091"/>
      <c r="QNQ2344" s="1091"/>
      <c r="QNR2344" s="1091"/>
      <c r="QNS2344" s="1091"/>
      <c r="QNT2344" s="1091"/>
      <c r="QNU2344" s="1091"/>
      <c r="QNV2344" s="1091"/>
      <c r="QNW2344" s="1091"/>
      <c r="QNX2344" s="1091"/>
      <c r="QNY2344" s="1091"/>
      <c r="QNZ2344" s="1091"/>
      <c r="QOA2344" s="1091"/>
      <c r="QOB2344" s="1091"/>
      <c r="QOC2344" s="1091"/>
      <c r="QOD2344" s="1091"/>
      <c r="QOE2344" s="1091"/>
      <c r="QOF2344" s="1091"/>
      <c r="QOG2344" s="1091"/>
      <c r="QOH2344" s="1091"/>
      <c r="QOI2344" s="1091"/>
      <c r="QOJ2344" s="1091"/>
      <c r="QOK2344" s="1091"/>
      <c r="QOL2344" s="1091"/>
      <c r="QOM2344" s="1091"/>
      <c r="QON2344" s="1091"/>
      <c r="QOO2344" s="1091"/>
      <c r="QOP2344" s="1091"/>
      <c r="QOQ2344" s="1091"/>
      <c r="QOR2344" s="1091"/>
      <c r="QOS2344" s="1091"/>
      <c r="QOT2344" s="1091"/>
      <c r="QOU2344" s="1091"/>
      <c r="QOV2344" s="1091"/>
      <c r="QOW2344" s="1091"/>
      <c r="QOX2344" s="1091"/>
      <c r="QOY2344" s="1091"/>
      <c r="QOZ2344" s="1091"/>
      <c r="QPA2344" s="1091"/>
      <c r="QPB2344" s="1091"/>
      <c r="QPC2344" s="1091"/>
      <c r="QPD2344" s="1091"/>
      <c r="QPE2344" s="1091"/>
      <c r="QPF2344" s="1091"/>
      <c r="QPG2344" s="1091"/>
      <c r="QPH2344" s="1091"/>
      <c r="QPI2344" s="1091"/>
      <c r="QPJ2344" s="1091"/>
      <c r="QPK2344" s="1091"/>
      <c r="QPL2344" s="1091"/>
      <c r="QPM2344" s="1091"/>
      <c r="QPN2344" s="1091"/>
      <c r="QPO2344" s="1091"/>
      <c r="QPP2344" s="1091"/>
      <c r="QPQ2344" s="1091"/>
      <c r="QPR2344" s="1091"/>
      <c r="QPS2344" s="1091"/>
      <c r="QPT2344" s="1091"/>
      <c r="QPU2344" s="1091"/>
      <c r="QPV2344" s="1091"/>
      <c r="QPW2344" s="1091"/>
      <c r="QPX2344" s="1091"/>
      <c r="QPY2344" s="1091"/>
      <c r="QPZ2344" s="1091"/>
      <c r="QQA2344" s="1091"/>
      <c r="QQB2344" s="1091"/>
      <c r="QQC2344" s="1091"/>
      <c r="QQD2344" s="1091"/>
      <c r="QQE2344" s="1091"/>
      <c r="QQF2344" s="1091"/>
      <c r="QQG2344" s="1091"/>
      <c r="QQH2344" s="1091"/>
      <c r="QQI2344" s="1091"/>
      <c r="QQJ2344" s="1091"/>
      <c r="QQK2344" s="1091"/>
      <c r="QQL2344" s="1091"/>
      <c r="QQM2344" s="1091"/>
      <c r="QQN2344" s="1091"/>
      <c r="QQO2344" s="1091"/>
      <c r="QQP2344" s="1091"/>
      <c r="QQQ2344" s="1091"/>
      <c r="QQR2344" s="1091"/>
      <c r="QQS2344" s="1091"/>
      <c r="QQT2344" s="1091"/>
      <c r="QQU2344" s="1091"/>
      <c r="QQV2344" s="1091"/>
      <c r="QQW2344" s="1091"/>
      <c r="QQX2344" s="1091"/>
      <c r="QQY2344" s="1091"/>
      <c r="QQZ2344" s="1091"/>
      <c r="QRA2344" s="1091"/>
      <c r="QRB2344" s="1091"/>
      <c r="QRC2344" s="1091"/>
      <c r="QRD2344" s="1091"/>
      <c r="QRE2344" s="1091"/>
      <c r="QRF2344" s="1091"/>
      <c r="QRG2344" s="1091"/>
      <c r="QRH2344" s="1091"/>
      <c r="QRI2344" s="1091"/>
      <c r="QRJ2344" s="1091"/>
      <c r="QRK2344" s="1091"/>
      <c r="QRL2344" s="1091"/>
      <c r="QRM2344" s="1091"/>
      <c r="QRN2344" s="1091"/>
      <c r="QRO2344" s="1091"/>
      <c r="QRP2344" s="1091"/>
      <c r="QRQ2344" s="1091"/>
      <c r="QRR2344" s="1091"/>
      <c r="QRS2344" s="1091"/>
      <c r="QRT2344" s="1091"/>
      <c r="QRU2344" s="1091"/>
      <c r="QRV2344" s="1091"/>
      <c r="QRW2344" s="1091"/>
      <c r="QRX2344" s="1091"/>
      <c r="QRY2344" s="1091"/>
      <c r="QRZ2344" s="1091"/>
      <c r="QSA2344" s="1091"/>
      <c r="QSB2344" s="1091"/>
      <c r="QSC2344" s="1091"/>
      <c r="QSD2344" s="1091"/>
      <c r="QSE2344" s="1091"/>
      <c r="QSF2344" s="1091"/>
      <c r="QSG2344" s="1091"/>
      <c r="QSH2344" s="1091"/>
      <c r="QSI2344" s="1091"/>
      <c r="QSJ2344" s="1091"/>
      <c r="QSK2344" s="1091"/>
      <c r="QSL2344" s="1091"/>
      <c r="QSM2344" s="1091"/>
      <c r="QSN2344" s="1091"/>
      <c r="QSO2344" s="1091"/>
      <c r="QSP2344" s="1091"/>
      <c r="QSQ2344" s="1091"/>
      <c r="QSR2344" s="1091"/>
      <c r="QSS2344" s="1091"/>
      <c r="QST2344" s="1091"/>
      <c r="QSU2344" s="1091"/>
      <c r="QSV2344" s="1091"/>
      <c r="QSW2344" s="1091"/>
      <c r="QSX2344" s="1091"/>
      <c r="QSY2344" s="1091"/>
      <c r="QSZ2344" s="1091"/>
      <c r="QTA2344" s="1091"/>
      <c r="QTB2344" s="1091"/>
      <c r="QTC2344" s="1091"/>
      <c r="QTD2344" s="1091"/>
      <c r="QTE2344" s="1091"/>
      <c r="QTF2344" s="1091"/>
      <c r="QTG2344" s="1091"/>
      <c r="QTH2344" s="1091"/>
      <c r="QTI2344" s="1091"/>
      <c r="QTJ2344" s="1091"/>
      <c r="QTK2344" s="1091"/>
      <c r="QTL2344" s="1091"/>
      <c r="QTM2344" s="1091"/>
      <c r="QTN2344" s="1091"/>
      <c r="QTO2344" s="1091"/>
      <c r="QTP2344" s="1091"/>
      <c r="QTQ2344" s="1091"/>
      <c r="QTR2344" s="1091"/>
      <c r="QTS2344" s="1091"/>
      <c r="QTT2344" s="1091"/>
      <c r="QTU2344" s="1091"/>
      <c r="QTV2344" s="1091"/>
      <c r="QTW2344" s="1091"/>
      <c r="QTX2344" s="1091"/>
      <c r="QTY2344" s="1091"/>
      <c r="QTZ2344" s="1091"/>
      <c r="QUA2344" s="1091"/>
      <c r="QUB2344" s="1091"/>
      <c r="QUC2344" s="1091"/>
      <c r="QUD2344" s="1091"/>
      <c r="QUE2344" s="1091"/>
      <c r="QUF2344" s="1091"/>
      <c r="QUG2344" s="1091"/>
      <c r="QUH2344" s="1091"/>
      <c r="QUI2344" s="1091"/>
      <c r="QUJ2344" s="1091"/>
      <c r="QUK2344" s="1091"/>
      <c r="QUL2344" s="1091"/>
      <c r="QUM2344" s="1091"/>
      <c r="QUN2344" s="1091"/>
      <c r="QUO2344" s="1091"/>
      <c r="QUP2344" s="1091"/>
      <c r="QUQ2344" s="1091"/>
      <c r="QUR2344" s="1091"/>
      <c r="QUS2344" s="1091"/>
      <c r="QUT2344" s="1091"/>
      <c r="QUU2344" s="1091"/>
      <c r="QUV2344" s="1091"/>
      <c r="QUW2344" s="1091"/>
      <c r="QUX2344" s="1091"/>
      <c r="QUY2344" s="1091"/>
      <c r="QUZ2344" s="1091"/>
      <c r="QVA2344" s="1091"/>
      <c r="QVB2344" s="1091"/>
      <c r="QVC2344" s="1091"/>
      <c r="QVD2344" s="1091"/>
      <c r="QVE2344" s="1091"/>
      <c r="QVF2344" s="1091"/>
      <c r="QVG2344" s="1091"/>
      <c r="QVH2344" s="1091"/>
      <c r="QVI2344" s="1091"/>
      <c r="QVJ2344" s="1091"/>
      <c r="QVK2344" s="1091"/>
      <c r="QVL2344" s="1091"/>
      <c r="QVM2344" s="1091"/>
      <c r="QVN2344" s="1091"/>
      <c r="QVO2344" s="1091"/>
      <c r="QVP2344" s="1091"/>
      <c r="QVQ2344" s="1091"/>
      <c r="QVR2344" s="1091"/>
      <c r="QVS2344" s="1091"/>
      <c r="QVT2344" s="1091"/>
      <c r="QVU2344" s="1091"/>
      <c r="QVV2344" s="1091"/>
      <c r="QVW2344" s="1091"/>
      <c r="QVX2344" s="1091"/>
      <c r="QVY2344" s="1091"/>
      <c r="QVZ2344" s="1091"/>
      <c r="QWA2344" s="1091"/>
      <c r="QWB2344" s="1091"/>
      <c r="QWC2344" s="1091"/>
      <c r="QWD2344" s="1091"/>
      <c r="QWE2344" s="1091"/>
      <c r="QWF2344" s="1091"/>
      <c r="QWG2344" s="1091"/>
      <c r="QWH2344" s="1091"/>
      <c r="QWI2344" s="1091"/>
      <c r="QWJ2344" s="1091"/>
      <c r="QWK2344" s="1091"/>
      <c r="QWL2344" s="1091"/>
      <c r="QWM2344" s="1091"/>
      <c r="QWN2344" s="1091"/>
      <c r="QWO2344" s="1091"/>
      <c r="QWP2344" s="1091"/>
      <c r="QWQ2344" s="1091"/>
      <c r="QWR2344" s="1091"/>
      <c r="QWS2344" s="1091"/>
      <c r="QWT2344" s="1091"/>
      <c r="QWU2344" s="1091"/>
      <c r="QWV2344" s="1091"/>
      <c r="QWW2344" s="1091"/>
      <c r="QWX2344" s="1091"/>
      <c r="QWY2344" s="1091"/>
      <c r="QWZ2344" s="1091"/>
      <c r="QXA2344" s="1091"/>
      <c r="QXB2344" s="1091"/>
      <c r="QXC2344" s="1091"/>
      <c r="QXD2344" s="1091"/>
      <c r="QXE2344" s="1091"/>
      <c r="QXF2344" s="1091"/>
      <c r="QXG2344" s="1091"/>
      <c r="QXH2344" s="1091"/>
      <c r="QXI2344" s="1091"/>
      <c r="QXJ2344" s="1091"/>
      <c r="QXK2344" s="1091"/>
      <c r="QXL2344" s="1091"/>
      <c r="QXM2344" s="1091"/>
      <c r="QXN2344" s="1091"/>
      <c r="QXO2344" s="1091"/>
      <c r="QXP2344" s="1091"/>
      <c r="QXQ2344" s="1091"/>
      <c r="QXR2344" s="1091"/>
      <c r="QXS2344" s="1091"/>
      <c r="QXT2344" s="1091"/>
      <c r="QXU2344" s="1091"/>
      <c r="QXV2344" s="1091"/>
      <c r="QXW2344" s="1091"/>
      <c r="QXX2344" s="1091"/>
      <c r="QXY2344" s="1091"/>
      <c r="QXZ2344" s="1091"/>
      <c r="QYA2344" s="1091"/>
      <c r="QYB2344" s="1091"/>
      <c r="QYC2344" s="1091"/>
      <c r="QYD2344" s="1091"/>
      <c r="QYE2344" s="1091"/>
      <c r="QYF2344" s="1091"/>
      <c r="QYG2344" s="1091"/>
      <c r="QYH2344" s="1091"/>
      <c r="QYI2344" s="1091"/>
      <c r="QYJ2344" s="1091"/>
      <c r="QYK2344" s="1091"/>
      <c r="QYL2344" s="1091"/>
      <c r="QYM2344" s="1091"/>
      <c r="QYN2344" s="1091"/>
      <c r="QYO2344" s="1091"/>
      <c r="QYP2344" s="1091"/>
      <c r="QYQ2344" s="1091"/>
      <c r="QYR2344" s="1091"/>
      <c r="QYS2344" s="1091"/>
      <c r="QYT2344" s="1091"/>
      <c r="QYU2344" s="1091"/>
      <c r="QYV2344" s="1091"/>
      <c r="QYW2344" s="1091"/>
      <c r="QYX2344" s="1091"/>
      <c r="QYY2344" s="1091"/>
      <c r="QYZ2344" s="1091"/>
      <c r="QZA2344" s="1091"/>
      <c r="QZB2344" s="1091"/>
      <c r="QZC2344" s="1091"/>
      <c r="QZD2344" s="1091"/>
      <c r="QZE2344" s="1091"/>
      <c r="QZF2344" s="1091"/>
      <c r="QZG2344" s="1091"/>
      <c r="QZH2344" s="1091"/>
      <c r="QZI2344" s="1091"/>
      <c r="QZJ2344" s="1091"/>
      <c r="QZK2344" s="1091"/>
      <c r="QZL2344" s="1091"/>
      <c r="QZM2344" s="1091"/>
      <c r="QZN2344" s="1091"/>
      <c r="QZO2344" s="1091"/>
      <c r="QZP2344" s="1091"/>
      <c r="QZQ2344" s="1091"/>
      <c r="QZR2344" s="1091"/>
      <c r="QZS2344" s="1091"/>
      <c r="QZT2344" s="1091"/>
      <c r="QZU2344" s="1091"/>
      <c r="QZV2344" s="1091"/>
      <c r="QZW2344" s="1091"/>
      <c r="QZX2344" s="1091"/>
      <c r="QZY2344" s="1091"/>
      <c r="QZZ2344" s="1091"/>
      <c r="RAA2344" s="1091"/>
      <c r="RAB2344" s="1091"/>
      <c r="RAC2344" s="1091"/>
      <c r="RAD2344" s="1091"/>
      <c r="RAE2344" s="1091"/>
      <c r="RAF2344" s="1091"/>
      <c r="RAG2344" s="1091"/>
      <c r="RAH2344" s="1091"/>
      <c r="RAI2344" s="1091"/>
      <c r="RAJ2344" s="1091"/>
      <c r="RAK2344" s="1091"/>
      <c r="RAL2344" s="1091"/>
      <c r="RAM2344" s="1091"/>
      <c r="RAN2344" s="1091"/>
      <c r="RAO2344" s="1091"/>
      <c r="RAP2344" s="1091"/>
      <c r="RAQ2344" s="1091"/>
      <c r="RAR2344" s="1091"/>
      <c r="RAS2344" s="1091"/>
      <c r="RAT2344" s="1091"/>
      <c r="RAU2344" s="1091"/>
      <c r="RAV2344" s="1091"/>
      <c r="RAW2344" s="1091"/>
      <c r="RAX2344" s="1091"/>
      <c r="RAY2344" s="1091"/>
      <c r="RAZ2344" s="1091"/>
      <c r="RBA2344" s="1091"/>
      <c r="RBB2344" s="1091"/>
      <c r="RBC2344" s="1091"/>
      <c r="RBD2344" s="1091"/>
      <c r="RBE2344" s="1091"/>
      <c r="RBF2344" s="1091"/>
      <c r="RBG2344" s="1091"/>
      <c r="RBH2344" s="1091"/>
      <c r="RBI2344" s="1091"/>
      <c r="RBJ2344" s="1091"/>
      <c r="RBK2344" s="1091"/>
      <c r="RBL2344" s="1091"/>
      <c r="RBM2344" s="1091"/>
      <c r="RBN2344" s="1091"/>
      <c r="RBO2344" s="1091"/>
      <c r="RBP2344" s="1091"/>
      <c r="RBQ2344" s="1091"/>
      <c r="RBR2344" s="1091"/>
      <c r="RBS2344" s="1091"/>
      <c r="RBT2344" s="1091"/>
      <c r="RBU2344" s="1091"/>
      <c r="RBV2344" s="1091"/>
      <c r="RBW2344" s="1091"/>
      <c r="RBX2344" s="1091"/>
      <c r="RBY2344" s="1091"/>
      <c r="RBZ2344" s="1091"/>
      <c r="RCA2344" s="1091"/>
      <c r="RCB2344" s="1091"/>
      <c r="RCC2344" s="1091"/>
      <c r="RCD2344" s="1091"/>
      <c r="RCE2344" s="1091"/>
      <c r="RCF2344" s="1091"/>
      <c r="RCG2344" s="1091"/>
      <c r="RCH2344" s="1091"/>
      <c r="RCI2344" s="1091"/>
      <c r="RCJ2344" s="1091"/>
      <c r="RCK2344" s="1091"/>
      <c r="RCL2344" s="1091"/>
      <c r="RCM2344" s="1091"/>
      <c r="RCN2344" s="1091"/>
      <c r="RCO2344" s="1091"/>
      <c r="RCP2344" s="1091"/>
      <c r="RCQ2344" s="1091"/>
      <c r="RCR2344" s="1091"/>
      <c r="RCS2344" s="1091"/>
      <c r="RCT2344" s="1091"/>
      <c r="RCU2344" s="1091"/>
      <c r="RCV2344" s="1091"/>
      <c r="RCW2344" s="1091"/>
      <c r="RCX2344" s="1091"/>
      <c r="RCY2344" s="1091"/>
      <c r="RCZ2344" s="1091"/>
      <c r="RDA2344" s="1091"/>
      <c r="RDB2344" s="1091"/>
      <c r="RDC2344" s="1091"/>
      <c r="RDD2344" s="1091"/>
      <c r="RDE2344" s="1091"/>
      <c r="RDF2344" s="1091"/>
      <c r="RDG2344" s="1091"/>
      <c r="RDH2344" s="1091"/>
      <c r="RDI2344" s="1091"/>
      <c r="RDJ2344" s="1091"/>
      <c r="RDK2344" s="1091"/>
      <c r="RDL2344" s="1091"/>
      <c r="RDM2344" s="1091"/>
      <c r="RDN2344" s="1091"/>
      <c r="RDO2344" s="1091"/>
      <c r="RDP2344" s="1091"/>
      <c r="RDQ2344" s="1091"/>
      <c r="RDR2344" s="1091"/>
      <c r="RDS2344" s="1091"/>
      <c r="RDT2344" s="1091"/>
      <c r="RDU2344" s="1091"/>
      <c r="RDV2344" s="1091"/>
      <c r="RDW2344" s="1091"/>
      <c r="RDX2344" s="1091"/>
      <c r="RDY2344" s="1091"/>
      <c r="RDZ2344" s="1091"/>
      <c r="REA2344" s="1091"/>
      <c r="REB2344" s="1091"/>
      <c r="REC2344" s="1091"/>
      <c r="RED2344" s="1091"/>
      <c r="REE2344" s="1091"/>
      <c r="REF2344" s="1091"/>
      <c r="REG2344" s="1091"/>
      <c r="REH2344" s="1091"/>
      <c r="REI2344" s="1091"/>
      <c r="REJ2344" s="1091"/>
      <c r="REK2344" s="1091"/>
      <c r="REL2344" s="1091"/>
      <c r="REM2344" s="1091"/>
      <c r="REN2344" s="1091"/>
      <c r="REO2344" s="1091"/>
      <c r="REP2344" s="1091"/>
      <c r="REQ2344" s="1091"/>
      <c r="RER2344" s="1091"/>
      <c r="RES2344" s="1091"/>
      <c r="RET2344" s="1091"/>
      <c r="REU2344" s="1091"/>
      <c r="REV2344" s="1091"/>
      <c r="REW2344" s="1091"/>
      <c r="REX2344" s="1091"/>
      <c r="REY2344" s="1091"/>
      <c r="REZ2344" s="1091"/>
      <c r="RFA2344" s="1091"/>
      <c r="RFB2344" s="1091"/>
      <c r="RFC2344" s="1091"/>
      <c r="RFD2344" s="1091"/>
      <c r="RFE2344" s="1091"/>
      <c r="RFF2344" s="1091"/>
      <c r="RFG2344" s="1091"/>
      <c r="RFH2344" s="1091"/>
      <c r="RFI2344" s="1091"/>
      <c r="RFJ2344" s="1091"/>
      <c r="RFK2344" s="1091"/>
      <c r="RFL2344" s="1091"/>
      <c r="RFM2344" s="1091"/>
      <c r="RFN2344" s="1091"/>
      <c r="RFO2344" s="1091"/>
      <c r="RFP2344" s="1091"/>
      <c r="RFQ2344" s="1091"/>
      <c r="RFR2344" s="1091"/>
      <c r="RFS2344" s="1091"/>
      <c r="RFT2344" s="1091"/>
      <c r="RFU2344" s="1091"/>
      <c r="RFV2344" s="1091"/>
      <c r="RFW2344" s="1091"/>
      <c r="RFX2344" s="1091"/>
      <c r="RFY2344" s="1091"/>
      <c r="RFZ2344" s="1091"/>
      <c r="RGA2344" s="1091"/>
      <c r="RGB2344" s="1091"/>
      <c r="RGC2344" s="1091"/>
      <c r="RGD2344" s="1091"/>
      <c r="RGE2344" s="1091"/>
      <c r="RGF2344" s="1091"/>
      <c r="RGG2344" s="1091"/>
      <c r="RGH2344" s="1091"/>
      <c r="RGI2344" s="1091"/>
      <c r="RGJ2344" s="1091"/>
      <c r="RGK2344" s="1091"/>
      <c r="RGL2344" s="1091"/>
      <c r="RGM2344" s="1091"/>
      <c r="RGN2344" s="1091"/>
      <c r="RGO2344" s="1091"/>
      <c r="RGP2344" s="1091"/>
      <c r="RGQ2344" s="1091"/>
      <c r="RGR2344" s="1091"/>
      <c r="RGS2344" s="1091"/>
      <c r="RGT2344" s="1091"/>
      <c r="RGU2344" s="1091"/>
      <c r="RGV2344" s="1091"/>
      <c r="RGW2344" s="1091"/>
      <c r="RGX2344" s="1091"/>
      <c r="RGY2344" s="1091"/>
      <c r="RGZ2344" s="1091"/>
      <c r="RHA2344" s="1091"/>
      <c r="RHB2344" s="1091"/>
      <c r="RHC2344" s="1091"/>
      <c r="RHD2344" s="1091"/>
      <c r="RHE2344" s="1091"/>
      <c r="RHF2344" s="1091"/>
      <c r="RHG2344" s="1091"/>
      <c r="RHH2344" s="1091"/>
      <c r="RHI2344" s="1091"/>
      <c r="RHJ2344" s="1091"/>
      <c r="RHK2344" s="1091"/>
      <c r="RHL2344" s="1091"/>
      <c r="RHM2344" s="1091"/>
      <c r="RHN2344" s="1091"/>
      <c r="RHO2344" s="1091"/>
      <c r="RHP2344" s="1091"/>
      <c r="RHQ2344" s="1091"/>
      <c r="RHR2344" s="1091"/>
      <c r="RHS2344" s="1091"/>
      <c r="RHT2344" s="1091"/>
      <c r="RHU2344" s="1091"/>
      <c r="RHV2344" s="1091"/>
      <c r="RHW2344" s="1091"/>
      <c r="RHX2344" s="1091"/>
      <c r="RHY2344" s="1091"/>
      <c r="RHZ2344" s="1091"/>
      <c r="RIA2344" s="1091"/>
      <c r="RIB2344" s="1091"/>
      <c r="RIC2344" s="1091"/>
      <c r="RID2344" s="1091"/>
      <c r="RIE2344" s="1091"/>
      <c r="RIF2344" s="1091"/>
      <c r="RIG2344" s="1091"/>
      <c r="RIH2344" s="1091"/>
      <c r="RII2344" s="1091"/>
      <c r="RIJ2344" s="1091"/>
      <c r="RIK2344" s="1091"/>
      <c r="RIL2344" s="1091"/>
      <c r="RIM2344" s="1091"/>
      <c r="RIN2344" s="1091"/>
      <c r="RIO2344" s="1091"/>
      <c r="RIP2344" s="1091"/>
      <c r="RIQ2344" s="1091"/>
      <c r="RIR2344" s="1091"/>
      <c r="RIS2344" s="1091"/>
      <c r="RIT2344" s="1091"/>
      <c r="RIU2344" s="1091"/>
      <c r="RIV2344" s="1091"/>
      <c r="RIW2344" s="1091"/>
      <c r="RIX2344" s="1091"/>
      <c r="RIY2344" s="1091"/>
      <c r="RIZ2344" s="1091"/>
      <c r="RJA2344" s="1091"/>
      <c r="RJB2344" s="1091"/>
      <c r="RJC2344" s="1091"/>
      <c r="RJD2344" s="1091"/>
      <c r="RJE2344" s="1091"/>
      <c r="RJF2344" s="1091"/>
      <c r="RJG2344" s="1091"/>
      <c r="RJH2344" s="1091"/>
      <c r="RJI2344" s="1091"/>
      <c r="RJJ2344" s="1091"/>
      <c r="RJK2344" s="1091"/>
      <c r="RJL2344" s="1091"/>
      <c r="RJM2344" s="1091"/>
      <c r="RJN2344" s="1091"/>
      <c r="RJO2344" s="1091"/>
      <c r="RJP2344" s="1091"/>
      <c r="RJQ2344" s="1091"/>
      <c r="RJR2344" s="1091"/>
      <c r="RJS2344" s="1091"/>
      <c r="RJT2344" s="1091"/>
      <c r="RJU2344" s="1091"/>
      <c r="RJV2344" s="1091"/>
      <c r="RJW2344" s="1091"/>
      <c r="RJX2344" s="1091"/>
      <c r="RJY2344" s="1091"/>
      <c r="RJZ2344" s="1091"/>
      <c r="RKA2344" s="1091"/>
      <c r="RKB2344" s="1091"/>
      <c r="RKC2344" s="1091"/>
      <c r="RKD2344" s="1091"/>
      <c r="RKE2344" s="1091"/>
      <c r="RKF2344" s="1091"/>
      <c r="RKG2344" s="1091"/>
      <c r="RKH2344" s="1091"/>
      <c r="RKI2344" s="1091"/>
      <c r="RKJ2344" s="1091"/>
      <c r="RKK2344" s="1091"/>
      <c r="RKL2344" s="1091"/>
      <c r="RKM2344" s="1091"/>
      <c r="RKN2344" s="1091"/>
      <c r="RKO2344" s="1091"/>
      <c r="RKP2344" s="1091"/>
      <c r="RKQ2344" s="1091"/>
      <c r="RKR2344" s="1091"/>
      <c r="RKS2344" s="1091"/>
      <c r="RKT2344" s="1091"/>
      <c r="RKU2344" s="1091"/>
      <c r="RKV2344" s="1091"/>
      <c r="RKW2344" s="1091"/>
      <c r="RKX2344" s="1091"/>
      <c r="RKY2344" s="1091"/>
      <c r="RKZ2344" s="1091"/>
      <c r="RLA2344" s="1091"/>
      <c r="RLB2344" s="1091"/>
      <c r="RLC2344" s="1091"/>
      <c r="RLD2344" s="1091"/>
      <c r="RLE2344" s="1091"/>
      <c r="RLF2344" s="1091"/>
      <c r="RLG2344" s="1091"/>
      <c r="RLH2344" s="1091"/>
      <c r="RLI2344" s="1091"/>
      <c r="RLJ2344" s="1091"/>
      <c r="RLK2344" s="1091"/>
      <c r="RLL2344" s="1091"/>
      <c r="RLM2344" s="1091"/>
      <c r="RLN2344" s="1091"/>
      <c r="RLO2344" s="1091"/>
      <c r="RLP2344" s="1091"/>
      <c r="RLQ2344" s="1091"/>
      <c r="RLR2344" s="1091"/>
      <c r="RLS2344" s="1091"/>
      <c r="RLT2344" s="1091"/>
      <c r="RLU2344" s="1091"/>
      <c r="RLV2344" s="1091"/>
      <c r="RLW2344" s="1091"/>
      <c r="RLX2344" s="1091"/>
      <c r="RLY2344" s="1091"/>
      <c r="RLZ2344" s="1091"/>
      <c r="RMA2344" s="1091"/>
      <c r="RMB2344" s="1091"/>
      <c r="RMC2344" s="1091"/>
      <c r="RMD2344" s="1091"/>
      <c r="RME2344" s="1091"/>
      <c r="RMF2344" s="1091"/>
      <c r="RMG2344" s="1091"/>
      <c r="RMH2344" s="1091"/>
      <c r="RMI2344" s="1091"/>
      <c r="RMJ2344" s="1091"/>
      <c r="RMK2344" s="1091"/>
      <c r="RML2344" s="1091"/>
      <c r="RMM2344" s="1091"/>
      <c r="RMN2344" s="1091"/>
      <c r="RMO2344" s="1091"/>
      <c r="RMP2344" s="1091"/>
      <c r="RMQ2344" s="1091"/>
      <c r="RMR2344" s="1091"/>
      <c r="RMS2344" s="1091"/>
      <c r="RMT2344" s="1091"/>
      <c r="RMU2344" s="1091"/>
      <c r="RMV2344" s="1091"/>
      <c r="RMW2344" s="1091"/>
      <c r="RMX2344" s="1091"/>
      <c r="RMY2344" s="1091"/>
      <c r="RMZ2344" s="1091"/>
      <c r="RNA2344" s="1091"/>
      <c r="RNB2344" s="1091"/>
      <c r="RNC2344" s="1091"/>
      <c r="RND2344" s="1091"/>
      <c r="RNE2344" s="1091"/>
      <c r="RNF2344" s="1091"/>
      <c r="RNG2344" s="1091"/>
      <c r="RNH2344" s="1091"/>
      <c r="RNI2344" s="1091"/>
      <c r="RNJ2344" s="1091"/>
      <c r="RNK2344" s="1091"/>
      <c r="RNL2344" s="1091"/>
      <c r="RNM2344" s="1091"/>
      <c r="RNN2344" s="1091"/>
      <c r="RNO2344" s="1091"/>
      <c r="RNP2344" s="1091"/>
      <c r="RNQ2344" s="1091"/>
      <c r="RNR2344" s="1091"/>
      <c r="RNS2344" s="1091"/>
      <c r="RNT2344" s="1091"/>
      <c r="RNU2344" s="1091"/>
      <c r="RNV2344" s="1091"/>
      <c r="RNW2344" s="1091"/>
      <c r="RNX2344" s="1091"/>
      <c r="RNY2344" s="1091"/>
      <c r="RNZ2344" s="1091"/>
      <c r="ROA2344" s="1091"/>
      <c r="ROB2344" s="1091"/>
      <c r="ROC2344" s="1091"/>
      <c r="ROD2344" s="1091"/>
      <c r="ROE2344" s="1091"/>
      <c r="ROF2344" s="1091"/>
      <c r="ROG2344" s="1091"/>
      <c r="ROH2344" s="1091"/>
      <c r="ROI2344" s="1091"/>
      <c r="ROJ2344" s="1091"/>
      <c r="ROK2344" s="1091"/>
      <c r="ROL2344" s="1091"/>
      <c r="ROM2344" s="1091"/>
      <c r="RON2344" s="1091"/>
      <c r="ROO2344" s="1091"/>
      <c r="ROP2344" s="1091"/>
      <c r="ROQ2344" s="1091"/>
      <c r="ROR2344" s="1091"/>
      <c r="ROS2344" s="1091"/>
      <c r="ROT2344" s="1091"/>
      <c r="ROU2344" s="1091"/>
      <c r="ROV2344" s="1091"/>
      <c r="ROW2344" s="1091"/>
      <c r="ROX2344" s="1091"/>
      <c r="ROY2344" s="1091"/>
      <c r="ROZ2344" s="1091"/>
      <c r="RPA2344" s="1091"/>
      <c r="RPB2344" s="1091"/>
      <c r="RPC2344" s="1091"/>
      <c r="RPD2344" s="1091"/>
      <c r="RPE2344" s="1091"/>
      <c r="RPF2344" s="1091"/>
      <c r="RPG2344" s="1091"/>
      <c r="RPH2344" s="1091"/>
      <c r="RPI2344" s="1091"/>
      <c r="RPJ2344" s="1091"/>
      <c r="RPK2344" s="1091"/>
      <c r="RPL2344" s="1091"/>
      <c r="RPM2344" s="1091"/>
      <c r="RPN2344" s="1091"/>
      <c r="RPO2344" s="1091"/>
      <c r="RPP2344" s="1091"/>
      <c r="RPQ2344" s="1091"/>
      <c r="RPR2344" s="1091"/>
      <c r="RPS2344" s="1091"/>
      <c r="RPT2344" s="1091"/>
      <c r="RPU2344" s="1091"/>
      <c r="RPV2344" s="1091"/>
      <c r="RPW2344" s="1091"/>
      <c r="RPX2344" s="1091"/>
      <c r="RPY2344" s="1091"/>
      <c r="RPZ2344" s="1091"/>
      <c r="RQA2344" s="1091"/>
      <c r="RQB2344" s="1091"/>
      <c r="RQC2344" s="1091"/>
      <c r="RQD2344" s="1091"/>
      <c r="RQE2344" s="1091"/>
      <c r="RQF2344" s="1091"/>
      <c r="RQG2344" s="1091"/>
      <c r="RQH2344" s="1091"/>
      <c r="RQI2344" s="1091"/>
      <c r="RQJ2344" s="1091"/>
      <c r="RQK2344" s="1091"/>
      <c r="RQL2344" s="1091"/>
      <c r="RQM2344" s="1091"/>
      <c r="RQN2344" s="1091"/>
      <c r="RQO2344" s="1091"/>
      <c r="RQP2344" s="1091"/>
      <c r="RQQ2344" s="1091"/>
      <c r="RQR2344" s="1091"/>
      <c r="RQS2344" s="1091"/>
      <c r="RQT2344" s="1091"/>
      <c r="RQU2344" s="1091"/>
      <c r="RQV2344" s="1091"/>
      <c r="RQW2344" s="1091"/>
      <c r="RQX2344" s="1091"/>
      <c r="RQY2344" s="1091"/>
      <c r="RQZ2344" s="1091"/>
      <c r="RRA2344" s="1091"/>
      <c r="RRB2344" s="1091"/>
      <c r="RRC2344" s="1091"/>
      <c r="RRD2344" s="1091"/>
      <c r="RRE2344" s="1091"/>
      <c r="RRF2344" s="1091"/>
      <c r="RRG2344" s="1091"/>
      <c r="RRH2344" s="1091"/>
      <c r="RRI2344" s="1091"/>
      <c r="RRJ2344" s="1091"/>
      <c r="RRK2344" s="1091"/>
      <c r="RRL2344" s="1091"/>
      <c r="RRM2344" s="1091"/>
      <c r="RRN2344" s="1091"/>
      <c r="RRO2344" s="1091"/>
      <c r="RRP2344" s="1091"/>
      <c r="RRQ2344" s="1091"/>
      <c r="RRR2344" s="1091"/>
      <c r="RRS2344" s="1091"/>
      <c r="RRT2344" s="1091"/>
      <c r="RRU2344" s="1091"/>
      <c r="RRV2344" s="1091"/>
      <c r="RRW2344" s="1091"/>
      <c r="RRX2344" s="1091"/>
      <c r="RRY2344" s="1091"/>
      <c r="RRZ2344" s="1091"/>
      <c r="RSA2344" s="1091"/>
      <c r="RSB2344" s="1091"/>
      <c r="RSC2344" s="1091"/>
      <c r="RSD2344" s="1091"/>
      <c r="RSE2344" s="1091"/>
      <c r="RSF2344" s="1091"/>
      <c r="RSG2344" s="1091"/>
      <c r="RSH2344" s="1091"/>
      <c r="RSI2344" s="1091"/>
      <c r="RSJ2344" s="1091"/>
      <c r="RSK2344" s="1091"/>
      <c r="RSL2344" s="1091"/>
      <c r="RSM2344" s="1091"/>
      <c r="RSN2344" s="1091"/>
      <c r="RSO2344" s="1091"/>
      <c r="RSP2344" s="1091"/>
      <c r="RSQ2344" s="1091"/>
      <c r="RSR2344" s="1091"/>
      <c r="RSS2344" s="1091"/>
      <c r="RST2344" s="1091"/>
      <c r="RSU2344" s="1091"/>
      <c r="RSV2344" s="1091"/>
      <c r="RSW2344" s="1091"/>
      <c r="RSX2344" s="1091"/>
      <c r="RSY2344" s="1091"/>
      <c r="RSZ2344" s="1091"/>
      <c r="RTA2344" s="1091"/>
      <c r="RTB2344" s="1091"/>
      <c r="RTC2344" s="1091"/>
      <c r="RTD2344" s="1091"/>
      <c r="RTE2344" s="1091"/>
      <c r="RTF2344" s="1091"/>
      <c r="RTG2344" s="1091"/>
      <c r="RTH2344" s="1091"/>
      <c r="RTI2344" s="1091"/>
      <c r="RTJ2344" s="1091"/>
      <c r="RTK2344" s="1091"/>
      <c r="RTL2344" s="1091"/>
      <c r="RTM2344" s="1091"/>
      <c r="RTN2344" s="1091"/>
      <c r="RTO2344" s="1091"/>
      <c r="RTP2344" s="1091"/>
      <c r="RTQ2344" s="1091"/>
      <c r="RTR2344" s="1091"/>
      <c r="RTS2344" s="1091"/>
      <c r="RTT2344" s="1091"/>
      <c r="RTU2344" s="1091"/>
      <c r="RTV2344" s="1091"/>
      <c r="RTW2344" s="1091"/>
      <c r="RTX2344" s="1091"/>
      <c r="RTY2344" s="1091"/>
      <c r="RTZ2344" s="1091"/>
      <c r="RUA2344" s="1091"/>
      <c r="RUB2344" s="1091"/>
      <c r="RUC2344" s="1091"/>
      <c r="RUD2344" s="1091"/>
      <c r="RUE2344" s="1091"/>
      <c r="RUF2344" s="1091"/>
      <c r="RUG2344" s="1091"/>
      <c r="RUH2344" s="1091"/>
      <c r="RUI2344" s="1091"/>
      <c r="RUJ2344" s="1091"/>
      <c r="RUK2344" s="1091"/>
      <c r="RUL2344" s="1091"/>
      <c r="RUM2344" s="1091"/>
      <c r="RUN2344" s="1091"/>
      <c r="RUO2344" s="1091"/>
      <c r="RUP2344" s="1091"/>
      <c r="RUQ2344" s="1091"/>
      <c r="RUR2344" s="1091"/>
      <c r="RUS2344" s="1091"/>
      <c r="RUT2344" s="1091"/>
      <c r="RUU2344" s="1091"/>
      <c r="RUV2344" s="1091"/>
      <c r="RUW2344" s="1091"/>
      <c r="RUX2344" s="1091"/>
      <c r="RUY2344" s="1091"/>
      <c r="RUZ2344" s="1091"/>
      <c r="RVA2344" s="1091"/>
      <c r="RVB2344" s="1091"/>
      <c r="RVC2344" s="1091"/>
      <c r="RVD2344" s="1091"/>
      <c r="RVE2344" s="1091"/>
      <c r="RVF2344" s="1091"/>
      <c r="RVG2344" s="1091"/>
      <c r="RVH2344" s="1091"/>
      <c r="RVI2344" s="1091"/>
      <c r="RVJ2344" s="1091"/>
      <c r="RVK2344" s="1091"/>
      <c r="RVL2344" s="1091"/>
      <c r="RVM2344" s="1091"/>
      <c r="RVN2344" s="1091"/>
      <c r="RVO2344" s="1091"/>
      <c r="RVP2344" s="1091"/>
      <c r="RVQ2344" s="1091"/>
      <c r="RVR2344" s="1091"/>
      <c r="RVS2344" s="1091"/>
      <c r="RVT2344" s="1091"/>
      <c r="RVU2344" s="1091"/>
      <c r="RVV2344" s="1091"/>
      <c r="RVW2344" s="1091"/>
      <c r="RVX2344" s="1091"/>
      <c r="RVY2344" s="1091"/>
      <c r="RVZ2344" s="1091"/>
      <c r="RWA2344" s="1091"/>
      <c r="RWB2344" s="1091"/>
      <c r="RWC2344" s="1091"/>
      <c r="RWD2344" s="1091"/>
      <c r="RWE2344" s="1091"/>
      <c r="RWF2344" s="1091"/>
      <c r="RWG2344" s="1091"/>
      <c r="RWH2344" s="1091"/>
      <c r="RWI2344" s="1091"/>
      <c r="RWJ2344" s="1091"/>
      <c r="RWK2344" s="1091"/>
      <c r="RWL2344" s="1091"/>
      <c r="RWM2344" s="1091"/>
      <c r="RWN2344" s="1091"/>
      <c r="RWO2344" s="1091"/>
      <c r="RWP2344" s="1091"/>
      <c r="RWQ2344" s="1091"/>
      <c r="RWR2344" s="1091"/>
      <c r="RWS2344" s="1091"/>
      <c r="RWT2344" s="1091"/>
      <c r="RWU2344" s="1091"/>
      <c r="RWV2344" s="1091"/>
      <c r="RWW2344" s="1091"/>
      <c r="RWX2344" s="1091"/>
      <c r="RWY2344" s="1091"/>
      <c r="RWZ2344" s="1091"/>
      <c r="RXA2344" s="1091"/>
      <c r="RXB2344" s="1091"/>
      <c r="RXC2344" s="1091"/>
      <c r="RXD2344" s="1091"/>
      <c r="RXE2344" s="1091"/>
      <c r="RXF2344" s="1091"/>
      <c r="RXG2344" s="1091"/>
      <c r="RXH2344" s="1091"/>
      <c r="RXI2344" s="1091"/>
      <c r="RXJ2344" s="1091"/>
      <c r="RXK2344" s="1091"/>
      <c r="RXL2344" s="1091"/>
      <c r="RXM2344" s="1091"/>
      <c r="RXN2344" s="1091"/>
      <c r="RXO2344" s="1091"/>
      <c r="RXP2344" s="1091"/>
      <c r="RXQ2344" s="1091"/>
      <c r="RXR2344" s="1091"/>
      <c r="RXS2344" s="1091"/>
      <c r="RXT2344" s="1091"/>
      <c r="RXU2344" s="1091"/>
      <c r="RXV2344" s="1091"/>
      <c r="RXW2344" s="1091"/>
      <c r="RXX2344" s="1091"/>
      <c r="RXY2344" s="1091"/>
      <c r="RXZ2344" s="1091"/>
      <c r="RYA2344" s="1091"/>
      <c r="RYB2344" s="1091"/>
      <c r="RYC2344" s="1091"/>
      <c r="RYD2344" s="1091"/>
      <c r="RYE2344" s="1091"/>
      <c r="RYF2344" s="1091"/>
      <c r="RYG2344" s="1091"/>
      <c r="RYH2344" s="1091"/>
      <c r="RYI2344" s="1091"/>
      <c r="RYJ2344" s="1091"/>
      <c r="RYK2344" s="1091"/>
      <c r="RYL2344" s="1091"/>
      <c r="RYM2344" s="1091"/>
      <c r="RYN2344" s="1091"/>
      <c r="RYO2344" s="1091"/>
      <c r="RYP2344" s="1091"/>
      <c r="RYQ2344" s="1091"/>
      <c r="RYR2344" s="1091"/>
      <c r="RYS2344" s="1091"/>
      <c r="RYT2344" s="1091"/>
      <c r="RYU2344" s="1091"/>
      <c r="RYV2344" s="1091"/>
      <c r="RYW2344" s="1091"/>
      <c r="RYX2344" s="1091"/>
      <c r="RYY2344" s="1091"/>
      <c r="RYZ2344" s="1091"/>
      <c r="RZA2344" s="1091"/>
      <c r="RZB2344" s="1091"/>
      <c r="RZC2344" s="1091"/>
      <c r="RZD2344" s="1091"/>
      <c r="RZE2344" s="1091"/>
      <c r="RZF2344" s="1091"/>
      <c r="RZG2344" s="1091"/>
      <c r="RZH2344" s="1091"/>
      <c r="RZI2344" s="1091"/>
      <c r="RZJ2344" s="1091"/>
      <c r="RZK2344" s="1091"/>
      <c r="RZL2344" s="1091"/>
      <c r="RZM2344" s="1091"/>
      <c r="RZN2344" s="1091"/>
      <c r="RZO2344" s="1091"/>
      <c r="RZP2344" s="1091"/>
      <c r="RZQ2344" s="1091"/>
      <c r="RZR2344" s="1091"/>
      <c r="RZS2344" s="1091"/>
      <c r="RZT2344" s="1091"/>
      <c r="RZU2344" s="1091"/>
      <c r="RZV2344" s="1091"/>
      <c r="RZW2344" s="1091"/>
      <c r="RZX2344" s="1091"/>
      <c r="RZY2344" s="1091"/>
      <c r="RZZ2344" s="1091"/>
      <c r="SAA2344" s="1091"/>
      <c r="SAB2344" s="1091"/>
      <c r="SAC2344" s="1091"/>
      <c r="SAD2344" s="1091"/>
      <c r="SAE2344" s="1091"/>
      <c r="SAF2344" s="1091"/>
      <c r="SAG2344" s="1091"/>
      <c r="SAH2344" s="1091"/>
      <c r="SAI2344" s="1091"/>
      <c r="SAJ2344" s="1091"/>
      <c r="SAK2344" s="1091"/>
      <c r="SAL2344" s="1091"/>
      <c r="SAM2344" s="1091"/>
      <c r="SAN2344" s="1091"/>
      <c r="SAO2344" s="1091"/>
      <c r="SAP2344" s="1091"/>
      <c r="SAQ2344" s="1091"/>
      <c r="SAR2344" s="1091"/>
      <c r="SAS2344" s="1091"/>
      <c r="SAT2344" s="1091"/>
      <c r="SAU2344" s="1091"/>
      <c r="SAV2344" s="1091"/>
      <c r="SAW2344" s="1091"/>
      <c r="SAX2344" s="1091"/>
      <c r="SAY2344" s="1091"/>
      <c r="SAZ2344" s="1091"/>
      <c r="SBA2344" s="1091"/>
      <c r="SBB2344" s="1091"/>
      <c r="SBC2344" s="1091"/>
      <c r="SBD2344" s="1091"/>
      <c r="SBE2344" s="1091"/>
      <c r="SBF2344" s="1091"/>
      <c r="SBG2344" s="1091"/>
      <c r="SBH2344" s="1091"/>
      <c r="SBI2344" s="1091"/>
      <c r="SBJ2344" s="1091"/>
      <c r="SBK2344" s="1091"/>
      <c r="SBL2344" s="1091"/>
      <c r="SBM2344" s="1091"/>
      <c r="SBN2344" s="1091"/>
      <c r="SBO2344" s="1091"/>
      <c r="SBP2344" s="1091"/>
      <c r="SBQ2344" s="1091"/>
      <c r="SBR2344" s="1091"/>
      <c r="SBS2344" s="1091"/>
      <c r="SBT2344" s="1091"/>
      <c r="SBU2344" s="1091"/>
      <c r="SBV2344" s="1091"/>
      <c r="SBW2344" s="1091"/>
      <c r="SBX2344" s="1091"/>
      <c r="SBY2344" s="1091"/>
      <c r="SBZ2344" s="1091"/>
      <c r="SCA2344" s="1091"/>
      <c r="SCB2344" s="1091"/>
      <c r="SCC2344" s="1091"/>
      <c r="SCD2344" s="1091"/>
      <c r="SCE2344" s="1091"/>
      <c r="SCF2344" s="1091"/>
      <c r="SCG2344" s="1091"/>
      <c r="SCH2344" s="1091"/>
      <c r="SCI2344" s="1091"/>
      <c r="SCJ2344" s="1091"/>
      <c r="SCK2344" s="1091"/>
      <c r="SCL2344" s="1091"/>
      <c r="SCM2344" s="1091"/>
      <c r="SCN2344" s="1091"/>
      <c r="SCO2344" s="1091"/>
      <c r="SCP2344" s="1091"/>
      <c r="SCQ2344" s="1091"/>
      <c r="SCR2344" s="1091"/>
      <c r="SCS2344" s="1091"/>
      <c r="SCT2344" s="1091"/>
      <c r="SCU2344" s="1091"/>
      <c r="SCV2344" s="1091"/>
      <c r="SCW2344" s="1091"/>
      <c r="SCX2344" s="1091"/>
      <c r="SCY2344" s="1091"/>
      <c r="SCZ2344" s="1091"/>
      <c r="SDA2344" s="1091"/>
      <c r="SDB2344" s="1091"/>
      <c r="SDC2344" s="1091"/>
      <c r="SDD2344" s="1091"/>
      <c r="SDE2344" s="1091"/>
      <c r="SDF2344" s="1091"/>
      <c r="SDG2344" s="1091"/>
      <c r="SDH2344" s="1091"/>
      <c r="SDI2344" s="1091"/>
      <c r="SDJ2344" s="1091"/>
      <c r="SDK2344" s="1091"/>
      <c r="SDL2344" s="1091"/>
      <c r="SDM2344" s="1091"/>
      <c r="SDN2344" s="1091"/>
      <c r="SDO2344" s="1091"/>
      <c r="SDP2344" s="1091"/>
      <c r="SDQ2344" s="1091"/>
      <c r="SDR2344" s="1091"/>
      <c r="SDS2344" s="1091"/>
      <c r="SDT2344" s="1091"/>
      <c r="SDU2344" s="1091"/>
      <c r="SDV2344" s="1091"/>
      <c r="SDW2344" s="1091"/>
      <c r="SDX2344" s="1091"/>
      <c r="SDY2344" s="1091"/>
      <c r="SDZ2344" s="1091"/>
      <c r="SEA2344" s="1091"/>
      <c r="SEB2344" s="1091"/>
      <c r="SEC2344" s="1091"/>
      <c r="SED2344" s="1091"/>
      <c r="SEE2344" s="1091"/>
      <c r="SEF2344" s="1091"/>
      <c r="SEG2344" s="1091"/>
      <c r="SEH2344" s="1091"/>
      <c r="SEI2344" s="1091"/>
      <c r="SEJ2344" s="1091"/>
      <c r="SEK2344" s="1091"/>
      <c r="SEL2344" s="1091"/>
      <c r="SEM2344" s="1091"/>
      <c r="SEN2344" s="1091"/>
      <c r="SEO2344" s="1091"/>
      <c r="SEP2344" s="1091"/>
      <c r="SEQ2344" s="1091"/>
      <c r="SER2344" s="1091"/>
      <c r="SES2344" s="1091"/>
      <c r="SET2344" s="1091"/>
      <c r="SEU2344" s="1091"/>
      <c r="SEV2344" s="1091"/>
      <c r="SEW2344" s="1091"/>
      <c r="SEX2344" s="1091"/>
      <c r="SEY2344" s="1091"/>
      <c r="SEZ2344" s="1091"/>
      <c r="SFA2344" s="1091"/>
      <c r="SFB2344" s="1091"/>
      <c r="SFC2344" s="1091"/>
      <c r="SFD2344" s="1091"/>
      <c r="SFE2344" s="1091"/>
      <c r="SFF2344" s="1091"/>
      <c r="SFG2344" s="1091"/>
      <c r="SFH2344" s="1091"/>
      <c r="SFI2344" s="1091"/>
      <c r="SFJ2344" s="1091"/>
      <c r="SFK2344" s="1091"/>
      <c r="SFL2344" s="1091"/>
      <c r="SFM2344" s="1091"/>
      <c r="SFN2344" s="1091"/>
      <c r="SFO2344" s="1091"/>
      <c r="SFP2344" s="1091"/>
      <c r="SFQ2344" s="1091"/>
      <c r="SFR2344" s="1091"/>
      <c r="SFS2344" s="1091"/>
      <c r="SFT2344" s="1091"/>
      <c r="SFU2344" s="1091"/>
      <c r="SFV2344" s="1091"/>
      <c r="SFW2344" s="1091"/>
      <c r="SFX2344" s="1091"/>
      <c r="SFY2344" s="1091"/>
      <c r="SFZ2344" s="1091"/>
      <c r="SGA2344" s="1091"/>
      <c r="SGB2344" s="1091"/>
      <c r="SGC2344" s="1091"/>
      <c r="SGD2344" s="1091"/>
      <c r="SGE2344" s="1091"/>
      <c r="SGF2344" s="1091"/>
      <c r="SGG2344" s="1091"/>
      <c r="SGH2344" s="1091"/>
      <c r="SGI2344" s="1091"/>
      <c r="SGJ2344" s="1091"/>
      <c r="SGK2344" s="1091"/>
      <c r="SGL2344" s="1091"/>
      <c r="SGM2344" s="1091"/>
      <c r="SGN2344" s="1091"/>
      <c r="SGO2344" s="1091"/>
      <c r="SGP2344" s="1091"/>
      <c r="SGQ2344" s="1091"/>
      <c r="SGR2344" s="1091"/>
      <c r="SGS2344" s="1091"/>
      <c r="SGT2344" s="1091"/>
      <c r="SGU2344" s="1091"/>
      <c r="SGV2344" s="1091"/>
      <c r="SGW2344" s="1091"/>
      <c r="SGX2344" s="1091"/>
      <c r="SGY2344" s="1091"/>
      <c r="SGZ2344" s="1091"/>
      <c r="SHA2344" s="1091"/>
      <c r="SHB2344" s="1091"/>
      <c r="SHC2344" s="1091"/>
      <c r="SHD2344" s="1091"/>
      <c r="SHE2344" s="1091"/>
      <c r="SHF2344" s="1091"/>
      <c r="SHG2344" s="1091"/>
      <c r="SHH2344" s="1091"/>
      <c r="SHI2344" s="1091"/>
      <c r="SHJ2344" s="1091"/>
      <c r="SHK2344" s="1091"/>
      <c r="SHL2344" s="1091"/>
      <c r="SHM2344" s="1091"/>
      <c r="SHN2344" s="1091"/>
      <c r="SHO2344" s="1091"/>
      <c r="SHP2344" s="1091"/>
      <c r="SHQ2344" s="1091"/>
      <c r="SHR2344" s="1091"/>
      <c r="SHS2344" s="1091"/>
      <c r="SHT2344" s="1091"/>
      <c r="SHU2344" s="1091"/>
      <c r="SHV2344" s="1091"/>
      <c r="SHW2344" s="1091"/>
      <c r="SHX2344" s="1091"/>
      <c r="SHY2344" s="1091"/>
      <c r="SHZ2344" s="1091"/>
      <c r="SIA2344" s="1091"/>
      <c r="SIB2344" s="1091"/>
      <c r="SIC2344" s="1091"/>
      <c r="SID2344" s="1091"/>
      <c r="SIE2344" s="1091"/>
      <c r="SIF2344" s="1091"/>
      <c r="SIG2344" s="1091"/>
      <c r="SIH2344" s="1091"/>
      <c r="SII2344" s="1091"/>
      <c r="SIJ2344" s="1091"/>
      <c r="SIK2344" s="1091"/>
      <c r="SIL2344" s="1091"/>
      <c r="SIM2344" s="1091"/>
      <c r="SIN2344" s="1091"/>
      <c r="SIO2344" s="1091"/>
      <c r="SIP2344" s="1091"/>
      <c r="SIQ2344" s="1091"/>
      <c r="SIR2344" s="1091"/>
      <c r="SIS2344" s="1091"/>
      <c r="SIT2344" s="1091"/>
      <c r="SIU2344" s="1091"/>
      <c r="SIV2344" s="1091"/>
      <c r="SIW2344" s="1091"/>
      <c r="SIX2344" s="1091"/>
      <c r="SIY2344" s="1091"/>
      <c r="SIZ2344" s="1091"/>
      <c r="SJA2344" s="1091"/>
      <c r="SJB2344" s="1091"/>
      <c r="SJC2344" s="1091"/>
      <c r="SJD2344" s="1091"/>
      <c r="SJE2344" s="1091"/>
      <c r="SJF2344" s="1091"/>
      <c r="SJG2344" s="1091"/>
      <c r="SJH2344" s="1091"/>
      <c r="SJI2344" s="1091"/>
      <c r="SJJ2344" s="1091"/>
      <c r="SJK2344" s="1091"/>
      <c r="SJL2344" s="1091"/>
      <c r="SJM2344" s="1091"/>
      <c r="SJN2344" s="1091"/>
      <c r="SJO2344" s="1091"/>
      <c r="SJP2344" s="1091"/>
      <c r="SJQ2344" s="1091"/>
      <c r="SJR2344" s="1091"/>
      <c r="SJS2344" s="1091"/>
      <c r="SJT2344" s="1091"/>
      <c r="SJU2344" s="1091"/>
      <c r="SJV2344" s="1091"/>
      <c r="SJW2344" s="1091"/>
      <c r="SJX2344" s="1091"/>
      <c r="SJY2344" s="1091"/>
      <c r="SJZ2344" s="1091"/>
      <c r="SKA2344" s="1091"/>
      <c r="SKB2344" s="1091"/>
      <c r="SKC2344" s="1091"/>
      <c r="SKD2344" s="1091"/>
      <c r="SKE2344" s="1091"/>
      <c r="SKF2344" s="1091"/>
      <c r="SKG2344" s="1091"/>
      <c r="SKH2344" s="1091"/>
      <c r="SKI2344" s="1091"/>
      <c r="SKJ2344" s="1091"/>
      <c r="SKK2344" s="1091"/>
      <c r="SKL2344" s="1091"/>
      <c r="SKM2344" s="1091"/>
      <c r="SKN2344" s="1091"/>
      <c r="SKO2344" s="1091"/>
      <c r="SKP2344" s="1091"/>
      <c r="SKQ2344" s="1091"/>
      <c r="SKR2344" s="1091"/>
      <c r="SKS2344" s="1091"/>
      <c r="SKT2344" s="1091"/>
      <c r="SKU2344" s="1091"/>
      <c r="SKV2344" s="1091"/>
      <c r="SKW2344" s="1091"/>
      <c r="SKX2344" s="1091"/>
      <c r="SKY2344" s="1091"/>
      <c r="SKZ2344" s="1091"/>
      <c r="SLA2344" s="1091"/>
      <c r="SLB2344" s="1091"/>
      <c r="SLC2344" s="1091"/>
      <c r="SLD2344" s="1091"/>
      <c r="SLE2344" s="1091"/>
      <c r="SLF2344" s="1091"/>
      <c r="SLG2344" s="1091"/>
      <c r="SLH2344" s="1091"/>
      <c r="SLI2344" s="1091"/>
      <c r="SLJ2344" s="1091"/>
      <c r="SLK2344" s="1091"/>
      <c r="SLL2344" s="1091"/>
      <c r="SLM2344" s="1091"/>
      <c r="SLN2344" s="1091"/>
      <c r="SLO2344" s="1091"/>
      <c r="SLP2344" s="1091"/>
      <c r="SLQ2344" s="1091"/>
      <c r="SLR2344" s="1091"/>
      <c r="SLS2344" s="1091"/>
      <c r="SLT2344" s="1091"/>
      <c r="SLU2344" s="1091"/>
      <c r="SLV2344" s="1091"/>
      <c r="SLW2344" s="1091"/>
      <c r="SLX2344" s="1091"/>
      <c r="SLY2344" s="1091"/>
      <c r="SLZ2344" s="1091"/>
      <c r="SMA2344" s="1091"/>
      <c r="SMB2344" s="1091"/>
      <c r="SMC2344" s="1091"/>
      <c r="SMD2344" s="1091"/>
      <c r="SME2344" s="1091"/>
      <c r="SMF2344" s="1091"/>
      <c r="SMG2344" s="1091"/>
      <c r="SMH2344" s="1091"/>
      <c r="SMI2344" s="1091"/>
      <c r="SMJ2344" s="1091"/>
      <c r="SMK2344" s="1091"/>
      <c r="SML2344" s="1091"/>
      <c r="SMM2344" s="1091"/>
      <c r="SMN2344" s="1091"/>
      <c r="SMO2344" s="1091"/>
      <c r="SMP2344" s="1091"/>
      <c r="SMQ2344" s="1091"/>
      <c r="SMR2344" s="1091"/>
      <c r="SMS2344" s="1091"/>
      <c r="SMT2344" s="1091"/>
      <c r="SMU2344" s="1091"/>
      <c r="SMV2344" s="1091"/>
      <c r="SMW2344" s="1091"/>
      <c r="SMX2344" s="1091"/>
      <c r="SMY2344" s="1091"/>
      <c r="SMZ2344" s="1091"/>
      <c r="SNA2344" s="1091"/>
      <c r="SNB2344" s="1091"/>
      <c r="SNC2344" s="1091"/>
      <c r="SND2344" s="1091"/>
      <c r="SNE2344" s="1091"/>
      <c r="SNF2344" s="1091"/>
      <c r="SNG2344" s="1091"/>
      <c r="SNH2344" s="1091"/>
      <c r="SNI2344" s="1091"/>
      <c r="SNJ2344" s="1091"/>
      <c r="SNK2344" s="1091"/>
      <c r="SNL2344" s="1091"/>
      <c r="SNM2344" s="1091"/>
      <c r="SNN2344" s="1091"/>
      <c r="SNO2344" s="1091"/>
      <c r="SNP2344" s="1091"/>
      <c r="SNQ2344" s="1091"/>
      <c r="SNR2344" s="1091"/>
      <c r="SNS2344" s="1091"/>
      <c r="SNT2344" s="1091"/>
      <c r="SNU2344" s="1091"/>
      <c r="SNV2344" s="1091"/>
      <c r="SNW2344" s="1091"/>
      <c r="SNX2344" s="1091"/>
      <c r="SNY2344" s="1091"/>
      <c r="SNZ2344" s="1091"/>
      <c r="SOA2344" s="1091"/>
      <c r="SOB2344" s="1091"/>
      <c r="SOC2344" s="1091"/>
      <c r="SOD2344" s="1091"/>
      <c r="SOE2344" s="1091"/>
      <c r="SOF2344" s="1091"/>
      <c r="SOG2344" s="1091"/>
      <c r="SOH2344" s="1091"/>
      <c r="SOI2344" s="1091"/>
      <c r="SOJ2344" s="1091"/>
      <c r="SOK2344" s="1091"/>
      <c r="SOL2344" s="1091"/>
      <c r="SOM2344" s="1091"/>
      <c r="SON2344" s="1091"/>
      <c r="SOO2344" s="1091"/>
      <c r="SOP2344" s="1091"/>
      <c r="SOQ2344" s="1091"/>
      <c r="SOR2344" s="1091"/>
      <c r="SOS2344" s="1091"/>
      <c r="SOT2344" s="1091"/>
      <c r="SOU2344" s="1091"/>
      <c r="SOV2344" s="1091"/>
      <c r="SOW2344" s="1091"/>
      <c r="SOX2344" s="1091"/>
      <c r="SOY2344" s="1091"/>
      <c r="SOZ2344" s="1091"/>
      <c r="SPA2344" s="1091"/>
      <c r="SPB2344" s="1091"/>
      <c r="SPC2344" s="1091"/>
      <c r="SPD2344" s="1091"/>
      <c r="SPE2344" s="1091"/>
      <c r="SPF2344" s="1091"/>
      <c r="SPG2344" s="1091"/>
      <c r="SPH2344" s="1091"/>
      <c r="SPI2344" s="1091"/>
      <c r="SPJ2344" s="1091"/>
      <c r="SPK2344" s="1091"/>
      <c r="SPL2344" s="1091"/>
      <c r="SPM2344" s="1091"/>
      <c r="SPN2344" s="1091"/>
      <c r="SPO2344" s="1091"/>
      <c r="SPP2344" s="1091"/>
      <c r="SPQ2344" s="1091"/>
      <c r="SPR2344" s="1091"/>
      <c r="SPS2344" s="1091"/>
      <c r="SPT2344" s="1091"/>
      <c r="SPU2344" s="1091"/>
      <c r="SPV2344" s="1091"/>
      <c r="SPW2344" s="1091"/>
      <c r="SPX2344" s="1091"/>
      <c r="SPY2344" s="1091"/>
      <c r="SPZ2344" s="1091"/>
      <c r="SQA2344" s="1091"/>
      <c r="SQB2344" s="1091"/>
      <c r="SQC2344" s="1091"/>
      <c r="SQD2344" s="1091"/>
      <c r="SQE2344" s="1091"/>
      <c r="SQF2344" s="1091"/>
      <c r="SQG2344" s="1091"/>
      <c r="SQH2344" s="1091"/>
      <c r="SQI2344" s="1091"/>
      <c r="SQJ2344" s="1091"/>
      <c r="SQK2344" s="1091"/>
      <c r="SQL2344" s="1091"/>
      <c r="SQM2344" s="1091"/>
      <c r="SQN2344" s="1091"/>
      <c r="SQO2344" s="1091"/>
      <c r="SQP2344" s="1091"/>
      <c r="SQQ2344" s="1091"/>
      <c r="SQR2344" s="1091"/>
      <c r="SQS2344" s="1091"/>
      <c r="SQT2344" s="1091"/>
      <c r="SQU2344" s="1091"/>
      <c r="SQV2344" s="1091"/>
      <c r="SQW2344" s="1091"/>
      <c r="SQX2344" s="1091"/>
      <c r="SQY2344" s="1091"/>
      <c r="SQZ2344" s="1091"/>
      <c r="SRA2344" s="1091"/>
      <c r="SRB2344" s="1091"/>
      <c r="SRC2344" s="1091"/>
      <c r="SRD2344" s="1091"/>
      <c r="SRE2344" s="1091"/>
      <c r="SRF2344" s="1091"/>
      <c r="SRG2344" s="1091"/>
      <c r="SRH2344" s="1091"/>
      <c r="SRI2344" s="1091"/>
      <c r="SRJ2344" s="1091"/>
      <c r="SRK2344" s="1091"/>
      <c r="SRL2344" s="1091"/>
      <c r="SRM2344" s="1091"/>
      <c r="SRN2344" s="1091"/>
      <c r="SRO2344" s="1091"/>
      <c r="SRP2344" s="1091"/>
      <c r="SRQ2344" s="1091"/>
      <c r="SRR2344" s="1091"/>
      <c r="SRS2344" s="1091"/>
      <c r="SRT2344" s="1091"/>
      <c r="SRU2344" s="1091"/>
      <c r="SRV2344" s="1091"/>
      <c r="SRW2344" s="1091"/>
      <c r="SRX2344" s="1091"/>
      <c r="SRY2344" s="1091"/>
      <c r="SRZ2344" s="1091"/>
      <c r="SSA2344" s="1091"/>
      <c r="SSB2344" s="1091"/>
      <c r="SSC2344" s="1091"/>
      <c r="SSD2344" s="1091"/>
      <c r="SSE2344" s="1091"/>
      <c r="SSF2344" s="1091"/>
      <c r="SSG2344" s="1091"/>
      <c r="SSH2344" s="1091"/>
      <c r="SSI2344" s="1091"/>
      <c r="SSJ2344" s="1091"/>
      <c r="SSK2344" s="1091"/>
      <c r="SSL2344" s="1091"/>
      <c r="SSM2344" s="1091"/>
      <c r="SSN2344" s="1091"/>
      <c r="SSO2344" s="1091"/>
      <c r="SSP2344" s="1091"/>
      <c r="SSQ2344" s="1091"/>
      <c r="SSR2344" s="1091"/>
      <c r="SSS2344" s="1091"/>
      <c r="SST2344" s="1091"/>
      <c r="SSU2344" s="1091"/>
      <c r="SSV2344" s="1091"/>
      <c r="SSW2344" s="1091"/>
      <c r="SSX2344" s="1091"/>
      <c r="SSY2344" s="1091"/>
      <c r="SSZ2344" s="1091"/>
      <c r="STA2344" s="1091"/>
      <c r="STB2344" s="1091"/>
      <c r="STC2344" s="1091"/>
      <c r="STD2344" s="1091"/>
      <c r="STE2344" s="1091"/>
      <c r="STF2344" s="1091"/>
      <c r="STG2344" s="1091"/>
      <c r="STH2344" s="1091"/>
      <c r="STI2344" s="1091"/>
      <c r="STJ2344" s="1091"/>
      <c r="STK2344" s="1091"/>
      <c r="STL2344" s="1091"/>
      <c r="STM2344" s="1091"/>
      <c r="STN2344" s="1091"/>
      <c r="STO2344" s="1091"/>
      <c r="STP2344" s="1091"/>
      <c r="STQ2344" s="1091"/>
      <c r="STR2344" s="1091"/>
      <c r="STS2344" s="1091"/>
      <c r="STT2344" s="1091"/>
      <c r="STU2344" s="1091"/>
      <c r="STV2344" s="1091"/>
      <c r="STW2344" s="1091"/>
      <c r="STX2344" s="1091"/>
      <c r="STY2344" s="1091"/>
      <c r="STZ2344" s="1091"/>
      <c r="SUA2344" s="1091"/>
      <c r="SUB2344" s="1091"/>
      <c r="SUC2344" s="1091"/>
      <c r="SUD2344" s="1091"/>
      <c r="SUE2344" s="1091"/>
      <c r="SUF2344" s="1091"/>
      <c r="SUG2344" s="1091"/>
      <c r="SUH2344" s="1091"/>
      <c r="SUI2344" s="1091"/>
      <c r="SUJ2344" s="1091"/>
      <c r="SUK2344" s="1091"/>
      <c r="SUL2344" s="1091"/>
      <c r="SUM2344" s="1091"/>
      <c r="SUN2344" s="1091"/>
      <c r="SUO2344" s="1091"/>
      <c r="SUP2344" s="1091"/>
      <c r="SUQ2344" s="1091"/>
      <c r="SUR2344" s="1091"/>
      <c r="SUS2344" s="1091"/>
      <c r="SUT2344" s="1091"/>
      <c r="SUU2344" s="1091"/>
      <c r="SUV2344" s="1091"/>
      <c r="SUW2344" s="1091"/>
      <c r="SUX2344" s="1091"/>
      <c r="SUY2344" s="1091"/>
      <c r="SUZ2344" s="1091"/>
      <c r="SVA2344" s="1091"/>
      <c r="SVB2344" s="1091"/>
      <c r="SVC2344" s="1091"/>
      <c r="SVD2344" s="1091"/>
      <c r="SVE2344" s="1091"/>
      <c r="SVF2344" s="1091"/>
      <c r="SVG2344" s="1091"/>
      <c r="SVH2344" s="1091"/>
      <c r="SVI2344" s="1091"/>
      <c r="SVJ2344" s="1091"/>
      <c r="SVK2344" s="1091"/>
      <c r="SVL2344" s="1091"/>
      <c r="SVM2344" s="1091"/>
      <c r="SVN2344" s="1091"/>
      <c r="SVO2344" s="1091"/>
      <c r="SVP2344" s="1091"/>
      <c r="SVQ2344" s="1091"/>
      <c r="SVR2344" s="1091"/>
      <c r="SVS2344" s="1091"/>
      <c r="SVT2344" s="1091"/>
      <c r="SVU2344" s="1091"/>
      <c r="SVV2344" s="1091"/>
      <c r="SVW2344" s="1091"/>
      <c r="SVX2344" s="1091"/>
      <c r="SVY2344" s="1091"/>
      <c r="SVZ2344" s="1091"/>
      <c r="SWA2344" s="1091"/>
      <c r="SWB2344" s="1091"/>
      <c r="SWC2344" s="1091"/>
      <c r="SWD2344" s="1091"/>
      <c r="SWE2344" s="1091"/>
      <c r="SWF2344" s="1091"/>
      <c r="SWG2344" s="1091"/>
      <c r="SWH2344" s="1091"/>
      <c r="SWI2344" s="1091"/>
      <c r="SWJ2344" s="1091"/>
      <c r="SWK2344" s="1091"/>
      <c r="SWL2344" s="1091"/>
      <c r="SWM2344" s="1091"/>
      <c r="SWN2344" s="1091"/>
      <c r="SWO2344" s="1091"/>
      <c r="SWP2344" s="1091"/>
      <c r="SWQ2344" s="1091"/>
      <c r="SWR2344" s="1091"/>
      <c r="SWS2344" s="1091"/>
      <c r="SWT2344" s="1091"/>
      <c r="SWU2344" s="1091"/>
      <c r="SWV2344" s="1091"/>
      <c r="SWW2344" s="1091"/>
      <c r="SWX2344" s="1091"/>
      <c r="SWY2344" s="1091"/>
      <c r="SWZ2344" s="1091"/>
      <c r="SXA2344" s="1091"/>
      <c r="SXB2344" s="1091"/>
      <c r="SXC2344" s="1091"/>
      <c r="SXD2344" s="1091"/>
      <c r="SXE2344" s="1091"/>
      <c r="SXF2344" s="1091"/>
      <c r="SXG2344" s="1091"/>
      <c r="SXH2344" s="1091"/>
      <c r="SXI2344" s="1091"/>
      <c r="SXJ2344" s="1091"/>
      <c r="SXK2344" s="1091"/>
      <c r="SXL2344" s="1091"/>
      <c r="SXM2344" s="1091"/>
      <c r="SXN2344" s="1091"/>
      <c r="SXO2344" s="1091"/>
      <c r="SXP2344" s="1091"/>
      <c r="SXQ2344" s="1091"/>
      <c r="SXR2344" s="1091"/>
      <c r="SXS2344" s="1091"/>
      <c r="SXT2344" s="1091"/>
      <c r="SXU2344" s="1091"/>
      <c r="SXV2344" s="1091"/>
      <c r="SXW2344" s="1091"/>
      <c r="SXX2344" s="1091"/>
      <c r="SXY2344" s="1091"/>
      <c r="SXZ2344" s="1091"/>
      <c r="SYA2344" s="1091"/>
      <c r="SYB2344" s="1091"/>
      <c r="SYC2344" s="1091"/>
      <c r="SYD2344" s="1091"/>
      <c r="SYE2344" s="1091"/>
      <c r="SYF2344" s="1091"/>
      <c r="SYG2344" s="1091"/>
      <c r="SYH2344" s="1091"/>
      <c r="SYI2344" s="1091"/>
      <c r="SYJ2344" s="1091"/>
      <c r="SYK2344" s="1091"/>
      <c r="SYL2344" s="1091"/>
      <c r="SYM2344" s="1091"/>
      <c r="SYN2344" s="1091"/>
      <c r="SYO2344" s="1091"/>
      <c r="SYP2344" s="1091"/>
      <c r="SYQ2344" s="1091"/>
      <c r="SYR2344" s="1091"/>
      <c r="SYS2344" s="1091"/>
      <c r="SYT2344" s="1091"/>
      <c r="SYU2344" s="1091"/>
      <c r="SYV2344" s="1091"/>
      <c r="SYW2344" s="1091"/>
      <c r="SYX2344" s="1091"/>
      <c r="SYY2344" s="1091"/>
      <c r="SYZ2344" s="1091"/>
      <c r="SZA2344" s="1091"/>
      <c r="SZB2344" s="1091"/>
      <c r="SZC2344" s="1091"/>
      <c r="SZD2344" s="1091"/>
      <c r="SZE2344" s="1091"/>
      <c r="SZF2344" s="1091"/>
      <c r="SZG2344" s="1091"/>
      <c r="SZH2344" s="1091"/>
      <c r="SZI2344" s="1091"/>
      <c r="SZJ2344" s="1091"/>
      <c r="SZK2344" s="1091"/>
      <c r="SZL2344" s="1091"/>
      <c r="SZM2344" s="1091"/>
      <c r="SZN2344" s="1091"/>
      <c r="SZO2344" s="1091"/>
      <c r="SZP2344" s="1091"/>
      <c r="SZQ2344" s="1091"/>
      <c r="SZR2344" s="1091"/>
      <c r="SZS2344" s="1091"/>
      <c r="SZT2344" s="1091"/>
      <c r="SZU2344" s="1091"/>
      <c r="SZV2344" s="1091"/>
      <c r="SZW2344" s="1091"/>
      <c r="SZX2344" s="1091"/>
      <c r="SZY2344" s="1091"/>
      <c r="SZZ2344" s="1091"/>
      <c r="TAA2344" s="1091"/>
      <c r="TAB2344" s="1091"/>
      <c r="TAC2344" s="1091"/>
      <c r="TAD2344" s="1091"/>
      <c r="TAE2344" s="1091"/>
      <c r="TAF2344" s="1091"/>
      <c r="TAG2344" s="1091"/>
      <c r="TAH2344" s="1091"/>
      <c r="TAI2344" s="1091"/>
      <c r="TAJ2344" s="1091"/>
      <c r="TAK2344" s="1091"/>
      <c r="TAL2344" s="1091"/>
      <c r="TAM2344" s="1091"/>
      <c r="TAN2344" s="1091"/>
      <c r="TAO2344" s="1091"/>
      <c r="TAP2344" s="1091"/>
      <c r="TAQ2344" s="1091"/>
      <c r="TAR2344" s="1091"/>
      <c r="TAS2344" s="1091"/>
      <c r="TAT2344" s="1091"/>
      <c r="TAU2344" s="1091"/>
      <c r="TAV2344" s="1091"/>
      <c r="TAW2344" s="1091"/>
      <c r="TAX2344" s="1091"/>
      <c r="TAY2344" s="1091"/>
      <c r="TAZ2344" s="1091"/>
      <c r="TBA2344" s="1091"/>
      <c r="TBB2344" s="1091"/>
      <c r="TBC2344" s="1091"/>
      <c r="TBD2344" s="1091"/>
      <c r="TBE2344" s="1091"/>
      <c r="TBF2344" s="1091"/>
      <c r="TBG2344" s="1091"/>
      <c r="TBH2344" s="1091"/>
      <c r="TBI2344" s="1091"/>
      <c r="TBJ2344" s="1091"/>
      <c r="TBK2344" s="1091"/>
      <c r="TBL2344" s="1091"/>
      <c r="TBM2344" s="1091"/>
      <c r="TBN2344" s="1091"/>
      <c r="TBO2344" s="1091"/>
      <c r="TBP2344" s="1091"/>
      <c r="TBQ2344" s="1091"/>
      <c r="TBR2344" s="1091"/>
      <c r="TBS2344" s="1091"/>
      <c r="TBT2344" s="1091"/>
      <c r="TBU2344" s="1091"/>
      <c r="TBV2344" s="1091"/>
      <c r="TBW2344" s="1091"/>
      <c r="TBX2344" s="1091"/>
      <c r="TBY2344" s="1091"/>
      <c r="TBZ2344" s="1091"/>
      <c r="TCA2344" s="1091"/>
      <c r="TCB2344" s="1091"/>
      <c r="TCC2344" s="1091"/>
      <c r="TCD2344" s="1091"/>
      <c r="TCE2344" s="1091"/>
      <c r="TCF2344" s="1091"/>
      <c r="TCG2344" s="1091"/>
      <c r="TCH2344" s="1091"/>
      <c r="TCI2344" s="1091"/>
      <c r="TCJ2344" s="1091"/>
      <c r="TCK2344" s="1091"/>
      <c r="TCL2344" s="1091"/>
      <c r="TCM2344" s="1091"/>
      <c r="TCN2344" s="1091"/>
      <c r="TCO2344" s="1091"/>
      <c r="TCP2344" s="1091"/>
      <c r="TCQ2344" s="1091"/>
      <c r="TCR2344" s="1091"/>
      <c r="TCS2344" s="1091"/>
      <c r="TCT2344" s="1091"/>
      <c r="TCU2344" s="1091"/>
      <c r="TCV2344" s="1091"/>
      <c r="TCW2344" s="1091"/>
      <c r="TCX2344" s="1091"/>
      <c r="TCY2344" s="1091"/>
      <c r="TCZ2344" s="1091"/>
      <c r="TDA2344" s="1091"/>
      <c r="TDB2344" s="1091"/>
      <c r="TDC2344" s="1091"/>
      <c r="TDD2344" s="1091"/>
      <c r="TDE2344" s="1091"/>
      <c r="TDF2344" s="1091"/>
      <c r="TDG2344" s="1091"/>
      <c r="TDH2344" s="1091"/>
      <c r="TDI2344" s="1091"/>
      <c r="TDJ2344" s="1091"/>
      <c r="TDK2344" s="1091"/>
      <c r="TDL2344" s="1091"/>
      <c r="TDM2344" s="1091"/>
      <c r="TDN2344" s="1091"/>
      <c r="TDO2344" s="1091"/>
      <c r="TDP2344" s="1091"/>
      <c r="TDQ2344" s="1091"/>
      <c r="TDR2344" s="1091"/>
      <c r="TDS2344" s="1091"/>
      <c r="TDT2344" s="1091"/>
      <c r="TDU2344" s="1091"/>
      <c r="TDV2344" s="1091"/>
      <c r="TDW2344" s="1091"/>
      <c r="TDX2344" s="1091"/>
      <c r="TDY2344" s="1091"/>
      <c r="TDZ2344" s="1091"/>
      <c r="TEA2344" s="1091"/>
      <c r="TEB2344" s="1091"/>
      <c r="TEC2344" s="1091"/>
      <c r="TED2344" s="1091"/>
      <c r="TEE2344" s="1091"/>
      <c r="TEF2344" s="1091"/>
      <c r="TEG2344" s="1091"/>
      <c r="TEH2344" s="1091"/>
      <c r="TEI2344" s="1091"/>
      <c r="TEJ2344" s="1091"/>
      <c r="TEK2344" s="1091"/>
      <c r="TEL2344" s="1091"/>
      <c r="TEM2344" s="1091"/>
      <c r="TEN2344" s="1091"/>
      <c r="TEO2344" s="1091"/>
      <c r="TEP2344" s="1091"/>
      <c r="TEQ2344" s="1091"/>
      <c r="TER2344" s="1091"/>
      <c r="TES2344" s="1091"/>
      <c r="TET2344" s="1091"/>
      <c r="TEU2344" s="1091"/>
      <c r="TEV2344" s="1091"/>
      <c r="TEW2344" s="1091"/>
      <c r="TEX2344" s="1091"/>
      <c r="TEY2344" s="1091"/>
      <c r="TEZ2344" s="1091"/>
      <c r="TFA2344" s="1091"/>
      <c r="TFB2344" s="1091"/>
      <c r="TFC2344" s="1091"/>
      <c r="TFD2344" s="1091"/>
      <c r="TFE2344" s="1091"/>
      <c r="TFF2344" s="1091"/>
      <c r="TFG2344" s="1091"/>
      <c r="TFH2344" s="1091"/>
      <c r="TFI2344" s="1091"/>
      <c r="TFJ2344" s="1091"/>
      <c r="TFK2344" s="1091"/>
      <c r="TFL2344" s="1091"/>
      <c r="TFM2344" s="1091"/>
      <c r="TFN2344" s="1091"/>
      <c r="TFO2344" s="1091"/>
      <c r="TFP2344" s="1091"/>
      <c r="TFQ2344" s="1091"/>
      <c r="TFR2344" s="1091"/>
      <c r="TFS2344" s="1091"/>
      <c r="TFT2344" s="1091"/>
      <c r="TFU2344" s="1091"/>
      <c r="TFV2344" s="1091"/>
      <c r="TFW2344" s="1091"/>
      <c r="TFX2344" s="1091"/>
      <c r="TFY2344" s="1091"/>
      <c r="TFZ2344" s="1091"/>
      <c r="TGA2344" s="1091"/>
      <c r="TGB2344" s="1091"/>
      <c r="TGC2344" s="1091"/>
      <c r="TGD2344" s="1091"/>
      <c r="TGE2344" s="1091"/>
      <c r="TGF2344" s="1091"/>
      <c r="TGG2344" s="1091"/>
      <c r="TGH2344" s="1091"/>
      <c r="TGI2344" s="1091"/>
      <c r="TGJ2344" s="1091"/>
      <c r="TGK2344" s="1091"/>
      <c r="TGL2344" s="1091"/>
      <c r="TGM2344" s="1091"/>
      <c r="TGN2344" s="1091"/>
      <c r="TGO2344" s="1091"/>
      <c r="TGP2344" s="1091"/>
      <c r="TGQ2344" s="1091"/>
      <c r="TGR2344" s="1091"/>
      <c r="TGS2344" s="1091"/>
      <c r="TGT2344" s="1091"/>
      <c r="TGU2344" s="1091"/>
      <c r="TGV2344" s="1091"/>
      <c r="TGW2344" s="1091"/>
      <c r="TGX2344" s="1091"/>
      <c r="TGY2344" s="1091"/>
      <c r="TGZ2344" s="1091"/>
      <c r="THA2344" s="1091"/>
      <c r="THB2344" s="1091"/>
      <c r="THC2344" s="1091"/>
      <c r="THD2344" s="1091"/>
      <c r="THE2344" s="1091"/>
      <c r="THF2344" s="1091"/>
      <c r="THG2344" s="1091"/>
      <c r="THH2344" s="1091"/>
      <c r="THI2344" s="1091"/>
      <c r="THJ2344" s="1091"/>
      <c r="THK2344" s="1091"/>
      <c r="THL2344" s="1091"/>
      <c r="THM2344" s="1091"/>
      <c r="THN2344" s="1091"/>
      <c r="THO2344" s="1091"/>
      <c r="THP2344" s="1091"/>
      <c r="THQ2344" s="1091"/>
      <c r="THR2344" s="1091"/>
      <c r="THS2344" s="1091"/>
      <c r="THT2344" s="1091"/>
      <c r="THU2344" s="1091"/>
      <c r="THV2344" s="1091"/>
      <c r="THW2344" s="1091"/>
      <c r="THX2344" s="1091"/>
      <c r="THY2344" s="1091"/>
      <c r="THZ2344" s="1091"/>
      <c r="TIA2344" s="1091"/>
      <c r="TIB2344" s="1091"/>
      <c r="TIC2344" s="1091"/>
      <c r="TID2344" s="1091"/>
      <c r="TIE2344" s="1091"/>
      <c r="TIF2344" s="1091"/>
      <c r="TIG2344" s="1091"/>
      <c r="TIH2344" s="1091"/>
      <c r="TII2344" s="1091"/>
      <c r="TIJ2344" s="1091"/>
      <c r="TIK2344" s="1091"/>
      <c r="TIL2344" s="1091"/>
      <c r="TIM2344" s="1091"/>
      <c r="TIN2344" s="1091"/>
      <c r="TIO2344" s="1091"/>
      <c r="TIP2344" s="1091"/>
      <c r="TIQ2344" s="1091"/>
      <c r="TIR2344" s="1091"/>
      <c r="TIS2344" s="1091"/>
      <c r="TIT2344" s="1091"/>
      <c r="TIU2344" s="1091"/>
      <c r="TIV2344" s="1091"/>
      <c r="TIW2344" s="1091"/>
      <c r="TIX2344" s="1091"/>
      <c r="TIY2344" s="1091"/>
      <c r="TIZ2344" s="1091"/>
      <c r="TJA2344" s="1091"/>
      <c r="TJB2344" s="1091"/>
      <c r="TJC2344" s="1091"/>
      <c r="TJD2344" s="1091"/>
      <c r="TJE2344" s="1091"/>
      <c r="TJF2344" s="1091"/>
      <c r="TJG2344" s="1091"/>
      <c r="TJH2344" s="1091"/>
      <c r="TJI2344" s="1091"/>
      <c r="TJJ2344" s="1091"/>
      <c r="TJK2344" s="1091"/>
      <c r="TJL2344" s="1091"/>
      <c r="TJM2344" s="1091"/>
      <c r="TJN2344" s="1091"/>
      <c r="TJO2344" s="1091"/>
      <c r="TJP2344" s="1091"/>
      <c r="TJQ2344" s="1091"/>
      <c r="TJR2344" s="1091"/>
      <c r="TJS2344" s="1091"/>
      <c r="TJT2344" s="1091"/>
      <c r="TJU2344" s="1091"/>
      <c r="TJV2344" s="1091"/>
      <c r="TJW2344" s="1091"/>
      <c r="TJX2344" s="1091"/>
      <c r="TJY2344" s="1091"/>
      <c r="TJZ2344" s="1091"/>
      <c r="TKA2344" s="1091"/>
      <c r="TKB2344" s="1091"/>
      <c r="TKC2344" s="1091"/>
      <c r="TKD2344" s="1091"/>
      <c r="TKE2344" s="1091"/>
      <c r="TKF2344" s="1091"/>
      <c r="TKG2344" s="1091"/>
      <c r="TKH2344" s="1091"/>
      <c r="TKI2344" s="1091"/>
      <c r="TKJ2344" s="1091"/>
      <c r="TKK2344" s="1091"/>
      <c r="TKL2344" s="1091"/>
      <c r="TKM2344" s="1091"/>
      <c r="TKN2344" s="1091"/>
      <c r="TKO2344" s="1091"/>
      <c r="TKP2344" s="1091"/>
      <c r="TKQ2344" s="1091"/>
      <c r="TKR2344" s="1091"/>
      <c r="TKS2344" s="1091"/>
      <c r="TKT2344" s="1091"/>
      <c r="TKU2344" s="1091"/>
      <c r="TKV2344" s="1091"/>
      <c r="TKW2344" s="1091"/>
      <c r="TKX2344" s="1091"/>
      <c r="TKY2344" s="1091"/>
      <c r="TKZ2344" s="1091"/>
      <c r="TLA2344" s="1091"/>
      <c r="TLB2344" s="1091"/>
      <c r="TLC2344" s="1091"/>
      <c r="TLD2344" s="1091"/>
      <c r="TLE2344" s="1091"/>
      <c r="TLF2344" s="1091"/>
      <c r="TLG2344" s="1091"/>
      <c r="TLH2344" s="1091"/>
      <c r="TLI2344" s="1091"/>
      <c r="TLJ2344" s="1091"/>
      <c r="TLK2344" s="1091"/>
      <c r="TLL2344" s="1091"/>
      <c r="TLM2344" s="1091"/>
      <c r="TLN2344" s="1091"/>
      <c r="TLO2344" s="1091"/>
      <c r="TLP2344" s="1091"/>
      <c r="TLQ2344" s="1091"/>
      <c r="TLR2344" s="1091"/>
      <c r="TLS2344" s="1091"/>
      <c r="TLT2344" s="1091"/>
      <c r="TLU2344" s="1091"/>
      <c r="TLV2344" s="1091"/>
      <c r="TLW2344" s="1091"/>
      <c r="TLX2344" s="1091"/>
      <c r="TLY2344" s="1091"/>
      <c r="TLZ2344" s="1091"/>
      <c r="TMA2344" s="1091"/>
      <c r="TMB2344" s="1091"/>
      <c r="TMC2344" s="1091"/>
      <c r="TMD2344" s="1091"/>
      <c r="TME2344" s="1091"/>
      <c r="TMF2344" s="1091"/>
      <c r="TMG2344" s="1091"/>
      <c r="TMH2344" s="1091"/>
      <c r="TMI2344" s="1091"/>
      <c r="TMJ2344" s="1091"/>
      <c r="TMK2344" s="1091"/>
      <c r="TML2344" s="1091"/>
      <c r="TMM2344" s="1091"/>
      <c r="TMN2344" s="1091"/>
      <c r="TMO2344" s="1091"/>
      <c r="TMP2344" s="1091"/>
      <c r="TMQ2344" s="1091"/>
      <c r="TMR2344" s="1091"/>
      <c r="TMS2344" s="1091"/>
      <c r="TMT2344" s="1091"/>
      <c r="TMU2344" s="1091"/>
      <c r="TMV2344" s="1091"/>
      <c r="TMW2344" s="1091"/>
      <c r="TMX2344" s="1091"/>
      <c r="TMY2344" s="1091"/>
      <c r="TMZ2344" s="1091"/>
      <c r="TNA2344" s="1091"/>
      <c r="TNB2344" s="1091"/>
      <c r="TNC2344" s="1091"/>
      <c r="TND2344" s="1091"/>
      <c r="TNE2344" s="1091"/>
      <c r="TNF2344" s="1091"/>
      <c r="TNG2344" s="1091"/>
      <c r="TNH2344" s="1091"/>
      <c r="TNI2344" s="1091"/>
      <c r="TNJ2344" s="1091"/>
      <c r="TNK2344" s="1091"/>
      <c r="TNL2344" s="1091"/>
      <c r="TNM2344" s="1091"/>
      <c r="TNN2344" s="1091"/>
      <c r="TNO2344" s="1091"/>
      <c r="TNP2344" s="1091"/>
      <c r="TNQ2344" s="1091"/>
      <c r="TNR2344" s="1091"/>
      <c r="TNS2344" s="1091"/>
      <c r="TNT2344" s="1091"/>
      <c r="TNU2344" s="1091"/>
      <c r="TNV2344" s="1091"/>
      <c r="TNW2344" s="1091"/>
      <c r="TNX2344" s="1091"/>
      <c r="TNY2344" s="1091"/>
      <c r="TNZ2344" s="1091"/>
      <c r="TOA2344" s="1091"/>
      <c r="TOB2344" s="1091"/>
      <c r="TOC2344" s="1091"/>
      <c r="TOD2344" s="1091"/>
      <c r="TOE2344" s="1091"/>
      <c r="TOF2344" s="1091"/>
      <c r="TOG2344" s="1091"/>
      <c r="TOH2344" s="1091"/>
      <c r="TOI2344" s="1091"/>
      <c r="TOJ2344" s="1091"/>
      <c r="TOK2344" s="1091"/>
      <c r="TOL2344" s="1091"/>
      <c r="TOM2344" s="1091"/>
      <c r="TON2344" s="1091"/>
      <c r="TOO2344" s="1091"/>
      <c r="TOP2344" s="1091"/>
      <c r="TOQ2344" s="1091"/>
      <c r="TOR2344" s="1091"/>
      <c r="TOS2344" s="1091"/>
      <c r="TOT2344" s="1091"/>
      <c r="TOU2344" s="1091"/>
      <c r="TOV2344" s="1091"/>
      <c r="TOW2344" s="1091"/>
      <c r="TOX2344" s="1091"/>
      <c r="TOY2344" s="1091"/>
      <c r="TOZ2344" s="1091"/>
      <c r="TPA2344" s="1091"/>
      <c r="TPB2344" s="1091"/>
      <c r="TPC2344" s="1091"/>
      <c r="TPD2344" s="1091"/>
      <c r="TPE2344" s="1091"/>
      <c r="TPF2344" s="1091"/>
      <c r="TPG2344" s="1091"/>
      <c r="TPH2344" s="1091"/>
      <c r="TPI2344" s="1091"/>
      <c r="TPJ2344" s="1091"/>
      <c r="TPK2344" s="1091"/>
      <c r="TPL2344" s="1091"/>
      <c r="TPM2344" s="1091"/>
      <c r="TPN2344" s="1091"/>
      <c r="TPO2344" s="1091"/>
      <c r="TPP2344" s="1091"/>
      <c r="TPQ2344" s="1091"/>
      <c r="TPR2344" s="1091"/>
      <c r="TPS2344" s="1091"/>
      <c r="TPT2344" s="1091"/>
      <c r="TPU2344" s="1091"/>
      <c r="TPV2344" s="1091"/>
      <c r="TPW2344" s="1091"/>
      <c r="TPX2344" s="1091"/>
      <c r="TPY2344" s="1091"/>
      <c r="TPZ2344" s="1091"/>
      <c r="TQA2344" s="1091"/>
      <c r="TQB2344" s="1091"/>
      <c r="TQC2344" s="1091"/>
      <c r="TQD2344" s="1091"/>
      <c r="TQE2344" s="1091"/>
      <c r="TQF2344" s="1091"/>
      <c r="TQG2344" s="1091"/>
      <c r="TQH2344" s="1091"/>
      <c r="TQI2344" s="1091"/>
      <c r="TQJ2344" s="1091"/>
      <c r="TQK2344" s="1091"/>
      <c r="TQL2344" s="1091"/>
      <c r="TQM2344" s="1091"/>
      <c r="TQN2344" s="1091"/>
      <c r="TQO2344" s="1091"/>
      <c r="TQP2344" s="1091"/>
      <c r="TQQ2344" s="1091"/>
      <c r="TQR2344" s="1091"/>
      <c r="TQS2344" s="1091"/>
      <c r="TQT2344" s="1091"/>
      <c r="TQU2344" s="1091"/>
      <c r="TQV2344" s="1091"/>
      <c r="TQW2344" s="1091"/>
      <c r="TQX2344" s="1091"/>
      <c r="TQY2344" s="1091"/>
      <c r="TQZ2344" s="1091"/>
      <c r="TRA2344" s="1091"/>
      <c r="TRB2344" s="1091"/>
      <c r="TRC2344" s="1091"/>
      <c r="TRD2344" s="1091"/>
      <c r="TRE2344" s="1091"/>
      <c r="TRF2344" s="1091"/>
      <c r="TRG2344" s="1091"/>
      <c r="TRH2344" s="1091"/>
      <c r="TRI2344" s="1091"/>
      <c r="TRJ2344" s="1091"/>
      <c r="TRK2344" s="1091"/>
      <c r="TRL2344" s="1091"/>
      <c r="TRM2344" s="1091"/>
      <c r="TRN2344" s="1091"/>
      <c r="TRO2344" s="1091"/>
      <c r="TRP2344" s="1091"/>
      <c r="TRQ2344" s="1091"/>
      <c r="TRR2344" s="1091"/>
      <c r="TRS2344" s="1091"/>
      <c r="TRT2344" s="1091"/>
      <c r="TRU2344" s="1091"/>
      <c r="TRV2344" s="1091"/>
      <c r="TRW2344" s="1091"/>
      <c r="TRX2344" s="1091"/>
      <c r="TRY2344" s="1091"/>
      <c r="TRZ2344" s="1091"/>
      <c r="TSA2344" s="1091"/>
      <c r="TSB2344" s="1091"/>
      <c r="TSC2344" s="1091"/>
      <c r="TSD2344" s="1091"/>
      <c r="TSE2344" s="1091"/>
      <c r="TSF2344" s="1091"/>
      <c r="TSG2344" s="1091"/>
      <c r="TSH2344" s="1091"/>
      <c r="TSI2344" s="1091"/>
      <c r="TSJ2344" s="1091"/>
      <c r="TSK2344" s="1091"/>
      <c r="TSL2344" s="1091"/>
      <c r="TSM2344" s="1091"/>
      <c r="TSN2344" s="1091"/>
      <c r="TSO2344" s="1091"/>
      <c r="TSP2344" s="1091"/>
      <c r="TSQ2344" s="1091"/>
      <c r="TSR2344" s="1091"/>
      <c r="TSS2344" s="1091"/>
      <c r="TST2344" s="1091"/>
      <c r="TSU2344" s="1091"/>
      <c r="TSV2344" s="1091"/>
      <c r="TSW2344" s="1091"/>
      <c r="TSX2344" s="1091"/>
      <c r="TSY2344" s="1091"/>
      <c r="TSZ2344" s="1091"/>
      <c r="TTA2344" s="1091"/>
      <c r="TTB2344" s="1091"/>
      <c r="TTC2344" s="1091"/>
      <c r="TTD2344" s="1091"/>
      <c r="TTE2344" s="1091"/>
      <c r="TTF2344" s="1091"/>
      <c r="TTG2344" s="1091"/>
      <c r="TTH2344" s="1091"/>
      <c r="TTI2344" s="1091"/>
      <c r="TTJ2344" s="1091"/>
      <c r="TTK2344" s="1091"/>
      <c r="TTL2344" s="1091"/>
      <c r="TTM2344" s="1091"/>
      <c r="TTN2344" s="1091"/>
      <c r="TTO2344" s="1091"/>
      <c r="TTP2344" s="1091"/>
      <c r="TTQ2344" s="1091"/>
      <c r="TTR2344" s="1091"/>
      <c r="TTS2344" s="1091"/>
      <c r="TTT2344" s="1091"/>
      <c r="TTU2344" s="1091"/>
      <c r="TTV2344" s="1091"/>
      <c r="TTW2344" s="1091"/>
      <c r="TTX2344" s="1091"/>
      <c r="TTY2344" s="1091"/>
      <c r="TTZ2344" s="1091"/>
      <c r="TUA2344" s="1091"/>
      <c r="TUB2344" s="1091"/>
      <c r="TUC2344" s="1091"/>
      <c r="TUD2344" s="1091"/>
      <c r="TUE2344" s="1091"/>
      <c r="TUF2344" s="1091"/>
      <c r="TUG2344" s="1091"/>
      <c r="TUH2344" s="1091"/>
      <c r="TUI2344" s="1091"/>
      <c r="TUJ2344" s="1091"/>
      <c r="TUK2344" s="1091"/>
      <c r="TUL2344" s="1091"/>
      <c r="TUM2344" s="1091"/>
      <c r="TUN2344" s="1091"/>
      <c r="TUO2344" s="1091"/>
      <c r="TUP2344" s="1091"/>
      <c r="TUQ2344" s="1091"/>
      <c r="TUR2344" s="1091"/>
      <c r="TUS2344" s="1091"/>
      <c r="TUT2344" s="1091"/>
      <c r="TUU2344" s="1091"/>
      <c r="TUV2344" s="1091"/>
      <c r="TUW2344" s="1091"/>
      <c r="TUX2344" s="1091"/>
      <c r="TUY2344" s="1091"/>
      <c r="TUZ2344" s="1091"/>
      <c r="TVA2344" s="1091"/>
      <c r="TVB2344" s="1091"/>
      <c r="TVC2344" s="1091"/>
      <c r="TVD2344" s="1091"/>
      <c r="TVE2344" s="1091"/>
      <c r="TVF2344" s="1091"/>
      <c r="TVG2344" s="1091"/>
      <c r="TVH2344" s="1091"/>
      <c r="TVI2344" s="1091"/>
      <c r="TVJ2344" s="1091"/>
      <c r="TVK2344" s="1091"/>
      <c r="TVL2344" s="1091"/>
      <c r="TVM2344" s="1091"/>
      <c r="TVN2344" s="1091"/>
      <c r="TVO2344" s="1091"/>
      <c r="TVP2344" s="1091"/>
      <c r="TVQ2344" s="1091"/>
      <c r="TVR2344" s="1091"/>
      <c r="TVS2344" s="1091"/>
      <c r="TVT2344" s="1091"/>
      <c r="TVU2344" s="1091"/>
      <c r="TVV2344" s="1091"/>
      <c r="TVW2344" s="1091"/>
      <c r="TVX2344" s="1091"/>
      <c r="TVY2344" s="1091"/>
      <c r="TVZ2344" s="1091"/>
      <c r="TWA2344" s="1091"/>
      <c r="TWB2344" s="1091"/>
      <c r="TWC2344" s="1091"/>
      <c r="TWD2344" s="1091"/>
      <c r="TWE2344" s="1091"/>
      <c r="TWF2344" s="1091"/>
      <c r="TWG2344" s="1091"/>
      <c r="TWH2344" s="1091"/>
      <c r="TWI2344" s="1091"/>
      <c r="TWJ2344" s="1091"/>
      <c r="TWK2344" s="1091"/>
      <c r="TWL2344" s="1091"/>
      <c r="TWM2344" s="1091"/>
      <c r="TWN2344" s="1091"/>
      <c r="TWO2344" s="1091"/>
      <c r="TWP2344" s="1091"/>
      <c r="TWQ2344" s="1091"/>
      <c r="TWR2344" s="1091"/>
      <c r="TWS2344" s="1091"/>
      <c r="TWT2344" s="1091"/>
      <c r="TWU2344" s="1091"/>
      <c r="TWV2344" s="1091"/>
      <c r="TWW2344" s="1091"/>
      <c r="TWX2344" s="1091"/>
      <c r="TWY2344" s="1091"/>
      <c r="TWZ2344" s="1091"/>
      <c r="TXA2344" s="1091"/>
      <c r="TXB2344" s="1091"/>
      <c r="TXC2344" s="1091"/>
      <c r="TXD2344" s="1091"/>
      <c r="TXE2344" s="1091"/>
      <c r="TXF2344" s="1091"/>
      <c r="TXG2344" s="1091"/>
      <c r="TXH2344" s="1091"/>
      <c r="TXI2344" s="1091"/>
      <c r="TXJ2344" s="1091"/>
      <c r="TXK2344" s="1091"/>
      <c r="TXL2344" s="1091"/>
      <c r="TXM2344" s="1091"/>
      <c r="TXN2344" s="1091"/>
      <c r="TXO2344" s="1091"/>
      <c r="TXP2344" s="1091"/>
      <c r="TXQ2344" s="1091"/>
      <c r="TXR2344" s="1091"/>
      <c r="TXS2344" s="1091"/>
      <c r="TXT2344" s="1091"/>
      <c r="TXU2344" s="1091"/>
      <c r="TXV2344" s="1091"/>
      <c r="TXW2344" s="1091"/>
      <c r="TXX2344" s="1091"/>
      <c r="TXY2344" s="1091"/>
      <c r="TXZ2344" s="1091"/>
      <c r="TYA2344" s="1091"/>
      <c r="TYB2344" s="1091"/>
      <c r="TYC2344" s="1091"/>
      <c r="TYD2344" s="1091"/>
      <c r="TYE2344" s="1091"/>
      <c r="TYF2344" s="1091"/>
      <c r="TYG2344" s="1091"/>
      <c r="TYH2344" s="1091"/>
      <c r="TYI2344" s="1091"/>
      <c r="TYJ2344" s="1091"/>
      <c r="TYK2344" s="1091"/>
      <c r="TYL2344" s="1091"/>
      <c r="TYM2344" s="1091"/>
      <c r="TYN2344" s="1091"/>
      <c r="TYO2344" s="1091"/>
      <c r="TYP2344" s="1091"/>
      <c r="TYQ2344" s="1091"/>
      <c r="TYR2344" s="1091"/>
      <c r="TYS2344" s="1091"/>
      <c r="TYT2344" s="1091"/>
      <c r="TYU2344" s="1091"/>
      <c r="TYV2344" s="1091"/>
      <c r="TYW2344" s="1091"/>
      <c r="TYX2344" s="1091"/>
      <c r="TYY2344" s="1091"/>
      <c r="TYZ2344" s="1091"/>
      <c r="TZA2344" s="1091"/>
      <c r="TZB2344" s="1091"/>
      <c r="TZC2344" s="1091"/>
      <c r="TZD2344" s="1091"/>
      <c r="TZE2344" s="1091"/>
      <c r="TZF2344" s="1091"/>
      <c r="TZG2344" s="1091"/>
      <c r="TZH2344" s="1091"/>
      <c r="TZI2344" s="1091"/>
      <c r="TZJ2344" s="1091"/>
      <c r="TZK2344" s="1091"/>
      <c r="TZL2344" s="1091"/>
      <c r="TZM2344" s="1091"/>
      <c r="TZN2344" s="1091"/>
      <c r="TZO2344" s="1091"/>
      <c r="TZP2344" s="1091"/>
      <c r="TZQ2344" s="1091"/>
      <c r="TZR2344" s="1091"/>
      <c r="TZS2344" s="1091"/>
      <c r="TZT2344" s="1091"/>
      <c r="TZU2344" s="1091"/>
      <c r="TZV2344" s="1091"/>
      <c r="TZW2344" s="1091"/>
      <c r="TZX2344" s="1091"/>
      <c r="TZY2344" s="1091"/>
      <c r="TZZ2344" s="1091"/>
      <c r="UAA2344" s="1091"/>
      <c r="UAB2344" s="1091"/>
      <c r="UAC2344" s="1091"/>
      <c r="UAD2344" s="1091"/>
      <c r="UAE2344" s="1091"/>
      <c r="UAF2344" s="1091"/>
      <c r="UAG2344" s="1091"/>
      <c r="UAH2344" s="1091"/>
      <c r="UAI2344" s="1091"/>
      <c r="UAJ2344" s="1091"/>
      <c r="UAK2344" s="1091"/>
      <c r="UAL2344" s="1091"/>
      <c r="UAM2344" s="1091"/>
      <c r="UAN2344" s="1091"/>
      <c r="UAO2344" s="1091"/>
      <c r="UAP2344" s="1091"/>
      <c r="UAQ2344" s="1091"/>
      <c r="UAR2344" s="1091"/>
      <c r="UAS2344" s="1091"/>
      <c r="UAT2344" s="1091"/>
      <c r="UAU2344" s="1091"/>
      <c r="UAV2344" s="1091"/>
      <c r="UAW2344" s="1091"/>
      <c r="UAX2344" s="1091"/>
      <c r="UAY2344" s="1091"/>
      <c r="UAZ2344" s="1091"/>
      <c r="UBA2344" s="1091"/>
      <c r="UBB2344" s="1091"/>
      <c r="UBC2344" s="1091"/>
      <c r="UBD2344" s="1091"/>
      <c r="UBE2344" s="1091"/>
      <c r="UBF2344" s="1091"/>
      <c r="UBG2344" s="1091"/>
      <c r="UBH2344" s="1091"/>
      <c r="UBI2344" s="1091"/>
      <c r="UBJ2344" s="1091"/>
      <c r="UBK2344" s="1091"/>
      <c r="UBL2344" s="1091"/>
      <c r="UBM2344" s="1091"/>
      <c r="UBN2344" s="1091"/>
      <c r="UBO2344" s="1091"/>
      <c r="UBP2344" s="1091"/>
      <c r="UBQ2344" s="1091"/>
      <c r="UBR2344" s="1091"/>
      <c r="UBS2344" s="1091"/>
      <c r="UBT2344" s="1091"/>
      <c r="UBU2344" s="1091"/>
      <c r="UBV2344" s="1091"/>
      <c r="UBW2344" s="1091"/>
      <c r="UBX2344" s="1091"/>
      <c r="UBY2344" s="1091"/>
      <c r="UBZ2344" s="1091"/>
      <c r="UCA2344" s="1091"/>
      <c r="UCB2344" s="1091"/>
      <c r="UCC2344" s="1091"/>
      <c r="UCD2344" s="1091"/>
      <c r="UCE2344" s="1091"/>
      <c r="UCF2344" s="1091"/>
      <c r="UCG2344" s="1091"/>
      <c r="UCH2344" s="1091"/>
      <c r="UCI2344" s="1091"/>
      <c r="UCJ2344" s="1091"/>
      <c r="UCK2344" s="1091"/>
      <c r="UCL2344" s="1091"/>
      <c r="UCM2344" s="1091"/>
      <c r="UCN2344" s="1091"/>
      <c r="UCO2344" s="1091"/>
      <c r="UCP2344" s="1091"/>
      <c r="UCQ2344" s="1091"/>
      <c r="UCR2344" s="1091"/>
      <c r="UCS2344" s="1091"/>
      <c r="UCT2344" s="1091"/>
      <c r="UCU2344" s="1091"/>
      <c r="UCV2344" s="1091"/>
      <c r="UCW2344" s="1091"/>
      <c r="UCX2344" s="1091"/>
      <c r="UCY2344" s="1091"/>
      <c r="UCZ2344" s="1091"/>
      <c r="UDA2344" s="1091"/>
      <c r="UDB2344" s="1091"/>
      <c r="UDC2344" s="1091"/>
      <c r="UDD2344" s="1091"/>
      <c r="UDE2344" s="1091"/>
      <c r="UDF2344" s="1091"/>
      <c r="UDG2344" s="1091"/>
      <c r="UDH2344" s="1091"/>
      <c r="UDI2344" s="1091"/>
      <c r="UDJ2344" s="1091"/>
      <c r="UDK2344" s="1091"/>
      <c r="UDL2344" s="1091"/>
      <c r="UDM2344" s="1091"/>
      <c r="UDN2344" s="1091"/>
      <c r="UDO2344" s="1091"/>
      <c r="UDP2344" s="1091"/>
      <c r="UDQ2344" s="1091"/>
      <c r="UDR2344" s="1091"/>
      <c r="UDS2344" s="1091"/>
      <c r="UDT2344" s="1091"/>
      <c r="UDU2344" s="1091"/>
      <c r="UDV2344" s="1091"/>
      <c r="UDW2344" s="1091"/>
      <c r="UDX2344" s="1091"/>
      <c r="UDY2344" s="1091"/>
      <c r="UDZ2344" s="1091"/>
      <c r="UEA2344" s="1091"/>
      <c r="UEB2344" s="1091"/>
      <c r="UEC2344" s="1091"/>
      <c r="UED2344" s="1091"/>
      <c r="UEE2344" s="1091"/>
      <c r="UEF2344" s="1091"/>
      <c r="UEG2344" s="1091"/>
      <c r="UEH2344" s="1091"/>
      <c r="UEI2344" s="1091"/>
      <c r="UEJ2344" s="1091"/>
      <c r="UEK2344" s="1091"/>
      <c r="UEL2344" s="1091"/>
      <c r="UEM2344" s="1091"/>
      <c r="UEN2344" s="1091"/>
      <c r="UEO2344" s="1091"/>
      <c r="UEP2344" s="1091"/>
      <c r="UEQ2344" s="1091"/>
      <c r="UER2344" s="1091"/>
      <c r="UES2344" s="1091"/>
      <c r="UET2344" s="1091"/>
      <c r="UEU2344" s="1091"/>
      <c r="UEV2344" s="1091"/>
      <c r="UEW2344" s="1091"/>
      <c r="UEX2344" s="1091"/>
      <c r="UEY2344" s="1091"/>
      <c r="UEZ2344" s="1091"/>
      <c r="UFA2344" s="1091"/>
      <c r="UFB2344" s="1091"/>
      <c r="UFC2344" s="1091"/>
      <c r="UFD2344" s="1091"/>
      <c r="UFE2344" s="1091"/>
      <c r="UFF2344" s="1091"/>
      <c r="UFG2344" s="1091"/>
      <c r="UFH2344" s="1091"/>
      <c r="UFI2344" s="1091"/>
      <c r="UFJ2344" s="1091"/>
      <c r="UFK2344" s="1091"/>
      <c r="UFL2344" s="1091"/>
      <c r="UFM2344" s="1091"/>
      <c r="UFN2344" s="1091"/>
      <c r="UFO2344" s="1091"/>
      <c r="UFP2344" s="1091"/>
      <c r="UFQ2344" s="1091"/>
      <c r="UFR2344" s="1091"/>
      <c r="UFS2344" s="1091"/>
      <c r="UFT2344" s="1091"/>
      <c r="UFU2344" s="1091"/>
      <c r="UFV2344" s="1091"/>
      <c r="UFW2344" s="1091"/>
      <c r="UFX2344" s="1091"/>
      <c r="UFY2344" s="1091"/>
      <c r="UFZ2344" s="1091"/>
      <c r="UGA2344" s="1091"/>
      <c r="UGB2344" s="1091"/>
      <c r="UGC2344" s="1091"/>
      <c r="UGD2344" s="1091"/>
      <c r="UGE2344" s="1091"/>
      <c r="UGF2344" s="1091"/>
      <c r="UGG2344" s="1091"/>
      <c r="UGH2344" s="1091"/>
      <c r="UGI2344" s="1091"/>
      <c r="UGJ2344" s="1091"/>
      <c r="UGK2344" s="1091"/>
      <c r="UGL2344" s="1091"/>
      <c r="UGM2344" s="1091"/>
      <c r="UGN2344" s="1091"/>
      <c r="UGO2344" s="1091"/>
      <c r="UGP2344" s="1091"/>
      <c r="UGQ2344" s="1091"/>
      <c r="UGR2344" s="1091"/>
      <c r="UGS2344" s="1091"/>
      <c r="UGT2344" s="1091"/>
      <c r="UGU2344" s="1091"/>
      <c r="UGV2344" s="1091"/>
      <c r="UGW2344" s="1091"/>
      <c r="UGX2344" s="1091"/>
      <c r="UGY2344" s="1091"/>
      <c r="UGZ2344" s="1091"/>
      <c r="UHA2344" s="1091"/>
      <c r="UHB2344" s="1091"/>
      <c r="UHC2344" s="1091"/>
      <c r="UHD2344" s="1091"/>
      <c r="UHE2344" s="1091"/>
      <c r="UHF2344" s="1091"/>
      <c r="UHG2344" s="1091"/>
      <c r="UHH2344" s="1091"/>
      <c r="UHI2344" s="1091"/>
      <c r="UHJ2344" s="1091"/>
      <c r="UHK2344" s="1091"/>
      <c r="UHL2344" s="1091"/>
      <c r="UHM2344" s="1091"/>
      <c r="UHN2344" s="1091"/>
      <c r="UHO2344" s="1091"/>
      <c r="UHP2344" s="1091"/>
      <c r="UHQ2344" s="1091"/>
      <c r="UHR2344" s="1091"/>
      <c r="UHS2344" s="1091"/>
      <c r="UHT2344" s="1091"/>
      <c r="UHU2344" s="1091"/>
      <c r="UHV2344" s="1091"/>
      <c r="UHW2344" s="1091"/>
      <c r="UHX2344" s="1091"/>
      <c r="UHY2344" s="1091"/>
      <c r="UHZ2344" s="1091"/>
      <c r="UIA2344" s="1091"/>
      <c r="UIB2344" s="1091"/>
      <c r="UIC2344" s="1091"/>
      <c r="UID2344" s="1091"/>
      <c r="UIE2344" s="1091"/>
      <c r="UIF2344" s="1091"/>
      <c r="UIG2344" s="1091"/>
      <c r="UIH2344" s="1091"/>
      <c r="UII2344" s="1091"/>
      <c r="UIJ2344" s="1091"/>
      <c r="UIK2344" s="1091"/>
      <c r="UIL2344" s="1091"/>
      <c r="UIM2344" s="1091"/>
      <c r="UIN2344" s="1091"/>
      <c r="UIO2344" s="1091"/>
      <c r="UIP2344" s="1091"/>
      <c r="UIQ2344" s="1091"/>
      <c r="UIR2344" s="1091"/>
      <c r="UIS2344" s="1091"/>
      <c r="UIT2344" s="1091"/>
      <c r="UIU2344" s="1091"/>
      <c r="UIV2344" s="1091"/>
      <c r="UIW2344" s="1091"/>
      <c r="UIX2344" s="1091"/>
      <c r="UIY2344" s="1091"/>
      <c r="UIZ2344" s="1091"/>
      <c r="UJA2344" s="1091"/>
      <c r="UJB2344" s="1091"/>
      <c r="UJC2344" s="1091"/>
      <c r="UJD2344" s="1091"/>
      <c r="UJE2344" s="1091"/>
      <c r="UJF2344" s="1091"/>
      <c r="UJG2344" s="1091"/>
      <c r="UJH2344" s="1091"/>
      <c r="UJI2344" s="1091"/>
      <c r="UJJ2344" s="1091"/>
      <c r="UJK2344" s="1091"/>
      <c r="UJL2344" s="1091"/>
      <c r="UJM2344" s="1091"/>
      <c r="UJN2344" s="1091"/>
      <c r="UJO2344" s="1091"/>
      <c r="UJP2344" s="1091"/>
      <c r="UJQ2344" s="1091"/>
      <c r="UJR2344" s="1091"/>
      <c r="UJS2344" s="1091"/>
      <c r="UJT2344" s="1091"/>
      <c r="UJU2344" s="1091"/>
      <c r="UJV2344" s="1091"/>
      <c r="UJW2344" s="1091"/>
      <c r="UJX2344" s="1091"/>
      <c r="UJY2344" s="1091"/>
      <c r="UJZ2344" s="1091"/>
      <c r="UKA2344" s="1091"/>
      <c r="UKB2344" s="1091"/>
      <c r="UKC2344" s="1091"/>
      <c r="UKD2344" s="1091"/>
      <c r="UKE2344" s="1091"/>
      <c r="UKF2344" s="1091"/>
      <c r="UKG2344" s="1091"/>
      <c r="UKH2344" s="1091"/>
      <c r="UKI2344" s="1091"/>
      <c r="UKJ2344" s="1091"/>
      <c r="UKK2344" s="1091"/>
      <c r="UKL2344" s="1091"/>
      <c r="UKM2344" s="1091"/>
      <c r="UKN2344" s="1091"/>
      <c r="UKO2344" s="1091"/>
      <c r="UKP2344" s="1091"/>
      <c r="UKQ2344" s="1091"/>
      <c r="UKR2344" s="1091"/>
      <c r="UKS2344" s="1091"/>
      <c r="UKT2344" s="1091"/>
      <c r="UKU2344" s="1091"/>
      <c r="UKV2344" s="1091"/>
      <c r="UKW2344" s="1091"/>
      <c r="UKX2344" s="1091"/>
      <c r="UKY2344" s="1091"/>
      <c r="UKZ2344" s="1091"/>
      <c r="ULA2344" s="1091"/>
      <c r="ULB2344" s="1091"/>
      <c r="ULC2344" s="1091"/>
      <c r="ULD2344" s="1091"/>
      <c r="ULE2344" s="1091"/>
      <c r="ULF2344" s="1091"/>
      <c r="ULG2344" s="1091"/>
      <c r="ULH2344" s="1091"/>
      <c r="ULI2344" s="1091"/>
      <c r="ULJ2344" s="1091"/>
      <c r="ULK2344" s="1091"/>
      <c r="ULL2344" s="1091"/>
      <c r="ULM2344" s="1091"/>
      <c r="ULN2344" s="1091"/>
      <c r="ULO2344" s="1091"/>
      <c r="ULP2344" s="1091"/>
      <c r="ULQ2344" s="1091"/>
      <c r="ULR2344" s="1091"/>
      <c r="ULS2344" s="1091"/>
      <c r="ULT2344" s="1091"/>
      <c r="ULU2344" s="1091"/>
      <c r="ULV2344" s="1091"/>
      <c r="ULW2344" s="1091"/>
      <c r="ULX2344" s="1091"/>
      <c r="ULY2344" s="1091"/>
      <c r="ULZ2344" s="1091"/>
      <c r="UMA2344" s="1091"/>
      <c r="UMB2344" s="1091"/>
      <c r="UMC2344" s="1091"/>
      <c r="UMD2344" s="1091"/>
      <c r="UME2344" s="1091"/>
      <c r="UMF2344" s="1091"/>
      <c r="UMG2344" s="1091"/>
      <c r="UMH2344" s="1091"/>
      <c r="UMI2344" s="1091"/>
      <c r="UMJ2344" s="1091"/>
      <c r="UMK2344" s="1091"/>
      <c r="UML2344" s="1091"/>
      <c r="UMM2344" s="1091"/>
      <c r="UMN2344" s="1091"/>
      <c r="UMO2344" s="1091"/>
      <c r="UMP2344" s="1091"/>
      <c r="UMQ2344" s="1091"/>
      <c r="UMR2344" s="1091"/>
      <c r="UMS2344" s="1091"/>
      <c r="UMT2344" s="1091"/>
      <c r="UMU2344" s="1091"/>
      <c r="UMV2344" s="1091"/>
      <c r="UMW2344" s="1091"/>
      <c r="UMX2344" s="1091"/>
      <c r="UMY2344" s="1091"/>
      <c r="UMZ2344" s="1091"/>
      <c r="UNA2344" s="1091"/>
      <c r="UNB2344" s="1091"/>
      <c r="UNC2344" s="1091"/>
      <c r="UND2344" s="1091"/>
      <c r="UNE2344" s="1091"/>
      <c r="UNF2344" s="1091"/>
      <c r="UNG2344" s="1091"/>
      <c r="UNH2344" s="1091"/>
      <c r="UNI2344" s="1091"/>
      <c r="UNJ2344" s="1091"/>
      <c r="UNK2344" s="1091"/>
      <c r="UNL2344" s="1091"/>
      <c r="UNM2344" s="1091"/>
      <c r="UNN2344" s="1091"/>
      <c r="UNO2344" s="1091"/>
      <c r="UNP2344" s="1091"/>
      <c r="UNQ2344" s="1091"/>
      <c r="UNR2344" s="1091"/>
      <c r="UNS2344" s="1091"/>
      <c r="UNT2344" s="1091"/>
      <c r="UNU2344" s="1091"/>
      <c r="UNV2344" s="1091"/>
      <c r="UNW2344" s="1091"/>
      <c r="UNX2344" s="1091"/>
      <c r="UNY2344" s="1091"/>
      <c r="UNZ2344" s="1091"/>
      <c r="UOA2344" s="1091"/>
      <c r="UOB2344" s="1091"/>
      <c r="UOC2344" s="1091"/>
      <c r="UOD2344" s="1091"/>
      <c r="UOE2344" s="1091"/>
      <c r="UOF2344" s="1091"/>
      <c r="UOG2344" s="1091"/>
      <c r="UOH2344" s="1091"/>
      <c r="UOI2344" s="1091"/>
      <c r="UOJ2344" s="1091"/>
      <c r="UOK2344" s="1091"/>
      <c r="UOL2344" s="1091"/>
      <c r="UOM2344" s="1091"/>
      <c r="UON2344" s="1091"/>
      <c r="UOO2344" s="1091"/>
      <c r="UOP2344" s="1091"/>
      <c r="UOQ2344" s="1091"/>
      <c r="UOR2344" s="1091"/>
      <c r="UOS2344" s="1091"/>
      <c r="UOT2344" s="1091"/>
      <c r="UOU2344" s="1091"/>
      <c r="UOV2344" s="1091"/>
      <c r="UOW2344" s="1091"/>
      <c r="UOX2344" s="1091"/>
      <c r="UOY2344" s="1091"/>
      <c r="UOZ2344" s="1091"/>
      <c r="UPA2344" s="1091"/>
      <c r="UPB2344" s="1091"/>
      <c r="UPC2344" s="1091"/>
      <c r="UPD2344" s="1091"/>
      <c r="UPE2344" s="1091"/>
      <c r="UPF2344" s="1091"/>
      <c r="UPG2344" s="1091"/>
      <c r="UPH2344" s="1091"/>
      <c r="UPI2344" s="1091"/>
      <c r="UPJ2344" s="1091"/>
      <c r="UPK2344" s="1091"/>
      <c r="UPL2344" s="1091"/>
      <c r="UPM2344" s="1091"/>
      <c r="UPN2344" s="1091"/>
      <c r="UPO2344" s="1091"/>
      <c r="UPP2344" s="1091"/>
      <c r="UPQ2344" s="1091"/>
      <c r="UPR2344" s="1091"/>
      <c r="UPS2344" s="1091"/>
      <c r="UPT2344" s="1091"/>
      <c r="UPU2344" s="1091"/>
      <c r="UPV2344" s="1091"/>
      <c r="UPW2344" s="1091"/>
      <c r="UPX2344" s="1091"/>
      <c r="UPY2344" s="1091"/>
      <c r="UPZ2344" s="1091"/>
      <c r="UQA2344" s="1091"/>
      <c r="UQB2344" s="1091"/>
      <c r="UQC2344" s="1091"/>
      <c r="UQD2344" s="1091"/>
      <c r="UQE2344" s="1091"/>
      <c r="UQF2344" s="1091"/>
      <c r="UQG2344" s="1091"/>
      <c r="UQH2344" s="1091"/>
      <c r="UQI2344" s="1091"/>
      <c r="UQJ2344" s="1091"/>
      <c r="UQK2344" s="1091"/>
      <c r="UQL2344" s="1091"/>
      <c r="UQM2344" s="1091"/>
      <c r="UQN2344" s="1091"/>
      <c r="UQO2344" s="1091"/>
      <c r="UQP2344" s="1091"/>
      <c r="UQQ2344" s="1091"/>
      <c r="UQR2344" s="1091"/>
      <c r="UQS2344" s="1091"/>
      <c r="UQT2344" s="1091"/>
      <c r="UQU2344" s="1091"/>
      <c r="UQV2344" s="1091"/>
      <c r="UQW2344" s="1091"/>
      <c r="UQX2344" s="1091"/>
      <c r="UQY2344" s="1091"/>
      <c r="UQZ2344" s="1091"/>
      <c r="URA2344" s="1091"/>
      <c r="URB2344" s="1091"/>
      <c r="URC2344" s="1091"/>
      <c r="URD2344" s="1091"/>
      <c r="URE2344" s="1091"/>
      <c r="URF2344" s="1091"/>
      <c r="URG2344" s="1091"/>
      <c r="URH2344" s="1091"/>
      <c r="URI2344" s="1091"/>
      <c r="URJ2344" s="1091"/>
      <c r="URK2344" s="1091"/>
      <c r="URL2344" s="1091"/>
      <c r="URM2344" s="1091"/>
      <c r="URN2344" s="1091"/>
      <c r="URO2344" s="1091"/>
      <c r="URP2344" s="1091"/>
      <c r="URQ2344" s="1091"/>
      <c r="URR2344" s="1091"/>
      <c r="URS2344" s="1091"/>
      <c r="URT2344" s="1091"/>
      <c r="URU2344" s="1091"/>
      <c r="URV2344" s="1091"/>
      <c r="URW2344" s="1091"/>
      <c r="URX2344" s="1091"/>
      <c r="URY2344" s="1091"/>
      <c r="URZ2344" s="1091"/>
      <c r="USA2344" s="1091"/>
      <c r="USB2344" s="1091"/>
      <c r="USC2344" s="1091"/>
      <c r="USD2344" s="1091"/>
      <c r="USE2344" s="1091"/>
      <c r="USF2344" s="1091"/>
      <c r="USG2344" s="1091"/>
      <c r="USH2344" s="1091"/>
      <c r="USI2344" s="1091"/>
      <c r="USJ2344" s="1091"/>
      <c r="USK2344" s="1091"/>
      <c r="USL2344" s="1091"/>
      <c r="USM2344" s="1091"/>
      <c r="USN2344" s="1091"/>
      <c r="USO2344" s="1091"/>
      <c r="USP2344" s="1091"/>
      <c r="USQ2344" s="1091"/>
      <c r="USR2344" s="1091"/>
      <c r="USS2344" s="1091"/>
      <c r="UST2344" s="1091"/>
      <c r="USU2344" s="1091"/>
      <c r="USV2344" s="1091"/>
      <c r="USW2344" s="1091"/>
      <c r="USX2344" s="1091"/>
      <c r="USY2344" s="1091"/>
      <c r="USZ2344" s="1091"/>
      <c r="UTA2344" s="1091"/>
      <c r="UTB2344" s="1091"/>
      <c r="UTC2344" s="1091"/>
      <c r="UTD2344" s="1091"/>
      <c r="UTE2344" s="1091"/>
      <c r="UTF2344" s="1091"/>
      <c r="UTG2344" s="1091"/>
      <c r="UTH2344" s="1091"/>
      <c r="UTI2344" s="1091"/>
      <c r="UTJ2344" s="1091"/>
      <c r="UTK2344" s="1091"/>
      <c r="UTL2344" s="1091"/>
      <c r="UTM2344" s="1091"/>
      <c r="UTN2344" s="1091"/>
      <c r="UTO2344" s="1091"/>
      <c r="UTP2344" s="1091"/>
      <c r="UTQ2344" s="1091"/>
      <c r="UTR2344" s="1091"/>
      <c r="UTS2344" s="1091"/>
      <c r="UTT2344" s="1091"/>
      <c r="UTU2344" s="1091"/>
      <c r="UTV2344" s="1091"/>
      <c r="UTW2344" s="1091"/>
      <c r="UTX2344" s="1091"/>
      <c r="UTY2344" s="1091"/>
      <c r="UTZ2344" s="1091"/>
      <c r="UUA2344" s="1091"/>
      <c r="UUB2344" s="1091"/>
      <c r="UUC2344" s="1091"/>
      <c r="UUD2344" s="1091"/>
      <c r="UUE2344" s="1091"/>
      <c r="UUF2344" s="1091"/>
      <c r="UUG2344" s="1091"/>
      <c r="UUH2344" s="1091"/>
      <c r="UUI2344" s="1091"/>
      <c r="UUJ2344" s="1091"/>
      <c r="UUK2344" s="1091"/>
      <c r="UUL2344" s="1091"/>
      <c r="UUM2344" s="1091"/>
      <c r="UUN2344" s="1091"/>
      <c r="UUO2344" s="1091"/>
      <c r="UUP2344" s="1091"/>
      <c r="UUQ2344" s="1091"/>
      <c r="UUR2344" s="1091"/>
      <c r="UUS2344" s="1091"/>
      <c r="UUT2344" s="1091"/>
      <c r="UUU2344" s="1091"/>
      <c r="UUV2344" s="1091"/>
      <c r="UUW2344" s="1091"/>
      <c r="UUX2344" s="1091"/>
      <c r="UUY2344" s="1091"/>
      <c r="UUZ2344" s="1091"/>
      <c r="UVA2344" s="1091"/>
      <c r="UVB2344" s="1091"/>
      <c r="UVC2344" s="1091"/>
      <c r="UVD2344" s="1091"/>
      <c r="UVE2344" s="1091"/>
      <c r="UVF2344" s="1091"/>
      <c r="UVG2344" s="1091"/>
      <c r="UVH2344" s="1091"/>
      <c r="UVI2344" s="1091"/>
      <c r="UVJ2344" s="1091"/>
      <c r="UVK2344" s="1091"/>
      <c r="UVL2344" s="1091"/>
      <c r="UVM2344" s="1091"/>
      <c r="UVN2344" s="1091"/>
      <c r="UVO2344" s="1091"/>
      <c r="UVP2344" s="1091"/>
      <c r="UVQ2344" s="1091"/>
      <c r="UVR2344" s="1091"/>
      <c r="UVS2344" s="1091"/>
      <c r="UVT2344" s="1091"/>
      <c r="UVU2344" s="1091"/>
      <c r="UVV2344" s="1091"/>
      <c r="UVW2344" s="1091"/>
      <c r="UVX2344" s="1091"/>
      <c r="UVY2344" s="1091"/>
      <c r="UVZ2344" s="1091"/>
      <c r="UWA2344" s="1091"/>
      <c r="UWB2344" s="1091"/>
      <c r="UWC2344" s="1091"/>
      <c r="UWD2344" s="1091"/>
      <c r="UWE2344" s="1091"/>
      <c r="UWF2344" s="1091"/>
      <c r="UWG2344" s="1091"/>
      <c r="UWH2344" s="1091"/>
      <c r="UWI2344" s="1091"/>
      <c r="UWJ2344" s="1091"/>
      <c r="UWK2344" s="1091"/>
      <c r="UWL2344" s="1091"/>
      <c r="UWM2344" s="1091"/>
      <c r="UWN2344" s="1091"/>
      <c r="UWO2344" s="1091"/>
      <c r="UWP2344" s="1091"/>
      <c r="UWQ2344" s="1091"/>
      <c r="UWR2344" s="1091"/>
      <c r="UWS2344" s="1091"/>
      <c r="UWT2344" s="1091"/>
      <c r="UWU2344" s="1091"/>
      <c r="UWV2344" s="1091"/>
      <c r="UWW2344" s="1091"/>
      <c r="UWX2344" s="1091"/>
      <c r="UWY2344" s="1091"/>
      <c r="UWZ2344" s="1091"/>
      <c r="UXA2344" s="1091"/>
      <c r="UXB2344" s="1091"/>
      <c r="UXC2344" s="1091"/>
      <c r="UXD2344" s="1091"/>
      <c r="UXE2344" s="1091"/>
      <c r="UXF2344" s="1091"/>
      <c r="UXG2344" s="1091"/>
      <c r="UXH2344" s="1091"/>
      <c r="UXI2344" s="1091"/>
      <c r="UXJ2344" s="1091"/>
      <c r="UXK2344" s="1091"/>
      <c r="UXL2344" s="1091"/>
      <c r="UXM2344" s="1091"/>
      <c r="UXN2344" s="1091"/>
      <c r="UXO2344" s="1091"/>
      <c r="UXP2344" s="1091"/>
      <c r="UXQ2344" s="1091"/>
      <c r="UXR2344" s="1091"/>
      <c r="UXS2344" s="1091"/>
      <c r="UXT2344" s="1091"/>
      <c r="UXU2344" s="1091"/>
      <c r="UXV2344" s="1091"/>
      <c r="UXW2344" s="1091"/>
      <c r="UXX2344" s="1091"/>
      <c r="UXY2344" s="1091"/>
      <c r="UXZ2344" s="1091"/>
      <c r="UYA2344" s="1091"/>
      <c r="UYB2344" s="1091"/>
      <c r="UYC2344" s="1091"/>
      <c r="UYD2344" s="1091"/>
      <c r="UYE2344" s="1091"/>
      <c r="UYF2344" s="1091"/>
      <c r="UYG2344" s="1091"/>
      <c r="UYH2344" s="1091"/>
      <c r="UYI2344" s="1091"/>
      <c r="UYJ2344" s="1091"/>
      <c r="UYK2344" s="1091"/>
      <c r="UYL2344" s="1091"/>
      <c r="UYM2344" s="1091"/>
      <c r="UYN2344" s="1091"/>
      <c r="UYO2344" s="1091"/>
      <c r="UYP2344" s="1091"/>
      <c r="UYQ2344" s="1091"/>
      <c r="UYR2344" s="1091"/>
      <c r="UYS2344" s="1091"/>
      <c r="UYT2344" s="1091"/>
      <c r="UYU2344" s="1091"/>
      <c r="UYV2344" s="1091"/>
      <c r="UYW2344" s="1091"/>
      <c r="UYX2344" s="1091"/>
      <c r="UYY2344" s="1091"/>
      <c r="UYZ2344" s="1091"/>
      <c r="UZA2344" s="1091"/>
      <c r="UZB2344" s="1091"/>
      <c r="UZC2344" s="1091"/>
      <c r="UZD2344" s="1091"/>
      <c r="UZE2344" s="1091"/>
      <c r="UZF2344" s="1091"/>
      <c r="UZG2344" s="1091"/>
      <c r="UZH2344" s="1091"/>
      <c r="UZI2344" s="1091"/>
      <c r="UZJ2344" s="1091"/>
      <c r="UZK2344" s="1091"/>
      <c r="UZL2344" s="1091"/>
      <c r="UZM2344" s="1091"/>
      <c r="UZN2344" s="1091"/>
      <c r="UZO2344" s="1091"/>
      <c r="UZP2344" s="1091"/>
      <c r="UZQ2344" s="1091"/>
      <c r="UZR2344" s="1091"/>
      <c r="UZS2344" s="1091"/>
      <c r="UZT2344" s="1091"/>
      <c r="UZU2344" s="1091"/>
      <c r="UZV2344" s="1091"/>
      <c r="UZW2344" s="1091"/>
      <c r="UZX2344" s="1091"/>
      <c r="UZY2344" s="1091"/>
      <c r="UZZ2344" s="1091"/>
      <c r="VAA2344" s="1091"/>
      <c r="VAB2344" s="1091"/>
      <c r="VAC2344" s="1091"/>
      <c r="VAD2344" s="1091"/>
      <c r="VAE2344" s="1091"/>
      <c r="VAF2344" s="1091"/>
      <c r="VAG2344" s="1091"/>
      <c r="VAH2344" s="1091"/>
      <c r="VAI2344" s="1091"/>
      <c r="VAJ2344" s="1091"/>
      <c r="VAK2344" s="1091"/>
      <c r="VAL2344" s="1091"/>
      <c r="VAM2344" s="1091"/>
      <c r="VAN2344" s="1091"/>
      <c r="VAO2344" s="1091"/>
      <c r="VAP2344" s="1091"/>
      <c r="VAQ2344" s="1091"/>
      <c r="VAR2344" s="1091"/>
      <c r="VAS2344" s="1091"/>
      <c r="VAT2344" s="1091"/>
      <c r="VAU2344" s="1091"/>
      <c r="VAV2344" s="1091"/>
      <c r="VAW2344" s="1091"/>
      <c r="VAX2344" s="1091"/>
      <c r="VAY2344" s="1091"/>
      <c r="VAZ2344" s="1091"/>
      <c r="VBA2344" s="1091"/>
      <c r="VBB2344" s="1091"/>
      <c r="VBC2344" s="1091"/>
      <c r="VBD2344" s="1091"/>
      <c r="VBE2344" s="1091"/>
      <c r="VBF2344" s="1091"/>
      <c r="VBG2344" s="1091"/>
      <c r="VBH2344" s="1091"/>
      <c r="VBI2344" s="1091"/>
      <c r="VBJ2344" s="1091"/>
      <c r="VBK2344" s="1091"/>
      <c r="VBL2344" s="1091"/>
      <c r="VBM2344" s="1091"/>
      <c r="VBN2344" s="1091"/>
      <c r="VBO2344" s="1091"/>
      <c r="VBP2344" s="1091"/>
      <c r="VBQ2344" s="1091"/>
      <c r="VBR2344" s="1091"/>
      <c r="VBS2344" s="1091"/>
      <c r="VBT2344" s="1091"/>
      <c r="VBU2344" s="1091"/>
      <c r="VBV2344" s="1091"/>
      <c r="VBW2344" s="1091"/>
      <c r="VBX2344" s="1091"/>
      <c r="VBY2344" s="1091"/>
      <c r="VBZ2344" s="1091"/>
      <c r="VCA2344" s="1091"/>
      <c r="VCB2344" s="1091"/>
      <c r="VCC2344" s="1091"/>
      <c r="VCD2344" s="1091"/>
      <c r="VCE2344" s="1091"/>
      <c r="VCF2344" s="1091"/>
      <c r="VCG2344" s="1091"/>
      <c r="VCH2344" s="1091"/>
      <c r="VCI2344" s="1091"/>
      <c r="VCJ2344" s="1091"/>
      <c r="VCK2344" s="1091"/>
      <c r="VCL2344" s="1091"/>
      <c r="VCM2344" s="1091"/>
      <c r="VCN2344" s="1091"/>
      <c r="VCO2344" s="1091"/>
      <c r="VCP2344" s="1091"/>
      <c r="VCQ2344" s="1091"/>
      <c r="VCR2344" s="1091"/>
      <c r="VCS2344" s="1091"/>
      <c r="VCT2344" s="1091"/>
      <c r="VCU2344" s="1091"/>
      <c r="VCV2344" s="1091"/>
      <c r="VCW2344" s="1091"/>
      <c r="VCX2344" s="1091"/>
      <c r="VCY2344" s="1091"/>
      <c r="VCZ2344" s="1091"/>
      <c r="VDA2344" s="1091"/>
      <c r="VDB2344" s="1091"/>
      <c r="VDC2344" s="1091"/>
      <c r="VDD2344" s="1091"/>
      <c r="VDE2344" s="1091"/>
      <c r="VDF2344" s="1091"/>
      <c r="VDG2344" s="1091"/>
      <c r="VDH2344" s="1091"/>
      <c r="VDI2344" s="1091"/>
      <c r="VDJ2344" s="1091"/>
      <c r="VDK2344" s="1091"/>
      <c r="VDL2344" s="1091"/>
      <c r="VDM2344" s="1091"/>
      <c r="VDN2344" s="1091"/>
      <c r="VDO2344" s="1091"/>
      <c r="VDP2344" s="1091"/>
      <c r="VDQ2344" s="1091"/>
      <c r="VDR2344" s="1091"/>
      <c r="VDS2344" s="1091"/>
      <c r="VDT2344" s="1091"/>
      <c r="VDU2344" s="1091"/>
      <c r="VDV2344" s="1091"/>
      <c r="VDW2344" s="1091"/>
      <c r="VDX2344" s="1091"/>
      <c r="VDY2344" s="1091"/>
      <c r="VDZ2344" s="1091"/>
      <c r="VEA2344" s="1091"/>
      <c r="VEB2344" s="1091"/>
      <c r="VEC2344" s="1091"/>
      <c r="VED2344" s="1091"/>
      <c r="VEE2344" s="1091"/>
      <c r="VEF2344" s="1091"/>
      <c r="VEG2344" s="1091"/>
      <c r="VEH2344" s="1091"/>
      <c r="VEI2344" s="1091"/>
      <c r="VEJ2344" s="1091"/>
      <c r="VEK2344" s="1091"/>
      <c r="VEL2344" s="1091"/>
      <c r="VEM2344" s="1091"/>
      <c r="VEN2344" s="1091"/>
      <c r="VEO2344" s="1091"/>
      <c r="VEP2344" s="1091"/>
      <c r="VEQ2344" s="1091"/>
      <c r="VER2344" s="1091"/>
      <c r="VES2344" s="1091"/>
      <c r="VET2344" s="1091"/>
      <c r="VEU2344" s="1091"/>
      <c r="VEV2344" s="1091"/>
      <c r="VEW2344" s="1091"/>
      <c r="VEX2344" s="1091"/>
      <c r="VEY2344" s="1091"/>
      <c r="VEZ2344" s="1091"/>
      <c r="VFA2344" s="1091"/>
      <c r="VFB2344" s="1091"/>
      <c r="VFC2344" s="1091"/>
      <c r="VFD2344" s="1091"/>
      <c r="VFE2344" s="1091"/>
      <c r="VFF2344" s="1091"/>
      <c r="VFG2344" s="1091"/>
      <c r="VFH2344" s="1091"/>
      <c r="VFI2344" s="1091"/>
      <c r="VFJ2344" s="1091"/>
      <c r="VFK2344" s="1091"/>
      <c r="VFL2344" s="1091"/>
      <c r="VFM2344" s="1091"/>
      <c r="VFN2344" s="1091"/>
      <c r="VFO2344" s="1091"/>
      <c r="VFP2344" s="1091"/>
      <c r="VFQ2344" s="1091"/>
      <c r="VFR2344" s="1091"/>
      <c r="VFS2344" s="1091"/>
      <c r="VFT2344" s="1091"/>
      <c r="VFU2344" s="1091"/>
      <c r="VFV2344" s="1091"/>
      <c r="VFW2344" s="1091"/>
      <c r="VFX2344" s="1091"/>
      <c r="VFY2344" s="1091"/>
      <c r="VFZ2344" s="1091"/>
      <c r="VGA2344" s="1091"/>
      <c r="VGB2344" s="1091"/>
      <c r="VGC2344" s="1091"/>
      <c r="VGD2344" s="1091"/>
      <c r="VGE2344" s="1091"/>
      <c r="VGF2344" s="1091"/>
      <c r="VGG2344" s="1091"/>
      <c r="VGH2344" s="1091"/>
      <c r="VGI2344" s="1091"/>
      <c r="VGJ2344" s="1091"/>
      <c r="VGK2344" s="1091"/>
      <c r="VGL2344" s="1091"/>
      <c r="VGM2344" s="1091"/>
      <c r="VGN2344" s="1091"/>
      <c r="VGO2344" s="1091"/>
      <c r="VGP2344" s="1091"/>
      <c r="VGQ2344" s="1091"/>
      <c r="VGR2344" s="1091"/>
      <c r="VGS2344" s="1091"/>
      <c r="VGT2344" s="1091"/>
      <c r="VGU2344" s="1091"/>
      <c r="VGV2344" s="1091"/>
      <c r="VGW2344" s="1091"/>
      <c r="VGX2344" s="1091"/>
      <c r="VGY2344" s="1091"/>
      <c r="VGZ2344" s="1091"/>
      <c r="VHA2344" s="1091"/>
      <c r="VHB2344" s="1091"/>
      <c r="VHC2344" s="1091"/>
      <c r="VHD2344" s="1091"/>
      <c r="VHE2344" s="1091"/>
      <c r="VHF2344" s="1091"/>
      <c r="VHG2344" s="1091"/>
      <c r="VHH2344" s="1091"/>
      <c r="VHI2344" s="1091"/>
      <c r="VHJ2344" s="1091"/>
      <c r="VHK2344" s="1091"/>
      <c r="VHL2344" s="1091"/>
      <c r="VHM2344" s="1091"/>
      <c r="VHN2344" s="1091"/>
      <c r="VHO2344" s="1091"/>
      <c r="VHP2344" s="1091"/>
      <c r="VHQ2344" s="1091"/>
      <c r="VHR2344" s="1091"/>
      <c r="VHS2344" s="1091"/>
      <c r="VHT2344" s="1091"/>
      <c r="VHU2344" s="1091"/>
      <c r="VHV2344" s="1091"/>
      <c r="VHW2344" s="1091"/>
      <c r="VHX2344" s="1091"/>
      <c r="VHY2344" s="1091"/>
      <c r="VHZ2344" s="1091"/>
      <c r="VIA2344" s="1091"/>
      <c r="VIB2344" s="1091"/>
      <c r="VIC2344" s="1091"/>
      <c r="VID2344" s="1091"/>
      <c r="VIE2344" s="1091"/>
      <c r="VIF2344" s="1091"/>
      <c r="VIG2344" s="1091"/>
      <c r="VIH2344" s="1091"/>
      <c r="VII2344" s="1091"/>
      <c r="VIJ2344" s="1091"/>
      <c r="VIK2344" s="1091"/>
      <c r="VIL2344" s="1091"/>
      <c r="VIM2344" s="1091"/>
      <c r="VIN2344" s="1091"/>
      <c r="VIO2344" s="1091"/>
      <c r="VIP2344" s="1091"/>
      <c r="VIQ2344" s="1091"/>
      <c r="VIR2344" s="1091"/>
      <c r="VIS2344" s="1091"/>
      <c r="VIT2344" s="1091"/>
      <c r="VIU2344" s="1091"/>
      <c r="VIV2344" s="1091"/>
      <c r="VIW2344" s="1091"/>
      <c r="VIX2344" s="1091"/>
      <c r="VIY2344" s="1091"/>
      <c r="VIZ2344" s="1091"/>
      <c r="VJA2344" s="1091"/>
      <c r="VJB2344" s="1091"/>
      <c r="VJC2344" s="1091"/>
      <c r="VJD2344" s="1091"/>
      <c r="VJE2344" s="1091"/>
      <c r="VJF2344" s="1091"/>
      <c r="VJG2344" s="1091"/>
      <c r="VJH2344" s="1091"/>
      <c r="VJI2344" s="1091"/>
      <c r="VJJ2344" s="1091"/>
      <c r="VJK2344" s="1091"/>
      <c r="VJL2344" s="1091"/>
      <c r="VJM2344" s="1091"/>
      <c r="VJN2344" s="1091"/>
      <c r="VJO2344" s="1091"/>
      <c r="VJP2344" s="1091"/>
      <c r="VJQ2344" s="1091"/>
      <c r="VJR2344" s="1091"/>
      <c r="VJS2344" s="1091"/>
      <c r="VJT2344" s="1091"/>
      <c r="VJU2344" s="1091"/>
      <c r="VJV2344" s="1091"/>
      <c r="VJW2344" s="1091"/>
      <c r="VJX2344" s="1091"/>
      <c r="VJY2344" s="1091"/>
      <c r="VJZ2344" s="1091"/>
      <c r="VKA2344" s="1091"/>
      <c r="VKB2344" s="1091"/>
      <c r="VKC2344" s="1091"/>
      <c r="VKD2344" s="1091"/>
      <c r="VKE2344" s="1091"/>
      <c r="VKF2344" s="1091"/>
      <c r="VKG2344" s="1091"/>
      <c r="VKH2344" s="1091"/>
      <c r="VKI2344" s="1091"/>
      <c r="VKJ2344" s="1091"/>
      <c r="VKK2344" s="1091"/>
      <c r="VKL2344" s="1091"/>
      <c r="VKM2344" s="1091"/>
      <c r="VKN2344" s="1091"/>
      <c r="VKO2344" s="1091"/>
      <c r="VKP2344" s="1091"/>
      <c r="VKQ2344" s="1091"/>
      <c r="VKR2344" s="1091"/>
      <c r="VKS2344" s="1091"/>
      <c r="VKT2344" s="1091"/>
      <c r="VKU2344" s="1091"/>
      <c r="VKV2344" s="1091"/>
      <c r="VKW2344" s="1091"/>
      <c r="VKX2344" s="1091"/>
      <c r="VKY2344" s="1091"/>
      <c r="VKZ2344" s="1091"/>
      <c r="VLA2344" s="1091"/>
      <c r="VLB2344" s="1091"/>
      <c r="VLC2344" s="1091"/>
      <c r="VLD2344" s="1091"/>
      <c r="VLE2344" s="1091"/>
      <c r="VLF2344" s="1091"/>
      <c r="VLG2344" s="1091"/>
      <c r="VLH2344" s="1091"/>
      <c r="VLI2344" s="1091"/>
      <c r="VLJ2344" s="1091"/>
      <c r="VLK2344" s="1091"/>
      <c r="VLL2344" s="1091"/>
      <c r="VLM2344" s="1091"/>
      <c r="VLN2344" s="1091"/>
      <c r="VLO2344" s="1091"/>
      <c r="VLP2344" s="1091"/>
      <c r="VLQ2344" s="1091"/>
      <c r="VLR2344" s="1091"/>
      <c r="VLS2344" s="1091"/>
      <c r="VLT2344" s="1091"/>
      <c r="VLU2344" s="1091"/>
      <c r="VLV2344" s="1091"/>
      <c r="VLW2344" s="1091"/>
      <c r="VLX2344" s="1091"/>
      <c r="VLY2344" s="1091"/>
      <c r="VLZ2344" s="1091"/>
      <c r="VMA2344" s="1091"/>
      <c r="VMB2344" s="1091"/>
      <c r="VMC2344" s="1091"/>
      <c r="VMD2344" s="1091"/>
      <c r="VME2344" s="1091"/>
      <c r="VMF2344" s="1091"/>
      <c r="VMG2344" s="1091"/>
      <c r="VMH2344" s="1091"/>
      <c r="VMI2344" s="1091"/>
      <c r="VMJ2344" s="1091"/>
      <c r="VMK2344" s="1091"/>
      <c r="VML2344" s="1091"/>
      <c r="VMM2344" s="1091"/>
      <c r="VMN2344" s="1091"/>
      <c r="VMO2344" s="1091"/>
      <c r="VMP2344" s="1091"/>
      <c r="VMQ2344" s="1091"/>
      <c r="VMR2344" s="1091"/>
      <c r="VMS2344" s="1091"/>
      <c r="VMT2344" s="1091"/>
      <c r="VMU2344" s="1091"/>
      <c r="VMV2344" s="1091"/>
      <c r="VMW2344" s="1091"/>
      <c r="VMX2344" s="1091"/>
      <c r="VMY2344" s="1091"/>
      <c r="VMZ2344" s="1091"/>
      <c r="VNA2344" s="1091"/>
      <c r="VNB2344" s="1091"/>
      <c r="VNC2344" s="1091"/>
      <c r="VND2344" s="1091"/>
      <c r="VNE2344" s="1091"/>
      <c r="VNF2344" s="1091"/>
      <c r="VNG2344" s="1091"/>
      <c r="VNH2344" s="1091"/>
      <c r="VNI2344" s="1091"/>
      <c r="VNJ2344" s="1091"/>
      <c r="VNK2344" s="1091"/>
      <c r="VNL2344" s="1091"/>
      <c r="VNM2344" s="1091"/>
      <c r="VNN2344" s="1091"/>
      <c r="VNO2344" s="1091"/>
      <c r="VNP2344" s="1091"/>
      <c r="VNQ2344" s="1091"/>
      <c r="VNR2344" s="1091"/>
      <c r="VNS2344" s="1091"/>
      <c r="VNT2344" s="1091"/>
      <c r="VNU2344" s="1091"/>
      <c r="VNV2344" s="1091"/>
      <c r="VNW2344" s="1091"/>
      <c r="VNX2344" s="1091"/>
      <c r="VNY2344" s="1091"/>
      <c r="VNZ2344" s="1091"/>
      <c r="VOA2344" s="1091"/>
      <c r="VOB2344" s="1091"/>
      <c r="VOC2344" s="1091"/>
      <c r="VOD2344" s="1091"/>
      <c r="VOE2344" s="1091"/>
      <c r="VOF2344" s="1091"/>
      <c r="VOG2344" s="1091"/>
      <c r="VOH2344" s="1091"/>
      <c r="VOI2344" s="1091"/>
      <c r="VOJ2344" s="1091"/>
      <c r="VOK2344" s="1091"/>
      <c r="VOL2344" s="1091"/>
      <c r="VOM2344" s="1091"/>
      <c r="VON2344" s="1091"/>
      <c r="VOO2344" s="1091"/>
      <c r="VOP2344" s="1091"/>
      <c r="VOQ2344" s="1091"/>
      <c r="VOR2344" s="1091"/>
      <c r="VOS2344" s="1091"/>
      <c r="VOT2344" s="1091"/>
      <c r="VOU2344" s="1091"/>
      <c r="VOV2344" s="1091"/>
      <c r="VOW2344" s="1091"/>
      <c r="VOX2344" s="1091"/>
      <c r="VOY2344" s="1091"/>
      <c r="VOZ2344" s="1091"/>
      <c r="VPA2344" s="1091"/>
      <c r="VPB2344" s="1091"/>
      <c r="VPC2344" s="1091"/>
      <c r="VPD2344" s="1091"/>
      <c r="VPE2344" s="1091"/>
      <c r="VPF2344" s="1091"/>
      <c r="VPG2344" s="1091"/>
      <c r="VPH2344" s="1091"/>
      <c r="VPI2344" s="1091"/>
      <c r="VPJ2344" s="1091"/>
      <c r="VPK2344" s="1091"/>
      <c r="VPL2344" s="1091"/>
      <c r="VPM2344" s="1091"/>
      <c r="VPN2344" s="1091"/>
      <c r="VPO2344" s="1091"/>
      <c r="VPP2344" s="1091"/>
      <c r="VPQ2344" s="1091"/>
      <c r="VPR2344" s="1091"/>
      <c r="VPS2344" s="1091"/>
      <c r="VPT2344" s="1091"/>
      <c r="VPU2344" s="1091"/>
      <c r="VPV2344" s="1091"/>
      <c r="VPW2344" s="1091"/>
      <c r="VPX2344" s="1091"/>
      <c r="VPY2344" s="1091"/>
      <c r="VPZ2344" s="1091"/>
      <c r="VQA2344" s="1091"/>
      <c r="VQB2344" s="1091"/>
      <c r="VQC2344" s="1091"/>
      <c r="VQD2344" s="1091"/>
      <c r="VQE2344" s="1091"/>
      <c r="VQF2344" s="1091"/>
      <c r="VQG2344" s="1091"/>
      <c r="VQH2344" s="1091"/>
      <c r="VQI2344" s="1091"/>
      <c r="VQJ2344" s="1091"/>
      <c r="VQK2344" s="1091"/>
      <c r="VQL2344" s="1091"/>
      <c r="VQM2344" s="1091"/>
      <c r="VQN2344" s="1091"/>
      <c r="VQO2344" s="1091"/>
      <c r="VQP2344" s="1091"/>
      <c r="VQQ2344" s="1091"/>
      <c r="VQR2344" s="1091"/>
      <c r="VQS2344" s="1091"/>
      <c r="VQT2344" s="1091"/>
      <c r="VQU2344" s="1091"/>
      <c r="VQV2344" s="1091"/>
      <c r="VQW2344" s="1091"/>
      <c r="VQX2344" s="1091"/>
      <c r="VQY2344" s="1091"/>
      <c r="VQZ2344" s="1091"/>
      <c r="VRA2344" s="1091"/>
      <c r="VRB2344" s="1091"/>
      <c r="VRC2344" s="1091"/>
      <c r="VRD2344" s="1091"/>
      <c r="VRE2344" s="1091"/>
      <c r="VRF2344" s="1091"/>
      <c r="VRG2344" s="1091"/>
      <c r="VRH2344" s="1091"/>
      <c r="VRI2344" s="1091"/>
      <c r="VRJ2344" s="1091"/>
      <c r="VRK2344" s="1091"/>
      <c r="VRL2344" s="1091"/>
      <c r="VRM2344" s="1091"/>
      <c r="VRN2344" s="1091"/>
      <c r="VRO2344" s="1091"/>
      <c r="VRP2344" s="1091"/>
      <c r="VRQ2344" s="1091"/>
      <c r="VRR2344" s="1091"/>
      <c r="VRS2344" s="1091"/>
      <c r="VRT2344" s="1091"/>
      <c r="VRU2344" s="1091"/>
      <c r="VRV2344" s="1091"/>
      <c r="VRW2344" s="1091"/>
      <c r="VRX2344" s="1091"/>
      <c r="VRY2344" s="1091"/>
      <c r="VRZ2344" s="1091"/>
      <c r="VSA2344" s="1091"/>
      <c r="VSB2344" s="1091"/>
      <c r="VSC2344" s="1091"/>
      <c r="VSD2344" s="1091"/>
      <c r="VSE2344" s="1091"/>
      <c r="VSF2344" s="1091"/>
      <c r="VSG2344" s="1091"/>
      <c r="VSH2344" s="1091"/>
      <c r="VSI2344" s="1091"/>
      <c r="VSJ2344" s="1091"/>
      <c r="VSK2344" s="1091"/>
      <c r="VSL2344" s="1091"/>
      <c r="VSM2344" s="1091"/>
      <c r="VSN2344" s="1091"/>
      <c r="VSO2344" s="1091"/>
      <c r="VSP2344" s="1091"/>
      <c r="VSQ2344" s="1091"/>
      <c r="VSR2344" s="1091"/>
      <c r="VSS2344" s="1091"/>
      <c r="VST2344" s="1091"/>
      <c r="VSU2344" s="1091"/>
      <c r="VSV2344" s="1091"/>
      <c r="VSW2344" s="1091"/>
      <c r="VSX2344" s="1091"/>
      <c r="VSY2344" s="1091"/>
      <c r="VSZ2344" s="1091"/>
      <c r="VTA2344" s="1091"/>
      <c r="VTB2344" s="1091"/>
      <c r="VTC2344" s="1091"/>
      <c r="VTD2344" s="1091"/>
      <c r="VTE2344" s="1091"/>
      <c r="VTF2344" s="1091"/>
      <c r="VTG2344" s="1091"/>
      <c r="VTH2344" s="1091"/>
      <c r="VTI2344" s="1091"/>
      <c r="VTJ2344" s="1091"/>
      <c r="VTK2344" s="1091"/>
      <c r="VTL2344" s="1091"/>
      <c r="VTM2344" s="1091"/>
      <c r="VTN2344" s="1091"/>
      <c r="VTO2344" s="1091"/>
      <c r="VTP2344" s="1091"/>
      <c r="VTQ2344" s="1091"/>
      <c r="VTR2344" s="1091"/>
      <c r="VTS2344" s="1091"/>
      <c r="VTT2344" s="1091"/>
      <c r="VTU2344" s="1091"/>
      <c r="VTV2344" s="1091"/>
      <c r="VTW2344" s="1091"/>
      <c r="VTX2344" s="1091"/>
      <c r="VTY2344" s="1091"/>
      <c r="VTZ2344" s="1091"/>
      <c r="VUA2344" s="1091"/>
      <c r="VUB2344" s="1091"/>
      <c r="VUC2344" s="1091"/>
      <c r="VUD2344" s="1091"/>
      <c r="VUE2344" s="1091"/>
      <c r="VUF2344" s="1091"/>
      <c r="VUG2344" s="1091"/>
      <c r="VUH2344" s="1091"/>
      <c r="VUI2344" s="1091"/>
      <c r="VUJ2344" s="1091"/>
      <c r="VUK2344" s="1091"/>
      <c r="VUL2344" s="1091"/>
      <c r="VUM2344" s="1091"/>
      <c r="VUN2344" s="1091"/>
      <c r="VUO2344" s="1091"/>
      <c r="VUP2344" s="1091"/>
      <c r="VUQ2344" s="1091"/>
      <c r="VUR2344" s="1091"/>
      <c r="VUS2344" s="1091"/>
      <c r="VUT2344" s="1091"/>
      <c r="VUU2344" s="1091"/>
      <c r="VUV2344" s="1091"/>
      <c r="VUW2344" s="1091"/>
      <c r="VUX2344" s="1091"/>
      <c r="VUY2344" s="1091"/>
      <c r="VUZ2344" s="1091"/>
      <c r="VVA2344" s="1091"/>
      <c r="VVB2344" s="1091"/>
      <c r="VVC2344" s="1091"/>
      <c r="VVD2344" s="1091"/>
      <c r="VVE2344" s="1091"/>
      <c r="VVF2344" s="1091"/>
      <c r="VVG2344" s="1091"/>
      <c r="VVH2344" s="1091"/>
      <c r="VVI2344" s="1091"/>
      <c r="VVJ2344" s="1091"/>
      <c r="VVK2344" s="1091"/>
      <c r="VVL2344" s="1091"/>
      <c r="VVM2344" s="1091"/>
      <c r="VVN2344" s="1091"/>
      <c r="VVO2344" s="1091"/>
      <c r="VVP2344" s="1091"/>
      <c r="VVQ2344" s="1091"/>
      <c r="VVR2344" s="1091"/>
      <c r="VVS2344" s="1091"/>
      <c r="VVT2344" s="1091"/>
      <c r="VVU2344" s="1091"/>
      <c r="VVV2344" s="1091"/>
      <c r="VVW2344" s="1091"/>
      <c r="VVX2344" s="1091"/>
      <c r="VVY2344" s="1091"/>
      <c r="VVZ2344" s="1091"/>
      <c r="VWA2344" s="1091"/>
      <c r="VWB2344" s="1091"/>
      <c r="VWC2344" s="1091"/>
      <c r="VWD2344" s="1091"/>
      <c r="VWE2344" s="1091"/>
      <c r="VWF2344" s="1091"/>
      <c r="VWG2344" s="1091"/>
      <c r="VWH2344" s="1091"/>
      <c r="VWI2344" s="1091"/>
      <c r="VWJ2344" s="1091"/>
      <c r="VWK2344" s="1091"/>
      <c r="VWL2344" s="1091"/>
      <c r="VWM2344" s="1091"/>
      <c r="VWN2344" s="1091"/>
      <c r="VWO2344" s="1091"/>
      <c r="VWP2344" s="1091"/>
      <c r="VWQ2344" s="1091"/>
      <c r="VWR2344" s="1091"/>
      <c r="VWS2344" s="1091"/>
      <c r="VWT2344" s="1091"/>
      <c r="VWU2344" s="1091"/>
      <c r="VWV2344" s="1091"/>
      <c r="VWW2344" s="1091"/>
      <c r="VWX2344" s="1091"/>
      <c r="VWY2344" s="1091"/>
      <c r="VWZ2344" s="1091"/>
      <c r="VXA2344" s="1091"/>
      <c r="VXB2344" s="1091"/>
      <c r="VXC2344" s="1091"/>
      <c r="VXD2344" s="1091"/>
      <c r="VXE2344" s="1091"/>
      <c r="VXF2344" s="1091"/>
      <c r="VXG2344" s="1091"/>
      <c r="VXH2344" s="1091"/>
      <c r="VXI2344" s="1091"/>
      <c r="VXJ2344" s="1091"/>
      <c r="VXK2344" s="1091"/>
      <c r="VXL2344" s="1091"/>
      <c r="VXM2344" s="1091"/>
      <c r="VXN2344" s="1091"/>
      <c r="VXO2344" s="1091"/>
      <c r="VXP2344" s="1091"/>
      <c r="VXQ2344" s="1091"/>
      <c r="VXR2344" s="1091"/>
      <c r="VXS2344" s="1091"/>
      <c r="VXT2344" s="1091"/>
      <c r="VXU2344" s="1091"/>
      <c r="VXV2344" s="1091"/>
      <c r="VXW2344" s="1091"/>
      <c r="VXX2344" s="1091"/>
      <c r="VXY2344" s="1091"/>
      <c r="VXZ2344" s="1091"/>
      <c r="VYA2344" s="1091"/>
      <c r="VYB2344" s="1091"/>
      <c r="VYC2344" s="1091"/>
      <c r="VYD2344" s="1091"/>
      <c r="VYE2344" s="1091"/>
      <c r="VYF2344" s="1091"/>
      <c r="VYG2344" s="1091"/>
      <c r="VYH2344" s="1091"/>
      <c r="VYI2344" s="1091"/>
      <c r="VYJ2344" s="1091"/>
      <c r="VYK2344" s="1091"/>
      <c r="VYL2344" s="1091"/>
      <c r="VYM2344" s="1091"/>
      <c r="VYN2344" s="1091"/>
      <c r="VYO2344" s="1091"/>
      <c r="VYP2344" s="1091"/>
      <c r="VYQ2344" s="1091"/>
      <c r="VYR2344" s="1091"/>
      <c r="VYS2344" s="1091"/>
      <c r="VYT2344" s="1091"/>
      <c r="VYU2344" s="1091"/>
      <c r="VYV2344" s="1091"/>
      <c r="VYW2344" s="1091"/>
      <c r="VYX2344" s="1091"/>
      <c r="VYY2344" s="1091"/>
      <c r="VYZ2344" s="1091"/>
      <c r="VZA2344" s="1091"/>
      <c r="VZB2344" s="1091"/>
      <c r="VZC2344" s="1091"/>
      <c r="VZD2344" s="1091"/>
      <c r="VZE2344" s="1091"/>
      <c r="VZF2344" s="1091"/>
      <c r="VZG2344" s="1091"/>
      <c r="VZH2344" s="1091"/>
      <c r="VZI2344" s="1091"/>
      <c r="VZJ2344" s="1091"/>
      <c r="VZK2344" s="1091"/>
      <c r="VZL2344" s="1091"/>
      <c r="VZM2344" s="1091"/>
      <c r="VZN2344" s="1091"/>
      <c r="VZO2344" s="1091"/>
      <c r="VZP2344" s="1091"/>
      <c r="VZQ2344" s="1091"/>
      <c r="VZR2344" s="1091"/>
      <c r="VZS2344" s="1091"/>
      <c r="VZT2344" s="1091"/>
      <c r="VZU2344" s="1091"/>
      <c r="VZV2344" s="1091"/>
      <c r="VZW2344" s="1091"/>
      <c r="VZX2344" s="1091"/>
      <c r="VZY2344" s="1091"/>
      <c r="VZZ2344" s="1091"/>
      <c r="WAA2344" s="1091"/>
      <c r="WAB2344" s="1091"/>
      <c r="WAC2344" s="1091"/>
      <c r="WAD2344" s="1091"/>
      <c r="WAE2344" s="1091"/>
      <c r="WAF2344" s="1091"/>
      <c r="WAG2344" s="1091"/>
      <c r="WAH2344" s="1091"/>
      <c r="WAI2344" s="1091"/>
      <c r="WAJ2344" s="1091"/>
      <c r="WAK2344" s="1091"/>
      <c r="WAL2344" s="1091"/>
      <c r="WAM2344" s="1091"/>
      <c r="WAN2344" s="1091"/>
      <c r="WAO2344" s="1091"/>
      <c r="WAP2344" s="1091"/>
      <c r="WAQ2344" s="1091"/>
      <c r="WAR2344" s="1091"/>
      <c r="WAS2344" s="1091"/>
      <c r="WAT2344" s="1091"/>
      <c r="WAU2344" s="1091"/>
      <c r="WAV2344" s="1091"/>
      <c r="WAW2344" s="1091"/>
      <c r="WAX2344" s="1091"/>
      <c r="WAY2344" s="1091"/>
      <c r="WAZ2344" s="1091"/>
      <c r="WBA2344" s="1091"/>
      <c r="WBB2344" s="1091"/>
      <c r="WBC2344" s="1091"/>
      <c r="WBD2344" s="1091"/>
      <c r="WBE2344" s="1091"/>
      <c r="WBF2344" s="1091"/>
      <c r="WBG2344" s="1091"/>
      <c r="WBH2344" s="1091"/>
      <c r="WBI2344" s="1091"/>
      <c r="WBJ2344" s="1091"/>
      <c r="WBK2344" s="1091"/>
      <c r="WBL2344" s="1091"/>
      <c r="WBM2344" s="1091"/>
      <c r="WBN2344" s="1091"/>
      <c r="WBO2344" s="1091"/>
      <c r="WBP2344" s="1091"/>
      <c r="WBQ2344" s="1091"/>
      <c r="WBR2344" s="1091"/>
      <c r="WBS2344" s="1091"/>
      <c r="WBT2344" s="1091"/>
      <c r="WBU2344" s="1091"/>
      <c r="WBV2344" s="1091"/>
      <c r="WBW2344" s="1091"/>
      <c r="WBX2344" s="1091"/>
      <c r="WBY2344" s="1091"/>
      <c r="WBZ2344" s="1091"/>
      <c r="WCA2344" s="1091"/>
      <c r="WCB2344" s="1091"/>
      <c r="WCC2344" s="1091"/>
      <c r="WCD2344" s="1091"/>
      <c r="WCE2344" s="1091"/>
      <c r="WCF2344" s="1091"/>
      <c r="WCG2344" s="1091"/>
      <c r="WCH2344" s="1091"/>
      <c r="WCI2344" s="1091"/>
      <c r="WCJ2344" s="1091"/>
      <c r="WCK2344" s="1091"/>
      <c r="WCL2344" s="1091"/>
      <c r="WCM2344" s="1091"/>
      <c r="WCN2344" s="1091"/>
      <c r="WCO2344" s="1091"/>
      <c r="WCP2344" s="1091"/>
      <c r="WCQ2344" s="1091"/>
      <c r="WCR2344" s="1091"/>
      <c r="WCS2344" s="1091"/>
      <c r="WCT2344" s="1091"/>
      <c r="WCU2344" s="1091"/>
      <c r="WCV2344" s="1091"/>
      <c r="WCW2344" s="1091"/>
      <c r="WCX2344" s="1091"/>
      <c r="WCY2344" s="1091"/>
      <c r="WCZ2344" s="1091"/>
      <c r="WDA2344" s="1091"/>
      <c r="WDB2344" s="1091"/>
      <c r="WDC2344" s="1091"/>
      <c r="WDD2344" s="1091"/>
      <c r="WDE2344" s="1091"/>
      <c r="WDF2344" s="1091"/>
      <c r="WDG2344" s="1091"/>
      <c r="WDH2344" s="1091"/>
      <c r="WDI2344" s="1091"/>
      <c r="WDJ2344" s="1091"/>
      <c r="WDK2344" s="1091"/>
      <c r="WDL2344" s="1091"/>
      <c r="WDM2344" s="1091"/>
      <c r="WDN2344" s="1091"/>
      <c r="WDO2344" s="1091"/>
      <c r="WDP2344" s="1091"/>
      <c r="WDQ2344" s="1091"/>
      <c r="WDR2344" s="1091"/>
      <c r="WDS2344" s="1091"/>
      <c r="WDT2344" s="1091"/>
      <c r="WDU2344" s="1091"/>
      <c r="WDV2344" s="1091"/>
      <c r="WDW2344" s="1091"/>
      <c r="WDX2344" s="1091"/>
      <c r="WDY2344" s="1091"/>
      <c r="WDZ2344" s="1091"/>
      <c r="WEA2344" s="1091"/>
      <c r="WEB2344" s="1091"/>
      <c r="WEC2344" s="1091"/>
      <c r="WED2344" s="1091"/>
      <c r="WEE2344" s="1091"/>
      <c r="WEF2344" s="1091"/>
      <c r="WEG2344" s="1091"/>
      <c r="WEH2344" s="1091"/>
      <c r="WEI2344" s="1091"/>
      <c r="WEJ2344" s="1091"/>
      <c r="WEK2344" s="1091"/>
      <c r="WEL2344" s="1091"/>
      <c r="WEM2344" s="1091"/>
      <c r="WEN2344" s="1091"/>
      <c r="WEO2344" s="1091"/>
      <c r="WEP2344" s="1091"/>
      <c r="WEQ2344" s="1091"/>
      <c r="WER2344" s="1091"/>
      <c r="WES2344" s="1091"/>
      <c r="WET2344" s="1091"/>
      <c r="WEU2344" s="1091"/>
      <c r="WEV2344" s="1091"/>
      <c r="WEW2344" s="1091"/>
      <c r="WEX2344" s="1091"/>
      <c r="WEY2344" s="1091"/>
      <c r="WEZ2344" s="1091"/>
      <c r="WFA2344" s="1091"/>
      <c r="WFB2344" s="1091"/>
      <c r="WFC2344" s="1091"/>
      <c r="WFD2344" s="1091"/>
      <c r="WFE2344" s="1091"/>
      <c r="WFF2344" s="1091"/>
      <c r="WFG2344" s="1091"/>
      <c r="WFH2344" s="1091"/>
      <c r="WFI2344" s="1091"/>
      <c r="WFJ2344" s="1091"/>
      <c r="WFK2344" s="1091"/>
      <c r="WFL2344" s="1091"/>
      <c r="WFM2344" s="1091"/>
      <c r="WFN2344" s="1091"/>
      <c r="WFO2344" s="1091"/>
      <c r="WFP2344" s="1091"/>
      <c r="WFQ2344" s="1091"/>
      <c r="WFR2344" s="1091"/>
      <c r="WFS2344" s="1091"/>
      <c r="WFT2344" s="1091"/>
      <c r="WFU2344" s="1091"/>
      <c r="WFV2344" s="1091"/>
      <c r="WFW2344" s="1091"/>
      <c r="WFX2344" s="1091"/>
      <c r="WFY2344" s="1091"/>
      <c r="WFZ2344" s="1091"/>
      <c r="WGA2344" s="1091"/>
      <c r="WGB2344" s="1091"/>
      <c r="WGC2344" s="1091"/>
      <c r="WGD2344" s="1091"/>
      <c r="WGE2344" s="1091"/>
      <c r="WGF2344" s="1091"/>
      <c r="WGG2344" s="1091"/>
      <c r="WGH2344" s="1091"/>
      <c r="WGI2344" s="1091"/>
      <c r="WGJ2344" s="1091"/>
      <c r="WGK2344" s="1091"/>
      <c r="WGL2344" s="1091"/>
      <c r="WGM2344" s="1091"/>
      <c r="WGN2344" s="1091"/>
      <c r="WGO2344" s="1091"/>
      <c r="WGP2344" s="1091"/>
      <c r="WGQ2344" s="1091"/>
      <c r="WGR2344" s="1091"/>
      <c r="WGS2344" s="1091"/>
      <c r="WGT2344" s="1091"/>
      <c r="WGU2344" s="1091"/>
      <c r="WGV2344" s="1091"/>
      <c r="WGW2344" s="1091"/>
      <c r="WGX2344" s="1091"/>
      <c r="WGY2344" s="1091"/>
      <c r="WGZ2344" s="1091"/>
      <c r="WHA2344" s="1091"/>
      <c r="WHB2344" s="1091"/>
      <c r="WHC2344" s="1091"/>
      <c r="WHD2344" s="1091"/>
      <c r="WHE2344" s="1091"/>
      <c r="WHF2344" s="1091"/>
      <c r="WHG2344" s="1091"/>
      <c r="WHH2344" s="1091"/>
      <c r="WHI2344" s="1091"/>
      <c r="WHJ2344" s="1091"/>
      <c r="WHK2344" s="1091"/>
      <c r="WHL2344" s="1091"/>
      <c r="WHM2344" s="1091"/>
      <c r="WHN2344" s="1091"/>
      <c r="WHO2344" s="1091"/>
      <c r="WHP2344" s="1091"/>
      <c r="WHQ2344" s="1091"/>
      <c r="WHR2344" s="1091"/>
      <c r="WHS2344" s="1091"/>
      <c r="WHT2344" s="1091"/>
      <c r="WHU2344" s="1091"/>
      <c r="WHV2344" s="1091"/>
      <c r="WHW2344" s="1091"/>
      <c r="WHX2344" s="1091"/>
      <c r="WHY2344" s="1091"/>
      <c r="WHZ2344" s="1091"/>
      <c r="WIA2344" s="1091"/>
      <c r="WIB2344" s="1091"/>
      <c r="WIC2344" s="1091"/>
      <c r="WID2344" s="1091"/>
      <c r="WIE2344" s="1091"/>
      <c r="WIF2344" s="1091"/>
      <c r="WIG2344" s="1091"/>
      <c r="WIH2344" s="1091"/>
      <c r="WII2344" s="1091"/>
      <c r="WIJ2344" s="1091"/>
      <c r="WIK2344" s="1091"/>
      <c r="WIL2344" s="1091"/>
      <c r="WIM2344" s="1091"/>
      <c r="WIN2344" s="1091"/>
      <c r="WIO2344" s="1091"/>
      <c r="WIP2344" s="1091"/>
      <c r="WIQ2344" s="1091"/>
      <c r="WIR2344" s="1091"/>
      <c r="WIS2344" s="1091"/>
      <c r="WIT2344" s="1091"/>
      <c r="WIU2344" s="1091"/>
      <c r="WIV2344" s="1091"/>
      <c r="WIW2344" s="1091"/>
      <c r="WIX2344" s="1091"/>
      <c r="WIY2344" s="1091"/>
      <c r="WIZ2344" s="1091"/>
      <c r="WJA2344" s="1091"/>
      <c r="WJB2344" s="1091"/>
      <c r="WJC2344" s="1091"/>
      <c r="WJD2344" s="1091"/>
      <c r="WJE2344" s="1091"/>
      <c r="WJF2344" s="1091"/>
      <c r="WJG2344" s="1091"/>
      <c r="WJH2344" s="1091"/>
      <c r="WJI2344" s="1091"/>
      <c r="WJJ2344" s="1091"/>
      <c r="WJK2344" s="1091"/>
      <c r="WJL2344" s="1091"/>
      <c r="WJM2344" s="1091"/>
      <c r="WJN2344" s="1091"/>
      <c r="WJO2344" s="1091"/>
      <c r="WJP2344" s="1091"/>
      <c r="WJQ2344" s="1091"/>
      <c r="WJR2344" s="1091"/>
      <c r="WJS2344" s="1091"/>
      <c r="WJT2344" s="1091"/>
      <c r="WJU2344" s="1091"/>
      <c r="WJV2344" s="1091"/>
      <c r="WJW2344" s="1091"/>
      <c r="WJX2344" s="1091"/>
      <c r="WJY2344" s="1091"/>
      <c r="WJZ2344" s="1091"/>
      <c r="WKA2344" s="1091"/>
      <c r="WKB2344" s="1091"/>
      <c r="WKC2344" s="1091"/>
      <c r="WKD2344" s="1091"/>
      <c r="WKE2344" s="1091"/>
      <c r="WKF2344" s="1091"/>
      <c r="WKG2344" s="1091"/>
      <c r="WKH2344" s="1091"/>
      <c r="WKI2344" s="1091"/>
      <c r="WKJ2344" s="1091"/>
      <c r="WKK2344" s="1091"/>
      <c r="WKL2344" s="1091"/>
      <c r="WKM2344" s="1091"/>
      <c r="WKN2344" s="1091"/>
      <c r="WKO2344" s="1091"/>
      <c r="WKP2344" s="1091"/>
      <c r="WKQ2344" s="1091"/>
      <c r="WKR2344" s="1091"/>
      <c r="WKS2344" s="1091"/>
      <c r="WKT2344" s="1091"/>
      <c r="WKU2344" s="1091"/>
      <c r="WKV2344" s="1091"/>
      <c r="WKW2344" s="1091"/>
      <c r="WKX2344" s="1091"/>
      <c r="WKY2344" s="1091"/>
      <c r="WKZ2344" s="1091"/>
      <c r="WLA2344" s="1091"/>
      <c r="WLB2344" s="1091"/>
      <c r="WLC2344" s="1091"/>
      <c r="WLD2344" s="1091"/>
      <c r="WLE2344" s="1091"/>
      <c r="WLF2344" s="1091"/>
      <c r="WLG2344" s="1091"/>
      <c r="WLH2344" s="1091"/>
      <c r="WLI2344" s="1091"/>
      <c r="WLJ2344" s="1091"/>
      <c r="WLK2344" s="1091"/>
      <c r="WLL2344" s="1091"/>
      <c r="WLM2344" s="1091"/>
      <c r="WLN2344" s="1091"/>
      <c r="WLO2344" s="1091"/>
      <c r="WLP2344" s="1091"/>
      <c r="WLQ2344" s="1091"/>
      <c r="WLR2344" s="1091"/>
      <c r="WLS2344" s="1091"/>
      <c r="WLT2344" s="1091"/>
      <c r="WLU2344" s="1091"/>
      <c r="WLV2344" s="1091"/>
      <c r="WLW2344" s="1091"/>
      <c r="WLX2344" s="1091"/>
      <c r="WLY2344" s="1091"/>
      <c r="WLZ2344" s="1091"/>
      <c r="WMA2344" s="1091"/>
      <c r="WMB2344" s="1091"/>
      <c r="WMC2344" s="1091"/>
      <c r="WMD2344" s="1091"/>
      <c r="WME2344" s="1091"/>
      <c r="WMF2344" s="1091"/>
      <c r="WMG2344" s="1091"/>
      <c r="WMH2344" s="1091"/>
      <c r="WMI2344" s="1091"/>
      <c r="WMJ2344" s="1091"/>
      <c r="WMK2344" s="1091"/>
      <c r="WML2344" s="1091"/>
      <c r="WMM2344" s="1091"/>
      <c r="WMN2344" s="1091"/>
      <c r="WMO2344" s="1091"/>
      <c r="WMP2344" s="1091"/>
      <c r="WMQ2344" s="1091"/>
      <c r="WMR2344" s="1091"/>
      <c r="WMS2344" s="1091"/>
      <c r="WMT2344" s="1091"/>
      <c r="WMU2344" s="1091"/>
      <c r="WMV2344" s="1091"/>
      <c r="WMW2344" s="1091"/>
      <c r="WMX2344" s="1091"/>
      <c r="WMY2344" s="1091"/>
      <c r="WMZ2344" s="1091"/>
      <c r="WNA2344" s="1091"/>
      <c r="WNB2344" s="1091"/>
      <c r="WNC2344" s="1091"/>
      <c r="WND2344" s="1091"/>
      <c r="WNE2344" s="1091"/>
      <c r="WNF2344" s="1091"/>
      <c r="WNG2344" s="1091"/>
      <c r="WNH2344" s="1091"/>
      <c r="WNI2344" s="1091"/>
      <c r="WNJ2344" s="1091"/>
      <c r="WNK2344" s="1091"/>
      <c r="WNL2344" s="1091"/>
      <c r="WNM2344" s="1091"/>
      <c r="WNN2344" s="1091"/>
      <c r="WNO2344" s="1091"/>
      <c r="WNP2344" s="1091"/>
      <c r="WNQ2344" s="1091"/>
      <c r="WNR2344" s="1091"/>
      <c r="WNS2344" s="1091"/>
      <c r="WNT2344" s="1091"/>
      <c r="WNU2344" s="1091"/>
      <c r="WNV2344" s="1091"/>
      <c r="WNW2344" s="1091"/>
      <c r="WNX2344" s="1091"/>
      <c r="WNY2344" s="1091"/>
      <c r="WNZ2344" s="1091"/>
      <c r="WOA2344" s="1091"/>
      <c r="WOB2344" s="1091"/>
      <c r="WOC2344" s="1091"/>
      <c r="WOD2344" s="1091"/>
      <c r="WOE2344" s="1091"/>
      <c r="WOF2344" s="1091"/>
      <c r="WOG2344" s="1091"/>
      <c r="WOH2344" s="1091"/>
      <c r="WOI2344" s="1091"/>
      <c r="WOJ2344" s="1091"/>
      <c r="WOK2344" s="1091"/>
      <c r="WOL2344" s="1091"/>
      <c r="WOM2344" s="1091"/>
      <c r="WON2344" s="1091"/>
      <c r="WOO2344" s="1091"/>
      <c r="WOP2344" s="1091"/>
      <c r="WOQ2344" s="1091"/>
      <c r="WOR2344" s="1091"/>
      <c r="WOS2344" s="1091"/>
      <c r="WOT2344" s="1091"/>
      <c r="WOU2344" s="1091"/>
      <c r="WOV2344" s="1091"/>
      <c r="WOW2344" s="1091"/>
      <c r="WOX2344" s="1091"/>
      <c r="WOY2344" s="1091"/>
      <c r="WOZ2344" s="1091"/>
      <c r="WPA2344" s="1091"/>
      <c r="WPB2344" s="1091"/>
      <c r="WPC2344" s="1091"/>
      <c r="WPD2344" s="1091"/>
      <c r="WPE2344" s="1091"/>
      <c r="WPF2344" s="1091"/>
      <c r="WPG2344" s="1091"/>
      <c r="WPH2344" s="1091"/>
      <c r="WPI2344" s="1091"/>
      <c r="WPJ2344" s="1091"/>
      <c r="WPK2344" s="1091"/>
      <c r="WPL2344" s="1091"/>
      <c r="WPM2344" s="1091"/>
      <c r="WPN2344" s="1091"/>
      <c r="WPO2344" s="1091"/>
      <c r="WPP2344" s="1091"/>
      <c r="WPQ2344" s="1091"/>
      <c r="WPR2344" s="1091"/>
      <c r="WPS2344" s="1091"/>
      <c r="WPT2344" s="1091"/>
      <c r="WPU2344" s="1091"/>
      <c r="WPV2344" s="1091"/>
      <c r="WPW2344" s="1091"/>
      <c r="WPX2344" s="1091"/>
      <c r="WPY2344" s="1091"/>
      <c r="WPZ2344" s="1091"/>
      <c r="WQA2344" s="1091"/>
      <c r="WQB2344" s="1091"/>
      <c r="WQC2344" s="1091"/>
      <c r="WQD2344" s="1091"/>
      <c r="WQE2344" s="1091"/>
      <c r="WQF2344" s="1091"/>
      <c r="WQG2344" s="1091"/>
      <c r="WQH2344" s="1091"/>
      <c r="WQI2344" s="1091"/>
      <c r="WQJ2344" s="1091"/>
      <c r="WQK2344" s="1091"/>
      <c r="WQL2344" s="1091"/>
      <c r="WQM2344" s="1091"/>
      <c r="WQN2344" s="1091"/>
      <c r="WQO2344" s="1091"/>
      <c r="WQP2344" s="1091"/>
      <c r="WQQ2344" s="1091"/>
      <c r="WQR2344" s="1091"/>
      <c r="WQS2344" s="1091"/>
      <c r="WQT2344" s="1091"/>
      <c r="WQU2344" s="1091"/>
      <c r="WQV2344" s="1091"/>
      <c r="WQW2344" s="1091"/>
      <c r="WQX2344" s="1091"/>
      <c r="WQY2344" s="1091"/>
      <c r="WQZ2344" s="1091"/>
      <c r="WRA2344" s="1091"/>
      <c r="WRB2344" s="1091"/>
      <c r="WRC2344" s="1091"/>
      <c r="WRD2344" s="1091"/>
      <c r="WRE2344" s="1091"/>
      <c r="WRF2344" s="1091"/>
      <c r="WRG2344" s="1091"/>
      <c r="WRH2344" s="1091"/>
      <c r="WRI2344" s="1091"/>
      <c r="WRJ2344" s="1091"/>
      <c r="WRK2344" s="1091"/>
      <c r="WRL2344" s="1091"/>
      <c r="WRM2344" s="1091"/>
      <c r="WRN2344" s="1091"/>
      <c r="WRO2344" s="1091"/>
      <c r="WRP2344" s="1091"/>
      <c r="WRQ2344" s="1091"/>
      <c r="WRR2344" s="1091"/>
      <c r="WRS2344" s="1091"/>
      <c r="WRT2344" s="1091"/>
      <c r="WRU2344" s="1091"/>
      <c r="WRV2344" s="1091"/>
      <c r="WRW2344" s="1091"/>
      <c r="WRX2344" s="1091"/>
      <c r="WRY2344" s="1091"/>
      <c r="WRZ2344" s="1091"/>
      <c r="WSA2344" s="1091"/>
      <c r="WSB2344" s="1091"/>
      <c r="WSC2344" s="1091"/>
      <c r="WSD2344" s="1091"/>
      <c r="WSE2344" s="1091"/>
      <c r="WSF2344" s="1091"/>
      <c r="WSG2344" s="1091"/>
      <c r="WSH2344" s="1091"/>
      <c r="WSI2344" s="1091"/>
      <c r="WSJ2344" s="1091"/>
      <c r="WSK2344" s="1091"/>
      <c r="WSL2344" s="1091"/>
      <c r="WSM2344" s="1091"/>
      <c r="WSN2344" s="1091"/>
      <c r="WSO2344" s="1091"/>
      <c r="WSP2344" s="1091"/>
      <c r="WSQ2344" s="1091"/>
      <c r="WSR2344" s="1091"/>
      <c r="WSS2344" s="1091"/>
      <c r="WST2344" s="1091"/>
      <c r="WSU2344" s="1091"/>
      <c r="WSV2344" s="1091"/>
      <c r="WSW2344" s="1091"/>
      <c r="WSX2344" s="1091"/>
      <c r="WSY2344" s="1091"/>
      <c r="WSZ2344" s="1091"/>
      <c r="WTA2344" s="1091"/>
      <c r="WTB2344" s="1091"/>
      <c r="WTC2344" s="1091"/>
      <c r="WTD2344" s="1091"/>
      <c r="WTE2344" s="1091"/>
      <c r="WTF2344" s="1091"/>
      <c r="WTG2344" s="1091"/>
      <c r="WTH2344" s="1091"/>
      <c r="WTI2344" s="1091"/>
      <c r="WTJ2344" s="1091"/>
      <c r="WTK2344" s="1091"/>
      <c r="WTL2344" s="1091"/>
      <c r="WTM2344" s="1091"/>
      <c r="WTN2344" s="1091"/>
      <c r="WTO2344" s="1091"/>
      <c r="WTP2344" s="1091"/>
      <c r="WTQ2344" s="1091"/>
      <c r="WTR2344" s="1091"/>
      <c r="WTS2344" s="1091"/>
      <c r="WTT2344" s="1091"/>
      <c r="WTU2344" s="1091"/>
      <c r="WTV2344" s="1091"/>
      <c r="WTW2344" s="1091"/>
      <c r="WTX2344" s="1091"/>
      <c r="WTY2344" s="1091"/>
      <c r="WTZ2344" s="1091"/>
      <c r="WUA2344" s="1091"/>
      <c r="WUB2344" s="1091"/>
      <c r="WUC2344" s="1091"/>
      <c r="WUD2344" s="1091"/>
      <c r="WUE2344" s="1091"/>
      <c r="WUF2344" s="1091"/>
      <c r="WUG2344" s="1091"/>
      <c r="WUH2344" s="1091"/>
      <c r="WUI2344" s="1091"/>
      <c r="WUJ2344" s="1091"/>
      <c r="WUK2344" s="1091"/>
      <c r="WUL2344" s="1091"/>
      <c r="WUM2344" s="1091"/>
      <c r="WUN2344" s="1091"/>
      <c r="WUO2344" s="1091"/>
      <c r="WUP2344" s="1091"/>
      <c r="WUQ2344" s="1091"/>
      <c r="WUR2344" s="1091"/>
      <c r="WUS2344" s="1091"/>
      <c r="WUT2344" s="1091"/>
      <c r="WUU2344" s="1091"/>
      <c r="WUV2344" s="1091"/>
      <c r="WUW2344" s="1091"/>
      <c r="WUX2344" s="1091"/>
      <c r="WUY2344" s="1091"/>
      <c r="WUZ2344" s="1091"/>
      <c r="WVA2344" s="1091"/>
      <c r="WVB2344" s="1091"/>
      <c r="WVC2344" s="1091"/>
      <c r="WVD2344" s="1091"/>
      <c r="WVE2344" s="1091"/>
      <c r="WVF2344" s="1091"/>
      <c r="WVG2344" s="1091"/>
      <c r="WVH2344" s="1091"/>
      <c r="WVI2344" s="1091"/>
      <c r="WVJ2344" s="1091"/>
      <c r="WVK2344" s="1091"/>
      <c r="WVL2344" s="1091"/>
      <c r="WVM2344" s="1091"/>
      <c r="WVN2344" s="1091"/>
      <c r="WVO2344" s="1091"/>
      <c r="WVP2344" s="1091"/>
      <c r="WVQ2344" s="1091"/>
      <c r="WVR2344" s="1091"/>
      <c r="WVS2344" s="1091"/>
      <c r="WVT2344" s="1091"/>
      <c r="WVU2344" s="1091"/>
      <c r="WVV2344" s="1091"/>
      <c r="WVW2344" s="1091"/>
      <c r="WVX2344" s="1091"/>
      <c r="WVY2344" s="1091"/>
      <c r="WVZ2344" s="1091"/>
      <c r="WWA2344" s="1091"/>
      <c r="WWB2344" s="1091"/>
      <c r="WWC2344" s="1091"/>
      <c r="WWD2344" s="1091"/>
      <c r="WWE2344" s="1091"/>
      <c r="WWF2344" s="1091"/>
      <c r="WWG2344" s="1091"/>
      <c r="WWH2344" s="1091"/>
      <c r="WWI2344" s="1091"/>
      <c r="WWJ2344" s="1091"/>
      <c r="WWK2344" s="1091"/>
      <c r="WWL2344" s="1091"/>
      <c r="WWM2344" s="1091"/>
      <c r="WWN2344" s="1091"/>
      <c r="WWO2344" s="1091"/>
      <c r="WWP2344" s="1091"/>
      <c r="WWQ2344" s="1091"/>
      <c r="WWR2344" s="1091"/>
      <c r="WWS2344" s="1091"/>
      <c r="WWT2344" s="1091"/>
      <c r="WWU2344" s="1091"/>
      <c r="WWV2344" s="1091"/>
      <c r="WWW2344" s="1091"/>
      <c r="WWX2344" s="1091"/>
      <c r="WWY2344" s="1091"/>
      <c r="WWZ2344" s="1091"/>
      <c r="WXA2344" s="1091"/>
      <c r="WXB2344" s="1091"/>
      <c r="WXC2344" s="1091"/>
      <c r="WXD2344" s="1091"/>
      <c r="WXE2344" s="1091"/>
      <c r="WXF2344" s="1091"/>
      <c r="WXG2344" s="1091"/>
      <c r="WXH2344" s="1091"/>
      <c r="WXI2344" s="1091"/>
      <c r="WXJ2344" s="1091"/>
      <c r="WXK2344" s="1091"/>
      <c r="WXL2344" s="1091"/>
      <c r="WXM2344" s="1091"/>
      <c r="WXN2344" s="1091"/>
      <c r="WXO2344" s="1091"/>
      <c r="WXP2344" s="1091"/>
      <c r="WXQ2344" s="1091"/>
      <c r="WXR2344" s="1091"/>
      <c r="WXS2344" s="1091"/>
      <c r="WXT2344" s="1091"/>
      <c r="WXU2344" s="1091"/>
      <c r="WXV2344" s="1091"/>
      <c r="WXW2344" s="1091"/>
      <c r="WXX2344" s="1091"/>
      <c r="WXY2344" s="1091"/>
      <c r="WXZ2344" s="1091"/>
      <c r="WYA2344" s="1091"/>
      <c r="WYB2344" s="1091"/>
      <c r="WYC2344" s="1091"/>
      <c r="WYD2344" s="1091"/>
      <c r="WYE2344" s="1091"/>
      <c r="WYF2344" s="1091"/>
      <c r="WYG2344" s="1091"/>
      <c r="WYH2344" s="1091"/>
      <c r="WYI2344" s="1091"/>
      <c r="WYJ2344" s="1091"/>
      <c r="WYK2344" s="1091"/>
      <c r="WYL2344" s="1091"/>
      <c r="WYM2344" s="1091"/>
      <c r="WYN2344" s="1091"/>
      <c r="WYO2344" s="1091"/>
      <c r="WYP2344" s="1091"/>
      <c r="WYQ2344" s="1091"/>
      <c r="WYR2344" s="1091"/>
      <c r="WYS2344" s="1091"/>
      <c r="WYT2344" s="1091"/>
      <c r="WYU2344" s="1091"/>
      <c r="WYV2344" s="1091"/>
      <c r="WYW2344" s="1091"/>
      <c r="WYX2344" s="1091"/>
      <c r="WYY2344" s="1091"/>
      <c r="WYZ2344" s="1091"/>
      <c r="WZA2344" s="1091"/>
      <c r="WZB2344" s="1091"/>
      <c r="WZC2344" s="1091"/>
      <c r="WZD2344" s="1091"/>
      <c r="WZE2344" s="1091"/>
      <c r="WZF2344" s="1091"/>
      <c r="WZG2344" s="1091"/>
      <c r="WZH2344" s="1091"/>
      <c r="WZI2344" s="1091"/>
      <c r="WZJ2344" s="1091"/>
      <c r="WZK2344" s="1091"/>
      <c r="WZL2344" s="1091"/>
      <c r="WZM2344" s="1091"/>
      <c r="WZN2344" s="1091"/>
      <c r="WZO2344" s="1091"/>
      <c r="WZP2344" s="1091"/>
      <c r="WZQ2344" s="1091"/>
      <c r="WZR2344" s="1091"/>
      <c r="WZS2344" s="1091"/>
      <c r="WZT2344" s="1091"/>
      <c r="WZU2344" s="1091"/>
      <c r="WZV2344" s="1091"/>
      <c r="WZW2344" s="1091"/>
      <c r="WZX2344" s="1091"/>
      <c r="WZY2344" s="1091"/>
      <c r="WZZ2344" s="1091"/>
      <c r="XAA2344" s="1091"/>
      <c r="XAB2344" s="1091"/>
      <c r="XAC2344" s="1091"/>
      <c r="XAD2344" s="1091"/>
      <c r="XAE2344" s="1091"/>
      <c r="XAF2344" s="1091"/>
      <c r="XAG2344" s="1091"/>
      <c r="XAH2344" s="1091"/>
      <c r="XAI2344" s="1091"/>
      <c r="XAJ2344" s="1091"/>
      <c r="XAK2344" s="1091"/>
      <c r="XAL2344" s="1091"/>
      <c r="XAM2344" s="1091"/>
      <c r="XAN2344" s="1091"/>
      <c r="XAO2344" s="1091"/>
      <c r="XAP2344" s="1091"/>
      <c r="XAQ2344" s="1091"/>
      <c r="XAR2344" s="1091"/>
      <c r="XAS2344" s="1091"/>
      <c r="XAT2344" s="1091"/>
      <c r="XAU2344" s="1091"/>
      <c r="XAV2344" s="1091"/>
      <c r="XAW2344" s="1091"/>
      <c r="XAX2344" s="1091"/>
      <c r="XAY2344" s="1091"/>
      <c r="XAZ2344" s="1091"/>
      <c r="XBA2344" s="1091"/>
      <c r="XBB2344" s="1091"/>
      <c r="XBC2344" s="1091"/>
      <c r="XBD2344" s="1091"/>
      <c r="XBE2344" s="1091"/>
      <c r="XBF2344" s="1091"/>
      <c r="XBG2344" s="1091"/>
      <c r="XBH2344" s="1091"/>
      <c r="XBI2344" s="1091"/>
      <c r="XBJ2344" s="1091"/>
      <c r="XBK2344" s="1091"/>
      <c r="XBL2344" s="1091"/>
      <c r="XBM2344" s="1091"/>
      <c r="XBN2344" s="1091"/>
      <c r="XBO2344" s="1091"/>
      <c r="XBP2344" s="1091"/>
      <c r="XBQ2344" s="1091"/>
      <c r="XBR2344" s="1091"/>
      <c r="XBS2344" s="1091"/>
      <c r="XBT2344" s="1091"/>
      <c r="XBU2344" s="1091"/>
      <c r="XBV2344" s="1091"/>
      <c r="XBW2344" s="1091"/>
      <c r="XBX2344" s="1091"/>
      <c r="XBY2344" s="1091"/>
      <c r="XBZ2344" s="1091"/>
      <c r="XCA2344" s="1091"/>
      <c r="XCB2344" s="1091"/>
      <c r="XCC2344" s="1091"/>
      <c r="XCD2344" s="1091"/>
      <c r="XCE2344" s="1091"/>
      <c r="XCF2344" s="1091"/>
      <c r="XCG2344" s="1091"/>
      <c r="XCH2344" s="1091"/>
      <c r="XCI2344" s="1091"/>
      <c r="XCJ2344" s="1091"/>
      <c r="XCK2344" s="1091"/>
      <c r="XCL2344" s="1091"/>
      <c r="XCM2344" s="1091"/>
      <c r="XCN2344" s="1091"/>
      <c r="XCO2344" s="1091"/>
      <c r="XCP2344" s="1091"/>
      <c r="XCQ2344" s="1091"/>
      <c r="XCR2344" s="1091"/>
      <c r="XCS2344" s="1091"/>
      <c r="XCT2344" s="1091"/>
      <c r="XCU2344" s="1091"/>
      <c r="XCV2344" s="1091"/>
      <c r="XCW2344" s="1091"/>
      <c r="XCX2344" s="1091"/>
      <c r="XCY2344" s="1091"/>
      <c r="XCZ2344" s="1091"/>
      <c r="XDA2344" s="1091"/>
      <c r="XDB2344" s="1091"/>
      <c r="XDC2344" s="1091"/>
      <c r="XDD2344" s="1091"/>
      <c r="XDE2344" s="1091"/>
      <c r="XDF2344" s="1091"/>
      <c r="XDG2344" s="1091"/>
      <c r="XDH2344" s="1091"/>
      <c r="XDI2344" s="1091"/>
      <c r="XDJ2344" s="1091"/>
      <c r="XDK2344" s="1091"/>
      <c r="XDL2344" s="1091"/>
      <c r="XDM2344" s="1091"/>
      <c r="XDN2344" s="1091"/>
      <c r="XDO2344" s="1091"/>
      <c r="XDP2344" s="1091"/>
      <c r="XDQ2344" s="1091"/>
      <c r="XDR2344" s="1091"/>
      <c r="XDS2344" s="1091"/>
      <c r="XDT2344" s="1091"/>
      <c r="XDU2344" s="1091"/>
      <c r="XDV2344" s="1091"/>
      <c r="XDW2344" s="1091"/>
      <c r="XDX2344" s="1091"/>
      <c r="XDY2344" s="1091"/>
      <c r="XDZ2344" s="1091"/>
      <c r="XEA2344" s="1091"/>
      <c r="XEB2344" s="1091"/>
      <c r="XEC2344" s="1091"/>
      <c r="XED2344" s="1091"/>
      <c r="XEE2344" s="1091"/>
      <c r="XEF2344" s="1091"/>
      <c r="XEG2344" s="1091"/>
      <c r="XEH2344" s="1091"/>
      <c r="XEI2344" s="1091"/>
      <c r="XEJ2344" s="1091"/>
      <c r="XEK2344" s="1091"/>
      <c r="XEL2344" s="1091"/>
      <c r="XEM2344" s="1091"/>
      <c r="XEN2344" s="1091"/>
      <c r="XEO2344" s="1091"/>
      <c r="XEP2344" s="1091"/>
      <c r="XEQ2344" s="1091"/>
      <c r="XER2344" s="1091"/>
      <c r="XES2344" s="1091"/>
      <c r="XET2344" s="1091"/>
      <c r="XEU2344" s="1091"/>
      <c r="XEV2344" s="1091"/>
      <c r="XEW2344" s="1091"/>
      <c r="XEX2344" s="1091"/>
      <c r="XEY2344" s="1091"/>
      <c r="XEZ2344" s="1091"/>
      <c r="XFA2344" s="1091"/>
      <c r="XFB2344" s="1091"/>
      <c r="XFC2344" s="1091"/>
      <c r="XFD2344" s="1091"/>
    </row>
  </sheetData>
  <pageMargins left="0.7" right="0.7" top="0.75" bottom="0.75" header="0.3" footer="0.3"/>
  <pageSetup orientation="portrait" r:id="rId1"/>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A1:D2340"/>
  <sheetViews>
    <sheetView topLeftCell="A876" workbookViewId="0"/>
  </sheetViews>
  <sheetFormatPr defaultRowHeight="15" x14ac:dyDescent="0.25"/>
  <cols>
    <col min="1" max="1" width="12.140625" style="939" bestFit="1" customWidth="1"/>
    <col min="2" max="2" width="55.5703125" style="939" bestFit="1" customWidth="1"/>
    <col min="3" max="3" width="27" style="944" bestFit="1" customWidth="1"/>
    <col min="4" max="4" width="9.140625" style="939"/>
    <col min="5" max="16384" width="9.140625" style="940"/>
  </cols>
  <sheetData>
    <row r="1" spans="1:4" x14ac:dyDescent="0.25">
      <c r="A1" s="937" t="s">
        <v>3872</v>
      </c>
      <c r="B1" s="937" t="s">
        <v>3873</v>
      </c>
      <c r="C1" s="938" t="s">
        <v>3874</v>
      </c>
      <c r="D1" s="939" t="s">
        <v>3875</v>
      </c>
    </row>
    <row r="2" spans="1:4" x14ac:dyDescent="0.25">
      <c r="A2" s="941" t="s">
        <v>487</v>
      </c>
      <c r="B2" s="942" t="s">
        <v>2121</v>
      </c>
      <c r="C2" s="943">
        <v>0</v>
      </c>
    </row>
    <row r="3" spans="1:4" x14ac:dyDescent="0.25">
      <c r="A3" s="939">
        <v>70505</v>
      </c>
      <c r="B3" s="939" t="s">
        <v>2575</v>
      </c>
      <c r="C3" s="944">
        <v>195765.21</v>
      </c>
    </row>
    <row r="4" spans="1:4" x14ac:dyDescent="0.25">
      <c r="A4" s="939">
        <v>71786</v>
      </c>
      <c r="B4" s="939" t="s">
        <v>2576</v>
      </c>
      <c r="C4" s="944">
        <v>7060.1</v>
      </c>
    </row>
    <row r="5" spans="1:4" x14ac:dyDescent="0.25">
      <c r="A5" s="939">
        <v>72265</v>
      </c>
      <c r="B5" s="939" t="s">
        <v>2577</v>
      </c>
      <c r="C5" s="944">
        <v>61817.37</v>
      </c>
    </row>
    <row r="6" spans="1:4" x14ac:dyDescent="0.25">
      <c r="A6" s="939">
        <v>72593</v>
      </c>
      <c r="B6" s="939" t="s">
        <v>3578</v>
      </c>
      <c r="C6" s="944">
        <v>1530.78</v>
      </c>
    </row>
    <row r="7" spans="1:4" x14ac:dyDescent="0.25">
      <c r="A7" s="939">
        <v>72657</v>
      </c>
      <c r="B7" s="939" t="s">
        <v>2578</v>
      </c>
      <c r="C7" s="944">
        <v>16620.14</v>
      </c>
    </row>
    <row r="8" spans="1:4" x14ac:dyDescent="0.25">
      <c r="A8" s="939">
        <v>90001</v>
      </c>
      <c r="B8" s="939" t="s">
        <v>2579</v>
      </c>
      <c r="C8" s="944">
        <v>386652.24</v>
      </c>
    </row>
    <row r="9" spans="1:4" x14ac:dyDescent="0.25">
      <c r="A9" s="939">
        <v>90002</v>
      </c>
      <c r="B9" s="939" t="s">
        <v>2580</v>
      </c>
      <c r="C9" s="944">
        <v>6252.52</v>
      </c>
    </row>
    <row r="10" spans="1:4" x14ac:dyDescent="0.25">
      <c r="A10" s="939">
        <v>90011</v>
      </c>
      <c r="B10" s="939" t="s">
        <v>2581</v>
      </c>
      <c r="C10" s="944">
        <v>84204.77</v>
      </c>
    </row>
    <row r="11" spans="1:4" x14ac:dyDescent="0.25">
      <c r="A11" s="939">
        <v>90092</v>
      </c>
      <c r="B11" s="939" t="s">
        <v>2582</v>
      </c>
      <c r="C11" s="944">
        <v>186641.43</v>
      </c>
    </row>
    <row r="12" spans="1:4" x14ac:dyDescent="0.25">
      <c r="A12" s="939">
        <v>90096</v>
      </c>
      <c r="B12" s="939" t="s">
        <v>2583</v>
      </c>
      <c r="C12" s="944">
        <v>535126.6</v>
      </c>
    </row>
    <row r="13" spans="1:4" x14ac:dyDescent="0.25">
      <c r="A13" s="939">
        <v>90098</v>
      </c>
      <c r="B13" s="939" t="s">
        <v>2584</v>
      </c>
      <c r="C13" s="944">
        <v>140183.54999999999</v>
      </c>
    </row>
    <row r="14" spans="1:4" x14ac:dyDescent="0.25">
      <c r="A14" s="939">
        <v>90099</v>
      </c>
      <c r="B14" s="939" t="s">
        <v>2585</v>
      </c>
      <c r="C14" s="944">
        <v>271208.03000000003</v>
      </c>
    </row>
    <row r="15" spans="1:4" x14ac:dyDescent="0.25">
      <c r="A15" s="939">
        <v>90101</v>
      </c>
      <c r="B15" s="939" t="s">
        <v>2586</v>
      </c>
      <c r="C15" s="944">
        <v>2960721.15</v>
      </c>
    </row>
    <row r="16" spans="1:4" x14ac:dyDescent="0.25">
      <c r="A16" s="939">
        <v>90111</v>
      </c>
      <c r="B16" s="939" t="s">
        <v>2587</v>
      </c>
      <c r="C16" s="944">
        <v>2229765.8199999998</v>
      </c>
    </row>
    <row r="17" spans="1:3" x14ac:dyDescent="0.25">
      <c r="A17" s="939">
        <v>90114</v>
      </c>
      <c r="B17" s="939" t="s">
        <v>2588</v>
      </c>
      <c r="C17" s="944">
        <v>1108463.6299999999</v>
      </c>
    </row>
    <row r="18" spans="1:3" x14ac:dyDescent="0.25">
      <c r="A18" s="939">
        <v>90117</v>
      </c>
      <c r="B18" s="939" t="s">
        <v>2589</v>
      </c>
      <c r="C18" s="944">
        <v>80146.720000000001</v>
      </c>
    </row>
    <row r="19" spans="1:3" x14ac:dyDescent="0.25">
      <c r="A19" s="939">
        <v>90121</v>
      </c>
      <c r="B19" s="939" t="s">
        <v>2590</v>
      </c>
      <c r="C19" s="944">
        <v>452142.02</v>
      </c>
    </row>
    <row r="20" spans="1:3" x14ac:dyDescent="0.25">
      <c r="A20" s="939">
        <v>90131</v>
      </c>
      <c r="B20" s="939" t="s">
        <v>2591</v>
      </c>
      <c r="C20" s="944">
        <v>207243.4</v>
      </c>
    </row>
    <row r="21" spans="1:3" x14ac:dyDescent="0.25">
      <c r="A21" s="939">
        <v>90141</v>
      </c>
      <c r="B21" s="939" t="s">
        <v>2592</v>
      </c>
      <c r="C21" s="944">
        <v>62654.99</v>
      </c>
    </row>
    <row r="22" spans="1:3" x14ac:dyDescent="0.25">
      <c r="A22" s="939">
        <v>90151</v>
      </c>
      <c r="B22" s="939" t="s">
        <v>2593</v>
      </c>
      <c r="C22" s="944">
        <v>3085.32</v>
      </c>
    </row>
    <row r="23" spans="1:3" x14ac:dyDescent="0.25">
      <c r="A23" s="939">
        <v>90161</v>
      </c>
      <c r="B23" s="939" t="s">
        <v>2594</v>
      </c>
      <c r="C23" s="944">
        <v>15626.57</v>
      </c>
    </row>
    <row r="24" spans="1:3" x14ac:dyDescent="0.25">
      <c r="A24" s="939">
        <v>90201</v>
      </c>
      <c r="B24" s="939" t="s">
        <v>2595</v>
      </c>
      <c r="C24" s="944">
        <v>536124.22</v>
      </c>
    </row>
    <row r="25" spans="1:3" x14ac:dyDescent="0.25">
      <c r="A25" s="939">
        <v>90203</v>
      </c>
      <c r="B25" s="939" t="s">
        <v>2596</v>
      </c>
      <c r="C25" s="944">
        <v>91056.15</v>
      </c>
    </row>
    <row r="26" spans="1:3" x14ac:dyDescent="0.25">
      <c r="A26" s="939">
        <v>90205</v>
      </c>
      <c r="B26" s="939" t="s">
        <v>2597</v>
      </c>
      <c r="C26" s="944">
        <v>14232.99</v>
      </c>
    </row>
    <row r="27" spans="1:3" x14ac:dyDescent="0.25">
      <c r="A27" s="939">
        <v>90206</v>
      </c>
      <c r="B27" s="939" t="s">
        <v>2598</v>
      </c>
      <c r="C27" s="944">
        <v>184249.22</v>
      </c>
    </row>
    <row r="28" spans="1:3" x14ac:dyDescent="0.25">
      <c r="A28" s="939">
        <v>90211</v>
      </c>
      <c r="B28" s="939" t="s">
        <v>2599</v>
      </c>
      <c r="C28" s="944">
        <v>71260.37</v>
      </c>
    </row>
    <row r="29" spans="1:3" x14ac:dyDescent="0.25">
      <c r="A29" s="939">
        <v>90301</v>
      </c>
      <c r="B29" s="939" t="s">
        <v>2600</v>
      </c>
      <c r="C29" s="944">
        <v>280575.03000000003</v>
      </c>
    </row>
    <row r="30" spans="1:3" x14ac:dyDescent="0.25">
      <c r="A30" s="939">
        <v>90305</v>
      </c>
      <c r="B30" s="939" t="s">
        <v>2601</v>
      </c>
      <c r="C30" s="944">
        <v>85892.08</v>
      </c>
    </row>
    <row r="31" spans="1:3" x14ac:dyDescent="0.25">
      <c r="A31" s="939">
        <v>90307</v>
      </c>
      <c r="B31" s="939" t="s">
        <v>2602</v>
      </c>
      <c r="C31" s="944">
        <v>4130.32</v>
      </c>
    </row>
    <row r="32" spans="1:3" x14ac:dyDescent="0.25">
      <c r="A32" s="939">
        <v>90401</v>
      </c>
      <c r="B32" s="939" t="s">
        <v>2603</v>
      </c>
      <c r="C32" s="944">
        <v>624954.77</v>
      </c>
    </row>
    <row r="33" spans="1:3" x14ac:dyDescent="0.25">
      <c r="A33" s="939">
        <v>90411</v>
      </c>
      <c r="B33" s="939" t="s">
        <v>2604</v>
      </c>
      <c r="C33" s="944">
        <v>152316.79999999999</v>
      </c>
    </row>
    <row r="34" spans="1:3" x14ac:dyDescent="0.25">
      <c r="A34" s="939">
        <v>90413</v>
      </c>
      <c r="B34" s="939" t="s">
        <v>2605</v>
      </c>
      <c r="C34" s="944">
        <v>17002.28</v>
      </c>
    </row>
    <row r="35" spans="1:3" x14ac:dyDescent="0.25">
      <c r="A35" s="939">
        <v>90417</v>
      </c>
      <c r="B35" s="939" t="s">
        <v>2606</v>
      </c>
      <c r="C35" s="944">
        <v>8372.39</v>
      </c>
    </row>
    <row r="36" spans="1:3" x14ac:dyDescent="0.25">
      <c r="A36" s="939">
        <v>90421</v>
      </c>
      <c r="B36" s="939" t="s">
        <v>2607</v>
      </c>
      <c r="C36" s="944">
        <v>8533.8700000000008</v>
      </c>
    </row>
    <row r="37" spans="1:3" x14ac:dyDescent="0.25">
      <c r="A37" s="939">
        <v>90431</v>
      </c>
      <c r="B37" s="939" t="s">
        <v>2608</v>
      </c>
      <c r="C37" s="944">
        <v>21843.88</v>
      </c>
    </row>
    <row r="38" spans="1:3" x14ac:dyDescent="0.25">
      <c r="A38" s="939">
        <v>90441</v>
      </c>
      <c r="B38" s="939" t="s">
        <v>2609</v>
      </c>
      <c r="C38" s="944">
        <v>4909.99</v>
      </c>
    </row>
    <row r="39" spans="1:3" x14ac:dyDescent="0.25">
      <c r="A39" s="939">
        <v>90451</v>
      </c>
      <c r="B39" s="939" t="s">
        <v>2610</v>
      </c>
      <c r="C39" s="944">
        <v>7776.44</v>
      </c>
    </row>
    <row r="40" spans="1:3" x14ac:dyDescent="0.25">
      <c r="A40" s="939">
        <v>90461</v>
      </c>
      <c r="B40" s="939" t="s">
        <v>2611</v>
      </c>
      <c r="C40" s="944">
        <v>3690.65</v>
      </c>
    </row>
    <row r="41" spans="1:3" x14ac:dyDescent="0.25">
      <c r="A41" s="939">
        <v>90501</v>
      </c>
      <c r="B41" s="939" t="s">
        <v>2612</v>
      </c>
      <c r="C41" s="944">
        <v>670210.42000000004</v>
      </c>
    </row>
    <row r="42" spans="1:3" x14ac:dyDescent="0.25">
      <c r="A42" s="939">
        <v>90507</v>
      </c>
      <c r="B42" s="939" t="s">
        <v>1207</v>
      </c>
      <c r="C42" s="944">
        <v>10407.64</v>
      </c>
    </row>
    <row r="43" spans="1:3" x14ac:dyDescent="0.25">
      <c r="A43" s="939">
        <v>90511</v>
      </c>
      <c r="B43" s="939" t="s">
        <v>2613</v>
      </c>
      <c r="C43" s="944">
        <v>52403.39</v>
      </c>
    </row>
    <row r="44" spans="1:3" x14ac:dyDescent="0.25">
      <c r="A44" s="939">
        <v>90521</v>
      </c>
      <c r="B44" s="939" t="s">
        <v>2614</v>
      </c>
      <c r="C44" s="944">
        <v>56198.41</v>
      </c>
    </row>
    <row r="45" spans="1:3" x14ac:dyDescent="0.25">
      <c r="A45" s="939">
        <v>90601</v>
      </c>
      <c r="B45" s="939" t="s">
        <v>2615</v>
      </c>
      <c r="C45" s="944">
        <v>540984.88</v>
      </c>
    </row>
    <row r="46" spans="1:3" x14ac:dyDescent="0.25">
      <c r="A46" s="939">
        <v>90602</v>
      </c>
      <c r="B46" s="939" t="s">
        <v>2122</v>
      </c>
      <c r="C46" s="944">
        <v>34827.93</v>
      </c>
    </row>
    <row r="47" spans="1:3" x14ac:dyDescent="0.25">
      <c r="A47" s="939">
        <v>90605</v>
      </c>
      <c r="B47" s="939" t="s">
        <v>2616</v>
      </c>
      <c r="C47" s="944">
        <v>25460.9</v>
      </c>
    </row>
    <row r="48" spans="1:3" x14ac:dyDescent="0.25">
      <c r="A48" s="939">
        <v>90611</v>
      </c>
      <c r="B48" s="939" t="s">
        <v>2617</v>
      </c>
      <c r="C48" s="944">
        <v>64370.78</v>
      </c>
    </row>
    <row r="49" spans="1:3" x14ac:dyDescent="0.25">
      <c r="A49" s="939">
        <v>90617</v>
      </c>
      <c r="B49" s="939" t="s">
        <v>2618</v>
      </c>
      <c r="C49" s="944">
        <v>15820.72</v>
      </c>
    </row>
    <row r="50" spans="1:3" x14ac:dyDescent="0.25">
      <c r="A50" s="939">
        <v>90621</v>
      </c>
      <c r="B50" s="939" t="s">
        <v>2619</v>
      </c>
      <c r="C50" s="944">
        <v>27531.68</v>
      </c>
    </row>
    <row r="51" spans="1:3" x14ac:dyDescent="0.25">
      <c r="A51" s="939">
        <v>90631</v>
      </c>
      <c r="B51" s="939" t="s">
        <v>2620</v>
      </c>
      <c r="C51" s="944">
        <v>175401.59</v>
      </c>
    </row>
    <row r="52" spans="1:3" x14ac:dyDescent="0.25">
      <c r="A52" s="939">
        <v>90641</v>
      </c>
      <c r="B52" s="939" t="s">
        <v>2621</v>
      </c>
      <c r="C52" s="944">
        <v>6943.9</v>
      </c>
    </row>
    <row r="53" spans="1:3" x14ac:dyDescent="0.25">
      <c r="A53" s="939">
        <v>90651</v>
      </c>
      <c r="B53" s="939" t="s">
        <v>2622</v>
      </c>
      <c r="C53" s="944">
        <v>98054.44</v>
      </c>
    </row>
    <row r="54" spans="1:3" x14ac:dyDescent="0.25">
      <c r="A54" s="939">
        <v>90701</v>
      </c>
      <c r="B54" s="939" t="s">
        <v>3579</v>
      </c>
      <c r="C54" s="944">
        <v>1110621.1499999999</v>
      </c>
    </row>
    <row r="55" spans="1:3" x14ac:dyDescent="0.25">
      <c r="A55" s="939">
        <v>90704</v>
      </c>
      <c r="B55" s="939" t="s">
        <v>2624</v>
      </c>
      <c r="C55" s="944">
        <v>23859.119999999999</v>
      </c>
    </row>
    <row r="56" spans="1:3" x14ac:dyDescent="0.25">
      <c r="A56" s="939">
        <v>90705</v>
      </c>
      <c r="B56" s="939" t="s">
        <v>2625</v>
      </c>
      <c r="C56" s="944">
        <v>23099.5</v>
      </c>
    </row>
    <row r="57" spans="1:3" x14ac:dyDescent="0.25">
      <c r="A57" s="939">
        <v>90709</v>
      </c>
      <c r="B57" s="939" t="s">
        <v>2626</v>
      </c>
      <c r="C57" s="944">
        <v>61709.8</v>
      </c>
    </row>
    <row r="58" spans="1:3" x14ac:dyDescent="0.25">
      <c r="A58" s="939">
        <v>90711</v>
      </c>
      <c r="B58" s="939" t="s">
        <v>2627</v>
      </c>
      <c r="C58" s="944">
        <v>774256.15</v>
      </c>
    </row>
    <row r="59" spans="1:3" x14ac:dyDescent="0.25">
      <c r="A59" s="939">
        <v>90721</v>
      </c>
      <c r="B59" s="939" t="s">
        <v>2628</v>
      </c>
      <c r="C59" s="944">
        <v>15288.73</v>
      </c>
    </row>
    <row r="60" spans="1:3" x14ac:dyDescent="0.25">
      <c r="A60" s="939">
        <v>90731</v>
      </c>
      <c r="B60" s="939" t="s">
        <v>2629</v>
      </c>
      <c r="C60" s="944">
        <v>79539.97</v>
      </c>
    </row>
    <row r="61" spans="1:3" x14ac:dyDescent="0.25">
      <c r="A61" s="939">
        <v>90741</v>
      </c>
      <c r="B61" s="939" t="s">
        <v>2630</v>
      </c>
      <c r="C61" s="944">
        <v>6432.99</v>
      </c>
    </row>
    <row r="62" spans="1:3" x14ac:dyDescent="0.25">
      <c r="A62" s="939">
        <v>90751</v>
      </c>
      <c r="B62" s="939" t="s">
        <v>2631</v>
      </c>
      <c r="C62" s="944">
        <v>27590.68</v>
      </c>
    </row>
    <row r="63" spans="1:3" x14ac:dyDescent="0.25">
      <c r="A63" s="939">
        <v>90801</v>
      </c>
      <c r="B63" s="939" t="s">
        <v>2632</v>
      </c>
      <c r="C63" s="944">
        <v>521155.69</v>
      </c>
    </row>
    <row r="64" spans="1:3" x14ac:dyDescent="0.25">
      <c r="A64" s="939">
        <v>90804</v>
      </c>
      <c r="B64" s="939" t="s">
        <v>2633</v>
      </c>
      <c r="C64" s="944">
        <v>2751.12</v>
      </c>
    </row>
    <row r="65" spans="1:3" x14ac:dyDescent="0.25">
      <c r="A65" s="939">
        <v>90805</v>
      </c>
      <c r="B65" s="939" t="s">
        <v>2634</v>
      </c>
      <c r="C65" s="944">
        <v>35600.44</v>
      </c>
    </row>
    <row r="66" spans="1:3" x14ac:dyDescent="0.25">
      <c r="A66" s="939">
        <v>90808</v>
      </c>
      <c r="B66" s="939" t="s">
        <v>2635</v>
      </c>
      <c r="C66" s="944">
        <v>56029.3</v>
      </c>
    </row>
    <row r="67" spans="1:3" x14ac:dyDescent="0.25">
      <c r="A67" s="939">
        <v>90811</v>
      </c>
      <c r="B67" s="939" t="s">
        <v>2636</v>
      </c>
      <c r="C67" s="944">
        <v>11655.32</v>
      </c>
    </row>
    <row r="68" spans="1:3" x14ac:dyDescent="0.25">
      <c r="A68" s="939">
        <v>90812</v>
      </c>
      <c r="B68" s="939" t="s">
        <v>2637</v>
      </c>
      <c r="C68" s="944">
        <v>105039.99</v>
      </c>
    </row>
    <row r="69" spans="1:3" x14ac:dyDescent="0.25">
      <c r="A69" s="939">
        <v>90813</v>
      </c>
      <c r="B69" s="939" t="s">
        <v>2638</v>
      </c>
      <c r="C69" s="944">
        <v>2060.62</v>
      </c>
    </row>
    <row r="70" spans="1:3" x14ac:dyDescent="0.25">
      <c r="A70" s="939">
        <v>90861</v>
      </c>
      <c r="B70" s="939" t="s">
        <v>2639</v>
      </c>
      <c r="C70" s="944">
        <v>3702.72</v>
      </c>
    </row>
    <row r="71" spans="1:3" x14ac:dyDescent="0.25">
      <c r="A71" s="939">
        <v>90901</v>
      </c>
      <c r="B71" s="939" t="s">
        <v>2640</v>
      </c>
      <c r="C71" s="944">
        <v>980897.39</v>
      </c>
    </row>
    <row r="72" spans="1:3" x14ac:dyDescent="0.25">
      <c r="A72" s="939">
        <v>90911</v>
      </c>
      <c r="B72" s="939" t="s">
        <v>2641</v>
      </c>
      <c r="C72" s="944">
        <v>159535.14000000001</v>
      </c>
    </row>
    <row r="73" spans="1:3" x14ac:dyDescent="0.25">
      <c r="A73" s="939">
        <v>90917</v>
      </c>
      <c r="B73" s="939" t="s">
        <v>2642</v>
      </c>
      <c r="C73" s="944">
        <v>5783.6</v>
      </c>
    </row>
    <row r="74" spans="1:3" x14ac:dyDescent="0.25">
      <c r="A74" s="939">
        <v>90918</v>
      </c>
      <c r="B74" s="939" t="s">
        <v>2643</v>
      </c>
      <c r="C74" s="944">
        <v>4772.93</v>
      </c>
    </row>
    <row r="75" spans="1:3" x14ac:dyDescent="0.25">
      <c r="A75" s="939">
        <v>90921</v>
      </c>
      <c r="B75" s="939" t="s">
        <v>2644</v>
      </c>
      <c r="C75" s="944">
        <v>59485.69</v>
      </c>
    </row>
    <row r="76" spans="1:3" x14ac:dyDescent="0.25">
      <c r="A76" s="939">
        <v>90931</v>
      </c>
      <c r="B76" s="939" t="s">
        <v>2645</v>
      </c>
      <c r="C76" s="944">
        <v>16167.95</v>
      </c>
    </row>
    <row r="77" spans="1:3" x14ac:dyDescent="0.25">
      <c r="A77" s="939">
        <v>90941</v>
      </c>
      <c r="B77" s="939" t="s">
        <v>2646</v>
      </c>
      <c r="C77" s="944">
        <v>35454.620000000003</v>
      </c>
    </row>
    <row r="78" spans="1:3" x14ac:dyDescent="0.25">
      <c r="A78" s="939">
        <v>91001</v>
      </c>
      <c r="B78" s="939" t="s">
        <v>2647</v>
      </c>
      <c r="C78" s="944">
        <v>2867177.59</v>
      </c>
    </row>
    <row r="79" spans="1:3" x14ac:dyDescent="0.25">
      <c r="A79" s="939">
        <v>91002</v>
      </c>
      <c r="B79" s="939" t="s">
        <v>2648</v>
      </c>
      <c r="C79" s="944">
        <v>257314.65</v>
      </c>
    </row>
    <row r="80" spans="1:3" x14ac:dyDescent="0.25">
      <c r="A80" s="939">
        <v>91003</v>
      </c>
      <c r="B80" s="939" t="s">
        <v>2649</v>
      </c>
      <c r="C80" s="944">
        <v>268788.57</v>
      </c>
    </row>
    <row r="81" spans="1:3" x14ac:dyDescent="0.25">
      <c r="A81" s="939">
        <v>91004</v>
      </c>
      <c r="B81" s="939" t="s">
        <v>2650</v>
      </c>
      <c r="C81" s="944">
        <v>13567.85</v>
      </c>
    </row>
    <row r="82" spans="1:3" x14ac:dyDescent="0.25">
      <c r="A82" s="939">
        <v>91006</v>
      </c>
      <c r="B82" s="939" t="s">
        <v>2651</v>
      </c>
      <c r="C82" s="944">
        <v>446629.41</v>
      </c>
    </row>
    <row r="83" spans="1:3" x14ac:dyDescent="0.25">
      <c r="A83" s="939">
        <v>91007</v>
      </c>
      <c r="B83" s="939" t="s">
        <v>2652</v>
      </c>
      <c r="C83" s="944">
        <v>9502.15</v>
      </c>
    </row>
    <row r="84" spans="1:3" x14ac:dyDescent="0.25">
      <c r="A84" s="939">
        <v>91008</v>
      </c>
      <c r="B84" s="939" t="s">
        <v>2653</v>
      </c>
      <c r="C84" s="944">
        <v>68974.3</v>
      </c>
    </row>
    <row r="85" spans="1:3" x14ac:dyDescent="0.25">
      <c r="A85" s="939">
        <v>91009</v>
      </c>
      <c r="B85" s="939" t="s">
        <v>2654</v>
      </c>
      <c r="C85" s="944">
        <v>11391.89</v>
      </c>
    </row>
    <row r="86" spans="1:3" x14ac:dyDescent="0.25">
      <c r="A86" s="939">
        <v>91010</v>
      </c>
      <c r="B86" s="939" t="s">
        <v>2655</v>
      </c>
      <c r="C86" s="944">
        <v>32517.29</v>
      </c>
    </row>
    <row r="87" spans="1:3" x14ac:dyDescent="0.25">
      <c r="A87" s="939">
        <v>91011</v>
      </c>
      <c r="B87" s="939" t="s">
        <v>2656</v>
      </c>
      <c r="C87" s="944">
        <v>159847.21</v>
      </c>
    </row>
    <row r="88" spans="1:3" x14ac:dyDescent="0.25">
      <c r="A88" s="939">
        <v>91012</v>
      </c>
      <c r="B88" s="939" t="s">
        <v>2657</v>
      </c>
      <c r="C88" s="944">
        <v>8622.4599999999991</v>
      </c>
    </row>
    <row r="89" spans="1:3" x14ac:dyDescent="0.25">
      <c r="A89" s="939">
        <v>91013</v>
      </c>
      <c r="B89" s="939" t="s">
        <v>2658</v>
      </c>
      <c r="C89" s="944">
        <v>29321.599999999999</v>
      </c>
    </row>
    <row r="90" spans="1:3" x14ac:dyDescent="0.25">
      <c r="A90" s="939">
        <v>91014</v>
      </c>
      <c r="B90" s="939" t="s">
        <v>2659</v>
      </c>
      <c r="C90" s="944">
        <v>97691.51</v>
      </c>
    </row>
    <row r="91" spans="1:3" x14ac:dyDescent="0.25">
      <c r="A91" s="939">
        <v>91015</v>
      </c>
      <c r="B91" s="939" t="s">
        <v>3876</v>
      </c>
      <c r="C91" s="944">
        <v>3402</v>
      </c>
    </row>
    <row r="92" spans="1:3" x14ac:dyDescent="0.25">
      <c r="A92" s="939">
        <v>91017</v>
      </c>
      <c r="B92" s="939" t="s">
        <v>2660</v>
      </c>
      <c r="C92" s="944">
        <v>12461.87</v>
      </c>
    </row>
    <row r="93" spans="1:3" x14ac:dyDescent="0.25">
      <c r="A93" s="939">
        <v>91020</v>
      </c>
      <c r="B93" s="939" t="s">
        <v>2661</v>
      </c>
      <c r="C93" s="944">
        <v>10948.67</v>
      </c>
    </row>
    <row r="94" spans="1:3" x14ac:dyDescent="0.25">
      <c r="A94" s="939">
        <v>91021</v>
      </c>
      <c r="B94" s="939" t="s">
        <v>2662</v>
      </c>
      <c r="C94" s="944">
        <v>387781.66</v>
      </c>
    </row>
    <row r="95" spans="1:3" x14ac:dyDescent="0.25">
      <c r="A95" s="939">
        <v>91024</v>
      </c>
      <c r="B95" s="939" t="s">
        <v>2663</v>
      </c>
      <c r="C95" s="944">
        <v>34457.870000000003</v>
      </c>
    </row>
    <row r="96" spans="1:3" x14ac:dyDescent="0.25">
      <c r="A96" s="939">
        <v>91026</v>
      </c>
      <c r="B96" s="939" t="s">
        <v>1258</v>
      </c>
      <c r="C96" s="944">
        <v>40780.620000000003</v>
      </c>
    </row>
    <row r="97" spans="1:3" x14ac:dyDescent="0.25">
      <c r="A97" s="939">
        <v>91027</v>
      </c>
      <c r="B97" s="939" t="s">
        <v>2664</v>
      </c>
      <c r="C97" s="944">
        <v>15968.39</v>
      </c>
    </row>
    <row r="98" spans="1:3" x14ac:dyDescent="0.25">
      <c r="A98" s="939">
        <v>91032</v>
      </c>
      <c r="B98" s="939" t="s">
        <v>2665</v>
      </c>
      <c r="C98" s="944">
        <v>16167.77</v>
      </c>
    </row>
    <row r="99" spans="1:3" x14ac:dyDescent="0.25">
      <c r="A99" s="939">
        <v>91041</v>
      </c>
      <c r="B99" s="939" t="s">
        <v>2666</v>
      </c>
      <c r="C99" s="944">
        <v>157510.79</v>
      </c>
    </row>
    <row r="100" spans="1:3" x14ac:dyDescent="0.25">
      <c r="A100" s="939">
        <v>91042</v>
      </c>
      <c r="B100" s="939" t="s">
        <v>2667</v>
      </c>
      <c r="C100" s="944">
        <v>99550.59</v>
      </c>
    </row>
    <row r="101" spans="1:3" x14ac:dyDescent="0.25">
      <c r="A101" s="939">
        <v>91047</v>
      </c>
      <c r="B101" s="939" t="s">
        <v>2668</v>
      </c>
      <c r="C101" s="944">
        <v>16395.95</v>
      </c>
    </row>
    <row r="102" spans="1:3" x14ac:dyDescent="0.25">
      <c r="A102" s="939">
        <v>91051</v>
      </c>
      <c r="B102" s="939" t="s">
        <v>2669</v>
      </c>
      <c r="C102" s="944">
        <v>30963.919999999998</v>
      </c>
    </row>
    <row r="103" spans="1:3" x14ac:dyDescent="0.25">
      <c r="A103" s="939">
        <v>91057</v>
      </c>
      <c r="B103" s="939" t="s">
        <v>2670</v>
      </c>
      <c r="C103" s="944">
        <v>9616.17</v>
      </c>
    </row>
    <row r="104" spans="1:3" x14ac:dyDescent="0.25">
      <c r="A104" s="939">
        <v>91061</v>
      </c>
      <c r="B104" s="939" t="s">
        <v>2671</v>
      </c>
      <c r="C104" s="944">
        <v>172504.15</v>
      </c>
    </row>
    <row r="105" spans="1:3" x14ac:dyDescent="0.25">
      <c r="A105" s="939">
        <v>91067</v>
      </c>
      <c r="B105" s="939" t="s">
        <v>2672</v>
      </c>
      <c r="C105" s="944">
        <v>9046.16</v>
      </c>
    </row>
    <row r="106" spans="1:3" x14ac:dyDescent="0.25">
      <c r="A106" s="939">
        <v>91071</v>
      </c>
      <c r="B106" s="939" t="s">
        <v>2673</v>
      </c>
      <c r="C106" s="944">
        <v>93244.52</v>
      </c>
    </row>
    <row r="107" spans="1:3" x14ac:dyDescent="0.25">
      <c r="A107" s="939">
        <v>91077</v>
      </c>
      <c r="B107" s="939" t="s">
        <v>2674</v>
      </c>
      <c r="C107" s="944">
        <v>3277.25</v>
      </c>
    </row>
    <row r="108" spans="1:3" x14ac:dyDescent="0.25">
      <c r="A108" s="939">
        <v>91081</v>
      </c>
      <c r="B108" s="939" t="s">
        <v>2675</v>
      </c>
      <c r="C108" s="944">
        <v>169111.92</v>
      </c>
    </row>
    <row r="109" spans="1:3" x14ac:dyDescent="0.25">
      <c r="A109" s="939">
        <v>91091</v>
      </c>
      <c r="B109" s="939" t="s">
        <v>2676</v>
      </c>
      <c r="C109" s="944">
        <v>225749.39</v>
      </c>
    </row>
    <row r="110" spans="1:3" x14ac:dyDescent="0.25">
      <c r="A110" s="939">
        <v>91101</v>
      </c>
      <c r="B110" s="939" t="s">
        <v>2677</v>
      </c>
      <c r="C110" s="944">
        <v>5894550.5700000003</v>
      </c>
    </row>
    <row r="111" spans="1:3" x14ac:dyDescent="0.25">
      <c r="A111" s="939">
        <v>91102</v>
      </c>
      <c r="B111" s="939" t="s">
        <v>2678</v>
      </c>
      <c r="C111" s="944">
        <v>156560.34</v>
      </c>
    </row>
    <row r="112" spans="1:3" x14ac:dyDescent="0.25">
      <c r="A112" s="939">
        <v>91104</v>
      </c>
      <c r="B112" s="939" t="s">
        <v>2679</v>
      </c>
      <c r="C112" s="944">
        <v>5627.53</v>
      </c>
    </row>
    <row r="113" spans="1:3" x14ac:dyDescent="0.25">
      <c r="A113" s="939">
        <v>91107</v>
      </c>
      <c r="B113" s="939" t="s">
        <v>3580</v>
      </c>
      <c r="C113" s="944">
        <v>36616.22</v>
      </c>
    </row>
    <row r="114" spans="1:3" x14ac:dyDescent="0.25">
      <c r="A114" s="939">
        <v>91108</v>
      </c>
      <c r="B114" s="939" t="s">
        <v>2681</v>
      </c>
      <c r="C114" s="944">
        <v>613475.99</v>
      </c>
    </row>
    <row r="115" spans="1:3" x14ac:dyDescent="0.25">
      <c r="A115" s="939">
        <v>91109</v>
      </c>
      <c r="B115" s="939" t="s">
        <v>2682</v>
      </c>
      <c r="C115" s="944">
        <v>45066.21</v>
      </c>
    </row>
    <row r="116" spans="1:3" x14ac:dyDescent="0.25">
      <c r="A116" s="939">
        <v>91111</v>
      </c>
      <c r="B116" s="939" t="s">
        <v>2683</v>
      </c>
      <c r="C116" s="944">
        <v>110902.83</v>
      </c>
    </row>
    <row r="117" spans="1:3" x14ac:dyDescent="0.25">
      <c r="A117" s="939">
        <v>91120</v>
      </c>
      <c r="B117" s="939" t="s">
        <v>2684</v>
      </c>
      <c r="C117" s="944">
        <v>45448.52</v>
      </c>
    </row>
    <row r="118" spans="1:3" x14ac:dyDescent="0.25">
      <c r="A118" s="939">
        <v>91121</v>
      </c>
      <c r="B118" s="939" t="s">
        <v>2685</v>
      </c>
      <c r="C118" s="944">
        <v>4272051.3499999996</v>
      </c>
    </row>
    <row r="119" spans="1:3" x14ac:dyDescent="0.25">
      <c r="A119" s="939">
        <v>91127</v>
      </c>
      <c r="B119" s="939" t="s">
        <v>2686</v>
      </c>
      <c r="C119" s="944">
        <v>146935.43</v>
      </c>
    </row>
    <row r="120" spans="1:3" x14ac:dyDescent="0.25">
      <c r="A120" s="939">
        <v>91128</v>
      </c>
      <c r="B120" s="939" t="s">
        <v>2687</v>
      </c>
      <c r="C120" s="944">
        <v>238305.37</v>
      </c>
    </row>
    <row r="121" spans="1:3" x14ac:dyDescent="0.25">
      <c r="A121" s="939">
        <v>91138</v>
      </c>
      <c r="B121" s="939" t="s">
        <v>2688</v>
      </c>
      <c r="C121" s="944">
        <v>220646.32</v>
      </c>
    </row>
    <row r="122" spans="1:3" x14ac:dyDescent="0.25">
      <c r="A122" s="939">
        <v>91141</v>
      </c>
      <c r="B122" s="939" t="s">
        <v>2689</v>
      </c>
      <c r="C122" s="944">
        <v>236315.18</v>
      </c>
    </row>
    <row r="123" spans="1:3" x14ac:dyDescent="0.25">
      <c r="A123" s="939">
        <v>91147</v>
      </c>
      <c r="B123" s="939" t="s">
        <v>2690</v>
      </c>
      <c r="C123" s="944">
        <v>12125.2</v>
      </c>
    </row>
    <row r="124" spans="1:3" x14ac:dyDescent="0.25">
      <c r="A124" s="939">
        <v>91151</v>
      </c>
      <c r="B124" s="939" t="s">
        <v>2691</v>
      </c>
      <c r="C124" s="944">
        <v>254759.84</v>
      </c>
    </row>
    <row r="125" spans="1:3" x14ac:dyDescent="0.25">
      <c r="A125" s="939">
        <v>91154</v>
      </c>
      <c r="B125" s="939" t="s">
        <v>2692</v>
      </c>
      <c r="C125" s="944">
        <v>10901.68</v>
      </c>
    </row>
    <row r="126" spans="1:3" x14ac:dyDescent="0.25">
      <c r="A126" s="939">
        <v>91161</v>
      </c>
      <c r="B126" s="939" t="s">
        <v>2693</v>
      </c>
      <c r="C126" s="944">
        <v>44456.92</v>
      </c>
    </row>
    <row r="127" spans="1:3" x14ac:dyDescent="0.25">
      <c r="A127" s="939">
        <v>91171</v>
      </c>
      <c r="B127" s="939" t="s">
        <v>2694</v>
      </c>
      <c r="C127" s="944">
        <v>93650.89</v>
      </c>
    </row>
    <row r="128" spans="1:3" x14ac:dyDescent="0.25">
      <c r="A128" s="939">
        <v>91201</v>
      </c>
      <c r="B128" s="939" t="s">
        <v>2695</v>
      </c>
      <c r="C128" s="944">
        <v>970290.72</v>
      </c>
    </row>
    <row r="129" spans="1:3" x14ac:dyDescent="0.25">
      <c r="A129" s="939">
        <v>91202</v>
      </c>
      <c r="B129" s="939" t="s">
        <v>2696</v>
      </c>
      <c r="C129" s="944">
        <v>96478.46</v>
      </c>
    </row>
    <row r="130" spans="1:3" x14ac:dyDescent="0.25">
      <c r="A130" s="939">
        <v>91203</v>
      </c>
      <c r="B130" s="939" t="s">
        <v>2697</v>
      </c>
      <c r="C130" s="944">
        <v>127249.16</v>
      </c>
    </row>
    <row r="131" spans="1:3" x14ac:dyDescent="0.25">
      <c r="A131" s="939">
        <v>91206</v>
      </c>
      <c r="B131" s="939" t="s">
        <v>2698</v>
      </c>
      <c r="C131" s="944">
        <v>388200.35</v>
      </c>
    </row>
    <row r="132" spans="1:3" x14ac:dyDescent="0.25">
      <c r="A132" s="939">
        <v>91208</v>
      </c>
      <c r="B132" s="939" t="s">
        <v>2699</v>
      </c>
      <c r="C132" s="944">
        <v>6397.76</v>
      </c>
    </row>
    <row r="133" spans="1:3" x14ac:dyDescent="0.25">
      <c r="A133" s="939">
        <v>91211</v>
      </c>
      <c r="B133" s="939" t="s">
        <v>2700</v>
      </c>
      <c r="C133" s="944">
        <v>223513.02</v>
      </c>
    </row>
    <row r="134" spans="1:3" x14ac:dyDescent="0.25">
      <c r="A134" s="939">
        <v>91213</v>
      </c>
      <c r="B134" s="939" t="s">
        <v>2701</v>
      </c>
      <c r="C134" s="944">
        <v>12090.4</v>
      </c>
    </row>
    <row r="135" spans="1:3" x14ac:dyDescent="0.25">
      <c r="A135" s="939">
        <v>91214</v>
      </c>
      <c r="B135" s="939" t="s">
        <v>2702</v>
      </c>
      <c r="C135" s="944">
        <v>9668.68</v>
      </c>
    </row>
    <row r="136" spans="1:3" x14ac:dyDescent="0.25">
      <c r="A136" s="939">
        <v>91217</v>
      </c>
      <c r="B136" s="939" t="s">
        <v>2703</v>
      </c>
      <c r="C136" s="944">
        <v>14934.26</v>
      </c>
    </row>
    <row r="137" spans="1:3" x14ac:dyDescent="0.25">
      <c r="A137" s="939">
        <v>91221</v>
      </c>
      <c r="B137" s="939" t="s">
        <v>2704</v>
      </c>
      <c r="C137" s="944">
        <v>59449.13</v>
      </c>
    </row>
    <row r="138" spans="1:3" x14ac:dyDescent="0.25">
      <c r="A138" s="939">
        <v>91231</v>
      </c>
      <c r="B138" s="939" t="s">
        <v>2705</v>
      </c>
      <c r="C138" s="944">
        <v>867955.41</v>
      </c>
    </row>
    <row r="139" spans="1:3" x14ac:dyDescent="0.25">
      <c r="A139" s="939">
        <v>91233</v>
      </c>
      <c r="B139" s="939" t="s">
        <v>2706</v>
      </c>
      <c r="C139" s="944">
        <v>21828.27</v>
      </c>
    </row>
    <row r="140" spans="1:3" x14ac:dyDescent="0.25">
      <c r="A140" s="939">
        <v>91241</v>
      </c>
      <c r="B140" s="939" t="s">
        <v>2707</v>
      </c>
      <c r="C140" s="944">
        <v>17215.53</v>
      </c>
    </row>
    <row r="141" spans="1:3" x14ac:dyDescent="0.25">
      <c r="A141" s="939">
        <v>91251</v>
      </c>
      <c r="B141" s="939" t="s">
        <v>2708</v>
      </c>
      <c r="C141" s="944">
        <v>11338.78</v>
      </c>
    </row>
    <row r="142" spans="1:3" x14ac:dyDescent="0.25">
      <c r="A142" s="939">
        <v>91261</v>
      </c>
      <c r="B142" s="939" t="s">
        <v>2709</v>
      </c>
      <c r="C142" s="944">
        <v>4665.82</v>
      </c>
    </row>
    <row r="143" spans="1:3" x14ac:dyDescent="0.25">
      <c r="A143" s="939">
        <v>91301</v>
      </c>
      <c r="B143" s="939" t="s">
        <v>2710</v>
      </c>
      <c r="C143" s="944">
        <v>3428603.03</v>
      </c>
    </row>
    <row r="144" spans="1:3" x14ac:dyDescent="0.25">
      <c r="A144" s="939">
        <v>91302</v>
      </c>
      <c r="B144" s="939" t="s">
        <v>3581</v>
      </c>
      <c r="C144" s="944">
        <v>259187.16</v>
      </c>
    </row>
    <row r="145" spans="1:3" x14ac:dyDescent="0.25">
      <c r="A145" s="939">
        <v>91306</v>
      </c>
      <c r="B145" s="939" t="s">
        <v>2712</v>
      </c>
      <c r="C145" s="944">
        <v>766697.58</v>
      </c>
    </row>
    <row r="146" spans="1:3" x14ac:dyDescent="0.25">
      <c r="A146" s="939">
        <v>91308</v>
      </c>
      <c r="B146" s="939" t="s">
        <v>2713</v>
      </c>
      <c r="C146" s="944">
        <v>80232.03</v>
      </c>
    </row>
    <row r="147" spans="1:3" x14ac:dyDescent="0.25">
      <c r="A147" s="939">
        <v>91311</v>
      </c>
      <c r="B147" s="939" t="s">
        <v>2714</v>
      </c>
      <c r="C147" s="944">
        <v>3305761.29</v>
      </c>
    </row>
    <row r="148" spans="1:3" x14ac:dyDescent="0.25">
      <c r="A148" s="939">
        <v>91317</v>
      </c>
      <c r="B148" s="939" t="s">
        <v>2715</v>
      </c>
      <c r="C148" s="944">
        <v>50865.25</v>
      </c>
    </row>
    <row r="149" spans="1:3" x14ac:dyDescent="0.25">
      <c r="A149" s="939">
        <v>91321</v>
      </c>
      <c r="B149" s="939" t="s">
        <v>2716</v>
      </c>
      <c r="C149" s="944">
        <v>37213.019999999997</v>
      </c>
    </row>
    <row r="150" spans="1:3" x14ac:dyDescent="0.25">
      <c r="A150" s="939">
        <v>91327</v>
      </c>
      <c r="B150" s="939" t="s">
        <v>2717</v>
      </c>
      <c r="C150" s="944">
        <v>4494.54</v>
      </c>
    </row>
    <row r="151" spans="1:3" x14ac:dyDescent="0.25">
      <c r="A151" s="939">
        <v>91331</v>
      </c>
      <c r="B151" s="939" t="s">
        <v>2718</v>
      </c>
      <c r="C151" s="944">
        <v>1190887.26</v>
      </c>
    </row>
    <row r="152" spans="1:3" x14ac:dyDescent="0.25">
      <c r="A152" s="939">
        <v>91341</v>
      </c>
      <c r="B152" s="939" t="s">
        <v>2719</v>
      </c>
      <c r="C152" s="944">
        <v>9160.6</v>
      </c>
    </row>
    <row r="153" spans="1:3" x14ac:dyDescent="0.25">
      <c r="A153" s="939">
        <v>91401</v>
      </c>
      <c r="B153" s="939" t="s">
        <v>2720</v>
      </c>
      <c r="C153" s="944">
        <v>1559429.54</v>
      </c>
    </row>
    <row r="154" spans="1:3" x14ac:dyDescent="0.25">
      <c r="A154" s="939">
        <v>91411</v>
      </c>
      <c r="B154" s="939" t="s">
        <v>2721</v>
      </c>
      <c r="C154" s="944">
        <v>168365.22</v>
      </c>
    </row>
    <row r="155" spans="1:3" x14ac:dyDescent="0.25">
      <c r="A155" s="939">
        <v>91417</v>
      </c>
      <c r="B155" s="939" t="s">
        <v>2722</v>
      </c>
      <c r="C155" s="944">
        <v>5288.72</v>
      </c>
    </row>
    <row r="156" spans="1:3" x14ac:dyDescent="0.25">
      <c r="A156" s="939">
        <v>91421</v>
      </c>
      <c r="B156" s="939" t="s">
        <v>2723</v>
      </c>
      <c r="C156" s="944">
        <v>36488.129999999997</v>
      </c>
    </row>
    <row r="157" spans="1:3" x14ac:dyDescent="0.25">
      <c r="A157" s="939">
        <v>91423</v>
      </c>
      <c r="B157" s="939" t="s">
        <v>2724</v>
      </c>
      <c r="C157" s="944">
        <v>20619.55</v>
      </c>
    </row>
    <row r="158" spans="1:3" x14ac:dyDescent="0.25">
      <c r="A158" s="939">
        <v>91431</v>
      </c>
      <c r="B158" s="939" t="s">
        <v>2725</v>
      </c>
      <c r="C158" s="944">
        <v>80269.81</v>
      </c>
    </row>
    <row r="159" spans="1:3" x14ac:dyDescent="0.25">
      <c r="A159" s="939">
        <v>91441</v>
      </c>
      <c r="B159" s="939" t="s">
        <v>2726</v>
      </c>
      <c r="C159" s="944">
        <v>316617.68</v>
      </c>
    </row>
    <row r="160" spans="1:3" x14ac:dyDescent="0.25">
      <c r="A160" s="939">
        <v>91451</v>
      </c>
      <c r="B160" s="939" t="s">
        <v>2727</v>
      </c>
      <c r="C160" s="944">
        <v>670223.22</v>
      </c>
    </row>
    <row r="161" spans="1:3" x14ac:dyDescent="0.25">
      <c r="A161" s="939">
        <v>91457</v>
      </c>
      <c r="B161" s="939" t="s">
        <v>2728</v>
      </c>
      <c r="C161" s="944">
        <v>30669.55</v>
      </c>
    </row>
    <row r="162" spans="1:3" x14ac:dyDescent="0.25">
      <c r="A162" s="939">
        <v>91461</v>
      </c>
      <c r="B162" s="939" t="s">
        <v>2729</v>
      </c>
      <c r="C162" s="944">
        <v>2932.2</v>
      </c>
    </row>
    <row r="163" spans="1:3" x14ac:dyDescent="0.25">
      <c r="A163" s="939">
        <v>91501</v>
      </c>
      <c r="B163" s="939" t="s">
        <v>2730</v>
      </c>
      <c r="C163" s="944">
        <v>231245.96</v>
      </c>
    </row>
    <row r="164" spans="1:3" x14ac:dyDescent="0.25">
      <c r="A164" s="939">
        <v>91504</v>
      </c>
      <c r="B164" s="939" t="s">
        <v>2731</v>
      </c>
      <c r="C164" s="944">
        <v>6531.24</v>
      </c>
    </row>
    <row r="165" spans="1:3" x14ac:dyDescent="0.25">
      <c r="A165" s="939">
        <v>91601</v>
      </c>
      <c r="B165" s="939" t="s">
        <v>2732</v>
      </c>
      <c r="C165" s="944">
        <v>1323805.48</v>
      </c>
    </row>
    <row r="166" spans="1:3" x14ac:dyDescent="0.25">
      <c r="A166" s="939">
        <v>91604</v>
      </c>
      <c r="B166" s="939" t="s">
        <v>2733</v>
      </c>
      <c r="C166" s="944">
        <v>50507.07</v>
      </c>
    </row>
    <row r="167" spans="1:3" x14ac:dyDescent="0.25">
      <c r="A167" s="939">
        <v>91608</v>
      </c>
      <c r="B167" s="939" t="s">
        <v>2734</v>
      </c>
      <c r="C167" s="944">
        <v>45013.06</v>
      </c>
    </row>
    <row r="168" spans="1:3" x14ac:dyDescent="0.25">
      <c r="A168" s="939">
        <v>91611</v>
      </c>
      <c r="B168" s="939" t="s">
        <v>2735</v>
      </c>
      <c r="C168" s="944">
        <v>598448.54</v>
      </c>
    </row>
    <row r="169" spans="1:3" x14ac:dyDescent="0.25">
      <c r="A169" s="939">
        <v>91621</v>
      </c>
      <c r="B169" s="939" t="s">
        <v>2736</v>
      </c>
      <c r="C169" s="944">
        <v>108513.94</v>
      </c>
    </row>
    <row r="170" spans="1:3" x14ac:dyDescent="0.25">
      <c r="A170" s="939">
        <v>91631</v>
      </c>
      <c r="B170" s="939" t="s">
        <v>2737</v>
      </c>
      <c r="C170" s="944">
        <v>219721.63</v>
      </c>
    </row>
    <row r="171" spans="1:3" x14ac:dyDescent="0.25">
      <c r="A171" s="939">
        <v>91633</v>
      </c>
      <c r="B171" s="939" t="s">
        <v>2738</v>
      </c>
      <c r="C171" s="944">
        <v>11021.91</v>
      </c>
    </row>
    <row r="172" spans="1:3" x14ac:dyDescent="0.25">
      <c r="A172" s="939">
        <v>91641</v>
      </c>
      <c r="B172" s="939" t="s">
        <v>2739</v>
      </c>
      <c r="C172" s="944">
        <v>104378.45</v>
      </c>
    </row>
    <row r="173" spans="1:3" x14ac:dyDescent="0.25">
      <c r="A173" s="939">
        <v>91651</v>
      </c>
      <c r="B173" s="939" t="s">
        <v>2740</v>
      </c>
      <c r="C173" s="944">
        <v>205102.35</v>
      </c>
    </row>
    <row r="174" spans="1:3" x14ac:dyDescent="0.25">
      <c r="A174" s="939">
        <v>91661</v>
      </c>
      <c r="B174" s="939" t="s">
        <v>2741</v>
      </c>
      <c r="C174" s="944">
        <v>56240.800000000003</v>
      </c>
    </row>
    <row r="175" spans="1:3" x14ac:dyDescent="0.25">
      <c r="A175" s="939">
        <v>91671</v>
      </c>
      <c r="B175" s="939" t="s">
        <v>2742</v>
      </c>
      <c r="C175" s="944">
        <v>43651.26</v>
      </c>
    </row>
    <row r="176" spans="1:3" x14ac:dyDescent="0.25">
      <c r="A176" s="939">
        <v>91681</v>
      </c>
      <c r="B176" s="939" t="s">
        <v>2743</v>
      </c>
      <c r="C176" s="944">
        <v>387831.85</v>
      </c>
    </row>
    <row r="177" spans="1:3" x14ac:dyDescent="0.25">
      <c r="A177" s="939">
        <v>91691</v>
      </c>
      <c r="B177" s="939" t="s">
        <v>2744</v>
      </c>
      <c r="C177" s="944">
        <v>10219.23</v>
      </c>
    </row>
    <row r="178" spans="1:3" x14ac:dyDescent="0.25">
      <c r="A178" s="939">
        <v>91701</v>
      </c>
      <c r="B178" s="939" t="s">
        <v>2745</v>
      </c>
      <c r="C178" s="944">
        <v>542905.62</v>
      </c>
    </row>
    <row r="179" spans="1:3" x14ac:dyDescent="0.25">
      <c r="A179" s="939">
        <v>91704</v>
      </c>
      <c r="B179" s="939" t="s">
        <v>2746</v>
      </c>
      <c r="C179" s="944">
        <v>7505.75</v>
      </c>
    </row>
    <row r="180" spans="1:3" x14ac:dyDescent="0.25">
      <c r="A180" s="939">
        <v>91706</v>
      </c>
      <c r="B180" s="939" t="s">
        <v>2747</v>
      </c>
      <c r="C180" s="944">
        <v>121962.5</v>
      </c>
    </row>
    <row r="181" spans="1:3" x14ac:dyDescent="0.25">
      <c r="A181" s="939">
        <v>91719</v>
      </c>
      <c r="B181" s="939" t="s">
        <v>2748</v>
      </c>
      <c r="C181" s="944">
        <v>19656.21</v>
      </c>
    </row>
    <row r="182" spans="1:3" x14ac:dyDescent="0.25">
      <c r="A182" s="939">
        <v>91801</v>
      </c>
      <c r="B182" s="939" t="s">
        <v>2749</v>
      </c>
      <c r="C182" s="944">
        <v>3752769.06</v>
      </c>
    </row>
    <row r="183" spans="1:3" x14ac:dyDescent="0.25">
      <c r="A183" s="939">
        <v>91804</v>
      </c>
      <c r="B183" s="939" t="s">
        <v>2750</v>
      </c>
      <c r="C183" s="944">
        <v>95886.3</v>
      </c>
    </row>
    <row r="184" spans="1:3" x14ac:dyDescent="0.25">
      <c r="A184" s="939">
        <v>91811</v>
      </c>
      <c r="B184" s="939" t="s">
        <v>2751</v>
      </c>
      <c r="C184" s="944">
        <v>1964157.72</v>
      </c>
    </row>
    <row r="185" spans="1:3" x14ac:dyDescent="0.25">
      <c r="A185" s="939">
        <v>91812</v>
      </c>
      <c r="B185" s="939" t="s">
        <v>2752</v>
      </c>
      <c r="C185" s="944">
        <v>26136.17</v>
      </c>
    </row>
    <row r="186" spans="1:3" x14ac:dyDescent="0.25">
      <c r="A186" s="939">
        <v>91813</v>
      </c>
      <c r="B186" s="939" t="s">
        <v>2753</v>
      </c>
      <c r="C186" s="944">
        <v>44451.83</v>
      </c>
    </row>
    <row r="187" spans="1:3" x14ac:dyDescent="0.25">
      <c r="A187" s="939">
        <v>91818</v>
      </c>
      <c r="B187" s="939" t="s">
        <v>2754</v>
      </c>
      <c r="C187" s="944">
        <v>453408.54</v>
      </c>
    </row>
    <row r="188" spans="1:3" x14ac:dyDescent="0.25">
      <c r="A188" s="939">
        <v>91819</v>
      </c>
      <c r="B188" s="939" t="s">
        <v>2755</v>
      </c>
      <c r="C188" s="944">
        <v>138657.20000000001</v>
      </c>
    </row>
    <row r="189" spans="1:3" x14ac:dyDescent="0.25">
      <c r="A189" s="939">
        <v>91821</v>
      </c>
      <c r="B189" s="939" t="s">
        <v>2756</v>
      </c>
      <c r="C189" s="944">
        <v>71126.36</v>
      </c>
    </row>
    <row r="190" spans="1:3" x14ac:dyDescent="0.25">
      <c r="A190" s="939">
        <v>91831</v>
      </c>
      <c r="B190" s="939" t="s">
        <v>2757</v>
      </c>
      <c r="C190" s="944">
        <v>150177.89000000001</v>
      </c>
    </row>
    <row r="191" spans="1:3" x14ac:dyDescent="0.25">
      <c r="A191" s="939">
        <v>91841</v>
      </c>
      <c r="B191" s="939" t="s">
        <v>2758</v>
      </c>
      <c r="C191" s="944">
        <v>126479.16</v>
      </c>
    </row>
    <row r="192" spans="1:3" x14ac:dyDescent="0.25">
      <c r="A192" s="939">
        <v>91851</v>
      </c>
      <c r="B192" s="939" t="s">
        <v>2759</v>
      </c>
      <c r="C192" s="944">
        <v>326836.36</v>
      </c>
    </row>
    <row r="193" spans="1:3" x14ac:dyDescent="0.25">
      <c r="A193" s="939">
        <v>91861</v>
      </c>
      <c r="B193" s="939" t="s">
        <v>2760</v>
      </c>
      <c r="C193" s="944">
        <v>8022.88</v>
      </c>
    </row>
    <row r="194" spans="1:3" x14ac:dyDescent="0.25">
      <c r="A194" s="939">
        <v>91871</v>
      </c>
      <c r="B194" s="939" t="s">
        <v>2761</v>
      </c>
      <c r="C194" s="944">
        <v>588754.54</v>
      </c>
    </row>
    <row r="195" spans="1:3" x14ac:dyDescent="0.25">
      <c r="A195" s="939">
        <v>91881</v>
      </c>
      <c r="B195" s="939" t="s">
        <v>2762</v>
      </c>
      <c r="C195" s="944">
        <v>6384.3</v>
      </c>
    </row>
    <row r="196" spans="1:3" x14ac:dyDescent="0.25">
      <c r="A196" s="939">
        <v>91901</v>
      </c>
      <c r="B196" s="939" t="s">
        <v>2763</v>
      </c>
      <c r="C196" s="944">
        <v>1652492.47</v>
      </c>
    </row>
    <row r="197" spans="1:3" x14ac:dyDescent="0.25">
      <c r="A197" s="939">
        <v>91903</v>
      </c>
      <c r="B197" s="939" t="s">
        <v>2764</v>
      </c>
      <c r="C197" s="944">
        <v>5738.87</v>
      </c>
    </row>
    <row r="198" spans="1:3" x14ac:dyDescent="0.25">
      <c r="A198" s="939">
        <v>91904</v>
      </c>
      <c r="B198" s="939" t="s">
        <v>2765</v>
      </c>
      <c r="C198" s="944">
        <v>13231.24</v>
      </c>
    </row>
    <row r="199" spans="1:3" x14ac:dyDescent="0.25">
      <c r="A199" s="939">
        <v>91908</v>
      </c>
      <c r="B199" s="939" t="s">
        <v>2766</v>
      </c>
      <c r="C199" s="944">
        <v>5210.9399999999996</v>
      </c>
    </row>
    <row r="200" spans="1:3" x14ac:dyDescent="0.25">
      <c r="A200" s="939">
        <v>91911</v>
      </c>
      <c r="B200" s="939" t="s">
        <v>2767</v>
      </c>
      <c r="C200" s="944">
        <v>224256.72</v>
      </c>
    </row>
    <row r="201" spans="1:3" x14ac:dyDescent="0.25">
      <c r="A201" s="939">
        <v>91917</v>
      </c>
      <c r="B201" s="939" t="s">
        <v>2768</v>
      </c>
      <c r="C201" s="944">
        <v>6386.67</v>
      </c>
    </row>
    <row r="202" spans="1:3" x14ac:dyDescent="0.25">
      <c r="A202" s="939">
        <v>91921</v>
      </c>
      <c r="B202" s="939" t="s">
        <v>2769</v>
      </c>
      <c r="C202" s="944">
        <v>160504.93</v>
      </c>
    </row>
    <row r="203" spans="1:3" x14ac:dyDescent="0.25">
      <c r="A203" s="939">
        <v>92001</v>
      </c>
      <c r="B203" s="939" t="s">
        <v>2770</v>
      </c>
      <c r="C203" s="944">
        <v>790603.03</v>
      </c>
    </row>
    <row r="204" spans="1:3" x14ac:dyDescent="0.25">
      <c r="A204" s="939">
        <v>92005</v>
      </c>
      <c r="B204" s="939" t="s">
        <v>2771</v>
      </c>
      <c r="C204" s="944">
        <v>20947.2</v>
      </c>
    </row>
    <row r="205" spans="1:3" x14ac:dyDescent="0.25">
      <c r="A205" s="939">
        <v>92011</v>
      </c>
      <c r="B205" s="939" t="s">
        <v>2772</v>
      </c>
      <c r="C205" s="944">
        <v>90382.9</v>
      </c>
    </row>
    <row r="206" spans="1:3" x14ac:dyDescent="0.25">
      <c r="A206" s="939">
        <v>92017</v>
      </c>
      <c r="B206" s="939" t="s">
        <v>2773</v>
      </c>
      <c r="C206" s="944">
        <v>16941.37</v>
      </c>
    </row>
    <row r="207" spans="1:3" x14ac:dyDescent="0.25">
      <c r="A207" s="939">
        <v>92021</v>
      </c>
      <c r="B207" s="939" t="s">
        <v>2774</v>
      </c>
      <c r="C207" s="944">
        <v>72634.77</v>
      </c>
    </row>
    <row r="208" spans="1:3" x14ac:dyDescent="0.25">
      <c r="A208" s="939">
        <v>92101</v>
      </c>
      <c r="B208" s="939" t="s">
        <v>2775</v>
      </c>
      <c r="C208" s="944">
        <v>368518.74</v>
      </c>
    </row>
    <row r="209" spans="1:3" x14ac:dyDescent="0.25">
      <c r="A209" s="939">
        <v>92104</v>
      </c>
      <c r="B209" s="939" t="s">
        <v>2776</v>
      </c>
      <c r="C209" s="944">
        <v>5180.28</v>
      </c>
    </row>
    <row r="210" spans="1:3" x14ac:dyDescent="0.25">
      <c r="A210" s="939">
        <v>92109</v>
      </c>
      <c r="B210" s="939" t="s">
        <v>2777</v>
      </c>
      <c r="C210" s="944">
        <v>79222.570000000007</v>
      </c>
    </row>
    <row r="211" spans="1:3" x14ac:dyDescent="0.25">
      <c r="A211" s="939">
        <v>92111</v>
      </c>
      <c r="B211" s="939" t="s">
        <v>2778</v>
      </c>
      <c r="C211" s="944">
        <v>231048.73</v>
      </c>
    </row>
    <row r="212" spans="1:3" x14ac:dyDescent="0.25">
      <c r="A212" s="939">
        <v>92113</v>
      </c>
      <c r="B212" s="939" t="s">
        <v>2779</v>
      </c>
      <c r="C212" s="944">
        <v>10340.59</v>
      </c>
    </row>
    <row r="213" spans="1:3" x14ac:dyDescent="0.25">
      <c r="A213" s="939">
        <v>92201</v>
      </c>
      <c r="B213" s="939" t="s">
        <v>2780</v>
      </c>
      <c r="C213" s="944">
        <v>452317.97</v>
      </c>
    </row>
    <row r="214" spans="1:3" x14ac:dyDescent="0.25">
      <c r="A214" s="939">
        <v>92301</v>
      </c>
      <c r="B214" s="939" t="s">
        <v>2781</v>
      </c>
      <c r="C214" s="944">
        <v>2376667.8199999998</v>
      </c>
    </row>
    <row r="215" spans="1:3" x14ac:dyDescent="0.25">
      <c r="A215" s="939">
        <v>92302</v>
      </c>
      <c r="B215" s="939" t="s">
        <v>3582</v>
      </c>
      <c r="C215" s="944">
        <v>124071.08</v>
      </c>
    </row>
    <row r="216" spans="1:3" x14ac:dyDescent="0.25">
      <c r="A216" s="939">
        <v>92311</v>
      </c>
      <c r="B216" s="939" t="s">
        <v>2783</v>
      </c>
      <c r="C216" s="944">
        <v>989308.2</v>
      </c>
    </row>
    <row r="217" spans="1:3" x14ac:dyDescent="0.25">
      <c r="A217" s="939">
        <v>92317</v>
      </c>
      <c r="B217" s="939" t="s">
        <v>2784</v>
      </c>
      <c r="C217" s="944">
        <v>22749.040000000001</v>
      </c>
    </row>
    <row r="218" spans="1:3" x14ac:dyDescent="0.25">
      <c r="A218" s="939">
        <v>92321</v>
      </c>
      <c r="B218" s="939" t="s">
        <v>2785</v>
      </c>
      <c r="C218" s="944">
        <v>553265.69999999995</v>
      </c>
    </row>
    <row r="219" spans="1:3" x14ac:dyDescent="0.25">
      <c r="A219" s="939">
        <v>92327</v>
      </c>
      <c r="B219" s="939" t="s">
        <v>2786</v>
      </c>
      <c r="C219" s="944">
        <v>5653.37</v>
      </c>
    </row>
    <row r="220" spans="1:3" x14ac:dyDescent="0.25">
      <c r="A220" s="939">
        <v>92331</v>
      </c>
      <c r="B220" s="939" t="s">
        <v>2787</v>
      </c>
      <c r="C220" s="944">
        <v>60877.5</v>
      </c>
    </row>
    <row r="221" spans="1:3" x14ac:dyDescent="0.25">
      <c r="A221" s="939">
        <v>92341</v>
      </c>
      <c r="B221" s="939" t="s">
        <v>2788</v>
      </c>
      <c r="C221" s="944">
        <v>3179.09</v>
      </c>
    </row>
    <row r="222" spans="1:3" x14ac:dyDescent="0.25">
      <c r="A222" s="939">
        <v>92351</v>
      </c>
      <c r="B222" s="939" t="s">
        <v>2789</v>
      </c>
      <c r="C222" s="944">
        <v>9506.67</v>
      </c>
    </row>
    <row r="223" spans="1:3" x14ac:dyDescent="0.25">
      <c r="A223" s="939">
        <v>92401</v>
      </c>
      <c r="B223" s="939" t="s">
        <v>2790</v>
      </c>
      <c r="C223" s="944">
        <v>1303902.48</v>
      </c>
    </row>
    <row r="224" spans="1:3" x14ac:dyDescent="0.25">
      <c r="A224" s="939">
        <v>92403</v>
      </c>
      <c r="B224" s="939" t="s">
        <v>2791</v>
      </c>
      <c r="C224" s="944">
        <v>5891.95</v>
      </c>
    </row>
    <row r="225" spans="1:3" x14ac:dyDescent="0.25">
      <c r="A225" s="939">
        <v>92411</v>
      </c>
      <c r="B225" s="939" t="s">
        <v>2792</v>
      </c>
      <c r="C225" s="944">
        <v>203731.75</v>
      </c>
    </row>
    <row r="226" spans="1:3" x14ac:dyDescent="0.25">
      <c r="A226" s="939">
        <v>92417</v>
      </c>
      <c r="B226" s="939" t="s">
        <v>2793</v>
      </c>
      <c r="C226" s="944">
        <v>5972.12</v>
      </c>
    </row>
    <row r="227" spans="1:3" x14ac:dyDescent="0.25">
      <c r="A227" s="939">
        <v>92421</v>
      </c>
      <c r="B227" s="939" t="s">
        <v>2794</v>
      </c>
      <c r="C227" s="944">
        <v>7579.9</v>
      </c>
    </row>
    <row r="228" spans="1:3" x14ac:dyDescent="0.25">
      <c r="A228" s="939">
        <v>92427</v>
      </c>
      <c r="B228" s="939" t="s">
        <v>2795</v>
      </c>
      <c r="C228" s="944">
        <v>1462.7</v>
      </c>
    </row>
    <row r="229" spans="1:3" x14ac:dyDescent="0.25">
      <c r="A229" s="939">
        <v>92431</v>
      </c>
      <c r="B229" s="939" t="s">
        <v>2796</v>
      </c>
      <c r="C229" s="944">
        <v>22456.17</v>
      </c>
    </row>
    <row r="230" spans="1:3" x14ac:dyDescent="0.25">
      <c r="A230" s="939">
        <v>92441</v>
      </c>
      <c r="B230" s="939" t="s">
        <v>2797</v>
      </c>
      <c r="C230" s="944">
        <v>38184.480000000003</v>
      </c>
    </row>
    <row r="231" spans="1:3" x14ac:dyDescent="0.25">
      <c r="A231" s="939">
        <v>92444</v>
      </c>
      <c r="B231" s="939" t="s">
        <v>2798</v>
      </c>
      <c r="C231" s="944">
        <v>2108.3200000000002</v>
      </c>
    </row>
    <row r="232" spans="1:3" x14ac:dyDescent="0.25">
      <c r="A232" s="939">
        <v>92451</v>
      </c>
      <c r="B232" s="939" t="s">
        <v>2799</v>
      </c>
      <c r="C232" s="944">
        <v>77937.69</v>
      </c>
    </row>
    <row r="233" spans="1:3" x14ac:dyDescent="0.25">
      <c r="A233" s="939">
        <v>92461</v>
      </c>
      <c r="B233" s="939" t="s">
        <v>2800</v>
      </c>
      <c r="C233" s="944">
        <v>40871.760000000002</v>
      </c>
    </row>
    <row r="234" spans="1:3" x14ac:dyDescent="0.25">
      <c r="A234" s="939">
        <v>92501</v>
      </c>
      <c r="B234" s="939" t="s">
        <v>2801</v>
      </c>
      <c r="C234" s="944">
        <v>1869584.19</v>
      </c>
    </row>
    <row r="235" spans="1:3" x14ac:dyDescent="0.25">
      <c r="A235" s="939">
        <v>92502</v>
      </c>
      <c r="B235" s="939" t="s">
        <v>2802</v>
      </c>
      <c r="C235" s="944">
        <v>14163.86</v>
      </c>
    </row>
    <row r="236" spans="1:3" x14ac:dyDescent="0.25">
      <c r="A236" s="939">
        <v>92504</v>
      </c>
      <c r="B236" s="939" t="s">
        <v>2803</v>
      </c>
      <c r="C236" s="944">
        <v>49663.95</v>
      </c>
    </row>
    <row r="237" spans="1:3" x14ac:dyDescent="0.25">
      <c r="A237" s="939">
        <v>92505</v>
      </c>
      <c r="B237" s="939" t="s">
        <v>2804</v>
      </c>
      <c r="C237" s="944">
        <v>119135.7</v>
      </c>
    </row>
    <row r="238" spans="1:3" x14ac:dyDescent="0.25">
      <c r="A238" s="939">
        <v>92506</v>
      </c>
      <c r="B238" s="939" t="s">
        <v>2805</v>
      </c>
      <c r="C238" s="944">
        <v>26569.89</v>
      </c>
    </row>
    <row r="239" spans="1:3" x14ac:dyDescent="0.25">
      <c r="A239" s="939">
        <v>92507</v>
      </c>
      <c r="B239" s="939" t="s">
        <v>2806</v>
      </c>
      <c r="C239" s="944">
        <v>40749.97</v>
      </c>
    </row>
    <row r="240" spans="1:3" x14ac:dyDescent="0.25">
      <c r="A240" s="939">
        <v>92508</v>
      </c>
      <c r="B240" s="939" t="s">
        <v>2807</v>
      </c>
      <c r="C240" s="944">
        <v>152020.5</v>
      </c>
    </row>
    <row r="241" spans="1:3" x14ac:dyDescent="0.25">
      <c r="A241" s="939">
        <v>92511</v>
      </c>
      <c r="B241" s="939" t="s">
        <v>2809</v>
      </c>
      <c r="C241" s="944">
        <v>1524503.09</v>
      </c>
    </row>
    <row r="242" spans="1:3" x14ac:dyDescent="0.25">
      <c r="A242" s="939">
        <v>92513</v>
      </c>
      <c r="B242" s="939" t="s">
        <v>2810</v>
      </c>
      <c r="C242" s="944">
        <v>1669953.62</v>
      </c>
    </row>
    <row r="243" spans="1:3" x14ac:dyDescent="0.25">
      <c r="A243" s="939">
        <v>92521</v>
      </c>
      <c r="B243" s="939" t="s">
        <v>2811</v>
      </c>
      <c r="C243" s="944">
        <v>37384.129999999997</v>
      </c>
    </row>
    <row r="244" spans="1:3" x14ac:dyDescent="0.25">
      <c r="A244" s="939">
        <v>92531</v>
      </c>
      <c r="B244" s="939" t="s">
        <v>2812</v>
      </c>
      <c r="C244" s="944">
        <v>358463.96</v>
      </c>
    </row>
    <row r="245" spans="1:3" x14ac:dyDescent="0.25">
      <c r="A245" s="939">
        <v>92541</v>
      </c>
      <c r="B245" s="939" t="s">
        <v>2813</v>
      </c>
      <c r="C245" s="944">
        <v>58963.519999999997</v>
      </c>
    </row>
    <row r="246" spans="1:3" x14ac:dyDescent="0.25">
      <c r="A246" s="939">
        <v>92551</v>
      </c>
      <c r="B246" s="939" t="s">
        <v>2814</v>
      </c>
      <c r="C246" s="944">
        <v>19992.34</v>
      </c>
    </row>
    <row r="247" spans="1:3" x14ac:dyDescent="0.25">
      <c r="A247" s="939">
        <v>92561</v>
      </c>
      <c r="B247" s="939" t="s">
        <v>2815</v>
      </c>
      <c r="C247" s="944">
        <v>11715.66</v>
      </c>
    </row>
    <row r="248" spans="1:3" x14ac:dyDescent="0.25">
      <c r="A248" s="939">
        <v>92571</v>
      </c>
      <c r="B248" s="939" t="s">
        <v>2816</v>
      </c>
      <c r="C248" s="944">
        <v>6486.43</v>
      </c>
    </row>
    <row r="249" spans="1:3" x14ac:dyDescent="0.25">
      <c r="A249" s="939">
        <v>92601</v>
      </c>
      <c r="B249" s="939" t="s">
        <v>2817</v>
      </c>
      <c r="C249" s="944">
        <v>7108398.0499999998</v>
      </c>
    </row>
    <row r="250" spans="1:3" x14ac:dyDescent="0.25">
      <c r="A250" s="939">
        <v>92602</v>
      </c>
      <c r="B250" s="939" t="s">
        <v>2818</v>
      </c>
      <c r="C250" s="944">
        <v>3604.49</v>
      </c>
    </row>
    <row r="251" spans="1:3" x14ac:dyDescent="0.25">
      <c r="A251" s="939">
        <v>92604</v>
      </c>
      <c r="B251" s="939" t="s">
        <v>2819</v>
      </c>
      <c r="C251" s="944">
        <v>178690.81</v>
      </c>
    </row>
    <row r="252" spans="1:3" x14ac:dyDescent="0.25">
      <c r="A252" s="939">
        <v>92607</v>
      </c>
      <c r="B252" s="939" t="s">
        <v>2820</v>
      </c>
      <c r="C252" s="944">
        <v>38426.51</v>
      </c>
    </row>
    <row r="253" spans="1:3" x14ac:dyDescent="0.25">
      <c r="A253" s="939">
        <v>92611</v>
      </c>
      <c r="B253" s="939" t="s">
        <v>2822</v>
      </c>
      <c r="C253" s="944">
        <v>5890415</v>
      </c>
    </row>
    <row r="254" spans="1:3" x14ac:dyDescent="0.25">
      <c r="A254" s="939">
        <v>92613</v>
      </c>
      <c r="B254" s="939" t="s">
        <v>2823</v>
      </c>
      <c r="C254" s="944">
        <v>143120.74</v>
      </c>
    </row>
    <row r="255" spans="1:3" x14ac:dyDescent="0.25">
      <c r="A255" s="939">
        <v>92614</v>
      </c>
      <c r="B255" s="939" t="s">
        <v>2824</v>
      </c>
      <c r="C255" s="944">
        <v>4788008.4000000004</v>
      </c>
    </row>
    <row r="256" spans="1:3" x14ac:dyDescent="0.25">
      <c r="A256" s="939">
        <v>92621</v>
      </c>
      <c r="B256" s="939" t="s">
        <v>2825</v>
      </c>
      <c r="C256" s="944">
        <v>11242.97</v>
      </c>
    </row>
    <row r="257" spans="1:3" x14ac:dyDescent="0.25">
      <c r="A257" s="939">
        <v>92631</v>
      </c>
      <c r="B257" s="939" t="s">
        <v>2826</v>
      </c>
      <c r="C257" s="944">
        <v>397128.07</v>
      </c>
    </row>
    <row r="258" spans="1:3" x14ac:dyDescent="0.25">
      <c r="A258" s="939">
        <v>92641</v>
      </c>
      <c r="B258" s="939" t="s">
        <v>2827</v>
      </c>
      <c r="C258" s="944">
        <v>5720.12</v>
      </c>
    </row>
    <row r="259" spans="1:3" x14ac:dyDescent="0.25">
      <c r="A259" s="939">
        <v>92651</v>
      </c>
      <c r="B259" s="939" t="s">
        <v>2828</v>
      </c>
      <c r="C259" s="944">
        <v>3150.96</v>
      </c>
    </row>
    <row r="260" spans="1:3" x14ac:dyDescent="0.25">
      <c r="A260" s="939">
        <v>92661</v>
      </c>
      <c r="B260" s="939" t="s">
        <v>2829</v>
      </c>
      <c r="C260" s="944">
        <v>591164.31999999995</v>
      </c>
    </row>
    <row r="261" spans="1:3" x14ac:dyDescent="0.25">
      <c r="A261" s="939">
        <v>92671</v>
      </c>
      <c r="B261" s="939" t="s">
        <v>2830</v>
      </c>
      <c r="C261" s="944">
        <v>5278.64</v>
      </c>
    </row>
    <row r="262" spans="1:3" x14ac:dyDescent="0.25">
      <c r="A262" s="939">
        <v>92681</v>
      </c>
      <c r="B262" s="939" t="s">
        <v>2831</v>
      </c>
      <c r="C262" s="944">
        <v>11572</v>
      </c>
    </row>
    <row r="263" spans="1:3" x14ac:dyDescent="0.25">
      <c r="A263" s="939">
        <v>92701</v>
      </c>
      <c r="B263" s="939" t="s">
        <v>2832</v>
      </c>
      <c r="C263" s="944">
        <v>1358590.69</v>
      </c>
    </row>
    <row r="264" spans="1:3" x14ac:dyDescent="0.25">
      <c r="A264" s="939">
        <v>92704</v>
      </c>
      <c r="B264" s="939" t="s">
        <v>2833</v>
      </c>
      <c r="C264" s="944">
        <v>18894.43</v>
      </c>
    </row>
    <row r="265" spans="1:3" x14ac:dyDescent="0.25">
      <c r="A265" s="939">
        <v>92801</v>
      </c>
      <c r="B265" s="939" t="s">
        <v>2834</v>
      </c>
      <c r="C265" s="944">
        <v>2417020.31</v>
      </c>
    </row>
    <row r="266" spans="1:3" x14ac:dyDescent="0.25">
      <c r="A266" s="939">
        <v>92802</v>
      </c>
      <c r="B266" s="939" t="s">
        <v>2835</v>
      </c>
      <c r="C266" s="944">
        <v>55827.79</v>
      </c>
    </row>
    <row r="267" spans="1:3" x14ac:dyDescent="0.25">
      <c r="A267" s="939">
        <v>92804</v>
      </c>
      <c r="B267" s="939" t="s">
        <v>2836</v>
      </c>
      <c r="C267" s="944">
        <v>57776.63</v>
      </c>
    </row>
    <row r="268" spans="1:3" x14ac:dyDescent="0.25">
      <c r="A268" s="939">
        <v>92811</v>
      </c>
      <c r="B268" s="939" t="s">
        <v>2837</v>
      </c>
      <c r="C268" s="944">
        <v>442634.87</v>
      </c>
    </row>
    <row r="269" spans="1:3" x14ac:dyDescent="0.25">
      <c r="A269" s="939">
        <v>92821</v>
      </c>
      <c r="B269" s="939" t="s">
        <v>2838</v>
      </c>
      <c r="C269" s="944">
        <v>481049.22</v>
      </c>
    </row>
    <row r="270" spans="1:3" x14ac:dyDescent="0.25">
      <c r="A270" s="939">
        <v>92831</v>
      </c>
      <c r="B270" s="939" t="s">
        <v>2839</v>
      </c>
      <c r="C270" s="944">
        <v>122075.53</v>
      </c>
    </row>
    <row r="271" spans="1:3" x14ac:dyDescent="0.25">
      <c r="A271" s="939">
        <v>92841</v>
      </c>
      <c r="B271" s="939" t="s">
        <v>2840</v>
      </c>
      <c r="C271" s="944">
        <v>116983.39</v>
      </c>
    </row>
    <row r="272" spans="1:3" x14ac:dyDescent="0.25">
      <c r="A272" s="939">
        <v>92851</v>
      </c>
      <c r="B272" s="939" t="s">
        <v>2841</v>
      </c>
      <c r="C272" s="944">
        <v>187164.34</v>
      </c>
    </row>
    <row r="273" spans="1:3" x14ac:dyDescent="0.25">
      <c r="A273" s="939">
        <v>92861</v>
      </c>
      <c r="B273" s="939" t="s">
        <v>2842</v>
      </c>
      <c r="C273" s="944">
        <v>121951.42</v>
      </c>
    </row>
    <row r="274" spans="1:3" x14ac:dyDescent="0.25">
      <c r="A274" s="939">
        <v>92901</v>
      </c>
      <c r="B274" s="939" t="s">
        <v>2843</v>
      </c>
      <c r="C274" s="944">
        <v>2645958.38</v>
      </c>
    </row>
    <row r="275" spans="1:3" x14ac:dyDescent="0.25">
      <c r="A275" s="939">
        <v>92911</v>
      </c>
      <c r="B275" s="939" t="s">
        <v>2844</v>
      </c>
      <c r="C275" s="944">
        <v>924132.14</v>
      </c>
    </row>
    <row r="276" spans="1:3" x14ac:dyDescent="0.25">
      <c r="A276" s="939">
        <v>92913</v>
      </c>
      <c r="B276" s="939" t="s">
        <v>2845</v>
      </c>
      <c r="C276" s="944">
        <v>57759.519999999997</v>
      </c>
    </row>
    <row r="277" spans="1:3" x14ac:dyDescent="0.25">
      <c r="A277" s="939">
        <v>92914</v>
      </c>
      <c r="B277" s="939" t="s">
        <v>3583</v>
      </c>
      <c r="C277" s="944">
        <v>10513.27</v>
      </c>
    </row>
    <row r="278" spans="1:3" x14ac:dyDescent="0.25">
      <c r="A278" s="939">
        <v>92917</v>
      </c>
      <c r="B278" s="939" t="s">
        <v>2846</v>
      </c>
      <c r="C278" s="944">
        <v>16081.77</v>
      </c>
    </row>
    <row r="279" spans="1:3" x14ac:dyDescent="0.25">
      <c r="A279" s="939">
        <v>92921</v>
      </c>
      <c r="B279" s="939" t="s">
        <v>2847</v>
      </c>
      <c r="C279" s="944">
        <v>41072.51</v>
      </c>
    </row>
    <row r="280" spans="1:3" x14ac:dyDescent="0.25">
      <c r="A280" s="939">
        <v>92931</v>
      </c>
      <c r="B280" s="939" t="s">
        <v>2848</v>
      </c>
      <c r="C280" s="944">
        <v>1109331.33</v>
      </c>
    </row>
    <row r="281" spans="1:3" x14ac:dyDescent="0.25">
      <c r="A281" s="939">
        <v>92941</v>
      </c>
      <c r="B281" s="939" t="s">
        <v>1445</v>
      </c>
      <c r="C281" s="944">
        <v>8546.51</v>
      </c>
    </row>
    <row r="282" spans="1:3" x14ac:dyDescent="0.25">
      <c r="A282" s="939">
        <v>93001</v>
      </c>
      <c r="B282" s="939" t="s">
        <v>2849</v>
      </c>
      <c r="C282" s="944">
        <v>981066.02</v>
      </c>
    </row>
    <row r="283" spans="1:3" x14ac:dyDescent="0.25">
      <c r="A283" s="939">
        <v>93009</v>
      </c>
      <c r="B283" s="939" t="s">
        <v>2850</v>
      </c>
      <c r="C283" s="944">
        <v>5347.54</v>
      </c>
    </row>
    <row r="284" spans="1:3" x14ac:dyDescent="0.25">
      <c r="A284" s="939">
        <v>93011</v>
      </c>
      <c r="B284" s="939" t="s">
        <v>2851</v>
      </c>
      <c r="C284" s="944">
        <v>118523.35</v>
      </c>
    </row>
    <row r="285" spans="1:3" x14ac:dyDescent="0.25">
      <c r="A285" s="939">
        <v>93021</v>
      </c>
      <c r="B285" s="939" t="s">
        <v>2852</v>
      </c>
      <c r="C285" s="944">
        <v>12993.63</v>
      </c>
    </row>
    <row r="286" spans="1:3" x14ac:dyDescent="0.25">
      <c r="A286" s="939">
        <v>93027</v>
      </c>
      <c r="B286" s="939" t="s">
        <v>2853</v>
      </c>
      <c r="C286" s="944">
        <v>8270.2199999999993</v>
      </c>
    </row>
    <row r="287" spans="1:3" x14ac:dyDescent="0.25">
      <c r="A287" s="939">
        <v>93031</v>
      </c>
      <c r="B287" s="939" t="s">
        <v>2854</v>
      </c>
      <c r="C287" s="944">
        <v>20396.900000000001</v>
      </c>
    </row>
    <row r="288" spans="1:3" x14ac:dyDescent="0.25">
      <c r="A288" s="939">
        <v>93101</v>
      </c>
      <c r="B288" s="939" t="s">
        <v>2855</v>
      </c>
      <c r="C288" s="944">
        <v>1521216.67</v>
      </c>
    </row>
    <row r="289" spans="1:3" x14ac:dyDescent="0.25">
      <c r="A289" s="939">
        <v>93103</v>
      </c>
      <c r="B289" s="939" t="s">
        <v>2123</v>
      </c>
      <c r="C289" s="944">
        <v>5686.32</v>
      </c>
    </row>
    <row r="290" spans="1:3" x14ac:dyDescent="0.25">
      <c r="A290" s="939">
        <v>93108</v>
      </c>
      <c r="B290" s="939" t="s">
        <v>2856</v>
      </c>
      <c r="C290" s="944">
        <v>1189196.73</v>
      </c>
    </row>
    <row r="291" spans="1:3" x14ac:dyDescent="0.25">
      <c r="A291" s="939">
        <v>93111</v>
      </c>
      <c r="B291" s="939" t="s">
        <v>2857</v>
      </c>
      <c r="C291" s="944">
        <v>27143.07</v>
      </c>
    </row>
    <row r="292" spans="1:3" x14ac:dyDescent="0.25">
      <c r="A292" s="939">
        <v>93121</v>
      </c>
      <c r="B292" s="939" t="s">
        <v>2858</v>
      </c>
      <c r="C292" s="944">
        <v>28305.74</v>
      </c>
    </row>
    <row r="293" spans="1:3" x14ac:dyDescent="0.25">
      <c r="A293" s="939">
        <v>93127</v>
      </c>
      <c r="B293" s="939" t="s">
        <v>2859</v>
      </c>
      <c r="C293" s="944">
        <v>3239.02</v>
      </c>
    </row>
    <row r="294" spans="1:3" x14ac:dyDescent="0.25">
      <c r="A294" s="939">
        <v>93131</v>
      </c>
      <c r="B294" s="939" t="s">
        <v>2860</v>
      </c>
      <c r="C294" s="944">
        <v>95091.23</v>
      </c>
    </row>
    <row r="295" spans="1:3" x14ac:dyDescent="0.25">
      <c r="A295" s="939">
        <v>93137</v>
      </c>
      <c r="B295" s="939" t="s">
        <v>2861</v>
      </c>
      <c r="C295" s="944">
        <v>2530.41</v>
      </c>
    </row>
    <row r="296" spans="1:3" x14ac:dyDescent="0.25">
      <c r="A296" s="939">
        <v>93141</v>
      </c>
      <c r="B296" s="939" t="s">
        <v>2862</v>
      </c>
      <c r="C296" s="944">
        <v>16198.56</v>
      </c>
    </row>
    <row r="297" spans="1:3" x14ac:dyDescent="0.25">
      <c r="A297" s="939">
        <v>93151</v>
      </c>
      <c r="B297" s="939" t="s">
        <v>2863</v>
      </c>
      <c r="C297" s="944">
        <v>156182.22</v>
      </c>
    </row>
    <row r="298" spans="1:3" x14ac:dyDescent="0.25">
      <c r="A298" s="939">
        <v>93157</v>
      </c>
      <c r="B298" s="939" t="s">
        <v>2864</v>
      </c>
      <c r="C298" s="944">
        <v>6045</v>
      </c>
    </row>
    <row r="299" spans="1:3" x14ac:dyDescent="0.25">
      <c r="A299" s="939">
        <v>93161</v>
      </c>
      <c r="B299" s="939" t="s">
        <v>2865</v>
      </c>
      <c r="C299" s="944">
        <v>47956.1</v>
      </c>
    </row>
    <row r="300" spans="1:3" x14ac:dyDescent="0.25">
      <c r="A300" s="939">
        <v>93171</v>
      </c>
      <c r="B300" s="939" t="s">
        <v>2866</v>
      </c>
      <c r="C300" s="944">
        <v>3888.96</v>
      </c>
    </row>
    <row r="301" spans="1:3" x14ac:dyDescent="0.25">
      <c r="A301" s="939">
        <v>93181</v>
      </c>
      <c r="B301" s="939" t="s">
        <v>2867</v>
      </c>
      <c r="C301" s="944">
        <v>5393.25</v>
      </c>
    </row>
    <row r="302" spans="1:3" x14ac:dyDescent="0.25">
      <c r="A302" s="939">
        <v>93191</v>
      </c>
      <c r="B302" s="939" t="s">
        <v>2868</v>
      </c>
      <c r="C302" s="944">
        <v>16088.93</v>
      </c>
    </row>
    <row r="303" spans="1:3" x14ac:dyDescent="0.25">
      <c r="A303" s="939">
        <v>93201</v>
      </c>
      <c r="B303" s="939" t="s">
        <v>2869</v>
      </c>
      <c r="C303" s="944">
        <v>7119269.8700000001</v>
      </c>
    </row>
    <row r="304" spans="1:3" x14ac:dyDescent="0.25">
      <c r="A304" s="939">
        <v>93204</v>
      </c>
      <c r="B304" s="939" t="s">
        <v>2871</v>
      </c>
      <c r="C304" s="944">
        <v>157546.01999999999</v>
      </c>
    </row>
    <row r="305" spans="1:3" x14ac:dyDescent="0.25">
      <c r="A305" s="939">
        <v>93209</v>
      </c>
      <c r="B305" s="939" t="s">
        <v>2872</v>
      </c>
      <c r="C305" s="944">
        <v>2094524.82</v>
      </c>
    </row>
    <row r="306" spans="1:3" x14ac:dyDescent="0.25">
      <c r="A306" s="939">
        <v>93211</v>
      </c>
      <c r="B306" s="939" t="s">
        <v>2873</v>
      </c>
      <c r="C306" s="944">
        <v>9330077.1099999994</v>
      </c>
    </row>
    <row r="307" spans="1:3" x14ac:dyDescent="0.25">
      <c r="A307" s="939">
        <v>93212</v>
      </c>
      <c r="B307" s="939" t="s">
        <v>2874</v>
      </c>
      <c r="C307" s="944">
        <v>193583.83</v>
      </c>
    </row>
    <row r="308" spans="1:3" x14ac:dyDescent="0.25">
      <c r="A308" s="939">
        <v>93219</v>
      </c>
      <c r="B308" s="939" t="s">
        <v>2875</v>
      </c>
      <c r="C308" s="944">
        <v>120178.79</v>
      </c>
    </row>
    <row r="309" spans="1:3" x14ac:dyDescent="0.25">
      <c r="A309" s="939">
        <v>93301</v>
      </c>
      <c r="B309" s="939" t="s">
        <v>2876</v>
      </c>
      <c r="C309" s="944">
        <v>1153745.6499999999</v>
      </c>
    </row>
    <row r="310" spans="1:3" x14ac:dyDescent="0.25">
      <c r="A310" s="939">
        <v>93304</v>
      </c>
      <c r="B310" s="939" t="s">
        <v>2877</v>
      </c>
      <c r="C310" s="944">
        <v>18289.23</v>
      </c>
    </row>
    <row r="311" spans="1:3" x14ac:dyDescent="0.25">
      <c r="A311" s="939">
        <v>93305</v>
      </c>
      <c r="B311" s="939" t="s">
        <v>2878</v>
      </c>
      <c r="C311" s="944">
        <v>19564.66</v>
      </c>
    </row>
    <row r="312" spans="1:3" x14ac:dyDescent="0.25">
      <c r="A312" s="939">
        <v>93309</v>
      </c>
      <c r="B312" s="939" t="s">
        <v>2879</v>
      </c>
      <c r="C312" s="944">
        <v>89050.64</v>
      </c>
    </row>
    <row r="313" spans="1:3" x14ac:dyDescent="0.25">
      <c r="A313" s="939">
        <v>93311</v>
      </c>
      <c r="B313" s="939" t="s">
        <v>2880</v>
      </c>
      <c r="C313" s="944">
        <v>529431.75</v>
      </c>
    </row>
    <row r="314" spans="1:3" x14ac:dyDescent="0.25">
      <c r="A314" s="939">
        <v>93317</v>
      </c>
      <c r="B314" s="939" t="s">
        <v>2881</v>
      </c>
      <c r="C314" s="944">
        <v>21779.42</v>
      </c>
    </row>
    <row r="315" spans="1:3" x14ac:dyDescent="0.25">
      <c r="A315" s="939">
        <v>93321</v>
      </c>
      <c r="B315" s="939" t="s">
        <v>2882</v>
      </c>
      <c r="C315" s="944">
        <v>3205901.89</v>
      </c>
    </row>
    <row r="316" spans="1:3" x14ac:dyDescent="0.25">
      <c r="A316" s="939">
        <v>93323</v>
      </c>
      <c r="B316" s="939" t="s">
        <v>2883</v>
      </c>
      <c r="C316" s="944">
        <v>8923.11</v>
      </c>
    </row>
    <row r="317" spans="1:3" x14ac:dyDescent="0.25">
      <c r="A317" s="939">
        <v>93331</v>
      </c>
      <c r="B317" s="939" t="s">
        <v>2884</v>
      </c>
      <c r="C317" s="944">
        <v>56936.17</v>
      </c>
    </row>
    <row r="318" spans="1:3" x14ac:dyDescent="0.25">
      <c r="A318" s="939">
        <v>93333</v>
      </c>
      <c r="B318" s="939" t="s">
        <v>2885</v>
      </c>
      <c r="C318" s="944">
        <v>190543.43</v>
      </c>
    </row>
    <row r="319" spans="1:3" x14ac:dyDescent="0.25">
      <c r="A319" s="939">
        <v>93341</v>
      </c>
      <c r="B319" s="939" t="s">
        <v>2886</v>
      </c>
      <c r="C319" s="944">
        <v>12932.78</v>
      </c>
    </row>
    <row r="320" spans="1:3" x14ac:dyDescent="0.25">
      <c r="A320" s="939">
        <v>93351</v>
      </c>
      <c r="B320" s="939" t="s">
        <v>2887</v>
      </c>
      <c r="C320" s="944">
        <v>16318.86</v>
      </c>
    </row>
    <row r="321" spans="1:3" x14ac:dyDescent="0.25">
      <c r="A321" s="939">
        <v>93401</v>
      </c>
      <c r="B321" s="939" t="s">
        <v>2888</v>
      </c>
      <c r="C321" s="944">
        <v>6356857.0800000001</v>
      </c>
    </row>
    <row r="322" spans="1:3" x14ac:dyDescent="0.25">
      <c r="A322" s="939">
        <v>93402</v>
      </c>
      <c r="B322" s="939" t="s">
        <v>2889</v>
      </c>
      <c r="C322" s="944">
        <v>38603.800000000003</v>
      </c>
    </row>
    <row r="323" spans="1:3" x14ac:dyDescent="0.25">
      <c r="A323" s="939">
        <v>93406</v>
      </c>
      <c r="B323" s="939" t="s">
        <v>2890</v>
      </c>
      <c r="C323" s="944">
        <v>289720.40000000002</v>
      </c>
    </row>
    <row r="324" spans="1:3" x14ac:dyDescent="0.25">
      <c r="A324" s="939">
        <v>93408</v>
      </c>
      <c r="B324" s="939" t="s">
        <v>2891</v>
      </c>
      <c r="C324" s="944">
        <v>73961.63</v>
      </c>
    </row>
    <row r="325" spans="1:3" x14ac:dyDescent="0.25">
      <c r="A325" s="939">
        <v>93411</v>
      </c>
      <c r="B325" s="939" t="s">
        <v>2892</v>
      </c>
      <c r="C325" s="944">
        <v>8222693.9100000001</v>
      </c>
    </row>
    <row r="326" spans="1:3" x14ac:dyDescent="0.25">
      <c r="A326" s="939">
        <v>93413</v>
      </c>
      <c r="B326" s="939" t="s">
        <v>2893</v>
      </c>
      <c r="C326" s="944">
        <v>378795.94</v>
      </c>
    </row>
    <row r="327" spans="1:3" x14ac:dyDescent="0.25">
      <c r="A327" s="939">
        <v>93417</v>
      </c>
      <c r="B327" s="939" t="s">
        <v>2894</v>
      </c>
      <c r="C327" s="944">
        <v>172878.16</v>
      </c>
    </row>
    <row r="328" spans="1:3" x14ac:dyDescent="0.25">
      <c r="A328" s="939">
        <v>93421</v>
      </c>
      <c r="B328" s="939" t="s">
        <v>2895</v>
      </c>
      <c r="C328" s="944">
        <v>893357</v>
      </c>
    </row>
    <row r="329" spans="1:3" x14ac:dyDescent="0.25">
      <c r="A329" s="939">
        <v>93431</v>
      </c>
      <c r="B329" s="939" t="s">
        <v>2896</v>
      </c>
      <c r="C329" s="944">
        <v>61080.39</v>
      </c>
    </row>
    <row r="330" spans="1:3" x14ac:dyDescent="0.25">
      <c r="A330" s="939">
        <v>93441</v>
      </c>
      <c r="B330" s="939" t="s">
        <v>2897</v>
      </c>
      <c r="C330" s="944">
        <v>77932.77</v>
      </c>
    </row>
    <row r="331" spans="1:3" x14ac:dyDescent="0.25">
      <c r="A331" s="939">
        <v>93442</v>
      </c>
      <c r="B331" s="939" t="s">
        <v>2898</v>
      </c>
      <c r="C331" s="944">
        <v>57506.51</v>
      </c>
    </row>
    <row r="332" spans="1:3" x14ac:dyDescent="0.25">
      <c r="A332" s="939">
        <v>93451</v>
      </c>
      <c r="B332" s="939" t="s">
        <v>2899</v>
      </c>
      <c r="C332" s="944">
        <v>41774.85</v>
      </c>
    </row>
    <row r="333" spans="1:3" x14ac:dyDescent="0.25">
      <c r="A333" s="939">
        <v>93461</v>
      </c>
      <c r="B333" s="939" t="s">
        <v>2900</v>
      </c>
      <c r="C333" s="944">
        <v>8263.56</v>
      </c>
    </row>
    <row r="334" spans="1:3" x14ac:dyDescent="0.25">
      <c r="A334" s="939">
        <v>93471</v>
      </c>
      <c r="B334" s="939" t="s">
        <v>2901</v>
      </c>
      <c r="C334" s="944">
        <v>8324.42</v>
      </c>
    </row>
    <row r="335" spans="1:3" x14ac:dyDescent="0.25">
      <c r="A335" s="939">
        <v>93501</v>
      </c>
      <c r="B335" s="939" t="s">
        <v>2902</v>
      </c>
      <c r="C335" s="944">
        <v>1661032.88</v>
      </c>
    </row>
    <row r="336" spans="1:3" x14ac:dyDescent="0.25">
      <c r="A336" s="939">
        <v>93511</v>
      </c>
      <c r="B336" s="939" t="s">
        <v>2903</v>
      </c>
      <c r="C336" s="944">
        <v>45050.15</v>
      </c>
    </row>
    <row r="337" spans="1:3" x14ac:dyDescent="0.25">
      <c r="A337" s="939">
        <v>93517</v>
      </c>
      <c r="B337" s="939" t="s">
        <v>2904</v>
      </c>
      <c r="C337" s="944">
        <v>4387.08</v>
      </c>
    </row>
    <row r="338" spans="1:3" x14ac:dyDescent="0.25">
      <c r="A338" s="939">
        <v>93521</v>
      </c>
      <c r="B338" s="939" t="s">
        <v>2905</v>
      </c>
      <c r="C338" s="944">
        <v>213304.85</v>
      </c>
    </row>
    <row r="339" spans="1:3" x14ac:dyDescent="0.25">
      <c r="A339" s="939">
        <v>93527</v>
      </c>
      <c r="B339" s="939" t="s">
        <v>2906</v>
      </c>
      <c r="C339" s="944">
        <v>9590.98</v>
      </c>
    </row>
    <row r="340" spans="1:3" x14ac:dyDescent="0.25">
      <c r="A340" s="939">
        <v>93531</v>
      </c>
      <c r="B340" s="939" t="s">
        <v>2907</v>
      </c>
      <c r="C340" s="944">
        <v>11623.46</v>
      </c>
    </row>
    <row r="341" spans="1:3" x14ac:dyDescent="0.25">
      <c r="A341" s="939">
        <v>93537</v>
      </c>
      <c r="B341" s="939" t="s">
        <v>2908</v>
      </c>
      <c r="C341" s="944">
        <v>4063.54</v>
      </c>
    </row>
    <row r="342" spans="1:3" x14ac:dyDescent="0.25">
      <c r="A342" s="939">
        <v>93541</v>
      </c>
      <c r="B342" s="939" t="s">
        <v>2909</v>
      </c>
      <c r="C342" s="944">
        <v>49275.9</v>
      </c>
    </row>
    <row r="343" spans="1:3" x14ac:dyDescent="0.25">
      <c r="A343" s="939">
        <v>93601</v>
      </c>
      <c r="B343" s="939" t="s">
        <v>2910</v>
      </c>
      <c r="C343" s="944">
        <v>5038239.96</v>
      </c>
    </row>
    <row r="344" spans="1:3" x14ac:dyDescent="0.25">
      <c r="A344" s="939">
        <v>93602</v>
      </c>
      <c r="B344" s="939" t="s">
        <v>2911</v>
      </c>
      <c r="C344" s="944">
        <v>82188.28</v>
      </c>
    </row>
    <row r="345" spans="1:3" x14ac:dyDescent="0.25">
      <c r="A345" s="939">
        <v>93609</v>
      </c>
      <c r="B345" s="939" t="s">
        <v>2912</v>
      </c>
      <c r="C345" s="944">
        <v>1743934.29</v>
      </c>
    </row>
    <row r="346" spans="1:3" x14ac:dyDescent="0.25">
      <c r="A346" s="939">
        <v>93610</v>
      </c>
      <c r="B346" s="939" t="s">
        <v>2913</v>
      </c>
      <c r="C346" s="944">
        <v>5845.83</v>
      </c>
    </row>
    <row r="347" spans="1:3" x14ac:dyDescent="0.25">
      <c r="A347" s="939">
        <v>93611</v>
      </c>
      <c r="B347" s="939" t="s">
        <v>2914</v>
      </c>
      <c r="C347" s="944">
        <v>3250732.82</v>
      </c>
    </row>
    <row r="348" spans="1:3" x14ac:dyDescent="0.25">
      <c r="A348" s="939">
        <v>93617</v>
      </c>
      <c r="B348" s="939" t="s">
        <v>2915</v>
      </c>
      <c r="C348" s="944">
        <v>49099.68</v>
      </c>
    </row>
    <row r="349" spans="1:3" x14ac:dyDescent="0.25">
      <c r="A349" s="939">
        <v>93618</v>
      </c>
      <c r="B349" s="939" t="s">
        <v>2916</v>
      </c>
      <c r="C349" s="944">
        <v>23981.69</v>
      </c>
    </row>
    <row r="350" spans="1:3" x14ac:dyDescent="0.25">
      <c r="A350" s="939">
        <v>93621</v>
      </c>
      <c r="B350" s="939" t="s">
        <v>2917</v>
      </c>
      <c r="C350" s="944">
        <v>412639.12</v>
      </c>
    </row>
    <row r="351" spans="1:3" x14ac:dyDescent="0.25">
      <c r="A351" s="939">
        <v>93623</v>
      </c>
      <c r="B351" s="939" t="s">
        <v>2918</v>
      </c>
      <c r="C351" s="944">
        <v>8719.73</v>
      </c>
    </row>
    <row r="352" spans="1:3" x14ac:dyDescent="0.25">
      <c r="A352" s="939">
        <v>93631</v>
      </c>
      <c r="B352" s="939" t="s">
        <v>2919</v>
      </c>
      <c r="C352" s="944">
        <v>100500.61</v>
      </c>
    </row>
    <row r="353" spans="1:3" x14ac:dyDescent="0.25">
      <c r="A353" s="939">
        <v>93641</v>
      </c>
      <c r="B353" s="939" t="s">
        <v>2920</v>
      </c>
      <c r="C353" s="944">
        <v>197852.16</v>
      </c>
    </row>
    <row r="354" spans="1:3" x14ac:dyDescent="0.25">
      <c r="A354" s="939">
        <v>93647</v>
      </c>
      <c r="B354" s="939" t="s">
        <v>2921</v>
      </c>
      <c r="C354" s="944">
        <v>9062</v>
      </c>
    </row>
    <row r="355" spans="1:3" x14ac:dyDescent="0.25">
      <c r="A355" s="939">
        <v>93651</v>
      </c>
      <c r="B355" s="939" t="s">
        <v>2922</v>
      </c>
      <c r="C355" s="944">
        <v>185953.3</v>
      </c>
    </row>
    <row r="356" spans="1:3" x14ac:dyDescent="0.25">
      <c r="A356" s="939">
        <v>93661</v>
      </c>
      <c r="B356" s="939" t="s">
        <v>2923</v>
      </c>
      <c r="C356" s="944">
        <v>66083.95</v>
      </c>
    </row>
    <row r="357" spans="1:3" x14ac:dyDescent="0.25">
      <c r="A357" s="939">
        <v>93671</v>
      </c>
      <c r="B357" s="939" t="s">
        <v>2924</v>
      </c>
      <c r="C357" s="944">
        <v>172671.45</v>
      </c>
    </row>
    <row r="358" spans="1:3" x14ac:dyDescent="0.25">
      <c r="A358" s="939">
        <v>93681</v>
      </c>
      <c r="B358" s="939" t="s">
        <v>2925</v>
      </c>
      <c r="C358" s="944">
        <v>48114.98</v>
      </c>
    </row>
    <row r="359" spans="1:3" x14ac:dyDescent="0.25">
      <c r="A359" s="939">
        <v>93691</v>
      </c>
      <c r="B359" s="939" t="s">
        <v>2926</v>
      </c>
      <c r="C359" s="944">
        <v>464181.78</v>
      </c>
    </row>
    <row r="360" spans="1:3" x14ac:dyDescent="0.25">
      <c r="A360" s="939">
        <v>93701</v>
      </c>
      <c r="B360" s="939" t="s">
        <v>3584</v>
      </c>
      <c r="C360" s="944">
        <v>201820.37</v>
      </c>
    </row>
    <row r="361" spans="1:3" x14ac:dyDescent="0.25">
      <c r="A361" s="939">
        <v>93704</v>
      </c>
      <c r="B361" s="939" t="s">
        <v>2928</v>
      </c>
      <c r="C361" s="944">
        <v>1962.36</v>
      </c>
    </row>
    <row r="362" spans="1:3" x14ac:dyDescent="0.25">
      <c r="A362" s="939">
        <v>93801</v>
      </c>
      <c r="B362" s="939" t="s">
        <v>2929</v>
      </c>
      <c r="C362" s="944">
        <v>205983.46</v>
      </c>
    </row>
    <row r="363" spans="1:3" x14ac:dyDescent="0.25">
      <c r="A363" s="939">
        <v>93803</v>
      </c>
      <c r="B363" s="939" t="s">
        <v>2930</v>
      </c>
      <c r="C363" s="944">
        <v>50572.67</v>
      </c>
    </row>
    <row r="364" spans="1:3" x14ac:dyDescent="0.25">
      <c r="A364" s="939">
        <v>93806</v>
      </c>
      <c r="B364" s="939" t="s">
        <v>2931</v>
      </c>
      <c r="C364" s="944">
        <v>41336.410000000003</v>
      </c>
    </row>
    <row r="365" spans="1:3" x14ac:dyDescent="0.25">
      <c r="A365" s="939">
        <v>93821</v>
      </c>
      <c r="B365" s="939" t="s">
        <v>2932</v>
      </c>
      <c r="C365" s="944">
        <v>36176.93</v>
      </c>
    </row>
    <row r="366" spans="1:3" x14ac:dyDescent="0.25">
      <c r="A366" s="939">
        <v>93901</v>
      </c>
      <c r="B366" s="939" t="s">
        <v>2933</v>
      </c>
      <c r="C366" s="944">
        <v>887169.47</v>
      </c>
    </row>
    <row r="367" spans="1:3" x14ac:dyDescent="0.25">
      <c r="A367" s="939">
        <v>93904</v>
      </c>
      <c r="B367" s="939" t="s">
        <v>2934</v>
      </c>
      <c r="C367" s="944">
        <v>17302.099999999999</v>
      </c>
    </row>
    <row r="368" spans="1:3" x14ac:dyDescent="0.25">
      <c r="A368" s="939">
        <v>93906</v>
      </c>
      <c r="B368" s="939" t="s">
        <v>2935</v>
      </c>
      <c r="C368" s="944">
        <v>1486050.97</v>
      </c>
    </row>
    <row r="369" spans="1:3" x14ac:dyDescent="0.25">
      <c r="A369" s="939">
        <v>93908</v>
      </c>
      <c r="B369" s="939" t="s">
        <v>3585</v>
      </c>
      <c r="C369" s="944">
        <v>237113.54</v>
      </c>
    </row>
    <row r="370" spans="1:3" x14ac:dyDescent="0.25">
      <c r="A370" s="939">
        <v>93910</v>
      </c>
      <c r="B370" s="939" t="s">
        <v>2937</v>
      </c>
      <c r="C370" s="944">
        <v>117577.95</v>
      </c>
    </row>
    <row r="371" spans="1:3" x14ac:dyDescent="0.25">
      <c r="A371" s="939">
        <v>93911</v>
      </c>
      <c r="B371" s="939" t="s">
        <v>2938</v>
      </c>
      <c r="C371" s="944">
        <v>301989.03999999998</v>
      </c>
    </row>
    <row r="372" spans="1:3" x14ac:dyDescent="0.25">
      <c r="A372" s="939">
        <v>93913</v>
      </c>
      <c r="B372" s="939" t="s">
        <v>2939</v>
      </c>
      <c r="C372" s="944">
        <v>29910.37</v>
      </c>
    </row>
    <row r="373" spans="1:3" x14ac:dyDescent="0.25">
      <c r="A373" s="939">
        <v>93914</v>
      </c>
      <c r="B373" s="939" t="s">
        <v>2940</v>
      </c>
      <c r="C373" s="944">
        <v>6536.24</v>
      </c>
    </row>
    <row r="374" spans="1:3" x14ac:dyDescent="0.25">
      <c r="A374" s="939">
        <v>93921</v>
      </c>
      <c r="B374" s="939" t="s">
        <v>2941</v>
      </c>
      <c r="C374" s="944">
        <v>126883.55</v>
      </c>
    </row>
    <row r="375" spans="1:3" x14ac:dyDescent="0.25">
      <c r="A375" s="939">
        <v>93931</v>
      </c>
      <c r="B375" s="939" t="s">
        <v>2942</v>
      </c>
      <c r="C375" s="944">
        <v>212622.69</v>
      </c>
    </row>
    <row r="376" spans="1:3" x14ac:dyDescent="0.25">
      <c r="A376" s="939">
        <v>94001</v>
      </c>
      <c r="B376" s="939" t="s">
        <v>2943</v>
      </c>
      <c r="C376" s="944">
        <v>430502.87</v>
      </c>
    </row>
    <row r="377" spans="1:3" x14ac:dyDescent="0.25">
      <c r="A377" s="939">
        <v>94002</v>
      </c>
      <c r="B377" s="939" t="s">
        <v>2944</v>
      </c>
      <c r="C377" s="944">
        <v>4692.72</v>
      </c>
    </row>
    <row r="378" spans="1:3" x14ac:dyDescent="0.25">
      <c r="A378" s="939">
        <v>94004</v>
      </c>
      <c r="B378" s="939" t="s">
        <v>2945</v>
      </c>
      <c r="C378" s="944">
        <v>4145.3</v>
      </c>
    </row>
    <row r="379" spans="1:3" x14ac:dyDescent="0.25">
      <c r="A379" s="939">
        <v>94005</v>
      </c>
      <c r="B379" s="939" t="s">
        <v>2946</v>
      </c>
      <c r="C379" s="944">
        <v>560.08000000000004</v>
      </c>
    </row>
    <row r="380" spans="1:3" x14ac:dyDescent="0.25">
      <c r="A380" s="939">
        <v>94011</v>
      </c>
      <c r="B380" s="939" t="s">
        <v>2947</v>
      </c>
      <c r="C380" s="944">
        <v>9232.91</v>
      </c>
    </row>
    <row r="381" spans="1:3" x14ac:dyDescent="0.25">
      <c r="A381" s="939">
        <v>94021</v>
      </c>
      <c r="B381" s="939" t="s">
        <v>2948</v>
      </c>
      <c r="C381" s="944">
        <v>47346.080000000002</v>
      </c>
    </row>
    <row r="382" spans="1:3" x14ac:dyDescent="0.25">
      <c r="A382" s="939">
        <v>94031</v>
      </c>
      <c r="B382" s="939" t="s">
        <v>2949</v>
      </c>
      <c r="C382" s="944">
        <v>6799.77</v>
      </c>
    </row>
    <row r="383" spans="1:3" x14ac:dyDescent="0.25">
      <c r="A383" s="939">
        <v>94101</v>
      </c>
      <c r="B383" s="939" t="s">
        <v>2950</v>
      </c>
      <c r="C383" s="944">
        <v>8515875.1699999999</v>
      </c>
    </row>
    <row r="384" spans="1:3" x14ac:dyDescent="0.25">
      <c r="A384" s="939">
        <v>94102</v>
      </c>
      <c r="B384" s="939" t="s">
        <v>2951</v>
      </c>
      <c r="C384" s="944">
        <v>104557.32</v>
      </c>
    </row>
    <row r="385" spans="1:3" x14ac:dyDescent="0.25">
      <c r="A385" s="939">
        <v>94108</v>
      </c>
      <c r="B385" s="939" t="s">
        <v>2952</v>
      </c>
      <c r="C385" s="944">
        <v>112936.32000000001</v>
      </c>
    </row>
    <row r="386" spans="1:3" x14ac:dyDescent="0.25">
      <c r="A386" s="939">
        <v>94109</v>
      </c>
      <c r="B386" s="939" t="s">
        <v>2953</v>
      </c>
      <c r="C386" s="944">
        <v>31710.15</v>
      </c>
    </row>
    <row r="387" spans="1:3" x14ac:dyDescent="0.25">
      <c r="A387" s="939">
        <v>94111</v>
      </c>
      <c r="B387" s="939" t="s">
        <v>2954</v>
      </c>
      <c r="C387" s="944">
        <v>11270051.1</v>
      </c>
    </row>
    <row r="388" spans="1:3" x14ac:dyDescent="0.25">
      <c r="A388" s="939">
        <v>94112</v>
      </c>
      <c r="B388" s="939" t="s">
        <v>2955</v>
      </c>
      <c r="C388" s="944">
        <v>68639.710000000006</v>
      </c>
    </row>
    <row r="389" spans="1:3" x14ac:dyDescent="0.25">
      <c r="A389" s="939">
        <v>94117</v>
      </c>
      <c r="B389" s="939" t="s">
        <v>2956</v>
      </c>
      <c r="C389" s="944">
        <v>179744.39</v>
      </c>
    </row>
    <row r="390" spans="1:3" x14ac:dyDescent="0.25">
      <c r="A390" s="939">
        <v>94118</v>
      </c>
      <c r="B390" s="939" t="s">
        <v>2957</v>
      </c>
      <c r="C390" s="944">
        <v>57233.17</v>
      </c>
    </row>
    <row r="391" spans="1:3" x14ac:dyDescent="0.25">
      <c r="A391" s="939">
        <v>94121</v>
      </c>
      <c r="B391" s="939" t="s">
        <v>2958</v>
      </c>
      <c r="C391" s="944">
        <v>5240634.42</v>
      </c>
    </row>
    <row r="392" spans="1:3" x14ac:dyDescent="0.25">
      <c r="A392" s="939">
        <v>94127</v>
      </c>
      <c r="B392" s="939" t="s">
        <v>2959</v>
      </c>
      <c r="C392" s="944">
        <v>70092.83</v>
      </c>
    </row>
    <row r="393" spans="1:3" x14ac:dyDescent="0.25">
      <c r="A393" s="939">
        <v>94131</v>
      </c>
      <c r="B393" s="939" t="s">
        <v>2960</v>
      </c>
      <c r="C393" s="944">
        <v>91155.82</v>
      </c>
    </row>
    <row r="394" spans="1:3" x14ac:dyDescent="0.25">
      <c r="A394" s="939">
        <v>94151</v>
      </c>
      <c r="B394" s="939" t="s">
        <v>2961</v>
      </c>
      <c r="C394" s="944">
        <v>171244.06</v>
      </c>
    </row>
    <row r="395" spans="1:3" x14ac:dyDescent="0.25">
      <c r="A395" s="939">
        <v>94157</v>
      </c>
      <c r="B395" s="939" t="s">
        <v>2962</v>
      </c>
      <c r="C395" s="944">
        <v>5185.84</v>
      </c>
    </row>
    <row r="396" spans="1:3" x14ac:dyDescent="0.25">
      <c r="A396" s="939">
        <v>94161</v>
      </c>
      <c r="B396" s="939" t="s">
        <v>2963</v>
      </c>
      <c r="C396" s="944">
        <v>24924.69</v>
      </c>
    </row>
    <row r="397" spans="1:3" x14ac:dyDescent="0.25">
      <c r="A397" s="939">
        <v>94168</v>
      </c>
      <c r="B397" s="939" t="s">
        <v>2964</v>
      </c>
      <c r="C397" s="944">
        <v>14686.17</v>
      </c>
    </row>
    <row r="398" spans="1:3" x14ac:dyDescent="0.25">
      <c r="A398" s="939">
        <v>94171</v>
      </c>
      <c r="B398" s="939" t="s">
        <v>2965</v>
      </c>
      <c r="C398" s="944">
        <v>26827.68</v>
      </c>
    </row>
    <row r="399" spans="1:3" x14ac:dyDescent="0.25">
      <c r="A399" s="939">
        <v>94172</v>
      </c>
      <c r="B399" s="939" t="s">
        <v>2966</v>
      </c>
      <c r="C399" s="944">
        <v>91552.69</v>
      </c>
    </row>
    <row r="400" spans="1:3" x14ac:dyDescent="0.25">
      <c r="A400" s="939">
        <v>94201</v>
      </c>
      <c r="B400" s="939" t="s">
        <v>2967</v>
      </c>
      <c r="C400" s="944">
        <v>1556105.08</v>
      </c>
    </row>
    <row r="401" spans="1:3" x14ac:dyDescent="0.25">
      <c r="A401" s="939">
        <v>94204</v>
      </c>
      <c r="B401" s="939" t="s">
        <v>2968</v>
      </c>
      <c r="C401" s="944">
        <v>17428.34</v>
      </c>
    </row>
    <row r="402" spans="1:3" x14ac:dyDescent="0.25">
      <c r="A402" s="939">
        <v>94205</v>
      </c>
      <c r="B402" s="939" t="s">
        <v>2969</v>
      </c>
      <c r="C402" s="944">
        <v>11901.92</v>
      </c>
    </row>
    <row r="403" spans="1:3" x14ac:dyDescent="0.25">
      <c r="A403" s="939">
        <v>94209</v>
      </c>
      <c r="B403" s="939" t="s">
        <v>2970</v>
      </c>
      <c r="C403" s="944">
        <v>157002.72</v>
      </c>
    </row>
    <row r="404" spans="1:3" x14ac:dyDescent="0.25">
      <c r="A404" s="939">
        <v>94211</v>
      </c>
      <c r="B404" s="939" t="s">
        <v>2971</v>
      </c>
      <c r="C404" s="944">
        <v>61663.42</v>
      </c>
    </row>
    <row r="405" spans="1:3" x14ac:dyDescent="0.25">
      <c r="A405" s="939">
        <v>94221</v>
      </c>
      <c r="B405" s="939" t="s">
        <v>2972</v>
      </c>
      <c r="C405" s="944">
        <v>459327.54</v>
      </c>
    </row>
    <row r="406" spans="1:3" x14ac:dyDescent="0.25">
      <c r="A406" s="939">
        <v>94231</v>
      </c>
      <c r="B406" s="939" t="s">
        <v>2973</v>
      </c>
      <c r="C406" s="944">
        <v>101171.11</v>
      </c>
    </row>
    <row r="407" spans="1:3" x14ac:dyDescent="0.25">
      <c r="A407" s="939">
        <v>94241</v>
      </c>
      <c r="B407" s="939" t="s">
        <v>2974</v>
      </c>
      <c r="C407" s="944">
        <v>53316.480000000003</v>
      </c>
    </row>
    <row r="408" spans="1:3" x14ac:dyDescent="0.25">
      <c r="A408" s="939">
        <v>94251</v>
      </c>
      <c r="B408" s="939" t="s">
        <v>2975</v>
      </c>
      <c r="C408" s="944">
        <v>8455.27</v>
      </c>
    </row>
    <row r="409" spans="1:3" x14ac:dyDescent="0.25">
      <c r="A409" s="939">
        <v>94261</v>
      </c>
      <c r="B409" s="939" t="s">
        <v>2976</v>
      </c>
      <c r="C409" s="944">
        <v>18725.830000000002</v>
      </c>
    </row>
    <row r="410" spans="1:3" x14ac:dyDescent="0.25">
      <c r="A410" s="939">
        <v>94301</v>
      </c>
      <c r="B410" s="939" t="s">
        <v>2977</v>
      </c>
      <c r="C410" s="944">
        <v>2799559.67</v>
      </c>
    </row>
    <row r="411" spans="1:3" x14ac:dyDescent="0.25">
      <c r="A411" s="939">
        <v>94311</v>
      </c>
      <c r="B411" s="939" t="s">
        <v>2978</v>
      </c>
      <c r="C411" s="944">
        <v>355079.11</v>
      </c>
    </row>
    <row r="412" spans="1:3" x14ac:dyDescent="0.25">
      <c r="A412" s="939">
        <v>94313</v>
      </c>
      <c r="B412" s="939" t="s">
        <v>2979</v>
      </c>
      <c r="C412" s="944">
        <v>12662.72</v>
      </c>
    </row>
    <row r="413" spans="1:3" x14ac:dyDescent="0.25">
      <c r="A413" s="939">
        <v>94317</v>
      </c>
      <c r="B413" s="939" t="s">
        <v>2980</v>
      </c>
      <c r="C413" s="944">
        <v>9618.07</v>
      </c>
    </row>
    <row r="414" spans="1:3" x14ac:dyDescent="0.25">
      <c r="A414" s="939">
        <v>94321</v>
      </c>
      <c r="B414" s="939" t="s">
        <v>2981</v>
      </c>
      <c r="C414" s="944">
        <v>115394.57</v>
      </c>
    </row>
    <row r="415" spans="1:3" x14ac:dyDescent="0.25">
      <c r="A415" s="939">
        <v>94331</v>
      </c>
      <c r="B415" s="939" t="s">
        <v>2982</v>
      </c>
      <c r="C415" s="944">
        <v>68283.990000000005</v>
      </c>
    </row>
    <row r="416" spans="1:3" x14ac:dyDescent="0.25">
      <c r="A416" s="939">
        <v>94341</v>
      </c>
      <c r="B416" s="939" t="s">
        <v>2983</v>
      </c>
      <c r="C416" s="944">
        <v>38534.32</v>
      </c>
    </row>
    <row r="417" spans="1:3" x14ac:dyDescent="0.25">
      <c r="A417" s="939">
        <v>94347</v>
      </c>
      <c r="B417" s="939" t="s">
        <v>2984</v>
      </c>
      <c r="C417" s="944">
        <v>8690.85</v>
      </c>
    </row>
    <row r="418" spans="1:3" x14ac:dyDescent="0.25">
      <c r="A418" s="939">
        <v>94351</v>
      </c>
      <c r="B418" s="939" t="s">
        <v>2985</v>
      </c>
      <c r="C418" s="944">
        <v>104638.5</v>
      </c>
    </row>
    <row r="419" spans="1:3" x14ac:dyDescent="0.25">
      <c r="A419" s="939">
        <v>94401</v>
      </c>
      <c r="B419" s="939" t="s">
        <v>3586</v>
      </c>
      <c r="C419" s="944">
        <v>1551159.4</v>
      </c>
    </row>
    <row r="420" spans="1:3" x14ac:dyDescent="0.25">
      <c r="A420" s="939">
        <v>94403</v>
      </c>
      <c r="B420" s="939" t="s">
        <v>3587</v>
      </c>
      <c r="C420" s="944">
        <v>9903.66</v>
      </c>
    </row>
    <row r="421" spans="1:3" x14ac:dyDescent="0.25">
      <c r="A421" s="939">
        <v>94408</v>
      </c>
      <c r="B421" s="939" t="s">
        <v>2988</v>
      </c>
      <c r="C421" s="944">
        <v>14750.31</v>
      </c>
    </row>
    <row r="422" spans="1:3" x14ac:dyDescent="0.25">
      <c r="A422" s="939">
        <v>94411</v>
      </c>
      <c r="B422" s="939" t="s">
        <v>2989</v>
      </c>
      <c r="C422" s="944">
        <v>555106.06000000006</v>
      </c>
    </row>
    <row r="423" spans="1:3" x14ac:dyDescent="0.25">
      <c r="A423" s="939">
        <v>94412</v>
      </c>
      <c r="B423" s="939" t="s">
        <v>2990</v>
      </c>
      <c r="C423" s="944">
        <v>13059</v>
      </c>
    </row>
    <row r="424" spans="1:3" x14ac:dyDescent="0.25">
      <c r="A424" s="939">
        <v>94421</v>
      </c>
      <c r="B424" s="939" t="s">
        <v>2991</v>
      </c>
      <c r="C424" s="944">
        <v>80768.41</v>
      </c>
    </row>
    <row r="425" spans="1:3" x14ac:dyDescent="0.25">
      <c r="A425" s="939">
        <v>94427</v>
      </c>
      <c r="B425" s="939" t="s">
        <v>2992</v>
      </c>
      <c r="C425" s="944">
        <v>9339.9599999999991</v>
      </c>
    </row>
    <row r="426" spans="1:3" x14ac:dyDescent="0.25">
      <c r="A426" s="939">
        <v>94428</v>
      </c>
      <c r="B426" s="939" t="s">
        <v>2993</v>
      </c>
      <c r="C426" s="944">
        <v>33460.42</v>
      </c>
    </row>
    <row r="427" spans="1:3" x14ac:dyDescent="0.25">
      <c r="A427" s="939">
        <v>94431</v>
      </c>
      <c r="B427" s="939" t="s">
        <v>2994</v>
      </c>
      <c r="C427" s="944">
        <v>293285.84999999998</v>
      </c>
    </row>
    <row r="428" spans="1:3" x14ac:dyDescent="0.25">
      <c r="A428" s="939">
        <v>94437</v>
      </c>
      <c r="B428" s="939" t="s">
        <v>2995</v>
      </c>
      <c r="C428" s="944">
        <v>12848.36</v>
      </c>
    </row>
    <row r="429" spans="1:3" x14ac:dyDescent="0.25">
      <c r="A429" s="939">
        <v>94501</v>
      </c>
      <c r="B429" s="939" t="s">
        <v>2996</v>
      </c>
      <c r="C429" s="944">
        <v>2726192.43</v>
      </c>
    </row>
    <row r="430" spans="1:3" x14ac:dyDescent="0.25">
      <c r="A430" s="939">
        <v>94511</v>
      </c>
      <c r="B430" s="939" t="s">
        <v>2997</v>
      </c>
      <c r="C430" s="944">
        <v>773013.4</v>
      </c>
    </row>
    <row r="431" spans="1:3" x14ac:dyDescent="0.25">
      <c r="A431" s="939">
        <v>94517</v>
      </c>
      <c r="B431" s="939" t="s">
        <v>2999</v>
      </c>
      <c r="C431" s="944">
        <v>31749.57</v>
      </c>
    </row>
    <row r="432" spans="1:3" x14ac:dyDescent="0.25">
      <c r="A432" s="939">
        <v>94521</v>
      </c>
      <c r="B432" s="939" t="s">
        <v>3000</v>
      </c>
      <c r="C432" s="944">
        <v>61288.84</v>
      </c>
    </row>
    <row r="433" spans="1:3" x14ac:dyDescent="0.25">
      <c r="A433" s="939">
        <v>94527</v>
      </c>
      <c r="B433" s="939" t="s">
        <v>3001</v>
      </c>
      <c r="C433" s="944">
        <v>2381.96</v>
      </c>
    </row>
    <row r="434" spans="1:3" x14ac:dyDescent="0.25">
      <c r="A434" s="939">
        <v>94531</v>
      </c>
      <c r="B434" s="939" t="s">
        <v>3002</v>
      </c>
      <c r="C434" s="944">
        <v>11395.84</v>
      </c>
    </row>
    <row r="435" spans="1:3" x14ac:dyDescent="0.25">
      <c r="A435" s="939">
        <v>94532</v>
      </c>
      <c r="B435" s="939" t="s">
        <v>3003</v>
      </c>
      <c r="C435" s="944">
        <v>45014.32</v>
      </c>
    </row>
    <row r="436" spans="1:3" x14ac:dyDescent="0.25">
      <c r="A436" s="939">
        <v>94541</v>
      </c>
      <c r="B436" s="939" t="s">
        <v>3004</v>
      </c>
      <c r="C436" s="944">
        <v>124372.05</v>
      </c>
    </row>
    <row r="437" spans="1:3" x14ac:dyDescent="0.25">
      <c r="A437" s="939">
        <v>94547</v>
      </c>
      <c r="B437" s="939" t="s">
        <v>3005</v>
      </c>
      <c r="C437" s="944">
        <v>8019.29</v>
      </c>
    </row>
    <row r="438" spans="1:3" x14ac:dyDescent="0.25">
      <c r="A438" s="939">
        <v>94551</v>
      </c>
      <c r="B438" s="939" t="s">
        <v>3006</v>
      </c>
      <c r="C438" s="944">
        <v>24928.99</v>
      </c>
    </row>
    <row r="439" spans="1:3" x14ac:dyDescent="0.25">
      <c r="A439" s="939">
        <v>94601</v>
      </c>
      <c r="B439" s="939" t="s">
        <v>3007</v>
      </c>
      <c r="C439" s="944">
        <v>501425.25</v>
      </c>
    </row>
    <row r="440" spans="1:3" x14ac:dyDescent="0.25">
      <c r="A440" s="939">
        <v>94604</v>
      </c>
      <c r="B440" s="939" t="s">
        <v>3008</v>
      </c>
      <c r="C440" s="944">
        <v>14408.03</v>
      </c>
    </row>
    <row r="441" spans="1:3" x14ac:dyDescent="0.25">
      <c r="A441" s="939">
        <v>94606</v>
      </c>
      <c r="B441" s="939" t="s">
        <v>3009</v>
      </c>
      <c r="C441" s="944">
        <v>106916.28</v>
      </c>
    </row>
    <row r="442" spans="1:3" x14ac:dyDescent="0.25">
      <c r="A442" s="939">
        <v>94611</v>
      </c>
      <c r="B442" s="939" t="s">
        <v>3010</v>
      </c>
      <c r="C442" s="944">
        <v>191640.99</v>
      </c>
    </row>
    <row r="443" spans="1:3" x14ac:dyDescent="0.25">
      <c r="A443" s="939">
        <v>94621</v>
      </c>
      <c r="B443" s="939" t="s">
        <v>3011</v>
      </c>
      <c r="C443" s="944">
        <v>66540.759999999995</v>
      </c>
    </row>
    <row r="444" spans="1:3" x14ac:dyDescent="0.25">
      <c r="A444" s="939">
        <v>94631</v>
      </c>
      <c r="B444" s="939" t="s">
        <v>3012</v>
      </c>
      <c r="C444" s="944">
        <v>22452.62</v>
      </c>
    </row>
    <row r="445" spans="1:3" x14ac:dyDescent="0.25">
      <c r="A445" s="939">
        <v>94641</v>
      </c>
      <c r="B445" s="939" t="s">
        <v>3013</v>
      </c>
      <c r="C445" s="944">
        <v>5004.1499999999996</v>
      </c>
    </row>
    <row r="446" spans="1:3" x14ac:dyDescent="0.25">
      <c r="A446" s="939">
        <v>94701</v>
      </c>
      <c r="B446" s="939" t="s">
        <v>3014</v>
      </c>
      <c r="C446" s="944">
        <v>1148600.23</v>
      </c>
    </row>
    <row r="447" spans="1:3" x14ac:dyDescent="0.25">
      <c r="A447" s="939">
        <v>94704</v>
      </c>
      <c r="B447" s="939" t="s">
        <v>3015</v>
      </c>
      <c r="C447" s="944">
        <v>5070.34</v>
      </c>
    </row>
    <row r="448" spans="1:3" x14ac:dyDescent="0.25">
      <c r="A448" s="939">
        <v>94711</v>
      </c>
      <c r="B448" s="939" t="s">
        <v>3016</v>
      </c>
      <c r="C448" s="944">
        <v>165327.16</v>
      </c>
    </row>
    <row r="449" spans="1:3" x14ac:dyDescent="0.25">
      <c r="A449" s="939">
        <v>94801</v>
      </c>
      <c r="B449" s="939" t="s">
        <v>3017</v>
      </c>
      <c r="C449" s="944">
        <v>342416</v>
      </c>
    </row>
    <row r="450" spans="1:3" x14ac:dyDescent="0.25">
      <c r="A450" s="939">
        <v>94804</v>
      </c>
      <c r="B450" s="939" t="s">
        <v>3018</v>
      </c>
      <c r="C450" s="944">
        <v>2740.23</v>
      </c>
    </row>
    <row r="451" spans="1:3" x14ac:dyDescent="0.25">
      <c r="A451" s="939">
        <v>94812</v>
      </c>
      <c r="B451" s="939" t="s">
        <v>3019</v>
      </c>
      <c r="C451" s="944">
        <v>19657.82</v>
      </c>
    </row>
    <row r="452" spans="1:3" x14ac:dyDescent="0.25">
      <c r="A452" s="939">
        <v>94901</v>
      </c>
      <c r="B452" s="939" t="s">
        <v>3020</v>
      </c>
      <c r="C452" s="944">
        <v>3201092.76</v>
      </c>
    </row>
    <row r="453" spans="1:3" x14ac:dyDescent="0.25">
      <c r="A453" s="939">
        <v>94908</v>
      </c>
      <c r="B453" s="939" t="s">
        <v>3021</v>
      </c>
      <c r="C453" s="944">
        <v>7868.1</v>
      </c>
    </row>
    <row r="454" spans="1:3" x14ac:dyDescent="0.25">
      <c r="A454" s="939">
        <v>94911</v>
      </c>
      <c r="B454" s="939" t="s">
        <v>3022</v>
      </c>
      <c r="C454" s="944">
        <v>1295988.0900000001</v>
      </c>
    </row>
    <row r="455" spans="1:3" x14ac:dyDescent="0.25">
      <c r="A455" s="939">
        <v>94917</v>
      </c>
      <c r="B455" s="939" t="s">
        <v>3023</v>
      </c>
      <c r="C455" s="944">
        <v>27131.37</v>
      </c>
    </row>
    <row r="456" spans="1:3" x14ac:dyDescent="0.25">
      <c r="A456" s="939">
        <v>94921</v>
      </c>
      <c r="B456" s="939" t="s">
        <v>3024</v>
      </c>
      <c r="C456" s="944">
        <v>1632572.15</v>
      </c>
    </row>
    <row r="457" spans="1:3" x14ac:dyDescent="0.25">
      <c r="A457" s="939">
        <v>94923</v>
      </c>
      <c r="B457" s="939" t="s">
        <v>3025</v>
      </c>
      <c r="C457" s="944">
        <v>14810.39</v>
      </c>
    </row>
    <row r="458" spans="1:3" x14ac:dyDescent="0.25">
      <c r="A458" s="939">
        <v>94927</v>
      </c>
      <c r="B458" s="939" t="s">
        <v>3026</v>
      </c>
      <c r="C458" s="944">
        <v>17352.64</v>
      </c>
    </row>
    <row r="459" spans="1:3" x14ac:dyDescent="0.25">
      <c r="A459" s="939">
        <v>94931</v>
      </c>
      <c r="B459" s="939" t="s">
        <v>3027</v>
      </c>
      <c r="C459" s="944">
        <v>96301.56</v>
      </c>
    </row>
    <row r="460" spans="1:3" x14ac:dyDescent="0.25">
      <c r="A460" s="939">
        <v>94941</v>
      </c>
      <c r="B460" s="939" t="s">
        <v>3028</v>
      </c>
      <c r="C460" s="944">
        <v>242953.81</v>
      </c>
    </row>
    <row r="461" spans="1:3" x14ac:dyDescent="0.25">
      <c r="A461" s="939">
        <v>95001</v>
      </c>
      <c r="B461" s="939" t="s">
        <v>3029</v>
      </c>
      <c r="C461" s="944">
        <v>1196131.21</v>
      </c>
    </row>
    <row r="462" spans="1:3" x14ac:dyDescent="0.25">
      <c r="A462" s="939">
        <v>95002</v>
      </c>
      <c r="B462" s="939" t="s">
        <v>3030</v>
      </c>
      <c r="C462" s="944">
        <v>100854.15</v>
      </c>
    </row>
    <row r="463" spans="1:3" x14ac:dyDescent="0.25">
      <c r="A463" s="939">
        <v>95005</v>
      </c>
      <c r="B463" s="939" t="s">
        <v>3031</v>
      </c>
      <c r="C463" s="944">
        <v>111066.47</v>
      </c>
    </row>
    <row r="464" spans="1:3" x14ac:dyDescent="0.25">
      <c r="A464" s="939">
        <v>95008</v>
      </c>
      <c r="B464" s="939" t="s">
        <v>3032</v>
      </c>
      <c r="C464" s="944">
        <v>62834.27</v>
      </c>
    </row>
    <row r="465" spans="1:3" x14ac:dyDescent="0.25">
      <c r="A465" s="939">
        <v>95009</v>
      </c>
      <c r="B465" s="939" t="s">
        <v>3588</v>
      </c>
      <c r="C465" s="944">
        <v>1917855.88</v>
      </c>
    </row>
    <row r="466" spans="1:3" x14ac:dyDescent="0.25">
      <c r="A466" s="939">
        <v>95011</v>
      </c>
      <c r="B466" s="939" t="s">
        <v>3034</v>
      </c>
      <c r="C466" s="944">
        <v>78934.13</v>
      </c>
    </row>
    <row r="467" spans="1:3" x14ac:dyDescent="0.25">
      <c r="A467" s="939">
        <v>95017</v>
      </c>
      <c r="B467" s="939" t="s">
        <v>3035</v>
      </c>
      <c r="C467" s="944">
        <v>15329.87</v>
      </c>
    </row>
    <row r="468" spans="1:3" x14ac:dyDescent="0.25">
      <c r="A468" s="939">
        <v>95101</v>
      </c>
      <c r="B468" s="939" t="s">
        <v>3036</v>
      </c>
      <c r="C468" s="944">
        <v>3555097.08</v>
      </c>
    </row>
    <row r="469" spans="1:3" x14ac:dyDescent="0.25">
      <c r="A469" s="939">
        <v>95103</v>
      </c>
      <c r="B469" s="939" t="s">
        <v>3037</v>
      </c>
      <c r="C469" s="944">
        <v>33036.129999999997</v>
      </c>
    </row>
    <row r="470" spans="1:3" x14ac:dyDescent="0.25">
      <c r="A470" s="939">
        <v>95104</v>
      </c>
      <c r="B470" s="939" t="s">
        <v>3038</v>
      </c>
      <c r="C470" s="944">
        <v>55855.62</v>
      </c>
    </row>
    <row r="471" spans="1:3" x14ac:dyDescent="0.25">
      <c r="A471" s="939">
        <v>95105</v>
      </c>
      <c r="B471" s="939" t="s">
        <v>3039</v>
      </c>
      <c r="C471" s="944">
        <v>33363.379999999997</v>
      </c>
    </row>
    <row r="472" spans="1:3" x14ac:dyDescent="0.25">
      <c r="A472" s="939">
        <v>95106</v>
      </c>
      <c r="B472" s="939" t="s">
        <v>3040</v>
      </c>
      <c r="C472" s="944">
        <v>5271.85</v>
      </c>
    </row>
    <row r="473" spans="1:3" x14ac:dyDescent="0.25">
      <c r="A473" s="939">
        <v>95110</v>
      </c>
      <c r="B473" s="939" t="s">
        <v>3041</v>
      </c>
      <c r="C473" s="944">
        <v>1965505.09</v>
      </c>
    </row>
    <row r="474" spans="1:3" x14ac:dyDescent="0.25">
      <c r="A474" s="939">
        <v>95111</v>
      </c>
      <c r="B474" s="939" t="s">
        <v>3042</v>
      </c>
      <c r="C474" s="944">
        <v>470002.71</v>
      </c>
    </row>
    <row r="475" spans="1:3" x14ac:dyDescent="0.25">
      <c r="A475" s="939">
        <v>95113</v>
      </c>
      <c r="B475" s="939" t="s">
        <v>3043</v>
      </c>
      <c r="C475" s="944">
        <v>66186.570000000007</v>
      </c>
    </row>
    <row r="476" spans="1:3" x14ac:dyDescent="0.25">
      <c r="A476" s="939">
        <v>95121</v>
      </c>
      <c r="B476" s="939" t="s">
        <v>3044</v>
      </c>
      <c r="C476" s="944">
        <v>224753.49</v>
      </c>
    </row>
    <row r="477" spans="1:3" x14ac:dyDescent="0.25">
      <c r="A477" s="939">
        <v>95122</v>
      </c>
      <c r="B477" s="939" t="s">
        <v>3045</v>
      </c>
      <c r="C477" s="944">
        <v>3102.98</v>
      </c>
    </row>
    <row r="478" spans="1:3" x14ac:dyDescent="0.25">
      <c r="A478" s="939">
        <v>95123</v>
      </c>
      <c r="B478" s="939" t="s">
        <v>3046</v>
      </c>
      <c r="C478" s="944">
        <v>29190.51</v>
      </c>
    </row>
    <row r="479" spans="1:3" x14ac:dyDescent="0.25">
      <c r="A479" s="939">
        <v>95131</v>
      </c>
      <c r="B479" s="939" t="s">
        <v>3047</v>
      </c>
      <c r="C479" s="944">
        <v>749707.41</v>
      </c>
    </row>
    <row r="480" spans="1:3" x14ac:dyDescent="0.25">
      <c r="A480" s="939">
        <v>95141</v>
      </c>
      <c r="B480" s="939" t="s">
        <v>3048</v>
      </c>
      <c r="C480" s="944">
        <v>131053.09</v>
      </c>
    </row>
    <row r="481" spans="1:3" x14ac:dyDescent="0.25">
      <c r="A481" s="939">
        <v>95151</v>
      </c>
      <c r="B481" s="939" t="s">
        <v>3049</v>
      </c>
      <c r="C481" s="944">
        <v>46662.9</v>
      </c>
    </row>
    <row r="482" spans="1:3" x14ac:dyDescent="0.25">
      <c r="A482" s="939">
        <v>95161</v>
      </c>
      <c r="B482" s="939" t="s">
        <v>3050</v>
      </c>
      <c r="C482" s="944">
        <v>38087.31</v>
      </c>
    </row>
    <row r="483" spans="1:3" x14ac:dyDescent="0.25">
      <c r="A483" s="939">
        <v>95171</v>
      </c>
      <c r="B483" s="939" t="s">
        <v>3051</v>
      </c>
      <c r="C483" s="944">
        <v>53916.92</v>
      </c>
    </row>
    <row r="484" spans="1:3" x14ac:dyDescent="0.25">
      <c r="A484" s="939">
        <v>95181</v>
      </c>
      <c r="B484" s="939" t="s">
        <v>3052</v>
      </c>
      <c r="C484" s="944">
        <v>30098.97</v>
      </c>
    </row>
    <row r="485" spans="1:3" x14ac:dyDescent="0.25">
      <c r="A485" s="939">
        <v>95191</v>
      </c>
      <c r="B485" s="939" t="s">
        <v>3053</v>
      </c>
      <c r="C485" s="944">
        <v>31310.75</v>
      </c>
    </row>
    <row r="486" spans="1:3" x14ac:dyDescent="0.25">
      <c r="A486" s="939">
        <v>95201</v>
      </c>
      <c r="B486" s="939" t="s">
        <v>3054</v>
      </c>
      <c r="C486" s="944">
        <v>303948.90000000002</v>
      </c>
    </row>
    <row r="487" spans="1:3" x14ac:dyDescent="0.25">
      <c r="A487" s="939">
        <v>95204</v>
      </c>
      <c r="B487" s="939" t="s">
        <v>3055</v>
      </c>
      <c r="C487" s="944">
        <v>7225.91</v>
      </c>
    </row>
    <row r="488" spans="1:3" x14ac:dyDescent="0.25">
      <c r="A488" s="939">
        <v>95205</v>
      </c>
      <c r="B488" s="939" t="s">
        <v>3056</v>
      </c>
      <c r="C488" s="944">
        <v>2455.09</v>
      </c>
    </row>
    <row r="489" spans="1:3" x14ac:dyDescent="0.25">
      <c r="A489" s="939">
        <v>95211</v>
      </c>
      <c r="B489" s="939" t="s">
        <v>3057</v>
      </c>
      <c r="C489" s="944">
        <v>4221.8500000000004</v>
      </c>
    </row>
    <row r="490" spans="1:3" x14ac:dyDescent="0.25">
      <c r="A490" s="939">
        <v>95221</v>
      </c>
      <c r="B490" s="939" t="s">
        <v>3058</v>
      </c>
      <c r="C490" s="944">
        <v>20360.849999999999</v>
      </c>
    </row>
    <row r="491" spans="1:3" x14ac:dyDescent="0.25">
      <c r="A491" s="939">
        <v>95301</v>
      </c>
      <c r="B491" s="939" t="s">
        <v>3059</v>
      </c>
      <c r="C491" s="944">
        <v>1141657.08</v>
      </c>
    </row>
    <row r="492" spans="1:3" x14ac:dyDescent="0.25">
      <c r="A492" s="939">
        <v>95311</v>
      </c>
      <c r="B492" s="939" t="s">
        <v>3060</v>
      </c>
      <c r="C492" s="944">
        <v>1275633.6599999999</v>
      </c>
    </row>
    <row r="493" spans="1:3" x14ac:dyDescent="0.25">
      <c r="A493" s="939">
        <v>95317</v>
      </c>
      <c r="B493" s="939" t="s">
        <v>3061</v>
      </c>
      <c r="C493" s="944">
        <v>27510.73</v>
      </c>
    </row>
    <row r="494" spans="1:3" x14ac:dyDescent="0.25">
      <c r="A494" s="939">
        <v>95321</v>
      </c>
      <c r="B494" s="939" t="s">
        <v>3062</v>
      </c>
      <c r="C494" s="944">
        <v>27222.02</v>
      </c>
    </row>
    <row r="495" spans="1:3" x14ac:dyDescent="0.25">
      <c r="A495" s="939">
        <v>95401</v>
      </c>
      <c r="B495" s="939" t="s">
        <v>3063</v>
      </c>
      <c r="C495" s="944">
        <v>1351002.13</v>
      </c>
    </row>
    <row r="496" spans="1:3" x14ac:dyDescent="0.25">
      <c r="A496" s="939">
        <v>95404</v>
      </c>
      <c r="B496" s="939" t="s">
        <v>3064</v>
      </c>
      <c r="C496" s="944">
        <v>22122.720000000001</v>
      </c>
    </row>
    <row r="497" spans="1:3" x14ac:dyDescent="0.25">
      <c r="A497" s="939">
        <v>95405</v>
      </c>
      <c r="B497" s="939" t="s">
        <v>3065</v>
      </c>
      <c r="C497" s="944">
        <v>17052.54</v>
      </c>
    </row>
    <row r="498" spans="1:3" x14ac:dyDescent="0.25">
      <c r="A498" s="939">
        <v>95411</v>
      </c>
      <c r="B498" s="939" t="s">
        <v>3066</v>
      </c>
      <c r="C498" s="944">
        <v>1058017.01</v>
      </c>
    </row>
    <row r="499" spans="1:3" x14ac:dyDescent="0.25">
      <c r="A499" s="939">
        <v>95413</v>
      </c>
      <c r="B499" s="939" t="s">
        <v>3068</v>
      </c>
      <c r="C499" s="944">
        <v>285392.24</v>
      </c>
    </row>
    <row r="500" spans="1:3" x14ac:dyDescent="0.25">
      <c r="A500" s="939">
        <v>95415</v>
      </c>
      <c r="B500" s="939" t="s">
        <v>3069</v>
      </c>
      <c r="C500" s="944">
        <v>28157.95</v>
      </c>
    </row>
    <row r="501" spans="1:3" x14ac:dyDescent="0.25">
      <c r="A501" s="939">
        <v>95421</v>
      </c>
      <c r="B501" s="939" t="s">
        <v>3070</v>
      </c>
      <c r="C501" s="944">
        <v>18384.72</v>
      </c>
    </row>
    <row r="502" spans="1:3" x14ac:dyDescent="0.25">
      <c r="A502" s="939">
        <v>95431</v>
      </c>
      <c r="B502" s="939" t="s">
        <v>3071</v>
      </c>
      <c r="C502" s="944">
        <v>61885.41</v>
      </c>
    </row>
    <row r="503" spans="1:3" x14ac:dyDescent="0.25">
      <c r="A503" s="939">
        <v>95501</v>
      </c>
      <c r="B503" s="939" t="s">
        <v>3072</v>
      </c>
      <c r="C503" s="944">
        <v>2104813.36</v>
      </c>
    </row>
    <row r="504" spans="1:3" x14ac:dyDescent="0.25">
      <c r="A504" s="939">
        <v>95504</v>
      </c>
      <c r="B504" s="939" t="s">
        <v>3073</v>
      </c>
      <c r="C504" s="944">
        <v>9296.76</v>
      </c>
    </row>
    <row r="505" spans="1:3" x14ac:dyDescent="0.25">
      <c r="A505" s="939">
        <v>95511</v>
      </c>
      <c r="B505" s="939" t="s">
        <v>3074</v>
      </c>
      <c r="C505" s="944">
        <v>484187.91</v>
      </c>
    </row>
    <row r="506" spans="1:3" x14ac:dyDescent="0.25">
      <c r="A506" s="939">
        <v>95513</v>
      </c>
      <c r="B506" s="939" t="s">
        <v>3075</v>
      </c>
      <c r="C506" s="944">
        <v>31793.06</v>
      </c>
    </row>
    <row r="507" spans="1:3" x14ac:dyDescent="0.25">
      <c r="A507" s="939">
        <v>95517</v>
      </c>
      <c r="B507" s="939" t="s">
        <v>3076</v>
      </c>
      <c r="C507" s="944">
        <v>15695.16</v>
      </c>
    </row>
    <row r="508" spans="1:3" x14ac:dyDescent="0.25">
      <c r="A508" s="939">
        <v>95601</v>
      </c>
      <c r="B508" s="939" t="s">
        <v>3077</v>
      </c>
      <c r="C508" s="944">
        <v>1208852.72</v>
      </c>
    </row>
    <row r="509" spans="1:3" x14ac:dyDescent="0.25">
      <c r="A509" s="939">
        <v>95611</v>
      </c>
      <c r="B509" s="939" t="s">
        <v>3078</v>
      </c>
      <c r="C509" s="944">
        <v>186383.47</v>
      </c>
    </row>
    <row r="510" spans="1:3" x14ac:dyDescent="0.25">
      <c r="A510" s="939">
        <v>95617</v>
      </c>
      <c r="B510" s="939" t="s">
        <v>3079</v>
      </c>
      <c r="C510" s="944">
        <v>8201.3799999999992</v>
      </c>
    </row>
    <row r="511" spans="1:3" x14ac:dyDescent="0.25">
      <c r="A511" s="939">
        <v>95621</v>
      </c>
      <c r="B511" s="939" t="s">
        <v>3080</v>
      </c>
      <c r="C511" s="944">
        <v>227836.4</v>
      </c>
    </row>
    <row r="512" spans="1:3" x14ac:dyDescent="0.25">
      <c r="A512" s="939">
        <v>95701</v>
      </c>
      <c r="B512" s="939" t="s">
        <v>3081</v>
      </c>
      <c r="C512" s="944">
        <v>600622.13</v>
      </c>
    </row>
    <row r="513" spans="1:3" x14ac:dyDescent="0.25">
      <c r="A513" s="939">
        <v>95711</v>
      </c>
      <c r="B513" s="939" t="s">
        <v>3082</v>
      </c>
      <c r="C513" s="944">
        <v>55784.89</v>
      </c>
    </row>
    <row r="514" spans="1:3" x14ac:dyDescent="0.25">
      <c r="A514" s="939">
        <v>95721</v>
      </c>
      <c r="B514" s="939" t="s">
        <v>3083</v>
      </c>
      <c r="C514" s="944">
        <v>25093.1</v>
      </c>
    </row>
    <row r="515" spans="1:3" x14ac:dyDescent="0.25">
      <c r="A515" s="939">
        <v>95733</v>
      </c>
      <c r="B515" s="939" t="s">
        <v>3084</v>
      </c>
      <c r="C515" s="944">
        <v>6897.59</v>
      </c>
    </row>
    <row r="516" spans="1:3" x14ac:dyDescent="0.25">
      <c r="A516" s="939">
        <v>95801</v>
      </c>
      <c r="B516" s="939" t="s">
        <v>3085</v>
      </c>
      <c r="C516" s="944">
        <v>449778.57</v>
      </c>
    </row>
    <row r="517" spans="1:3" x14ac:dyDescent="0.25">
      <c r="A517" s="939">
        <v>95802</v>
      </c>
      <c r="B517" s="939" t="s">
        <v>3086</v>
      </c>
      <c r="C517" s="944">
        <v>5123.8599999999997</v>
      </c>
    </row>
    <row r="518" spans="1:3" x14ac:dyDescent="0.25">
      <c r="A518" s="939">
        <v>95804</v>
      </c>
      <c r="B518" s="939" t="s">
        <v>3087</v>
      </c>
      <c r="C518" s="944">
        <v>7566.22</v>
      </c>
    </row>
    <row r="519" spans="1:3" x14ac:dyDescent="0.25">
      <c r="A519" s="939">
        <v>95811</v>
      </c>
      <c r="B519" s="939" t="s">
        <v>3088</v>
      </c>
      <c r="C519" s="944">
        <v>243909.3</v>
      </c>
    </row>
    <row r="520" spans="1:3" x14ac:dyDescent="0.25">
      <c r="A520" s="939">
        <v>95813</v>
      </c>
      <c r="B520" s="939" t="s">
        <v>3089</v>
      </c>
      <c r="C520" s="944">
        <v>63298.64</v>
      </c>
    </row>
    <row r="521" spans="1:3" x14ac:dyDescent="0.25">
      <c r="A521" s="939">
        <v>95821</v>
      </c>
      <c r="B521" s="939" t="s">
        <v>3090</v>
      </c>
      <c r="C521" s="944">
        <v>609.75</v>
      </c>
    </row>
    <row r="522" spans="1:3" x14ac:dyDescent="0.25">
      <c r="A522" s="939">
        <v>95831</v>
      </c>
      <c r="B522" s="939" t="s">
        <v>3091</v>
      </c>
      <c r="C522" s="944">
        <v>22033.83</v>
      </c>
    </row>
    <row r="523" spans="1:3" x14ac:dyDescent="0.25">
      <c r="A523" s="939">
        <v>95841</v>
      </c>
      <c r="B523" s="939" t="s">
        <v>3092</v>
      </c>
      <c r="C523" s="944">
        <v>10804.93</v>
      </c>
    </row>
    <row r="524" spans="1:3" x14ac:dyDescent="0.25">
      <c r="A524" s="939">
        <v>95851</v>
      </c>
      <c r="B524" s="939" t="s">
        <v>3093</v>
      </c>
      <c r="C524" s="944">
        <v>142459.17000000001</v>
      </c>
    </row>
    <row r="525" spans="1:3" x14ac:dyDescent="0.25">
      <c r="A525" s="939">
        <v>95853</v>
      </c>
      <c r="B525" s="939" t="s">
        <v>3094</v>
      </c>
      <c r="C525" s="944">
        <v>14343.84</v>
      </c>
    </row>
    <row r="526" spans="1:3" x14ac:dyDescent="0.25">
      <c r="A526" s="939">
        <v>95901</v>
      </c>
      <c r="B526" s="939" t="s">
        <v>3095</v>
      </c>
      <c r="C526" s="944">
        <v>815701.69</v>
      </c>
    </row>
    <row r="527" spans="1:3" x14ac:dyDescent="0.25">
      <c r="A527" s="939">
        <v>95908</v>
      </c>
      <c r="B527" s="939" t="s">
        <v>3096</v>
      </c>
      <c r="C527" s="944">
        <v>24597.75</v>
      </c>
    </row>
    <row r="528" spans="1:3" x14ac:dyDescent="0.25">
      <c r="A528" s="939">
        <v>95911</v>
      </c>
      <c r="B528" s="939" t="s">
        <v>3097</v>
      </c>
      <c r="C528" s="944">
        <v>244844.94</v>
      </c>
    </row>
    <row r="529" spans="1:3" x14ac:dyDescent="0.25">
      <c r="A529" s="939">
        <v>95917</v>
      </c>
      <c r="B529" s="939" t="s">
        <v>3098</v>
      </c>
      <c r="C529" s="944">
        <v>11000.84</v>
      </c>
    </row>
    <row r="530" spans="1:3" x14ac:dyDescent="0.25">
      <c r="A530" s="939">
        <v>95921</v>
      </c>
      <c r="B530" s="939" t="s">
        <v>3099</v>
      </c>
      <c r="C530" s="944">
        <v>19771.79</v>
      </c>
    </row>
    <row r="531" spans="1:3" x14ac:dyDescent="0.25">
      <c r="A531" s="939">
        <v>96001</v>
      </c>
      <c r="B531" s="939" t="s">
        <v>3100</v>
      </c>
      <c r="C531" s="944">
        <v>20012604.809999999</v>
      </c>
    </row>
    <row r="532" spans="1:3" x14ac:dyDescent="0.25">
      <c r="A532" s="939">
        <v>96003</v>
      </c>
      <c r="B532" s="939" t="s">
        <v>3101</v>
      </c>
      <c r="C532" s="944">
        <v>743373.24</v>
      </c>
    </row>
    <row r="533" spans="1:3" x14ac:dyDescent="0.25">
      <c r="A533" s="939">
        <v>96004</v>
      </c>
      <c r="B533" s="939" t="s">
        <v>3102</v>
      </c>
      <c r="C533" s="944">
        <v>462351.76</v>
      </c>
    </row>
    <row r="534" spans="1:3" x14ac:dyDescent="0.25">
      <c r="A534" s="939">
        <v>96005</v>
      </c>
      <c r="B534" s="939" t="s">
        <v>3103</v>
      </c>
      <c r="C534" s="944">
        <v>1240289.72</v>
      </c>
    </row>
    <row r="535" spans="1:3" x14ac:dyDescent="0.25">
      <c r="A535" s="939">
        <v>96008</v>
      </c>
      <c r="B535" s="939" t="s">
        <v>3104</v>
      </c>
      <c r="C535" s="944">
        <v>2075075.95</v>
      </c>
    </row>
    <row r="536" spans="1:3" x14ac:dyDescent="0.25">
      <c r="A536" s="939">
        <v>96009</v>
      </c>
      <c r="B536" s="939" t="s">
        <v>3105</v>
      </c>
      <c r="C536" s="944">
        <v>192063</v>
      </c>
    </row>
    <row r="537" spans="1:3" x14ac:dyDescent="0.25">
      <c r="A537" s="939">
        <v>96011</v>
      </c>
      <c r="B537" s="939" t="s">
        <v>3106</v>
      </c>
      <c r="C537" s="944">
        <v>28379211.379999999</v>
      </c>
    </row>
    <row r="538" spans="1:3" x14ac:dyDescent="0.25">
      <c r="A538" s="939">
        <v>96012</v>
      </c>
      <c r="B538" s="939" t="s">
        <v>3107</v>
      </c>
      <c r="C538" s="944">
        <v>1092788.4099999999</v>
      </c>
    </row>
    <row r="539" spans="1:3" x14ac:dyDescent="0.25">
      <c r="A539" s="939">
        <v>96018</v>
      </c>
      <c r="B539" s="939" t="s">
        <v>3108</v>
      </c>
      <c r="C539" s="944">
        <v>18034.45</v>
      </c>
    </row>
    <row r="540" spans="1:3" x14ac:dyDescent="0.25">
      <c r="A540" s="939">
        <v>96021</v>
      </c>
      <c r="B540" s="939" t="s">
        <v>3109</v>
      </c>
      <c r="C540" s="944">
        <v>327690.39</v>
      </c>
    </row>
    <row r="541" spans="1:3" x14ac:dyDescent="0.25">
      <c r="A541" s="939">
        <v>96031</v>
      </c>
      <c r="B541" s="939" t="s">
        <v>3110</v>
      </c>
      <c r="C541" s="944">
        <v>325475.46999999997</v>
      </c>
    </row>
    <row r="542" spans="1:3" x14ac:dyDescent="0.25">
      <c r="A542" s="939">
        <v>96041</v>
      </c>
      <c r="B542" s="939" t="s">
        <v>3111</v>
      </c>
      <c r="C542" s="944">
        <v>721544.05</v>
      </c>
    </row>
    <row r="543" spans="1:3" x14ac:dyDescent="0.25">
      <c r="A543" s="939">
        <v>96051</v>
      </c>
      <c r="B543" s="939" t="s">
        <v>3112</v>
      </c>
      <c r="C543" s="944">
        <v>418345.64</v>
      </c>
    </row>
    <row r="544" spans="1:3" x14ac:dyDescent="0.25">
      <c r="A544" s="939">
        <v>96061</v>
      </c>
      <c r="B544" s="939" t="s">
        <v>3113</v>
      </c>
      <c r="C544" s="944">
        <v>154987.99</v>
      </c>
    </row>
    <row r="545" spans="1:3" x14ac:dyDescent="0.25">
      <c r="A545" s="939">
        <v>96071</v>
      </c>
      <c r="B545" s="939" t="s">
        <v>3114</v>
      </c>
      <c r="C545" s="944">
        <v>554008.97</v>
      </c>
    </row>
    <row r="546" spans="1:3" x14ac:dyDescent="0.25">
      <c r="A546" s="939">
        <v>96081</v>
      </c>
      <c r="B546" s="939" t="s">
        <v>3115</v>
      </c>
      <c r="C546" s="944">
        <v>211520.19</v>
      </c>
    </row>
    <row r="547" spans="1:3" x14ac:dyDescent="0.25">
      <c r="A547" s="939">
        <v>96101</v>
      </c>
      <c r="B547" s="939" t="s">
        <v>3116</v>
      </c>
      <c r="C547" s="944">
        <v>371540.9</v>
      </c>
    </row>
    <row r="548" spans="1:3" x14ac:dyDescent="0.25">
      <c r="A548" s="939">
        <v>96102</v>
      </c>
      <c r="B548" s="939" t="s">
        <v>3117</v>
      </c>
      <c r="C548" s="944">
        <v>5077.9399999999996</v>
      </c>
    </row>
    <row r="549" spans="1:3" x14ac:dyDescent="0.25">
      <c r="A549" s="939">
        <v>96111</v>
      </c>
      <c r="B549" s="939" t="s">
        <v>3118</v>
      </c>
      <c r="C549" s="944">
        <v>74819.210000000006</v>
      </c>
    </row>
    <row r="550" spans="1:3" x14ac:dyDescent="0.25">
      <c r="A550" s="939">
        <v>96121</v>
      </c>
      <c r="B550" s="939" t="s">
        <v>3119</v>
      </c>
      <c r="C550" s="944">
        <v>9052.41</v>
      </c>
    </row>
    <row r="551" spans="1:3" x14ac:dyDescent="0.25">
      <c r="A551" s="939">
        <v>96201</v>
      </c>
      <c r="B551" s="939" t="s">
        <v>3120</v>
      </c>
      <c r="C551" s="944">
        <v>527645.29</v>
      </c>
    </row>
    <row r="552" spans="1:3" x14ac:dyDescent="0.25">
      <c r="A552" s="939">
        <v>96204</v>
      </c>
      <c r="B552" s="939" t="s">
        <v>3121</v>
      </c>
      <c r="C552" s="944">
        <v>8503.01</v>
      </c>
    </row>
    <row r="553" spans="1:3" x14ac:dyDescent="0.25">
      <c r="A553" s="939">
        <v>96211</v>
      </c>
      <c r="B553" s="939" t="s">
        <v>3122</v>
      </c>
      <c r="C553" s="944">
        <v>16678.38</v>
      </c>
    </row>
    <row r="554" spans="1:3" x14ac:dyDescent="0.25">
      <c r="A554" s="939">
        <v>96221</v>
      </c>
      <c r="B554" s="939" t="s">
        <v>3123</v>
      </c>
      <c r="C554" s="944">
        <v>98415.24</v>
      </c>
    </row>
    <row r="555" spans="1:3" x14ac:dyDescent="0.25">
      <c r="A555" s="939">
        <v>96231</v>
      </c>
      <c r="B555" s="939" t="s">
        <v>3124</v>
      </c>
      <c r="C555" s="944">
        <v>48595.12</v>
      </c>
    </row>
    <row r="556" spans="1:3" x14ac:dyDescent="0.25">
      <c r="A556" s="939">
        <v>96241</v>
      </c>
      <c r="B556" s="939" t="s">
        <v>3125</v>
      </c>
      <c r="C556" s="944">
        <v>22791.16</v>
      </c>
    </row>
    <row r="557" spans="1:3" x14ac:dyDescent="0.25">
      <c r="A557" s="939">
        <v>96251</v>
      </c>
      <c r="B557" s="939" t="s">
        <v>3126</v>
      </c>
      <c r="C557" s="944">
        <v>36737.410000000003</v>
      </c>
    </row>
    <row r="558" spans="1:3" x14ac:dyDescent="0.25">
      <c r="A558" s="939">
        <v>96301</v>
      </c>
      <c r="B558" s="939" t="s">
        <v>3127</v>
      </c>
      <c r="C558" s="944">
        <v>1938349.74</v>
      </c>
    </row>
    <row r="559" spans="1:3" x14ac:dyDescent="0.25">
      <c r="A559" s="939">
        <v>96302</v>
      </c>
      <c r="B559" s="939" t="s">
        <v>3128</v>
      </c>
      <c r="C559" s="944">
        <v>12120.93</v>
      </c>
    </row>
    <row r="560" spans="1:3" x14ac:dyDescent="0.25">
      <c r="A560" s="939">
        <v>96304</v>
      </c>
      <c r="B560" s="939" t="s">
        <v>3129</v>
      </c>
      <c r="C560" s="944">
        <v>27293.759999999998</v>
      </c>
    </row>
    <row r="561" spans="1:3" x14ac:dyDescent="0.25">
      <c r="A561" s="939">
        <v>96305</v>
      </c>
      <c r="B561" s="939" t="s">
        <v>3130</v>
      </c>
      <c r="C561" s="944">
        <v>30519.599999999999</v>
      </c>
    </row>
    <row r="562" spans="1:3" x14ac:dyDescent="0.25">
      <c r="A562" s="939">
        <v>96310</v>
      </c>
      <c r="B562" s="939" t="s">
        <v>3131</v>
      </c>
      <c r="C562" s="944">
        <v>26766.78</v>
      </c>
    </row>
    <row r="563" spans="1:3" x14ac:dyDescent="0.25">
      <c r="A563" s="939">
        <v>96311</v>
      </c>
      <c r="B563" s="939" t="s">
        <v>3132</v>
      </c>
      <c r="C563" s="944">
        <v>595123.57999999996</v>
      </c>
    </row>
    <row r="564" spans="1:3" x14ac:dyDescent="0.25">
      <c r="A564" s="939">
        <v>96312</v>
      </c>
      <c r="B564" s="939" t="s">
        <v>3133</v>
      </c>
      <c r="C564" s="944">
        <v>4819.92</v>
      </c>
    </row>
    <row r="565" spans="1:3" x14ac:dyDescent="0.25">
      <c r="A565" s="939">
        <v>96318</v>
      </c>
      <c r="B565" s="939" t="s">
        <v>3134</v>
      </c>
      <c r="C565" s="944">
        <v>1061237.49</v>
      </c>
    </row>
    <row r="566" spans="1:3" x14ac:dyDescent="0.25">
      <c r="A566" s="939">
        <v>96321</v>
      </c>
      <c r="B566" s="939" t="s">
        <v>3135</v>
      </c>
      <c r="C566" s="944">
        <v>18736.63</v>
      </c>
    </row>
    <row r="567" spans="1:3" x14ac:dyDescent="0.25">
      <c r="A567" s="939">
        <v>96331</v>
      </c>
      <c r="B567" s="939" t="s">
        <v>3136</v>
      </c>
      <c r="C567" s="944">
        <v>321182.36</v>
      </c>
    </row>
    <row r="568" spans="1:3" x14ac:dyDescent="0.25">
      <c r="A568" s="939">
        <v>96341</v>
      </c>
      <c r="B568" s="939" t="s">
        <v>3137</v>
      </c>
      <c r="C568" s="944">
        <v>35035.769999999997</v>
      </c>
    </row>
    <row r="569" spans="1:3" x14ac:dyDescent="0.25">
      <c r="A569" s="939">
        <v>96351</v>
      </c>
      <c r="B569" s="939" t="s">
        <v>3138</v>
      </c>
      <c r="C569" s="944">
        <v>488440.63</v>
      </c>
    </row>
    <row r="570" spans="1:3" x14ac:dyDescent="0.25">
      <c r="A570" s="939">
        <v>96361</v>
      </c>
      <c r="B570" s="939" t="s">
        <v>3139</v>
      </c>
      <c r="C570" s="944">
        <v>24289.03</v>
      </c>
    </row>
    <row r="571" spans="1:3" x14ac:dyDescent="0.25">
      <c r="A571" s="939">
        <v>96371</v>
      </c>
      <c r="B571" s="939" t="s">
        <v>3140</v>
      </c>
      <c r="C571" s="944">
        <v>67275.77</v>
      </c>
    </row>
    <row r="572" spans="1:3" x14ac:dyDescent="0.25">
      <c r="A572" s="939">
        <v>96381</v>
      </c>
      <c r="B572" s="939" t="s">
        <v>3141</v>
      </c>
      <c r="C572" s="944">
        <v>15357.09</v>
      </c>
    </row>
    <row r="573" spans="1:3" x14ac:dyDescent="0.25">
      <c r="A573" s="939">
        <v>96391</v>
      </c>
      <c r="B573" s="939" t="s">
        <v>3142</v>
      </c>
      <c r="C573" s="944">
        <v>74519.070000000007</v>
      </c>
    </row>
    <row r="574" spans="1:3" x14ac:dyDescent="0.25">
      <c r="A574" s="939">
        <v>96401</v>
      </c>
      <c r="B574" s="939" t="s">
        <v>3143</v>
      </c>
      <c r="C574" s="944">
        <v>2040109.23</v>
      </c>
    </row>
    <row r="575" spans="1:3" x14ac:dyDescent="0.25">
      <c r="A575" s="939">
        <v>96404</v>
      </c>
      <c r="B575" s="939" t="s">
        <v>3144</v>
      </c>
      <c r="C575" s="944">
        <v>57854.71</v>
      </c>
    </row>
    <row r="576" spans="1:3" x14ac:dyDescent="0.25">
      <c r="A576" s="939">
        <v>96405</v>
      </c>
      <c r="B576" s="939" t="s">
        <v>3145</v>
      </c>
      <c r="C576" s="944">
        <v>86618.240000000005</v>
      </c>
    </row>
    <row r="577" spans="1:3" x14ac:dyDescent="0.25">
      <c r="A577" s="939">
        <v>96411</v>
      </c>
      <c r="B577" s="939" t="s">
        <v>3146</v>
      </c>
      <c r="C577" s="944">
        <v>28784.39</v>
      </c>
    </row>
    <row r="578" spans="1:3" x14ac:dyDescent="0.25">
      <c r="A578" s="939">
        <v>96421</v>
      </c>
      <c r="B578" s="939" t="s">
        <v>3147</v>
      </c>
      <c r="C578" s="944">
        <v>170403.58</v>
      </c>
    </row>
    <row r="579" spans="1:3" x14ac:dyDescent="0.25">
      <c r="A579" s="939">
        <v>96431</v>
      </c>
      <c r="B579" s="939" t="s">
        <v>3148</v>
      </c>
      <c r="C579" s="944">
        <v>21289.47</v>
      </c>
    </row>
    <row r="580" spans="1:3" x14ac:dyDescent="0.25">
      <c r="A580" s="939">
        <v>96441</v>
      </c>
      <c r="B580" s="939" t="s">
        <v>3149</v>
      </c>
      <c r="C580" s="944">
        <v>18706.77</v>
      </c>
    </row>
    <row r="581" spans="1:3" x14ac:dyDescent="0.25">
      <c r="A581" s="939">
        <v>96451</v>
      </c>
      <c r="B581" s="939" t="s">
        <v>3150</v>
      </c>
      <c r="C581" s="944">
        <v>8566.18</v>
      </c>
    </row>
    <row r="582" spans="1:3" x14ac:dyDescent="0.25">
      <c r="A582" s="939">
        <v>96461</v>
      </c>
      <c r="B582" s="939" t="s">
        <v>3151</v>
      </c>
      <c r="C582" s="944">
        <v>63932.06</v>
      </c>
    </row>
    <row r="583" spans="1:3" x14ac:dyDescent="0.25">
      <c r="A583" s="939">
        <v>96501</v>
      </c>
      <c r="B583" s="939" t="s">
        <v>3152</v>
      </c>
      <c r="C583" s="944">
        <v>6399555.9400000004</v>
      </c>
    </row>
    <row r="584" spans="1:3" x14ac:dyDescent="0.25">
      <c r="A584" s="939">
        <v>96502</v>
      </c>
      <c r="B584" s="939" t="s">
        <v>3153</v>
      </c>
      <c r="C584" s="944">
        <v>198105.11</v>
      </c>
    </row>
    <row r="585" spans="1:3" x14ac:dyDescent="0.25">
      <c r="A585" s="939">
        <v>96503</v>
      </c>
      <c r="B585" s="939" t="s">
        <v>3589</v>
      </c>
      <c r="C585" s="944">
        <v>293862.68</v>
      </c>
    </row>
    <row r="586" spans="1:3" x14ac:dyDescent="0.25">
      <c r="A586" s="939">
        <v>96504</v>
      </c>
      <c r="B586" s="939" t="s">
        <v>3155</v>
      </c>
      <c r="C586" s="944">
        <v>189891.95</v>
      </c>
    </row>
    <row r="587" spans="1:3" x14ac:dyDescent="0.25">
      <c r="A587" s="939">
        <v>96507</v>
      </c>
      <c r="B587" s="939" t="s">
        <v>3156</v>
      </c>
      <c r="C587" s="944">
        <v>1026624.38</v>
      </c>
    </row>
    <row r="588" spans="1:3" x14ac:dyDescent="0.25">
      <c r="A588" s="939">
        <v>96508</v>
      </c>
      <c r="B588" s="939" t="s">
        <v>3157</v>
      </c>
      <c r="C588" s="944">
        <v>11086.08</v>
      </c>
    </row>
    <row r="589" spans="1:3" x14ac:dyDescent="0.25">
      <c r="A589" s="939">
        <v>96511</v>
      </c>
      <c r="B589" s="939" t="s">
        <v>3158</v>
      </c>
      <c r="C589" s="944">
        <v>276057.34999999998</v>
      </c>
    </row>
    <row r="590" spans="1:3" x14ac:dyDescent="0.25">
      <c r="A590" s="939">
        <v>96512</v>
      </c>
      <c r="B590" s="939" t="s">
        <v>3159</v>
      </c>
      <c r="C590" s="944">
        <v>72714.91</v>
      </c>
    </row>
    <row r="591" spans="1:3" x14ac:dyDescent="0.25">
      <c r="A591" s="939">
        <v>96521</v>
      </c>
      <c r="B591" s="939" t="s">
        <v>3161</v>
      </c>
      <c r="C591" s="944">
        <v>408177.79</v>
      </c>
    </row>
    <row r="592" spans="1:3" x14ac:dyDescent="0.25">
      <c r="A592" s="939">
        <v>96531</v>
      </c>
      <c r="B592" s="939" t="s">
        <v>3162</v>
      </c>
      <c r="C592" s="944">
        <v>3779880.62</v>
      </c>
    </row>
    <row r="593" spans="1:3" x14ac:dyDescent="0.25">
      <c r="A593" s="939">
        <v>96541</v>
      </c>
      <c r="B593" s="939" t="s">
        <v>3163</v>
      </c>
      <c r="C593" s="944">
        <v>156792.44</v>
      </c>
    </row>
    <row r="594" spans="1:3" x14ac:dyDescent="0.25">
      <c r="A594" s="939">
        <v>96601</v>
      </c>
      <c r="B594" s="939" t="s">
        <v>3164</v>
      </c>
      <c r="C594" s="944">
        <v>878871.71</v>
      </c>
    </row>
    <row r="595" spans="1:3" x14ac:dyDescent="0.25">
      <c r="A595" s="939">
        <v>96604</v>
      </c>
      <c r="B595" s="939" t="s">
        <v>3165</v>
      </c>
      <c r="C595" s="944">
        <v>5010.91</v>
      </c>
    </row>
    <row r="596" spans="1:3" x14ac:dyDescent="0.25">
      <c r="A596" s="939">
        <v>96611</v>
      </c>
      <c r="B596" s="939" t="s">
        <v>3166</v>
      </c>
      <c r="C596" s="944">
        <v>12016.16</v>
      </c>
    </row>
    <row r="597" spans="1:3" x14ac:dyDescent="0.25">
      <c r="A597" s="939">
        <v>96612</v>
      </c>
      <c r="B597" s="939" t="s">
        <v>3167</v>
      </c>
      <c r="C597" s="944">
        <v>32834.22</v>
      </c>
    </row>
    <row r="598" spans="1:3" x14ac:dyDescent="0.25">
      <c r="A598" s="939">
        <v>96621</v>
      </c>
      <c r="B598" s="939" t="s">
        <v>3168</v>
      </c>
      <c r="C598" s="944">
        <v>13235.42</v>
      </c>
    </row>
    <row r="599" spans="1:3" x14ac:dyDescent="0.25">
      <c r="A599" s="939">
        <v>96631</v>
      </c>
      <c r="B599" s="939" t="s">
        <v>3169</v>
      </c>
      <c r="C599" s="944">
        <v>11904.52</v>
      </c>
    </row>
    <row r="600" spans="1:3" x14ac:dyDescent="0.25">
      <c r="A600" s="939">
        <v>96641</v>
      </c>
      <c r="B600" s="939" t="s">
        <v>3170</v>
      </c>
      <c r="C600" s="944">
        <v>20865.259999999998</v>
      </c>
    </row>
    <row r="601" spans="1:3" x14ac:dyDescent="0.25">
      <c r="A601" s="939">
        <v>96651</v>
      </c>
      <c r="B601" s="939" t="s">
        <v>3171</v>
      </c>
      <c r="C601" s="944">
        <v>11419.39</v>
      </c>
    </row>
    <row r="602" spans="1:3" x14ac:dyDescent="0.25">
      <c r="A602" s="939">
        <v>96661</v>
      </c>
      <c r="B602" s="939" t="s">
        <v>3172</v>
      </c>
      <c r="C602" s="944">
        <v>10399.49</v>
      </c>
    </row>
    <row r="603" spans="1:3" x14ac:dyDescent="0.25">
      <c r="A603" s="939">
        <v>96671</v>
      </c>
      <c r="B603" s="939" t="s">
        <v>3173</v>
      </c>
      <c r="C603" s="944">
        <v>8399.93</v>
      </c>
    </row>
    <row r="604" spans="1:3" x14ac:dyDescent="0.25">
      <c r="A604" s="939">
        <v>96681</v>
      </c>
      <c r="B604" s="939" t="s">
        <v>3174</v>
      </c>
      <c r="C604" s="944">
        <v>12178.62</v>
      </c>
    </row>
    <row r="605" spans="1:3" x14ac:dyDescent="0.25">
      <c r="A605" s="939">
        <v>96701</v>
      </c>
      <c r="B605" s="939" t="s">
        <v>3175</v>
      </c>
      <c r="C605" s="944">
        <v>3657207.72</v>
      </c>
    </row>
    <row r="606" spans="1:3" x14ac:dyDescent="0.25">
      <c r="A606" s="939">
        <v>96704</v>
      </c>
      <c r="B606" s="939" t="s">
        <v>3176</v>
      </c>
      <c r="C606" s="944">
        <v>92320.03</v>
      </c>
    </row>
    <row r="607" spans="1:3" x14ac:dyDescent="0.25">
      <c r="A607" s="939">
        <v>96708</v>
      </c>
      <c r="B607" s="939" t="s">
        <v>3177</v>
      </c>
      <c r="C607" s="944">
        <v>441727</v>
      </c>
    </row>
    <row r="608" spans="1:3" x14ac:dyDescent="0.25">
      <c r="A608" s="939">
        <v>96711</v>
      </c>
      <c r="B608" s="939" t="s">
        <v>3178</v>
      </c>
      <c r="C608" s="944">
        <v>1869918</v>
      </c>
    </row>
    <row r="609" spans="1:3" x14ac:dyDescent="0.25">
      <c r="A609" s="939">
        <v>96721</v>
      </c>
      <c r="B609" s="939" t="s">
        <v>3179</v>
      </c>
      <c r="C609" s="944">
        <v>96163.24</v>
      </c>
    </row>
    <row r="610" spans="1:3" x14ac:dyDescent="0.25">
      <c r="A610" s="939">
        <v>96731</v>
      </c>
      <c r="B610" s="939" t="s">
        <v>3180</v>
      </c>
      <c r="C610" s="944">
        <v>72355.61</v>
      </c>
    </row>
    <row r="611" spans="1:3" x14ac:dyDescent="0.25">
      <c r="A611" s="939">
        <v>96733</v>
      </c>
      <c r="B611" s="939" t="s">
        <v>3181</v>
      </c>
      <c r="C611" s="944">
        <v>4278.46</v>
      </c>
    </row>
    <row r="612" spans="1:3" x14ac:dyDescent="0.25">
      <c r="A612" s="939">
        <v>96741</v>
      </c>
      <c r="B612" s="939" t="s">
        <v>3182</v>
      </c>
      <c r="C612" s="944">
        <v>41447.85</v>
      </c>
    </row>
    <row r="613" spans="1:3" x14ac:dyDescent="0.25">
      <c r="A613" s="939">
        <v>96751</v>
      </c>
      <c r="B613" s="939" t="s">
        <v>3183</v>
      </c>
      <c r="C613" s="944">
        <v>115659.58</v>
      </c>
    </row>
    <row r="614" spans="1:3" x14ac:dyDescent="0.25">
      <c r="A614" s="939">
        <v>96801</v>
      </c>
      <c r="B614" s="939" t="s">
        <v>3184</v>
      </c>
      <c r="C614" s="944">
        <v>3611119.7</v>
      </c>
    </row>
    <row r="615" spans="1:3" x14ac:dyDescent="0.25">
      <c r="A615" s="939">
        <v>96804</v>
      </c>
      <c r="B615" s="939" t="s">
        <v>3185</v>
      </c>
      <c r="C615" s="944">
        <v>109175.44</v>
      </c>
    </row>
    <row r="616" spans="1:3" x14ac:dyDescent="0.25">
      <c r="A616" s="939">
        <v>96808</v>
      </c>
      <c r="B616" s="939" t="s">
        <v>3186</v>
      </c>
      <c r="C616" s="944">
        <v>593249.02</v>
      </c>
    </row>
    <row r="617" spans="1:3" x14ac:dyDescent="0.25">
      <c r="A617" s="939">
        <v>96811</v>
      </c>
      <c r="B617" s="939" t="s">
        <v>3187</v>
      </c>
      <c r="C617" s="944">
        <v>2786024.56</v>
      </c>
    </row>
    <row r="618" spans="1:3" x14ac:dyDescent="0.25">
      <c r="A618" s="939">
        <v>96821</v>
      </c>
      <c r="B618" s="939" t="s">
        <v>3188</v>
      </c>
      <c r="C618" s="944">
        <v>603955.94999999995</v>
      </c>
    </row>
    <row r="619" spans="1:3" x14ac:dyDescent="0.25">
      <c r="A619" s="939">
        <v>96831</v>
      </c>
      <c r="B619" s="939" t="s">
        <v>3189</v>
      </c>
      <c r="C619" s="944">
        <v>426593.44</v>
      </c>
    </row>
    <row r="620" spans="1:3" x14ac:dyDescent="0.25">
      <c r="A620" s="939">
        <v>96901</v>
      </c>
      <c r="B620" s="939" t="s">
        <v>3190</v>
      </c>
      <c r="C620" s="944">
        <v>411770.29</v>
      </c>
    </row>
    <row r="621" spans="1:3" x14ac:dyDescent="0.25">
      <c r="A621" s="939">
        <v>96911</v>
      </c>
      <c r="B621" s="939" t="s">
        <v>3191</v>
      </c>
      <c r="C621" s="944">
        <v>1941.57</v>
      </c>
    </row>
    <row r="622" spans="1:3" x14ac:dyDescent="0.25">
      <c r="A622" s="939">
        <v>96912</v>
      </c>
      <c r="B622" s="939" t="s">
        <v>3192</v>
      </c>
      <c r="C622" s="944">
        <v>24609.72</v>
      </c>
    </row>
    <row r="623" spans="1:3" x14ac:dyDescent="0.25">
      <c r="A623" s="939">
        <v>96918</v>
      </c>
      <c r="B623" s="939" t="s">
        <v>3193</v>
      </c>
      <c r="C623" s="944">
        <v>20288.79</v>
      </c>
    </row>
    <row r="624" spans="1:3" x14ac:dyDescent="0.25">
      <c r="A624" s="939">
        <v>97001</v>
      </c>
      <c r="B624" s="939" t="s">
        <v>3194</v>
      </c>
      <c r="C624" s="944">
        <v>710694.22</v>
      </c>
    </row>
    <row r="625" spans="1:3" x14ac:dyDescent="0.25">
      <c r="A625" s="939">
        <v>97002</v>
      </c>
      <c r="B625" s="939" t="s">
        <v>3195</v>
      </c>
      <c r="C625" s="944">
        <v>182319.24</v>
      </c>
    </row>
    <row r="626" spans="1:3" x14ac:dyDescent="0.25">
      <c r="A626" s="939">
        <v>97004</v>
      </c>
      <c r="B626" s="939" t="s">
        <v>3196</v>
      </c>
      <c r="C626" s="944">
        <v>8257.23</v>
      </c>
    </row>
    <row r="627" spans="1:3" x14ac:dyDescent="0.25">
      <c r="A627" s="939">
        <v>97005</v>
      </c>
      <c r="B627" s="939" t="s">
        <v>3197</v>
      </c>
      <c r="C627" s="944">
        <v>15091.84</v>
      </c>
    </row>
    <row r="628" spans="1:3" x14ac:dyDescent="0.25">
      <c r="A628" s="939">
        <v>97008</v>
      </c>
      <c r="B628" s="939" t="s">
        <v>3198</v>
      </c>
      <c r="C628" s="944">
        <v>128453.32</v>
      </c>
    </row>
    <row r="629" spans="1:3" x14ac:dyDescent="0.25">
      <c r="A629" s="939">
        <v>97011</v>
      </c>
      <c r="B629" s="939" t="s">
        <v>3200</v>
      </c>
      <c r="C629" s="944">
        <v>907457.57</v>
      </c>
    </row>
    <row r="630" spans="1:3" x14ac:dyDescent="0.25">
      <c r="A630" s="939">
        <v>97012</v>
      </c>
      <c r="B630" s="939" t="s">
        <v>3201</v>
      </c>
      <c r="C630" s="944">
        <v>12374.49</v>
      </c>
    </row>
    <row r="631" spans="1:3" x14ac:dyDescent="0.25">
      <c r="A631" s="939">
        <v>97013</v>
      </c>
      <c r="B631" s="939" t="s">
        <v>3202</v>
      </c>
      <c r="C631" s="944">
        <v>11432.48</v>
      </c>
    </row>
    <row r="632" spans="1:3" x14ac:dyDescent="0.25">
      <c r="A632" s="939">
        <v>97015</v>
      </c>
      <c r="B632" s="939" t="s">
        <v>3203</v>
      </c>
      <c r="C632" s="944">
        <v>23035.67</v>
      </c>
    </row>
    <row r="633" spans="1:3" x14ac:dyDescent="0.25">
      <c r="A633" s="939">
        <v>97018</v>
      </c>
      <c r="B633" s="939" t="s">
        <v>3204</v>
      </c>
      <c r="C633" s="944">
        <v>8134.56</v>
      </c>
    </row>
    <row r="634" spans="1:3" x14ac:dyDescent="0.25">
      <c r="A634" s="939">
        <v>97101</v>
      </c>
      <c r="B634" s="939" t="s">
        <v>3205</v>
      </c>
      <c r="C634" s="944">
        <v>1208499.9099999999</v>
      </c>
    </row>
    <row r="635" spans="1:3" x14ac:dyDescent="0.25">
      <c r="A635" s="939">
        <v>97104</v>
      </c>
      <c r="B635" s="939" t="s">
        <v>3206</v>
      </c>
      <c r="C635" s="944">
        <v>29146.93</v>
      </c>
    </row>
    <row r="636" spans="1:3" x14ac:dyDescent="0.25">
      <c r="A636" s="939">
        <v>97111</v>
      </c>
      <c r="B636" s="939" t="s">
        <v>3207</v>
      </c>
      <c r="C636" s="944">
        <v>108870.46</v>
      </c>
    </row>
    <row r="637" spans="1:3" x14ac:dyDescent="0.25">
      <c r="A637" s="939">
        <v>97121</v>
      </c>
      <c r="B637" s="939" t="s">
        <v>3208</v>
      </c>
      <c r="C637" s="944">
        <v>66521.84</v>
      </c>
    </row>
    <row r="638" spans="1:3" x14ac:dyDescent="0.25">
      <c r="A638" s="939">
        <v>97131</v>
      </c>
      <c r="B638" s="939" t="s">
        <v>3209</v>
      </c>
      <c r="C638" s="944">
        <v>280483.40000000002</v>
      </c>
    </row>
    <row r="639" spans="1:3" x14ac:dyDescent="0.25">
      <c r="A639" s="939">
        <v>97201</v>
      </c>
      <c r="B639" s="939" t="s">
        <v>3210</v>
      </c>
      <c r="C639" s="944">
        <v>248231.81</v>
      </c>
    </row>
    <row r="640" spans="1:3" x14ac:dyDescent="0.25">
      <c r="A640" s="939">
        <v>97211</v>
      </c>
      <c r="B640" s="939" t="s">
        <v>3211</v>
      </c>
      <c r="C640" s="944">
        <v>74901.72</v>
      </c>
    </row>
    <row r="641" spans="1:3" x14ac:dyDescent="0.25">
      <c r="A641" s="939">
        <v>97213</v>
      </c>
      <c r="B641" s="939" t="s">
        <v>3212</v>
      </c>
      <c r="C641" s="944">
        <v>24679.99</v>
      </c>
    </row>
    <row r="642" spans="1:3" x14ac:dyDescent="0.25">
      <c r="A642" s="939">
        <v>97217</v>
      </c>
      <c r="B642" s="939" t="s">
        <v>3213</v>
      </c>
      <c r="C642" s="944">
        <v>6889.51</v>
      </c>
    </row>
    <row r="643" spans="1:3" x14ac:dyDescent="0.25">
      <c r="A643" s="939">
        <v>97221</v>
      </c>
      <c r="B643" s="939" t="s">
        <v>3214</v>
      </c>
      <c r="C643" s="944">
        <v>7777.74</v>
      </c>
    </row>
    <row r="644" spans="1:3" x14ac:dyDescent="0.25">
      <c r="A644" s="939">
        <v>97301</v>
      </c>
      <c r="B644" s="939" t="s">
        <v>3215</v>
      </c>
      <c r="C644" s="944">
        <v>1186932.25</v>
      </c>
    </row>
    <row r="645" spans="1:3" x14ac:dyDescent="0.25">
      <c r="A645" s="939">
        <v>97304</v>
      </c>
      <c r="B645" s="939" t="s">
        <v>3216</v>
      </c>
      <c r="C645" s="944">
        <v>13381.54</v>
      </c>
    </row>
    <row r="646" spans="1:3" x14ac:dyDescent="0.25">
      <c r="A646" s="939">
        <v>97311</v>
      </c>
      <c r="B646" s="939" t="s">
        <v>3217</v>
      </c>
      <c r="C646" s="944">
        <v>407124.4</v>
      </c>
    </row>
    <row r="647" spans="1:3" x14ac:dyDescent="0.25">
      <c r="A647" s="939">
        <v>97401</v>
      </c>
      <c r="B647" s="939" t="s">
        <v>3218</v>
      </c>
      <c r="C647" s="944">
        <v>3322668.78</v>
      </c>
    </row>
    <row r="648" spans="1:3" x14ac:dyDescent="0.25">
      <c r="A648" s="939">
        <v>97402</v>
      </c>
      <c r="B648" s="939" t="s">
        <v>3219</v>
      </c>
      <c r="C648" s="944">
        <v>25207.21</v>
      </c>
    </row>
    <row r="649" spans="1:3" x14ac:dyDescent="0.25">
      <c r="A649" s="939">
        <v>97404</v>
      </c>
      <c r="B649" s="939" t="s">
        <v>3220</v>
      </c>
      <c r="C649" s="944">
        <v>84648.55</v>
      </c>
    </row>
    <row r="650" spans="1:3" x14ac:dyDescent="0.25">
      <c r="A650" s="939">
        <v>97405</v>
      </c>
      <c r="B650" s="939" t="s">
        <v>3221</v>
      </c>
      <c r="C650" s="944">
        <v>65705.47</v>
      </c>
    </row>
    <row r="651" spans="1:3" x14ac:dyDescent="0.25">
      <c r="A651" s="939">
        <v>97408</v>
      </c>
      <c r="B651" s="939" t="s">
        <v>3222</v>
      </c>
      <c r="C651" s="944">
        <v>27498.81</v>
      </c>
    </row>
    <row r="652" spans="1:3" x14ac:dyDescent="0.25">
      <c r="A652" s="939">
        <v>97411</v>
      </c>
      <c r="B652" s="939" t="s">
        <v>3223</v>
      </c>
      <c r="C652" s="944">
        <v>2979172.5</v>
      </c>
    </row>
    <row r="653" spans="1:3" x14ac:dyDescent="0.25">
      <c r="A653" s="939">
        <v>97412</v>
      </c>
      <c r="B653" s="939" t="s">
        <v>3224</v>
      </c>
      <c r="C653" s="944">
        <v>2155643.56</v>
      </c>
    </row>
    <row r="654" spans="1:3" x14ac:dyDescent="0.25">
      <c r="A654" s="939">
        <v>97413</v>
      </c>
      <c r="B654" s="939" t="s">
        <v>3225</v>
      </c>
      <c r="C654" s="944">
        <v>140808.79999999999</v>
      </c>
    </row>
    <row r="655" spans="1:3" x14ac:dyDescent="0.25">
      <c r="A655" s="939">
        <v>97421</v>
      </c>
      <c r="B655" s="939" t="s">
        <v>3226</v>
      </c>
      <c r="C655" s="944">
        <v>192260.81</v>
      </c>
    </row>
    <row r="656" spans="1:3" x14ac:dyDescent="0.25">
      <c r="A656" s="939">
        <v>97423</v>
      </c>
      <c r="B656" s="939" t="s">
        <v>3227</v>
      </c>
      <c r="C656" s="944">
        <v>42975.93</v>
      </c>
    </row>
    <row r="657" spans="1:3" x14ac:dyDescent="0.25">
      <c r="A657" s="939">
        <v>97431</v>
      </c>
      <c r="B657" s="939" t="s">
        <v>3228</v>
      </c>
      <c r="C657" s="944">
        <v>44546.02</v>
      </c>
    </row>
    <row r="658" spans="1:3" x14ac:dyDescent="0.25">
      <c r="A658" s="939">
        <v>97441</v>
      </c>
      <c r="B658" s="939" t="s">
        <v>3229</v>
      </c>
      <c r="C658" s="944">
        <v>25243.599999999999</v>
      </c>
    </row>
    <row r="659" spans="1:3" x14ac:dyDescent="0.25">
      <c r="A659" s="939">
        <v>97451</v>
      </c>
      <c r="B659" s="939" t="s">
        <v>3230</v>
      </c>
      <c r="C659" s="944">
        <v>245214.42</v>
      </c>
    </row>
    <row r="660" spans="1:3" x14ac:dyDescent="0.25">
      <c r="A660" s="939">
        <v>97461</v>
      </c>
      <c r="B660" s="939" t="s">
        <v>3231</v>
      </c>
      <c r="C660" s="944">
        <v>228349.54</v>
      </c>
    </row>
    <row r="661" spans="1:3" x14ac:dyDescent="0.25">
      <c r="A661" s="939">
        <v>97463</v>
      </c>
      <c r="B661" s="939" t="s">
        <v>3232</v>
      </c>
      <c r="C661" s="944">
        <v>16311.75</v>
      </c>
    </row>
    <row r="662" spans="1:3" x14ac:dyDescent="0.25">
      <c r="A662" s="939">
        <v>97471</v>
      </c>
      <c r="B662" s="939" t="s">
        <v>3233</v>
      </c>
      <c r="C662" s="944">
        <v>10246.98</v>
      </c>
    </row>
    <row r="663" spans="1:3" x14ac:dyDescent="0.25">
      <c r="A663" s="939">
        <v>97481</v>
      </c>
      <c r="B663" s="939" t="s">
        <v>3234</v>
      </c>
      <c r="C663" s="944">
        <v>6015.34</v>
      </c>
    </row>
    <row r="664" spans="1:3" x14ac:dyDescent="0.25">
      <c r="A664" s="939">
        <v>97501</v>
      </c>
      <c r="B664" s="939" t="s">
        <v>3236</v>
      </c>
      <c r="C664" s="944">
        <v>517522.17</v>
      </c>
    </row>
    <row r="665" spans="1:3" x14ac:dyDescent="0.25">
      <c r="A665" s="939">
        <v>97511</v>
      </c>
      <c r="B665" s="939" t="s">
        <v>3237</v>
      </c>
      <c r="C665" s="944">
        <v>112043.93</v>
      </c>
    </row>
    <row r="666" spans="1:3" x14ac:dyDescent="0.25">
      <c r="A666" s="939">
        <v>97521</v>
      </c>
      <c r="B666" s="939" t="s">
        <v>3238</v>
      </c>
      <c r="C666" s="944">
        <v>56687.74</v>
      </c>
    </row>
    <row r="667" spans="1:3" x14ac:dyDescent="0.25">
      <c r="A667" s="939">
        <v>97527</v>
      </c>
      <c r="B667" s="939" t="s">
        <v>3877</v>
      </c>
      <c r="C667" s="944">
        <v>532.11</v>
      </c>
    </row>
    <row r="668" spans="1:3" x14ac:dyDescent="0.25">
      <c r="A668" s="939">
        <v>97531</v>
      </c>
      <c r="B668" s="939" t="s">
        <v>3239</v>
      </c>
      <c r="C668" s="944">
        <v>25035.19</v>
      </c>
    </row>
    <row r="669" spans="1:3" x14ac:dyDescent="0.25">
      <c r="A669" s="939">
        <v>97601</v>
      </c>
      <c r="B669" s="939" t="s">
        <v>3240</v>
      </c>
      <c r="C669" s="944">
        <v>2286999.6</v>
      </c>
    </row>
    <row r="670" spans="1:3" x14ac:dyDescent="0.25">
      <c r="A670" s="939">
        <v>97607</v>
      </c>
      <c r="B670" s="939" t="s">
        <v>3241</v>
      </c>
      <c r="C670" s="944">
        <v>17254.64</v>
      </c>
    </row>
    <row r="671" spans="1:3" x14ac:dyDescent="0.25">
      <c r="A671" s="939">
        <v>97611</v>
      </c>
      <c r="B671" s="939" t="s">
        <v>3242</v>
      </c>
      <c r="C671" s="944">
        <v>1108487.74</v>
      </c>
    </row>
    <row r="672" spans="1:3" x14ac:dyDescent="0.25">
      <c r="A672" s="939">
        <v>97613</v>
      </c>
      <c r="B672" s="939" t="s">
        <v>3243</v>
      </c>
      <c r="C672" s="944">
        <v>60156.71</v>
      </c>
    </row>
    <row r="673" spans="1:3" x14ac:dyDescent="0.25">
      <c r="A673" s="939">
        <v>97621</v>
      </c>
      <c r="B673" s="939" t="s">
        <v>3244</v>
      </c>
      <c r="C673" s="944">
        <v>179046.86</v>
      </c>
    </row>
    <row r="674" spans="1:3" x14ac:dyDescent="0.25">
      <c r="A674" s="939">
        <v>97623</v>
      </c>
      <c r="B674" s="939" t="s">
        <v>3245</v>
      </c>
      <c r="C674" s="944">
        <v>11113.43</v>
      </c>
    </row>
    <row r="675" spans="1:3" x14ac:dyDescent="0.25">
      <c r="A675" s="939">
        <v>97627</v>
      </c>
      <c r="B675" s="939" t="s">
        <v>3246</v>
      </c>
      <c r="C675" s="944">
        <v>5007.6000000000004</v>
      </c>
    </row>
    <row r="676" spans="1:3" x14ac:dyDescent="0.25">
      <c r="A676" s="939">
        <v>97631</v>
      </c>
      <c r="B676" s="939" t="s">
        <v>3247</v>
      </c>
      <c r="C676" s="944">
        <v>85999.29</v>
      </c>
    </row>
    <row r="677" spans="1:3" x14ac:dyDescent="0.25">
      <c r="A677" s="939">
        <v>97637</v>
      </c>
      <c r="B677" s="939" t="s">
        <v>3248</v>
      </c>
      <c r="C677" s="944">
        <v>3072.12</v>
      </c>
    </row>
    <row r="678" spans="1:3" x14ac:dyDescent="0.25">
      <c r="A678" s="939">
        <v>97641</v>
      </c>
      <c r="B678" s="939" t="s">
        <v>3249</v>
      </c>
      <c r="C678" s="944">
        <v>35026.46</v>
      </c>
    </row>
    <row r="679" spans="1:3" x14ac:dyDescent="0.25">
      <c r="A679" s="939">
        <v>97651</v>
      </c>
      <c r="B679" s="939" t="s">
        <v>3250</v>
      </c>
      <c r="C679" s="944">
        <v>222466.39</v>
      </c>
    </row>
    <row r="680" spans="1:3" x14ac:dyDescent="0.25">
      <c r="A680" s="939">
        <v>97661</v>
      </c>
      <c r="B680" s="939" t="s">
        <v>3251</v>
      </c>
      <c r="C680" s="944">
        <v>24365.61</v>
      </c>
    </row>
    <row r="681" spans="1:3" x14ac:dyDescent="0.25">
      <c r="A681" s="939">
        <v>97701</v>
      </c>
      <c r="B681" s="939" t="s">
        <v>3252</v>
      </c>
      <c r="C681" s="944">
        <v>1156151.48</v>
      </c>
    </row>
    <row r="682" spans="1:3" x14ac:dyDescent="0.25">
      <c r="A682" s="939">
        <v>97705</v>
      </c>
      <c r="B682" s="939" t="s">
        <v>3253</v>
      </c>
      <c r="C682" s="944">
        <v>22208.68</v>
      </c>
    </row>
    <row r="683" spans="1:3" x14ac:dyDescent="0.25">
      <c r="A683" s="939">
        <v>97711</v>
      </c>
      <c r="B683" s="939" t="s">
        <v>3254</v>
      </c>
      <c r="C683" s="944">
        <v>424323.98</v>
      </c>
    </row>
    <row r="684" spans="1:3" x14ac:dyDescent="0.25">
      <c r="A684" s="939">
        <v>97713</v>
      </c>
      <c r="B684" s="939" t="s">
        <v>3255</v>
      </c>
      <c r="C684" s="944">
        <v>17328.419999999998</v>
      </c>
    </row>
    <row r="685" spans="1:3" x14ac:dyDescent="0.25">
      <c r="A685" s="939">
        <v>97717</v>
      </c>
      <c r="B685" s="939" t="s">
        <v>3256</v>
      </c>
      <c r="C685" s="944">
        <v>2478.17</v>
      </c>
    </row>
    <row r="686" spans="1:3" x14ac:dyDescent="0.25">
      <c r="A686" s="939">
        <v>97721</v>
      </c>
      <c r="B686" s="939" t="s">
        <v>3257</v>
      </c>
      <c r="C686" s="944">
        <v>255784.58</v>
      </c>
    </row>
    <row r="687" spans="1:3" x14ac:dyDescent="0.25">
      <c r="A687" s="939">
        <v>97727</v>
      </c>
      <c r="B687" s="939" t="s">
        <v>3258</v>
      </c>
      <c r="C687" s="944">
        <v>10991.85</v>
      </c>
    </row>
    <row r="688" spans="1:3" x14ac:dyDescent="0.25">
      <c r="A688" s="939">
        <v>97731</v>
      </c>
      <c r="B688" s="939" t="s">
        <v>3259</v>
      </c>
      <c r="C688" s="944">
        <v>18459.8</v>
      </c>
    </row>
    <row r="689" spans="1:3" x14ac:dyDescent="0.25">
      <c r="A689" s="939">
        <v>97801</v>
      </c>
      <c r="B689" s="939" t="s">
        <v>3590</v>
      </c>
      <c r="C689" s="944">
        <v>3179608.48</v>
      </c>
    </row>
    <row r="690" spans="1:3" x14ac:dyDescent="0.25">
      <c r="A690" s="939">
        <v>97802</v>
      </c>
      <c r="B690" s="939" t="s">
        <v>3261</v>
      </c>
      <c r="C690" s="944">
        <v>76715.05</v>
      </c>
    </row>
    <row r="691" spans="1:3" x14ac:dyDescent="0.25">
      <c r="A691" s="939">
        <v>97803</v>
      </c>
      <c r="B691" s="939" t="s">
        <v>3262</v>
      </c>
      <c r="C691" s="944">
        <v>38230.68</v>
      </c>
    </row>
    <row r="692" spans="1:3" x14ac:dyDescent="0.25">
      <c r="A692" s="939">
        <v>97805</v>
      </c>
      <c r="B692" s="939" t="s">
        <v>3263</v>
      </c>
      <c r="C692" s="944">
        <v>39470.879999999997</v>
      </c>
    </row>
    <row r="693" spans="1:3" x14ac:dyDescent="0.25">
      <c r="A693" s="939">
        <v>97811</v>
      </c>
      <c r="B693" s="939" t="s">
        <v>3264</v>
      </c>
      <c r="C693" s="944">
        <v>1101269.8</v>
      </c>
    </row>
    <row r="694" spans="1:3" x14ac:dyDescent="0.25">
      <c r="A694" s="939">
        <v>97817</v>
      </c>
      <c r="B694" s="939" t="s">
        <v>3265</v>
      </c>
      <c r="C694" s="944">
        <v>14126.6</v>
      </c>
    </row>
    <row r="695" spans="1:3" x14ac:dyDescent="0.25">
      <c r="A695" s="939">
        <v>97818</v>
      </c>
      <c r="B695" s="939" t="s">
        <v>3266</v>
      </c>
      <c r="C695" s="944">
        <v>9809.0300000000007</v>
      </c>
    </row>
    <row r="696" spans="1:3" x14ac:dyDescent="0.25">
      <c r="A696" s="939">
        <v>97821</v>
      </c>
      <c r="B696" s="939" t="s">
        <v>3267</v>
      </c>
      <c r="C696" s="944">
        <v>61404.09</v>
      </c>
    </row>
    <row r="697" spans="1:3" x14ac:dyDescent="0.25">
      <c r="A697" s="939">
        <v>97823</v>
      </c>
      <c r="B697" s="939" t="s">
        <v>3268</v>
      </c>
      <c r="C697" s="944">
        <v>13091.51</v>
      </c>
    </row>
    <row r="698" spans="1:3" x14ac:dyDescent="0.25">
      <c r="A698" s="939">
        <v>97831</v>
      </c>
      <c r="B698" s="939" t="s">
        <v>3269</v>
      </c>
      <c r="C698" s="944">
        <v>78812.62</v>
      </c>
    </row>
    <row r="699" spans="1:3" x14ac:dyDescent="0.25">
      <c r="A699" s="939">
        <v>97837</v>
      </c>
      <c r="B699" s="939" t="s">
        <v>3270</v>
      </c>
      <c r="C699" s="944">
        <v>6053.01</v>
      </c>
    </row>
    <row r="700" spans="1:3" x14ac:dyDescent="0.25">
      <c r="A700" s="939">
        <v>97840</v>
      </c>
      <c r="B700" s="939" t="s">
        <v>3271</v>
      </c>
      <c r="C700" s="944">
        <v>107784.16</v>
      </c>
    </row>
    <row r="701" spans="1:3" x14ac:dyDescent="0.25">
      <c r="A701" s="939">
        <v>97841</v>
      </c>
      <c r="B701" s="939" t="s">
        <v>3272</v>
      </c>
      <c r="C701" s="944">
        <v>6425.33</v>
      </c>
    </row>
    <row r="702" spans="1:3" x14ac:dyDescent="0.25">
      <c r="A702" s="939">
        <v>97847</v>
      </c>
      <c r="B702" s="939" t="s">
        <v>3273</v>
      </c>
      <c r="C702" s="944">
        <v>2258.88</v>
      </c>
    </row>
    <row r="703" spans="1:3" x14ac:dyDescent="0.25">
      <c r="A703" s="939">
        <v>97851</v>
      </c>
      <c r="B703" s="939" t="s">
        <v>3274</v>
      </c>
      <c r="C703" s="944">
        <v>116408.28</v>
      </c>
    </row>
    <row r="704" spans="1:3" x14ac:dyDescent="0.25">
      <c r="A704" s="939">
        <v>97853</v>
      </c>
      <c r="B704" s="939" t="s">
        <v>3275</v>
      </c>
      <c r="C704" s="944">
        <v>44042.97</v>
      </c>
    </row>
    <row r="705" spans="1:3" x14ac:dyDescent="0.25">
      <c r="A705" s="939">
        <v>97861</v>
      </c>
      <c r="B705" s="939" t="s">
        <v>3276</v>
      </c>
      <c r="C705" s="944">
        <v>27517.03</v>
      </c>
    </row>
    <row r="706" spans="1:3" x14ac:dyDescent="0.25">
      <c r="A706" s="939">
        <v>97871</v>
      </c>
      <c r="B706" s="939" t="s">
        <v>3277</v>
      </c>
      <c r="C706" s="944">
        <v>273653.90000000002</v>
      </c>
    </row>
    <row r="707" spans="1:3" x14ac:dyDescent="0.25">
      <c r="A707" s="939">
        <v>97877</v>
      </c>
      <c r="B707" s="939" t="s">
        <v>3278</v>
      </c>
      <c r="C707" s="944">
        <v>2104.1</v>
      </c>
    </row>
    <row r="708" spans="1:3" x14ac:dyDescent="0.25">
      <c r="A708" s="939">
        <v>97901</v>
      </c>
      <c r="B708" s="939" t="s">
        <v>3279</v>
      </c>
      <c r="C708" s="944">
        <v>2091023.45</v>
      </c>
    </row>
    <row r="709" spans="1:3" x14ac:dyDescent="0.25">
      <c r="A709" s="939">
        <v>97911</v>
      </c>
      <c r="B709" s="939" t="s">
        <v>3280</v>
      </c>
      <c r="C709" s="944">
        <v>613264.98</v>
      </c>
    </row>
    <row r="710" spans="1:3" x14ac:dyDescent="0.25">
      <c r="A710" s="939">
        <v>97913</v>
      </c>
      <c r="B710" s="939" t="s">
        <v>3281</v>
      </c>
      <c r="C710" s="944">
        <v>27559.27</v>
      </c>
    </row>
    <row r="711" spans="1:3" x14ac:dyDescent="0.25">
      <c r="A711" s="939">
        <v>97917</v>
      </c>
      <c r="B711" s="939" t="s">
        <v>3282</v>
      </c>
      <c r="C711" s="944">
        <v>13418.63</v>
      </c>
    </row>
    <row r="712" spans="1:3" x14ac:dyDescent="0.25">
      <c r="A712" s="939">
        <v>97921</v>
      </c>
      <c r="B712" s="939" t="s">
        <v>3283</v>
      </c>
      <c r="C712" s="944">
        <v>103162.98</v>
      </c>
    </row>
    <row r="713" spans="1:3" x14ac:dyDescent="0.25">
      <c r="A713" s="939">
        <v>97931</v>
      </c>
      <c r="B713" s="939" t="s">
        <v>3284</v>
      </c>
      <c r="C713" s="944">
        <v>31939.19</v>
      </c>
    </row>
    <row r="714" spans="1:3" x14ac:dyDescent="0.25">
      <c r="A714" s="939">
        <v>97941</v>
      </c>
      <c r="B714" s="939" t="s">
        <v>3285</v>
      </c>
      <c r="C714" s="944">
        <v>106969.88</v>
      </c>
    </row>
    <row r="715" spans="1:3" x14ac:dyDescent="0.25">
      <c r="A715" s="939">
        <v>97947</v>
      </c>
      <c r="B715" s="939" t="s">
        <v>3286</v>
      </c>
      <c r="C715" s="944">
        <v>11470.6</v>
      </c>
    </row>
    <row r="716" spans="1:3" x14ac:dyDescent="0.25">
      <c r="A716" s="939">
        <v>97948</v>
      </c>
      <c r="B716" s="939" t="s">
        <v>3287</v>
      </c>
      <c r="C716" s="944">
        <v>10840.35</v>
      </c>
    </row>
    <row r="717" spans="1:3" x14ac:dyDescent="0.25">
      <c r="A717" s="939">
        <v>97951</v>
      </c>
      <c r="B717" s="939" t="s">
        <v>3288</v>
      </c>
      <c r="C717" s="944">
        <v>597832.21</v>
      </c>
    </row>
    <row r="718" spans="1:3" x14ac:dyDescent="0.25">
      <c r="A718" s="939">
        <v>97957</v>
      </c>
      <c r="B718" s="939" t="s">
        <v>3289</v>
      </c>
      <c r="C718" s="944">
        <v>12857.2</v>
      </c>
    </row>
    <row r="719" spans="1:3" x14ac:dyDescent="0.25">
      <c r="A719" s="939">
        <v>98001</v>
      </c>
      <c r="B719" s="939" t="s">
        <v>3290</v>
      </c>
      <c r="C719" s="944">
        <v>2367016.2000000002</v>
      </c>
    </row>
    <row r="720" spans="1:3" x14ac:dyDescent="0.25">
      <c r="A720" s="939">
        <v>98002</v>
      </c>
      <c r="B720" s="939" t="s">
        <v>3291</v>
      </c>
      <c r="C720" s="944">
        <v>4125.92</v>
      </c>
    </row>
    <row r="721" spans="1:3" x14ac:dyDescent="0.25">
      <c r="A721" s="939">
        <v>98003</v>
      </c>
      <c r="B721" s="939" t="s">
        <v>3292</v>
      </c>
      <c r="C721" s="944">
        <v>70273.84</v>
      </c>
    </row>
    <row r="722" spans="1:3" x14ac:dyDescent="0.25">
      <c r="A722" s="939">
        <v>98004</v>
      </c>
      <c r="B722" s="939" t="s">
        <v>3293</v>
      </c>
      <c r="C722" s="944">
        <v>78049.56</v>
      </c>
    </row>
    <row r="723" spans="1:3" x14ac:dyDescent="0.25">
      <c r="A723" s="939">
        <v>98008</v>
      </c>
      <c r="B723" s="939" t="s">
        <v>3294</v>
      </c>
      <c r="C723" s="944">
        <v>3536.66</v>
      </c>
    </row>
    <row r="724" spans="1:3" x14ac:dyDescent="0.25">
      <c r="A724" s="939">
        <v>98011</v>
      </c>
      <c r="B724" s="939" t="s">
        <v>3295</v>
      </c>
      <c r="C724" s="944">
        <v>1430081.86</v>
      </c>
    </row>
    <row r="725" spans="1:3" x14ac:dyDescent="0.25">
      <c r="A725" s="939">
        <v>98013</v>
      </c>
      <c r="B725" s="939" t="s">
        <v>3296</v>
      </c>
      <c r="C725" s="944">
        <v>138520.69</v>
      </c>
    </row>
    <row r="726" spans="1:3" x14ac:dyDescent="0.25">
      <c r="A726" s="939">
        <v>98021</v>
      </c>
      <c r="B726" s="939" t="s">
        <v>3297</v>
      </c>
      <c r="C726" s="944">
        <v>28536.18</v>
      </c>
    </row>
    <row r="727" spans="1:3" x14ac:dyDescent="0.25">
      <c r="A727" s="939">
        <v>98023</v>
      </c>
      <c r="B727" s="939" t="s">
        <v>3298</v>
      </c>
      <c r="C727" s="944">
        <v>6869.39</v>
      </c>
    </row>
    <row r="728" spans="1:3" x14ac:dyDescent="0.25">
      <c r="A728" s="939">
        <v>98031</v>
      </c>
      <c r="B728" s="939" t="s">
        <v>3299</v>
      </c>
      <c r="C728" s="944">
        <v>67740.09</v>
      </c>
    </row>
    <row r="729" spans="1:3" x14ac:dyDescent="0.25">
      <c r="A729" s="939">
        <v>98041</v>
      </c>
      <c r="B729" s="939" t="s">
        <v>3300</v>
      </c>
      <c r="C729" s="944">
        <v>80473.600000000006</v>
      </c>
    </row>
    <row r="730" spans="1:3" x14ac:dyDescent="0.25">
      <c r="A730" s="939">
        <v>98051</v>
      </c>
      <c r="B730" s="939" t="s">
        <v>3301</v>
      </c>
      <c r="C730" s="944">
        <v>136144.79</v>
      </c>
    </row>
    <row r="731" spans="1:3" x14ac:dyDescent="0.25">
      <c r="A731" s="939">
        <v>98061</v>
      </c>
      <c r="B731" s="939" t="s">
        <v>3302</v>
      </c>
      <c r="C731" s="944">
        <v>47389.56</v>
      </c>
    </row>
    <row r="732" spans="1:3" x14ac:dyDescent="0.25">
      <c r="A732" s="939">
        <v>98071</v>
      </c>
      <c r="B732" s="939" t="s">
        <v>3303</v>
      </c>
      <c r="C732" s="944">
        <v>28232.94</v>
      </c>
    </row>
    <row r="733" spans="1:3" x14ac:dyDescent="0.25">
      <c r="A733" s="939">
        <v>98081</v>
      </c>
      <c r="B733" s="939" t="s">
        <v>3304</v>
      </c>
      <c r="C733" s="944">
        <v>7556.32</v>
      </c>
    </row>
    <row r="734" spans="1:3" x14ac:dyDescent="0.25">
      <c r="A734" s="939">
        <v>98091</v>
      </c>
      <c r="B734" s="939" t="s">
        <v>3305</v>
      </c>
      <c r="C734" s="944">
        <v>25240.61</v>
      </c>
    </row>
    <row r="735" spans="1:3" x14ac:dyDescent="0.25">
      <c r="A735" s="939">
        <v>98101</v>
      </c>
      <c r="B735" s="939" t="s">
        <v>3306</v>
      </c>
      <c r="C735" s="944">
        <v>1210233.97</v>
      </c>
    </row>
    <row r="736" spans="1:3" x14ac:dyDescent="0.25">
      <c r="A736" s="939">
        <v>98102</v>
      </c>
      <c r="B736" s="939" t="s">
        <v>3307</v>
      </c>
      <c r="C736" s="944">
        <v>71621.289999999994</v>
      </c>
    </row>
    <row r="737" spans="1:3" x14ac:dyDescent="0.25">
      <c r="A737" s="939">
        <v>98103</v>
      </c>
      <c r="B737" s="939" t="s">
        <v>3308</v>
      </c>
      <c r="C737" s="944">
        <v>255161.38</v>
      </c>
    </row>
    <row r="738" spans="1:3" x14ac:dyDescent="0.25">
      <c r="A738" s="939">
        <v>98107</v>
      </c>
      <c r="B738" s="939" t="s">
        <v>3309</v>
      </c>
      <c r="C738" s="944">
        <v>9241.77</v>
      </c>
    </row>
    <row r="739" spans="1:3" x14ac:dyDescent="0.25">
      <c r="A739" s="939">
        <v>98109</v>
      </c>
      <c r="B739" s="939" t="s">
        <v>3310</v>
      </c>
      <c r="C739" s="944">
        <v>76015.77</v>
      </c>
    </row>
    <row r="740" spans="1:3" x14ac:dyDescent="0.25">
      <c r="A740" s="939">
        <v>98111</v>
      </c>
      <c r="B740" s="939" t="s">
        <v>3311</v>
      </c>
      <c r="C740" s="944">
        <v>432530.07</v>
      </c>
    </row>
    <row r="741" spans="1:3" x14ac:dyDescent="0.25">
      <c r="A741" s="939">
        <v>98113</v>
      </c>
      <c r="B741" s="939" t="s">
        <v>3312</v>
      </c>
      <c r="C741" s="944">
        <v>23491.62</v>
      </c>
    </row>
    <row r="742" spans="1:3" x14ac:dyDescent="0.25">
      <c r="A742" s="939">
        <v>98121</v>
      </c>
      <c r="B742" s="939" t="s">
        <v>3313</v>
      </c>
      <c r="C742" s="944">
        <v>89370.18</v>
      </c>
    </row>
    <row r="743" spans="1:3" x14ac:dyDescent="0.25">
      <c r="A743" s="939">
        <v>98131</v>
      </c>
      <c r="B743" s="939" t="s">
        <v>3314</v>
      </c>
      <c r="C743" s="944">
        <v>119696.65</v>
      </c>
    </row>
    <row r="744" spans="1:3" x14ac:dyDescent="0.25">
      <c r="A744" s="939">
        <v>98141</v>
      </c>
      <c r="B744" s="939" t="s">
        <v>3315</v>
      </c>
      <c r="C744" s="944">
        <v>133558.14000000001</v>
      </c>
    </row>
    <row r="745" spans="1:3" x14ac:dyDescent="0.25">
      <c r="A745" s="939">
        <v>98147</v>
      </c>
      <c r="B745" s="939" t="s">
        <v>3316</v>
      </c>
      <c r="C745" s="944">
        <v>9893.14</v>
      </c>
    </row>
    <row r="746" spans="1:3" x14ac:dyDescent="0.25">
      <c r="A746" s="939">
        <v>98161</v>
      </c>
      <c r="B746" s="939" t="s">
        <v>3317</v>
      </c>
      <c r="C746" s="944">
        <v>5046.24</v>
      </c>
    </row>
    <row r="747" spans="1:3" x14ac:dyDescent="0.25">
      <c r="A747" s="939">
        <v>98201</v>
      </c>
      <c r="B747" s="939" t="s">
        <v>3318</v>
      </c>
      <c r="C747" s="944">
        <v>1424603.84</v>
      </c>
    </row>
    <row r="748" spans="1:3" x14ac:dyDescent="0.25">
      <c r="A748" s="939">
        <v>98205</v>
      </c>
      <c r="B748" s="939" t="s">
        <v>3319</v>
      </c>
      <c r="C748" s="944">
        <v>23504.78</v>
      </c>
    </row>
    <row r="749" spans="1:3" x14ac:dyDescent="0.25">
      <c r="A749" s="939">
        <v>98211</v>
      </c>
      <c r="B749" s="939" t="s">
        <v>3320</v>
      </c>
      <c r="C749" s="944">
        <v>365217.98</v>
      </c>
    </row>
    <row r="750" spans="1:3" x14ac:dyDescent="0.25">
      <c r="A750" s="939">
        <v>98218</v>
      </c>
      <c r="B750" s="939" t="s">
        <v>3321</v>
      </c>
      <c r="C750" s="944">
        <v>5829.3</v>
      </c>
    </row>
    <row r="751" spans="1:3" x14ac:dyDescent="0.25">
      <c r="A751" s="939">
        <v>98221</v>
      </c>
      <c r="B751" s="939" t="s">
        <v>3322</v>
      </c>
      <c r="C751" s="944">
        <v>9739.18</v>
      </c>
    </row>
    <row r="752" spans="1:3" x14ac:dyDescent="0.25">
      <c r="A752" s="939">
        <v>98231</v>
      </c>
      <c r="B752" s="939" t="s">
        <v>3323</v>
      </c>
      <c r="C752" s="944">
        <v>11487.39</v>
      </c>
    </row>
    <row r="753" spans="1:3" x14ac:dyDescent="0.25">
      <c r="A753" s="939">
        <v>98237</v>
      </c>
      <c r="B753" s="939" t="s">
        <v>3324</v>
      </c>
      <c r="C753" s="944">
        <v>4384.58</v>
      </c>
    </row>
    <row r="754" spans="1:3" x14ac:dyDescent="0.25">
      <c r="A754" s="939">
        <v>98241</v>
      </c>
      <c r="B754" s="939" t="s">
        <v>3325</v>
      </c>
      <c r="C754" s="944">
        <v>8387.8799999999992</v>
      </c>
    </row>
    <row r="755" spans="1:3" x14ac:dyDescent="0.25">
      <c r="A755" s="939">
        <v>98251</v>
      </c>
      <c r="B755" s="939" t="s">
        <v>3326</v>
      </c>
      <c r="C755" s="944">
        <v>2206.39</v>
      </c>
    </row>
    <row r="756" spans="1:3" x14ac:dyDescent="0.25">
      <c r="A756" s="939">
        <v>98261</v>
      </c>
      <c r="B756" s="939" t="s">
        <v>3327</v>
      </c>
      <c r="C756" s="944">
        <v>16864.509999999998</v>
      </c>
    </row>
    <row r="757" spans="1:3" x14ac:dyDescent="0.25">
      <c r="A757" s="939">
        <v>98271</v>
      </c>
      <c r="B757" s="939" t="s">
        <v>3328</v>
      </c>
      <c r="C757" s="944">
        <v>2676.11</v>
      </c>
    </row>
    <row r="758" spans="1:3" x14ac:dyDescent="0.25">
      <c r="A758" s="939">
        <v>98301</v>
      </c>
      <c r="B758" s="939" t="s">
        <v>3329</v>
      </c>
      <c r="C758" s="944">
        <v>825877.52</v>
      </c>
    </row>
    <row r="759" spans="1:3" x14ac:dyDescent="0.25">
      <c r="A759" s="939">
        <v>98304</v>
      </c>
      <c r="B759" s="939" t="s">
        <v>3330</v>
      </c>
      <c r="C759" s="944">
        <v>12751.15</v>
      </c>
    </row>
    <row r="760" spans="1:3" x14ac:dyDescent="0.25">
      <c r="A760" s="939">
        <v>98308</v>
      </c>
      <c r="B760" s="939" t="s">
        <v>3331</v>
      </c>
      <c r="C760" s="944">
        <v>15362.64</v>
      </c>
    </row>
    <row r="761" spans="1:3" x14ac:dyDescent="0.25">
      <c r="A761" s="939">
        <v>98311</v>
      </c>
      <c r="B761" s="939" t="s">
        <v>3332</v>
      </c>
      <c r="C761" s="944">
        <v>462216.84</v>
      </c>
    </row>
    <row r="762" spans="1:3" x14ac:dyDescent="0.25">
      <c r="A762" s="939">
        <v>98313</v>
      </c>
      <c r="B762" s="939" t="s">
        <v>3333</v>
      </c>
      <c r="C762" s="944">
        <v>259158.18</v>
      </c>
    </row>
    <row r="763" spans="1:3" x14ac:dyDescent="0.25">
      <c r="A763" s="939">
        <v>98321</v>
      </c>
      <c r="B763" s="939" t="s">
        <v>3334</v>
      </c>
      <c r="C763" s="944">
        <v>10270.049999999999</v>
      </c>
    </row>
    <row r="764" spans="1:3" x14ac:dyDescent="0.25">
      <c r="A764" s="939">
        <v>98331</v>
      </c>
      <c r="B764" s="939" t="s">
        <v>3335</v>
      </c>
      <c r="C764" s="944">
        <v>6280.7</v>
      </c>
    </row>
    <row r="765" spans="1:3" x14ac:dyDescent="0.25">
      <c r="A765" s="939">
        <v>98401</v>
      </c>
      <c r="B765" s="939" t="s">
        <v>3336</v>
      </c>
      <c r="C765" s="944">
        <v>1399311.01</v>
      </c>
    </row>
    <row r="766" spans="1:3" x14ac:dyDescent="0.25">
      <c r="A766" s="939">
        <v>98404</v>
      </c>
      <c r="B766" s="939" t="s">
        <v>3591</v>
      </c>
      <c r="C766" s="944">
        <v>5851.81</v>
      </c>
    </row>
    <row r="767" spans="1:3" x14ac:dyDescent="0.25">
      <c r="A767" s="939">
        <v>98411</v>
      </c>
      <c r="B767" s="939" t="s">
        <v>3337</v>
      </c>
      <c r="C767" s="944">
        <v>869963.94</v>
      </c>
    </row>
    <row r="768" spans="1:3" x14ac:dyDescent="0.25">
      <c r="A768" s="939">
        <v>98414</v>
      </c>
      <c r="B768" s="939" t="s">
        <v>2576</v>
      </c>
      <c r="C768" s="944">
        <v>7367.21</v>
      </c>
    </row>
    <row r="769" spans="1:3" x14ac:dyDescent="0.25">
      <c r="A769" s="939">
        <v>98417</v>
      </c>
      <c r="B769" s="939" t="s">
        <v>3338</v>
      </c>
      <c r="C769" s="944">
        <v>14125.46</v>
      </c>
    </row>
    <row r="770" spans="1:3" x14ac:dyDescent="0.25">
      <c r="A770" s="939">
        <v>98421</v>
      </c>
      <c r="B770" s="939" t="s">
        <v>3339</v>
      </c>
      <c r="C770" s="944">
        <v>44395.67</v>
      </c>
    </row>
    <row r="771" spans="1:3" x14ac:dyDescent="0.25">
      <c r="A771" s="939">
        <v>98427</v>
      </c>
      <c r="B771" s="939" t="s">
        <v>3340</v>
      </c>
      <c r="C771" s="944">
        <v>3231.11</v>
      </c>
    </row>
    <row r="772" spans="1:3" x14ac:dyDescent="0.25">
      <c r="A772" s="939">
        <v>98431</v>
      </c>
      <c r="B772" s="939" t="s">
        <v>3341</v>
      </c>
      <c r="C772" s="944">
        <v>78481.45</v>
      </c>
    </row>
    <row r="773" spans="1:3" x14ac:dyDescent="0.25">
      <c r="A773" s="939">
        <v>98441</v>
      </c>
      <c r="B773" s="939" t="s">
        <v>3342</v>
      </c>
      <c r="C773" s="944">
        <v>35571.949999999997</v>
      </c>
    </row>
    <row r="774" spans="1:3" x14ac:dyDescent="0.25">
      <c r="A774" s="939">
        <v>98451</v>
      </c>
      <c r="B774" s="939" t="s">
        <v>3343</v>
      </c>
      <c r="C774" s="944">
        <v>26131.94</v>
      </c>
    </row>
    <row r="775" spans="1:3" x14ac:dyDescent="0.25">
      <c r="A775" s="939">
        <v>98471</v>
      </c>
      <c r="B775" s="939" t="s">
        <v>3878</v>
      </c>
      <c r="C775" s="944">
        <v>1832.31</v>
      </c>
    </row>
    <row r="776" spans="1:3" x14ac:dyDescent="0.25">
      <c r="A776" s="939">
        <v>98481</v>
      </c>
      <c r="B776" s="939" t="s">
        <v>3344</v>
      </c>
      <c r="C776" s="944">
        <v>27197.51</v>
      </c>
    </row>
    <row r="777" spans="1:3" x14ac:dyDescent="0.25">
      <c r="A777" s="939">
        <v>98501</v>
      </c>
      <c r="B777" s="939" t="s">
        <v>3345</v>
      </c>
      <c r="C777" s="944">
        <v>760833.22</v>
      </c>
    </row>
    <row r="778" spans="1:3" x14ac:dyDescent="0.25">
      <c r="A778" s="939">
        <v>98511</v>
      </c>
      <c r="B778" s="939" t="s">
        <v>3346</v>
      </c>
      <c r="C778" s="944">
        <v>23435.01</v>
      </c>
    </row>
    <row r="779" spans="1:3" x14ac:dyDescent="0.25">
      <c r="A779" s="939">
        <v>98517</v>
      </c>
      <c r="B779" s="939" t="s">
        <v>3347</v>
      </c>
      <c r="C779" s="944">
        <v>2484.08</v>
      </c>
    </row>
    <row r="780" spans="1:3" x14ac:dyDescent="0.25">
      <c r="A780" s="939">
        <v>98521</v>
      </c>
      <c r="B780" s="939" t="s">
        <v>3348</v>
      </c>
      <c r="C780" s="944">
        <v>270882.26</v>
      </c>
    </row>
    <row r="781" spans="1:3" x14ac:dyDescent="0.25">
      <c r="A781" s="939">
        <v>98601</v>
      </c>
      <c r="B781" s="939" t="s">
        <v>3349</v>
      </c>
      <c r="C781" s="944">
        <v>1494584.1</v>
      </c>
    </row>
    <row r="782" spans="1:3" x14ac:dyDescent="0.25">
      <c r="A782" s="939">
        <v>98604</v>
      </c>
      <c r="B782" s="939" t="s">
        <v>3350</v>
      </c>
      <c r="C782" s="944">
        <v>7587.6</v>
      </c>
    </row>
    <row r="783" spans="1:3" x14ac:dyDescent="0.25">
      <c r="A783" s="939">
        <v>98607</v>
      </c>
      <c r="B783" s="939" t="s">
        <v>3351</v>
      </c>
      <c r="C783" s="944">
        <v>2774.21</v>
      </c>
    </row>
    <row r="784" spans="1:3" x14ac:dyDescent="0.25">
      <c r="A784" s="939">
        <v>98608</v>
      </c>
      <c r="B784" s="939" t="s">
        <v>3352</v>
      </c>
      <c r="C784" s="944">
        <v>20059.189999999999</v>
      </c>
    </row>
    <row r="785" spans="1:3" x14ac:dyDescent="0.25">
      <c r="A785" s="939">
        <v>98611</v>
      </c>
      <c r="B785" s="939" t="s">
        <v>3353</v>
      </c>
      <c r="C785" s="944">
        <v>49930.89</v>
      </c>
    </row>
    <row r="786" spans="1:3" x14ac:dyDescent="0.25">
      <c r="A786" s="939">
        <v>98621</v>
      </c>
      <c r="B786" s="939" t="s">
        <v>3354</v>
      </c>
      <c r="C786" s="944">
        <v>55891.29</v>
      </c>
    </row>
    <row r="787" spans="1:3" x14ac:dyDescent="0.25">
      <c r="A787" s="939">
        <v>98627</v>
      </c>
      <c r="B787" s="939" t="s">
        <v>3355</v>
      </c>
      <c r="C787" s="944">
        <v>3353.93</v>
      </c>
    </row>
    <row r="788" spans="1:3" x14ac:dyDescent="0.25">
      <c r="A788" s="939">
        <v>98631</v>
      </c>
      <c r="B788" s="939" t="s">
        <v>3356</v>
      </c>
      <c r="C788" s="944">
        <v>466622.49</v>
      </c>
    </row>
    <row r="789" spans="1:3" x14ac:dyDescent="0.25">
      <c r="A789" s="939">
        <v>98637</v>
      </c>
      <c r="B789" s="939" t="s">
        <v>3357</v>
      </c>
      <c r="C789" s="944">
        <v>15729.22</v>
      </c>
    </row>
    <row r="790" spans="1:3" x14ac:dyDescent="0.25">
      <c r="A790" s="939">
        <v>98641</v>
      </c>
      <c r="B790" s="939" t="s">
        <v>3358</v>
      </c>
      <c r="C790" s="944">
        <v>140670.06</v>
      </c>
    </row>
    <row r="791" spans="1:3" x14ac:dyDescent="0.25">
      <c r="A791" s="939">
        <v>98701</v>
      </c>
      <c r="B791" s="939" t="s">
        <v>3360</v>
      </c>
      <c r="C791" s="944">
        <v>514112.93</v>
      </c>
    </row>
    <row r="792" spans="1:3" x14ac:dyDescent="0.25">
      <c r="A792" s="939">
        <v>98711</v>
      </c>
      <c r="B792" s="939" t="s">
        <v>3361</v>
      </c>
      <c r="C792" s="944">
        <v>70342.11</v>
      </c>
    </row>
    <row r="793" spans="1:3" x14ac:dyDescent="0.25">
      <c r="A793" s="939">
        <v>98717</v>
      </c>
      <c r="B793" s="939" t="s">
        <v>3362</v>
      </c>
      <c r="C793" s="944">
        <v>8758.7199999999993</v>
      </c>
    </row>
    <row r="794" spans="1:3" x14ac:dyDescent="0.25">
      <c r="A794" s="939">
        <v>98801</v>
      </c>
      <c r="B794" s="939" t="s">
        <v>3363</v>
      </c>
      <c r="C794" s="944">
        <v>1067051.19</v>
      </c>
    </row>
    <row r="795" spans="1:3" x14ac:dyDescent="0.25">
      <c r="A795" s="939">
        <v>98811</v>
      </c>
      <c r="B795" s="939" t="s">
        <v>3364</v>
      </c>
      <c r="C795" s="944">
        <v>323262.17</v>
      </c>
    </row>
    <row r="796" spans="1:3" x14ac:dyDescent="0.25">
      <c r="A796" s="939">
        <v>98817</v>
      </c>
      <c r="B796" s="939" t="s">
        <v>3365</v>
      </c>
      <c r="C796" s="944">
        <v>14663.34</v>
      </c>
    </row>
    <row r="797" spans="1:3" x14ac:dyDescent="0.25">
      <c r="A797" s="939">
        <v>98901</v>
      </c>
      <c r="B797" s="939" t="s">
        <v>3366</v>
      </c>
      <c r="C797" s="944">
        <v>159126.35</v>
      </c>
    </row>
    <row r="798" spans="1:3" x14ac:dyDescent="0.25">
      <c r="A798" s="939">
        <v>98904</v>
      </c>
      <c r="B798" s="939" t="s">
        <v>3367</v>
      </c>
      <c r="C798" s="944">
        <v>1607.95</v>
      </c>
    </row>
    <row r="799" spans="1:3" x14ac:dyDescent="0.25">
      <c r="A799" s="939">
        <v>98911</v>
      </c>
      <c r="B799" s="939" t="s">
        <v>3368</v>
      </c>
      <c r="C799" s="944">
        <v>17944.88</v>
      </c>
    </row>
    <row r="800" spans="1:3" x14ac:dyDescent="0.25">
      <c r="A800" s="939">
        <v>99001</v>
      </c>
      <c r="B800" s="939" t="s">
        <v>3369</v>
      </c>
      <c r="C800" s="944">
        <v>3574722.49</v>
      </c>
    </row>
    <row r="801" spans="1:3" x14ac:dyDescent="0.25">
      <c r="A801" s="939">
        <v>99011</v>
      </c>
      <c r="B801" s="939" t="s">
        <v>3370</v>
      </c>
      <c r="C801" s="944">
        <v>1767796.68</v>
      </c>
    </row>
    <row r="802" spans="1:3" x14ac:dyDescent="0.25">
      <c r="A802" s="939">
        <v>99013</v>
      </c>
      <c r="B802" s="939" t="s">
        <v>3371</v>
      </c>
      <c r="C802" s="944">
        <v>27132.69</v>
      </c>
    </row>
    <row r="803" spans="1:3" x14ac:dyDescent="0.25">
      <c r="A803" s="939">
        <v>99014</v>
      </c>
      <c r="B803" s="939" t="s">
        <v>3372</v>
      </c>
      <c r="C803" s="944">
        <v>13999.21</v>
      </c>
    </row>
    <row r="804" spans="1:3" x14ac:dyDescent="0.25">
      <c r="A804" s="939">
        <v>99017</v>
      </c>
      <c r="B804" s="939" t="s">
        <v>3373</v>
      </c>
      <c r="C804" s="944">
        <v>25055.15</v>
      </c>
    </row>
    <row r="805" spans="1:3" x14ac:dyDescent="0.25">
      <c r="A805" s="939">
        <v>99021</v>
      </c>
      <c r="B805" s="939" t="s">
        <v>3374</v>
      </c>
      <c r="C805" s="944">
        <v>64601.440000000002</v>
      </c>
    </row>
    <row r="806" spans="1:3" x14ac:dyDescent="0.25">
      <c r="A806" s="939">
        <v>99022</v>
      </c>
      <c r="B806" s="939" t="s">
        <v>1970</v>
      </c>
      <c r="C806" s="944">
        <v>11386.44</v>
      </c>
    </row>
    <row r="807" spans="1:3" x14ac:dyDescent="0.25">
      <c r="A807" s="939">
        <v>99031</v>
      </c>
      <c r="B807" s="939" t="s">
        <v>3375</v>
      </c>
      <c r="C807" s="944">
        <v>59832.480000000003</v>
      </c>
    </row>
    <row r="808" spans="1:3" x14ac:dyDescent="0.25">
      <c r="A808" s="939">
        <v>99041</v>
      </c>
      <c r="B808" s="939" t="s">
        <v>3376</v>
      </c>
      <c r="C808" s="944">
        <v>254000.11</v>
      </c>
    </row>
    <row r="809" spans="1:3" x14ac:dyDescent="0.25">
      <c r="A809" s="939">
        <v>99047</v>
      </c>
      <c r="B809" s="939" t="s">
        <v>3377</v>
      </c>
      <c r="C809" s="944">
        <v>7761.09</v>
      </c>
    </row>
    <row r="810" spans="1:3" x14ac:dyDescent="0.25">
      <c r="A810" s="939">
        <v>99051</v>
      </c>
      <c r="B810" s="939" t="s">
        <v>3378</v>
      </c>
      <c r="C810" s="944">
        <v>142316.85999999999</v>
      </c>
    </row>
    <row r="811" spans="1:3" x14ac:dyDescent="0.25">
      <c r="A811" s="939">
        <v>99061</v>
      </c>
      <c r="B811" s="939" t="s">
        <v>3379</v>
      </c>
      <c r="C811" s="944">
        <v>7897.37</v>
      </c>
    </row>
    <row r="812" spans="1:3" x14ac:dyDescent="0.25">
      <c r="A812" s="939">
        <v>99071</v>
      </c>
      <c r="B812" s="939" t="s">
        <v>3380</v>
      </c>
      <c r="C812" s="944">
        <v>15062.04</v>
      </c>
    </row>
    <row r="813" spans="1:3" x14ac:dyDescent="0.25">
      <c r="A813" s="939">
        <v>99081</v>
      </c>
      <c r="B813" s="939" t="s">
        <v>3381</v>
      </c>
      <c r="C813" s="944">
        <v>10194.719999999999</v>
      </c>
    </row>
    <row r="814" spans="1:3" x14ac:dyDescent="0.25">
      <c r="A814" s="939">
        <v>99091</v>
      </c>
      <c r="B814" s="939" t="s">
        <v>3382</v>
      </c>
      <c r="C814" s="944">
        <v>4830.95</v>
      </c>
    </row>
    <row r="815" spans="1:3" x14ac:dyDescent="0.25">
      <c r="A815" s="939">
        <v>99101</v>
      </c>
      <c r="B815" s="939" t="s">
        <v>3383</v>
      </c>
      <c r="C815" s="944">
        <v>914274.04</v>
      </c>
    </row>
    <row r="816" spans="1:3" x14ac:dyDescent="0.25">
      <c r="A816" s="939">
        <v>99104</v>
      </c>
      <c r="B816" s="939" t="s">
        <v>3384</v>
      </c>
      <c r="C816" s="944">
        <v>22873.95</v>
      </c>
    </row>
    <row r="817" spans="1:3" x14ac:dyDescent="0.25">
      <c r="A817" s="939">
        <v>99109</v>
      </c>
      <c r="B817" s="939" t="s">
        <v>3385</v>
      </c>
      <c r="C817" s="944">
        <v>56338.23</v>
      </c>
    </row>
    <row r="818" spans="1:3" x14ac:dyDescent="0.25">
      <c r="A818" s="939">
        <v>99110</v>
      </c>
      <c r="B818" s="939" t="s">
        <v>3386</v>
      </c>
      <c r="C818" s="944">
        <v>119962.69</v>
      </c>
    </row>
    <row r="819" spans="1:3" x14ac:dyDescent="0.25">
      <c r="A819" s="939">
        <v>99111</v>
      </c>
      <c r="B819" s="939" t="s">
        <v>3387</v>
      </c>
      <c r="C819" s="944">
        <v>543583.17000000004</v>
      </c>
    </row>
    <row r="820" spans="1:3" x14ac:dyDescent="0.25">
      <c r="A820" s="939">
        <v>99201</v>
      </c>
      <c r="B820" s="939" t="s">
        <v>3388</v>
      </c>
      <c r="C820" s="944">
        <v>15084486.75</v>
      </c>
    </row>
    <row r="821" spans="1:3" x14ac:dyDescent="0.25">
      <c r="A821" s="939">
        <v>99202</v>
      </c>
      <c r="B821" s="939" t="s">
        <v>3389</v>
      </c>
      <c r="C821" s="944">
        <v>1072067.46</v>
      </c>
    </row>
    <row r="822" spans="1:3" x14ac:dyDescent="0.25">
      <c r="A822" s="939">
        <v>99203</v>
      </c>
      <c r="B822" s="939" t="s">
        <v>3390</v>
      </c>
      <c r="C822" s="944">
        <v>126936.26</v>
      </c>
    </row>
    <row r="823" spans="1:3" x14ac:dyDescent="0.25">
      <c r="A823" s="939">
        <v>99204</v>
      </c>
      <c r="B823" s="939" t="s">
        <v>3391</v>
      </c>
      <c r="C823" s="944">
        <v>375261.16</v>
      </c>
    </row>
    <row r="824" spans="1:3" x14ac:dyDescent="0.25">
      <c r="A824" s="939">
        <v>99206</v>
      </c>
      <c r="B824" s="939" t="s">
        <v>3392</v>
      </c>
      <c r="C824" s="944">
        <v>1210224.8700000001</v>
      </c>
    </row>
    <row r="825" spans="1:3" x14ac:dyDescent="0.25">
      <c r="A825" s="939">
        <v>99207</v>
      </c>
      <c r="B825" s="939" t="s">
        <v>3592</v>
      </c>
      <c r="C825" s="944">
        <v>175075.09</v>
      </c>
    </row>
    <row r="826" spans="1:3" x14ac:dyDescent="0.25">
      <c r="A826" s="939">
        <v>99208</v>
      </c>
      <c r="B826" s="939" t="s">
        <v>3394</v>
      </c>
      <c r="C826" s="944">
        <v>57804.04</v>
      </c>
    </row>
    <row r="827" spans="1:3" x14ac:dyDescent="0.25">
      <c r="A827" s="939">
        <v>99210</v>
      </c>
      <c r="B827" s="939" t="s">
        <v>3395</v>
      </c>
      <c r="C827" s="944">
        <v>789521.27</v>
      </c>
    </row>
    <row r="828" spans="1:3" x14ac:dyDescent="0.25">
      <c r="A828" s="939">
        <v>99211</v>
      </c>
      <c r="B828" s="939" t="s">
        <v>3396</v>
      </c>
      <c r="C828" s="944">
        <v>16957538.620000001</v>
      </c>
    </row>
    <row r="829" spans="1:3" x14ac:dyDescent="0.25">
      <c r="A829" s="939">
        <v>99212</v>
      </c>
      <c r="B829" s="939" t="s">
        <v>3397</v>
      </c>
      <c r="C829" s="944">
        <v>31804.81</v>
      </c>
    </row>
    <row r="830" spans="1:3" x14ac:dyDescent="0.25">
      <c r="A830" s="939">
        <v>99213</v>
      </c>
      <c r="B830" s="939" t="s">
        <v>3398</v>
      </c>
      <c r="C830" s="944">
        <v>353816.66</v>
      </c>
    </row>
    <row r="831" spans="1:3" x14ac:dyDescent="0.25">
      <c r="A831" s="939">
        <v>99218</v>
      </c>
      <c r="B831" s="939" t="s">
        <v>3399</v>
      </c>
      <c r="C831" s="944">
        <v>1493014.08</v>
      </c>
    </row>
    <row r="832" spans="1:3" x14ac:dyDescent="0.25">
      <c r="A832" s="939">
        <v>99221</v>
      </c>
      <c r="B832" s="939" t="s">
        <v>3400</v>
      </c>
      <c r="C832" s="944">
        <v>5876509.1200000001</v>
      </c>
    </row>
    <row r="833" spans="1:3" x14ac:dyDescent="0.25">
      <c r="A833" s="939">
        <v>99222</v>
      </c>
      <c r="B833" s="939" t="s">
        <v>3401</v>
      </c>
      <c r="C833" s="944">
        <v>15445.65</v>
      </c>
    </row>
    <row r="834" spans="1:3" x14ac:dyDescent="0.25">
      <c r="A834" s="939">
        <v>99231</v>
      </c>
      <c r="B834" s="939" t="s">
        <v>3402</v>
      </c>
      <c r="C834" s="944">
        <v>156904.4</v>
      </c>
    </row>
    <row r="835" spans="1:3" x14ac:dyDescent="0.25">
      <c r="A835" s="939">
        <v>99241</v>
      </c>
      <c r="B835" s="939" t="s">
        <v>3403</v>
      </c>
      <c r="C835" s="944">
        <v>226042.03</v>
      </c>
    </row>
    <row r="836" spans="1:3" x14ac:dyDescent="0.25">
      <c r="A836" s="939">
        <v>99251</v>
      </c>
      <c r="B836" s="939" t="s">
        <v>3404</v>
      </c>
      <c r="C836" s="944">
        <v>745407.54</v>
      </c>
    </row>
    <row r="837" spans="1:3" x14ac:dyDescent="0.25">
      <c r="A837" s="939">
        <v>99252</v>
      </c>
      <c r="B837" s="939" t="s">
        <v>3405</v>
      </c>
      <c r="C837" s="944">
        <v>212385.68</v>
      </c>
    </row>
    <row r="838" spans="1:3" x14ac:dyDescent="0.25">
      <c r="A838" s="939">
        <v>99261</v>
      </c>
      <c r="B838" s="939" t="s">
        <v>3406</v>
      </c>
      <c r="C838" s="944">
        <v>808835.41</v>
      </c>
    </row>
    <row r="839" spans="1:3" x14ac:dyDescent="0.25">
      <c r="A839" s="939">
        <v>99271</v>
      </c>
      <c r="B839" s="939" t="s">
        <v>3407</v>
      </c>
      <c r="C839" s="944">
        <v>1751675.08</v>
      </c>
    </row>
    <row r="840" spans="1:3" x14ac:dyDescent="0.25">
      <c r="A840" s="939">
        <v>99281</v>
      </c>
      <c r="B840" s="939" t="s">
        <v>3408</v>
      </c>
      <c r="C840" s="944">
        <v>984779.62</v>
      </c>
    </row>
    <row r="841" spans="1:3" x14ac:dyDescent="0.25">
      <c r="A841" s="939">
        <v>99291</v>
      </c>
      <c r="B841" s="939" t="s">
        <v>3409</v>
      </c>
      <c r="C841" s="944">
        <v>299576.15000000002</v>
      </c>
    </row>
    <row r="842" spans="1:3" x14ac:dyDescent="0.25">
      <c r="A842" s="939">
        <v>99301</v>
      </c>
      <c r="B842" s="939" t="s">
        <v>3410</v>
      </c>
      <c r="C842" s="944">
        <v>788880.01</v>
      </c>
    </row>
    <row r="843" spans="1:3" x14ac:dyDescent="0.25">
      <c r="A843" s="939">
        <v>99304</v>
      </c>
      <c r="B843" s="939" t="s">
        <v>3411</v>
      </c>
      <c r="C843" s="944">
        <v>7554.29</v>
      </c>
    </row>
    <row r="844" spans="1:3" x14ac:dyDescent="0.25">
      <c r="A844" s="939">
        <v>99311</v>
      </c>
      <c r="B844" s="939" t="s">
        <v>3412</v>
      </c>
      <c r="C844" s="944">
        <v>25361.439999999999</v>
      </c>
    </row>
    <row r="845" spans="1:3" x14ac:dyDescent="0.25">
      <c r="A845" s="939">
        <v>99321</v>
      </c>
      <c r="B845" s="939" t="s">
        <v>3413</v>
      </c>
      <c r="C845" s="944">
        <v>98498.34</v>
      </c>
    </row>
    <row r="846" spans="1:3" x14ac:dyDescent="0.25">
      <c r="A846" s="939">
        <v>99401</v>
      </c>
      <c r="B846" s="939" t="s">
        <v>3414</v>
      </c>
      <c r="C846" s="944">
        <v>414565.11</v>
      </c>
    </row>
    <row r="847" spans="1:3" x14ac:dyDescent="0.25">
      <c r="A847" s="939">
        <v>99404</v>
      </c>
      <c r="B847" s="939" t="s">
        <v>3415</v>
      </c>
      <c r="C847" s="944">
        <v>5392.64</v>
      </c>
    </row>
    <row r="848" spans="1:3" x14ac:dyDescent="0.25">
      <c r="A848" s="939">
        <v>99405</v>
      </c>
      <c r="B848" s="939" t="s">
        <v>3416</v>
      </c>
      <c r="C848" s="944">
        <v>37797.96</v>
      </c>
    </row>
    <row r="849" spans="1:3" x14ac:dyDescent="0.25">
      <c r="A849" s="939">
        <v>99411</v>
      </c>
      <c r="B849" s="939" t="s">
        <v>3417</v>
      </c>
      <c r="C849" s="944">
        <v>75832.59</v>
      </c>
    </row>
    <row r="850" spans="1:3" x14ac:dyDescent="0.25">
      <c r="A850" s="939">
        <v>99413</v>
      </c>
      <c r="B850" s="939" t="s">
        <v>3418</v>
      </c>
      <c r="C850" s="944">
        <v>18530.43</v>
      </c>
    </row>
    <row r="851" spans="1:3" x14ac:dyDescent="0.25">
      <c r="A851" s="939">
        <v>99421</v>
      </c>
      <c r="B851" s="939" t="s">
        <v>3419</v>
      </c>
      <c r="C851" s="944">
        <v>6211.08</v>
      </c>
    </row>
    <row r="852" spans="1:3" x14ac:dyDescent="0.25">
      <c r="A852" s="939">
        <v>99431</v>
      </c>
      <c r="B852" s="939" t="s">
        <v>3420</v>
      </c>
      <c r="C852" s="944">
        <v>7581.28</v>
      </c>
    </row>
    <row r="853" spans="1:3" x14ac:dyDescent="0.25">
      <c r="A853" s="939">
        <v>99501</v>
      </c>
      <c r="B853" s="939" t="s">
        <v>3421</v>
      </c>
      <c r="C853" s="944">
        <v>794395.29</v>
      </c>
    </row>
    <row r="854" spans="1:3" x14ac:dyDescent="0.25">
      <c r="A854" s="939">
        <v>99502</v>
      </c>
      <c r="B854" s="939" t="s">
        <v>3422</v>
      </c>
      <c r="C854" s="944">
        <v>65830.880000000005</v>
      </c>
    </row>
    <row r="855" spans="1:3" x14ac:dyDescent="0.25">
      <c r="A855" s="939">
        <v>99508</v>
      </c>
      <c r="B855" s="939" t="s">
        <v>3423</v>
      </c>
      <c r="C855" s="944">
        <v>9857.2999999999993</v>
      </c>
    </row>
    <row r="856" spans="1:3" x14ac:dyDescent="0.25">
      <c r="A856" s="939">
        <v>99509</v>
      </c>
      <c r="B856" s="939" t="s">
        <v>3424</v>
      </c>
      <c r="C856" s="944">
        <v>11410.27</v>
      </c>
    </row>
    <row r="857" spans="1:3" x14ac:dyDescent="0.25">
      <c r="A857" s="939">
        <v>99511</v>
      </c>
      <c r="B857" s="939" t="s">
        <v>3425</v>
      </c>
      <c r="C857" s="944">
        <v>579707.18000000005</v>
      </c>
    </row>
    <row r="858" spans="1:3" x14ac:dyDescent="0.25">
      <c r="A858" s="939">
        <v>99521</v>
      </c>
      <c r="B858" s="939" t="s">
        <v>3426</v>
      </c>
      <c r="C858" s="944">
        <v>176535.9</v>
      </c>
    </row>
    <row r="859" spans="1:3" x14ac:dyDescent="0.25">
      <c r="A859" s="939">
        <v>99527</v>
      </c>
      <c r="B859" s="939" t="s">
        <v>3427</v>
      </c>
      <c r="C859" s="944">
        <v>5941.3</v>
      </c>
    </row>
    <row r="860" spans="1:3" x14ac:dyDescent="0.25">
      <c r="A860" s="939">
        <v>99531</v>
      </c>
      <c r="B860" s="939" t="s">
        <v>3428</v>
      </c>
      <c r="C860" s="944">
        <v>72389.7</v>
      </c>
    </row>
    <row r="861" spans="1:3" x14ac:dyDescent="0.25">
      <c r="A861" s="939">
        <v>99601</v>
      </c>
      <c r="B861" s="939" t="s">
        <v>3429</v>
      </c>
      <c r="C861" s="944">
        <v>2548953.7599999998</v>
      </c>
    </row>
    <row r="862" spans="1:3" x14ac:dyDescent="0.25">
      <c r="A862" s="939">
        <v>99602</v>
      </c>
      <c r="B862" s="939" t="s">
        <v>3430</v>
      </c>
      <c r="C862" s="944">
        <v>28151.17</v>
      </c>
    </row>
    <row r="863" spans="1:3" x14ac:dyDescent="0.25">
      <c r="A863" s="939">
        <v>99603</v>
      </c>
      <c r="B863" s="939" t="s">
        <v>3431</v>
      </c>
      <c r="C863" s="944">
        <v>87236.89</v>
      </c>
    </row>
    <row r="864" spans="1:3" x14ac:dyDescent="0.25">
      <c r="A864" s="939">
        <v>99604</v>
      </c>
      <c r="B864" s="939" t="s">
        <v>3432</v>
      </c>
      <c r="C864" s="944">
        <v>52378.14</v>
      </c>
    </row>
    <row r="865" spans="1:3" x14ac:dyDescent="0.25">
      <c r="A865" s="939">
        <v>99609</v>
      </c>
      <c r="B865" s="939" t="s">
        <v>3433</v>
      </c>
      <c r="C865" s="944">
        <v>9934.65</v>
      </c>
    </row>
    <row r="866" spans="1:3" x14ac:dyDescent="0.25">
      <c r="A866" s="939">
        <v>99610</v>
      </c>
      <c r="B866" s="939" t="s">
        <v>3434</v>
      </c>
      <c r="C866" s="944">
        <v>85099.67</v>
      </c>
    </row>
    <row r="867" spans="1:3" x14ac:dyDescent="0.25">
      <c r="A867" s="939">
        <v>99611</v>
      </c>
      <c r="B867" s="939" t="s">
        <v>3435</v>
      </c>
      <c r="C867" s="944">
        <v>1474036.82</v>
      </c>
    </row>
    <row r="868" spans="1:3" x14ac:dyDescent="0.25">
      <c r="A868" s="939">
        <v>99613</v>
      </c>
      <c r="B868" s="939" t="s">
        <v>3436</v>
      </c>
      <c r="C868" s="944">
        <v>310914.55</v>
      </c>
    </row>
    <row r="869" spans="1:3" x14ac:dyDescent="0.25">
      <c r="A869" s="939">
        <v>99621</v>
      </c>
      <c r="B869" s="939" t="s">
        <v>3437</v>
      </c>
      <c r="C869" s="944">
        <v>166447.64000000001</v>
      </c>
    </row>
    <row r="870" spans="1:3" x14ac:dyDescent="0.25">
      <c r="A870" s="939">
        <v>99623</v>
      </c>
      <c r="B870" s="939" t="s">
        <v>3438</v>
      </c>
      <c r="C870" s="944">
        <v>11102.83</v>
      </c>
    </row>
    <row r="871" spans="1:3" x14ac:dyDescent="0.25">
      <c r="A871" s="939">
        <v>99631</v>
      </c>
      <c r="B871" s="939" t="s">
        <v>3439</v>
      </c>
      <c r="C871" s="944">
        <v>46230.9</v>
      </c>
    </row>
    <row r="872" spans="1:3" x14ac:dyDescent="0.25">
      <c r="A872" s="939">
        <v>99651</v>
      </c>
      <c r="B872" s="939" t="s">
        <v>3440</v>
      </c>
      <c r="C872" s="944">
        <v>30231.08</v>
      </c>
    </row>
    <row r="873" spans="1:3" x14ac:dyDescent="0.25">
      <c r="A873" s="939">
        <v>99661</v>
      </c>
      <c r="B873" s="939" t="s">
        <v>3441</v>
      </c>
      <c r="C873" s="944">
        <v>34513.29</v>
      </c>
    </row>
    <row r="874" spans="1:3" x14ac:dyDescent="0.25">
      <c r="A874" s="939">
        <v>99701</v>
      </c>
      <c r="B874" s="939" t="s">
        <v>3442</v>
      </c>
      <c r="C874" s="944">
        <v>1295370.6499999999</v>
      </c>
    </row>
    <row r="875" spans="1:3" x14ac:dyDescent="0.25">
      <c r="A875" s="939">
        <v>99705</v>
      </c>
      <c r="B875" s="939" t="s">
        <v>3443</v>
      </c>
      <c r="C875" s="944">
        <v>85450.72</v>
      </c>
    </row>
    <row r="876" spans="1:3" x14ac:dyDescent="0.25">
      <c r="A876" s="939">
        <v>99711</v>
      </c>
      <c r="B876" s="939" t="s">
        <v>3444</v>
      </c>
      <c r="C876" s="944">
        <v>209493.55</v>
      </c>
    </row>
    <row r="877" spans="1:3" x14ac:dyDescent="0.25">
      <c r="A877" s="939">
        <v>99717</v>
      </c>
      <c r="B877" s="939" t="s">
        <v>3445</v>
      </c>
      <c r="C877" s="944">
        <v>8060.36</v>
      </c>
    </row>
    <row r="878" spans="1:3" x14ac:dyDescent="0.25">
      <c r="A878" s="939">
        <v>99721</v>
      </c>
      <c r="B878" s="939" t="s">
        <v>3446</v>
      </c>
      <c r="C878" s="944">
        <v>252724.99</v>
      </c>
    </row>
    <row r="879" spans="1:3" x14ac:dyDescent="0.25">
      <c r="A879" s="939">
        <v>99727</v>
      </c>
      <c r="B879" s="939" t="s">
        <v>3447</v>
      </c>
      <c r="C879" s="944">
        <v>46314.63</v>
      </c>
    </row>
    <row r="880" spans="1:3" x14ac:dyDescent="0.25">
      <c r="A880" s="939">
        <v>99801</v>
      </c>
      <c r="B880" s="939" t="s">
        <v>3448</v>
      </c>
      <c r="C880" s="944">
        <v>2259452.0699999998</v>
      </c>
    </row>
    <row r="881" spans="1:3" x14ac:dyDescent="0.25">
      <c r="A881" s="939">
        <v>99802</v>
      </c>
      <c r="B881" s="939" t="s">
        <v>3449</v>
      </c>
      <c r="C881" s="944">
        <v>4580.8500000000004</v>
      </c>
    </row>
    <row r="882" spans="1:3" x14ac:dyDescent="0.25">
      <c r="A882" s="939">
        <v>99804</v>
      </c>
      <c r="B882" s="939" t="s">
        <v>3450</v>
      </c>
      <c r="C882" s="944">
        <v>46756.41</v>
      </c>
    </row>
    <row r="883" spans="1:3" x14ac:dyDescent="0.25">
      <c r="A883" s="939">
        <v>99811</v>
      </c>
      <c r="B883" s="939" t="s">
        <v>3451</v>
      </c>
      <c r="C883" s="944">
        <v>2884355.86</v>
      </c>
    </row>
    <row r="884" spans="1:3" x14ac:dyDescent="0.25">
      <c r="A884" s="939">
        <v>99812</v>
      </c>
      <c r="B884" s="939" t="s">
        <v>3452</v>
      </c>
      <c r="C884" s="944">
        <v>20069.04</v>
      </c>
    </row>
    <row r="885" spans="1:3" x14ac:dyDescent="0.25">
      <c r="A885" s="939">
        <v>99818</v>
      </c>
      <c r="B885" s="939" t="s">
        <v>3453</v>
      </c>
      <c r="C885" s="944">
        <v>14369.52</v>
      </c>
    </row>
    <row r="886" spans="1:3" x14ac:dyDescent="0.25">
      <c r="A886" s="939">
        <v>99821</v>
      </c>
      <c r="B886" s="939" t="s">
        <v>3454</v>
      </c>
      <c r="C886" s="944">
        <v>48801.23</v>
      </c>
    </row>
    <row r="887" spans="1:3" x14ac:dyDescent="0.25">
      <c r="A887" s="939">
        <v>99831</v>
      </c>
      <c r="B887" s="939" t="s">
        <v>3455</v>
      </c>
      <c r="C887" s="944">
        <v>28273.86</v>
      </c>
    </row>
    <row r="888" spans="1:3" x14ac:dyDescent="0.25">
      <c r="A888" s="939">
        <v>99841</v>
      </c>
      <c r="B888" s="939" t="s">
        <v>3456</v>
      </c>
      <c r="C888" s="944">
        <v>19337.830000000002</v>
      </c>
    </row>
    <row r="889" spans="1:3" x14ac:dyDescent="0.25">
      <c r="A889" s="939">
        <v>99851</v>
      </c>
      <c r="B889" s="939" t="s">
        <v>3457</v>
      </c>
      <c r="C889" s="944">
        <v>7302.38</v>
      </c>
    </row>
    <row r="890" spans="1:3" x14ac:dyDescent="0.25">
      <c r="A890" s="939">
        <v>99901</v>
      </c>
      <c r="B890" s="939" t="s">
        <v>3458</v>
      </c>
      <c r="C890" s="944">
        <v>760400.05</v>
      </c>
    </row>
    <row r="891" spans="1:3" x14ac:dyDescent="0.25">
      <c r="A891" s="939">
        <v>99911</v>
      </c>
      <c r="B891" s="939" t="s">
        <v>3459</v>
      </c>
      <c r="C891" s="944">
        <v>122065.53</v>
      </c>
    </row>
    <row r="892" spans="1:3" x14ac:dyDescent="0.25">
      <c r="A892" s="939">
        <v>99921</v>
      </c>
      <c r="B892" s="939" t="s">
        <v>3460</v>
      </c>
      <c r="C892" s="944">
        <v>65164.7</v>
      </c>
    </row>
    <row r="893" spans="1:3" x14ac:dyDescent="0.25">
      <c r="A893" s="939">
        <v>99931</v>
      </c>
      <c r="B893" s="939" t="s">
        <v>3461</v>
      </c>
      <c r="C893" s="944">
        <v>8881.11</v>
      </c>
    </row>
    <row r="894" spans="1:3" x14ac:dyDescent="0.25">
      <c r="A894" s="939">
        <v>99941</v>
      </c>
      <c r="B894" s="939" t="s">
        <v>3462</v>
      </c>
      <c r="C894" s="944">
        <v>32663.02</v>
      </c>
    </row>
    <row r="895" spans="1:3" x14ac:dyDescent="0.25">
      <c r="A895" s="939">
        <v>99991</v>
      </c>
      <c r="B895" s="939" t="s">
        <v>3463</v>
      </c>
      <c r="C895" s="944">
        <v>239781.14</v>
      </c>
    </row>
    <row r="896" spans="1:3" s="939" customFormat="1" x14ac:dyDescent="0.25">
      <c r="A896" s="939">
        <v>99999</v>
      </c>
      <c r="B896" s="939" t="s">
        <v>3464</v>
      </c>
      <c r="C896" s="944">
        <v>509175.93</v>
      </c>
    </row>
    <row r="897" spans="1:3" s="939" customFormat="1" x14ac:dyDescent="0.25">
      <c r="A897" s="947" t="s">
        <v>2553</v>
      </c>
      <c r="B897" s="939" t="s">
        <v>2552</v>
      </c>
      <c r="C897" s="944">
        <v>118523.35</v>
      </c>
    </row>
    <row r="898" spans="1:3" s="939" customFormat="1" ht="15.75" thickBot="1" x14ac:dyDescent="0.3">
      <c r="A898" s="939" t="s">
        <v>3879</v>
      </c>
      <c r="C898" s="945">
        <f>SUM(C3:C896)</f>
        <v>459089443.13999999</v>
      </c>
    </row>
    <row r="899" spans="1:3" s="939" customFormat="1" ht="15.75" thickTop="1" x14ac:dyDescent="0.25">
      <c r="C899" s="944"/>
    </row>
    <row r="2340" spans="1:3" s="939" customFormat="1" x14ac:dyDescent="0.25">
      <c r="A2340" s="946"/>
      <c r="C2340" s="944"/>
    </row>
  </sheetData>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pageSetUpPr fitToPage="1"/>
  </sheetPr>
  <dimension ref="A1:I31"/>
  <sheetViews>
    <sheetView workbookViewId="0">
      <selection activeCell="G32" sqref="G32"/>
    </sheetView>
  </sheetViews>
  <sheetFormatPr defaultRowHeight="12.75" x14ac:dyDescent="0.2"/>
  <cols>
    <col min="1" max="1" width="4.5703125" customWidth="1"/>
    <col min="2" max="2" width="56.7109375" customWidth="1"/>
    <col min="3" max="3" width="34.7109375" customWidth="1"/>
    <col min="4" max="4" width="29" customWidth="1"/>
  </cols>
  <sheetData>
    <row r="1" spans="1:3" x14ac:dyDescent="0.2">
      <c r="A1" s="672"/>
      <c r="B1" s="672"/>
      <c r="C1" s="672"/>
    </row>
    <row r="2" spans="1:3" ht="15.75" x14ac:dyDescent="0.25">
      <c r="A2" s="1351" t="s">
        <v>2072</v>
      </c>
      <c r="B2" s="1352"/>
      <c r="C2" s="1353"/>
    </row>
    <row r="3" spans="1:3" x14ac:dyDescent="0.2">
      <c r="A3" s="672"/>
      <c r="B3" s="672"/>
      <c r="C3" s="672"/>
    </row>
    <row r="4" spans="1:3" x14ac:dyDescent="0.2">
      <c r="A4" s="672"/>
      <c r="B4" s="672"/>
      <c r="C4" s="672"/>
    </row>
    <row r="5" spans="1:3" ht="86.45" customHeight="1" x14ac:dyDescent="0.2">
      <c r="A5" s="1365" t="s">
        <v>2068</v>
      </c>
      <c r="B5" s="1365"/>
      <c r="C5" s="1365"/>
    </row>
    <row r="6" spans="1:3" x14ac:dyDescent="0.2">
      <c r="A6" s="672"/>
      <c r="B6" s="672"/>
      <c r="C6" s="672"/>
    </row>
    <row r="7" spans="1:3" x14ac:dyDescent="0.2">
      <c r="A7" s="672"/>
      <c r="B7" s="672"/>
      <c r="C7" s="672"/>
    </row>
    <row r="8" spans="1:3" x14ac:dyDescent="0.2">
      <c r="A8" s="672"/>
      <c r="B8" s="672"/>
      <c r="C8" s="672"/>
    </row>
    <row r="9" spans="1:3" x14ac:dyDescent="0.2">
      <c r="A9" s="672"/>
      <c r="B9" s="672"/>
      <c r="C9" s="672"/>
    </row>
    <row r="10" spans="1:3" x14ac:dyDescent="0.2">
      <c r="A10" s="672"/>
      <c r="B10" s="672"/>
      <c r="C10" s="672"/>
    </row>
    <row r="11" spans="1:3" ht="15" customHeight="1" x14ac:dyDescent="0.2">
      <c r="A11" s="662" t="s">
        <v>876</v>
      </c>
      <c r="B11" s="1372" t="s">
        <v>2115</v>
      </c>
      <c r="C11" s="1373"/>
    </row>
    <row r="12" spans="1:3" x14ac:dyDescent="0.2">
      <c r="A12" s="672"/>
      <c r="B12" s="672"/>
      <c r="C12" s="672"/>
    </row>
    <row r="13" spans="1:3" s="688" customFormat="1" ht="40.15" customHeight="1" x14ac:dyDescent="0.2">
      <c r="B13" s="1374" t="s">
        <v>2116</v>
      </c>
      <c r="C13" s="1374"/>
    </row>
    <row r="14" spans="1:3" s="688" customFormat="1" x14ac:dyDescent="0.2">
      <c r="B14" s="626"/>
    </row>
    <row r="15" spans="1:3" s="688" customFormat="1" x14ac:dyDescent="0.2"/>
    <row r="16" spans="1:3" x14ac:dyDescent="0.2">
      <c r="A16" s="672"/>
      <c r="B16" s="672"/>
      <c r="C16" s="672"/>
    </row>
    <row r="17" spans="1:9" x14ac:dyDescent="0.2">
      <c r="B17" s="691" t="s">
        <v>2113</v>
      </c>
      <c r="C17" s="858"/>
    </row>
    <row r="19" spans="1:9" s="688" customFormat="1" x14ac:dyDescent="0.2">
      <c r="B19" s="682" t="s">
        <v>2114</v>
      </c>
      <c r="C19" s="692">
        <v>363.57</v>
      </c>
      <c r="D19" s="662" t="s">
        <v>4903</v>
      </c>
    </row>
    <row r="20" spans="1:9" s="688" customFormat="1" x14ac:dyDescent="0.2"/>
    <row r="23" spans="1:9" x14ac:dyDescent="0.2">
      <c r="A23" s="670" t="s">
        <v>877</v>
      </c>
      <c r="B23" s="1204" t="s">
        <v>2070</v>
      </c>
      <c r="C23" s="1205"/>
      <c r="D23" s="1205"/>
      <c r="E23" s="1205"/>
      <c r="F23" s="1205"/>
      <c r="G23" s="1205"/>
      <c r="H23" s="1205"/>
      <c r="I23" s="1206"/>
    </row>
    <row r="24" spans="1:9" x14ac:dyDescent="0.2">
      <c r="A24" s="670"/>
      <c r="B24" s="683"/>
      <c r="C24" s="683"/>
      <c r="D24" s="683"/>
      <c r="E24" s="683"/>
      <c r="F24" s="683"/>
      <c r="G24" s="683"/>
      <c r="H24" s="683"/>
      <c r="I24" s="683"/>
    </row>
    <row r="25" spans="1:9" x14ac:dyDescent="0.2">
      <c r="A25" s="626"/>
      <c r="B25" s="675"/>
      <c r="C25" s="676"/>
      <c r="D25" s="676"/>
      <c r="E25" s="676"/>
      <c r="F25" s="676"/>
      <c r="G25" s="676"/>
      <c r="H25" s="676"/>
      <c r="I25" s="676"/>
    </row>
    <row r="26" spans="1:9" x14ac:dyDescent="0.2">
      <c r="A26" s="626"/>
      <c r="B26" s="674"/>
      <c r="C26" s="666" t="s">
        <v>2064</v>
      </c>
      <c r="D26" s="666" t="s">
        <v>2065</v>
      </c>
      <c r="E26" s="672"/>
      <c r="F26" s="672"/>
      <c r="G26" s="667"/>
      <c r="H26" s="667"/>
      <c r="I26" s="667"/>
    </row>
    <row r="27" spans="1:9" x14ac:dyDescent="0.2">
      <c r="A27" s="626"/>
      <c r="B27" s="684" t="s">
        <v>1158</v>
      </c>
      <c r="C27" s="407">
        <f>C19*C17</f>
        <v>0</v>
      </c>
      <c r="D27" s="407"/>
      <c r="E27" s="672"/>
      <c r="F27" s="672"/>
      <c r="G27" s="668"/>
      <c r="H27" s="668"/>
      <c r="I27" s="669"/>
    </row>
    <row r="28" spans="1:9" x14ac:dyDescent="0.2">
      <c r="A28" s="626"/>
      <c r="B28" s="684" t="s">
        <v>2069</v>
      </c>
      <c r="C28" s="407"/>
      <c r="D28" s="407">
        <f>C27</f>
        <v>0</v>
      </c>
      <c r="E28" s="661"/>
      <c r="F28" s="672"/>
      <c r="G28" s="668"/>
      <c r="H28" s="668"/>
      <c r="I28" s="669"/>
    </row>
    <row r="29" spans="1:9" x14ac:dyDescent="0.2">
      <c r="A29" s="626"/>
      <c r="B29" s="674"/>
      <c r="C29" s="660"/>
      <c r="D29" s="660"/>
      <c r="E29" s="672"/>
      <c r="F29" s="672"/>
      <c r="G29" s="682"/>
      <c r="H29" s="682"/>
      <c r="I29" s="682"/>
    </row>
    <row r="30" spans="1:9" ht="13.5" thickBot="1" x14ac:dyDescent="0.25">
      <c r="A30" s="626"/>
      <c r="B30" s="674"/>
      <c r="C30" s="671">
        <f>SUM(C27:C29)</f>
        <v>0</v>
      </c>
      <c r="D30" s="671">
        <f>SUM(D27:D29)</f>
        <v>0</v>
      </c>
      <c r="E30" s="672"/>
      <c r="F30" s="672"/>
      <c r="G30" s="682"/>
      <c r="H30" s="682"/>
      <c r="I30" s="682"/>
    </row>
    <row r="31" spans="1:9" ht="13.5" thickTop="1" x14ac:dyDescent="0.2"/>
  </sheetData>
  <mergeCells count="5">
    <mergeCell ref="A2:C2"/>
    <mergeCell ref="A5:C5"/>
    <mergeCell ref="B23:I23"/>
    <mergeCell ref="B11:C11"/>
    <mergeCell ref="B13:C13"/>
  </mergeCells>
  <dataValidations count="1">
    <dataValidation type="whole" operator="greaterThanOrEqual" allowBlank="1" showInputMessage="1" showErrorMessage="1" sqref="C17" xr:uid="{00000000-0002-0000-1700-000000000000}">
      <formula1>0</formula1>
    </dataValidation>
  </dataValidations>
  <pageMargins left="0.7" right="0.7" top="0.75" bottom="0.75" header="0.3" footer="0.3"/>
  <pageSetup scale="54"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fitToPage="1"/>
  </sheetPr>
  <dimension ref="A1:N98"/>
  <sheetViews>
    <sheetView zoomScaleNormal="100" workbookViewId="0">
      <selection activeCell="C7" sqref="C7"/>
    </sheetView>
  </sheetViews>
  <sheetFormatPr defaultRowHeight="12.75" x14ac:dyDescent="0.2"/>
  <cols>
    <col min="1" max="1" width="9.140625" style="682" customWidth="1"/>
    <col min="2" max="2" width="54.42578125" style="682" customWidth="1"/>
    <col min="3" max="3" width="27.85546875" style="682" customWidth="1"/>
    <col min="4" max="4" width="16.85546875" style="682" customWidth="1"/>
    <col min="5" max="5" width="17.5703125" style="682" customWidth="1"/>
    <col min="6" max="6" width="9.140625" style="682"/>
    <col min="7" max="7" width="16.7109375" style="682" customWidth="1"/>
    <col min="8" max="8" width="16.28515625" style="682" customWidth="1"/>
    <col min="9" max="10" width="9.140625" style="682"/>
    <col min="11" max="11" width="18.85546875" style="682" hidden="1" customWidth="1"/>
    <col min="12" max="12" width="18" style="682" hidden="1" customWidth="1"/>
    <col min="13" max="16384" width="9.140625" style="682"/>
  </cols>
  <sheetData>
    <row r="1" spans="1:12" ht="15.75" x14ac:dyDescent="0.25">
      <c r="A1" s="1351" t="s">
        <v>3547</v>
      </c>
      <c r="B1" s="1352"/>
      <c r="C1" s="1353"/>
    </row>
    <row r="4" spans="1:12" ht="84.75" customHeight="1" x14ac:dyDescent="0.2">
      <c r="A4" s="1365" t="s">
        <v>3548</v>
      </c>
      <c r="B4" s="1365"/>
      <c r="C4" s="1365"/>
    </row>
    <row r="6" spans="1:12" s="891" customFormat="1" ht="15" x14ac:dyDescent="0.25">
      <c r="A6" s="1028" t="s">
        <v>3568</v>
      </c>
      <c r="B6" s="973"/>
      <c r="C6" s="973"/>
      <c r="J6" s="892"/>
      <c r="K6" s="892"/>
    </row>
    <row r="7" spans="1:12" s="891" customFormat="1" ht="45" customHeight="1" x14ac:dyDescent="0.25">
      <c r="A7" s="1376" t="s">
        <v>3569</v>
      </c>
      <c r="B7" s="1376"/>
      <c r="C7" s="1019"/>
      <c r="G7" s="897"/>
      <c r="J7" s="892"/>
      <c r="K7" s="892" t="s">
        <v>4878</v>
      </c>
    </row>
    <row r="8" spans="1:12" s="891" customFormat="1" ht="6" customHeight="1" x14ac:dyDescent="0.25">
      <c r="A8" s="1020"/>
      <c r="B8" s="1020"/>
      <c r="C8" s="1021"/>
      <c r="J8" s="892"/>
      <c r="K8" s="892"/>
    </row>
    <row r="9" spans="1:12" s="891" customFormat="1" ht="30" customHeight="1" x14ac:dyDescent="0.25">
      <c r="A9" s="1376" t="s">
        <v>3570</v>
      </c>
      <c r="B9" s="1376"/>
      <c r="C9" s="1019"/>
      <c r="D9" s="1377" t="str">
        <f>IF((C7+C9)&lt;&gt;D27,"Benefit payments entered in Cells C7 and C9 do not equal benefit payments entered from valuation report below.  Please confirm amounts.", "" )</f>
        <v/>
      </c>
      <c r="E9" s="1378"/>
      <c r="F9" s="1378"/>
      <c r="G9" s="1378"/>
      <c r="H9" s="1378"/>
      <c r="I9" s="1378"/>
      <c r="J9" s="1378"/>
      <c r="K9" s="892" t="s">
        <v>4879</v>
      </c>
    </row>
    <row r="10" spans="1:12" s="891" customFormat="1" ht="6" customHeight="1" x14ac:dyDescent="0.25">
      <c r="A10" s="1022"/>
      <c r="B10" s="1022"/>
      <c r="C10" s="1022"/>
      <c r="J10" s="892"/>
      <c r="K10" s="892"/>
    </row>
    <row r="11" spans="1:12" s="891" customFormat="1" ht="30" customHeight="1" x14ac:dyDescent="0.25">
      <c r="A11" s="1376" t="s">
        <v>3957</v>
      </c>
      <c r="B11" s="1376"/>
      <c r="C11" s="1019"/>
      <c r="H11" s="1024"/>
      <c r="I11" s="1024"/>
      <c r="J11" s="1024"/>
      <c r="K11" s="1024" t="s">
        <v>4880</v>
      </c>
      <c r="L11" s="1024" t="s">
        <v>3958</v>
      </c>
    </row>
    <row r="12" spans="1:12" s="891" customFormat="1" ht="6" customHeight="1" x14ac:dyDescent="0.25">
      <c r="A12" s="1020"/>
      <c r="B12" s="1020"/>
      <c r="C12" s="1023"/>
      <c r="G12" s="1024"/>
      <c r="H12" s="1024"/>
      <c r="I12" s="1024"/>
      <c r="J12" s="1024"/>
      <c r="K12" s="1024"/>
      <c r="L12" s="1024"/>
    </row>
    <row r="13" spans="1:12" s="891" customFormat="1" ht="45" customHeight="1" x14ac:dyDescent="0.25">
      <c r="A13" s="1376" t="s">
        <v>3571</v>
      </c>
      <c r="B13" s="1376"/>
      <c r="C13" s="1019"/>
      <c r="E13" s="1379" t="s">
        <v>4881</v>
      </c>
      <c r="F13" s="1379"/>
      <c r="G13" s="1379"/>
      <c r="H13" s="1379"/>
      <c r="I13" s="1379"/>
      <c r="J13" s="1379"/>
      <c r="K13" s="1024"/>
      <c r="L13" s="1024"/>
    </row>
    <row r="14" spans="1:12" s="891" customFormat="1" ht="6" customHeight="1" x14ac:dyDescent="0.25">
      <c r="A14" s="1020"/>
      <c r="B14" s="1020"/>
      <c r="C14" s="1023"/>
      <c r="E14" s="1379"/>
      <c r="F14" s="1379"/>
      <c r="G14" s="1379"/>
      <c r="H14" s="1379"/>
      <c r="I14" s="1379"/>
      <c r="J14" s="1379"/>
      <c r="K14" s="1024"/>
      <c r="L14" s="1024"/>
    </row>
    <row r="15" spans="1:12" s="891" customFormat="1" ht="34.5" customHeight="1" x14ac:dyDescent="0.25">
      <c r="A15" s="1376" t="s">
        <v>3572</v>
      </c>
      <c r="B15" s="1376"/>
      <c r="C15" s="1019"/>
      <c r="E15" s="1379"/>
      <c r="F15" s="1379"/>
      <c r="G15" s="1379"/>
      <c r="H15" s="1379"/>
      <c r="I15" s="1379"/>
      <c r="J15" s="1379"/>
      <c r="K15" s="1024"/>
      <c r="L15" s="1024"/>
    </row>
    <row r="16" spans="1:12" s="891" customFormat="1" ht="6" customHeight="1" x14ac:dyDescent="0.25">
      <c r="A16" s="1022"/>
      <c r="B16" s="1022"/>
      <c r="C16" s="1023"/>
      <c r="J16" s="892"/>
      <c r="K16" s="892"/>
    </row>
    <row r="17" spans="1:11" s="891" customFormat="1" ht="45" customHeight="1" x14ac:dyDescent="0.25">
      <c r="A17" s="1376" t="s">
        <v>3573</v>
      </c>
      <c r="B17" s="1376"/>
      <c r="C17" s="1019"/>
      <c r="J17" s="892"/>
      <c r="K17" s="892"/>
    </row>
    <row r="22" spans="1:11" x14ac:dyDescent="0.2">
      <c r="A22" s="662" t="s">
        <v>876</v>
      </c>
      <c r="B22" s="663" t="s">
        <v>3549</v>
      </c>
      <c r="C22" s="709"/>
    </row>
    <row r="25" spans="1:11" ht="14.25" x14ac:dyDescent="0.2">
      <c r="B25" s="1025" t="s">
        <v>3529</v>
      </c>
      <c r="C25" s="862"/>
      <c r="D25" s="887"/>
      <c r="E25" s="862"/>
      <c r="F25" s="1025"/>
      <c r="G25" s="1025"/>
      <c r="H25" s="1025"/>
      <c r="I25" s="1025"/>
      <c r="J25" s="1025"/>
      <c r="K25" s="863"/>
    </row>
    <row r="26" spans="1:11" ht="14.25" x14ac:dyDescent="0.2">
      <c r="B26" s="1025" t="s">
        <v>3530</v>
      </c>
      <c r="C26" s="862"/>
      <c r="D26" s="887"/>
      <c r="E26" s="862"/>
      <c r="F26" s="1025" t="s">
        <v>3531</v>
      </c>
      <c r="G26" s="1025"/>
      <c r="H26" s="1025"/>
      <c r="I26" s="1025"/>
      <c r="J26" s="1025"/>
      <c r="K26" s="863"/>
    </row>
    <row r="27" spans="1:11" ht="14.25" x14ac:dyDescent="0.2">
      <c r="B27" s="1025" t="s">
        <v>3532</v>
      </c>
      <c r="C27" s="862"/>
      <c r="D27" s="887"/>
      <c r="E27" s="862"/>
      <c r="F27" s="1025"/>
      <c r="G27" s="1025"/>
      <c r="H27" s="1025"/>
      <c r="I27" s="1025"/>
      <c r="J27" s="1025"/>
      <c r="K27" s="863"/>
    </row>
    <row r="28" spans="1:11" ht="14.25" x14ac:dyDescent="0.2">
      <c r="B28" s="1025" t="s">
        <v>3560</v>
      </c>
      <c r="C28" s="862"/>
      <c r="D28" s="887"/>
      <c r="E28" s="862"/>
      <c r="F28" s="1025" t="s">
        <v>3533</v>
      </c>
      <c r="G28" s="1025"/>
      <c r="H28" s="1025"/>
      <c r="I28" s="1025"/>
      <c r="J28" s="1025"/>
      <c r="K28" s="863"/>
    </row>
    <row r="29" spans="1:11" ht="27.75" customHeight="1" x14ac:dyDescent="0.2">
      <c r="B29" s="1026" t="s">
        <v>4882</v>
      </c>
      <c r="C29" s="888"/>
      <c r="D29" s="887"/>
      <c r="E29" s="862"/>
      <c r="F29" s="1375" t="s">
        <v>3534</v>
      </c>
      <c r="G29" s="1375"/>
      <c r="H29" s="1375"/>
      <c r="I29" s="1375"/>
      <c r="J29" s="1375"/>
      <c r="K29" s="1375"/>
    </row>
    <row r="30" spans="1:11" ht="14.25" x14ac:dyDescent="0.2">
      <c r="B30" s="1026" t="s">
        <v>4883</v>
      </c>
      <c r="C30" s="888"/>
      <c r="D30" s="887"/>
      <c r="E30" s="862"/>
      <c r="F30" s="1103"/>
      <c r="G30" s="1103"/>
      <c r="H30" s="1103"/>
      <c r="I30" s="1103"/>
      <c r="J30" s="1103"/>
      <c r="K30" s="1103"/>
    </row>
    <row r="31" spans="1:11" ht="28.5" customHeight="1" x14ac:dyDescent="0.2">
      <c r="B31" s="1026" t="s">
        <v>4884</v>
      </c>
      <c r="C31" s="889"/>
      <c r="D31" s="887"/>
      <c r="E31" s="862"/>
      <c r="F31" s="1375" t="s">
        <v>3535</v>
      </c>
      <c r="G31" s="1375"/>
      <c r="H31" s="1375"/>
      <c r="I31" s="1375"/>
      <c r="J31" s="1375"/>
      <c r="K31" s="1375"/>
    </row>
    <row r="32" spans="1:11" ht="25.5" x14ac:dyDescent="0.2">
      <c r="B32" s="1026" t="s">
        <v>3558</v>
      </c>
      <c r="C32" s="889"/>
      <c r="D32" s="887"/>
      <c r="E32" s="862"/>
      <c r="F32" s="1375" t="s">
        <v>3567</v>
      </c>
      <c r="G32" s="1375"/>
      <c r="H32" s="1375"/>
      <c r="I32" s="1375"/>
      <c r="J32" s="1375"/>
      <c r="K32" s="1375"/>
    </row>
    <row r="33" spans="2:12" ht="14.25" x14ac:dyDescent="0.2">
      <c r="B33" s="1026" t="s">
        <v>3559</v>
      </c>
      <c r="C33" s="889"/>
      <c r="D33" s="887"/>
      <c r="E33" s="862"/>
      <c r="F33" s="1375" t="s">
        <v>3567</v>
      </c>
      <c r="G33" s="1375"/>
      <c r="H33" s="1375"/>
      <c r="I33" s="1375"/>
      <c r="J33" s="1375"/>
      <c r="K33" s="1375"/>
    </row>
    <row r="36" spans="2:12" hidden="1" x14ac:dyDescent="0.2"/>
    <row r="37" spans="2:12" ht="12" hidden="1" customHeight="1" x14ac:dyDescent="0.2"/>
    <row r="38" spans="2:12" ht="14.25" hidden="1" x14ac:dyDescent="0.2">
      <c r="B38" s="1025" t="s">
        <v>3561</v>
      </c>
      <c r="C38" s="862"/>
      <c r="D38" s="862"/>
      <c r="E38" s="862"/>
      <c r="F38" s="862"/>
      <c r="G38" s="862"/>
      <c r="H38" s="862"/>
      <c r="I38" s="862"/>
      <c r="J38" s="862"/>
      <c r="K38" s="863">
        <f>D25</f>
        <v>0</v>
      </c>
      <c r="L38" s="863"/>
    </row>
    <row r="39" spans="2:12" ht="14.25" hidden="1" x14ac:dyDescent="0.2">
      <c r="B39" s="1025" t="s">
        <v>3536</v>
      </c>
      <c r="C39" s="862"/>
      <c r="D39" s="862"/>
      <c r="E39" s="862"/>
      <c r="F39" s="862"/>
      <c r="G39" s="862"/>
      <c r="H39" s="862"/>
      <c r="I39" s="862"/>
      <c r="J39" s="862"/>
      <c r="K39" s="863"/>
      <c r="L39" s="863">
        <f>D26</f>
        <v>0</v>
      </c>
    </row>
    <row r="40" spans="2:12" ht="14.25" hidden="1" x14ac:dyDescent="0.2">
      <c r="B40" s="1025" t="s">
        <v>1158</v>
      </c>
      <c r="C40" s="862"/>
      <c r="D40" s="862"/>
      <c r="E40" s="862"/>
      <c r="F40" s="862"/>
      <c r="G40" s="862"/>
      <c r="H40" s="862"/>
      <c r="I40" s="862"/>
      <c r="J40" s="862"/>
      <c r="K40" s="863">
        <f>D28</f>
        <v>0</v>
      </c>
      <c r="L40" s="863"/>
    </row>
    <row r="41" spans="2:12" ht="14.25" hidden="1" x14ac:dyDescent="0.2">
      <c r="B41" s="1025" t="s">
        <v>3562</v>
      </c>
      <c r="C41" s="862"/>
      <c r="D41" s="862"/>
      <c r="E41" s="862"/>
      <c r="F41" s="862"/>
      <c r="G41" s="862"/>
      <c r="H41" s="862"/>
      <c r="I41" s="862"/>
      <c r="J41" s="862"/>
      <c r="K41" s="863"/>
      <c r="L41" s="863">
        <f>IF(D32&gt;0,D32,0)</f>
        <v>0</v>
      </c>
    </row>
    <row r="42" spans="2:12" ht="14.25" hidden="1" x14ac:dyDescent="0.2">
      <c r="B42" s="1025" t="s">
        <v>3537</v>
      </c>
      <c r="C42" s="862"/>
      <c r="D42" s="862"/>
      <c r="E42" s="862"/>
      <c r="F42" s="862"/>
      <c r="G42" s="862"/>
      <c r="H42" s="862"/>
      <c r="I42" s="862"/>
      <c r="J42" s="862"/>
      <c r="K42" s="863">
        <f>IF(D29&gt;0,D29,0)</f>
        <v>0</v>
      </c>
      <c r="L42" s="863"/>
    </row>
    <row r="43" spans="2:12" ht="14.25" hidden="1" x14ac:dyDescent="0.2">
      <c r="B43" s="1025" t="s">
        <v>3563</v>
      </c>
      <c r="C43" s="862"/>
      <c r="D43" s="862"/>
      <c r="E43" s="862"/>
      <c r="F43" s="862"/>
      <c r="G43" s="862"/>
      <c r="H43" s="862"/>
      <c r="I43" s="862"/>
      <c r="J43" s="862"/>
      <c r="K43" s="863">
        <f>IF(D32&lt;0,-D32,0)</f>
        <v>0</v>
      </c>
      <c r="L43" s="863"/>
    </row>
    <row r="44" spans="2:12" ht="14.25" hidden="1" x14ac:dyDescent="0.2">
      <c r="B44" s="1025" t="s">
        <v>3538</v>
      </c>
      <c r="C44" s="862"/>
      <c r="D44" s="862"/>
      <c r="E44" s="862"/>
      <c r="F44" s="862"/>
      <c r="G44" s="862"/>
      <c r="H44" s="862"/>
      <c r="I44" s="862"/>
      <c r="J44" s="862"/>
      <c r="K44" s="863"/>
      <c r="L44" s="863">
        <f>IF(D29&lt;0,-D29,0)</f>
        <v>0</v>
      </c>
    </row>
    <row r="45" spans="2:12" ht="14.25" hidden="1" x14ac:dyDescent="0.2">
      <c r="B45" s="1025" t="s">
        <v>3564</v>
      </c>
      <c r="C45" s="862"/>
      <c r="D45" s="862"/>
      <c r="E45" s="862"/>
      <c r="F45" s="862"/>
      <c r="G45" s="862"/>
      <c r="H45" s="862"/>
      <c r="I45" s="862"/>
      <c r="J45" s="862"/>
      <c r="K45" s="863"/>
      <c r="L45" s="863">
        <f>IF(D33&gt;0,D33,0)</f>
        <v>0</v>
      </c>
    </row>
    <row r="46" spans="2:12" ht="14.25" hidden="1" x14ac:dyDescent="0.2">
      <c r="B46" s="1025" t="s">
        <v>3539</v>
      </c>
      <c r="C46" s="862"/>
      <c r="D46" s="862"/>
      <c r="E46" s="862"/>
      <c r="F46" s="862"/>
      <c r="G46" s="862"/>
      <c r="H46" s="862"/>
      <c r="I46" s="862"/>
      <c r="J46" s="862"/>
      <c r="K46" s="863">
        <f>IF(D30&gt;0,D30,0)</f>
        <v>0</v>
      </c>
      <c r="L46" s="863"/>
    </row>
    <row r="47" spans="2:12" ht="14.25" hidden="1" x14ac:dyDescent="0.2">
      <c r="B47" s="1025" t="s">
        <v>3565</v>
      </c>
      <c r="C47" s="862"/>
      <c r="D47" s="862"/>
      <c r="E47" s="862"/>
      <c r="F47" s="862"/>
      <c r="G47" s="862"/>
      <c r="H47" s="862"/>
      <c r="I47" s="862"/>
      <c r="J47" s="862"/>
      <c r="K47" s="863">
        <f>IF(D33&lt;0,-D33,0)</f>
        <v>0</v>
      </c>
      <c r="L47" s="863"/>
    </row>
    <row r="48" spans="2:12" ht="14.25" hidden="1" x14ac:dyDescent="0.2">
      <c r="B48" s="1025" t="s">
        <v>3540</v>
      </c>
      <c r="C48" s="862"/>
      <c r="D48" s="862"/>
      <c r="E48" s="862"/>
      <c r="F48" s="862"/>
      <c r="G48" s="862"/>
      <c r="H48" s="862"/>
      <c r="I48" s="862"/>
      <c r="J48" s="862"/>
      <c r="K48" s="863"/>
      <c r="L48" s="863">
        <f>IF(D31&lt;0,-D31,0)</f>
        <v>0</v>
      </c>
    </row>
    <row r="49" spans="1:14" ht="14.25" hidden="1" x14ac:dyDescent="0.2">
      <c r="B49" s="1025" t="s">
        <v>3566</v>
      </c>
      <c r="C49" s="862"/>
      <c r="D49" s="862"/>
      <c r="E49" s="862"/>
      <c r="F49" s="862"/>
      <c r="G49" s="862"/>
      <c r="H49" s="862"/>
      <c r="I49" s="862"/>
      <c r="J49" s="862"/>
      <c r="K49" s="863"/>
      <c r="L49" s="863">
        <f>D27</f>
        <v>0</v>
      </c>
      <c r="N49" s="886"/>
    </row>
    <row r="50" spans="1:14" ht="14.25" hidden="1" x14ac:dyDescent="0.2">
      <c r="B50" s="862"/>
      <c r="C50" s="1025" t="s">
        <v>3541</v>
      </c>
      <c r="D50" s="862"/>
      <c r="E50" s="862"/>
      <c r="F50" s="862"/>
      <c r="G50" s="862"/>
      <c r="H50" s="862"/>
      <c r="I50" s="862"/>
      <c r="J50" s="862"/>
      <c r="K50" s="864">
        <f>SUM(K38:K49)</f>
        <v>0</v>
      </c>
      <c r="L50" s="864">
        <f>SUM(L38:L49)</f>
        <v>0</v>
      </c>
      <c r="N50" s="886"/>
    </row>
    <row r="51" spans="1:14" ht="9.75" hidden="1" customHeight="1" x14ac:dyDescent="0.2">
      <c r="B51" s="862"/>
      <c r="C51" s="862"/>
      <c r="D51" s="862"/>
      <c r="E51" s="862"/>
      <c r="F51" s="862"/>
      <c r="G51" s="862"/>
      <c r="H51" s="862"/>
      <c r="I51" s="862"/>
      <c r="J51" s="862"/>
      <c r="K51" s="890"/>
      <c r="L51" s="890"/>
      <c r="N51" s="886"/>
    </row>
    <row r="52" spans="1:14" ht="14.25" hidden="1" x14ac:dyDescent="0.2">
      <c r="B52" s="1025" t="s">
        <v>3542</v>
      </c>
      <c r="C52" s="1025"/>
      <c r="D52" s="1025"/>
      <c r="E52" s="1025"/>
      <c r="F52" s="1025"/>
      <c r="G52" s="1025"/>
      <c r="H52" s="1025"/>
      <c r="I52" s="862"/>
      <c r="J52" s="862"/>
      <c r="K52" s="865">
        <f>C11</f>
        <v>0</v>
      </c>
      <c r="L52" s="865"/>
    </row>
    <row r="53" spans="1:14" ht="14.25" hidden="1" x14ac:dyDescent="0.2">
      <c r="B53" s="1025" t="s">
        <v>1158</v>
      </c>
      <c r="C53" s="1025"/>
      <c r="D53" s="1025"/>
      <c r="E53" s="1025"/>
      <c r="F53" s="1025"/>
      <c r="G53" s="1025"/>
      <c r="H53" s="1025"/>
      <c r="I53" s="862"/>
      <c r="J53" s="862"/>
      <c r="K53" s="865"/>
      <c r="L53" s="865">
        <f>K52</f>
        <v>0</v>
      </c>
    </row>
    <row r="54" spans="1:14" ht="14.25" hidden="1" x14ac:dyDescent="0.2">
      <c r="B54" s="1025"/>
      <c r="C54" s="1025" t="s">
        <v>3543</v>
      </c>
      <c r="D54" s="1025"/>
      <c r="E54" s="1025"/>
      <c r="F54" s="1025"/>
      <c r="G54" s="1025"/>
      <c r="H54" s="1025"/>
      <c r="I54" s="862"/>
      <c r="J54" s="862"/>
      <c r="K54" s="865"/>
      <c r="L54" s="865"/>
    </row>
    <row r="55" spans="1:14" ht="9" hidden="1" customHeight="1" x14ac:dyDescent="0.2">
      <c r="B55" s="1025"/>
      <c r="C55" s="1025"/>
      <c r="D55" s="1025"/>
      <c r="E55" s="1025"/>
      <c r="F55" s="1025"/>
      <c r="G55" s="1025"/>
      <c r="H55" s="1025"/>
      <c r="I55" s="862"/>
      <c r="J55" s="862"/>
      <c r="K55" s="865"/>
      <c r="L55" s="865"/>
    </row>
    <row r="56" spans="1:14" ht="14.25" hidden="1" x14ac:dyDescent="0.2">
      <c r="B56" s="1025" t="s">
        <v>3544</v>
      </c>
      <c r="C56" s="1025"/>
      <c r="D56" s="1025"/>
      <c r="E56" s="1025"/>
      <c r="F56" s="1025"/>
      <c r="G56" s="1025"/>
      <c r="H56" s="1025"/>
      <c r="I56" s="862"/>
      <c r="J56" s="862"/>
      <c r="K56" s="865">
        <f>C17</f>
        <v>0</v>
      </c>
      <c r="L56" s="865"/>
    </row>
    <row r="57" spans="1:14" ht="14.25" hidden="1" x14ac:dyDescent="0.2">
      <c r="B57" s="1025" t="s">
        <v>1158</v>
      </c>
      <c r="C57" s="1025"/>
      <c r="D57" s="1025"/>
      <c r="E57" s="1025"/>
      <c r="F57" s="1025"/>
      <c r="G57" s="1025"/>
      <c r="H57" s="1025"/>
      <c r="I57" s="862"/>
      <c r="J57" s="862"/>
      <c r="K57" s="863"/>
      <c r="L57" s="863">
        <f>K56</f>
        <v>0</v>
      </c>
    </row>
    <row r="58" spans="1:14" ht="14.25" hidden="1" x14ac:dyDescent="0.2">
      <c r="B58" s="1025"/>
      <c r="C58" s="1025" t="s">
        <v>3545</v>
      </c>
      <c r="D58" s="1025"/>
      <c r="E58" s="1025"/>
      <c r="F58" s="1025"/>
      <c r="G58" s="1025"/>
      <c r="H58" s="1025"/>
      <c r="I58" s="862"/>
      <c r="J58" s="862"/>
      <c r="K58" s="863"/>
      <c r="L58" s="863"/>
    </row>
    <row r="59" spans="1:14" hidden="1" x14ac:dyDescent="0.2"/>
    <row r="60" spans="1:14" hidden="1" x14ac:dyDescent="0.2"/>
    <row r="61" spans="1:14" hidden="1" x14ac:dyDescent="0.2"/>
    <row r="62" spans="1:14" x14ac:dyDescent="0.2">
      <c r="A62" s="670" t="s">
        <v>877</v>
      </c>
      <c r="B62" s="1366" t="s">
        <v>3556</v>
      </c>
      <c r="C62" s="1367"/>
      <c r="D62" s="1367"/>
      <c r="E62" s="1367"/>
      <c r="F62" s="1367"/>
      <c r="G62" s="1367"/>
      <c r="H62" s="1367"/>
      <c r="I62" s="1368"/>
    </row>
    <row r="65" spans="2:4" x14ac:dyDescent="0.2">
      <c r="B65" s="684"/>
      <c r="C65" s="719" t="s">
        <v>2064</v>
      </c>
      <c r="D65" s="719" t="s">
        <v>2065</v>
      </c>
    </row>
    <row r="66" spans="2:4" x14ac:dyDescent="0.2">
      <c r="B66" s="684" t="s">
        <v>1131</v>
      </c>
      <c r="C66" s="866">
        <f t="shared" ref="C66:D70" si="0">G87</f>
        <v>0</v>
      </c>
      <c r="D66" s="866">
        <f t="shared" si="0"/>
        <v>0</v>
      </c>
    </row>
    <row r="67" spans="2:4" x14ac:dyDescent="0.2">
      <c r="B67" s="684" t="s">
        <v>3550</v>
      </c>
      <c r="C67" s="866">
        <f t="shared" si="0"/>
        <v>0</v>
      </c>
      <c r="D67" s="866">
        <f t="shared" si="0"/>
        <v>0</v>
      </c>
    </row>
    <row r="68" spans="2:4" x14ac:dyDescent="0.2">
      <c r="B68" s="684" t="s">
        <v>2093</v>
      </c>
      <c r="C68" s="866">
        <f t="shared" si="0"/>
        <v>0</v>
      </c>
      <c r="D68" s="866">
        <f t="shared" si="0"/>
        <v>0</v>
      </c>
    </row>
    <row r="69" spans="2:4" ht="25.5" x14ac:dyDescent="0.2">
      <c r="B69" s="684" t="s">
        <v>3518</v>
      </c>
      <c r="C69" s="866">
        <f t="shared" si="0"/>
        <v>0</v>
      </c>
      <c r="D69" s="866">
        <f t="shared" si="0"/>
        <v>0</v>
      </c>
    </row>
    <row r="70" spans="2:4" x14ac:dyDescent="0.2">
      <c r="B70" s="684" t="s">
        <v>3519</v>
      </c>
      <c r="C70" s="866">
        <f t="shared" si="0"/>
        <v>0</v>
      </c>
      <c r="D70" s="866">
        <f t="shared" si="0"/>
        <v>0</v>
      </c>
    </row>
    <row r="71" spans="2:4" ht="25.5" x14ac:dyDescent="0.2">
      <c r="B71" s="684" t="s">
        <v>3902</v>
      </c>
      <c r="C71" s="866"/>
      <c r="D71" s="866">
        <f>H94</f>
        <v>0</v>
      </c>
    </row>
    <row r="72" spans="2:4" ht="25.5" x14ac:dyDescent="0.2">
      <c r="B72" s="684" t="s">
        <v>3520</v>
      </c>
      <c r="C72" s="866">
        <f>G92</f>
        <v>0</v>
      </c>
      <c r="D72" s="866">
        <f>H92</f>
        <v>0</v>
      </c>
    </row>
    <row r="73" spans="2:4" x14ac:dyDescent="0.2">
      <c r="B73" s="684" t="s">
        <v>3523</v>
      </c>
      <c r="C73" s="866">
        <f>G93</f>
        <v>0</v>
      </c>
      <c r="D73" s="866">
        <f>H93</f>
        <v>0</v>
      </c>
    </row>
    <row r="74" spans="2:4" ht="25.5" x14ac:dyDescent="0.2">
      <c r="B74" s="684" t="s">
        <v>3551</v>
      </c>
      <c r="C74" s="866">
        <f t="shared" ref="C74:D76" si="1">G95</f>
        <v>0</v>
      </c>
      <c r="D74" s="866">
        <f t="shared" si="1"/>
        <v>0</v>
      </c>
    </row>
    <row r="75" spans="2:4" x14ac:dyDescent="0.2">
      <c r="B75" s="684" t="s">
        <v>3901</v>
      </c>
      <c r="C75" s="866">
        <f t="shared" si="1"/>
        <v>0</v>
      </c>
      <c r="D75" s="866">
        <f t="shared" si="1"/>
        <v>0</v>
      </c>
    </row>
    <row r="76" spans="2:4" x14ac:dyDescent="0.2">
      <c r="B76" s="684" t="s">
        <v>3971</v>
      </c>
      <c r="C76" s="866">
        <f t="shared" si="1"/>
        <v>0</v>
      </c>
      <c r="D76" s="866">
        <f t="shared" si="1"/>
        <v>0</v>
      </c>
    </row>
    <row r="77" spans="2:4" x14ac:dyDescent="0.2">
      <c r="B77" s="684"/>
      <c r="C77" s="867"/>
      <c r="D77" s="867"/>
    </row>
    <row r="78" spans="2:4" ht="13.5" thickBot="1" x14ac:dyDescent="0.25">
      <c r="B78" s="684"/>
      <c r="C78" s="868">
        <f>SUM(C66:C77)</f>
        <v>0</v>
      </c>
      <c r="D78" s="868">
        <f>SUM(D66:D77)</f>
        <v>0</v>
      </c>
    </row>
    <row r="79" spans="2:4" ht="13.5" thickTop="1" x14ac:dyDescent="0.2"/>
    <row r="81" spans="2:8" x14ac:dyDescent="0.2">
      <c r="B81" s="1364" t="s">
        <v>3552</v>
      </c>
      <c r="C81" s="1364"/>
      <c r="D81" s="1364"/>
      <c r="E81" s="1364"/>
      <c r="F81" s="1364"/>
      <c r="G81" s="1364"/>
      <c r="H81" s="1364"/>
    </row>
    <row r="82" spans="2:8" x14ac:dyDescent="0.2">
      <c r="B82" s="1364"/>
      <c r="C82" s="1364"/>
      <c r="D82" s="1364"/>
      <c r="E82" s="1364"/>
      <c r="F82" s="1364"/>
      <c r="G82" s="1364"/>
      <c r="H82" s="1364"/>
    </row>
    <row r="83" spans="2:8" ht="18" x14ac:dyDescent="0.25">
      <c r="B83" s="720"/>
      <c r="C83" s="720"/>
      <c r="D83" s="720"/>
      <c r="E83" s="720"/>
      <c r="F83" s="720"/>
      <c r="G83" s="720"/>
      <c r="H83" s="721"/>
    </row>
    <row r="84" spans="2:8" ht="18" x14ac:dyDescent="0.2">
      <c r="B84" s="720"/>
      <c r="C84" s="722"/>
      <c r="D84" s="723"/>
      <c r="E84" s="869"/>
      <c r="F84" s="720"/>
      <c r="G84" s="1380" t="s">
        <v>103</v>
      </c>
      <c r="H84" s="1381"/>
    </row>
    <row r="85" spans="2:8" x14ac:dyDescent="0.2">
      <c r="B85" s="870"/>
      <c r="C85" s="725"/>
      <c r="D85" s="726"/>
      <c r="E85" s="871"/>
      <c r="F85" s="872"/>
      <c r="G85" s="873"/>
      <c r="H85" s="874"/>
    </row>
    <row r="86" spans="2:8" x14ac:dyDescent="0.2">
      <c r="B86" s="870"/>
      <c r="C86" s="728" t="s">
        <v>65</v>
      </c>
      <c r="D86" s="181" t="s">
        <v>66</v>
      </c>
      <c r="E86" s="875" t="s">
        <v>2101</v>
      </c>
      <c r="F86" s="872"/>
      <c r="G86" s="876" t="s">
        <v>65</v>
      </c>
      <c r="H86" s="877" t="s">
        <v>66</v>
      </c>
    </row>
    <row r="87" spans="2:8" x14ac:dyDescent="0.2">
      <c r="B87" s="684" t="s">
        <v>1131</v>
      </c>
      <c r="C87" s="729">
        <f>K49</f>
        <v>0</v>
      </c>
      <c r="D87" s="730">
        <v>0</v>
      </c>
      <c r="E87" s="878">
        <f>C87-D87</f>
        <v>0</v>
      </c>
      <c r="G87" s="879">
        <f t="shared" ref="G87:G97" si="2">IF(E87&lt;0,0,E87)</f>
        <v>0</v>
      </c>
      <c r="H87" s="731">
        <f t="shared" ref="H87:H97" si="3">IF(E87&gt;0,0,E87*-1)</f>
        <v>0</v>
      </c>
    </row>
    <row r="88" spans="2:8" x14ac:dyDescent="0.2">
      <c r="B88" s="684" t="s">
        <v>3550</v>
      </c>
      <c r="C88" s="800">
        <f>K39+K38</f>
        <v>0</v>
      </c>
      <c r="D88" s="731">
        <f>L39</f>
        <v>0</v>
      </c>
      <c r="E88" s="878">
        <f t="shared" ref="E88:E97" si="4">C88-D88</f>
        <v>0</v>
      </c>
      <c r="G88" s="879">
        <f t="shared" si="2"/>
        <v>0</v>
      </c>
      <c r="H88" s="731">
        <f>IF(E88&gt;0,0,E88*-1)</f>
        <v>0</v>
      </c>
    </row>
    <row r="89" spans="2:8" x14ac:dyDescent="0.2">
      <c r="B89" s="684" t="s">
        <v>2093</v>
      </c>
      <c r="C89" s="800">
        <f>K40+K53+K57</f>
        <v>0</v>
      </c>
      <c r="D89" s="731"/>
      <c r="E89" s="878">
        <f t="shared" si="4"/>
        <v>0</v>
      </c>
      <c r="G89" s="879">
        <f>IF(E89&lt;0,0,E89-E98)</f>
        <v>0</v>
      </c>
      <c r="H89" s="731">
        <f>IF(E89&gt;0,0,-E89+E98)</f>
        <v>0</v>
      </c>
    </row>
    <row r="90" spans="2:8" ht="25.5" x14ac:dyDescent="0.2">
      <c r="B90" s="684" t="s">
        <v>3518</v>
      </c>
      <c r="C90" s="800">
        <f>K41+K42</f>
        <v>0</v>
      </c>
      <c r="D90" s="731">
        <f>L41+L42</f>
        <v>0</v>
      </c>
      <c r="E90" s="878">
        <f t="shared" si="4"/>
        <v>0</v>
      </c>
      <c r="G90" s="879">
        <f>IF(E90&lt;0,0,E90)</f>
        <v>0</v>
      </c>
      <c r="H90" s="731">
        <f t="shared" si="3"/>
        <v>0</v>
      </c>
    </row>
    <row r="91" spans="2:8" x14ac:dyDescent="0.2">
      <c r="B91" s="684" t="s">
        <v>3519</v>
      </c>
      <c r="C91" s="800">
        <f>K45+K46</f>
        <v>0</v>
      </c>
      <c r="D91" s="731">
        <f>L45+L46</f>
        <v>0</v>
      </c>
      <c r="E91" s="878">
        <f t="shared" si="4"/>
        <v>0</v>
      </c>
      <c r="G91" s="879">
        <f t="shared" si="2"/>
        <v>0</v>
      </c>
      <c r="H91" s="731">
        <f t="shared" si="3"/>
        <v>0</v>
      </c>
    </row>
    <row r="92" spans="2:8" ht="25.5" x14ac:dyDescent="0.2">
      <c r="B92" s="684" t="s">
        <v>3520</v>
      </c>
      <c r="C92" s="800">
        <f>K43+K44</f>
        <v>0</v>
      </c>
      <c r="D92" s="731">
        <f>L43+L44</f>
        <v>0</v>
      </c>
      <c r="E92" s="878">
        <f t="shared" si="4"/>
        <v>0</v>
      </c>
      <c r="G92" s="879">
        <f t="shared" si="2"/>
        <v>0</v>
      </c>
      <c r="H92" s="731">
        <f t="shared" si="3"/>
        <v>0</v>
      </c>
    </row>
    <row r="93" spans="2:8" x14ac:dyDescent="0.2">
      <c r="B93" s="684" t="s">
        <v>3523</v>
      </c>
      <c r="C93" s="800">
        <f>K47+K48</f>
        <v>0</v>
      </c>
      <c r="D93" s="731">
        <f>L47+L48</f>
        <v>0</v>
      </c>
      <c r="E93" s="878">
        <f t="shared" si="4"/>
        <v>0</v>
      </c>
      <c r="G93" s="879">
        <f t="shared" si="2"/>
        <v>0</v>
      </c>
      <c r="H93" s="731">
        <f t="shared" si="3"/>
        <v>0</v>
      </c>
    </row>
    <row r="94" spans="2:8" ht="25.5" x14ac:dyDescent="0.2">
      <c r="B94" s="684" t="s">
        <v>3881</v>
      </c>
      <c r="C94" s="800"/>
      <c r="D94" s="731">
        <v>0</v>
      </c>
      <c r="E94" s="878">
        <f t="shared" si="4"/>
        <v>0</v>
      </c>
      <c r="G94" s="879">
        <f t="shared" si="2"/>
        <v>0</v>
      </c>
      <c r="H94" s="731">
        <f t="shared" si="3"/>
        <v>0</v>
      </c>
    </row>
    <row r="95" spans="2:8" ht="25.5" x14ac:dyDescent="0.2">
      <c r="B95" s="1015" t="s">
        <v>3929</v>
      </c>
      <c r="C95" s="800">
        <f>C11+C17</f>
        <v>0</v>
      </c>
      <c r="D95" s="731">
        <f>C13+C7</f>
        <v>0</v>
      </c>
      <c r="E95" s="878">
        <f t="shared" si="4"/>
        <v>0</v>
      </c>
      <c r="G95" s="879">
        <f t="shared" si="2"/>
        <v>0</v>
      </c>
      <c r="H95" s="731">
        <f t="shared" si="3"/>
        <v>0</v>
      </c>
    </row>
    <row r="96" spans="2:8" x14ac:dyDescent="0.2">
      <c r="B96" s="684" t="s">
        <v>3901</v>
      </c>
      <c r="C96" s="800"/>
      <c r="D96" s="731">
        <f>C11+C9</f>
        <v>0</v>
      </c>
      <c r="E96" s="878">
        <f t="shared" si="4"/>
        <v>0</v>
      </c>
      <c r="G96" s="879">
        <f t="shared" si="2"/>
        <v>0</v>
      </c>
      <c r="H96" s="731">
        <f t="shared" si="3"/>
        <v>0</v>
      </c>
    </row>
    <row r="97" spans="2:8" x14ac:dyDescent="0.2">
      <c r="B97" s="684" t="s">
        <v>3971</v>
      </c>
      <c r="C97" s="800"/>
      <c r="D97" s="731">
        <f>C17+C15</f>
        <v>0</v>
      </c>
      <c r="E97" s="878">
        <f t="shared" si="4"/>
        <v>0</v>
      </c>
      <c r="F97" s="872"/>
      <c r="G97" s="879">
        <f t="shared" si="2"/>
        <v>0</v>
      </c>
      <c r="H97" s="731">
        <f t="shared" si="3"/>
        <v>0</v>
      </c>
    </row>
    <row r="98" spans="2:8" x14ac:dyDescent="0.2">
      <c r="C98" s="880">
        <f>SUM(C86:C97)</f>
        <v>0</v>
      </c>
      <c r="D98" s="881">
        <f>SUM(D86:D97)</f>
        <v>0</v>
      </c>
      <c r="E98" s="882">
        <f>SUM(E86:E97)</f>
        <v>0</v>
      </c>
      <c r="F98" s="872"/>
      <c r="G98" s="880">
        <f>SUM(G86:G97)</f>
        <v>0</v>
      </c>
      <c r="H98" s="881">
        <f>SUM(H86:H97)</f>
        <v>0</v>
      </c>
    </row>
  </sheetData>
  <mergeCells count="17">
    <mergeCell ref="B81:H82"/>
    <mergeCell ref="G84:H84"/>
    <mergeCell ref="B62:I62"/>
    <mergeCell ref="F32:K32"/>
    <mergeCell ref="F33:K33"/>
    <mergeCell ref="A1:C1"/>
    <mergeCell ref="A4:C4"/>
    <mergeCell ref="F29:K29"/>
    <mergeCell ref="F31:K31"/>
    <mergeCell ref="A7:B7"/>
    <mergeCell ref="A9:B9"/>
    <mergeCell ref="D9:J9"/>
    <mergeCell ref="A11:B11"/>
    <mergeCell ref="A13:B13"/>
    <mergeCell ref="A15:B15"/>
    <mergeCell ref="A17:B17"/>
    <mergeCell ref="E13:J15"/>
  </mergeCells>
  <pageMargins left="0.7" right="0.7" top="0.75" bottom="0.75" header="0.3" footer="0.3"/>
  <pageSetup scale="52" fitToHeight="0"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dimension ref="A1:AN263"/>
  <sheetViews>
    <sheetView zoomScaleNormal="100" workbookViewId="0">
      <selection activeCell="C14" sqref="C14"/>
    </sheetView>
  </sheetViews>
  <sheetFormatPr defaultRowHeight="15" x14ac:dyDescent="0.25"/>
  <cols>
    <col min="1" max="1" width="11.85546875" style="976" customWidth="1"/>
    <col min="2" max="2" width="48.28515625" style="976" customWidth="1"/>
    <col min="3" max="3" width="17.140625" style="976" customWidth="1"/>
    <col min="4" max="4" width="14.140625" style="976" customWidth="1"/>
    <col min="5" max="5" width="17.7109375" style="976" customWidth="1"/>
    <col min="6" max="6" width="9.140625" style="976"/>
    <col min="7" max="8" width="13.7109375" style="976" customWidth="1"/>
    <col min="9" max="9" width="9.140625" style="976"/>
    <col min="10" max="10" width="18.42578125" style="978" customWidth="1"/>
    <col min="11" max="11" width="19.5703125" style="978" customWidth="1"/>
    <col min="12" max="12" width="15.28515625" style="976" bestFit="1" customWidth="1"/>
    <col min="13" max="13" width="13.42578125" style="976" bestFit="1" customWidth="1"/>
    <col min="14" max="14" width="9.140625" style="976"/>
    <col min="15" max="15" width="10.7109375" style="976" bestFit="1" customWidth="1"/>
    <col min="16" max="16384" width="9.140625" style="976"/>
  </cols>
  <sheetData>
    <row r="1" spans="1:12" ht="15.75" x14ac:dyDescent="0.25">
      <c r="A1" s="1351" t="s">
        <v>3921</v>
      </c>
      <c r="B1" s="1352"/>
      <c r="C1" s="1353"/>
    </row>
    <row r="3" spans="1:12" ht="49.5" customHeight="1" x14ac:dyDescent="0.25">
      <c r="A3" s="1365" t="s">
        <v>4886</v>
      </c>
      <c r="B3" s="1365"/>
      <c r="C3" s="1365"/>
    </row>
    <row r="6" spans="1:12" ht="15.75" customHeight="1" x14ac:dyDescent="0.25">
      <c r="A6" s="1372" t="s">
        <v>3923</v>
      </c>
      <c r="B6" s="1390"/>
      <c r="C6" s="1373"/>
    </row>
    <row r="7" spans="1:12" x14ac:dyDescent="0.25">
      <c r="D7" s="979"/>
      <c r="E7" s="979"/>
      <c r="F7" s="979"/>
      <c r="G7" s="979"/>
      <c r="H7" s="979"/>
      <c r="I7" s="979"/>
      <c r="J7" s="980"/>
    </row>
    <row r="8" spans="1:12" ht="30" hidden="1" customHeight="1" x14ac:dyDescent="0.25">
      <c r="A8" s="1385" t="s">
        <v>3905</v>
      </c>
      <c r="B8" s="1385"/>
      <c r="C8" s="981">
        <v>0</v>
      </c>
      <c r="D8" s="979"/>
      <c r="E8" s="979"/>
      <c r="F8" s="979"/>
      <c r="G8" s="979"/>
      <c r="H8" s="979"/>
      <c r="I8" s="979"/>
      <c r="J8" s="980"/>
    </row>
    <row r="9" spans="1:12" ht="6.75" hidden="1" customHeight="1" x14ac:dyDescent="0.25">
      <c r="A9" s="982"/>
      <c r="B9" s="982"/>
      <c r="C9" s="983"/>
      <c r="D9" s="979"/>
      <c r="E9" s="979"/>
      <c r="F9" s="979"/>
      <c r="G9" s="979"/>
      <c r="H9" s="979"/>
      <c r="I9" s="979"/>
      <c r="J9" s="980"/>
    </row>
    <row r="10" spans="1:12" ht="45" hidden="1" customHeight="1" x14ac:dyDescent="0.25">
      <c r="A10" s="1385" t="s">
        <v>3569</v>
      </c>
      <c r="B10" s="1385"/>
      <c r="C10" s="981">
        <v>0</v>
      </c>
      <c r="D10" s="979"/>
      <c r="E10" s="979"/>
      <c r="F10" s="979"/>
      <c r="G10" s="979"/>
      <c r="H10" s="979"/>
      <c r="I10" s="979"/>
      <c r="J10" s="980"/>
    </row>
    <row r="11" spans="1:12" ht="5.25" hidden="1" customHeight="1" x14ac:dyDescent="0.25">
      <c r="A11" s="982"/>
      <c r="B11" s="982"/>
      <c r="C11" s="984"/>
      <c r="D11" s="979"/>
      <c r="E11" s="979"/>
      <c r="F11" s="979"/>
      <c r="G11" s="979"/>
      <c r="H11" s="979"/>
      <c r="I11" s="979"/>
      <c r="J11" s="980"/>
    </row>
    <row r="12" spans="1:12" ht="5.25" hidden="1" customHeight="1" x14ac:dyDescent="0.25">
      <c r="A12" s="1385" t="s">
        <v>3570</v>
      </c>
      <c r="B12" s="1385"/>
      <c r="C12" s="981">
        <v>0</v>
      </c>
      <c r="D12" s="1386"/>
      <c r="E12" s="1387"/>
      <c r="F12" s="1387"/>
      <c r="G12" s="1387"/>
      <c r="H12" s="1387"/>
      <c r="I12" s="1387"/>
      <c r="J12" s="1387"/>
    </row>
    <row r="13" spans="1:12" ht="3.75" customHeight="1" x14ac:dyDescent="0.25">
      <c r="A13" s="985"/>
      <c r="B13" s="985"/>
      <c r="C13" s="985"/>
      <c r="D13" s="979"/>
      <c r="E13" s="979"/>
      <c r="F13" s="979"/>
      <c r="G13" s="979"/>
      <c r="H13" s="979"/>
      <c r="I13" s="979"/>
      <c r="J13" s="980"/>
    </row>
    <row r="14" spans="1:12" ht="30.75" customHeight="1" x14ac:dyDescent="0.25">
      <c r="A14" s="1388" t="s">
        <v>3906</v>
      </c>
      <c r="B14" s="1388"/>
      <c r="C14" s="1008"/>
      <c r="D14" s="986"/>
      <c r="E14" s="979"/>
      <c r="F14" s="979"/>
      <c r="G14" s="984"/>
      <c r="H14" s="987"/>
      <c r="I14" s="987"/>
      <c r="J14" s="987"/>
      <c r="K14" s="988"/>
      <c r="L14" s="988"/>
    </row>
    <row r="15" spans="1:12" ht="6" hidden="1" customHeight="1" x14ac:dyDescent="0.25">
      <c r="A15" s="1009"/>
      <c r="B15" s="1009"/>
      <c r="C15" s="1010"/>
      <c r="D15" s="986"/>
      <c r="E15" s="979"/>
      <c r="F15" s="979"/>
      <c r="G15" s="987"/>
      <c r="H15" s="987"/>
      <c r="I15" s="987"/>
      <c r="J15" s="987"/>
      <c r="K15" s="988"/>
      <c r="L15" s="988"/>
    </row>
    <row r="16" spans="1:12" ht="45" hidden="1" customHeight="1" x14ac:dyDescent="0.25">
      <c r="A16" s="1388" t="s">
        <v>3907</v>
      </c>
      <c r="B16" s="1388"/>
      <c r="C16" s="1011">
        <v>0</v>
      </c>
      <c r="D16" s="986"/>
      <c r="E16" s="979"/>
      <c r="F16" s="979"/>
      <c r="G16" s="987"/>
      <c r="H16" s="987"/>
      <c r="I16" s="987"/>
      <c r="J16" s="987"/>
      <c r="K16" s="988"/>
      <c r="L16" s="988"/>
    </row>
    <row r="17" spans="1:12" ht="6" hidden="1" customHeight="1" x14ac:dyDescent="0.25">
      <c r="A17" s="1009"/>
      <c r="B17" s="1009"/>
      <c r="C17" s="1010"/>
      <c r="D17" s="986"/>
      <c r="E17" s="979"/>
      <c r="F17" s="979"/>
      <c r="G17" s="987"/>
      <c r="H17" s="987"/>
      <c r="I17" s="987"/>
      <c r="J17" s="987"/>
      <c r="K17" s="988"/>
      <c r="L17" s="988"/>
    </row>
    <row r="18" spans="1:12" ht="36.75" hidden="1" customHeight="1" x14ac:dyDescent="0.25">
      <c r="A18" s="1388" t="s">
        <v>3908</v>
      </c>
      <c r="B18" s="1388"/>
      <c r="C18" s="1011">
        <v>0</v>
      </c>
      <c r="D18" s="986"/>
      <c r="E18" s="979"/>
      <c r="F18" s="979"/>
      <c r="G18" s="987"/>
      <c r="H18" s="987"/>
      <c r="I18" s="987"/>
      <c r="J18" s="987"/>
      <c r="K18" s="988"/>
      <c r="L18" s="988"/>
    </row>
    <row r="19" spans="1:12" ht="4.5" customHeight="1" x14ac:dyDescent="0.25">
      <c r="A19" s="1012"/>
      <c r="B19" s="1012"/>
      <c r="C19" s="1010"/>
      <c r="D19" s="986"/>
      <c r="E19" s="979"/>
      <c r="F19" s="979"/>
      <c r="G19" s="979"/>
      <c r="H19" s="979"/>
      <c r="I19" s="979"/>
      <c r="J19" s="980"/>
    </row>
    <row r="20" spans="1:12" ht="45" customHeight="1" x14ac:dyDescent="0.25">
      <c r="A20" s="1388" t="s">
        <v>3970</v>
      </c>
      <c r="B20" s="1388"/>
      <c r="C20" s="1008"/>
      <c r="D20" s="986"/>
      <c r="E20" s="979"/>
      <c r="F20" s="979"/>
      <c r="G20" s="979"/>
      <c r="H20" s="979"/>
      <c r="I20" s="979"/>
      <c r="J20" s="980"/>
    </row>
    <row r="21" spans="1:12" ht="6" customHeight="1" x14ac:dyDescent="0.25">
      <c r="A21" s="982"/>
      <c r="B21" s="982"/>
      <c r="C21" s="983"/>
    </row>
    <row r="23" spans="1:12" ht="16.5" customHeight="1" x14ac:dyDescent="0.25">
      <c r="A23" s="1004" t="s">
        <v>3922</v>
      </c>
      <c r="B23" s="1001"/>
      <c r="C23" s="1002"/>
      <c r="G23" s="989"/>
      <c r="H23" s="989"/>
      <c r="I23" s="989"/>
      <c r="J23" s="990"/>
    </row>
    <row r="25" spans="1:12" x14ac:dyDescent="0.25">
      <c r="A25" s="979" t="s">
        <v>3909</v>
      </c>
      <c r="B25" s="979"/>
      <c r="C25" s="1005"/>
    </row>
    <row r="26" spans="1:12" x14ac:dyDescent="0.25">
      <c r="A26" s="979" t="s">
        <v>3910</v>
      </c>
      <c r="B26" s="1003"/>
      <c r="C26" s="1006"/>
    </row>
    <row r="27" spans="1:12" x14ac:dyDescent="0.25">
      <c r="A27" s="979" t="s">
        <v>3911</v>
      </c>
      <c r="B27" s="979"/>
      <c r="C27" s="1006"/>
    </row>
    <row r="28" spans="1:12" x14ac:dyDescent="0.25">
      <c r="A28" s="979" t="s">
        <v>3912</v>
      </c>
      <c r="B28" s="979"/>
      <c r="C28" s="1006"/>
    </row>
    <row r="29" spans="1:12" ht="14.25" customHeight="1" x14ac:dyDescent="0.25">
      <c r="A29" s="979" t="s">
        <v>3913</v>
      </c>
      <c r="B29" s="979"/>
      <c r="C29" s="1006"/>
      <c r="E29" s="1389" t="s">
        <v>3915</v>
      </c>
      <c r="F29" s="1389"/>
      <c r="G29" s="1389"/>
      <c r="H29" s="1389"/>
      <c r="I29" s="1389"/>
    </row>
    <row r="30" spans="1:12" ht="35.25" customHeight="1" x14ac:dyDescent="0.25">
      <c r="A30" s="1382" t="s">
        <v>3914</v>
      </c>
      <c r="B30" s="1382"/>
      <c r="C30" s="1007"/>
      <c r="F30" s="982"/>
      <c r="G30" s="982"/>
      <c r="H30" s="982"/>
      <c r="I30" s="982"/>
      <c r="J30" s="982"/>
    </row>
    <row r="31" spans="1:12" ht="33.75" customHeight="1" x14ac:dyDescent="0.25">
      <c r="A31" s="1382" t="s">
        <v>3916</v>
      </c>
      <c r="B31" s="1382"/>
      <c r="C31" s="1007"/>
      <c r="E31" s="1384"/>
      <c r="F31" s="1384"/>
      <c r="G31" s="1384"/>
      <c r="H31" s="1384"/>
      <c r="I31" s="1384"/>
      <c r="J31" s="1384"/>
    </row>
    <row r="32" spans="1:12" ht="33.75" customHeight="1" x14ac:dyDescent="0.25">
      <c r="A32" s="1382" t="s">
        <v>3917</v>
      </c>
      <c r="B32" s="1382"/>
      <c r="C32" s="1007"/>
      <c r="E32" s="1383" t="s">
        <v>4888</v>
      </c>
      <c r="F32" s="1384"/>
      <c r="G32" s="1384"/>
      <c r="H32" s="1384"/>
      <c r="I32" s="1384"/>
      <c r="J32" s="1384"/>
    </row>
    <row r="33" spans="1:10" ht="33.75" customHeight="1" x14ac:dyDescent="0.25">
      <c r="A33" s="1382" t="s">
        <v>3919</v>
      </c>
      <c r="B33" s="1382"/>
      <c r="C33" s="1007"/>
      <c r="E33" s="1383" t="s">
        <v>4888</v>
      </c>
      <c r="F33" s="1384"/>
      <c r="G33" s="1384"/>
      <c r="H33" s="1384"/>
      <c r="I33" s="1384"/>
      <c r="J33" s="1384"/>
    </row>
    <row r="34" spans="1:10" ht="33.75" hidden="1" customHeight="1" x14ac:dyDescent="0.25">
      <c r="A34" s="1382" t="s">
        <v>3920</v>
      </c>
      <c r="B34" s="1382"/>
      <c r="C34" s="991">
        <v>0</v>
      </c>
      <c r="E34" s="1384" t="s">
        <v>3918</v>
      </c>
      <c r="F34" s="1384"/>
      <c r="G34" s="1384"/>
      <c r="H34" s="1384"/>
      <c r="I34" s="1384"/>
      <c r="J34" s="1384"/>
    </row>
    <row r="36" spans="1:10" x14ac:dyDescent="0.25">
      <c r="A36" s="626"/>
      <c r="B36" s="995"/>
      <c r="C36" s="660"/>
      <c r="D36" s="660"/>
      <c r="E36" s="993"/>
      <c r="F36" s="993"/>
      <c r="G36" s="993"/>
      <c r="H36" s="993"/>
      <c r="I36" s="993"/>
    </row>
    <row r="37" spans="1:10" ht="30" customHeight="1" x14ac:dyDescent="0.25">
      <c r="A37" s="670"/>
      <c r="B37" s="1391" t="s">
        <v>3931</v>
      </c>
      <c r="C37" s="1392"/>
      <c r="D37" s="1392"/>
      <c r="E37" s="1392"/>
      <c r="F37" s="1392"/>
      <c r="G37" s="1392"/>
      <c r="H37" s="1392"/>
      <c r="I37" s="1393"/>
    </row>
    <row r="38" spans="1:10" x14ac:dyDescent="0.25">
      <c r="A38" s="670"/>
      <c r="B38" s="683"/>
      <c r="C38" s="683"/>
      <c r="D38" s="683"/>
      <c r="E38" s="683"/>
      <c r="F38" s="683"/>
      <c r="G38" s="683"/>
      <c r="H38" s="683"/>
      <c r="I38" s="683"/>
    </row>
    <row r="39" spans="1:10" x14ac:dyDescent="0.25">
      <c r="A39" s="670"/>
      <c r="B39" s="1369" t="s">
        <v>2092</v>
      </c>
      <c r="C39" s="1370"/>
      <c r="D39" s="1370"/>
      <c r="E39" s="1370"/>
      <c r="F39" s="1017"/>
      <c r="G39" s="1017"/>
      <c r="H39" s="1017"/>
      <c r="I39" s="1018"/>
    </row>
    <row r="40" spans="1:10" x14ac:dyDescent="0.25">
      <c r="A40" s="626"/>
      <c r="B40" s="710" t="s">
        <v>2067</v>
      </c>
      <c r="C40" s="703">
        <f>'J. Other Liability &amp; Expenses'!L151</f>
        <v>0</v>
      </c>
      <c r="D40" s="683"/>
      <c r="E40" s="683"/>
      <c r="F40" s="997"/>
      <c r="G40" s="997"/>
      <c r="H40" s="997"/>
      <c r="I40" s="664"/>
    </row>
    <row r="41" spans="1:10" x14ac:dyDescent="0.25">
      <c r="A41" s="626"/>
      <c r="B41" s="710" t="s">
        <v>2107</v>
      </c>
      <c r="C41" s="703">
        <f>'J. Other Liability &amp; Expenses'!L152</f>
        <v>0</v>
      </c>
      <c r="D41" s="959"/>
      <c r="E41" s="683"/>
      <c r="F41" s="997"/>
      <c r="G41" s="997"/>
      <c r="H41" s="997"/>
      <c r="I41" s="664"/>
    </row>
    <row r="42" spans="1:10" x14ac:dyDescent="0.25">
      <c r="A42" s="626"/>
      <c r="B42" s="710" t="s">
        <v>2078</v>
      </c>
      <c r="C42" s="703">
        <f>'J. Other Liability &amp; Expenses'!L153</f>
        <v>0</v>
      </c>
      <c r="D42" s="683"/>
      <c r="E42" s="683"/>
      <c r="F42" s="997"/>
      <c r="G42" s="997"/>
      <c r="H42" s="997"/>
      <c r="I42" s="664"/>
    </row>
    <row r="43" spans="1:10" x14ac:dyDescent="0.25">
      <c r="A43" s="626"/>
      <c r="B43" s="712" t="s">
        <v>2079</v>
      </c>
      <c r="C43" s="703">
        <f>SUM(C40:C42)</f>
        <v>0</v>
      </c>
      <c r="D43" s="683" t="str">
        <f>IF(C43=1,"","DOES NOT EQUAL 100%!!!")</f>
        <v>DOES NOT EQUAL 100%!!!</v>
      </c>
      <c r="E43" s="997"/>
      <c r="F43" s="997"/>
      <c r="G43" s="997"/>
      <c r="H43" s="997"/>
      <c r="I43" s="664"/>
    </row>
    <row r="44" spans="1:10" x14ac:dyDescent="0.25">
      <c r="A44" s="626"/>
      <c r="B44" s="713"/>
      <c r="C44" s="997"/>
      <c r="D44" s="997"/>
      <c r="E44" s="997"/>
      <c r="F44" s="997"/>
      <c r="G44" s="997"/>
      <c r="H44" s="997"/>
      <c r="I44" s="664"/>
    </row>
    <row r="45" spans="1:10" x14ac:dyDescent="0.25">
      <c r="A45" s="626"/>
      <c r="B45" s="714" t="s">
        <v>2080</v>
      </c>
      <c r="C45" s="997"/>
      <c r="D45" s="997"/>
      <c r="E45" s="997"/>
      <c r="F45" s="997"/>
      <c r="G45" s="997"/>
      <c r="H45" s="997"/>
      <c r="I45" s="664"/>
    </row>
    <row r="46" spans="1:10" x14ac:dyDescent="0.25">
      <c r="A46" s="626"/>
      <c r="B46" s="713" t="s">
        <v>2081</v>
      </c>
      <c r="C46" s="703">
        <f>'J. Other Liability &amp; Expenses'!L157</f>
        <v>0</v>
      </c>
      <c r="D46" s="997"/>
      <c r="E46" s="997"/>
      <c r="F46" s="997"/>
      <c r="G46" s="997"/>
      <c r="H46" s="997"/>
      <c r="I46" s="664"/>
    </row>
    <row r="47" spans="1:10" x14ac:dyDescent="0.25">
      <c r="A47" s="626"/>
      <c r="B47" s="713" t="s">
        <v>2082</v>
      </c>
      <c r="C47" s="703">
        <f>'J. Other Liability &amp; Expenses'!L158</f>
        <v>0</v>
      </c>
      <c r="D47" s="997"/>
      <c r="E47" s="997"/>
      <c r="F47" s="997"/>
      <c r="G47" s="997"/>
      <c r="H47" s="997"/>
      <c r="I47" s="664"/>
    </row>
    <row r="48" spans="1:10" x14ac:dyDescent="0.25">
      <c r="A48" s="626"/>
      <c r="B48" s="713" t="s">
        <v>2083</v>
      </c>
      <c r="C48" s="703">
        <f>'J. Other Liability &amp; Expenses'!L159</f>
        <v>0</v>
      </c>
      <c r="D48" s="997"/>
      <c r="E48" s="997"/>
      <c r="F48" s="997"/>
      <c r="G48" s="997"/>
      <c r="H48" s="997"/>
      <c r="I48" s="664"/>
    </row>
    <row r="49" spans="1:9" x14ac:dyDescent="0.25">
      <c r="A49" s="626"/>
      <c r="B49" s="713" t="s">
        <v>2084</v>
      </c>
      <c r="C49" s="703">
        <f>'J. Other Liability &amp; Expenses'!L160</f>
        <v>0</v>
      </c>
      <c r="D49" s="997"/>
      <c r="E49" s="997"/>
      <c r="F49" s="997"/>
      <c r="G49" s="997"/>
      <c r="H49" s="997"/>
      <c r="I49" s="664"/>
    </row>
    <row r="50" spans="1:9" x14ac:dyDescent="0.25">
      <c r="A50" s="626"/>
      <c r="B50" s="713" t="s">
        <v>2085</v>
      </c>
      <c r="C50" s="703">
        <f>'J. Other Liability &amp; Expenses'!L161</f>
        <v>0</v>
      </c>
      <c r="D50" s="997"/>
      <c r="E50" s="997"/>
      <c r="F50" s="997"/>
      <c r="G50" s="997"/>
      <c r="H50" s="997"/>
      <c r="I50" s="664"/>
    </row>
    <row r="51" spans="1:9" x14ac:dyDescent="0.25">
      <c r="A51" s="626"/>
      <c r="B51" s="713" t="s">
        <v>2086</v>
      </c>
      <c r="C51" s="703">
        <f>'J. Other Liability &amp; Expenses'!L162</f>
        <v>0</v>
      </c>
      <c r="D51" s="997"/>
      <c r="E51" s="997"/>
      <c r="F51" s="997"/>
      <c r="G51" s="997"/>
      <c r="H51" s="997"/>
      <c r="I51" s="664"/>
    </row>
    <row r="52" spans="1:9" x14ac:dyDescent="0.25">
      <c r="A52" s="626"/>
      <c r="B52" s="713" t="s">
        <v>2087</v>
      </c>
      <c r="C52" s="703">
        <f>'J. Other Liability &amp; Expenses'!L163</f>
        <v>0</v>
      </c>
      <c r="D52" s="997"/>
      <c r="E52" s="997"/>
      <c r="F52" s="997"/>
      <c r="G52" s="997"/>
      <c r="H52" s="997"/>
      <c r="I52" s="664"/>
    </row>
    <row r="53" spans="1:9" x14ac:dyDescent="0.25">
      <c r="A53" s="626"/>
      <c r="B53" s="713" t="s">
        <v>2089</v>
      </c>
      <c r="C53" s="703">
        <f>'J. Other Liability &amp; Expenses'!L164</f>
        <v>0</v>
      </c>
      <c r="D53" s="997"/>
      <c r="E53" s="997"/>
      <c r="F53" s="997"/>
      <c r="G53" s="997"/>
      <c r="H53" s="997"/>
      <c r="I53" s="664"/>
    </row>
    <row r="54" spans="1:9" x14ac:dyDescent="0.25">
      <c r="A54" s="626"/>
      <c r="B54" s="715" t="s">
        <v>2088</v>
      </c>
      <c r="C54" s="716">
        <f>SUM(C46:C53)</f>
        <v>0</v>
      </c>
      <c r="D54" s="717" t="str">
        <f>IF(C54=C40,"Equals Governmental Activities","DOES NOT EQUAL Governmental Activities!!!")</f>
        <v>Equals Governmental Activities</v>
      </c>
      <c r="E54" s="245"/>
      <c r="F54" s="245"/>
      <c r="G54" s="245"/>
      <c r="H54" s="245"/>
      <c r="I54" s="718"/>
    </row>
    <row r="55" spans="1:9" x14ac:dyDescent="0.25">
      <c r="A55" s="626"/>
      <c r="B55" s="996"/>
      <c r="C55" s="997"/>
      <c r="D55" s="997"/>
      <c r="E55" s="997"/>
      <c r="F55" s="997"/>
      <c r="G55" s="997"/>
      <c r="H55" s="997"/>
      <c r="I55" s="997"/>
    </row>
    <row r="56" spans="1:9" x14ac:dyDescent="0.25">
      <c r="A56" s="682"/>
      <c r="B56" s="684"/>
      <c r="C56" s="866"/>
      <c r="D56" s="866"/>
      <c r="E56" s="682"/>
      <c r="F56" s="682"/>
      <c r="G56" s="682"/>
      <c r="H56" s="682"/>
      <c r="I56" s="682"/>
    </row>
    <row r="57" spans="1:9" x14ac:dyDescent="0.25">
      <c r="A57" s="682"/>
      <c r="B57" s="684" t="s">
        <v>3924</v>
      </c>
      <c r="C57" s="866">
        <f t="shared" ref="C57:D58" si="0">G112</f>
        <v>0</v>
      </c>
      <c r="D57" s="866">
        <f t="shared" si="0"/>
        <v>0</v>
      </c>
      <c r="E57" s="682"/>
      <c r="F57" s="682"/>
      <c r="G57" s="682"/>
      <c r="H57" s="682"/>
      <c r="I57" s="682"/>
    </row>
    <row r="58" spans="1:9" x14ac:dyDescent="0.25">
      <c r="A58" s="682"/>
      <c r="B58" s="872" t="s">
        <v>3932</v>
      </c>
      <c r="C58" s="866">
        <f t="shared" si="0"/>
        <v>0</v>
      </c>
      <c r="D58" s="866">
        <f t="shared" si="0"/>
        <v>0</v>
      </c>
      <c r="E58" s="682"/>
      <c r="F58" s="682"/>
      <c r="G58" s="682"/>
      <c r="H58" s="682"/>
      <c r="I58" s="682"/>
    </row>
    <row r="59" spans="1:9" x14ac:dyDescent="0.25">
      <c r="A59" s="682"/>
      <c r="B59" s="872" t="s">
        <v>3933</v>
      </c>
      <c r="C59" s="866">
        <f t="shared" ref="C59:C70" si="1">G114</f>
        <v>0</v>
      </c>
      <c r="D59" s="866">
        <f t="shared" ref="D59:D69" si="2">H114</f>
        <v>0</v>
      </c>
      <c r="E59" s="682"/>
      <c r="F59" s="682"/>
      <c r="G59" s="682"/>
      <c r="H59" s="682"/>
      <c r="I59" s="682"/>
    </row>
    <row r="60" spans="1:9" x14ac:dyDescent="0.25">
      <c r="A60" s="682"/>
      <c r="B60" s="872" t="s">
        <v>3934</v>
      </c>
      <c r="C60" s="866">
        <f t="shared" si="1"/>
        <v>0</v>
      </c>
      <c r="D60" s="866">
        <f t="shared" si="2"/>
        <v>0</v>
      </c>
      <c r="E60" s="682"/>
      <c r="F60" s="682"/>
      <c r="G60" s="682"/>
      <c r="H60" s="682"/>
      <c r="I60" s="682"/>
    </row>
    <row r="61" spans="1:9" x14ac:dyDescent="0.25">
      <c r="A61" s="682"/>
      <c r="B61" s="872" t="s">
        <v>3935</v>
      </c>
      <c r="C61" s="866">
        <f t="shared" si="1"/>
        <v>0</v>
      </c>
      <c r="D61" s="866">
        <f t="shared" si="2"/>
        <v>0</v>
      </c>
      <c r="E61" s="682"/>
      <c r="F61" s="682"/>
      <c r="G61" s="682"/>
      <c r="H61" s="682"/>
      <c r="I61" s="682"/>
    </row>
    <row r="62" spans="1:9" x14ac:dyDescent="0.25">
      <c r="A62" s="682"/>
      <c r="B62" s="872" t="s">
        <v>3936</v>
      </c>
      <c r="C62" s="866">
        <f t="shared" si="1"/>
        <v>0</v>
      </c>
      <c r="D62" s="866">
        <f t="shared" si="2"/>
        <v>0</v>
      </c>
      <c r="E62" s="682"/>
      <c r="F62" s="682"/>
      <c r="G62" s="682"/>
      <c r="H62" s="682"/>
      <c r="I62" s="682"/>
    </row>
    <row r="63" spans="1:9" x14ac:dyDescent="0.25">
      <c r="A63" s="682"/>
      <c r="B63" s="872" t="s">
        <v>3937</v>
      </c>
      <c r="C63" s="866">
        <f t="shared" si="1"/>
        <v>0</v>
      </c>
      <c r="D63" s="866">
        <f t="shared" si="2"/>
        <v>0</v>
      </c>
      <c r="E63" s="682"/>
      <c r="F63" s="682"/>
      <c r="G63" s="682"/>
      <c r="H63" s="682"/>
      <c r="I63" s="682"/>
    </row>
    <row r="64" spans="1:9" x14ac:dyDescent="0.25">
      <c r="A64" s="682"/>
      <c r="B64" s="872" t="s">
        <v>3938</v>
      </c>
      <c r="C64" s="866">
        <f t="shared" si="1"/>
        <v>0</v>
      </c>
      <c r="D64" s="866">
        <f t="shared" si="2"/>
        <v>0</v>
      </c>
      <c r="E64" s="682"/>
      <c r="F64" s="682"/>
      <c r="G64" s="682"/>
      <c r="H64" s="682"/>
      <c r="I64" s="682"/>
    </row>
    <row r="65" spans="1:9" x14ac:dyDescent="0.25">
      <c r="A65" s="682"/>
      <c r="B65" s="872" t="s">
        <v>3939</v>
      </c>
      <c r="C65" s="866">
        <f t="shared" si="1"/>
        <v>0</v>
      </c>
      <c r="D65" s="866">
        <f t="shared" si="2"/>
        <v>0</v>
      </c>
      <c r="E65" s="682"/>
      <c r="F65" s="682"/>
      <c r="G65" s="682"/>
      <c r="H65" s="682"/>
      <c r="I65" s="682"/>
    </row>
    <row r="66" spans="1:9" ht="26.25" x14ac:dyDescent="0.25">
      <c r="A66" s="682"/>
      <c r="B66" s="684" t="s">
        <v>4898</v>
      </c>
      <c r="C66" s="866">
        <f t="shared" si="1"/>
        <v>0</v>
      </c>
      <c r="D66" s="866">
        <f t="shared" si="2"/>
        <v>0</v>
      </c>
      <c r="E66" s="682"/>
      <c r="F66" s="682"/>
      <c r="G66" s="682"/>
      <c r="H66" s="682"/>
      <c r="I66" s="682"/>
    </row>
    <row r="67" spans="1:9" x14ac:dyDescent="0.25">
      <c r="A67" s="682"/>
      <c r="B67" s="684" t="s">
        <v>4901</v>
      </c>
      <c r="C67" s="866">
        <f t="shared" si="1"/>
        <v>0</v>
      </c>
      <c r="D67" s="866">
        <f t="shared" si="2"/>
        <v>0</v>
      </c>
      <c r="E67" s="682"/>
      <c r="F67" s="682"/>
      <c r="G67" s="682"/>
      <c r="H67" s="682"/>
      <c r="I67" s="682"/>
    </row>
    <row r="68" spans="1:9" ht="26.25" x14ac:dyDescent="0.25">
      <c r="A68" s="682"/>
      <c r="B68" s="684" t="s">
        <v>4902</v>
      </c>
      <c r="C68" s="866">
        <f t="shared" si="1"/>
        <v>0</v>
      </c>
      <c r="D68" s="866">
        <f t="shared" si="2"/>
        <v>0</v>
      </c>
      <c r="E68" s="682"/>
      <c r="F68" s="682"/>
      <c r="G68" s="682"/>
      <c r="H68" s="682"/>
      <c r="I68" s="682"/>
    </row>
    <row r="69" spans="1:9" x14ac:dyDescent="0.25">
      <c r="A69" s="682"/>
      <c r="B69" s="684" t="s">
        <v>4899</v>
      </c>
      <c r="C69" s="866">
        <f t="shared" si="1"/>
        <v>0</v>
      </c>
      <c r="D69" s="866">
        <f t="shared" si="2"/>
        <v>0</v>
      </c>
      <c r="E69" s="682"/>
      <c r="F69" s="682"/>
      <c r="G69" s="682"/>
      <c r="H69" s="682"/>
      <c r="I69" s="682"/>
    </row>
    <row r="70" spans="1:9" ht="26.25" x14ac:dyDescent="0.25">
      <c r="A70" s="682"/>
      <c r="B70" s="684" t="s">
        <v>3518</v>
      </c>
      <c r="C70" s="866">
        <f t="shared" si="1"/>
        <v>0</v>
      </c>
      <c r="D70" s="866">
        <f>H125</f>
        <v>0</v>
      </c>
      <c r="E70" s="682"/>
      <c r="F70" s="682"/>
      <c r="G70" s="682"/>
      <c r="H70" s="682"/>
      <c r="I70" s="682"/>
    </row>
    <row r="71" spans="1:9" x14ac:dyDescent="0.25">
      <c r="A71" s="682"/>
      <c r="B71" s="684" t="s">
        <v>3519</v>
      </c>
      <c r="C71" s="866">
        <f>G126</f>
        <v>0</v>
      </c>
      <c r="D71" s="866">
        <f>H126</f>
        <v>0</v>
      </c>
      <c r="E71" s="682"/>
      <c r="F71" s="682"/>
      <c r="G71" s="682"/>
      <c r="H71" s="682"/>
      <c r="I71" s="682"/>
    </row>
    <row r="72" spans="1:9" ht="26.25" hidden="1" x14ac:dyDescent="0.25">
      <c r="A72" s="682"/>
      <c r="B72" s="684" t="s">
        <v>3902</v>
      </c>
      <c r="C72" s="866"/>
      <c r="D72" s="866"/>
      <c r="E72" s="682"/>
      <c r="F72" s="682"/>
      <c r="G72" s="682"/>
      <c r="H72" s="682"/>
      <c r="I72" s="682"/>
    </row>
    <row r="73" spans="1:9" ht="26.25" x14ac:dyDescent="0.25">
      <c r="A73" s="682"/>
      <c r="B73" s="684" t="s">
        <v>3520</v>
      </c>
      <c r="C73" s="866">
        <f>G127</f>
        <v>0</v>
      </c>
      <c r="D73" s="866">
        <f>H127</f>
        <v>0</v>
      </c>
      <c r="E73" s="682"/>
      <c r="F73" s="682"/>
      <c r="G73" s="682"/>
      <c r="H73" s="682"/>
      <c r="I73" s="682"/>
    </row>
    <row r="74" spans="1:9" x14ac:dyDescent="0.25">
      <c r="A74" s="682"/>
      <c r="B74" s="684" t="s">
        <v>3523</v>
      </c>
      <c r="C74" s="866">
        <f>G128</f>
        <v>0</v>
      </c>
      <c r="D74" s="866">
        <f>H128</f>
        <v>0</v>
      </c>
      <c r="E74" s="682"/>
      <c r="F74" s="682"/>
      <c r="G74" s="682"/>
      <c r="H74" s="682"/>
      <c r="I74" s="682"/>
    </row>
    <row r="75" spans="1:9" ht="26.25" x14ac:dyDescent="0.25">
      <c r="A75" s="682"/>
      <c r="B75" s="684" t="s">
        <v>3551</v>
      </c>
      <c r="C75" s="866">
        <f t="shared" ref="C75:C83" si="3">G130</f>
        <v>0</v>
      </c>
      <c r="D75" s="866">
        <f t="shared" ref="D75:D83" si="4">H130</f>
        <v>0</v>
      </c>
      <c r="E75" s="682"/>
      <c r="F75" s="682"/>
      <c r="G75" s="682"/>
      <c r="H75" s="682"/>
      <c r="I75" s="682"/>
    </row>
    <row r="76" spans="1:9" x14ac:dyDescent="0.25">
      <c r="A76" s="682"/>
      <c r="B76" s="872" t="s">
        <v>3949</v>
      </c>
      <c r="C76" s="866">
        <f t="shared" si="3"/>
        <v>0</v>
      </c>
      <c r="D76" s="866">
        <f t="shared" si="4"/>
        <v>0</v>
      </c>
      <c r="E76" s="682"/>
      <c r="F76" s="682"/>
      <c r="G76" s="682"/>
      <c r="H76" s="682"/>
      <c r="I76" s="682"/>
    </row>
    <row r="77" spans="1:9" x14ac:dyDescent="0.25">
      <c r="A77" s="682"/>
      <c r="B77" s="872" t="s">
        <v>3950</v>
      </c>
      <c r="C77" s="866">
        <f t="shared" si="3"/>
        <v>0</v>
      </c>
      <c r="D77" s="866">
        <f t="shared" si="4"/>
        <v>0</v>
      </c>
      <c r="E77" s="682"/>
      <c r="F77" s="682"/>
      <c r="G77" s="682"/>
      <c r="H77" s="682"/>
      <c r="I77" s="682"/>
    </row>
    <row r="78" spans="1:9" x14ac:dyDescent="0.25">
      <c r="A78" s="682"/>
      <c r="B78" s="872" t="s">
        <v>3951</v>
      </c>
      <c r="C78" s="866">
        <f t="shared" si="3"/>
        <v>0</v>
      </c>
      <c r="D78" s="866">
        <f t="shared" si="4"/>
        <v>0</v>
      </c>
      <c r="E78" s="682"/>
      <c r="F78" s="682"/>
      <c r="G78" s="682"/>
      <c r="H78" s="682"/>
      <c r="I78" s="682"/>
    </row>
    <row r="79" spans="1:9" x14ac:dyDescent="0.25">
      <c r="A79" s="682"/>
      <c r="B79" s="872" t="s">
        <v>3952</v>
      </c>
      <c r="C79" s="866">
        <f t="shared" si="3"/>
        <v>0</v>
      </c>
      <c r="D79" s="866">
        <f t="shared" si="4"/>
        <v>0</v>
      </c>
      <c r="E79" s="682"/>
      <c r="F79" s="682"/>
      <c r="G79" s="682"/>
      <c r="H79" s="682"/>
      <c r="I79" s="682"/>
    </row>
    <row r="80" spans="1:9" x14ac:dyDescent="0.25">
      <c r="A80" s="682"/>
      <c r="B80" s="872" t="s">
        <v>3953</v>
      </c>
      <c r="C80" s="866">
        <f t="shared" si="3"/>
        <v>0</v>
      </c>
      <c r="D80" s="866">
        <f t="shared" si="4"/>
        <v>0</v>
      </c>
      <c r="E80" s="682"/>
      <c r="F80" s="682"/>
      <c r="G80" s="682"/>
      <c r="H80" s="682"/>
      <c r="I80" s="682"/>
    </row>
    <row r="81" spans="1:9" x14ac:dyDescent="0.25">
      <c r="A81" s="682"/>
      <c r="B81" s="872" t="s">
        <v>3954</v>
      </c>
      <c r="C81" s="866">
        <f t="shared" si="3"/>
        <v>0</v>
      </c>
      <c r="D81" s="866">
        <f t="shared" si="4"/>
        <v>0</v>
      </c>
      <c r="E81" s="682"/>
      <c r="F81" s="682"/>
      <c r="G81" s="682"/>
      <c r="H81" s="682"/>
      <c r="I81" s="682"/>
    </row>
    <row r="82" spans="1:9" x14ac:dyDescent="0.25">
      <c r="A82" s="682"/>
      <c r="B82" s="872" t="s">
        <v>3955</v>
      </c>
      <c r="C82" s="866">
        <f t="shared" si="3"/>
        <v>0</v>
      </c>
      <c r="D82" s="866">
        <f t="shared" si="4"/>
        <v>0</v>
      </c>
      <c r="E82" s="682"/>
      <c r="F82" s="682"/>
      <c r="G82" s="682"/>
      <c r="H82" s="682"/>
      <c r="I82" s="682"/>
    </row>
    <row r="83" spans="1:9" x14ac:dyDescent="0.25">
      <c r="A83" s="682"/>
      <c r="B83" s="872" t="s">
        <v>3956</v>
      </c>
      <c r="C83" s="866">
        <f t="shared" si="3"/>
        <v>0</v>
      </c>
      <c r="D83" s="866">
        <f t="shared" si="4"/>
        <v>0</v>
      </c>
      <c r="E83" s="682"/>
      <c r="F83" s="682"/>
      <c r="G83" s="682"/>
      <c r="H83" s="682"/>
      <c r="I83" s="682"/>
    </row>
    <row r="84" spans="1:9" x14ac:dyDescent="0.25">
      <c r="A84" s="682"/>
      <c r="B84" s="872" t="s">
        <v>3941</v>
      </c>
      <c r="C84" s="866">
        <f>G139</f>
        <v>0</v>
      </c>
      <c r="D84" s="866">
        <f>H139</f>
        <v>0</v>
      </c>
      <c r="E84" s="682"/>
      <c r="F84" s="682"/>
      <c r="G84" s="682"/>
      <c r="H84" s="682"/>
      <c r="I84" s="682"/>
    </row>
    <row r="85" spans="1:9" x14ac:dyDescent="0.25">
      <c r="A85" s="682"/>
      <c r="B85" s="872" t="s">
        <v>3942</v>
      </c>
      <c r="C85" s="866">
        <f t="shared" ref="C85:D85" si="5">G140</f>
        <v>0</v>
      </c>
      <c r="D85" s="866">
        <f t="shared" si="5"/>
        <v>0</v>
      </c>
      <c r="E85" s="682"/>
      <c r="F85" s="682"/>
      <c r="G85" s="682"/>
      <c r="H85" s="682"/>
      <c r="I85" s="682"/>
    </row>
    <row r="86" spans="1:9" x14ac:dyDescent="0.25">
      <c r="A86" s="682"/>
      <c r="B86" s="872" t="s">
        <v>3943</v>
      </c>
      <c r="C86" s="866">
        <f t="shared" ref="C86:D86" si="6">G141</f>
        <v>0</v>
      </c>
      <c r="D86" s="866">
        <f t="shared" si="6"/>
        <v>0</v>
      </c>
      <c r="E86" s="682"/>
      <c r="F86" s="682"/>
      <c r="G86" s="682"/>
      <c r="H86" s="682"/>
      <c r="I86" s="682"/>
    </row>
    <row r="87" spans="1:9" x14ac:dyDescent="0.25">
      <c r="A87" s="682"/>
      <c r="B87" s="872" t="s">
        <v>3944</v>
      </c>
      <c r="C87" s="866">
        <f t="shared" ref="C87:D87" si="7">G142</f>
        <v>0</v>
      </c>
      <c r="D87" s="866">
        <f t="shared" si="7"/>
        <v>0</v>
      </c>
      <c r="E87" s="682"/>
      <c r="F87" s="682"/>
      <c r="G87" s="682"/>
      <c r="H87" s="682"/>
      <c r="I87" s="682"/>
    </row>
    <row r="88" spans="1:9" x14ac:dyDescent="0.25">
      <c r="A88" s="682"/>
      <c r="B88" s="872" t="s">
        <v>3945</v>
      </c>
      <c r="C88" s="866">
        <f t="shared" ref="C88:D88" si="8">G143</f>
        <v>0</v>
      </c>
      <c r="D88" s="866">
        <f t="shared" si="8"/>
        <v>0</v>
      </c>
      <c r="E88" s="682"/>
      <c r="F88" s="682"/>
      <c r="G88" s="682"/>
      <c r="H88" s="682"/>
      <c r="I88" s="682"/>
    </row>
    <row r="89" spans="1:9" x14ac:dyDescent="0.25">
      <c r="A89" s="682"/>
      <c r="B89" s="872" t="s">
        <v>3946</v>
      </c>
      <c r="C89" s="866">
        <f t="shared" ref="C89:D89" si="9">G144</f>
        <v>0</v>
      </c>
      <c r="D89" s="866">
        <f t="shared" si="9"/>
        <v>0</v>
      </c>
      <c r="E89" s="682"/>
      <c r="F89" s="682"/>
      <c r="G89" s="682"/>
      <c r="H89" s="682"/>
      <c r="I89" s="682"/>
    </row>
    <row r="90" spans="1:9" x14ac:dyDescent="0.25">
      <c r="A90" s="682"/>
      <c r="B90" s="872" t="s">
        <v>3947</v>
      </c>
      <c r="C90" s="866">
        <f t="shared" ref="C90:D99" si="10">G145</f>
        <v>0</v>
      </c>
      <c r="D90" s="866">
        <f t="shared" si="10"/>
        <v>0</v>
      </c>
      <c r="E90" s="682"/>
      <c r="F90" s="682"/>
      <c r="G90" s="682"/>
      <c r="H90" s="682"/>
      <c r="I90" s="682"/>
    </row>
    <row r="91" spans="1:9" x14ac:dyDescent="0.25">
      <c r="A91" s="682"/>
      <c r="B91" s="872" t="s">
        <v>3948</v>
      </c>
      <c r="C91" s="866">
        <f t="shared" si="10"/>
        <v>0</v>
      </c>
      <c r="D91" s="866">
        <f t="shared" si="10"/>
        <v>0</v>
      </c>
      <c r="E91" s="682"/>
      <c r="F91" s="682"/>
      <c r="G91" s="682"/>
      <c r="H91" s="682"/>
      <c r="I91" s="682"/>
    </row>
    <row r="92" spans="1:9" ht="26.25" x14ac:dyDescent="0.25">
      <c r="A92" s="682"/>
      <c r="B92" s="1115" t="s">
        <v>4889</v>
      </c>
      <c r="C92" s="866">
        <f t="shared" si="10"/>
        <v>0</v>
      </c>
      <c r="D92" s="866">
        <f t="shared" si="10"/>
        <v>0</v>
      </c>
      <c r="E92" s="682"/>
      <c r="F92" s="682"/>
      <c r="G92" s="682"/>
      <c r="H92" s="682"/>
      <c r="I92" s="682"/>
    </row>
    <row r="93" spans="1:9" ht="26.25" x14ac:dyDescent="0.25">
      <c r="A93" s="682"/>
      <c r="B93" s="1115" t="s">
        <v>4890</v>
      </c>
      <c r="C93" s="866">
        <f t="shared" si="10"/>
        <v>0</v>
      </c>
      <c r="D93" s="866">
        <f t="shared" si="10"/>
        <v>0</v>
      </c>
      <c r="E93" s="682"/>
      <c r="F93" s="682"/>
      <c r="G93" s="682"/>
      <c r="H93" s="682"/>
      <c r="I93" s="682"/>
    </row>
    <row r="94" spans="1:9" ht="26.25" x14ac:dyDescent="0.25">
      <c r="A94" s="682"/>
      <c r="B94" s="1115" t="s">
        <v>4891</v>
      </c>
      <c r="C94" s="866">
        <f t="shared" si="10"/>
        <v>0</v>
      </c>
      <c r="D94" s="866">
        <f t="shared" si="10"/>
        <v>0</v>
      </c>
      <c r="E94" s="682"/>
      <c r="F94" s="682"/>
      <c r="G94" s="682"/>
      <c r="H94" s="682"/>
      <c r="I94" s="682"/>
    </row>
    <row r="95" spans="1:9" ht="26.25" x14ac:dyDescent="0.25">
      <c r="A95" s="682"/>
      <c r="B95" s="1115" t="s">
        <v>4892</v>
      </c>
      <c r="C95" s="866">
        <f t="shared" si="10"/>
        <v>0</v>
      </c>
      <c r="D95" s="866">
        <f t="shared" si="10"/>
        <v>0</v>
      </c>
      <c r="E95" s="682"/>
      <c r="F95" s="682"/>
      <c r="G95" s="682"/>
      <c r="H95" s="682"/>
      <c r="I95" s="682"/>
    </row>
    <row r="96" spans="1:9" ht="26.25" x14ac:dyDescent="0.25">
      <c r="A96" s="682"/>
      <c r="B96" s="1115" t="s">
        <v>4893</v>
      </c>
      <c r="C96" s="866">
        <f t="shared" si="10"/>
        <v>0</v>
      </c>
      <c r="D96" s="866">
        <f t="shared" si="10"/>
        <v>0</v>
      </c>
      <c r="E96" s="682"/>
      <c r="F96" s="682"/>
      <c r="G96" s="682"/>
      <c r="H96" s="682"/>
      <c r="I96" s="682"/>
    </row>
    <row r="97" spans="1:9" ht="26.25" x14ac:dyDescent="0.25">
      <c r="A97" s="682"/>
      <c r="B97" s="1115" t="s">
        <v>4894</v>
      </c>
      <c r="C97" s="866">
        <f t="shared" si="10"/>
        <v>0</v>
      </c>
      <c r="D97" s="866">
        <f t="shared" si="10"/>
        <v>0</v>
      </c>
      <c r="E97" s="682"/>
      <c r="F97" s="682"/>
      <c r="G97" s="682"/>
      <c r="H97" s="682"/>
      <c r="I97" s="682"/>
    </row>
    <row r="98" spans="1:9" ht="26.25" x14ac:dyDescent="0.25">
      <c r="A98" s="682"/>
      <c r="B98" s="1115" t="s">
        <v>4895</v>
      </c>
      <c r="C98" s="866">
        <f t="shared" si="10"/>
        <v>0</v>
      </c>
      <c r="D98" s="866">
        <f t="shared" si="10"/>
        <v>0</v>
      </c>
      <c r="E98" s="682"/>
      <c r="F98" s="682"/>
      <c r="G98" s="682"/>
      <c r="H98" s="682"/>
      <c r="I98" s="682"/>
    </row>
    <row r="99" spans="1:9" ht="26.25" x14ac:dyDescent="0.25">
      <c r="A99" s="682"/>
      <c r="B99" s="1115" t="s">
        <v>4896</v>
      </c>
      <c r="C99" s="866">
        <f t="shared" si="10"/>
        <v>0</v>
      </c>
      <c r="D99" s="866">
        <f t="shared" si="10"/>
        <v>0</v>
      </c>
      <c r="E99" s="682"/>
      <c r="F99" s="682"/>
      <c r="G99" s="682"/>
      <c r="H99" s="682"/>
      <c r="I99" s="682"/>
    </row>
    <row r="100" spans="1:9" x14ac:dyDescent="0.25">
      <c r="A100" s="682"/>
      <c r="B100" s="684"/>
      <c r="C100" s="867"/>
      <c r="D100" s="867"/>
      <c r="E100" s="682"/>
      <c r="F100" s="682"/>
      <c r="G100" s="682"/>
      <c r="H100" s="682"/>
      <c r="I100" s="682"/>
    </row>
    <row r="101" spans="1:9" ht="15.75" thickBot="1" x14ac:dyDescent="0.3">
      <c r="A101" s="682"/>
      <c r="B101" s="684"/>
      <c r="C101" s="868">
        <f>SUM(C56:C100)</f>
        <v>0</v>
      </c>
      <c r="D101" s="868">
        <f>SUM(D56:D100)</f>
        <v>0</v>
      </c>
      <c r="E101" s="682"/>
      <c r="F101" s="682"/>
      <c r="G101" s="682"/>
      <c r="H101" s="682"/>
      <c r="I101" s="682"/>
    </row>
    <row r="102" spans="1:9" ht="15.75" thickTop="1" x14ac:dyDescent="0.25">
      <c r="A102" s="682"/>
      <c r="B102" s="682"/>
      <c r="C102" s="682"/>
      <c r="D102" s="682"/>
      <c r="E102" s="682"/>
      <c r="F102" s="682"/>
      <c r="G102" s="682"/>
      <c r="H102" s="682"/>
      <c r="I102" s="682"/>
    </row>
    <row r="104" spans="1:9" x14ac:dyDescent="0.25">
      <c r="A104" s="682"/>
      <c r="B104" s="682"/>
      <c r="C104" s="682"/>
      <c r="D104" s="682"/>
      <c r="E104" s="682"/>
      <c r="F104" s="682"/>
      <c r="G104" s="682"/>
      <c r="H104" s="682"/>
      <c r="I104" s="682"/>
    </row>
    <row r="105" spans="1:9" x14ac:dyDescent="0.25">
      <c r="A105" s="682"/>
      <c r="B105" s="1364" t="s">
        <v>3552</v>
      </c>
      <c r="C105" s="1364"/>
      <c r="D105" s="1364"/>
      <c r="E105" s="1364"/>
      <c r="F105" s="1364"/>
      <c r="G105" s="1364"/>
      <c r="H105" s="1364"/>
      <c r="I105" s="682"/>
    </row>
    <row r="106" spans="1:9" x14ac:dyDescent="0.25">
      <c r="A106" s="682"/>
      <c r="B106" s="1364"/>
      <c r="C106" s="1364"/>
      <c r="D106" s="1364"/>
      <c r="E106" s="1364"/>
      <c r="F106" s="1364"/>
      <c r="G106" s="1364"/>
      <c r="H106" s="1364"/>
      <c r="I106" s="682"/>
    </row>
    <row r="107" spans="1:9" ht="18" x14ac:dyDescent="0.25">
      <c r="A107" s="682"/>
      <c r="B107" s="720"/>
      <c r="C107" s="720"/>
      <c r="D107" s="720"/>
      <c r="E107" s="720"/>
      <c r="F107" s="720"/>
      <c r="G107" s="720"/>
      <c r="H107" s="721"/>
      <c r="I107" s="682"/>
    </row>
    <row r="108" spans="1:9" ht="18" x14ac:dyDescent="0.25">
      <c r="A108" s="682"/>
      <c r="B108" s="720"/>
      <c r="C108" s="722"/>
      <c r="D108" s="723"/>
      <c r="E108" s="869"/>
      <c r="F108" s="720"/>
      <c r="G108" s="1380" t="s">
        <v>103</v>
      </c>
      <c r="H108" s="1381"/>
      <c r="I108" s="682"/>
    </row>
    <row r="109" spans="1:9" x14ac:dyDescent="0.25">
      <c r="A109" s="682"/>
      <c r="B109" s="870"/>
      <c r="C109" s="725"/>
      <c r="D109" s="726"/>
      <c r="E109" s="871"/>
      <c r="F109" s="872"/>
      <c r="G109" s="873"/>
      <c r="H109" s="874"/>
      <c r="I109" s="682"/>
    </row>
    <row r="110" spans="1:9" x14ac:dyDescent="0.25">
      <c r="A110" s="682"/>
      <c r="B110" s="870"/>
      <c r="C110" s="728" t="s">
        <v>65</v>
      </c>
      <c r="D110" s="181" t="s">
        <v>66</v>
      </c>
      <c r="E110" s="875" t="s">
        <v>2101</v>
      </c>
      <c r="F110" s="872"/>
      <c r="G110" s="876" t="s">
        <v>65</v>
      </c>
      <c r="H110" s="877" t="s">
        <v>66</v>
      </c>
      <c r="I110" s="682"/>
    </row>
    <row r="111" spans="1:9" x14ac:dyDescent="0.25">
      <c r="A111" s="682"/>
      <c r="B111" s="684"/>
      <c r="C111" s="729"/>
      <c r="D111" s="730"/>
      <c r="E111" s="878"/>
      <c r="F111" s="682"/>
      <c r="G111" s="879"/>
      <c r="H111" s="731"/>
      <c r="I111" s="682"/>
    </row>
    <row r="112" spans="1:9" x14ac:dyDescent="0.25">
      <c r="A112" s="682"/>
      <c r="B112" s="684" t="s">
        <v>4897</v>
      </c>
      <c r="C112" s="879">
        <f>IF(C26&lt;C25,(C25-C26)*C40,0)</f>
        <v>0</v>
      </c>
      <c r="D112" s="731">
        <f>IF(C26&gt;C25,(C26-C25)*C40,0)</f>
        <v>0</v>
      </c>
      <c r="E112" s="1118">
        <f t="shared" ref="E112:E145" si="11">C112-D112</f>
        <v>0</v>
      </c>
      <c r="F112" s="682"/>
      <c r="G112" s="879">
        <f>IF(E112&lt;0,0,E112)</f>
        <v>0</v>
      </c>
      <c r="H112" s="731">
        <f>IF(E112&gt;0,0,E112*-1)</f>
        <v>0</v>
      </c>
      <c r="I112" s="682"/>
    </row>
    <row r="113" spans="1:9" x14ac:dyDescent="0.25">
      <c r="A113" s="682"/>
      <c r="B113" s="872" t="s">
        <v>3932</v>
      </c>
      <c r="C113" s="800">
        <f t="shared" ref="C113:C120" si="12">IF($C$28&gt;0,$C$28*C46,0)</f>
        <v>0</v>
      </c>
      <c r="D113" s="731">
        <f t="shared" ref="D113:D120" si="13">IF($C$28&lt;0,-$C$28*C46,0)</f>
        <v>0</v>
      </c>
      <c r="E113" s="878">
        <f t="shared" si="11"/>
        <v>0</v>
      </c>
      <c r="F113" s="682"/>
      <c r="G113" s="879">
        <f t="shared" ref="G113:G124" si="14">IF(E113&lt;0,0,E113)</f>
        <v>0</v>
      </c>
      <c r="H113" s="731">
        <f t="shared" ref="H113:H124" si="15">IF(E113&gt;0,0,E113*-1)</f>
        <v>0</v>
      </c>
      <c r="I113" s="682"/>
    </row>
    <row r="114" spans="1:9" x14ac:dyDescent="0.25">
      <c r="A114" s="682"/>
      <c r="B114" s="872" t="s">
        <v>3933</v>
      </c>
      <c r="C114" s="800">
        <f t="shared" si="12"/>
        <v>0</v>
      </c>
      <c r="D114" s="731">
        <f t="shared" si="13"/>
        <v>0</v>
      </c>
      <c r="E114" s="878">
        <f t="shared" si="11"/>
        <v>0</v>
      </c>
      <c r="F114" s="682"/>
      <c r="G114" s="879">
        <f t="shared" si="14"/>
        <v>0</v>
      </c>
      <c r="H114" s="731">
        <f t="shared" si="15"/>
        <v>0</v>
      </c>
      <c r="I114" s="682"/>
    </row>
    <row r="115" spans="1:9" x14ac:dyDescent="0.25">
      <c r="A115" s="682"/>
      <c r="B115" s="872" t="s">
        <v>3934</v>
      </c>
      <c r="C115" s="800">
        <f t="shared" si="12"/>
        <v>0</v>
      </c>
      <c r="D115" s="731">
        <f t="shared" si="13"/>
        <v>0</v>
      </c>
      <c r="E115" s="878">
        <f t="shared" si="11"/>
        <v>0</v>
      </c>
      <c r="F115" s="682"/>
      <c r="G115" s="879">
        <f t="shared" si="14"/>
        <v>0</v>
      </c>
      <c r="H115" s="731">
        <f t="shared" si="15"/>
        <v>0</v>
      </c>
      <c r="I115" s="682"/>
    </row>
    <row r="116" spans="1:9" x14ac:dyDescent="0.25">
      <c r="A116" s="682"/>
      <c r="B116" s="872" t="s">
        <v>3935</v>
      </c>
      <c r="C116" s="800">
        <f t="shared" si="12"/>
        <v>0</v>
      </c>
      <c r="D116" s="731">
        <f t="shared" si="13"/>
        <v>0</v>
      </c>
      <c r="E116" s="878">
        <f t="shared" si="11"/>
        <v>0</v>
      </c>
      <c r="F116" s="682"/>
      <c r="G116" s="879">
        <f t="shared" si="14"/>
        <v>0</v>
      </c>
      <c r="H116" s="731">
        <f t="shared" si="15"/>
        <v>0</v>
      </c>
      <c r="I116" s="682"/>
    </row>
    <row r="117" spans="1:9" x14ac:dyDescent="0.25">
      <c r="A117" s="682"/>
      <c r="B117" s="872" t="s">
        <v>3936</v>
      </c>
      <c r="C117" s="800">
        <f t="shared" si="12"/>
        <v>0</v>
      </c>
      <c r="D117" s="731">
        <f t="shared" si="13"/>
        <v>0</v>
      </c>
      <c r="E117" s="878">
        <f t="shared" si="11"/>
        <v>0</v>
      </c>
      <c r="F117" s="682"/>
      <c r="G117" s="879">
        <f t="shared" si="14"/>
        <v>0</v>
      </c>
      <c r="H117" s="731">
        <f t="shared" si="15"/>
        <v>0</v>
      </c>
      <c r="I117" s="682"/>
    </row>
    <row r="118" spans="1:9" x14ac:dyDescent="0.25">
      <c r="A118" s="682"/>
      <c r="B118" s="872" t="s">
        <v>3937</v>
      </c>
      <c r="C118" s="800">
        <f t="shared" si="12"/>
        <v>0</v>
      </c>
      <c r="D118" s="731">
        <f t="shared" si="13"/>
        <v>0</v>
      </c>
      <c r="E118" s="878">
        <f t="shared" si="11"/>
        <v>0</v>
      </c>
      <c r="F118" s="682"/>
      <c r="G118" s="879">
        <f t="shared" si="14"/>
        <v>0</v>
      </c>
      <c r="H118" s="731">
        <f t="shared" si="15"/>
        <v>0</v>
      </c>
      <c r="I118" s="682"/>
    </row>
    <row r="119" spans="1:9" x14ac:dyDescent="0.25">
      <c r="A119" s="682"/>
      <c r="B119" s="872" t="s">
        <v>3938</v>
      </c>
      <c r="C119" s="800">
        <f t="shared" si="12"/>
        <v>0</v>
      </c>
      <c r="D119" s="731">
        <f t="shared" si="13"/>
        <v>0</v>
      </c>
      <c r="E119" s="878">
        <f t="shared" si="11"/>
        <v>0</v>
      </c>
      <c r="F119" s="682"/>
      <c r="G119" s="879">
        <f t="shared" si="14"/>
        <v>0</v>
      </c>
      <c r="H119" s="731">
        <f t="shared" si="15"/>
        <v>0</v>
      </c>
      <c r="I119" s="682"/>
    </row>
    <row r="120" spans="1:9" x14ac:dyDescent="0.25">
      <c r="A120" s="682"/>
      <c r="B120" s="872" t="s">
        <v>3939</v>
      </c>
      <c r="C120" s="800">
        <f t="shared" si="12"/>
        <v>0</v>
      </c>
      <c r="D120" s="731">
        <f t="shared" si="13"/>
        <v>0</v>
      </c>
      <c r="E120" s="878">
        <f t="shared" si="11"/>
        <v>0</v>
      </c>
      <c r="F120" s="682"/>
      <c r="G120" s="879">
        <f t="shared" si="14"/>
        <v>0</v>
      </c>
      <c r="H120" s="731">
        <f t="shared" si="15"/>
        <v>0</v>
      </c>
      <c r="I120" s="682"/>
    </row>
    <row r="121" spans="1:9" ht="26.25" x14ac:dyDescent="0.25">
      <c r="A121" s="682"/>
      <c r="B121" s="974" t="s">
        <v>4898</v>
      </c>
      <c r="C121" s="1121">
        <v>0</v>
      </c>
      <c r="D121" s="1117">
        <f>IF(C32&gt;0,C32*C40,0)</f>
        <v>0</v>
      </c>
      <c r="E121" s="878">
        <f t="shared" si="11"/>
        <v>0</v>
      </c>
      <c r="F121" s="682"/>
      <c r="G121" s="879">
        <f t="shared" si="14"/>
        <v>0</v>
      </c>
      <c r="H121" s="731">
        <f t="shared" si="15"/>
        <v>0</v>
      </c>
      <c r="I121" s="682"/>
    </row>
    <row r="122" spans="1:9" x14ac:dyDescent="0.25">
      <c r="A122" s="682"/>
      <c r="B122" s="974" t="s">
        <v>4901</v>
      </c>
      <c r="C122" s="1121">
        <v>0</v>
      </c>
      <c r="D122" s="1117">
        <f>IF(C33&gt;0,C33*C40,0)</f>
        <v>0</v>
      </c>
      <c r="E122" s="878">
        <f t="shared" si="11"/>
        <v>0</v>
      </c>
      <c r="F122" s="682"/>
      <c r="G122" s="879">
        <f t="shared" si="14"/>
        <v>0</v>
      </c>
      <c r="H122" s="731">
        <f t="shared" si="15"/>
        <v>0</v>
      </c>
      <c r="I122" s="682"/>
    </row>
    <row r="123" spans="1:9" ht="26.25" x14ac:dyDescent="0.25">
      <c r="A123" s="682"/>
      <c r="B123" s="974" t="s">
        <v>4902</v>
      </c>
      <c r="C123" s="1116">
        <f>IF(C32&lt;0,-C32*C40,0)</f>
        <v>0</v>
      </c>
      <c r="D123" s="1121">
        <v>0</v>
      </c>
      <c r="E123" s="878">
        <f t="shared" si="11"/>
        <v>0</v>
      </c>
      <c r="F123" s="682"/>
      <c r="G123" s="879">
        <f t="shared" si="14"/>
        <v>0</v>
      </c>
      <c r="H123" s="731">
        <f t="shared" si="15"/>
        <v>0</v>
      </c>
      <c r="I123" s="682"/>
    </row>
    <row r="124" spans="1:9" x14ac:dyDescent="0.25">
      <c r="A124" s="682"/>
      <c r="B124" s="974" t="s">
        <v>4899</v>
      </c>
      <c r="C124" s="1116">
        <f>IF(C33&lt;0,-C33*C40,0)</f>
        <v>0</v>
      </c>
      <c r="D124" s="1121">
        <v>0</v>
      </c>
      <c r="E124" s="878">
        <f t="shared" si="11"/>
        <v>0</v>
      </c>
      <c r="F124" s="682"/>
      <c r="G124" s="879">
        <f t="shared" si="14"/>
        <v>0</v>
      </c>
      <c r="H124" s="731">
        <f t="shared" si="15"/>
        <v>0</v>
      </c>
      <c r="I124" s="682"/>
    </row>
    <row r="125" spans="1:9" ht="26.25" x14ac:dyDescent="0.25">
      <c r="A125" s="682"/>
      <c r="B125" s="684" t="s">
        <v>3518</v>
      </c>
      <c r="C125" s="800">
        <f>IF(C30&gt;0,C30*C40,0)</f>
        <v>0</v>
      </c>
      <c r="D125" s="731">
        <v>0</v>
      </c>
      <c r="E125" s="878">
        <f t="shared" si="11"/>
        <v>0</v>
      </c>
      <c r="F125" s="682"/>
      <c r="G125" s="879">
        <f t="shared" ref="G125:G131" si="16">IF(E125&lt;0,0,E125)</f>
        <v>0</v>
      </c>
      <c r="H125" s="731">
        <f t="shared" ref="H125:H131" si="17">IF(E125&gt;0,0,E125*-1)</f>
        <v>0</v>
      </c>
      <c r="I125" s="682"/>
    </row>
    <row r="126" spans="1:9" x14ac:dyDescent="0.25">
      <c r="A126" s="682"/>
      <c r="B126" s="684" t="s">
        <v>3519</v>
      </c>
      <c r="C126" s="800">
        <f>IF(C31&gt;0,C31*C40,0)</f>
        <v>0</v>
      </c>
      <c r="D126" s="731">
        <v>0</v>
      </c>
      <c r="E126" s="878">
        <f t="shared" si="11"/>
        <v>0</v>
      </c>
      <c r="F126" s="682"/>
      <c r="G126" s="879">
        <f t="shared" si="16"/>
        <v>0</v>
      </c>
      <c r="H126" s="731">
        <f t="shared" si="17"/>
        <v>0</v>
      </c>
      <c r="I126" s="682"/>
    </row>
    <row r="127" spans="1:9" ht="26.25" x14ac:dyDescent="0.25">
      <c r="A127" s="682"/>
      <c r="B127" s="684" t="s">
        <v>3520</v>
      </c>
      <c r="C127" s="800">
        <v>0</v>
      </c>
      <c r="D127" s="731">
        <f>IF(C30&lt;0,-C30*C40,0)</f>
        <v>0</v>
      </c>
      <c r="E127" s="878">
        <f t="shared" si="11"/>
        <v>0</v>
      </c>
      <c r="F127" s="682"/>
      <c r="G127" s="879">
        <f t="shared" si="16"/>
        <v>0</v>
      </c>
      <c r="H127" s="731">
        <f t="shared" si="17"/>
        <v>0</v>
      </c>
      <c r="I127" s="682"/>
    </row>
    <row r="128" spans="1:9" x14ac:dyDescent="0.25">
      <c r="A128" s="682"/>
      <c r="B128" s="684" t="s">
        <v>3523</v>
      </c>
      <c r="C128" s="800">
        <v>0</v>
      </c>
      <c r="D128" s="731">
        <f>IF(C31&lt;0,-C31*C40,0)</f>
        <v>0</v>
      </c>
      <c r="E128" s="878">
        <f t="shared" si="11"/>
        <v>0</v>
      </c>
      <c r="F128" s="682"/>
      <c r="G128" s="879">
        <f t="shared" si="16"/>
        <v>0</v>
      </c>
      <c r="H128" s="731">
        <f t="shared" si="17"/>
        <v>0</v>
      </c>
      <c r="I128" s="682"/>
    </row>
    <row r="129" spans="1:9" ht="26.25" hidden="1" x14ac:dyDescent="0.25">
      <c r="A129" s="682"/>
      <c r="B129" s="684" t="s">
        <v>3881</v>
      </c>
      <c r="C129" s="800"/>
      <c r="D129" s="731">
        <v>0</v>
      </c>
      <c r="E129" s="878">
        <f t="shared" si="11"/>
        <v>0</v>
      </c>
      <c r="F129" s="682"/>
      <c r="G129" s="879">
        <f t="shared" si="16"/>
        <v>0</v>
      </c>
      <c r="H129" s="731">
        <f t="shared" si="17"/>
        <v>0</v>
      </c>
      <c r="I129" s="682"/>
    </row>
    <row r="130" spans="1:9" ht="26.25" x14ac:dyDescent="0.25">
      <c r="A130" s="682"/>
      <c r="B130" s="684" t="s">
        <v>3925</v>
      </c>
      <c r="C130" s="800">
        <f>(C14+C20)*C40</f>
        <v>0</v>
      </c>
      <c r="D130" s="731">
        <v>0</v>
      </c>
      <c r="E130" s="878">
        <f t="shared" si="11"/>
        <v>0</v>
      </c>
      <c r="F130" s="682"/>
      <c r="G130" s="879">
        <f t="shared" si="16"/>
        <v>0</v>
      </c>
      <c r="H130" s="731">
        <f t="shared" si="17"/>
        <v>0</v>
      </c>
      <c r="I130" s="682"/>
    </row>
    <row r="131" spans="1:9" x14ac:dyDescent="0.25">
      <c r="A131" s="682"/>
      <c r="B131" s="872" t="s">
        <v>3949</v>
      </c>
      <c r="C131" s="800"/>
      <c r="D131" s="731">
        <f t="shared" ref="D131:D138" si="18">$C$14*C46</f>
        <v>0</v>
      </c>
      <c r="E131" s="878">
        <f t="shared" si="11"/>
        <v>0</v>
      </c>
      <c r="F131" s="682"/>
      <c r="G131" s="879">
        <f t="shared" si="16"/>
        <v>0</v>
      </c>
      <c r="H131" s="731">
        <f t="shared" si="17"/>
        <v>0</v>
      </c>
      <c r="I131" s="682"/>
    </row>
    <row r="132" spans="1:9" x14ac:dyDescent="0.25">
      <c r="A132" s="682"/>
      <c r="B132" s="872" t="s">
        <v>3950</v>
      </c>
      <c r="C132" s="800"/>
      <c r="D132" s="731">
        <f t="shared" si="18"/>
        <v>0</v>
      </c>
      <c r="E132" s="878">
        <f t="shared" si="11"/>
        <v>0</v>
      </c>
      <c r="F132" s="682"/>
      <c r="G132" s="879">
        <f t="shared" ref="G132:G138" si="19">IF(E132&lt;0,0,E132)</f>
        <v>0</v>
      </c>
      <c r="H132" s="731">
        <f t="shared" ref="H132:H138" si="20">IF(E132&gt;0,0,E132*-1)</f>
        <v>0</v>
      </c>
      <c r="I132" s="682"/>
    </row>
    <row r="133" spans="1:9" x14ac:dyDescent="0.25">
      <c r="A133" s="682"/>
      <c r="B133" s="872" t="s">
        <v>3951</v>
      </c>
      <c r="C133" s="800"/>
      <c r="D133" s="731">
        <f t="shared" si="18"/>
        <v>0</v>
      </c>
      <c r="E133" s="878">
        <f t="shared" si="11"/>
        <v>0</v>
      </c>
      <c r="F133" s="682"/>
      <c r="G133" s="879">
        <f t="shared" si="19"/>
        <v>0</v>
      </c>
      <c r="H133" s="731">
        <f t="shared" si="20"/>
        <v>0</v>
      </c>
      <c r="I133" s="682"/>
    </row>
    <row r="134" spans="1:9" x14ac:dyDescent="0.25">
      <c r="A134" s="682"/>
      <c r="B134" s="872" t="s">
        <v>3952</v>
      </c>
      <c r="C134" s="800"/>
      <c r="D134" s="731">
        <f t="shared" si="18"/>
        <v>0</v>
      </c>
      <c r="E134" s="878">
        <f t="shared" si="11"/>
        <v>0</v>
      </c>
      <c r="F134" s="682"/>
      <c r="G134" s="879">
        <f t="shared" si="19"/>
        <v>0</v>
      </c>
      <c r="H134" s="731">
        <f t="shared" si="20"/>
        <v>0</v>
      </c>
      <c r="I134" s="682"/>
    </row>
    <row r="135" spans="1:9" x14ac:dyDescent="0.25">
      <c r="A135" s="682"/>
      <c r="B135" s="872" t="s">
        <v>3953</v>
      </c>
      <c r="C135" s="800"/>
      <c r="D135" s="731">
        <f t="shared" si="18"/>
        <v>0</v>
      </c>
      <c r="E135" s="878">
        <f t="shared" si="11"/>
        <v>0</v>
      </c>
      <c r="F135" s="682"/>
      <c r="G135" s="879">
        <f t="shared" si="19"/>
        <v>0</v>
      </c>
      <c r="H135" s="731">
        <f t="shared" si="20"/>
        <v>0</v>
      </c>
      <c r="I135" s="682"/>
    </row>
    <row r="136" spans="1:9" x14ac:dyDescent="0.25">
      <c r="A136" s="682"/>
      <c r="B136" s="872" t="s">
        <v>3954</v>
      </c>
      <c r="C136" s="800"/>
      <c r="D136" s="731">
        <f t="shared" si="18"/>
        <v>0</v>
      </c>
      <c r="E136" s="878">
        <f t="shared" si="11"/>
        <v>0</v>
      </c>
      <c r="F136" s="682"/>
      <c r="G136" s="879">
        <f t="shared" si="19"/>
        <v>0</v>
      </c>
      <c r="H136" s="731">
        <f t="shared" si="20"/>
        <v>0</v>
      </c>
      <c r="I136" s="682"/>
    </row>
    <row r="137" spans="1:9" x14ac:dyDescent="0.25">
      <c r="A137" s="682"/>
      <c r="B137" s="872" t="s">
        <v>3955</v>
      </c>
      <c r="C137" s="800"/>
      <c r="D137" s="731">
        <f t="shared" si="18"/>
        <v>0</v>
      </c>
      <c r="E137" s="878">
        <f t="shared" si="11"/>
        <v>0</v>
      </c>
      <c r="F137" s="682"/>
      <c r="G137" s="879">
        <f t="shared" si="19"/>
        <v>0</v>
      </c>
      <c r="H137" s="731">
        <f t="shared" si="20"/>
        <v>0</v>
      </c>
      <c r="I137" s="682"/>
    </row>
    <row r="138" spans="1:9" x14ac:dyDescent="0.25">
      <c r="A138" s="682"/>
      <c r="B138" s="872" t="s">
        <v>3956</v>
      </c>
      <c r="C138" s="800"/>
      <c r="D138" s="731">
        <f t="shared" si="18"/>
        <v>0</v>
      </c>
      <c r="E138" s="878">
        <f t="shared" si="11"/>
        <v>0</v>
      </c>
      <c r="F138" s="682"/>
      <c r="G138" s="879">
        <f t="shared" si="19"/>
        <v>0</v>
      </c>
      <c r="H138" s="731">
        <f t="shared" si="20"/>
        <v>0</v>
      </c>
      <c r="I138" s="682"/>
    </row>
    <row r="139" spans="1:9" x14ac:dyDescent="0.25">
      <c r="A139" s="682"/>
      <c r="B139" s="872" t="s">
        <v>3941</v>
      </c>
      <c r="C139" s="800"/>
      <c r="D139" s="731">
        <f t="shared" ref="D139:D146" si="21">$C$20*C46</f>
        <v>0</v>
      </c>
      <c r="E139" s="878">
        <f t="shared" si="11"/>
        <v>0</v>
      </c>
      <c r="F139" s="872"/>
      <c r="G139" s="879">
        <f>IF(E139&lt;0,0,E139)</f>
        <v>0</v>
      </c>
      <c r="H139" s="731">
        <f>IF(E139&gt;0,0,E139*-1)</f>
        <v>0</v>
      </c>
      <c r="I139" s="682"/>
    </row>
    <row r="140" spans="1:9" x14ac:dyDescent="0.25">
      <c r="A140" s="682"/>
      <c r="B140" s="872" t="s">
        <v>3942</v>
      </c>
      <c r="C140" s="800"/>
      <c r="D140" s="731">
        <f t="shared" si="21"/>
        <v>0</v>
      </c>
      <c r="E140" s="878">
        <f t="shared" si="11"/>
        <v>0</v>
      </c>
      <c r="F140" s="872"/>
      <c r="G140" s="879">
        <f t="shared" ref="G140:G145" si="22">IF(E140&lt;0,0,E140)</f>
        <v>0</v>
      </c>
      <c r="H140" s="731">
        <f t="shared" ref="H140:H145" si="23">IF(E140&gt;0,0,E140*-1)</f>
        <v>0</v>
      </c>
      <c r="I140" s="682"/>
    </row>
    <row r="141" spans="1:9" x14ac:dyDescent="0.25">
      <c r="A141" s="682"/>
      <c r="B141" s="872" t="s">
        <v>3943</v>
      </c>
      <c r="C141" s="800"/>
      <c r="D141" s="731">
        <f t="shared" si="21"/>
        <v>0</v>
      </c>
      <c r="E141" s="878">
        <f t="shared" si="11"/>
        <v>0</v>
      </c>
      <c r="F141" s="872"/>
      <c r="G141" s="879">
        <f t="shared" si="22"/>
        <v>0</v>
      </c>
      <c r="H141" s="731">
        <f t="shared" si="23"/>
        <v>0</v>
      </c>
      <c r="I141" s="682"/>
    </row>
    <row r="142" spans="1:9" x14ac:dyDescent="0.25">
      <c r="A142" s="682"/>
      <c r="B142" s="872" t="s">
        <v>3944</v>
      </c>
      <c r="C142" s="800"/>
      <c r="D142" s="731">
        <f t="shared" si="21"/>
        <v>0</v>
      </c>
      <c r="E142" s="878">
        <f t="shared" si="11"/>
        <v>0</v>
      </c>
      <c r="F142" s="872"/>
      <c r="G142" s="879">
        <f t="shared" si="22"/>
        <v>0</v>
      </c>
      <c r="H142" s="731">
        <f t="shared" si="23"/>
        <v>0</v>
      </c>
      <c r="I142" s="682"/>
    </row>
    <row r="143" spans="1:9" x14ac:dyDescent="0.25">
      <c r="A143" s="682"/>
      <c r="B143" s="872" t="s">
        <v>3945</v>
      </c>
      <c r="C143" s="800"/>
      <c r="D143" s="731">
        <f t="shared" si="21"/>
        <v>0</v>
      </c>
      <c r="E143" s="878">
        <f t="shared" si="11"/>
        <v>0</v>
      </c>
      <c r="F143" s="872"/>
      <c r="G143" s="879">
        <f t="shared" si="22"/>
        <v>0</v>
      </c>
      <c r="H143" s="731">
        <f t="shared" si="23"/>
        <v>0</v>
      </c>
      <c r="I143" s="682"/>
    </row>
    <row r="144" spans="1:9" x14ac:dyDescent="0.25">
      <c r="A144" s="682"/>
      <c r="B144" s="872" t="s">
        <v>3946</v>
      </c>
      <c r="C144" s="800"/>
      <c r="D144" s="731">
        <f t="shared" si="21"/>
        <v>0</v>
      </c>
      <c r="E144" s="878">
        <f t="shared" si="11"/>
        <v>0</v>
      </c>
      <c r="F144" s="872"/>
      <c r="G144" s="879">
        <f t="shared" si="22"/>
        <v>0</v>
      </c>
      <c r="H144" s="731">
        <f t="shared" si="23"/>
        <v>0</v>
      </c>
      <c r="I144" s="682"/>
    </row>
    <row r="145" spans="1:15" x14ac:dyDescent="0.25">
      <c r="A145" s="682"/>
      <c r="B145" s="872" t="s">
        <v>3947</v>
      </c>
      <c r="C145" s="800"/>
      <c r="D145" s="731">
        <f t="shared" si="21"/>
        <v>0</v>
      </c>
      <c r="E145" s="878">
        <f t="shared" si="11"/>
        <v>0</v>
      </c>
      <c r="F145" s="872"/>
      <c r="G145" s="879">
        <f t="shared" si="22"/>
        <v>0</v>
      </c>
      <c r="H145" s="731">
        <f t="shared" si="23"/>
        <v>0</v>
      </c>
      <c r="I145" s="682"/>
    </row>
    <row r="146" spans="1:15" x14ac:dyDescent="0.25">
      <c r="A146" s="682"/>
      <c r="B146" s="872" t="s">
        <v>3948</v>
      </c>
      <c r="C146" s="800"/>
      <c r="D146" s="731">
        <f t="shared" si="21"/>
        <v>0</v>
      </c>
      <c r="E146" s="878">
        <f t="shared" ref="E146:E154" si="24">C146-D146</f>
        <v>0</v>
      </c>
      <c r="F146" s="872"/>
      <c r="G146" s="879">
        <f t="shared" ref="G146:G154" si="25">IF(E146&lt;0,0,E146)</f>
        <v>0</v>
      </c>
      <c r="H146" s="731">
        <f t="shared" ref="H146:H154" si="26">IF(E146&gt;0,0,E146*-1)</f>
        <v>0</v>
      </c>
      <c r="I146" s="682"/>
    </row>
    <row r="147" spans="1:15" ht="26.25" x14ac:dyDescent="0.25">
      <c r="A147" s="682"/>
      <c r="B147" s="1115" t="s">
        <v>4889</v>
      </c>
      <c r="C147" s="1116"/>
      <c r="D147" s="1117">
        <f>$C$27*C46</f>
        <v>0</v>
      </c>
      <c r="E147" s="878">
        <f t="shared" si="24"/>
        <v>0</v>
      </c>
      <c r="F147" s="872"/>
      <c r="G147" s="879">
        <f t="shared" si="25"/>
        <v>0</v>
      </c>
      <c r="H147" s="731">
        <f t="shared" si="26"/>
        <v>0</v>
      </c>
      <c r="I147" s="682"/>
    </row>
    <row r="148" spans="1:15" ht="26.25" x14ac:dyDescent="0.25">
      <c r="A148" s="682"/>
      <c r="B148" s="1115" t="s">
        <v>4890</v>
      </c>
      <c r="C148" s="1116"/>
      <c r="D148" s="1117">
        <f t="shared" ref="D148:D154" si="27">$C$27*C47</f>
        <v>0</v>
      </c>
      <c r="E148" s="878">
        <f t="shared" si="24"/>
        <v>0</v>
      </c>
      <c r="F148" s="872"/>
      <c r="G148" s="879">
        <f t="shared" si="25"/>
        <v>0</v>
      </c>
      <c r="H148" s="731">
        <f t="shared" si="26"/>
        <v>0</v>
      </c>
      <c r="I148" s="682"/>
    </row>
    <row r="149" spans="1:15" ht="26.25" x14ac:dyDescent="0.25">
      <c r="A149" s="682"/>
      <c r="B149" s="1115" t="s">
        <v>4891</v>
      </c>
      <c r="C149" s="1116"/>
      <c r="D149" s="1117">
        <f t="shared" si="27"/>
        <v>0</v>
      </c>
      <c r="E149" s="878">
        <f t="shared" si="24"/>
        <v>0</v>
      </c>
      <c r="F149" s="872"/>
      <c r="G149" s="879">
        <f t="shared" si="25"/>
        <v>0</v>
      </c>
      <c r="H149" s="731">
        <f t="shared" si="26"/>
        <v>0</v>
      </c>
      <c r="I149" s="682"/>
    </row>
    <row r="150" spans="1:15" ht="26.25" x14ac:dyDescent="0.25">
      <c r="A150" s="682"/>
      <c r="B150" s="1115" t="s">
        <v>4892</v>
      </c>
      <c r="C150" s="1116"/>
      <c r="D150" s="1117">
        <f t="shared" si="27"/>
        <v>0</v>
      </c>
      <c r="E150" s="878">
        <f t="shared" si="24"/>
        <v>0</v>
      </c>
      <c r="F150" s="872"/>
      <c r="G150" s="879">
        <f t="shared" si="25"/>
        <v>0</v>
      </c>
      <c r="H150" s="731">
        <f t="shared" si="26"/>
        <v>0</v>
      </c>
      <c r="I150" s="682"/>
    </row>
    <row r="151" spans="1:15" ht="26.25" x14ac:dyDescent="0.25">
      <c r="A151" s="682"/>
      <c r="B151" s="1115" t="s">
        <v>4893</v>
      </c>
      <c r="C151" s="1116"/>
      <c r="D151" s="1117">
        <f t="shared" si="27"/>
        <v>0</v>
      </c>
      <c r="E151" s="878">
        <f t="shared" si="24"/>
        <v>0</v>
      </c>
      <c r="F151" s="872"/>
      <c r="G151" s="879">
        <f t="shared" si="25"/>
        <v>0</v>
      </c>
      <c r="H151" s="731">
        <f t="shared" si="26"/>
        <v>0</v>
      </c>
      <c r="I151" s="682"/>
    </row>
    <row r="152" spans="1:15" ht="26.25" x14ac:dyDescent="0.25">
      <c r="A152" s="682"/>
      <c r="B152" s="1115" t="s">
        <v>4894</v>
      </c>
      <c r="C152" s="1116"/>
      <c r="D152" s="1117">
        <f t="shared" si="27"/>
        <v>0</v>
      </c>
      <c r="E152" s="878">
        <f t="shared" si="24"/>
        <v>0</v>
      </c>
      <c r="F152" s="872"/>
      <c r="G152" s="879">
        <f t="shared" si="25"/>
        <v>0</v>
      </c>
      <c r="H152" s="731">
        <f t="shared" si="26"/>
        <v>0</v>
      </c>
      <c r="I152" s="682"/>
    </row>
    <row r="153" spans="1:15" ht="26.25" x14ac:dyDescent="0.25">
      <c r="A153" s="682"/>
      <c r="B153" s="1115" t="s">
        <v>4895</v>
      </c>
      <c r="C153" s="1116"/>
      <c r="D153" s="1117">
        <f t="shared" si="27"/>
        <v>0</v>
      </c>
      <c r="E153" s="878">
        <f t="shared" si="24"/>
        <v>0</v>
      </c>
      <c r="F153" s="872"/>
      <c r="G153" s="879">
        <f t="shared" si="25"/>
        <v>0</v>
      </c>
      <c r="H153" s="731">
        <f t="shared" si="26"/>
        <v>0</v>
      </c>
      <c r="I153" s="682"/>
    </row>
    <row r="154" spans="1:15" ht="26.25" x14ac:dyDescent="0.25">
      <c r="A154" s="682"/>
      <c r="B154" s="1115" t="s">
        <v>4896</v>
      </c>
      <c r="C154" s="1116"/>
      <c r="D154" s="1117">
        <f t="shared" si="27"/>
        <v>0</v>
      </c>
      <c r="E154" s="878">
        <f t="shared" si="24"/>
        <v>0</v>
      </c>
      <c r="F154" s="872"/>
      <c r="G154" s="879">
        <f t="shared" si="25"/>
        <v>0</v>
      </c>
      <c r="H154" s="731">
        <f t="shared" si="26"/>
        <v>0</v>
      </c>
      <c r="I154" s="682"/>
    </row>
    <row r="155" spans="1:15" x14ac:dyDescent="0.25">
      <c r="A155" s="682"/>
      <c r="B155" s="682"/>
      <c r="C155" s="880">
        <f>SUM(C110:C154)</f>
        <v>0</v>
      </c>
      <c r="D155" s="881">
        <f>SUM(D110:D154)</f>
        <v>0</v>
      </c>
      <c r="E155" s="882">
        <f>SUM(E110:E154)</f>
        <v>0</v>
      </c>
      <c r="F155" s="872"/>
      <c r="G155" s="880">
        <f>SUM(G110:G154)</f>
        <v>0</v>
      </c>
      <c r="H155" s="881">
        <f>SUM(H110:H154)</f>
        <v>0</v>
      </c>
      <c r="I155" s="682"/>
    </row>
    <row r="156" spans="1:15" x14ac:dyDescent="0.25">
      <c r="A156" s="682"/>
      <c r="B156" s="682"/>
      <c r="C156" s="682"/>
      <c r="D156" s="682"/>
      <c r="E156" s="682"/>
      <c r="F156" s="682"/>
      <c r="G156" s="682"/>
      <c r="H156" s="682"/>
      <c r="I156" s="682"/>
    </row>
    <row r="157" spans="1:15" x14ac:dyDescent="0.25">
      <c r="A157" s="682"/>
      <c r="B157" s="682"/>
      <c r="C157" s="682"/>
      <c r="D157" s="682"/>
      <c r="E157" s="682"/>
      <c r="F157" s="682"/>
      <c r="G157" s="682"/>
      <c r="H157" s="682"/>
      <c r="I157" s="682"/>
    </row>
    <row r="158" spans="1:15" x14ac:dyDescent="0.25">
      <c r="G158" s="992"/>
      <c r="O158" s="977"/>
    </row>
    <row r="263" spans="40:40" x14ac:dyDescent="0.25">
      <c r="AN263" s="992" t="e">
        <f>'P. GASB 75 OPEB 1 Entries'!D76+'P. GASB 75 OPEB 1 Entries'!B87</f>
        <v>#VALUE!</v>
      </c>
    </row>
  </sheetData>
  <mergeCells count="25">
    <mergeCell ref="G108:H108"/>
    <mergeCell ref="E29:I29"/>
    <mergeCell ref="A6:C6"/>
    <mergeCell ref="B105:H106"/>
    <mergeCell ref="A34:B34"/>
    <mergeCell ref="E34:J34"/>
    <mergeCell ref="A18:B18"/>
    <mergeCell ref="A20:B20"/>
    <mergeCell ref="A30:B30"/>
    <mergeCell ref="A31:B31"/>
    <mergeCell ref="E31:J31"/>
    <mergeCell ref="B37:I37"/>
    <mergeCell ref="B39:E39"/>
    <mergeCell ref="A1:C1"/>
    <mergeCell ref="A32:B32"/>
    <mergeCell ref="E32:J32"/>
    <mergeCell ref="A33:B33"/>
    <mergeCell ref="E33:J33"/>
    <mergeCell ref="A8:B8"/>
    <mergeCell ref="A10:B10"/>
    <mergeCell ref="A12:B12"/>
    <mergeCell ref="D12:J12"/>
    <mergeCell ref="A14:B14"/>
    <mergeCell ref="A16:B16"/>
    <mergeCell ref="A3:C3"/>
  </mergeCells>
  <conditionalFormatting sqref="C34">
    <cfRule type="expression" priority="3">
      <formula>MOD(ROW(),2)+0</formula>
    </cfRule>
    <cfRule type="expression" dxfId="2" priority="8">
      <formula>MOD(ROW(),2)=0</formula>
    </cfRule>
  </conditionalFormatting>
  <pageMargins left="0.7" right="0.7" top="0.75" bottom="0.75" header="0.3" footer="0.3"/>
  <pageSetup scale="68" orientation="landscape" r:id="rId1"/>
  <rowBreaks count="1" manualBreakCount="1">
    <brk id="34" max="16383"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10E93-1094-47EC-A3EC-9E767176B26B}">
  <dimension ref="A1:AN263"/>
  <sheetViews>
    <sheetView zoomScaleNormal="100" workbookViewId="0">
      <selection activeCell="C14" sqref="C14"/>
    </sheetView>
  </sheetViews>
  <sheetFormatPr defaultRowHeight="15" x14ac:dyDescent="0.25"/>
  <cols>
    <col min="1" max="1" width="11.85546875" style="976" customWidth="1"/>
    <col min="2" max="2" width="48.28515625" style="976" customWidth="1"/>
    <col min="3" max="3" width="17.140625" style="976" customWidth="1"/>
    <col min="4" max="4" width="14.140625" style="976" customWidth="1"/>
    <col min="5" max="5" width="17.7109375" style="976" customWidth="1"/>
    <col min="6" max="6" width="9.140625" style="976"/>
    <col min="7" max="8" width="13.7109375" style="976" customWidth="1"/>
    <col min="9" max="9" width="9.140625" style="976"/>
    <col min="10" max="10" width="18.42578125" style="978" customWidth="1"/>
    <col min="11" max="11" width="19.5703125" style="978" customWidth="1"/>
    <col min="12" max="12" width="15.28515625" style="976" bestFit="1" customWidth="1"/>
    <col min="13" max="13" width="13.42578125" style="976" bestFit="1" customWidth="1"/>
    <col min="14" max="14" width="9.140625" style="976"/>
    <col min="15" max="15" width="10.7109375" style="976" bestFit="1" customWidth="1"/>
    <col min="16" max="16384" width="9.140625" style="976"/>
  </cols>
  <sheetData>
    <row r="1" spans="1:12" ht="15.75" x14ac:dyDescent="0.25">
      <c r="A1" s="1351" t="s">
        <v>3921</v>
      </c>
      <c r="B1" s="1352"/>
      <c r="C1" s="1353"/>
    </row>
    <row r="3" spans="1:12" ht="49.5" customHeight="1" x14ac:dyDescent="0.25">
      <c r="A3" s="1365" t="s">
        <v>4886</v>
      </c>
      <c r="B3" s="1365"/>
      <c r="C3" s="1365"/>
    </row>
    <row r="6" spans="1:12" ht="15.75" customHeight="1" x14ac:dyDescent="0.25">
      <c r="A6" s="1372" t="s">
        <v>3923</v>
      </c>
      <c r="B6" s="1390"/>
      <c r="C6" s="1373"/>
    </row>
    <row r="7" spans="1:12" x14ac:dyDescent="0.25">
      <c r="D7" s="979"/>
      <c r="E7" s="979"/>
      <c r="F7" s="979"/>
      <c r="G7" s="979"/>
      <c r="H7" s="979"/>
      <c r="I7" s="979"/>
      <c r="J7" s="980"/>
    </row>
    <row r="8" spans="1:12" ht="30" hidden="1" customHeight="1" x14ac:dyDescent="0.25">
      <c r="A8" s="1385" t="s">
        <v>3905</v>
      </c>
      <c r="B8" s="1385"/>
      <c r="C8" s="981">
        <v>0</v>
      </c>
      <c r="D8" s="979"/>
      <c r="E8" s="979"/>
      <c r="F8" s="979"/>
      <c r="G8" s="979"/>
      <c r="H8" s="979"/>
      <c r="I8" s="979"/>
      <c r="J8" s="980"/>
    </row>
    <row r="9" spans="1:12" ht="6.75" hidden="1" customHeight="1" x14ac:dyDescent="0.25">
      <c r="A9" s="1113"/>
      <c r="B9" s="1113"/>
      <c r="C9" s="983"/>
      <c r="D9" s="979"/>
      <c r="E9" s="979"/>
      <c r="F9" s="979"/>
      <c r="G9" s="979"/>
      <c r="H9" s="979"/>
      <c r="I9" s="979"/>
      <c r="J9" s="980"/>
    </row>
    <row r="10" spans="1:12" ht="45" hidden="1" customHeight="1" x14ac:dyDescent="0.25">
      <c r="A10" s="1385" t="s">
        <v>3569</v>
      </c>
      <c r="B10" s="1385"/>
      <c r="C10" s="981">
        <v>0</v>
      </c>
      <c r="D10" s="979"/>
      <c r="E10" s="979"/>
      <c r="F10" s="979"/>
      <c r="G10" s="979"/>
      <c r="H10" s="979"/>
      <c r="I10" s="979"/>
      <c r="J10" s="980"/>
    </row>
    <row r="11" spans="1:12" ht="5.25" hidden="1" customHeight="1" x14ac:dyDescent="0.25">
      <c r="A11" s="1113"/>
      <c r="B11" s="1113"/>
      <c r="C11" s="984"/>
      <c r="D11" s="979"/>
      <c r="E11" s="979"/>
      <c r="F11" s="979"/>
      <c r="G11" s="979"/>
      <c r="H11" s="979"/>
      <c r="I11" s="979"/>
      <c r="J11" s="980"/>
    </row>
    <row r="12" spans="1:12" ht="5.25" hidden="1" customHeight="1" x14ac:dyDescent="0.25">
      <c r="A12" s="1385" t="s">
        <v>3570</v>
      </c>
      <c r="B12" s="1385"/>
      <c r="C12" s="981">
        <v>0</v>
      </c>
      <c r="D12" s="1386"/>
      <c r="E12" s="1387"/>
      <c r="F12" s="1387"/>
      <c r="G12" s="1387"/>
      <c r="H12" s="1387"/>
      <c r="I12" s="1387"/>
      <c r="J12" s="1387"/>
    </row>
    <row r="13" spans="1:12" ht="3.75" customHeight="1" x14ac:dyDescent="0.25">
      <c r="A13" s="985"/>
      <c r="B13" s="985"/>
      <c r="C13" s="985"/>
      <c r="D13" s="979"/>
      <c r="E13" s="979"/>
      <c r="F13" s="979"/>
      <c r="G13" s="979"/>
      <c r="H13" s="979"/>
      <c r="I13" s="979"/>
      <c r="J13" s="980"/>
    </row>
    <row r="14" spans="1:12" ht="30.75" customHeight="1" x14ac:dyDescent="0.25">
      <c r="A14" s="1388" t="s">
        <v>3906</v>
      </c>
      <c r="B14" s="1388"/>
      <c r="C14" s="1008"/>
      <c r="D14" s="986"/>
      <c r="E14" s="979"/>
      <c r="F14" s="979"/>
      <c r="G14" s="984"/>
      <c r="H14" s="987"/>
      <c r="I14" s="987"/>
      <c r="J14" s="987"/>
      <c r="K14" s="988"/>
      <c r="L14" s="988"/>
    </row>
    <row r="15" spans="1:12" ht="6" hidden="1" customHeight="1" x14ac:dyDescent="0.25">
      <c r="A15" s="1112"/>
      <c r="B15" s="1112"/>
      <c r="C15" s="1010"/>
      <c r="D15" s="986"/>
      <c r="E15" s="979"/>
      <c r="F15" s="979"/>
      <c r="G15" s="987"/>
      <c r="H15" s="987"/>
      <c r="I15" s="987"/>
      <c r="J15" s="987"/>
      <c r="K15" s="988"/>
      <c r="L15" s="988"/>
    </row>
    <row r="16" spans="1:12" ht="45" hidden="1" customHeight="1" x14ac:dyDescent="0.25">
      <c r="A16" s="1388" t="s">
        <v>3907</v>
      </c>
      <c r="B16" s="1388"/>
      <c r="C16" s="1011"/>
      <c r="D16" s="986"/>
      <c r="E16" s="979"/>
      <c r="F16" s="979"/>
      <c r="G16" s="987"/>
      <c r="H16" s="987"/>
      <c r="I16" s="987"/>
      <c r="J16" s="987"/>
      <c r="K16" s="988"/>
      <c r="L16" s="988"/>
    </row>
    <row r="17" spans="1:12" ht="6" hidden="1" customHeight="1" x14ac:dyDescent="0.25">
      <c r="A17" s="1112"/>
      <c r="B17" s="1112"/>
      <c r="C17" s="1010"/>
      <c r="D17" s="986"/>
      <c r="E17" s="979"/>
      <c r="F17" s="979"/>
      <c r="G17" s="987"/>
      <c r="H17" s="987"/>
      <c r="I17" s="987"/>
      <c r="J17" s="987"/>
      <c r="K17" s="988"/>
      <c r="L17" s="988"/>
    </row>
    <row r="18" spans="1:12" ht="36.75" hidden="1" customHeight="1" x14ac:dyDescent="0.25">
      <c r="A18" s="1388" t="s">
        <v>3908</v>
      </c>
      <c r="B18" s="1388"/>
      <c r="C18" s="1011"/>
      <c r="D18" s="986"/>
      <c r="E18" s="979"/>
      <c r="F18" s="979"/>
      <c r="G18" s="987"/>
      <c r="H18" s="987"/>
      <c r="I18" s="987"/>
      <c r="J18" s="987"/>
      <c r="K18" s="988"/>
      <c r="L18" s="988"/>
    </row>
    <row r="19" spans="1:12" ht="4.5" customHeight="1" x14ac:dyDescent="0.25">
      <c r="A19" s="1012"/>
      <c r="B19" s="1012"/>
      <c r="C19" s="1010"/>
      <c r="D19" s="986"/>
      <c r="E19" s="979"/>
      <c r="F19" s="979"/>
      <c r="G19" s="979"/>
      <c r="H19" s="979"/>
      <c r="I19" s="979"/>
      <c r="J19" s="980"/>
    </row>
    <row r="20" spans="1:12" ht="45" customHeight="1" x14ac:dyDescent="0.25">
      <c r="A20" s="1388" t="s">
        <v>3970</v>
      </c>
      <c r="B20" s="1388"/>
      <c r="C20" s="1008"/>
      <c r="D20" s="986"/>
      <c r="E20" s="979"/>
      <c r="F20" s="979"/>
      <c r="G20" s="979"/>
      <c r="H20" s="979"/>
      <c r="I20" s="979"/>
      <c r="J20" s="980"/>
    </row>
    <row r="21" spans="1:12" ht="6" customHeight="1" x14ac:dyDescent="0.25">
      <c r="A21" s="1113"/>
      <c r="B21" s="1113"/>
      <c r="C21" s="983"/>
    </row>
    <row r="23" spans="1:12" ht="16.5" customHeight="1" x14ac:dyDescent="0.25">
      <c r="A23" s="1004" t="s">
        <v>3922</v>
      </c>
      <c r="B23" s="1001"/>
      <c r="C23" s="1002"/>
      <c r="G23" s="989"/>
      <c r="H23" s="989"/>
      <c r="I23" s="989"/>
      <c r="J23" s="990"/>
    </row>
    <row r="25" spans="1:12" x14ac:dyDescent="0.25">
      <c r="A25" s="979" t="s">
        <v>3909</v>
      </c>
      <c r="B25" s="979"/>
      <c r="C25" s="1005"/>
    </row>
    <row r="26" spans="1:12" x14ac:dyDescent="0.25">
      <c r="A26" s="979" t="s">
        <v>3910</v>
      </c>
      <c r="B26" s="1003"/>
      <c r="C26" s="1006"/>
    </row>
    <row r="27" spans="1:12" x14ac:dyDescent="0.25">
      <c r="A27" s="979" t="s">
        <v>3911</v>
      </c>
      <c r="B27" s="979"/>
      <c r="C27" s="1006"/>
    </row>
    <row r="28" spans="1:12" x14ac:dyDescent="0.25">
      <c r="A28" s="979" t="s">
        <v>3912</v>
      </c>
      <c r="B28" s="979"/>
      <c r="C28" s="1006"/>
    </row>
    <row r="29" spans="1:12" ht="14.25" customHeight="1" x14ac:dyDescent="0.25">
      <c r="A29" s="979" t="s">
        <v>3913</v>
      </c>
      <c r="B29" s="979"/>
      <c r="C29" s="1006"/>
      <c r="E29" s="1389" t="s">
        <v>3915</v>
      </c>
      <c r="F29" s="1389"/>
      <c r="G29" s="1389"/>
      <c r="H29" s="1389"/>
      <c r="I29" s="1389"/>
    </row>
    <row r="30" spans="1:12" ht="35.25" customHeight="1" x14ac:dyDescent="0.25">
      <c r="A30" s="1382" t="s">
        <v>3914</v>
      </c>
      <c r="B30" s="1382"/>
      <c r="C30" s="1007"/>
      <c r="F30" s="1113"/>
      <c r="G30" s="1113"/>
      <c r="H30" s="1113"/>
      <c r="I30" s="1113"/>
      <c r="J30" s="1113"/>
    </row>
    <row r="31" spans="1:12" ht="33.75" customHeight="1" x14ac:dyDescent="0.25">
      <c r="A31" s="1382" t="s">
        <v>3916</v>
      </c>
      <c r="B31" s="1382"/>
      <c r="C31" s="1007"/>
      <c r="E31" s="1384"/>
      <c r="F31" s="1384"/>
      <c r="G31" s="1384"/>
      <c r="H31" s="1384"/>
      <c r="I31" s="1384"/>
      <c r="J31" s="1384"/>
    </row>
    <row r="32" spans="1:12" ht="33.75" customHeight="1" x14ac:dyDescent="0.25">
      <c r="A32" s="1382" t="s">
        <v>3917</v>
      </c>
      <c r="B32" s="1382"/>
      <c r="C32" s="1007"/>
      <c r="E32" s="1383" t="s">
        <v>4888</v>
      </c>
      <c r="F32" s="1384"/>
      <c r="G32" s="1384"/>
      <c r="H32" s="1384"/>
      <c r="I32" s="1384"/>
      <c r="J32" s="1384"/>
    </row>
    <row r="33" spans="1:10" ht="33.75" customHeight="1" x14ac:dyDescent="0.25">
      <c r="A33" s="1382" t="s">
        <v>3919</v>
      </c>
      <c r="B33" s="1382"/>
      <c r="C33" s="1007"/>
      <c r="E33" s="1383" t="s">
        <v>4888</v>
      </c>
      <c r="F33" s="1384"/>
      <c r="G33" s="1384"/>
      <c r="H33" s="1384"/>
      <c r="I33" s="1384"/>
      <c r="J33" s="1384"/>
    </row>
    <row r="34" spans="1:10" ht="33.75" hidden="1" customHeight="1" x14ac:dyDescent="0.25">
      <c r="A34" s="1382" t="s">
        <v>3920</v>
      </c>
      <c r="B34" s="1382"/>
      <c r="C34" s="991">
        <v>0</v>
      </c>
      <c r="E34" s="1384" t="s">
        <v>3918</v>
      </c>
      <c r="F34" s="1384"/>
      <c r="G34" s="1384"/>
      <c r="H34" s="1384"/>
      <c r="I34" s="1384"/>
      <c r="J34" s="1384"/>
    </row>
    <row r="36" spans="1:10" x14ac:dyDescent="0.25">
      <c r="A36" s="626"/>
      <c r="B36" s="1108"/>
      <c r="C36" s="660"/>
      <c r="D36" s="660"/>
      <c r="E36" s="1109"/>
      <c r="F36" s="1109"/>
      <c r="G36" s="1109"/>
      <c r="H36" s="1109"/>
      <c r="I36" s="1109"/>
    </row>
    <row r="37" spans="1:10" ht="30" customHeight="1" x14ac:dyDescent="0.25">
      <c r="A37" s="670"/>
      <c r="B37" s="1391" t="s">
        <v>3931</v>
      </c>
      <c r="C37" s="1392"/>
      <c r="D37" s="1392"/>
      <c r="E37" s="1392"/>
      <c r="F37" s="1392"/>
      <c r="G37" s="1392"/>
      <c r="H37" s="1392"/>
      <c r="I37" s="1393"/>
    </row>
    <row r="38" spans="1:10" x14ac:dyDescent="0.25">
      <c r="A38" s="670"/>
      <c r="B38" s="683"/>
      <c r="C38" s="683"/>
      <c r="D38" s="683"/>
      <c r="E38" s="683"/>
      <c r="F38" s="683"/>
      <c r="G38" s="683"/>
      <c r="H38" s="683"/>
      <c r="I38" s="683"/>
    </row>
    <row r="39" spans="1:10" x14ac:dyDescent="0.25">
      <c r="A39" s="670"/>
      <c r="B39" s="1369" t="s">
        <v>2092</v>
      </c>
      <c r="C39" s="1370"/>
      <c r="D39" s="1370"/>
      <c r="E39" s="1370"/>
      <c r="F39" s="1017"/>
      <c r="G39" s="1017"/>
      <c r="H39" s="1017"/>
      <c r="I39" s="1018"/>
    </row>
    <row r="40" spans="1:10" x14ac:dyDescent="0.25">
      <c r="A40" s="626"/>
      <c r="B40" s="710" t="s">
        <v>2067</v>
      </c>
      <c r="C40" s="703">
        <f>'J. Other Liability &amp; Expenses'!L151</f>
        <v>0</v>
      </c>
      <c r="D40" s="683"/>
      <c r="E40" s="683"/>
      <c r="F40" s="1111"/>
      <c r="G40" s="1111"/>
      <c r="H40" s="1111"/>
      <c r="I40" s="664"/>
    </row>
    <row r="41" spans="1:10" x14ac:dyDescent="0.25">
      <c r="A41" s="626"/>
      <c r="B41" s="710" t="s">
        <v>2107</v>
      </c>
      <c r="C41" s="703">
        <f>'J. Other Liability &amp; Expenses'!L152</f>
        <v>0</v>
      </c>
      <c r="D41" s="959"/>
      <c r="E41" s="683"/>
      <c r="F41" s="1111"/>
      <c r="G41" s="1111"/>
      <c r="H41" s="1111"/>
      <c r="I41" s="664"/>
    </row>
    <row r="42" spans="1:10" x14ac:dyDescent="0.25">
      <c r="A42" s="626"/>
      <c r="B42" s="710" t="s">
        <v>2078</v>
      </c>
      <c r="C42" s="703">
        <f>'J. Other Liability &amp; Expenses'!L153</f>
        <v>0</v>
      </c>
      <c r="D42" s="683"/>
      <c r="E42" s="683"/>
      <c r="F42" s="1111"/>
      <c r="G42" s="1111"/>
      <c r="H42" s="1111"/>
      <c r="I42" s="664"/>
    </row>
    <row r="43" spans="1:10" x14ac:dyDescent="0.25">
      <c r="A43" s="626"/>
      <c r="B43" s="712" t="s">
        <v>2079</v>
      </c>
      <c r="C43" s="703">
        <f>SUM(C40:C42)</f>
        <v>0</v>
      </c>
      <c r="D43" s="683" t="str">
        <f>IF(C43=1,"","DOES NOT EQUAL 100%!!!")</f>
        <v>DOES NOT EQUAL 100%!!!</v>
      </c>
      <c r="E43" s="1111"/>
      <c r="F43" s="1111"/>
      <c r="G43" s="1111"/>
      <c r="H43" s="1111"/>
      <c r="I43" s="664"/>
    </row>
    <row r="44" spans="1:10" x14ac:dyDescent="0.25">
      <c r="A44" s="626"/>
      <c r="B44" s="713"/>
      <c r="C44" s="1111"/>
      <c r="D44" s="1111"/>
      <c r="E44" s="1111"/>
      <c r="F44" s="1111"/>
      <c r="G44" s="1111"/>
      <c r="H44" s="1111"/>
      <c r="I44" s="664"/>
    </row>
    <row r="45" spans="1:10" x14ac:dyDescent="0.25">
      <c r="A45" s="626"/>
      <c r="B45" s="714" t="s">
        <v>2080</v>
      </c>
      <c r="C45" s="1111"/>
      <c r="D45" s="1111"/>
      <c r="E45" s="1111"/>
      <c r="F45" s="1111"/>
      <c r="G45" s="1111"/>
      <c r="H45" s="1111"/>
      <c r="I45" s="664"/>
    </row>
    <row r="46" spans="1:10" x14ac:dyDescent="0.25">
      <c r="A46" s="626"/>
      <c r="B46" s="713" t="s">
        <v>2081</v>
      </c>
      <c r="C46" s="703">
        <f>'J. Other Liability &amp; Expenses'!L157</f>
        <v>0</v>
      </c>
      <c r="D46" s="1111"/>
      <c r="E46" s="1111"/>
      <c r="F46" s="1111"/>
      <c r="G46" s="1111"/>
      <c r="H46" s="1111"/>
      <c r="I46" s="664"/>
    </row>
    <row r="47" spans="1:10" x14ac:dyDescent="0.25">
      <c r="A47" s="626"/>
      <c r="B47" s="713" t="s">
        <v>2082</v>
      </c>
      <c r="C47" s="703">
        <f>'J. Other Liability &amp; Expenses'!L158</f>
        <v>0</v>
      </c>
      <c r="D47" s="1111"/>
      <c r="E47" s="1111"/>
      <c r="F47" s="1111"/>
      <c r="G47" s="1111"/>
      <c r="H47" s="1111"/>
      <c r="I47" s="664"/>
    </row>
    <row r="48" spans="1:10" x14ac:dyDescent="0.25">
      <c r="A48" s="626"/>
      <c r="B48" s="713" t="s">
        <v>2083</v>
      </c>
      <c r="C48" s="703">
        <f>'J. Other Liability &amp; Expenses'!L159</f>
        <v>0</v>
      </c>
      <c r="D48" s="1111"/>
      <c r="E48" s="1111"/>
      <c r="F48" s="1111"/>
      <c r="G48" s="1111"/>
      <c r="H48" s="1111"/>
      <c r="I48" s="664"/>
    </row>
    <row r="49" spans="1:9" x14ac:dyDescent="0.25">
      <c r="A49" s="626"/>
      <c r="B49" s="713" t="s">
        <v>2084</v>
      </c>
      <c r="C49" s="703">
        <f>'J. Other Liability &amp; Expenses'!L160</f>
        <v>0</v>
      </c>
      <c r="D49" s="1111"/>
      <c r="E49" s="1111"/>
      <c r="F49" s="1111"/>
      <c r="G49" s="1111"/>
      <c r="H49" s="1111"/>
      <c r="I49" s="664"/>
    </row>
    <row r="50" spans="1:9" x14ac:dyDescent="0.25">
      <c r="A50" s="626"/>
      <c r="B50" s="713" t="s">
        <v>2085</v>
      </c>
      <c r="C50" s="703">
        <f>'J. Other Liability &amp; Expenses'!L161</f>
        <v>0</v>
      </c>
      <c r="D50" s="1111"/>
      <c r="E50" s="1111"/>
      <c r="F50" s="1111"/>
      <c r="G50" s="1111"/>
      <c r="H50" s="1111"/>
      <c r="I50" s="664"/>
    </row>
    <row r="51" spans="1:9" x14ac:dyDescent="0.25">
      <c r="A51" s="626"/>
      <c r="B51" s="713" t="s">
        <v>2086</v>
      </c>
      <c r="C51" s="703">
        <f>'J. Other Liability &amp; Expenses'!L162</f>
        <v>0</v>
      </c>
      <c r="D51" s="1111"/>
      <c r="E51" s="1111"/>
      <c r="F51" s="1111"/>
      <c r="G51" s="1111"/>
      <c r="H51" s="1111"/>
      <c r="I51" s="664"/>
    </row>
    <row r="52" spans="1:9" x14ac:dyDescent="0.25">
      <c r="A52" s="626"/>
      <c r="B52" s="713" t="s">
        <v>2087</v>
      </c>
      <c r="C52" s="703">
        <f>'J. Other Liability &amp; Expenses'!L163</f>
        <v>0</v>
      </c>
      <c r="D52" s="1111"/>
      <c r="E52" s="1111"/>
      <c r="F52" s="1111"/>
      <c r="G52" s="1111"/>
      <c r="H52" s="1111"/>
      <c r="I52" s="664"/>
    </row>
    <row r="53" spans="1:9" x14ac:dyDescent="0.25">
      <c r="A53" s="626"/>
      <c r="B53" s="713" t="s">
        <v>2089</v>
      </c>
      <c r="C53" s="703">
        <f>'J. Other Liability &amp; Expenses'!L164</f>
        <v>0</v>
      </c>
      <c r="D53" s="1111"/>
      <c r="E53" s="1111"/>
      <c r="F53" s="1111"/>
      <c r="G53" s="1111"/>
      <c r="H53" s="1111"/>
      <c r="I53" s="664"/>
    </row>
    <row r="54" spans="1:9" x14ac:dyDescent="0.25">
      <c r="A54" s="626"/>
      <c r="B54" s="715" t="s">
        <v>2088</v>
      </c>
      <c r="C54" s="716">
        <f>SUM(C46:C53)</f>
        <v>0</v>
      </c>
      <c r="D54" s="717" t="str">
        <f>IF(C54=C40,"Equals Governmental Activities","DOES NOT EQUAL Governmental Activities!!!")</f>
        <v>Equals Governmental Activities</v>
      </c>
      <c r="E54" s="245"/>
      <c r="F54" s="245"/>
      <c r="G54" s="245"/>
      <c r="H54" s="245"/>
      <c r="I54" s="718"/>
    </row>
    <row r="55" spans="1:9" x14ac:dyDescent="0.25">
      <c r="A55" s="626"/>
      <c r="B55" s="1110"/>
      <c r="C55" s="1111"/>
      <c r="D55" s="1111"/>
      <c r="E55" s="1111"/>
      <c r="F55" s="1111"/>
      <c r="G55" s="1111"/>
      <c r="H55" s="1111"/>
      <c r="I55" s="1111"/>
    </row>
    <row r="56" spans="1:9" x14ac:dyDescent="0.25">
      <c r="A56" s="682"/>
      <c r="B56" s="684"/>
      <c r="C56" s="866"/>
      <c r="D56" s="866"/>
      <c r="E56" s="682"/>
      <c r="F56" s="682"/>
      <c r="G56" s="682"/>
      <c r="H56" s="682"/>
      <c r="I56" s="682"/>
    </row>
    <row r="57" spans="1:9" x14ac:dyDescent="0.25">
      <c r="A57" s="682"/>
      <c r="B57" s="684" t="s">
        <v>3924</v>
      </c>
      <c r="C57" s="866">
        <f t="shared" ref="C57:D70" si="0">G112</f>
        <v>0</v>
      </c>
      <c r="D57" s="866">
        <f t="shared" si="0"/>
        <v>0</v>
      </c>
      <c r="E57" s="682"/>
      <c r="F57" s="682"/>
      <c r="G57" s="682"/>
      <c r="H57" s="682"/>
      <c r="I57" s="682"/>
    </row>
    <row r="58" spans="1:9" x14ac:dyDescent="0.25">
      <c r="A58" s="682"/>
      <c r="B58" s="872" t="s">
        <v>3932</v>
      </c>
      <c r="C58" s="866">
        <f t="shared" si="0"/>
        <v>0</v>
      </c>
      <c r="D58" s="866">
        <f t="shared" si="0"/>
        <v>0</v>
      </c>
      <c r="E58" s="682"/>
      <c r="F58" s="682"/>
      <c r="G58" s="682"/>
      <c r="H58" s="682"/>
      <c r="I58" s="682"/>
    </row>
    <row r="59" spans="1:9" x14ac:dyDescent="0.25">
      <c r="A59" s="682"/>
      <c r="B59" s="872" t="s">
        <v>3933</v>
      </c>
      <c r="C59" s="866">
        <f t="shared" si="0"/>
        <v>0</v>
      </c>
      <c r="D59" s="866">
        <f t="shared" si="0"/>
        <v>0</v>
      </c>
      <c r="E59" s="682"/>
      <c r="F59" s="682"/>
      <c r="G59" s="682"/>
      <c r="H59" s="682"/>
      <c r="I59" s="682"/>
    </row>
    <row r="60" spans="1:9" x14ac:dyDescent="0.25">
      <c r="A60" s="682"/>
      <c r="B60" s="872" t="s">
        <v>3934</v>
      </c>
      <c r="C60" s="866">
        <f t="shared" si="0"/>
        <v>0</v>
      </c>
      <c r="D60" s="866">
        <f t="shared" si="0"/>
        <v>0</v>
      </c>
      <c r="E60" s="682"/>
      <c r="F60" s="682"/>
      <c r="G60" s="682"/>
      <c r="H60" s="682"/>
      <c r="I60" s="682"/>
    </row>
    <row r="61" spans="1:9" x14ac:dyDescent="0.25">
      <c r="A61" s="682"/>
      <c r="B61" s="872" t="s">
        <v>3935</v>
      </c>
      <c r="C61" s="866">
        <f t="shared" si="0"/>
        <v>0</v>
      </c>
      <c r="D61" s="866">
        <f t="shared" si="0"/>
        <v>0</v>
      </c>
      <c r="E61" s="682"/>
      <c r="F61" s="682"/>
      <c r="G61" s="682"/>
      <c r="H61" s="682"/>
      <c r="I61" s="682"/>
    </row>
    <row r="62" spans="1:9" x14ac:dyDescent="0.25">
      <c r="A62" s="682"/>
      <c r="B62" s="872" t="s">
        <v>3936</v>
      </c>
      <c r="C62" s="866">
        <f t="shared" si="0"/>
        <v>0</v>
      </c>
      <c r="D62" s="866">
        <f t="shared" si="0"/>
        <v>0</v>
      </c>
      <c r="E62" s="682"/>
      <c r="F62" s="682"/>
      <c r="G62" s="682"/>
      <c r="H62" s="682"/>
      <c r="I62" s="682"/>
    </row>
    <row r="63" spans="1:9" x14ac:dyDescent="0.25">
      <c r="A63" s="682"/>
      <c r="B63" s="872" t="s">
        <v>3937</v>
      </c>
      <c r="C63" s="866">
        <f t="shared" si="0"/>
        <v>0</v>
      </c>
      <c r="D63" s="866">
        <f t="shared" si="0"/>
        <v>0</v>
      </c>
      <c r="E63" s="682"/>
      <c r="F63" s="682"/>
      <c r="G63" s="682"/>
      <c r="H63" s="682"/>
      <c r="I63" s="682"/>
    </row>
    <row r="64" spans="1:9" x14ac:dyDescent="0.25">
      <c r="A64" s="682"/>
      <c r="B64" s="872" t="s">
        <v>3938</v>
      </c>
      <c r="C64" s="866">
        <f t="shared" si="0"/>
        <v>0</v>
      </c>
      <c r="D64" s="866">
        <f t="shared" si="0"/>
        <v>0</v>
      </c>
      <c r="E64" s="682"/>
      <c r="F64" s="682"/>
      <c r="G64" s="682"/>
      <c r="H64" s="682"/>
      <c r="I64" s="682"/>
    </row>
    <row r="65" spans="1:9" x14ac:dyDescent="0.25">
      <c r="A65" s="682"/>
      <c r="B65" s="872" t="s">
        <v>3939</v>
      </c>
      <c r="C65" s="866">
        <f t="shared" si="0"/>
        <v>0</v>
      </c>
      <c r="D65" s="866">
        <f t="shared" si="0"/>
        <v>0</v>
      </c>
      <c r="E65" s="682"/>
      <c r="F65" s="682"/>
      <c r="G65" s="682"/>
      <c r="H65" s="682"/>
      <c r="I65" s="682"/>
    </row>
    <row r="66" spans="1:9" ht="26.25" x14ac:dyDescent="0.25">
      <c r="A66" s="682"/>
      <c r="B66" s="684" t="s">
        <v>4898</v>
      </c>
      <c r="C66" s="866">
        <f t="shared" si="0"/>
        <v>0</v>
      </c>
      <c r="D66" s="866">
        <f t="shared" si="0"/>
        <v>0</v>
      </c>
      <c r="E66" s="682"/>
      <c r="F66" s="682"/>
      <c r="G66" s="682"/>
      <c r="H66" s="682"/>
      <c r="I66" s="682"/>
    </row>
    <row r="67" spans="1:9" x14ac:dyDescent="0.25">
      <c r="A67" s="682"/>
      <c r="B67" s="684" t="s">
        <v>4901</v>
      </c>
      <c r="C67" s="866">
        <f t="shared" si="0"/>
        <v>0</v>
      </c>
      <c r="D67" s="866">
        <f t="shared" si="0"/>
        <v>0</v>
      </c>
      <c r="E67" s="682"/>
      <c r="F67" s="682"/>
      <c r="G67" s="682"/>
      <c r="H67" s="682"/>
      <c r="I67" s="682"/>
    </row>
    <row r="68" spans="1:9" ht="26.25" x14ac:dyDescent="0.25">
      <c r="A68" s="682"/>
      <c r="B68" s="684" t="s">
        <v>4902</v>
      </c>
      <c r="C68" s="866">
        <f t="shared" si="0"/>
        <v>0</v>
      </c>
      <c r="D68" s="866">
        <f t="shared" si="0"/>
        <v>0</v>
      </c>
      <c r="E68" s="682"/>
      <c r="F68" s="682"/>
      <c r="G68" s="682"/>
      <c r="H68" s="682"/>
      <c r="I68" s="682"/>
    </row>
    <row r="69" spans="1:9" x14ac:dyDescent="0.25">
      <c r="A69" s="682"/>
      <c r="B69" s="684" t="s">
        <v>4899</v>
      </c>
      <c r="C69" s="866">
        <f t="shared" si="0"/>
        <v>0</v>
      </c>
      <c r="D69" s="866">
        <f t="shared" si="0"/>
        <v>0</v>
      </c>
      <c r="E69" s="682"/>
      <c r="F69" s="682"/>
      <c r="G69" s="682"/>
      <c r="H69" s="682"/>
      <c r="I69" s="682"/>
    </row>
    <row r="70" spans="1:9" ht="26.25" x14ac:dyDescent="0.25">
      <c r="A70" s="682"/>
      <c r="B70" s="684" t="s">
        <v>3518</v>
      </c>
      <c r="C70" s="866">
        <f t="shared" si="0"/>
        <v>0</v>
      </c>
      <c r="D70" s="866">
        <f>H125</f>
        <v>0</v>
      </c>
      <c r="E70" s="682"/>
      <c r="F70" s="682"/>
      <c r="G70" s="682"/>
      <c r="H70" s="682"/>
      <c r="I70" s="682"/>
    </row>
    <row r="71" spans="1:9" x14ac:dyDescent="0.25">
      <c r="A71" s="682"/>
      <c r="B71" s="684" t="s">
        <v>3519</v>
      </c>
      <c r="C71" s="866">
        <f>G126</f>
        <v>0</v>
      </c>
      <c r="D71" s="866">
        <f>H126</f>
        <v>0</v>
      </c>
      <c r="E71" s="682"/>
      <c r="F71" s="682"/>
      <c r="G71" s="682"/>
      <c r="H71" s="682"/>
      <c r="I71" s="682"/>
    </row>
    <row r="72" spans="1:9" ht="26.25" hidden="1" x14ac:dyDescent="0.25">
      <c r="A72" s="682"/>
      <c r="B72" s="684" t="s">
        <v>3902</v>
      </c>
      <c r="C72" s="866"/>
      <c r="D72" s="866"/>
      <c r="E72" s="682"/>
      <c r="F72" s="682"/>
      <c r="G72" s="682"/>
      <c r="H72" s="682"/>
      <c r="I72" s="682"/>
    </row>
    <row r="73" spans="1:9" ht="26.25" x14ac:dyDescent="0.25">
      <c r="A73" s="682"/>
      <c r="B73" s="684" t="s">
        <v>3520</v>
      </c>
      <c r="C73" s="866">
        <f>G127</f>
        <v>0</v>
      </c>
      <c r="D73" s="866">
        <f>H127</f>
        <v>0</v>
      </c>
      <c r="E73" s="682"/>
      <c r="F73" s="682"/>
      <c r="G73" s="682"/>
      <c r="H73" s="682"/>
      <c r="I73" s="682"/>
    </row>
    <row r="74" spans="1:9" x14ac:dyDescent="0.25">
      <c r="A74" s="682"/>
      <c r="B74" s="684" t="s">
        <v>3523</v>
      </c>
      <c r="C74" s="866">
        <f>G128</f>
        <v>0</v>
      </c>
      <c r="D74" s="866">
        <f>H128</f>
        <v>0</v>
      </c>
      <c r="E74" s="682"/>
      <c r="F74" s="682"/>
      <c r="G74" s="682"/>
      <c r="H74" s="682"/>
      <c r="I74" s="682"/>
    </row>
    <row r="75" spans="1:9" ht="26.25" x14ac:dyDescent="0.25">
      <c r="A75" s="682"/>
      <c r="B75" s="684" t="s">
        <v>3551</v>
      </c>
      <c r="C75" s="866">
        <f t="shared" ref="C75:D83" si="1">G130</f>
        <v>0</v>
      </c>
      <c r="D75" s="866">
        <f t="shared" si="1"/>
        <v>0</v>
      </c>
      <c r="E75" s="682"/>
      <c r="F75" s="682"/>
      <c r="G75" s="682"/>
      <c r="H75" s="682"/>
      <c r="I75" s="682"/>
    </row>
    <row r="76" spans="1:9" x14ac:dyDescent="0.25">
      <c r="A76" s="682"/>
      <c r="B76" s="872" t="s">
        <v>3949</v>
      </c>
      <c r="C76" s="866">
        <f t="shared" si="1"/>
        <v>0</v>
      </c>
      <c r="D76" s="866">
        <f t="shared" si="1"/>
        <v>0</v>
      </c>
      <c r="E76" s="682"/>
      <c r="F76" s="682"/>
      <c r="G76" s="682"/>
      <c r="H76" s="682"/>
      <c r="I76" s="682"/>
    </row>
    <row r="77" spans="1:9" x14ac:dyDescent="0.25">
      <c r="A77" s="682"/>
      <c r="B77" s="872" t="s">
        <v>3950</v>
      </c>
      <c r="C77" s="866">
        <f t="shared" si="1"/>
        <v>0</v>
      </c>
      <c r="D77" s="866">
        <f t="shared" si="1"/>
        <v>0</v>
      </c>
      <c r="E77" s="682"/>
      <c r="F77" s="682"/>
      <c r="G77" s="682"/>
      <c r="H77" s="682"/>
      <c r="I77" s="682"/>
    </row>
    <row r="78" spans="1:9" x14ac:dyDescent="0.25">
      <c r="A78" s="682"/>
      <c r="B78" s="872" t="s">
        <v>3951</v>
      </c>
      <c r="C78" s="866">
        <f t="shared" si="1"/>
        <v>0</v>
      </c>
      <c r="D78" s="866">
        <f t="shared" si="1"/>
        <v>0</v>
      </c>
      <c r="E78" s="682"/>
      <c r="F78" s="682"/>
      <c r="G78" s="682"/>
      <c r="H78" s="682"/>
      <c r="I78" s="682"/>
    </row>
    <row r="79" spans="1:9" x14ac:dyDescent="0.25">
      <c r="A79" s="682"/>
      <c r="B79" s="872" t="s">
        <v>3952</v>
      </c>
      <c r="C79" s="866">
        <f t="shared" si="1"/>
        <v>0</v>
      </c>
      <c r="D79" s="866">
        <f t="shared" si="1"/>
        <v>0</v>
      </c>
      <c r="E79" s="682"/>
      <c r="F79" s="682"/>
      <c r="G79" s="682"/>
      <c r="H79" s="682"/>
      <c r="I79" s="682"/>
    </row>
    <row r="80" spans="1:9" x14ac:dyDescent="0.25">
      <c r="A80" s="682"/>
      <c r="B80" s="872" t="s">
        <v>3953</v>
      </c>
      <c r="C80" s="866">
        <f t="shared" si="1"/>
        <v>0</v>
      </c>
      <c r="D80" s="866">
        <f t="shared" si="1"/>
        <v>0</v>
      </c>
      <c r="E80" s="682"/>
      <c r="F80" s="682"/>
      <c r="G80" s="682"/>
      <c r="H80" s="682"/>
      <c r="I80" s="682"/>
    </row>
    <row r="81" spans="1:9" x14ac:dyDescent="0.25">
      <c r="A81" s="682"/>
      <c r="B81" s="872" t="s">
        <v>3954</v>
      </c>
      <c r="C81" s="866">
        <f t="shared" si="1"/>
        <v>0</v>
      </c>
      <c r="D81" s="866">
        <f t="shared" si="1"/>
        <v>0</v>
      </c>
      <c r="E81" s="682"/>
      <c r="F81" s="682"/>
      <c r="G81" s="682"/>
      <c r="H81" s="682"/>
      <c r="I81" s="682"/>
    </row>
    <row r="82" spans="1:9" x14ac:dyDescent="0.25">
      <c r="A82" s="682"/>
      <c r="B82" s="872" t="s">
        <v>3955</v>
      </c>
      <c r="C82" s="866">
        <f t="shared" si="1"/>
        <v>0</v>
      </c>
      <c r="D82" s="866">
        <f t="shared" si="1"/>
        <v>0</v>
      </c>
      <c r="E82" s="682"/>
      <c r="F82" s="682"/>
      <c r="G82" s="682"/>
      <c r="H82" s="682"/>
      <c r="I82" s="682"/>
    </row>
    <row r="83" spans="1:9" x14ac:dyDescent="0.25">
      <c r="A83" s="682"/>
      <c r="B83" s="872" t="s">
        <v>3956</v>
      </c>
      <c r="C83" s="866">
        <f t="shared" si="1"/>
        <v>0</v>
      </c>
      <c r="D83" s="866">
        <f t="shared" si="1"/>
        <v>0</v>
      </c>
      <c r="E83" s="682"/>
      <c r="F83" s="682"/>
      <c r="G83" s="682"/>
      <c r="H83" s="682"/>
      <c r="I83" s="682"/>
    </row>
    <row r="84" spans="1:9" x14ac:dyDescent="0.25">
      <c r="A84" s="682"/>
      <c r="B84" s="872" t="s">
        <v>3941</v>
      </c>
      <c r="C84" s="866">
        <f>G139</f>
        <v>0</v>
      </c>
      <c r="D84" s="866">
        <f>H139</f>
        <v>0</v>
      </c>
      <c r="E84" s="682"/>
      <c r="F84" s="682"/>
      <c r="G84" s="682"/>
      <c r="H84" s="682"/>
      <c r="I84" s="682"/>
    </row>
    <row r="85" spans="1:9" x14ac:dyDescent="0.25">
      <c r="A85" s="682"/>
      <c r="B85" s="872" t="s">
        <v>3942</v>
      </c>
      <c r="C85" s="866">
        <f t="shared" ref="C85:D99" si="2">G140</f>
        <v>0</v>
      </c>
      <c r="D85" s="866">
        <f t="shared" si="2"/>
        <v>0</v>
      </c>
      <c r="E85" s="682"/>
      <c r="F85" s="682"/>
      <c r="G85" s="682"/>
      <c r="H85" s="682"/>
      <c r="I85" s="682"/>
    </row>
    <row r="86" spans="1:9" x14ac:dyDescent="0.25">
      <c r="A86" s="682"/>
      <c r="B86" s="872" t="s">
        <v>3943</v>
      </c>
      <c r="C86" s="866">
        <f t="shared" si="2"/>
        <v>0</v>
      </c>
      <c r="D86" s="866">
        <f t="shared" si="2"/>
        <v>0</v>
      </c>
      <c r="E86" s="682"/>
      <c r="F86" s="682"/>
      <c r="G86" s="682"/>
      <c r="H86" s="682"/>
      <c r="I86" s="682"/>
    </row>
    <row r="87" spans="1:9" x14ac:dyDescent="0.25">
      <c r="A87" s="682"/>
      <c r="B87" s="872" t="s">
        <v>3944</v>
      </c>
      <c r="C87" s="866">
        <f t="shared" si="2"/>
        <v>0</v>
      </c>
      <c r="D87" s="866">
        <f t="shared" si="2"/>
        <v>0</v>
      </c>
      <c r="E87" s="682"/>
      <c r="F87" s="682"/>
      <c r="G87" s="682"/>
      <c r="H87" s="682"/>
      <c r="I87" s="682"/>
    </row>
    <row r="88" spans="1:9" x14ac:dyDescent="0.25">
      <c r="A88" s="682"/>
      <c r="B88" s="872" t="s">
        <v>3945</v>
      </c>
      <c r="C88" s="866">
        <f t="shared" si="2"/>
        <v>0</v>
      </c>
      <c r="D88" s="866">
        <f t="shared" si="2"/>
        <v>0</v>
      </c>
      <c r="E88" s="682"/>
      <c r="F88" s="682"/>
      <c r="G88" s="682"/>
      <c r="H88" s="682"/>
      <c r="I88" s="682"/>
    </row>
    <row r="89" spans="1:9" x14ac:dyDescent="0.25">
      <c r="A89" s="682"/>
      <c r="B89" s="872" t="s">
        <v>3946</v>
      </c>
      <c r="C89" s="866">
        <f t="shared" si="2"/>
        <v>0</v>
      </c>
      <c r="D89" s="866">
        <f t="shared" si="2"/>
        <v>0</v>
      </c>
      <c r="E89" s="682"/>
      <c r="F89" s="682"/>
      <c r="G89" s="682"/>
      <c r="H89" s="682"/>
      <c r="I89" s="682"/>
    </row>
    <row r="90" spans="1:9" x14ac:dyDescent="0.25">
      <c r="A90" s="682"/>
      <c r="B90" s="872" t="s">
        <v>3947</v>
      </c>
      <c r="C90" s="866">
        <f t="shared" si="2"/>
        <v>0</v>
      </c>
      <c r="D90" s="866">
        <f t="shared" si="2"/>
        <v>0</v>
      </c>
      <c r="E90" s="682"/>
      <c r="F90" s="682"/>
      <c r="G90" s="682"/>
      <c r="H90" s="682"/>
      <c r="I90" s="682"/>
    </row>
    <row r="91" spans="1:9" x14ac:dyDescent="0.25">
      <c r="A91" s="682"/>
      <c r="B91" s="872" t="s">
        <v>3948</v>
      </c>
      <c r="C91" s="866">
        <f t="shared" si="2"/>
        <v>0</v>
      </c>
      <c r="D91" s="866">
        <f t="shared" si="2"/>
        <v>0</v>
      </c>
      <c r="E91" s="682"/>
      <c r="F91" s="682"/>
      <c r="G91" s="682"/>
      <c r="H91" s="682"/>
      <c r="I91" s="682"/>
    </row>
    <row r="92" spans="1:9" ht="26.25" x14ac:dyDescent="0.25">
      <c r="A92" s="682"/>
      <c r="B92" s="1115" t="s">
        <v>4889</v>
      </c>
      <c r="C92" s="866">
        <f t="shared" si="2"/>
        <v>0</v>
      </c>
      <c r="D92" s="866">
        <f t="shared" si="2"/>
        <v>0</v>
      </c>
      <c r="E92" s="682"/>
      <c r="F92" s="682"/>
      <c r="G92" s="682"/>
      <c r="H92" s="682"/>
      <c r="I92" s="682"/>
    </row>
    <row r="93" spans="1:9" ht="26.25" x14ac:dyDescent="0.25">
      <c r="A93" s="682"/>
      <c r="B93" s="1115" t="s">
        <v>4890</v>
      </c>
      <c r="C93" s="866">
        <f t="shared" si="2"/>
        <v>0</v>
      </c>
      <c r="D93" s="866">
        <f t="shared" si="2"/>
        <v>0</v>
      </c>
      <c r="E93" s="682"/>
      <c r="F93" s="682"/>
      <c r="G93" s="682"/>
      <c r="H93" s="682"/>
      <c r="I93" s="682"/>
    </row>
    <row r="94" spans="1:9" ht="26.25" x14ac:dyDescent="0.25">
      <c r="A94" s="682"/>
      <c r="B94" s="1115" t="s">
        <v>4891</v>
      </c>
      <c r="C94" s="866">
        <f t="shared" si="2"/>
        <v>0</v>
      </c>
      <c r="D94" s="866">
        <f t="shared" si="2"/>
        <v>0</v>
      </c>
      <c r="E94" s="682"/>
      <c r="F94" s="682"/>
      <c r="G94" s="682"/>
      <c r="H94" s="682"/>
      <c r="I94" s="682"/>
    </row>
    <row r="95" spans="1:9" ht="26.25" x14ac:dyDescent="0.25">
      <c r="A95" s="682"/>
      <c r="B95" s="1115" t="s">
        <v>4892</v>
      </c>
      <c r="C95" s="866">
        <f t="shared" si="2"/>
        <v>0</v>
      </c>
      <c r="D95" s="866">
        <f t="shared" si="2"/>
        <v>0</v>
      </c>
      <c r="E95" s="682"/>
      <c r="F95" s="682"/>
      <c r="G95" s="682"/>
      <c r="H95" s="682"/>
      <c r="I95" s="682"/>
    </row>
    <row r="96" spans="1:9" ht="26.25" x14ac:dyDescent="0.25">
      <c r="A96" s="682"/>
      <c r="B96" s="1115" t="s">
        <v>4893</v>
      </c>
      <c r="C96" s="866">
        <f t="shared" si="2"/>
        <v>0</v>
      </c>
      <c r="D96" s="866">
        <f t="shared" si="2"/>
        <v>0</v>
      </c>
      <c r="E96" s="682"/>
      <c r="F96" s="682"/>
      <c r="G96" s="682"/>
      <c r="H96" s="682"/>
      <c r="I96" s="682"/>
    </row>
    <row r="97" spans="1:9" ht="26.25" x14ac:dyDescent="0.25">
      <c r="A97" s="682"/>
      <c r="B97" s="1115" t="s">
        <v>4894</v>
      </c>
      <c r="C97" s="866">
        <f t="shared" si="2"/>
        <v>0</v>
      </c>
      <c r="D97" s="866">
        <f t="shared" si="2"/>
        <v>0</v>
      </c>
      <c r="E97" s="682"/>
      <c r="F97" s="682"/>
      <c r="G97" s="682"/>
      <c r="H97" s="682"/>
      <c r="I97" s="682"/>
    </row>
    <row r="98" spans="1:9" ht="26.25" x14ac:dyDescent="0.25">
      <c r="A98" s="682"/>
      <c r="B98" s="1115" t="s">
        <v>4895</v>
      </c>
      <c r="C98" s="866">
        <f t="shared" si="2"/>
        <v>0</v>
      </c>
      <c r="D98" s="866">
        <f t="shared" si="2"/>
        <v>0</v>
      </c>
      <c r="E98" s="682"/>
      <c r="F98" s="682"/>
      <c r="G98" s="682"/>
      <c r="H98" s="682"/>
      <c r="I98" s="682"/>
    </row>
    <row r="99" spans="1:9" ht="26.25" x14ac:dyDescent="0.25">
      <c r="A99" s="682"/>
      <c r="B99" s="1115" t="s">
        <v>4896</v>
      </c>
      <c r="C99" s="866">
        <f t="shared" si="2"/>
        <v>0</v>
      </c>
      <c r="D99" s="866">
        <f t="shared" si="2"/>
        <v>0</v>
      </c>
      <c r="E99" s="682"/>
      <c r="F99" s="682"/>
      <c r="G99" s="682"/>
      <c r="H99" s="682"/>
      <c r="I99" s="682"/>
    </row>
    <row r="100" spans="1:9" x14ac:dyDescent="0.25">
      <c r="A100" s="682"/>
      <c r="B100" s="684"/>
      <c r="C100" s="867"/>
      <c r="D100" s="867"/>
      <c r="E100" s="682"/>
      <c r="F100" s="682"/>
      <c r="G100" s="682"/>
      <c r="H100" s="682"/>
      <c r="I100" s="682"/>
    </row>
    <row r="101" spans="1:9" ht="15.75" thickBot="1" x14ac:dyDescent="0.3">
      <c r="A101" s="682"/>
      <c r="B101" s="684"/>
      <c r="C101" s="868">
        <f>SUM(C56:C100)</f>
        <v>0</v>
      </c>
      <c r="D101" s="868">
        <f>SUM(D56:D100)</f>
        <v>0</v>
      </c>
      <c r="E101" s="682"/>
      <c r="F101" s="682"/>
      <c r="G101" s="682"/>
      <c r="H101" s="682"/>
      <c r="I101" s="682"/>
    </row>
    <row r="102" spans="1:9" ht="15.75" thickTop="1" x14ac:dyDescent="0.25">
      <c r="A102" s="682"/>
      <c r="B102" s="682"/>
      <c r="C102" s="682"/>
      <c r="D102" s="682"/>
      <c r="E102" s="682"/>
      <c r="F102" s="682"/>
      <c r="G102" s="682"/>
      <c r="H102" s="682"/>
      <c r="I102" s="682"/>
    </row>
    <row r="104" spans="1:9" x14ac:dyDescent="0.25">
      <c r="A104" s="682"/>
      <c r="B104" s="682"/>
      <c r="C104" s="682"/>
      <c r="D104" s="682"/>
      <c r="E104" s="682"/>
      <c r="F104" s="682"/>
      <c r="G104" s="682"/>
      <c r="H104" s="682"/>
      <c r="I104" s="682"/>
    </row>
    <row r="105" spans="1:9" x14ac:dyDescent="0.25">
      <c r="A105" s="682"/>
      <c r="B105" s="1364" t="s">
        <v>3552</v>
      </c>
      <c r="C105" s="1364"/>
      <c r="D105" s="1364"/>
      <c r="E105" s="1364"/>
      <c r="F105" s="1364"/>
      <c r="G105" s="1364"/>
      <c r="H105" s="1364"/>
      <c r="I105" s="682"/>
    </row>
    <row r="106" spans="1:9" x14ac:dyDescent="0.25">
      <c r="A106" s="682"/>
      <c r="B106" s="1364"/>
      <c r="C106" s="1364"/>
      <c r="D106" s="1364"/>
      <c r="E106" s="1364"/>
      <c r="F106" s="1364"/>
      <c r="G106" s="1364"/>
      <c r="H106" s="1364"/>
      <c r="I106" s="682"/>
    </row>
    <row r="107" spans="1:9" ht="18" x14ac:dyDescent="0.25">
      <c r="A107" s="682"/>
      <c r="B107" s="720"/>
      <c r="C107" s="720"/>
      <c r="D107" s="720"/>
      <c r="E107" s="720"/>
      <c r="F107" s="720"/>
      <c r="G107" s="720"/>
      <c r="H107" s="721"/>
      <c r="I107" s="682"/>
    </row>
    <row r="108" spans="1:9" ht="18" x14ac:dyDescent="0.25">
      <c r="A108" s="682"/>
      <c r="B108" s="720"/>
      <c r="C108" s="722"/>
      <c r="D108" s="723"/>
      <c r="E108" s="869"/>
      <c r="F108" s="720"/>
      <c r="G108" s="1380" t="s">
        <v>103</v>
      </c>
      <c r="H108" s="1381"/>
      <c r="I108" s="682"/>
    </row>
    <row r="109" spans="1:9" x14ac:dyDescent="0.25">
      <c r="A109" s="682"/>
      <c r="B109" s="870"/>
      <c r="C109" s="725"/>
      <c r="D109" s="726"/>
      <c r="E109" s="871"/>
      <c r="F109" s="872"/>
      <c r="G109" s="873"/>
      <c r="H109" s="874"/>
      <c r="I109" s="682"/>
    </row>
    <row r="110" spans="1:9" x14ac:dyDescent="0.25">
      <c r="A110" s="682"/>
      <c r="B110" s="870"/>
      <c r="C110" s="728" t="s">
        <v>65</v>
      </c>
      <c r="D110" s="181" t="s">
        <v>66</v>
      </c>
      <c r="E110" s="875" t="s">
        <v>2101</v>
      </c>
      <c r="F110" s="872"/>
      <c r="G110" s="876" t="s">
        <v>65</v>
      </c>
      <c r="H110" s="877" t="s">
        <v>66</v>
      </c>
      <c r="I110" s="682"/>
    </row>
    <row r="111" spans="1:9" x14ac:dyDescent="0.25">
      <c r="A111" s="682"/>
      <c r="B111" s="684"/>
      <c r="C111" s="729"/>
      <c r="D111" s="730"/>
      <c r="E111" s="878"/>
      <c r="F111" s="682"/>
      <c r="G111" s="879"/>
      <c r="H111" s="731"/>
      <c r="I111" s="682"/>
    </row>
    <row r="112" spans="1:9" x14ac:dyDescent="0.25">
      <c r="A112" s="682"/>
      <c r="B112" s="684" t="s">
        <v>4897</v>
      </c>
      <c r="C112" s="879">
        <f>IF(C26&lt;C25,(C25-C26)*C40,0)</f>
        <v>0</v>
      </c>
      <c r="D112" s="731">
        <f>IF(C26&gt;C25,(C26-C25)*C40,0)</f>
        <v>0</v>
      </c>
      <c r="E112" s="1118">
        <f t="shared" ref="E112:E154" si="3">C112-D112</f>
        <v>0</v>
      </c>
      <c r="F112" s="682"/>
      <c r="G112" s="879">
        <f>IF(E112&lt;0,0,E112)</f>
        <v>0</v>
      </c>
      <c r="H112" s="731">
        <f>IF(E112&gt;0,0,E112*-1)</f>
        <v>0</v>
      </c>
      <c r="I112" s="682"/>
    </row>
    <row r="113" spans="1:9" x14ac:dyDescent="0.25">
      <c r="A113" s="682"/>
      <c r="B113" s="872" t="s">
        <v>3932</v>
      </c>
      <c r="C113" s="800">
        <f t="shared" ref="C113:C120" si="4">IF($C$28&gt;0,$C$28*C46,0)</f>
        <v>0</v>
      </c>
      <c r="D113" s="731">
        <f t="shared" ref="D113:D120" si="5">IF($C$28&lt;0,-$C$28*C46,0)</f>
        <v>0</v>
      </c>
      <c r="E113" s="878">
        <f t="shared" si="3"/>
        <v>0</v>
      </c>
      <c r="F113" s="682"/>
      <c r="G113" s="879">
        <f t="shared" ref="G113:G138" si="6">IF(E113&lt;0,0,E113)</f>
        <v>0</v>
      </c>
      <c r="H113" s="731">
        <f t="shared" ref="H113:H138" si="7">IF(E113&gt;0,0,E113*-1)</f>
        <v>0</v>
      </c>
      <c r="I113" s="682"/>
    </row>
    <row r="114" spans="1:9" x14ac:dyDescent="0.25">
      <c r="A114" s="682"/>
      <c r="B114" s="872" t="s">
        <v>3933</v>
      </c>
      <c r="C114" s="800">
        <f t="shared" si="4"/>
        <v>0</v>
      </c>
      <c r="D114" s="731">
        <f t="shared" si="5"/>
        <v>0</v>
      </c>
      <c r="E114" s="878">
        <f t="shared" si="3"/>
        <v>0</v>
      </c>
      <c r="F114" s="682"/>
      <c r="G114" s="879">
        <f t="shared" si="6"/>
        <v>0</v>
      </c>
      <c r="H114" s="731">
        <f t="shared" si="7"/>
        <v>0</v>
      </c>
      <c r="I114" s="682"/>
    </row>
    <row r="115" spans="1:9" x14ac:dyDescent="0.25">
      <c r="A115" s="682"/>
      <c r="B115" s="872" t="s">
        <v>3934</v>
      </c>
      <c r="C115" s="800">
        <f t="shared" si="4"/>
        <v>0</v>
      </c>
      <c r="D115" s="731">
        <f t="shared" si="5"/>
        <v>0</v>
      </c>
      <c r="E115" s="878">
        <f t="shared" si="3"/>
        <v>0</v>
      </c>
      <c r="F115" s="682"/>
      <c r="G115" s="879">
        <f t="shared" si="6"/>
        <v>0</v>
      </c>
      <c r="H115" s="731">
        <f t="shared" si="7"/>
        <v>0</v>
      </c>
      <c r="I115" s="682"/>
    </row>
    <row r="116" spans="1:9" x14ac:dyDescent="0.25">
      <c r="A116" s="682"/>
      <c r="B116" s="872" t="s">
        <v>3935</v>
      </c>
      <c r="C116" s="800">
        <f t="shared" si="4"/>
        <v>0</v>
      </c>
      <c r="D116" s="731">
        <f t="shared" si="5"/>
        <v>0</v>
      </c>
      <c r="E116" s="878">
        <f t="shared" si="3"/>
        <v>0</v>
      </c>
      <c r="F116" s="682"/>
      <c r="G116" s="879">
        <f t="shared" si="6"/>
        <v>0</v>
      </c>
      <c r="H116" s="731">
        <f t="shared" si="7"/>
        <v>0</v>
      </c>
      <c r="I116" s="682"/>
    </row>
    <row r="117" spans="1:9" x14ac:dyDescent="0.25">
      <c r="A117" s="682"/>
      <c r="B117" s="872" t="s">
        <v>3936</v>
      </c>
      <c r="C117" s="800">
        <f t="shared" si="4"/>
        <v>0</v>
      </c>
      <c r="D117" s="731">
        <f t="shared" si="5"/>
        <v>0</v>
      </c>
      <c r="E117" s="878">
        <f t="shared" si="3"/>
        <v>0</v>
      </c>
      <c r="F117" s="682"/>
      <c r="G117" s="879">
        <f t="shared" si="6"/>
        <v>0</v>
      </c>
      <c r="H117" s="731">
        <f t="shared" si="7"/>
        <v>0</v>
      </c>
      <c r="I117" s="682"/>
    </row>
    <row r="118" spans="1:9" x14ac:dyDescent="0.25">
      <c r="A118" s="682"/>
      <c r="B118" s="872" t="s">
        <v>3937</v>
      </c>
      <c r="C118" s="800">
        <f t="shared" si="4"/>
        <v>0</v>
      </c>
      <c r="D118" s="731">
        <f t="shared" si="5"/>
        <v>0</v>
      </c>
      <c r="E118" s="878">
        <f t="shared" si="3"/>
        <v>0</v>
      </c>
      <c r="F118" s="682"/>
      <c r="G118" s="879">
        <f t="shared" si="6"/>
        <v>0</v>
      </c>
      <c r="H118" s="731">
        <f t="shared" si="7"/>
        <v>0</v>
      </c>
      <c r="I118" s="682"/>
    </row>
    <row r="119" spans="1:9" x14ac:dyDescent="0.25">
      <c r="A119" s="682"/>
      <c r="B119" s="872" t="s">
        <v>3938</v>
      </c>
      <c r="C119" s="800">
        <f t="shared" si="4"/>
        <v>0</v>
      </c>
      <c r="D119" s="731">
        <f t="shared" si="5"/>
        <v>0</v>
      </c>
      <c r="E119" s="878">
        <f t="shared" si="3"/>
        <v>0</v>
      </c>
      <c r="F119" s="682"/>
      <c r="G119" s="879">
        <f t="shared" si="6"/>
        <v>0</v>
      </c>
      <c r="H119" s="731">
        <f t="shared" si="7"/>
        <v>0</v>
      </c>
      <c r="I119" s="682"/>
    </row>
    <row r="120" spans="1:9" x14ac:dyDescent="0.25">
      <c r="A120" s="682"/>
      <c r="B120" s="872" t="s">
        <v>3939</v>
      </c>
      <c r="C120" s="800">
        <f t="shared" si="4"/>
        <v>0</v>
      </c>
      <c r="D120" s="731">
        <f t="shared" si="5"/>
        <v>0</v>
      </c>
      <c r="E120" s="878">
        <f t="shared" si="3"/>
        <v>0</v>
      </c>
      <c r="F120" s="682"/>
      <c r="G120" s="879">
        <f t="shared" si="6"/>
        <v>0</v>
      </c>
      <c r="H120" s="731">
        <f t="shared" si="7"/>
        <v>0</v>
      </c>
      <c r="I120" s="682"/>
    </row>
    <row r="121" spans="1:9" ht="26.25" x14ac:dyDescent="0.25">
      <c r="A121" s="682"/>
      <c r="B121" s="974" t="s">
        <v>4898</v>
      </c>
      <c r="C121" s="1121">
        <v>0</v>
      </c>
      <c r="D121" s="1117">
        <f>IF(C32&gt;0,C32*C40,0)</f>
        <v>0</v>
      </c>
      <c r="E121" s="878">
        <f t="shared" si="3"/>
        <v>0</v>
      </c>
      <c r="F121" s="682"/>
      <c r="G121" s="879">
        <f t="shared" si="6"/>
        <v>0</v>
      </c>
      <c r="H121" s="731">
        <f t="shared" si="7"/>
        <v>0</v>
      </c>
      <c r="I121" s="682"/>
    </row>
    <row r="122" spans="1:9" x14ac:dyDescent="0.25">
      <c r="A122" s="682"/>
      <c r="B122" s="974" t="s">
        <v>4901</v>
      </c>
      <c r="C122" s="1121">
        <v>0</v>
      </c>
      <c r="D122" s="1117">
        <f>IF(C33&gt;0,C33*C40,0)</f>
        <v>0</v>
      </c>
      <c r="E122" s="878">
        <f t="shared" si="3"/>
        <v>0</v>
      </c>
      <c r="F122" s="682"/>
      <c r="G122" s="879">
        <f t="shared" si="6"/>
        <v>0</v>
      </c>
      <c r="H122" s="731">
        <f t="shared" si="7"/>
        <v>0</v>
      </c>
      <c r="I122" s="682"/>
    </row>
    <row r="123" spans="1:9" ht="26.25" x14ac:dyDescent="0.25">
      <c r="A123" s="682"/>
      <c r="B123" s="974" t="s">
        <v>4902</v>
      </c>
      <c r="C123" s="1116">
        <f>IF(C32&lt;0,-C32*C40,0)</f>
        <v>0</v>
      </c>
      <c r="D123" s="1121">
        <v>0</v>
      </c>
      <c r="E123" s="878">
        <f t="shared" si="3"/>
        <v>0</v>
      </c>
      <c r="F123" s="682"/>
      <c r="G123" s="879">
        <f t="shared" si="6"/>
        <v>0</v>
      </c>
      <c r="H123" s="731">
        <f t="shared" si="7"/>
        <v>0</v>
      </c>
      <c r="I123" s="682"/>
    </row>
    <row r="124" spans="1:9" x14ac:dyDescent="0.25">
      <c r="A124" s="682"/>
      <c r="B124" s="974" t="s">
        <v>4899</v>
      </c>
      <c r="C124" s="1116">
        <f>IF(C33&lt;0,-C33*C40,0)</f>
        <v>0</v>
      </c>
      <c r="D124" s="1121">
        <v>0</v>
      </c>
      <c r="E124" s="878">
        <f t="shared" si="3"/>
        <v>0</v>
      </c>
      <c r="F124" s="682"/>
      <c r="G124" s="879">
        <f t="shared" si="6"/>
        <v>0</v>
      </c>
      <c r="H124" s="731">
        <f t="shared" si="7"/>
        <v>0</v>
      </c>
      <c r="I124" s="682"/>
    </row>
    <row r="125" spans="1:9" ht="26.25" x14ac:dyDescent="0.25">
      <c r="A125" s="682"/>
      <c r="B125" s="684" t="s">
        <v>3518</v>
      </c>
      <c r="C125" s="800">
        <f>IF(C30&gt;0,C30*C40,0)</f>
        <v>0</v>
      </c>
      <c r="D125" s="731">
        <v>0</v>
      </c>
      <c r="E125" s="878">
        <f t="shared" si="3"/>
        <v>0</v>
      </c>
      <c r="F125" s="682"/>
      <c r="G125" s="879">
        <f t="shared" si="6"/>
        <v>0</v>
      </c>
      <c r="H125" s="731">
        <f t="shared" si="7"/>
        <v>0</v>
      </c>
      <c r="I125" s="682"/>
    </row>
    <row r="126" spans="1:9" x14ac:dyDescent="0.25">
      <c r="A126" s="682"/>
      <c r="B126" s="684" t="s">
        <v>3519</v>
      </c>
      <c r="C126" s="800">
        <f>IF(C31&gt;0,C31*C40,0)</f>
        <v>0</v>
      </c>
      <c r="D126" s="731">
        <v>0</v>
      </c>
      <c r="E126" s="878">
        <f t="shared" si="3"/>
        <v>0</v>
      </c>
      <c r="F126" s="682"/>
      <c r="G126" s="879">
        <f t="shared" si="6"/>
        <v>0</v>
      </c>
      <c r="H126" s="731">
        <f t="shared" si="7"/>
        <v>0</v>
      </c>
      <c r="I126" s="682"/>
    </row>
    <row r="127" spans="1:9" ht="26.25" x14ac:dyDescent="0.25">
      <c r="A127" s="682"/>
      <c r="B127" s="684" t="s">
        <v>3520</v>
      </c>
      <c r="C127" s="800">
        <v>0</v>
      </c>
      <c r="D127" s="731">
        <f>IF(C30&lt;0,-C30*C40,0)</f>
        <v>0</v>
      </c>
      <c r="E127" s="878">
        <f t="shared" si="3"/>
        <v>0</v>
      </c>
      <c r="F127" s="682"/>
      <c r="G127" s="879">
        <f t="shared" si="6"/>
        <v>0</v>
      </c>
      <c r="H127" s="731">
        <f t="shared" si="7"/>
        <v>0</v>
      </c>
      <c r="I127" s="682"/>
    </row>
    <row r="128" spans="1:9" x14ac:dyDescent="0.25">
      <c r="A128" s="682"/>
      <c r="B128" s="684" t="s">
        <v>3523</v>
      </c>
      <c r="C128" s="800">
        <v>0</v>
      </c>
      <c r="D128" s="731">
        <f>IF(C31&lt;0,-C31*C40,0)</f>
        <v>0</v>
      </c>
      <c r="E128" s="878">
        <f t="shared" si="3"/>
        <v>0</v>
      </c>
      <c r="F128" s="682"/>
      <c r="G128" s="879">
        <f t="shared" si="6"/>
        <v>0</v>
      </c>
      <c r="H128" s="731">
        <f t="shared" si="7"/>
        <v>0</v>
      </c>
      <c r="I128" s="682"/>
    </row>
    <row r="129" spans="1:9" ht="26.25" hidden="1" x14ac:dyDescent="0.25">
      <c r="A129" s="682"/>
      <c r="B129" s="684" t="s">
        <v>3881</v>
      </c>
      <c r="C129" s="800"/>
      <c r="D129" s="731">
        <v>0</v>
      </c>
      <c r="E129" s="878">
        <f t="shared" si="3"/>
        <v>0</v>
      </c>
      <c r="F129" s="682"/>
      <c r="G129" s="879">
        <f t="shared" si="6"/>
        <v>0</v>
      </c>
      <c r="H129" s="731">
        <f t="shared" si="7"/>
        <v>0</v>
      </c>
      <c r="I129" s="682"/>
    </row>
    <row r="130" spans="1:9" ht="26.25" x14ac:dyDescent="0.25">
      <c r="A130" s="682"/>
      <c r="B130" s="684" t="s">
        <v>3925</v>
      </c>
      <c r="C130" s="800">
        <f>(C14+C20)*C40</f>
        <v>0</v>
      </c>
      <c r="D130" s="731">
        <v>0</v>
      </c>
      <c r="E130" s="878">
        <f t="shared" si="3"/>
        <v>0</v>
      </c>
      <c r="F130" s="682"/>
      <c r="G130" s="879">
        <f t="shared" si="6"/>
        <v>0</v>
      </c>
      <c r="H130" s="731">
        <f t="shared" si="7"/>
        <v>0</v>
      </c>
      <c r="I130" s="682"/>
    </row>
    <row r="131" spans="1:9" x14ac:dyDescent="0.25">
      <c r="A131" s="682"/>
      <c r="B131" s="872" t="s">
        <v>3949</v>
      </c>
      <c r="C131" s="800"/>
      <c r="D131" s="731">
        <f t="shared" ref="D131:D138" si="8">$C$14*C46</f>
        <v>0</v>
      </c>
      <c r="E131" s="878">
        <f t="shared" si="3"/>
        <v>0</v>
      </c>
      <c r="F131" s="682"/>
      <c r="G131" s="879">
        <f t="shared" si="6"/>
        <v>0</v>
      </c>
      <c r="H131" s="731">
        <f t="shared" si="7"/>
        <v>0</v>
      </c>
      <c r="I131" s="682"/>
    </row>
    <row r="132" spans="1:9" x14ac:dyDescent="0.25">
      <c r="A132" s="682"/>
      <c r="B132" s="872" t="s">
        <v>3950</v>
      </c>
      <c r="C132" s="800"/>
      <c r="D132" s="731">
        <f t="shared" si="8"/>
        <v>0</v>
      </c>
      <c r="E132" s="878">
        <f t="shared" si="3"/>
        <v>0</v>
      </c>
      <c r="F132" s="682"/>
      <c r="G132" s="879">
        <f t="shared" si="6"/>
        <v>0</v>
      </c>
      <c r="H132" s="731">
        <f t="shared" si="7"/>
        <v>0</v>
      </c>
      <c r="I132" s="682"/>
    </row>
    <row r="133" spans="1:9" x14ac:dyDescent="0.25">
      <c r="A133" s="682"/>
      <c r="B133" s="872" t="s">
        <v>3951</v>
      </c>
      <c r="C133" s="800"/>
      <c r="D133" s="731">
        <f t="shared" si="8"/>
        <v>0</v>
      </c>
      <c r="E133" s="878">
        <f t="shared" si="3"/>
        <v>0</v>
      </c>
      <c r="F133" s="682"/>
      <c r="G133" s="879">
        <f t="shared" si="6"/>
        <v>0</v>
      </c>
      <c r="H133" s="731">
        <f t="shared" si="7"/>
        <v>0</v>
      </c>
      <c r="I133" s="682"/>
    </row>
    <row r="134" spans="1:9" x14ac:dyDescent="0.25">
      <c r="A134" s="682"/>
      <c r="B134" s="872" t="s">
        <v>3952</v>
      </c>
      <c r="C134" s="800"/>
      <c r="D134" s="731">
        <f t="shared" si="8"/>
        <v>0</v>
      </c>
      <c r="E134" s="878">
        <f t="shared" si="3"/>
        <v>0</v>
      </c>
      <c r="F134" s="682"/>
      <c r="G134" s="879">
        <f t="shared" si="6"/>
        <v>0</v>
      </c>
      <c r="H134" s="731">
        <f t="shared" si="7"/>
        <v>0</v>
      </c>
      <c r="I134" s="682"/>
    </row>
    <row r="135" spans="1:9" x14ac:dyDescent="0.25">
      <c r="A135" s="682"/>
      <c r="B135" s="872" t="s">
        <v>3953</v>
      </c>
      <c r="C135" s="800"/>
      <c r="D135" s="731">
        <f t="shared" si="8"/>
        <v>0</v>
      </c>
      <c r="E135" s="878">
        <f t="shared" si="3"/>
        <v>0</v>
      </c>
      <c r="F135" s="682"/>
      <c r="G135" s="879">
        <f t="shared" si="6"/>
        <v>0</v>
      </c>
      <c r="H135" s="731">
        <f t="shared" si="7"/>
        <v>0</v>
      </c>
      <c r="I135" s="682"/>
    </row>
    <row r="136" spans="1:9" x14ac:dyDescent="0.25">
      <c r="A136" s="682"/>
      <c r="B136" s="872" t="s">
        <v>3954</v>
      </c>
      <c r="C136" s="800"/>
      <c r="D136" s="731">
        <f t="shared" si="8"/>
        <v>0</v>
      </c>
      <c r="E136" s="878">
        <f t="shared" si="3"/>
        <v>0</v>
      </c>
      <c r="F136" s="682"/>
      <c r="G136" s="879">
        <f t="shared" si="6"/>
        <v>0</v>
      </c>
      <c r="H136" s="731">
        <f t="shared" si="7"/>
        <v>0</v>
      </c>
      <c r="I136" s="682"/>
    </row>
    <row r="137" spans="1:9" x14ac:dyDescent="0.25">
      <c r="A137" s="682"/>
      <c r="B137" s="872" t="s">
        <v>3955</v>
      </c>
      <c r="C137" s="800"/>
      <c r="D137" s="731">
        <f t="shared" si="8"/>
        <v>0</v>
      </c>
      <c r="E137" s="878">
        <f t="shared" si="3"/>
        <v>0</v>
      </c>
      <c r="F137" s="682"/>
      <c r="G137" s="879">
        <f t="shared" si="6"/>
        <v>0</v>
      </c>
      <c r="H137" s="731">
        <f t="shared" si="7"/>
        <v>0</v>
      </c>
      <c r="I137" s="682"/>
    </row>
    <row r="138" spans="1:9" x14ac:dyDescent="0.25">
      <c r="A138" s="682"/>
      <c r="B138" s="872" t="s">
        <v>3956</v>
      </c>
      <c r="C138" s="800"/>
      <c r="D138" s="731">
        <f t="shared" si="8"/>
        <v>0</v>
      </c>
      <c r="E138" s="878">
        <f t="shared" si="3"/>
        <v>0</v>
      </c>
      <c r="F138" s="682"/>
      <c r="G138" s="879">
        <f t="shared" si="6"/>
        <v>0</v>
      </c>
      <c r="H138" s="731">
        <f t="shared" si="7"/>
        <v>0</v>
      </c>
      <c r="I138" s="682"/>
    </row>
    <row r="139" spans="1:9" x14ac:dyDescent="0.25">
      <c r="A139" s="682"/>
      <c r="B139" s="872" t="s">
        <v>3941</v>
      </c>
      <c r="C139" s="800"/>
      <c r="D139" s="731">
        <f t="shared" ref="D139:D146" si="9">$C$20*C46</f>
        <v>0</v>
      </c>
      <c r="E139" s="878">
        <f t="shared" si="3"/>
        <v>0</v>
      </c>
      <c r="F139" s="872"/>
      <c r="G139" s="879">
        <f>IF(E139&lt;0,0,E139)</f>
        <v>0</v>
      </c>
      <c r="H139" s="731">
        <f>IF(E139&gt;0,0,E139*-1)</f>
        <v>0</v>
      </c>
      <c r="I139" s="682"/>
    </row>
    <row r="140" spans="1:9" x14ac:dyDescent="0.25">
      <c r="A140" s="682"/>
      <c r="B140" s="872" t="s">
        <v>3942</v>
      </c>
      <c r="C140" s="800"/>
      <c r="D140" s="731">
        <f t="shared" si="9"/>
        <v>0</v>
      </c>
      <c r="E140" s="878">
        <f t="shared" si="3"/>
        <v>0</v>
      </c>
      <c r="F140" s="872"/>
      <c r="G140" s="879">
        <f t="shared" ref="G140:G154" si="10">IF(E140&lt;0,0,E140)</f>
        <v>0</v>
      </c>
      <c r="H140" s="731">
        <f t="shared" ref="H140:H154" si="11">IF(E140&gt;0,0,E140*-1)</f>
        <v>0</v>
      </c>
      <c r="I140" s="682"/>
    </row>
    <row r="141" spans="1:9" x14ac:dyDescent="0.25">
      <c r="A141" s="682"/>
      <c r="B141" s="872" t="s">
        <v>3943</v>
      </c>
      <c r="C141" s="800"/>
      <c r="D141" s="731">
        <f t="shared" si="9"/>
        <v>0</v>
      </c>
      <c r="E141" s="878">
        <f t="shared" si="3"/>
        <v>0</v>
      </c>
      <c r="F141" s="872"/>
      <c r="G141" s="879">
        <f t="shared" si="10"/>
        <v>0</v>
      </c>
      <c r="H141" s="731">
        <f t="shared" si="11"/>
        <v>0</v>
      </c>
      <c r="I141" s="682"/>
    </row>
    <row r="142" spans="1:9" x14ac:dyDescent="0.25">
      <c r="A142" s="682"/>
      <c r="B142" s="872" t="s">
        <v>3944</v>
      </c>
      <c r="C142" s="800"/>
      <c r="D142" s="731">
        <f t="shared" si="9"/>
        <v>0</v>
      </c>
      <c r="E142" s="878">
        <f t="shared" si="3"/>
        <v>0</v>
      </c>
      <c r="F142" s="872"/>
      <c r="G142" s="879">
        <f t="shared" si="10"/>
        <v>0</v>
      </c>
      <c r="H142" s="731">
        <f t="shared" si="11"/>
        <v>0</v>
      </c>
      <c r="I142" s="682"/>
    </row>
    <row r="143" spans="1:9" x14ac:dyDescent="0.25">
      <c r="A143" s="682"/>
      <c r="B143" s="872" t="s">
        <v>3945</v>
      </c>
      <c r="C143" s="800"/>
      <c r="D143" s="731">
        <f t="shared" si="9"/>
        <v>0</v>
      </c>
      <c r="E143" s="878">
        <f t="shared" si="3"/>
        <v>0</v>
      </c>
      <c r="F143" s="872"/>
      <c r="G143" s="879">
        <f t="shared" si="10"/>
        <v>0</v>
      </c>
      <c r="H143" s="731">
        <f t="shared" si="11"/>
        <v>0</v>
      </c>
      <c r="I143" s="682"/>
    </row>
    <row r="144" spans="1:9" x14ac:dyDescent="0.25">
      <c r="A144" s="682"/>
      <c r="B144" s="872" t="s">
        <v>3946</v>
      </c>
      <c r="C144" s="800"/>
      <c r="D144" s="731">
        <f t="shared" si="9"/>
        <v>0</v>
      </c>
      <c r="E144" s="878">
        <f t="shared" si="3"/>
        <v>0</v>
      </c>
      <c r="F144" s="872"/>
      <c r="G144" s="879">
        <f t="shared" si="10"/>
        <v>0</v>
      </c>
      <c r="H144" s="731">
        <f t="shared" si="11"/>
        <v>0</v>
      </c>
      <c r="I144" s="682"/>
    </row>
    <row r="145" spans="1:15" x14ac:dyDescent="0.25">
      <c r="A145" s="682"/>
      <c r="B145" s="872" t="s">
        <v>3947</v>
      </c>
      <c r="C145" s="800"/>
      <c r="D145" s="731">
        <f t="shared" si="9"/>
        <v>0</v>
      </c>
      <c r="E145" s="878">
        <f t="shared" si="3"/>
        <v>0</v>
      </c>
      <c r="F145" s="872"/>
      <c r="G145" s="879">
        <f t="shared" si="10"/>
        <v>0</v>
      </c>
      <c r="H145" s="731">
        <f t="shared" si="11"/>
        <v>0</v>
      </c>
      <c r="I145" s="682"/>
    </row>
    <row r="146" spans="1:15" x14ac:dyDescent="0.25">
      <c r="A146" s="682"/>
      <c r="B146" s="872" t="s">
        <v>3948</v>
      </c>
      <c r="C146" s="800"/>
      <c r="D146" s="731">
        <f t="shared" si="9"/>
        <v>0</v>
      </c>
      <c r="E146" s="878">
        <f t="shared" si="3"/>
        <v>0</v>
      </c>
      <c r="F146" s="872"/>
      <c r="G146" s="879">
        <f t="shared" si="10"/>
        <v>0</v>
      </c>
      <c r="H146" s="731">
        <f t="shared" si="11"/>
        <v>0</v>
      </c>
      <c r="I146" s="682"/>
    </row>
    <row r="147" spans="1:15" ht="26.25" x14ac:dyDescent="0.25">
      <c r="A147" s="682"/>
      <c r="B147" s="1115" t="s">
        <v>4889</v>
      </c>
      <c r="C147" s="1116"/>
      <c r="D147" s="1117">
        <f>$C$27*C46</f>
        <v>0</v>
      </c>
      <c r="E147" s="878">
        <f t="shared" si="3"/>
        <v>0</v>
      </c>
      <c r="F147" s="872"/>
      <c r="G147" s="879">
        <f t="shared" si="10"/>
        <v>0</v>
      </c>
      <c r="H147" s="731">
        <f t="shared" si="11"/>
        <v>0</v>
      </c>
      <c r="I147" s="682"/>
    </row>
    <row r="148" spans="1:15" ht="26.25" x14ac:dyDescent="0.25">
      <c r="A148" s="682"/>
      <c r="B148" s="1115" t="s">
        <v>4890</v>
      </c>
      <c r="C148" s="1116"/>
      <c r="D148" s="1117">
        <f t="shared" ref="D148:D154" si="12">$C$27*C47</f>
        <v>0</v>
      </c>
      <c r="E148" s="878">
        <f t="shared" si="3"/>
        <v>0</v>
      </c>
      <c r="F148" s="872"/>
      <c r="G148" s="879">
        <f t="shared" si="10"/>
        <v>0</v>
      </c>
      <c r="H148" s="731">
        <f t="shared" si="11"/>
        <v>0</v>
      </c>
      <c r="I148" s="682"/>
    </row>
    <row r="149" spans="1:15" ht="26.25" x14ac:dyDescent="0.25">
      <c r="A149" s="682"/>
      <c r="B149" s="1115" t="s">
        <v>4891</v>
      </c>
      <c r="C149" s="1116"/>
      <c r="D149" s="1117">
        <f t="shared" si="12"/>
        <v>0</v>
      </c>
      <c r="E149" s="878">
        <f t="shared" si="3"/>
        <v>0</v>
      </c>
      <c r="F149" s="872"/>
      <c r="G149" s="879">
        <f t="shared" si="10"/>
        <v>0</v>
      </c>
      <c r="H149" s="731">
        <f t="shared" si="11"/>
        <v>0</v>
      </c>
      <c r="I149" s="682"/>
    </row>
    <row r="150" spans="1:15" ht="26.25" x14ac:dyDescent="0.25">
      <c r="A150" s="682"/>
      <c r="B150" s="1115" t="s">
        <v>4892</v>
      </c>
      <c r="C150" s="1116"/>
      <c r="D150" s="1117">
        <f t="shared" si="12"/>
        <v>0</v>
      </c>
      <c r="E150" s="878">
        <f t="shared" si="3"/>
        <v>0</v>
      </c>
      <c r="F150" s="872"/>
      <c r="G150" s="879">
        <f t="shared" si="10"/>
        <v>0</v>
      </c>
      <c r="H150" s="731">
        <f t="shared" si="11"/>
        <v>0</v>
      </c>
      <c r="I150" s="682"/>
    </row>
    <row r="151" spans="1:15" ht="26.25" x14ac:dyDescent="0.25">
      <c r="A151" s="682"/>
      <c r="B151" s="1115" t="s">
        <v>4893</v>
      </c>
      <c r="C151" s="1116"/>
      <c r="D151" s="1117">
        <f t="shared" si="12"/>
        <v>0</v>
      </c>
      <c r="E151" s="878">
        <f t="shared" si="3"/>
        <v>0</v>
      </c>
      <c r="F151" s="872"/>
      <c r="G151" s="879">
        <f t="shared" si="10"/>
        <v>0</v>
      </c>
      <c r="H151" s="731">
        <f t="shared" si="11"/>
        <v>0</v>
      </c>
      <c r="I151" s="682"/>
    </row>
    <row r="152" spans="1:15" ht="26.25" x14ac:dyDescent="0.25">
      <c r="A152" s="682"/>
      <c r="B152" s="1115" t="s">
        <v>4894</v>
      </c>
      <c r="C152" s="1116"/>
      <c r="D152" s="1117">
        <f t="shared" si="12"/>
        <v>0</v>
      </c>
      <c r="E152" s="878">
        <f t="shared" si="3"/>
        <v>0</v>
      </c>
      <c r="F152" s="872"/>
      <c r="G152" s="879">
        <f t="shared" si="10"/>
        <v>0</v>
      </c>
      <c r="H152" s="731">
        <f t="shared" si="11"/>
        <v>0</v>
      </c>
      <c r="I152" s="682"/>
    </row>
    <row r="153" spans="1:15" ht="26.25" x14ac:dyDescent="0.25">
      <c r="A153" s="682"/>
      <c r="B153" s="1115" t="s">
        <v>4895</v>
      </c>
      <c r="C153" s="1116"/>
      <c r="D153" s="1117">
        <f t="shared" si="12"/>
        <v>0</v>
      </c>
      <c r="E153" s="878">
        <f t="shared" si="3"/>
        <v>0</v>
      </c>
      <c r="F153" s="872"/>
      <c r="G153" s="879">
        <f t="shared" si="10"/>
        <v>0</v>
      </c>
      <c r="H153" s="731">
        <f t="shared" si="11"/>
        <v>0</v>
      </c>
      <c r="I153" s="682"/>
    </row>
    <row r="154" spans="1:15" ht="26.25" x14ac:dyDescent="0.25">
      <c r="A154" s="682"/>
      <c r="B154" s="1115" t="s">
        <v>4896</v>
      </c>
      <c r="C154" s="1116"/>
      <c r="D154" s="1117">
        <f t="shared" si="12"/>
        <v>0</v>
      </c>
      <c r="E154" s="878">
        <f t="shared" si="3"/>
        <v>0</v>
      </c>
      <c r="F154" s="872"/>
      <c r="G154" s="879">
        <f t="shared" si="10"/>
        <v>0</v>
      </c>
      <c r="H154" s="731">
        <f t="shared" si="11"/>
        <v>0</v>
      </c>
      <c r="I154" s="682"/>
    </row>
    <row r="155" spans="1:15" x14ac:dyDescent="0.25">
      <c r="A155" s="682"/>
      <c r="B155" s="682"/>
      <c r="C155" s="880">
        <f>SUM(C110:C154)</f>
        <v>0</v>
      </c>
      <c r="D155" s="881">
        <f>SUM(D110:D154)</f>
        <v>0</v>
      </c>
      <c r="E155" s="882">
        <f>SUM(E110:E154)</f>
        <v>0</v>
      </c>
      <c r="F155" s="872"/>
      <c r="G155" s="880">
        <f>SUM(G110:G154)</f>
        <v>0</v>
      </c>
      <c r="H155" s="881">
        <f>SUM(H110:H154)</f>
        <v>0</v>
      </c>
      <c r="I155" s="682"/>
    </row>
    <row r="156" spans="1:15" x14ac:dyDescent="0.25">
      <c r="A156" s="682"/>
      <c r="B156" s="682"/>
      <c r="C156" s="682"/>
      <c r="D156" s="682"/>
      <c r="E156" s="682"/>
      <c r="F156" s="682"/>
      <c r="G156" s="682"/>
      <c r="H156" s="682"/>
      <c r="I156" s="682"/>
    </row>
    <row r="157" spans="1:15" x14ac:dyDescent="0.25">
      <c r="A157" s="682"/>
      <c r="B157" s="682"/>
      <c r="C157" s="682"/>
      <c r="D157" s="682"/>
      <c r="E157" s="682"/>
      <c r="F157" s="682"/>
      <c r="G157" s="682"/>
      <c r="H157" s="682"/>
      <c r="I157" s="682"/>
    </row>
    <row r="158" spans="1:15" x14ac:dyDescent="0.25">
      <c r="G158" s="992"/>
      <c r="O158" s="977"/>
    </row>
    <row r="263" spans="40:40" x14ac:dyDescent="0.25">
      <c r="AN263" s="992" t="e">
        <f>'P. GASB 75 OPEB 2 Entries'!D76+'P. GASB 75 OPEB 2 Entries'!B87</f>
        <v>#VALUE!</v>
      </c>
    </row>
  </sheetData>
  <mergeCells count="25">
    <mergeCell ref="G108:H108"/>
    <mergeCell ref="A30:B30"/>
    <mergeCell ref="A31:B31"/>
    <mergeCell ref="E31:J31"/>
    <mergeCell ref="A32:B32"/>
    <mergeCell ref="E32:J32"/>
    <mergeCell ref="A33:B33"/>
    <mergeCell ref="E33:J33"/>
    <mergeCell ref="A34:B34"/>
    <mergeCell ref="E34:J34"/>
    <mergeCell ref="B37:I37"/>
    <mergeCell ref="B39:E39"/>
    <mergeCell ref="B105:H106"/>
    <mergeCell ref="E29:I29"/>
    <mergeCell ref="A1:C1"/>
    <mergeCell ref="A3:C3"/>
    <mergeCell ref="A6:C6"/>
    <mergeCell ref="A8:B8"/>
    <mergeCell ref="A10:B10"/>
    <mergeCell ref="A12:B12"/>
    <mergeCell ref="D12:J12"/>
    <mergeCell ref="A14:B14"/>
    <mergeCell ref="A16:B16"/>
    <mergeCell ref="A18:B18"/>
    <mergeCell ref="A20:B20"/>
  </mergeCells>
  <conditionalFormatting sqref="C34">
    <cfRule type="expression" priority="1">
      <formula>MOD(ROW(),2)+0</formula>
    </cfRule>
    <cfRule type="expression" dxfId="1" priority="2">
      <formula>MOD(ROW(),2)=0</formula>
    </cfRule>
  </conditionalFormatting>
  <pageMargins left="0.7" right="0.7" top="0.75" bottom="0.75" header="0.3" footer="0.3"/>
  <pageSetup scale="68" orientation="landscape" r:id="rId1"/>
  <rowBreaks count="1" manualBreakCount="1">
    <brk id="34" max="16383" man="1"/>
  </row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141"/>
  <sheetViews>
    <sheetView zoomScaleNormal="100" workbookViewId="0">
      <selection activeCell="H27" sqref="H27"/>
    </sheetView>
  </sheetViews>
  <sheetFormatPr defaultRowHeight="12.75" x14ac:dyDescent="0.2"/>
  <cols>
    <col min="1" max="1" width="4.42578125" customWidth="1"/>
    <col min="2" max="2" width="3.42578125" customWidth="1"/>
    <col min="3" max="3" width="3.7109375" customWidth="1"/>
    <col min="6" max="6" width="11.28515625" customWidth="1"/>
    <col min="7" max="7" width="2.85546875" customWidth="1"/>
    <col min="8" max="8" width="12.28515625" bestFit="1" customWidth="1"/>
    <col min="9" max="9" width="1.5703125" customWidth="1"/>
    <col min="10" max="10" width="15.28515625" customWidth="1"/>
    <col min="11" max="11" width="1.140625" customWidth="1"/>
    <col min="12" max="12" width="15.28515625" customWidth="1"/>
    <col min="13" max="13" width="1.28515625" customWidth="1"/>
    <col min="14" max="14" width="15.28515625" customWidth="1"/>
    <col min="15" max="15" width="13.42578125" customWidth="1"/>
    <col min="16" max="16" width="1.140625" customWidth="1"/>
  </cols>
  <sheetData>
    <row r="1" spans="1:16" x14ac:dyDescent="0.2">
      <c r="A1" s="2"/>
    </row>
    <row r="2" spans="1:16" ht="33.75" customHeight="1" x14ac:dyDescent="0.25">
      <c r="A2" s="1200" t="s">
        <v>465</v>
      </c>
      <c r="B2" s="1201"/>
      <c r="C2" s="1201"/>
      <c r="D2" s="1201"/>
      <c r="E2" s="1201"/>
      <c r="F2" s="1201"/>
      <c r="G2" s="1201"/>
      <c r="H2" s="1201"/>
      <c r="I2" s="1201"/>
      <c r="J2" s="1201"/>
      <c r="K2" s="1201"/>
      <c r="L2" s="1201"/>
      <c r="M2" s="1201"/>
      <c r="N2" s="1201"/>
      <c r="O2" s="1202"/>
    </row>
    <row r="4" spans="1:16" ht="65.25" customHeight="1" x14ac:dyDescent="0.2">
      <c r="B4" s="1136" t="s">
        <v>1065</v>
      </c>
      <c r="C4" s="1203"/>
      <c r="D4" s="1203"/>
      <c r="E4" s="1203"/>
      <c r="F4" s="1203"/>
      <c r="G4" s="1203"/>
      <c r="H4" s="1203"/>
      <c r="I4" s="1203"/>
      <c r="J4" s="1203"/>
      <c r="K4" s="1203"/>
      <c r="L4" s="1203"/>
      <c r="M4" s="1203"/>
      <c r="N4" s="1203"/>
      <c r="O4" s="1203"/>
      <c r="P4" s="1203"/>
    </row>
    <row r="5" spans="1:16" ht="7.5" customHeight="1" x14ac:dyDescent="0.2">
      <c r="B5" s="59"/>
      <c r="C5" s="60"/>
      <c r="D5" s="60"/>
      <c r="E5" s="60"/>
      <c r="F5" s="60"/>
      <c r="G5" s="60"/>
      <c r="H5" s="60"/>
      <c r="I5" s="60"/>
      <c r="J5" s="60"/>
      <c r="K5" s="60"/>
      <c r="L5" s="60"/>
      <c r="M5" s="60"/>
      <c r="N5" s="60"/>
      <c r="O5" s="60"/>
      <c r="P5" s="60"/>
    </row>
    <row r="6" spans="1:16" ht="12" customHeight="1" x14ac:dyDescent="0.2">
      <c r="B6" s="66" t="s">
        <v>947</v>
      </c>
      <c r="C6" s="1203" t="s">
        <v>439</v>
      </c>
      <c r="D6" s="1203"/>
      <c r="E6" s="1203"/>
      <c r="F6" s="1203"/>
      <c r="G6" s="1203"/>
      <c r="H6" s="1203"/>
      <c r="I6" s="1203"/>
      <c r="J6" s="1203"/>
      <c r="K6" s="1203"/>
      <c r="L6" s="1203"/>
      <c r="M6" s="1203"/>
      <c r="N6" s="1203"/>
      <c r="O6" s="1203"/>
      <c r="P6" s="60"/>
    </row>
    <row r="7" spans="1:16" ht="4.5" customHeight="1" x14ac:dyDescent="0.2">
      <c r="B7" s="66"/>
      <c r="C7" s="59"/>
      <c r="D7" s="59"/>
      <c r="E7" s="59"/>
      <c r="F7" s="59"/>
      <c r="G7" s="59"/>
      <c r="H7" s="59"/>
      <c r="I7" s="59"/>
      <c r="J7" s="59"/>
      <c r="K7" s="59"/>
      <c r="L7" s="59"/>
      <c r="M7" s="59"/>
      <c r="N7" s="59"/>
      <c r="O7" s="59"/>
      <c r="P7" s="60"/>
    </row>
    <row r="8" spans="1:16" ht="12.75" customHeight="1" x14ac:dyDescent="0.2">
      <c r="B8" s="66" t="s">
        <v>948</v>
      </c>
      <c r="C8" s="1126" t="s">
        <v>526</v>
      </c>
      <c r="D8" s="1126"/>
      <c r="E8" s="1126"/>
      <c r="F8" s="1126"/>
      <c r="G8" s="1126"/>
      <c r="H8" s="1126"/>
      <c r="I8" s="1126"/>
      <c r="J8" s="1126"/>
      <c r="K8" s="1126"/>
      <c r="L8" s="1126"/>
      <c r="M8" s="1126"/>
      <c r="N8" s="1126"/>
      <c r="O8" s="1126"/>
      <c r="P8" s="60"/>
    </row>
    <row r="9" spans="1:16" ht="25.5" customHeight="1" x14ac:dyDescent="0.2">
      <c r="B9" s="66"/>
      <c r="C9" s="1126"/>
      <c r="D9" s="1126"/>
      <c r="E9" s="1126"/>
      <c r="F9" s="1126"/>
      <c r="G9" s="1126"/>
      <c r="H9" s="1126"/>
      <c r="I9" s="1126"/>
      <c r="J9" s="1126"/>
      <c r="K9" s="1126"/>
      <c r="L9" s="1126"/>
      <c r="M9" s="1126"/>
      <c r="N9" s="1126"/>
      <c r="O9" s="1126"/>
      <c r="P9" s="60"/>
    </row>
    <row r="10" spans="1:16" ht="4.5" customHeight="1" x14ac:dyDescent="0.2">
      <c r="B10" s="66"/>
      <c r="C10" s="60"/>
      <c r="D10" s="60"/>
      <c r="E10" s="60"/>
      <c r="F10" s="60"/>
      <c r="G10" s="60"/>
      <c r="H10" s="60"/>
      <c r="I10" s="60"/>
      <c r="J10" s="60"/>
      <c r="K10" s="60"/>
      <c r="L10" s="60"/>
      <c r="M10" s="60"/>
      <c r="N10" s="60"/>
      <c r="O10" s="60"/>
      <c r="P10" s="60"/>
    </row>
    <row r="11" spans="1:16" ht="12.75" customHeight="1" x14ac:dyDescent="0.2">
      <c r="B11" s="66" t="s">
        <v>949</v>
      </c>
      <c r="C11" s="1126" t="s">
        <v>10</v>
      </c>
      <c r="D11" s="1126"/>
      <c r="E11" s="1126"/>
      <c r="F11" s="1126"/>
      <c r="G11" s="1126"/>
      <c r="H11" s="1126"/>
      <c r="I11" s="1126"/>
      <c r="J11" s="1126"/>
      <c r="K11" s="1126"/>
      <c r="L11" s="1126"/>
      <c r="M11" s="1126"/>
      <c r="N11" s="1126"/>
      <c r="O11" s="1126"/>
      <c r="P11" s="60"/>
    </row>
    <row r="12" spans="1:16" ht="38.25" customHeight="1" x14ac:dyDescent="0.2">
      <c r="B12" s="66"/>
      <c r="C12" s="1126"/>
      <c r="D12" s="1126"/>
      <c r="E12" s="1126"/>
      <c r="F12" s="1126"/>
      <c r="G12" s="1126"/>
      <c r="H12" s="1126"/>
      <c r="I12" s="1126"/>
      <c r="J12" s="1126"/>
      <c r="K12" s="1126"/>
      <c r="L12" s="1126"/>
      <c r="M12" s="1126"/>
      <c r="N12" s="1126"/>
      <c r="O12" s="1126"/>
      <c r="P12" s="60"/>
    </row>
    <row r="13" spans="1:16" ht="4.5" customHeight="1" x14ac:dyDescent="0.2">
      <c r="B13" s="66"/>
      <c r="C13" s="59"/>
      <c r="D13" s="60"/>
      <c r="E13" s="60"/>
      <c r="F13" s="60"/>
      <c r="G13" s="60"/>
      <c r="H13" s="60"/>
      <c r="I13" s="60"/>
      <c r="J13" s="60"/>
      <c r="K13" s="60"/>
      <c r="L13" s="60"/>
      <c r="M13" s="60"/>
      <c r="N13" s="60"/>
      <c r="O13" s="60"/>
      <c r="P13" s="60"/>
    </row>
    <row r="14" spans="1:16" ht="12.75" customHeight="1" x14ac:dyDescent="0.2">
      <c r="B14" s="66" t="s">
        <v>878</v>
      </c>
      <c r="C14" s="1126" t="s">
        <v>850</v>
      </c>
      <c r="D14" s="1126"/>
      <c r="E14" s="1126"/>
      <c r="F14" s="1126"/>
      <c r="G14" s="1126"/>
      <c r="H14" s="1126"/>
      <c r="I14" s="1126"/>
      <c r="J14" s="1126"/>
      <c r="K14" s="1126"/>
      <c r="L14" s="1126"/>
      <c r="M14" s="1126"/>
      <c r="N14" s="1126"/>
      <c r="O14" s="1126"/>
      <c r="P14" s="60"/>
    </row>
    <row r="15" spans="1:16" ht="37.5" customHeight="1" x14ac:dyDescent="0.2">
      <c r="B15" s="66"/>
      <c r="C15" s="1126"/>
      <c r="D15" s="1126"/>
      <c r="E15" s="1126"/>
      <c r="F15" s="1126"/>
      <c r="G15" s="1126"/>
      <c r="H15" s="1126"/>
      <c r="I15" s="1126"/>
      <c r="J15" s="1126"/>
      <c r="K15" s="1126"/>
      <c r="L15" s="1126"/>
      <c r="M15" s="1126"/>
      <c r="N15" s="1126"/>
      <c r="O15" s="1126"/>
      <c r="P15" s="60"/>
    </row>
    <row r="16" spans="1:16" ht="5.25" customHeight="1" x14ac:dyDescent="0.2">
      <c r="B16" s="66"/>
      <c r="C16" s="59"/>
      <c r="D16" s="60"/>
      <c r="E16" s="60"/>
      <c r="F16" s="60"/>
      <c r="G16" s="60"/>
      <c r="H16" s="60"/>
      <c r="I16" s="60"/>
      <c r="J16" s="60"/>
      <c r="K16" s="60"/>
      <c r="L16" s="60"/>
      <c r="M16" s="60"/>
      <c r="N16" s="60"/>
      <c r="O16" s="60"/>
      <c r="P16" s="60"/>
    </row>
    <row r="17" spans="1:16" ht="12.75" customHeight="1" x14ac:dyDescent="0.2">
      <c r="B17" s="66" t="s">
        <v>879</v>
      </c>
      <c r="C17" s="1126" t="s">
        <v>376</v>
      </c>
      <c r="D17" s="1126"/>
      <c r="E17" s="1126"/>
      <c r="F17" s="1126"/>
      <c r="G17" s="1126"/>
      <c r="H17" s="1126"/>
      <c r="I17" s="1126"/>
      <c r="J17" s="1126"/>
      <c r="K17" s="1126"/>
      <c r="L17" s="1126"/>
      <c r="M17" s="1126"/>
      <c r="N17" s="1126"/>
      <c r="O17" s="1126"/>
      <c r="P17" s="60"/>
    </row>
    <row r="18" spans="1:16" ht="12.75" customHeight="1" x14ac:dyDescent="0.2">
      <c r="B18" s="66"/>
      <c r="C18" s="1126"/>
      <c r="D18" s="1126"/>
      <c r="E18" s="1126"/>
      <c r="F18" s="1126"/>
      <c r="G18" s="1126"/>
      <c r="H18" s="1126"/>
      <c r="I18" s="1126"/>
      <c r="J18" s="1126"/>
      <c r="K18" s="1126"/>
      <c r="L18" s="1126"/>
      <c r="M18" s="1126"/>
      <c r="N18" s="1126"/>
      <c r="O18" s="1126"/>
      <c r="P18" s="60"/>
    </row>
    <row r="19" spans="1:16" ht="4.5" customHeight="1" x14ac:dyDescent="0.2">
      <c r="B19" s="65"/>
      <c r="C19" s="60"/>
      <c r="D19" s="60"/>
      <c r="E19" s="60"/>
      <c r="F19" s="60"/>
      <c r="G19" s="60"/>
      <c r="H19" s="60"/>
      <c r="I19" s="60"/>
      <c r="J19" s="60"/>
      <c r="K19" s="60"/>
      <c r="L19" s="60"/>
      <c r="M19" s="60"/>
      <c r="N19" s="60"/>
      <c r="O19" s="60"/>
      <c r="P19" s="60"/>
    </row>
    <row r="20" spans="1:16" ht="12.75" customHeight="1" x14ac:dyDescent="0.2">
      <c r="B20" s="66" t="s">
        <v>328</v>
      </c>
      <c r="C20" s="1126" t="s">
        <v>1043</v>
      </c>
      <c r="D20" s="1126"/>
      <c r="E20" s="1126"/>
      <c r="F20" s="1126"/>
      <c r="G20" s="1126"/>
      <c r="H20" s="1126"/>
      <c r="I20" s="1126"/>
      <c r="J20" s="1126"/>
      <c r="K20" s="1126"/>
      <c r="L20" s="1126"/>
      <c r="M20" s="1126"/>
      <c r="N20" s="1126"/>
      <c r="O20" s="1126"/>
      <c r="P20" s="60"/>
    </row>
    <row r="21" spans="1:16" ht="12.75" customHeight="1" x14ac:dyDescent="0.2">
      <c r="B21" s="66"/>
      <c r="C21" s="1126"/>
      <c r="D21" s="1126"/>
      <c r="E21" s="1126"/>
      <c r="F21" s="1126"/>
      <c r="G21" s="1126"/>
      <c r="H21" s="1126"/>
      <c r="I21" s="1126"/>
      <c r="J21" s="1126"/>
      <c r="K21" s="1126"/>
      <c r="L21" s="1126"/>
      <c r="M21" s="1126"/>
      <c r="N21" s="1126"/>
      <c r="O21" s="1126"/>
      <c r="P21" s="60"/>
    </row>
    <row r="22" spans="1:16" ht="12" customHeight="1" x14ac:dyDescent="0.2">
      <c r="B22" s="59"/>
      <c r="C22" s="60"/>
      <c r="D22" s="60"/>
      <c r="E22" s="60"/>
      <c r="F22" s="60"/>
      <c r="G22" s="60"/>
      <c r="H22" s="60"/>
      <c r="I22" s="60"/>
      <c r="J22" s="60"/>
      <c r="K22" s="60"/>
      <c r="L22" s="60"/>
      <c r="M22" s="60"/>
      <c r="N22" s="60"/>
      <c r="O22" s="60"/>
      <c r="P22" s="60"/>
    </row>
    <row r="23" spans="1:16" ht="45.75" customHeight="1" x14ac:dyDescent="0.2">
      <c r="A23" s="4" t="s">
        <v>876</v>
      </c>
      <c r="B23" s="1204" t="s">
        <v>885</v>
      </c>
      <c r="C23" s="1205"/>
      <c r="D23" s="1205"/>
      <c r="E23" s="1205"/>
      <c r="F23" s="1205"/>
      <c r="G23" s="1205"/>
      <c r="H23" s="1205"/>
      <c r="I23" s="1205"/>
      <c r="J23" s="1205"/>
      <c r="K23" s="1205"/>
      <c r="L23" s="1205"/>
      <c r="M23" s="1205"/>
      <c r="N23" s="1205"/>
      <c r="O23" s="1206"/>
      <c r="P23" s="60"/>
    </row>
    <row r="25" spans="1:16" x14ac:dyDescent="0.2">
      <c r="C25" s="1199" t="s">
        <v>386</v>
      </c>
      <c r="D25" s="1199"/>
      <c r="E25" s="1199"/>
      <c r="F25" s="1199"/>
      <c r="H25" s="3" t="s">
        <v>62</v>
      </c>
    </row>
    <row r="26" spans="1:16" ht="4.5" customHeight="1" x14ac:dyDescent="0.2"/>
    <row r="27" spans="1:16" ht="12.75" customHeight="1" x14ac:dyDescent="0.2">
      <c r="C27" t="s">
        <v>830</v>
      </c>
      <c r="H27" s="512"/>
    </row>
    <row r="28" spans="1:16" ht="12.75" customHeight="1" x14ac:dyDescent="0.2">
      <c r="C28" t="s">
        <v>460</v>
      </c>
      <c r="H28" s="512"/>
    </row>
    <row r="29" spans="1:16" x14ac:dyDescent="0.2">
      <c r="C29" t="s">
        <v>63</v>
      </c>
      <c r="H29" s="512"/>
    </row>
    <row r="30" spans="1:16" x14ac:dyDescent="0.2">
      <c r="C30" t="s">
        <v>106</v>
      </c>
      <c r="H30" s="512"/>
    </row>
    <row r="31" spans="1:16" x14ac:dyDescent="0.2">
      <c r="C31" t="s">
        <v>787</v>
      </c>
      <c r="H31" s="512"/>
    </row>
    <row r="32" spans="1:16" x14ac:dyDescent="0.2">
      <c r="C32" t="s">
        <v>107</v>
      </c>
      <c r="H32" s="512"/>
    </row>
    <row r="33" spans="1:15" ht="12.75" customHeight="1" x14ac:dyDescent="0.2">
      <c r="C33" t="s">
        <v>108</v>
      </c>
      <c r="H33" s="512"/>
      <c r="J33" s="1127"/>
      <c r="K33" s="1127"/>
      <c r="L33" s="1127"/>
      <c r="M33" s="1127"/>
      <c r="N33" s="1127"/>
      <c r="O33" s="1127"/>
    </row>
    <row r="34" spans="1:15" x14ac:dyDescent="0.2">
      <c r="C34" s="521" t="s">
        <v>833</v>
      </c>
      <c r="H34" s="512"/>
    </row>
    <row r="35" spans="1:15" x14ac:dyDescent="0.2">
      <c r="C35" s="521" t="s">
        <v>921</v>
      </c>
      <c r="H35" s="512"/>
    </row>
    <row r="36" spans="1:15" x14ac:dyDescent="0.2">
      <c r="C36" s="1123" t="s">
        <v>519</v>
      </c>
      <c r="D36" s="1123"/>
      <c r="E36" s="1123"/>
      <c r="F36" s="1123"/>
      <c r="H36" s="512"/>
    </row>
    <row r="37" spans="1:15" x14ac:dyDescent="0.2">
      <c r="C37" s="1123" t="s">
        <v>520</v>
      </c>
      <c r="D37" s="1123"/>
      <c r="E37" s="1123"/>
      <c r="F37" s="1123"/>
      <c r="H37" s="512"/>
    </row>
    <row r="38" spans="1:15" ht="12.75" customHeight="1" x14ac:dyDescent="0.2">
      <c r="H38" s="61"/>
    </row>
    <row r="39" spans="1:15" ht="13.5" thickBot="1" x14ac:dyDescent="0.25">
      <c r="D39" t="s">
        <v>945</v>
      </c>
      <c r="H39" s="106">
        <f>SUM(H27:H38)</f>
        <v>0</v>
      </c>
    </row>
    <row r="40" spans="1:15" ht="13.5" thickTop="1" x14ac:dyDescent="0.2">
      <c r="H40" s="80"/>
    </row>
    <row r="41" spans="1:15" ht="36.75" customHeight="1" x14ac:dyDescent="0.2">
      <c r="A41" s="4" t="s">
        <v>877</v>
      </c>
      <c r="B41" s="1210" t="s">
        <v>690</v>
      </c>
      <c r="C41" s="1208"/>
      <c r="D41" s="1208"/>
      <c r="E41" s="1208"/>
      <c r="F41" s="1208"/>
      <c r="G41" s="1208"/>
      <c r="H41" s="1208"/>
      <c r="I41" s="1208"/>
      <c r="J41" s="1208"/>
      <c r="K41" s="1208"/>
      <c r="L41" s="1208"/>
      <c r="M41" s="1208"/>
      <c r="N41" s="1208"/>
      <c r="O41" s="1209"/>
    </row>
    <row r="42" spans="1:15" x14ac:dyDescent="0.2">
      <c r="H42" s="80"/>
    </row>
    <row r="43" spans="1:15" x14ac:dyDescent="0.2">
      <c r="H43" s="83" t="s">
        <v>62</v>
      </c>
    </row>
    <row r="44" spans="1:15" ht="4.5" customHeight="1" x14ac:dyDescent="0.2">
      <c r="H44" s="80"/>
    </row>
    <row r="45" spans="1:15" x14ac:dyDescent="0.2">
      <c r="C45" t="s">
        <v>718</v>
      </c>
      <c r="H45" s="107"/>
    </row>
    <row r="46" spans="1:15" x14ac:dyDescent="0.2">
      <c r="D46" t="s">
        <v>61</v>
      </c>
      <c r="H46" s="512"/>
    </row>
    <row r="47" spans="1:15" x14ac:dyDescent="0.2">
      <c r="D47" t="s">
        <v>424</v>
      </c>
      <c r="H47" s="508"/>
    </row>
    <row r="48" spans="1:15" x14ac:dyDescent="0.2">
      <c r="D48" t="s">
        <v>425</v>
      </c>
      <c r="H48" s="508"/>
    </row>
    <row r="49" spans="3:8" ht="4.5" customHeight="1" x14ac:dyDescent="0.2">
      <c r="H49" s="488"/>
    </row>
    <row r="50" spans="3:8" x14ac:dyDescent="0.2">
      <c r="C50" t="s">
        <v>717</v>
      </c>
      <c r="H50" s="513"/>
    </row>
    <row r="51" spans="3:8" x14ac:dyDescent="0.2">
      <c r="D51" t="s">
        <v>61</v>
      </c>
      <c r="H51" s="508"/>
    </row>
    <row r="52" spans="3:8" x14ac:dyDescent="0.2">
      <c r="D52" t="s">
        <v>424</v>
      </c>
      <c r="H52" s="512"/>
    </row>
    <row r="53" spans="3:8" x14ac:dyDescent="0.2">
      <c r="D53" t="s">
        <v>425</v>
      </c>
      <c r="H53" s="508"/>
    </row>
    <row r="54" spans="3:8" ht="4.5" customHeight="1" x14ac:dyDescent="0.2">
      <c r="H54" s="488"/>
    </row>
    <row r="55" spans="3:8" x14ac:dyDescent="0.2">
      <c r="C55" t="s">
        <v>896</v>
      </c>
      <c r="H55" s="513"/>
    </row>
    <row r="56" spans="3:8" x14ac:dyDescent="0.2">
      <c r="D56" t="s">
        <v>61</v>
      </c>
      <c r="H56" s="508"/>
    </row>
    <row r="57" spans="3:8" x14ac:dyDescent="0.2">
      <c r="D57" t="s">
        <v>424</v>
      </c>
      <c r="H57" s="508"/>
    </row>
    <row r="58" spans="3:8" x14ac:dyDescent="0.2">
      <c r="D58" t="s">
        <v>425</v>
      </c>
      <c r="H58" s="508"/>
    </row>
    <row r="59" spans="3:8" ht="4.5" customHeight="1" x14ac:dyDescent="0.2">
      <c r="H59" s="488"/>
    </row>
    <row r="60" spans="3:8" x14ac:dyDescent="0.2">
      <c r="C60" t="s">
        <v>480</v>
      </c>
      <c r="H60" s="513"/>
    </row>
    <row r="61" spans="3:8" x14ac:dyDescent="0.2">
      <c r="D61" t="s">
        <v>61</v>
      </c>
      <c r="H61" s="508"/>
    </row>
    <row r="62" spans="3:8" x14ac:dyDescent="0.2">
      <c r="D62" t="s">
        <v>424</v>
      </c>
      <c r="H62" s="508"/>
    </row>
    <row r="63" spans="3:8" x14ac:dyDescent="0.2">
      <c r="D63" t="s">
        <v>425</v>
      </c>
      <c r="H63" s="508"/>
    </row>
    <row r="64" spans="3:8" ht="5.25" customHeight="1" x14ac:dyDescent="0.2">
      <c r="H64" s="488"/>
    </row>
    <row r="65" spans="3:8" x14ac:dyDescent="0.2">
      <c r="C65" t="s">
        <v>897</v>
      </c>
      <c r="H65" s="513"/>
    </row>
    <row r="66" spans="3:8" x14ac:dyDescent="0.2">
      <c r="D66" t="s">
        <v>61</v>
      </c>
      <c r="H66" s="508"/>
    </row>
    <row r="67" spans="3:8" x14ac:dyDescent="0.2">
      <c r="D67" t="s">
        <v>424</v>
      </c>
      <c r="H67" s="508"/>
    </row>
    <row r="68" spans="3:8" x14ac:dyDescent="0.2">
      <c r="D68" t="s">
        <v>425</v>
      </c>
      <c r="H68" s="508"/>
    </row>
    <row r="69" spans="3:8" ht="3" customHeight="1" x14ac:dyDescent="0.2">
      <c r="H69" s="488"/>
    </row>
    <row r="70" spans="3:8" ht="4.5" customHeight="1" x14ac:dyDescent="0.2">
      <c r="H70" s="488"/>
    </row>
    <row r="71" spans="3:8" x14ac:dyDescent="0.2">
      <c r="C71" t="s">
        <v>426</v>
      </c>
      <c r="H71" s="513"/>
    </row>
    <row r="72" spans="3:8" x14ac:dyDescent="0.2">
      <c r="D72" t="s">
        <v>61</v>
      </c>
      <c r="H72" s="508"/>
    </row>
    <row r="73" spans="3:8" x14ac:dyDescent="0.2">
      <c r="D73" t="s">
        <v>424</v>
      </c>
      <c r="H73" s="508"/>
    </row>
    <row r="74" spans="3:8" x14ac:dyDescent="0.2">
      <c r="D74" t="s">
        <v>425</v>
      </c>
      <c r="H74" s="508"/>
    </row>
    <row r="75" spans="3:8" ht="4.5" customHeight="1" x14ac:dyDescent="0.2">
      <c r="H75" s="488"/>
    </row>
    <row r="76" spans="3:8" ht="12.75" customHeight="1" x14ac:dyDescent="0.2">
      <c r="C76" t="s">
        <v>926</v>
      </c>
      <c r="H76" s="488"/>
    </row>
    <row r="77" spans="3:8" ht="12.75" customHeight="1" x14ac:dyDescent="0.2">
      <c r="D77" t="s">
        <v>61</v>
      </c>
      <c r="H77" s="508"/>
    </row>
    <row r="78" spans="3:8" ht="12.75" customHeight="1" x14ac:dyDescent="0.2">
      <c r="D78" t="s">
        <v>424</v>
      </c>
      <c r="H78" s="508"/>
    </row>
    <row r="79" spans="3:8" ht="12.75" customHeight="1" x14ac:dyDescent="0.2">
      <c r="D79" t="s">
        <v>425</v>
      </c>
      <c r="H79" s="508"/>
    </row>
    <row r="80" spans="3:8" ht="4.5" customHeight="1" x14ac:dyDescent="0.2">
      <c r="H80" s="488"/>
    </row>
    <row r="81" spans="1:15" ht="12.75" customHeight="1" x14ac:dyDescent="0.2">
      <c r="C81" s="521" t="s">
        <v>203</v>
      </c>
      <c r="H81" s="488"/>
    </row>
    <row r="82" spans="1:15" ht="12.75" customHeight="1" x14ac:dyDescent="0.2">
      <c r="D82" t="s">
        <v>61</v>
      </c>
      <c r="H82" s="508"/>
    </row>
    <row r="83" spans="1:15" ht="12.75" customHeight="1" x14ac:dyDescent="0.2">
      <c r="D83" t="s">
        <v>424</v>
      </c>
      <c r="H83" s="508"/>
    </row>
    <row r="84" spans="1:15" ht="12.75" customHeight="1" x14ac:dyDescent="0.2">
      <c r="D84" t="s">
        <v>425</v>
      </c>
      <c r="H84" s="508"/>
    </row>
    <row r="85" spans="1:15" ht="4.5" customHeight="1" x14ac:dyDescent="0.2">
      <c r="H85" s="488"/>
    </row>
    <row r="86" spans="1:15" ht="12.75" customHeight="1" x14ac:dyDescent="0.2">
      <c r="B86" s="2"/>
      <c r="C86" s="1123" t="s">
        <v>517</v>
      </c>
      <c r="D86" s="1123"/>
      <c r="E86" s="1123"/>
      <c r="F86" s="1123"/>
      <c r="H86" s="508"/>
    </row>
    <row r="87" spans="1:15" ht="12.75" customHeight="1" x14ac:dyDescent="0.2">
      <c r="B87" s="2"/>
      <c r="C87" s="1123" t="s">
        <v>518</v>
      </c>
      <c r="D87" s="1123"/>
      <c r="E87" s="1123"/>
      <c r="F87" s="1123"/>
      <c r="H87" s="508"/>
      <c r="J87" s="1211" t="str">
        <f>IF(H39=H89," ","Recheck numbers in Sections A or B. Entry out of balance.")</f>
        <v xml:space="preserve"> </v>
      </c>
    </row>
    <row r="88" spans="1:15" ht="12.75" customHeight="1" x14ac:dyDescent="0.2">
      <c r="H88" s="72"/>
      <c r="J88" s="1211"/>
    </row>
    <row r="89" spans="1:15" ht="22.5" customHeight="1" thickBot="1" x14ac:dyDescent="0.25">
      <c r="D89" t="s">
        <v>427</v>
      </c>
      <c r="H89" s="106">
        <f>SUM(H45:H88)</f>
        <v>0</v>
      </c>
      <c r="J89" s="1211"/>
    </row>
    <row r="90" spans="1:15" ht="12.75" customHeight="1" thickTop="1" x14ac:dyDescent="0.2"/>
    <row r="92" spans="1:15" ht="26.25" customHeight="1" x14ac:dyDescent="0.2">
      <c r="A92" s="4" t="s">
        <v>466</v>
      </c>
      <c r="B92" s="1207" t="s">
        <v>461</v>
      </c>
      <c r="C92" s="1208"/>
      <c r="D92" s="1208"/>
      <c r="E92" s="1208"/>
      <c r="F92" s="1208"/>
      <c r="G92" s="1208"/>
      <c r="H92" s="1208"/>
      <c r="I92" s="1208"/>
      <c r="J92" s="1208"/>
      <c r="K92" s="1208"/>
      <c r="L92" s="1208"/>
      <c r="M92" s="1208"/>
      <c r="N92" s="1208"/>
      <c r="O92" s="1209"/>
    </row>
    <row r="93" spans="1:15" ht="12.75" customHeight="1" x14ac:dyDescent="0.2">
      <c r="A93" s="4"/>
      <c r="B93" s="69"/>
      <c r="C93" s="69"/>
      <c r="D93" s="69"/>
      <c r="E93" s="69"/>
      <c r="F93" s="69"/>
      <c r="G93" s="69"/>
      <c r="H93" s="69"/>
      <c r="I93" s="69"/>
      <c r="J93" s="69"/>
      <c r="K93" s="69"/>
      <c r="L93" s="69"/>
      <c r="M93" s="69"/>
      <c r="N93" s="69"/>
      <c r="O93" s="69"/>
    </row>
    <row r="94" spans="1:15" x14ac:dyDescent="0.2">
      <c r="K94" s="63"/>
      <c r="L94" s="74" t="s">
        <v>65</v>
      </c>
      <c r="N94" s="74" t="s">
        <v>66</v>
      </c>
    </row>
    <row r="95" spans="1:15" ht="6" customHeight="1" x14ac:dyDescent="0.2">
      <c r="K95" s="63"/>
      <c r="L95" s="63"/>
      <c r="N95" s="63"/>
    </row>
    <row r="96" spans="1:15" ht="12.75" customHeight="1" x14ac:dyDescent="0.2">
      <c r="B96" t="s">
        <v>830</v>
      </c>
      <c r="K96" s="63"/>
      <c r="L96" s="404">
        <f>H27</f>
        <v>0</v>
      </c>
      <c r="N96" s="144"/>
    </row>
    <row r="97" spans="2:14" ht="12.75" customHeight="1" x14ac:dyDescent="0.2">
      <c r="B97" t="s">
        <v>460</v>
      </c>
      <c r="K97" s="63"/>
      <c r="L97" s="145">
        <f>H28</f>
        <v>0</v>
      </c>
      <c r="N97" s="144"/>
    </row>
    <row r="98" spans="2:14" x14ac:dyDescent="0.2">
      <c r="B98" t="s">
        <v>63</v>
      </c>
      <c r="I98" s="13"/>
      <c r="K98" s="121"/>
      <c r="L98" s="108">
        <f t="shared" ref="L98:L106" si="0">H29</f>
        <v>0</v>
      </c>
      <c r="N98" s="108"/>
    </row>
    <row r="99" spans="2:14" x14ac:dyDescent="0.2">
      <c r="B99" t="s">
        <v>106</v>
      </c>
      <c r="K99" s="121"/>
      <c r="L99" s="108">
        <f t="shared" si="0"/>
        <v>0</v>
      </c>
      <c r="N99" s="108"/>
    </row>
    <row r="100" spans="2:14" x14ac:dyDescent="0.2">
      <c r="B100" t="s">
        <v>64</v>
      </c>
      <c r="K100" s="121"/>
      <c r="L100" s="108">
        <f t="shared" si="0"/>
        <v>0</v>
      </c>
      <c r="N100" s="108"/>
    </row>
    <row r="101" spans="2:14" x14ac:dyDescent="0.2">
      <c r="B101" t="s">
        <v>655</v>
      </c>
      <c r="K101" s="121"/>
      <c r="L101" s="108">
        <f t="shared" si="0"/>
        <v>0</v>
      </c>
      <c r="N101" s="108"/>
    </row>
    <row r="102" spans="2:14" x14ac:dyDescent="0.2">
      <c r="B102" t="s">
        <v>108</v>
      </c>
      <c r="K102" s="121"/>
      <c r="L102" s="108">
        <f t="shared" si="0"/>
        <v>0</v>
      </c>
      <c r="N102" s="108"/>
    </row>
    <row r="103" spans="2:14" x14ac:dyDescent="0.2">
      <c r="B103" s="521" t="s">
        <v>833</v>
      </c>
      <c r="K103" s="121"/>
      <c r="L103" s="108">
        <f t="shared" si="0"/>
        <v>0</v>
      </c>
      <c r="N103" s="108"/>
    </row>
    <row r="104" spans="2:14" x14ac:dyDescent="0.2">
      <c r="B104" s="521" t="s">
        <v>921</v>
      </c>
      <c r="K104" s="121"/>
      <c r="L104" s="108">
        <f t="shared" si="0"/>
        <v>0</v>
      </c>
      <c r="N104" s="108"/>
    </row>
    <row r="105" spans="2:14" x14ac:dyDescent="0.2">
      <c r="B105" t="s">
        <v>924</v>
      </c>
      <c r="K105" s="121"/>
      <c r="L105" s="108">
        <f t="shared" si="0"/>
        <v>0</v>
      </c>
      <c r="N105" s="108"/>
    </row>
    <row r="106" spans="2:14" x14ac:dyDescent="0.2">
      <c r="B106" t="s">
        <v>925</v>
      </c>
      <c r="K106" s="121"/>
      <c r="L106" s="108">
        <f t="shared" si="0"/>
        <v>0</v>
      </c>
      <c r="N106" s="108"/>
    </row>
    <row r="107" spans="2:14" x14ac:dyDescent="0.2">
      <c r="C107" t="s">
        <v>428</v>
      </c>
      <c r="K107" s="13"/>
      <c r="L107" s="108"/>
      <c r="N107" s="108">
        <f>H46</f>
        <v>0</v>
      </c>
    </row>
    <row r="108" spans="2:14" x14ac:dyDescent="0.2">
      <c r="C108" t="s">
        <v>429</v>
      </c>
      <c r="K108" s="13"/>
      <c r="L108" s="108"/>
      <c r="N108" s="108">
        <f>H47</f>
        <v>0</v>
      </c>
    </row>
    <row r="109" spans="2:14" ht="12.75" customHeight="1" x14ac:dyDescent="0.2">
      <c r="C109" t="s">
        <v>430</v>
      </c>
      <c r="K109" s="13"/>
      <c r="L109" s="108"/>
      <c r="N109" s="108">
        <f>H48</f>
        <v>0</v>
      </c>
    </row>
    <row r="110" spans="2:14" x14ac:dyDescent="0.2">
      <c r="C110" t="s">
        <v>431</v>
      </c>
      <c r="K110" s="13"/>
      <c r="L110" s="108"/>
      <c r="N110" s="108">
        <f>H51</f>
        <v>0</v>
      </c>
    </row>
    <row r="111" spans="2:14" ht="14.25" x14ac:dyDescent="0.2">
      <c r="C111" t="s">
        <v>42</v>
      </c>
      <c r="K111" s="13"/>
      <c r="L111" s="108"/>
      <c r="M111" s="79"/>
      <c r="N111" s="108">
        <f>H52</f>
        <v>0</v>
      </c>
    </row>
    <row r="112" spans="2:14" ht="12.75" customHeight="1" x14ac:dyDescent="0.2">
      <c r="C112" t="s">
        <v>43</v>
      </c>
      <c r="K112" s="13"/>
      <c r="L112" s="108"/>
      <c r="N112" s="108">
        <f>H53</f>
        <v>0</v>
      </c>
    </row>
    <row r="113" spans="3:14" x14ac:dyDescent="0.2">
      <c r="C113" t="s">
        <v>44</v>
      </c>
      <c r="K113" s="13"/>
      <c r="L113" s="108"/>
      <c r="N113" s="108">
        <f>H56</f>
        <v>0</v>
      </c>
    </row>
    <row r="114" spans="3:14" x14ac:dyDescent="0.2">
      <c r="C114" t="s">
        <v>45</v>
      </c>
      <c r="K114" s="13"/>
      <c r="L114" s="108"/>
      <c r="N114" s="108">
        <f>H57</f>
        <v>0</v>
      </c>
    </row>
    <row r="115" spans="3:14" x14ac:dyDescent="0.2">
      <c r="C115" t="s">
        <v>881</v>
      </c>
      <c r="K115" s="13"/>
      <c r="L115" s="108"/>
      <c r="N115" s="108">
        <f>H58</f>
        <v>0</v>
      </c>
    </row>
    <row r="116" spans="3:14" x14ac:dyDescent="0.2">
      <c r="C116" t="s">
        <v>170</v>
      </c>
      <c r="K116" s="13"/>
      <c r="L116" s="108"/>
      <c r="N116" s="108">
        <f>H61</f>
        <v>0</v>
      </c>
    </row>
    <row r="117" spans="3:14" x14ac:dyDescent="0.2">
      <c r="C117" t="s">
        <v>172</v>
      </c>
      <c r="K117" s="13"/>
      <c r="L117" s="108"/>
      <c r="N117" s="108">
        <f>H62</f>
        <v>0</v>
      </c>
    </row>
    <row r="118" spans="3:14" x14ac:dyDescent="0.2">
      <c r="C118" t="s">
        <v>173</v>
      </c>
      <c r="K118" s="13"/>
      <c r="L118" s="108"/>
      <c r="N118" s="108">
        <f>H63</f>
        <v>0</v>
      </c>
    </row>
    <row r="119" spans="3:14" x14ac:dyDescent="0.2">
      <c r="C119" t="s">
        <v>882</v>
      </c>
      <c r="K119" s="13"/>
      <c r="L119" s="108"/>
      <c r="N119" s="108">
        <f>H66</f>
        <v>0</v>
      </c>
    </row>
    <row r="120" spans="3:14" x14ac:dyDescent="0.2">
      <c r="C120" t="s">
        <v>883</v>
      </c>
      <c r="K120" s="13"/>
      <c r="L120" s="108"/>
      <c r="N120" s="108">
        <f>H67</f>
        <v>0</v>
      </c>
    </row>
    <row r="121" spans="3:14" x14ac:dyDescent="0.2">
      <c r="C121" t="s">
        <v>169</v>
      </c>
      <c r="K121" s="13"/>
      <c r="L121" s="108"/>
      <c r="N121" s="108">
        <f>H68</f>
        <v>0</v>
      </c>
    </row>
    <row r="122" spans="3:14" x14ac:dyDescent="0.2">
      <c r="C122" t="s">
        <v>174</v>
      </c>
      <c r="K122" s="13"/>
      <c r="L122" s="108"/>
      <c r="N122" s="108">
        <f>H72</f>
        <v>0</v>
      </c>
    </row>
    <row r="123" spans="3:14" x14ac:dyDescent="0.2">
      <c r="C123" t="s">
        <v>175</v>
      </c>
      <c r="K123" s="13"/>
      <c r="L123" s="108"/>
      <c r="N123" s="108">
        <f>H73</f>
        <v>0</v>
      </c>
    </row>
    <row r="124" spans="3:14" x14ac:dyDescent="0.2">
      <c r="C124" t="s">
        <v>176</v>
      </c>
      <c r="K124" s="13"/>
      <c r="L124" s="108"/>
      <c r="N124" s="108">
        <f>H74</f>
        <v>0</v>
      </c>
    </row>
    <row r="125" spans="3:14" x14ac:dyDescent="0.2">
      <c r="C125" s="544" t="s">
        <v>100</v>
      </c>
      <c r="K125" s="13"/>
      <c r="L125" s="108"/>
      <c r="N125" s="108">
        <f>H77</f>
        <v>0</v>
      </c>
    </row>
    <row r="126" spans="3:14" x14ac:dyDescent="0.2">
      <c r="C126" s="544" t="s">
        <v>820</v>
      </c>
      <c r="K126" s="13"/>
      <c r="L126" s="108"/>
      <c r="N126" s="108">
        <f>H78</f>
        <v>0</v>
      </c>
    </row>
    <row r="127" spans="3:14" x14ac:dyDescent="0.2">
      <c r="C127" s="544" t="s">
        <v>821</v>
      </c>
      <c r="K127" s="13"/>
      <c r="L127" s="108"/>
      <c r="N127" s="108">
        <f>H79</f>
        <v>0</v>
      </c>
    </row>
    <row r="128" spans="3:14" x14ac:dyDescent="0.2">
      <c r="C128" s="521" t="s">
        <v>204</v>
      </c>
      <c r="K128" s="13"/>
      <c r="L128" s="108"/>
      <c r="N128" s="108">
        <f>H82</f>
        <v>0</v>
      </c>
    </row>
    <row r="129" spans="2:15" x14ac:dyDescent="0.2">
      <c r="C129" s="521" t="s">
        <v>205</v>
      </c>
      <c r="K129" s="13"/>
      <c r="L129" s="108"/>
      <c r="N129" s="108">
        <f>H83</f>
        <v>0</v>
      </c>
    </row>
    <row r="130" spans="2:15" x14ac:dyDescent="0.2">
      <c r="C130" s="521" t="s">
        <v>206</v>
      </c>
      <c r="K130" s="13"/>
      <c r="L130" s="108"/>
      <c r="N130" s="108">
        <f>H84</f>
        <v>0</v>
      </c>
    </row>
    <row r="131" spans="2:15" x14ac:dyDescent="0.2">
      <c r="C131" t="s">
        <v>1023</v>
      </c>
      <c r="K131" s="13"/>
      <c r="L131" s="108"/>
      <c r="N131" s="108">
        <f>H86</f>
        <v>0</v>
      </c>
    </row>
    <row r="132" spans="2:15" x14ac:dyDescent="0.2">
      <c r="C132" t="s">
        <v>190</v>
      </c>
      <c r="K132" s="13"/>
      <c r="L132" s="108"/>
      <c r="N132" s="108">
        <f>H87</f>
        <v>0</v>
      </c>
    </row>
    <row r="133" spans="2:15" x14ac:dyDescent="0.2">
      <c r="K133" s="13"/>
      <c r="L133" s="104"/>
      <c r="N133" s="104"/>
    </row>
    <row r="134" spans="2:15" ht="13.5" thickBot="1" x14ac:dyDescent="0.25">
      <c r="K134" s="10">
        <f>SUM(K98:K133)</f>
        <v>0</v>
      </c>
      <c r="L134" s="105">
        <f>SUM(L96:L133)</f>
        <v>0</v>
      </c>
      <c r="N134" s="105">
        <f>SUM(N96:N133)</f>
        <v>0</v>
      </c>
    </row>
    <row r="135" spans="2:15" ht="13.5" thickTop="1" x14ac:dyDescent="0.2"/>
    <row r="138" spans="2:15" ht="24" customHeight="1" x14ac:dyDescent="0.2">
      <c r="B138" s="36"/>
      <c r="C138" s="1126" t="s">
        <v>822</v>
      </c>
      <c r="D138" s="1126"/>
      <c r="E138" s="1126"/>
      <c r="F138" s="1126"/>
      <c r="G138" s="1126"/>
      <c r="H138" s="1126"/>
      <c r="I138" s="1126"/>
      <c r="J138" s="1126"/>
      <c r="K138" s="1126"/>
      <c r="L138" s="1126"/>
      <c r="M138" s="1126"/>
      <c r="N138" s="1126"/>
      <c r="O138" s="1126"/>
    </row>
    <row r="140" spans="2:15" x14ac:dyDescent="0.2">
      <c r="C140" t="s">
        <v>1022</v>
      </c>
    </row>
    <row r="141" spans="2:15" x14ac:dyDescent="0.2">
      <c r="C141" t="s">
        <v>464</v>
      </c>
    </row>
  </sheetData>
  <sheetProtection algorithmName="SHA-512" hashValue="ptgIDtfzGibEn+FuJN7K9z3t7mYIW1PbpZ3uHK0CJUae9NvMCQtUi4PwwA83Rxsfh/yZ8FGDbEpwU0a9VN0/Ug==" saltValue="9Fi7auVq2oGuqZ5SsMfTzA==" spinCount="100000" sheet="1" objects="1" scenarios="1"/>
  <mergeCells count="19">
    <mergeCell ref="C138:O138"/>
    <mergeCell ref="B92:O92"/>
    <mergeCell ref="B41:O41"/>
    <mergeCell ref="J87:J89"/>
    <mergeCell ref="J33:O33"/>
    <mergeCell ref="C36:F36"/>
    <mergeCell ref="C37:F37"/>
    <mergeCell ref="C86:F86"/>
    <mergeCell ref="C87:F87"/>
    <mergeCell ref="C25:F25"/>
    <mergeCell ref="A2:O2"/>
    <mergeCell ref="B4:P4"/>
    <mergeCell ref="C6:O6"/>
    <mergeCell ref="C8:O9"/>
    <mergeCell ref="C11:O12"/>
    <mergeCell ref="C14:O15"/>
    <mergeCell ref="C17:O18"/>
    <mergeCell ref="B23:O23"/>
    <mergeCell ref="C20:O21"/>
  </mergeCells>
  <phoneticPr fontId="13" type="noConversion"/>
  <printOptions horizontalCentered="1"/>
  <pageMargins left="0.5" right="0.45" top="0.66" bottom="0.76" header="0.5" footer="0.5"/>
  <pageSetup scale="66" orientation="portrait" r:id="rId1"/>
  <headerFooter alignWithMargins="0">
    <oddHeader>&amp;R&amp;"Arial,Bold"&amp;12Entry A</oddHeader>
    <oddFooter>&amp;L&amp;8&amp;D - City model&amp;R&amp;P</oddFooter>
  </headerFooter>
  <rowBreaks count="1" manualBreakCount="1">
    <brk id="70" max="15" man="1"/>
  </rowBreaks>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30F21-E42F-4590-AF66-A16D3F8FD530}">
  <dimension ref="A1:AN263"/>
  <sheetViews>
    <sheetView zoomScaleNormal="100" workbookViewId="0">
      <selection activeCell="C14" sqref="C14"/>
    </sheetView>
  </sheetViews>
  <sheetFormatPr defaultRowHeight="15" x14ac:dyDescent="0.25"/>
  <cols>
    <col min="1" max="1" width="11.85546875" style="976" customWidth="1"/>
    <col min="2" max="2" width="48.28515625" style="976" customWidth="1"/>
    <col min="3" max="3" width="17.140625" style="976" customWidth="1"/>
    <col min="4" max="4" width="14.140625" style="976" customWidth="1"/>
    <col min="5" max="5" width="17.7109375" style="976" customWidth="1"/>
    <col min="6" max="6" width="9.140625" style="976"/>
    <col min="7" max="8" width="13.7109375" style="976" customWidth="1"/>
    <col min="9" max="9" width="9.140625" style="976"/>
    <col min="10" max="10" width="18.42578125" style="978" customWidth="1"/>
    <col min="11" max="11" width="19.5703125" style="978" customWidth="1"/>
    <col min="12" max="12" width="15.28515625" style="976" bestFit="1" customWidth="1"/>
    <col min="13" max="13" width="13.42578125" style="976" bestFit="1" customWidth="1"/>
    <col min="14" max="14" width="9.140625" style="976"/>
    <col min="15" max="15" width="10.7109375" style="976" bestFit="1" customWidth="1"/>
    <col min="16" max="16384" width="9.140625" style="976"/>
  </cols>
  <sheetData>
    <row r="1" spans="1:12" ht="15.75" x14ac:dyDescent="0.25">
      <c r="A1" s="1351" t="s">
        <v>3921</v>
      </c>
      <c r="B1" s="1352"/>
      <c r="C1" s="1353"/>
    </row>
    <row r="3" spans="1:12" ht="49.5" customHeight="1" x14ac:dyDescent="0.25">
      <c r="A3" s="1365" t="s">
        <v>4886</v>
      </c>
      <c r="B3" s="1365"/>
      <c r="C3" s="1365"/>
    </row>
    <row r="6" spans="1:12" ht="15.75" customHeight="1" x14ac:dyDescent="0.25">
      <c r="A6" s="1372" t="s">
        <v>3923</v>
      </c>
      <c r="B6" s="1390"/>
      <c r="C6" s="1373"/>
    </row>
    <row r="7" spans="1:12" x14ac:dyDescent="0.25">
      <c r="D7" s="979"/>
      <c r="E7" s="979"/>
      <c r="F7" s="979"/>
      <c r="G7" s="979"/>
      <c r="H7" s="979"/>
      <c r="I7" s="979"/>
      <c r="J7" s="980"/>
    </row>
    <row r="8" spans="1:12" ht="30" hidden="1" customHeight="1" x14ac:dyDescent="0.25">
      <c r="A8" s="1385" t="s">
        <v>3905</v>
      </c>
      <c r="B8" s="1385"/>
      <c r="C8" s="981">
        <v>0</v>
      </c>
      <c r="D8" s="979"/>
      <c r="E8" s="979"/>
      <c r="F8" s="979"/>
      <c r="G8" s="979"/>
      <c r="H8" s="979"/>
      <c r="I8" s="979"/>
      <c r="J8" s="980"/>
    </row>
    <row r="9" spans="1:12" ht="6.75" hidden="1" customHeight="1" x14ac:dyDescent="0.25">
      <c r="A9" s="1113"/>
      <c r="B9" s="1113"/>
      <c r="C9" s="983"/>
      <c r="D9" s="979"/>
      <c r="E9" s="979"/>
      <c r="F9" s="979"/>
      <c r="G9" s="979"/>
      <c r="H9" s="979"/>
      <c r="I9" s="979"/>
      <c r="J9" s="980"/>
    </row>
    <row r="10" spans="1:12" ht="45" hidden="1" customHeight="1" x14ac:dyDescent="0.25">
      <c r="A10" s="1385" t="s">
        <v>3569</v>
      </c>
      <c r="B10" s="1385"/>
      <c r="C10" s="981">
        <v>0</v>
      </c>
      <c r="D10" s="979"/>
      <c r="E10" s="979"/>
      <c r="F10" s="979"/>
      <c r="G10" s="979"/>
      <c r="H10" s="979"/>
      <c r="I10" s="979"/>
      <c r="J10" s="980"/>
    </row>
    <row r="11" spans="1:12" ht="5.25" hidden="1" customHeight="1" x14ac:dyDescent="0.25">
      <c r="A11" s="1113"/>
      <c r="B11" s="1113"/>
      <c r="C11" s="984"/>
      <c r="D11" s="979"/>
      <c r="E11" s="979"/>
      <c r="F11" s="979"/>
      <c r="G11" s="979"/>
      <c r="H11" s="979"/>
      <c r="I11" s="979"/>
      <c r="J11" s="980"/>
    </row>
    <row r="12" spans="1:12" ht="5.25" hidden="1" customHeight="1" x14ac:dyDescent="0.25">
      <c r="A12" s="1385" t="s">
        <v>3570</v>
      </c>
      <c r="B12" s="1385"/>
      <c r="C12" s="981">
        <v>0</v>
      </c>
      <c r="D12" s="1386"/>
      <c r="E12" s="1387"/>
      <c r="F12" s="1387"/>
      <c r="G12" s="1387"/>
      <c r="H12" s="1387"/>
      <c r="I12" s="1387"/>
      <c r="J12" s="1387"/>
    </row>
    <row r="13" spans="1:12" ht="3.75" customHeight="1" x14ac:dyDescent="0.25">
      <c r="A13" s="985"/>
      <c r="B13" s="985"/>
      <c r="C13" s="985"/>
      <c r="D13" s="979"/>
      <c r="E13" s="979"/>
      <c r="F13" s="979"/>
      <c r="G13" s="979"/>
      <c r="H13" s="979"/>
      <c r="I13" s="979"/>
      <c r="J13" s="980"/>
    </row>
    <row r="14" spans="1:12" ht="30.75" customHeight="1" x14ac:dyDescent="0.25">
      <c r="A14" s="1388" t="s">
        <v>3906</v>
      </c>
      <c r="B14" s="1388"/>
      <c r="C14" s="1008"/>
      <c r="D14" s="986"/>
      <c r="E14" s="979"/>
      <c r="F14" s="979"/>
      <c r="G14" s="984"/>
      <c r="H14" s="987"/>
      <c r="I14" s="987"/>
      <c r="J14" s="987"/>
      <c r="K14" s="988"/>
      <c r="L14" s="988"/>
    </row>
    <row r="15" spans="1:12" ht="6" hidden="1" customHeight="1" x14ac:dyDescent="0.25">
      <c r="A15" s="1112"/>
      <c r="B15" s="1112"/>
      <c r="C15" s="1010"/>
      <c r="D15" s="986"/>
      <c r="E15" s="979"/>
      <c r="F15" s="979"/>
      <c r="G15" s="987"/>
      <c r="H15" s="987"/>
      <c r="I15" s="987"/>
      <c r="J15" s="987"/>
      <c r="K15" s="988"/>
      <c r="L15" s="988"/>
    </row>
    <row r="16" spans="1:12" ht="45" hidden="1" customHeight="1" x14ac:dyDescent="0.25">
      <c r="A16" s="1388" t="s">
        <v>3907</v>
      </c>
      <c r="B16" s="1388"/>
      <c r="C16" s="1011">
        <v>0</v>
      </c>
      <c r="D16" s="986"/>
      <c r="E16" s="979"/>
      <c r="F16" s="979"/>
      <c r="G16" s="987"/>
      <c r="H16" s="987"/>
      <c r="I16" s="987"/>
      <c r="J16" s="987"/>
      <c r="K16" s="988"/>
      <c r="L16" s="988"/>
    </row>
    <row r="17" spans="1:12" ht="6" hidden="1" customHeight="1" x14ac:dyDescent="0.25">
      <c r="A17" s="1112"/>
      <c r="B17" s="1112"/>
      <c r="C17" s="1010"/>
      <c r="D17" s="986"/>
      <c r="E17" s="979"/>
      <c r="F17" s="979"/>
      <c r="G17" s="987"/>
      <c r="H17" s="987"/>
      <c r="I17" s="987"/>
      <c r="J17" s="987"/>
      <c r="K17" s="988"/>
      <c r="L17" s="988"/>
    </row>
    <row r="18" spans="1:12" ht="36.75" hidden="1" customHeight="1" x14ac:dyDescent="0.25">
      <c r="A18" s="1388" t="s">
        <v>3908</v>
      </c>
      <c r="B18" s="1388"/>
      <c r="C18" s="1011">
        <v>0</v>
      </c>
      <c r="D18" s="986"/>
      <c r="E18" s="979"/>
      <c r="F18" s="979"/>
      <c r="G18" s="987"/>
      <c r="H18" s="987"/>
      <c r="I18" s="987"/>
      <c r="J18" s="987"/>
      <c r="K18" s="988"/>
      <c r="L18" s="988"/>
    </row>
    <row r="19" spans="1:12" ht="4.5" customHeight="1" x14ac:dyDescent="0.25">
      <c r="A19" s="1012"/>
      <c r="B19" s="1012"/>
      <c r="C19" s="1010"/>
      <c r="D19" s="986"/>
      <c r="E19" s="979"/>
      <c r="F19" s="979"/>
      <c r="G19" s="979"/>
      <c r="H19" s="979"/>
      <c r="I19" s="979"/>
      <c r="J19" s="980"/>
    </row>
    <row r="20" spans="1:12" ht="45" customHeight="1" x14ac:dyDescent="0.25">
      <c r="A20" s="1388" t="s">
        <v>3970</v>
      </c>
      <c r="B20" s="1388"/>
      <c r="C20" s="1008"/>
      <c r="D20" s="986"/>
      <c r="E20" s="979"/>
      <c r="F20" s="979"/>
      <c r="G20" s="979"/>
      <c r="H20" s="979"/>
      <c r="I20" s="979"/>
      <c r="J20" s="980"/>
    </row>
    <row r="21" spans="1:12" ht="6" customHeight="1" x14ac:dyDescent="0.25">
      <c r="A21" s="1113"/>
      <c r="B21" s="1113"/>
      <c r="C21" s="983"/>
    </row>
    <row r="23" spans="1:12" ht="16.5" customHeight="1" x14ac:dyDescent="0.25">
      <c r="A23" s="1004" t="s">
        <v>3922</v>
      </c>
      <c r="B23" s="1001"/>
      <c r="C23" s="1002"/>
      <c r="G23" s="989"/>
      <c r="H23" s="989"/>
      <c r="I23" s="989"/>
      <c r="J23" s="990"/>
    </row>
    <row r="25" spans="1:12" x14ac:dyDescent="0.25">
      <c r="A25" s="979" t="s">
        <v>3909</v>
      </c>
      <c r="B25" s="979"/>
      <c r="C25" s="1005"/>
    </row>
    <row r="26" spans="1:12" x14ac:dyDescent="0.25">
      <c r="A26" s="979" t="s">
        <v>3910</v>
      </c>
      <c r="B26" s="1003"/>
      <c r="C26" s="1006"/>
    </row>
    <row r="27" spans="1:12" x14ac:dyDescent="0.25">
      <c r="A27" s="979" t="s">
        <v>3911</v>
      </c>
      <c r="B27" s="979"/>
      <c r="C27" s="1006"/>
    </row>
    <row r="28" spans="1:12" x14ac:dyDescent="0.25">
      <c r="A28" s="979" t="s">
        <v>3912</v>
      </c>
      <c r="B28" s="979"/>
      <c r="C28" s="1006"/>
    </row>
    <row r="29" spans="1:12" ht="14.25" customHeight="1" x14ac:dyDescent="0.25">
      <c r="A29" s="979" t="s">
        <v>3913</v>
      </c>
      <c r="B29" s="979"/>
      <c r="C29" s="1006"/>
      <c r="E29" s="1389" t="s">
        <v>3915</v>
      </c>
      <c r="F29" s="1389"/>
      <c r="G29" s="1389"/>
      <c r="H29" s="1389"/>
      <c r="I29" s="1389"/>
    </row>
    <row r="30" spans="1:12" ht="35.25" customHeight="1" x14ac:dyDescent="0.25">
      <c r="A30" s="1382" t="s">
        <v>3914</v>
      </c>
      <c r="B30" s="1382"/>
      <c r="C30" s="1007"/>
      <c r="F30" s="1113"/>
      <c r="G30" s="1113"/>
      <c r="H30" s="1113"/>
      <c r="I30" s="1113"/>
      <c r="J30" s="1113"/>
    </row>
    <row r="31" spans="1:12" ht="33.75" customHeight="1" x14ac:dyDescent="0.25">
      <c r="A31" s="1382" t="s">
        <v>3916</v>
      </c>
      <c r="B31" s="1382"/>
      <c r="C31" s="1007"/>
      <c r="E31" s="1384"/>
      <c r="F31" s="1384"/>
      <c r="G31" s="1384"/>
      <c r="H31" s="1384"/>
      <c r="I31" s="1384"/>
      <c r="J31" s="1384"/>
    </row>
    <row r="32" spans="1:12" ht="33.75" customHeight="1" x14ac:dyDescent="0.25">
      <c r="A32" s="1382" t="s">
        <v>3917</v>
      </c>
      <c r="B32" s="1382"/>
      <c r="C32" s="1007"/>
      <c r="E32" s="1383" t="s">
        <v>4888</v>
      </c>
      <c r="F32" s="1384"/>
      <c r="G32" s="1384"/>
      <c r="H32" s="1384"/>
      <c r="I32" s="1384"/>
      <c r="J32" s="1384"/>
    </row>
    <row r="33" spans="1:10" ht="33.75" customHeight="1" x14ac:dyDescent="0.25">
      <c r="A33" s="1382" t="s">
        <v>3919</v>
      </c>
      <c r="B33" s="1382"/>
      <c r="C33" s="1007"/>
      <c r="E33" s="1383" t="s">
        <v>4888</v>
      </c>
      <c r="F33" s="1384"/>
      <c r="G33" s="1384"/>
      <c r="H33" s="1384"/>
      <c r="I33" s="1384"/>
      <c r="J33" s="1384"/>
    </row>
    <row r="34" spans="1:10" ht="33.75" hidden="1" customHeight="1" x14ac:dyDescent="0.25">
      <c r="A34" s="1382" t="s">
        <v>3920</v>
      </c>
      <c r="B34" s="1382"/>
      <c r="C34" s="991">
        <v>0</v>
      </c>
      <c r="E34" s="1384" t="s">
        <v>3918</v>
      </c>
      <c r="F34" s="1384"/>
      <c r="G34" s="1384"/>
      <c r="H34" s="1384"/>
      <c r="I34" s="1384"/>
      <c r="J34" s="1384"/>
    </row>
    <row r="36" spans="1:10" x14ac:dyDescent="0.25">
      <c r="A36" s="626"/>
      <c r="B36" s="1108"/>
      <c r="C36" s="660"/>
      <c r="D36" s="660"/>
      <c r="E36" s="1109"/>
      <c r="F36" s="1109"/>
      <c r="G36" s="1109"/>
      <c r="H36" s="1109"/>
      <c r="I36" s="1109"/>
    </row>
    <row r="37" spans="1:10" ht="30" customHeight="1" x14ac:dyDescent="0.25">
      <c r="A37" s="670"/>
      <c r="B37" s="1391" t="s">
        <v>3931</v>
      </c>
      <c r="C37" s="1392"/>
      <c r="D37" s="1392"/>
      <c r="E37" s="1392"/>
      <c r="F37" s="1392"/>
      <c r="G37" s="1392"/>
      <c r="H37" s="1392"/>
      <c r="I37" s="1393"/>
    </row>
    <row r="38" spans="1:10" x14ac:dyDescent="0.25">
      <c r="A38" s="670"/>
      <c r="B38" s="683"/>
      <c r="C38" s="683"/>
      <c r="D38" s="683"/>
      <c r="E38" s="683"/>
      <c r="F38" s="683"/>
      <c r="G38" s="683"/>
      <c r="H38" s="683"/>
      <c r="I38" s="683"/>
    </row>
    <row r="39" spans="1:10" x14ac:dyDescent="0.25">
      <c r="A39" s="670"/>
      <c r="B39" s="1369" t="s">
        <v>2092</v>
      </c>
      <c r="C39" s="1370"/>
      <c r="D39" s="1370"/>
      <c r="E39" s="1370"/>
      <c r="F39" s="1017"/>
      <c r="G39" s="1017"/>
      <c r="H39" s="1017"/>
      <c r="I39" s="1018"/>
    </row>
    <row r="40" spans="1:10" x14ac:dyDescent="0.25">
      <c r="A40" s="626"/>
      <c r="B40" s="710" t="s">
        <v>2067</v>
      </c>
      <c r="C40" s="703">
        <f>'J. Other Liability &amp; Expenses'!L151</f>
        <v>0</v>
      </c>
      <c r="D40" s="683"/>
      <c r="E40" s="683"/>
      <c r="F40" s="1111"/>
      <c r="G40" s="1111"/>
      <c r="H40" s="1111"/>
      <c r="I40" s="664"/>
    </row>
    <row r="41" spans="1:10" x14ac:dyDescent="0.25">
      <c r="A41" s="626"/>
      <c r="B41" s="710" t="s">
        <v>2107</v>
      </c>
      <c r="C41" s="703">
        <f>'J. Other Liability &amp; Expenses'!L152</f>
        <v>0</v>
      </c>
      <c r="D41" s="959"/>
      <c r="E41" s="683"/>
      <c r="F41" s="1111"/>
      <c r="G41" s="1111"/>
      <c r="H41" s="1111"/>
      <c r="I41" s="664"/>
    </row>
    <row r="42" spans="1:10" x14ac:dyDescent="0.25">
      <c r="A42" s="626"/>
      <c r="B42" s="710" t="s">
        <v>2078</v>
      </c>
      <c r="C42" s="703">
        <f>'J. Other Liability &amp; Expenses'!L153</f>
        <v>0</v>
      </c>
      <c r="D42" s="683"/>
      <c r="E42" s="683"/>
      <c r="F42" s="1111"/>
      <c r="G42" s="1111"/>
      <c r="H42" s="1111"/>
      <c r="I42" s="664"/>
    </row>
    <row r="43" spans="1:10" x14ac:dyDescent="0.25">
      <c r="A43" s="626"/>
      <c r="B43" s="712" t="s">
        <v>2079</v>
      </c>
      <c r="C43" s="703">
        <f>SUM(C40:C42)</f>
        <v>0</v>
      </c>
      <c r="D43" s="683" t="str">
        <f>IF(C43=1,"","DOES NOT EQUAL 100%!!!")</f>
        <v>DOES NOT EQUAL 100%!!!</v>
      </c>
      <c r="E43" s="1111"/>
      <c r="F43" s="1111"/>
      <c r="G43" s="1111"/>
      <c r="H43" s="1111"/>
      <c r="I43" s="664"/>
    </row>
    <row r="44" spans="1:10" x14ac:dyDescent="0.25">
      <c r="A44" s="626"/>
      <c r="B44" s="713"/>
      <c r="C44" s="1111"/>
      <c r="D44" s="1111"/>
      <c r="E44" s="1111"/>
      <c r="F44" s="1111"/>
      <c r="G44" s="1111"/>
      <c r="H44" s="1111"/>
      <c r="I44" s="664"/>
    </row>
    <row r="45" spans="1:10" x14ac:dyDescent="0.25">
      <c r="A45" s="626"/>
      <c r="B45" s="714" t="s">
        <v>2080</v>
      </c>
      <c r="C45" s="1111"/>
      <c r="D45" s="1111"/>
      <c r="E45" s="1111"/>
      <c r="F45" s="1111"/>
      <c r="G45" s="1111"/>
      <c r="H45" s="1111"/>
      <c r="I45" s="664"/>
    </row>
    <row r="46" spans="1:10" x14ac:dyDescent="0.25">
      <c r="A46" s="626"/>
      <c r="B46" s="713" t="s">
        <v>2081</v>
      </c>
      <c r="C46" s="703">
        <f>'J. Other Liability &amp; Expenses'!L157</f>
        <v>0</v>
      </c>
      <c r="D46" s="1111"/>
      <c r="E46" s="1111"/>
      <c r="F46" s="1111"/>
      <c r="G46" s="1111"/>
      <c r="H46" s="1111"/>
      <c r="I46" s="664"/>
    </row>
    <row r="47" spans="1:10" x14ac:dyDescent="0.25">
      <c r="A47" s="626"/>
      <c r="B47" s="713" t="s">
        <v>2082</v>
      </c>
      <c r="C47" s="703">
        <f>'J. Other Liability &amp; Expenses'!L158</f>
        <v>0</v>
      </c>
      <c r="D47" s="1111"/>
      <c r="E47" s="1111"/>
      <c r="F47" s="1111"/>
      <c r="G47" s="1111"/>
      <c r="H47" s="1111"/>
      <c r="I47" s="664"/>
    </row>
    <row r="48" spans="1:10" x14ac:dyDescent="0.25">
      <c r="A48" s="626"/>
      <c r="B48" s="713" t="s">
        <v>2083</v>
      </c>
      <c r="C48" s="703">
        <f>'J. Other Liability &amp; Expenses'!L159</f>
        <v>0</v>
      </c>
      <c r="D48" s="1111"/>
      <c r="E48" s="1111"/>
      <c r="F48" s="1111"/>
      <c r="G48" s="1111"/>
      <c r="H48" s="1111"/>
      <c r="I48" s="664"/>
    </row>
    <row r="49" spans="1:9" x14ac:dyDescent="0.25">
      <c r="A49" s="626"/>
      <c r="B49" s="713" t="s">
        <v>2084</v>
      </c>
      <c r="C49" s="703">
        <f>'J. Other Liability &amp; Expenses'!L160</f>
        <v>0</v>
      </c>
      <c r="D49" s="1111"/>
      <c r="E49" s="1111"/>
      <c r="F49" s="1111"/>
      <c r="G49" s="1111"/>
      <c r="H49" s="1111"/>
      <c r="I49" s="664"/>
    </row>
    <row r="50" spans="1:9" x14ac:dyDescent="0.25">
      <c r="A50" s="626"/>
      <c r="B50" s="713" t="s">
        <v>2085</v>
      </c>
      <c r="C50" s="703">
        <f>'J. Other Liability &amp; Expenses'!L161</f>
        <v>0</v>
      </c>
      <c r="D50" s="1111"/>
      <c r="E50" s="1111"/>
      <c r="F50" s="1111"/>
      <c r="G50" s="1111"/>
      <c r="H50" s="1111"/>
      <c r="I50" s="664"/>
    </row>
    <row r="51" spans="1:9" x14ac:dyDescent="0.25">
      <c r="A51" s="626"/>
      <c r="B51" s="713" t="s">
        <v>2086</v>
      </c>
      <c r="C51" s="703">
        <f>'J. Other Liability &amp; Expenses'!L162</f>
        <v>0</v>
      </c>
      <c r="D51" s="1111"/>
      <c r="E51" s="1111"/>
      <c r="F51" s="1111"/>
      <c r="G51" s="1111"/>
      <c r="H51" s="1111"/>
      <c r="I51" s="664"/>
    </row>
    <row r="52" spans="1:9" x14ac:dyDescent="0.25">
      <c r="A52" s="626"/>
      <c r="B52" s="713" t="s">
        <v>2087</v>
      </c>
      <c r="C52" s="703">
        <f>'J. Other Liability &amp; Expenses'!L163</f>
        <v>0</v>
      </c>
      <c r="D52" s="1111"/>
      <c r="E52" s="1111"/>
      <c r="F52" s="1111"/>
      <c r="G52" s="1111"/>
      <c r="H52" s="1111"/>
      <c r="I52" s="664"/>
    </row>
    <row r="53" spans="1:9" x14ac:dyDescent="0.25">
      <c r="A53" s="626"/>
      <c r="B53" s="713" t="s">
        <v>2089</v>
      </c>
      <c r="C53" s="703">
        <f>'J. Other Liability &amp; Expenses'!L164</f>
        <v>0</v>
      </c>
      <c r="D53" s="1111"/>
      <c r="E53" s="1111"/>
      <c r="F53" s="1111"/>
      <c r="G53" s="1111"/>
      <c r="H53" s="1111"/>
      <c r="I53" s="664"/>
    </row>
    <row r="54" spans="1:9" x14ac:dyDescent="0.25">
      <c r="A54" s="626"/>
      <c r="B54" s="715" t="s">
        <v>2088</v>
      </c>
      <c r="C54" s="716">
        <f>SUM(C46:C53)</f>
        <v>0</v>
      </c>
      <c r="D54" s="717" t="str">
        <f>IF(C54=C40,"Equals Governmental Activities","DOES NOT EQUAL Governmental Activities!!!")</f>
        <v>Equals Governmental Activities</v>
      </c>
      <c r="E54" s="245"/>
      <c r="F54" s="245"/>
      <c r="G54" s="245"/>
      <c r="H54" s="245"/>
      <c r="I54" s="718"/>
    </row>
    <row r="55" spans="1:9" x14ac:dyDescent="0.25">
      <c r="A55" s="626"/>
      <c r="B55" s="1110"/>
      <c r="C55" s="1111"/>
      <c r="D55" s="1111"/>
      <c r="E55" s="1111"/>
      <c r="F55" s="1111"/>
      <c r="G55" s="1111"/>
      <c r="H55" s="1111"/>
      <c r="I55" s="1111"/>
    </row>
    <row r="56" spans="1:9" x14ac:dyDescent="0.25">
      <c r="A56" s="682"/>
      <c r="B56" s="684"/>
      <c r="C56" s="866"/>
      <c r="D56" s="866"/>
      <c r="E56" s="682"/>
      <c r="F56" s="682"/>
      <c r="G56" s="682"/>
      <c r="H56" s="682"/>
      <c r="I56" s="682"/>
    </row>
    <row r="57" spans="1:9" x14ac:dyDescent="0.25">
      <c r="A57" s="682"/>
      <c r="B57" s="684" t="s">
        <v>3924</v>
      </c>
      <c r="C57" s="866">
        <f t="shared" ref="C57:D70" si="0">G112</f>
        <v>0</v>
      </c>
      <c r="D57" s="866">
        <f t="shared" si="0"/>
        <v>0</v>
      </c>
      <c r="E57" s="682"/>
      <c r="F57" s="682"/>
      <c r="G57" s="682"/>
      <c r="H57" s="682"/>
      <c r="I57" s="682"/>
    </row>
    <row r="58" spans="1:9" x14ac:dyDescent="0.25">
      <c r="A58" s="682"/>
      <c r="B58" s="872" t="s">
        <v>3932</v>
      </c>
      <c r="C58" s="866">
        <f t="shared" si="0"/>
        <v>0</v>
      </c>
      <c r="D58" s="866">
        <f t="shared" si="0"/>
        <v>0</v>
      </c>
      <c r="E58" s="682"/>
      <c r="F58" s="682"/>
      <c r="G58" s="682"/>
      <c r="H58" s="682"/>
      <c r="I58" s="682"/>
    </row>
    <row r="59" spans="1:9" x14ac:dyDescent="0.25">
      <c r="A59" s="682"/>
      <c r="B59" s="872" t="s">
        <v>3933</v>
      </c>
      <c r="C59" s="866">
        <f t="shared" si="0"/>
        <v>0</v>
      </c>
      <c r="D59" s="866">
        <f t="shared" si="0"/>
        <v>0</v>
      </c>
      <c r="E59" s="682"/>
      <c r="F59" s="682"/>
      <c r="G59" s="682"/>
      <c r="H59" s="682"/>
      <c r="I59" s="682"/>
    </row>
    <row r="60" spans="1:9" x14ac:dyDescent="0.25">
      <c r="A60" s="682"/>
      <c r="B60" s="872" t="s">
        <v>3934</v>
      </c>
      <c r="C60" s="866">
        <f t="shared" si="0"/>
        <v>0</v>
      </c>
      <c r="D60" s="866">
        <f t="shared" si="0"/>
        <v>0</v>
      </c>
      <c r="E60" s="682"/>
      <c r="F60" s="682"/>
      <c r="G60" s="682"/>
      <c r="H60" s="682"/>
      <c r="I60" s="682"/>
    </row>
    <row r="61" spans="1:9" x14ac:dyDescent="0.25">
      <c r="A61" s="682"/>
      <c r="B61" s="872" t="s">
        <v>3935</v>
      </c>
      <c r="C61" s="866">
        <f t="shared" si="0"/>
        <v>0</v>
      </c>
      <c r="D61" s="866">
        <f t="shared" si="0"/>
        <v>0</v>
      </c>
      <c r="E61" s="682"/>
      <c r="F61" s="682"/>
      <c r="G61" s="682"/>
      <c r="H61" s="682"/>
      <c r="I61" s="682"/>
    </row>
    <row r="62" spans="1:9" x14ac:dyDescent="0.25">
      <c r="A62" s="682"/>
      <c r="B62" s="872" t="s">
        <v>3936</v>
      </c>
      <c r="C62" s="866">
        <f t="shared" si="0"/>
        <v>0</v>
      </c>
      <c r="D62" s="866">
        <f t="shared" si="0"/>
        <v>0</v>
      </c>
      <c r="E62" s="682"/>
      <c r="F62" s="682"/>
      <c r="G62" s="682"/>
      <c r="H62" s="682"/>
      <c r="I62" s="682"/>
    </row>
    <row r="63" spans="1:9" x14ac:dyDescent="0.25">
      <c r="A63" s="682"/>
      <c r="B63" s="872" t="s">
        <v>3937</v>
      </c>
      <c r="C63" s="866">
        <f t="shared" si="0"/>
        <v>0</v>
      </c>
      <c r="D63" s="866">
        <f t="shared" si="0"/>
        <v>0</v>
      </c>
      <c r="E63" s="682"/>
      <c r="F63" s="682"/>
      <c r="G63" s="682"/>
      <c r="H63" s="682"/>
      <c r="I63" s="682"/>
    </row>
    <row r="64" spans="1:9" x14ac:dyDescent="0.25">
      <c r="A64" s="682"/>
      <c r="B64" s="872" t="s">
        <v>3938</v>
      </c>
      <c r="C64" s="866">
        <f t="shared" si="0"/>
        <v>0</v>
      </c>
      <c r="D64" s="866">
        <f t="shared" si="0"/>
        <v>0</v>
      </c>
      <c r="E64" s="682"/>
      <c r="F64" s="682"/>
      <c r="G64" s="682"/>
      <c r="H64" s="682"/>
      <c r="I64" s="682"/>
    </row>
    <row r="65" spans="1:9" x14ac:dyDescent="0.25">
      <c r="A65" s="682"/>
      <c r="B65" s="872" t="s">
        <v>3939</v>
      </c>
      <c r="C65" s="866">
        <f t="shared" si="0"/>
        <v>0</v>
      </c>
      <c r="D65" s="866">
        <f t="shared" si="0"/>
        <v>0</v>
      </c>
      <c r="E65" s="682"/>
      <c r="F65" s="682"/>
      <c r="G65" s="682"/>
      <c r="H65" s="682"/>
      <c r="I65" s="682"/>
    </row>
    <row r="66" spans="1:9" ht="26.25" x14ac:dyDescent="0.25">
      <c r="A66" s="682"/>
      <c r="B66" s="684" t="s">
        <v>4898</v>
      </c>
      <c r="C66" s="866">
        <f t="shared" si="0"/>
        <v>0</v>
      </c>
      <c r="D66" s="866">
        <f t="shared" si="0"/>
        <v>0</v>
      </c>
      <c r="E66" s="682"/>
      <c r="F66" s="682"/>
      <c r="G66" s="682"/>
      <c r="H66" s="682"/>
      <c r="I66" s="682"/>
    </row>
    <row r="67" spans="1:9" x14ac:dyDescent="0.25">
      <c r="A67" s="682"/>
      <c r="B67" s="684" t="s">
        <v>4901</v>
      </c>
      <c r="C67" s="866">
        <f t="shared" si="0"/>
        <v>0</v>
      </c>
      <c r="D67" s="866">
        <f t="shared" si="0"/>
        <v>0</v>
      </c>
      <c r="E67" s="682"/>
      <c r="F67" s="682"/>
      <c r="G67" s="682"/>
      <c r="H67" s="682"/>
      <c r="I67" s="682"/>
    </row>
    <row r="68" spans="1:9" ht="26.25" x14ac:dyDescent="0.25">
      <c r="A68" s="682"/>
      <c r="B68" s="684" t="s">
        <v>4902</v>
      </c>
      <c r="C68" s="866">
        <f t="shared" si="0"/>
        <v>0</v>
      </c>
      <c r="D68" s="866">
        <f t="shared" si="0"/>
        <v>0</v>
      </c>
      <c r="E68" s="682"/>
      <c r="F68" s="682"/>
      <c r="G68" s="682"/>
      <c r="H68" s="682"/>
      <c r="I68" s="682"/>
    </row>
    <row r="69" spans="1:9" x14ac:dyDescent="0.25">
      <c r="A69" s="682"/>
      <c r="B69" s="684" t="s">
        <v>4899</v>
      </c>
      <c r="C69" s="866">
        <f t="shared" si="0"/>
        <v>0</v>
      </c>
      <c r="D69" s="866">
        <f t="shared" si="0"/>
        <v>0</v>
      </c>
      <c r="E69" s="682"/>
      <c r="F69" s="682"/>
      <c r="G69" s="682"/>
      <c r="H69" s="682"/>
      <c r="I69" s="682"/>
    </row>
    <row r="70" spans="1:9" ht="26.25" x14ac:dyDescent="0.25">
      <c r="A70" s="682"/>
      <c r="B70" s="684" t="s">
        <v>3518</v>
      </c>
      <c r="C70" s="866">
        <f t="shared" si="0"/>
        <v>0</v>
      </c>
      <c r="D70" s="866">
        <f>H125</f>
        <v>0</v>
      </c>
      <c r="E70" s="682"/>
      <c r="F70" s="682"/>
      <c r="G70" s="682"/>
      <c r="H70" s="682"/>
      <c r="I70" s="682"/>
    </row>
    <row r="71" spans="1:9" x14ac:dyDescent="0.25">
      <c r="A71" s="682"/>
      <c r="B71" s="684" t="s">
        <v>3519</v>
      </c>
      <c r="C71" s="866">
        <f>G126</f>
        <v>0</v>
      </c>
      <c r="D71" s="866">
        <f>H126</f>
        <v>0</v>
      </c>
      <c r="E71" s="682"/>
      <c r="F71" s="682"/>
      <c r="G71" s="682"/>
      <c r="H71" s="682"/>
      <c r="I71" s="682"/>
    </row>
    <row r="72" spans="1:9" ht="26.25" hidden="1" x14ac:dyDescent="0.25">
      <c r="A72" s="682"/>
      <c r="B72" s="684" t="s">
        <v>3902</v>
      </c>
      <c r="C72" s="866"/>
      <c r="D72" s="866"/>
      <c r="E72" s="682"/>
      <c r="F72" s="682"/>
      <c r="G72" s="682"/>
      <c r="H72" s="682"/>
      <c r="I72" s="682"/>
    </row>
    <row r="73" spans="1:9" ht="26.25" x14ac:dyDescent="0.25">
      <c r="A73" s="682"/>
      <c r="B73" s="684" t="s">
        <v>3520</v>
      </c>
      <c r="C73" s="866">
        <f>G127</f>
        <v>0</v>
      </c>
      <c r="D73" s="866">
        <f>H127</f>
        <v>0</v>
      </c>
      <c r="E73" s="682"/>
      <c r="F73" s="682"/>
      <c r="G73" s="682"/>
      <c r="H73" s="682"/>
      <c r="I73" s="682"/>
    </row>
    <row r="74" spans="1:9" x14ac:dyDescent="0.25">
      <c r="A74" s="682"/>
      <c r="B74" s="684" t="s">
        <v>3523</v>
      </c>
      <c r="C74" s="866">
        <f>G128</f>
        <v>0</v>
      </c>
      <c r="D74" s="866">
        <f>H128</f>
        <v>0</v>
      </c>
      <c r="E74" s="682"/>
      <c r="F74" s="682"/>
      <c r="G74" s="682"/>
      <c r="H74" s="682"/>
      <c r="I74" s="682"/>
    </row>
    <row r="75" spans="1:9" ht="26.25" x14ac:dyDescent="0.25">
      <c r="A75" s="682"/>
      <c r="B75" s="684" t="s">
        <v>3551</v>
      </c>
      <c r="C75" s="866">
        <f t="shared" ref="C75:D83" si="1">G130</f>
        <v>0</v>
      </c>
      <c r="D75" s="866">
        <f t="shared" si="1"/>
        <v>0</v>
      </c>
      <c r="E75" s="682"/>
      <c r="F75" s="682"/>
      <c r="G75" s="682"/>
      <c r="H75" s="682"/>
      <c r="I75" s="682"/>
    </row>
    <row r="76" spans="1:9" x14ac:dyDescent="0.25">
      <c r="A76" s="682"/>
      <c r="B76" s="872" t="s">
        <v>3949</v>
      </c>
      <c r="C76" s="866">
        <f t="shared" si="1"/>
        <v>0</v>
      </c>
      <c r="D76" s="866">
        <f t="shared" si="1"/>
        <v>0</v>
      </c>
      <c r="E76" s="682"/>
      <c r="F76" s="682"/>
      <c r="G76" s="682"/>
      <c r="H76" s="682"/>
      <c r="I76" s="682"/>
    </row>
    <row r="77" spans="1:9" x14ac:dyDescent="0.25">
      <c r="A77" s="682"/>
      <c r="B77" s="872" t="s">
        <v>3950</v>
      </c>
      <c r="C77" s="866">
        <f t="shared" si="1"/>
        <v>0</v>
      </c>
      <c r="D77" s="866">
        <f t="shared" si="1"/>
        <v>0</v>
      </c>
      <c r="E77" s="682"/>
      <c r="F77" s="682"/>
      <c r="G77" s="682"/>
      <c r="H77" s="682"/>
      <c r="I77" s="682"/>
    </row>
    <row r="78" spans="1:9" x14ac:dyDescent="0.25">
      <c r="A78" s="682"/>
      <c r="B78" s="872" t="s">
        <v>3951</v>
      </c>
      <c r="C78" s="866">
        <f t="shared" si="1"/>
        <v>0</v>
      </c>
      <c r="D78" s="866">
        <f t="shared" si="1"/>
        <v>0</v>
      </c>
      <c r="E78" s="682"/>
      <c r="F78" s="682"/>
      <c r="G78" s="682"/>
      <c r="H78" s="682"/>
      <c r="I78" s="682"/>
    </row>
    <row r="79" spans="1:9" x14ac:dyDescent="0.25">
      <c r="A79" s="682"/>
      <c r="B79" s="872" t="s">
        <v>3952</v>
      </c>
      <c r="C79" s="866">
        <f t="shared" si="1"/>
        <v>0</v>
      </c>
      <c r="D79" s="866">
        <f t="shared" si="1"/>
        <v>0</v>
      </c>
      <c r="E79" s="682"/>
      <c r="F79" s="682"/>
      <c r="G79" s="682"/>
      <c r="H79" s="682"/>
      <c r="I79" s="682"/>
    </row>
    <row r="80" spans="1:9" x14ac:dyDescent="0.25">
      <c r="A80" s="682"/>
      <c r="B80" s="872" t="s">
        <v>3953</v>
      </c>
      <c r="C80" s="866">
        <f t="shared" si="1"/>
        <v>0</v>
      </c>
      <c r="D80" s="866">
        <f t="shared" si="1"/>
        <v>0</v>
      </c>
      <c r="E80" s="682"/>
      <c r="F80" s="682"/>
      <c r="G80" s="682"/>
      <c r="H80" s="682"/>
      <c r="I80" s="682"/>
    </row>
    <row r="81" spans="1:9" x14ac:dyDescent="0.25">
      <c r="A81" s="682"/>
      <c r="B81" s="872" t="s">
        <v>3954</v>
      </c>
      <c r="C81" s="866">
        <f t="shared" si="1"/>
        <v>0</v>
      </c>
      <c r="D81" s="866">
        <f t="shared" si="1"/>
        <v>0</v>
      </c>
      <c r="E81" s="682"/>
      <c r="F81" s="682"/>
      <c r="G81" s="682"/>
      <c r="H81" s="682"/>
      <c r="I81" s="682"/>
    </row>
    <row r="82" spans="1:9" x14ac:dyDescent="0.25">
      <c r="A82" s="682"/>
      <c r="B82" s="872" t="s">
        <v>3955</v>
      </c>
      <c r="C82" s="866">
        <f t="shared" si="1"/>
        <v>0</v>
      </c>
      <c r="D82" s="866">
        <f t="shared" si="1"/>
        <v>0</v>
      </c>
      <c r="E82" s="682"/>
      <c r="F82" s="682"/>
      <c r="G82" s="682"/>
      <c r="H82" s="682"/>
      <c r="I82" s="682"/>
    </row>
    <row r="83" spans="1:9" x14ac:dyDescent="0.25">
      <c r="A83" s="682"/>
      <c r="B83" s="872" t="s">
        <v>3956</v>
      </c>
      <c r="C83" s="866">
        <f t="shared" si="1"/>
        <v>0</v>
      </c>
      <c r="D83" s="866">
        <f t="shared" si="1"/>
        <v>0</v>
      </c>
      <c r="E83" s="682"/>
      <c r="F83" s="682"/>
      <c r="G83" s="682"/>
      <c r="H83" s="682"/>
      <c r="I83" s="682"/>
    </row>
    <row r="84" spans="1:9" x14ac:dyDescent="0.25">
      <c r="A84" s="682"/>
      <c r="B84" s="872" t="s">
        <v>3941</v>
      </c>
      <c r="C84" s="866">
        <f>G139</f>
        <v>0</v>
      </c>
      <c r="D84" s="866">
        <f>H139</f>
        <v>0</v>
      </c>
      <c r="E84" s="682"/>
      <c r="F84" s="682"/>
      <c r="G84" s="682"/>
      <c r="H84" s="682"/>
      <c r="I84" s="682"/>
    </row>
    <row r="85" spans="1:9" x14ac:dyDescent="0.25">
      <c r="A85" s="682"/>
      <c r="B85" s="872" t="s">
        <v>3942</v>
      </c>
      <c r="C85" s="866">
        <f t="shared" ref="C85:D99" si="2">G140</f>
        <v>0</v>
      </c>
      <c r="D85" s="866">
        <f t="shared" si="2"/>
        <v>0</v>
      </c>
      <c r="E85" s="682"/>
      <c r="F85" s="682"/>
      <c r="G85" s="682"/>
      <c r="H85" s="682"/>
      <c r="I85" s="682"/>
    </row>
    <row r="86" spans="1:9" x14ac:dyDescent="0.25">
      <c r="A86" s="682"/>
      <c r="B86" s="872" t="s">
        <v>3943</v>
      </c>
      <c r="C86" s="866">
        <f t="shared" si="2"/>
        <v>0</v>
      </c>
      <c r="D86" s="866">
        <f t="shared" si="2"/>
        <v>0</v>
      </c>
      <c r="E86" s="682"/>
      <c r="F86" s="682"/>
      <c r="G86" s="682"/>
      <c r="H86" s="682"/>
      <c r="I86" s="682"/>
    </row>
    <row r="87" spans="1:9" x14ac:dyDescent="0.25">
      <c r="A87" s="682"/>
      <c r="B87" s="872" t="s">
        <v>3944</v>
      </c>
      <c r="C87" s="866">
        <f t="shared" si="2"/>
        <v>0</v>
      </c>
      <c r="D87" s="866">
        <f t="shared" si="2"/>
        <v>0</v>
      </c>
      <c r="E87" s="682"/>
      <c r="F87" s="682"/>
      <c r="G87" s="682"/>
      <c r="H87" s="682"/>
      <c r="I87" s="682"/>
    </row>
    <row r="88" spans="1:9" x14ac:dyDescent="0.25">
      <c r="A88" s="682"/>
      <c r="B88" s="872" t="s">
        <v>3945</v>
      </c>
      <c r="C88" s="866">
        <f t="shared" si="2"/>
        <v>0</v>
      </c>
      <c r="D88" s="866">
        <f t="shared" si="2"/>
        <v>0</v>
      </c>
      <c r="E88" s="682"/>
      <c r="F88" s="682"/>
      <c r="G88" s="682"/>
      <c r="H88" s="682"/>
      <c r="I88" s="682"/>
    </row>
    <row r="89" spans="1:9" x14ac:dyDescent="0.25">
      <c r="A89" s="682"/>
      <c r="B89" s="872" t="s">
        <v>3946</v>
      </c>
      <c r="C89" s="866">
        <f t="shared" si="2"/>
        <v>0</v>
      </c>
      <c r="D89" s="866">
        <f t="shared" si="2"/>
        <v>0</v>
      </c>
      <c r="E89" s="682"/>
      <c r="F89" s="682"/>
      <c r="G89" s="682"/>
      <c r="H89" s="682"/>
      <c r="I89" s="682"/>
    </row>
    <row r="90" spans="1:9" x14ac:dyDescent="0.25">
      <c r="A90" s="682"/>
      <c r="B90" s="872" t="s">
        <v>3947</v>
      </c>
      <c r="C90" s="866">
        <f t="shared" si="2"/>
        <v>0</v>
      </c>
      <c r="D90" s="866">
        <f t="shared" si="2"/>
        <v>0</v>
      </c>
      <c r="E90" s="682"/>
      <c r="F90" s="682"/>
      <c r="G90" s="682"/>
      <c r="H90" s="682"/>
      <c r="I90" s="682"/>
    </row>
    <row r="91" spans="1:9" x14ac:dyDescent="0.25">
      <c r="A91" s="682"/>
      <c r="B91" s="872" t="s">
        <v>3948</v>
      </c>
      <c r="C91" s="866">
        <f t="shared" si="2"/>
        <v>0</v>
      </c>
      <c r="D91" s="866">
        <f t="shared" si="2"/>
        <v>0</v>
      </c>
      <c r="E91" s="682"/>
      <c r="F91" s="682"/>
      <c r="G91" s="682"/>
      <c r="H91" s="682"/>
      <c r="I91" s="682"/>
    </row>
    <row r="92" spans="1:9" ht="26.25" x14ac:dyDescent="0.25">
      <c r="A92" s="682"/>
      <c r="B92" s="1115" t="s">
        <v>4889</v>
      </c>
      <c r="C92" s="866">
        <f t="shared" si="2"/>
        <v>0</v>
      </c>
      <c r="D92" s="866">
        <f t="shared" si="2"/>
        <v>0</v>
      </c>
      <c r="E92" s="682"/>
      <c r="F92" s="682"/>
      <c r="G92" s="682"/>
      <c r="H92" s="682"/>
      <c r="I92" s="682"/>
    </row>
    <row r="93" spans="1:9" ht="26.25" x14ac:dyDescent="0.25">
      <c r="A93" s="682"/>
      <c r="B93" s="1115" t="s">
        <v>4890</v>
      </c>
      <c r="C93" s="866">
        <f t="shared" si="2"/>
        <v>0</v>
      </c>
      <c r="D93" s="866">
        <f t="shared" si="2"/>
        <v>0</v>
      </c>
      <c r="E93" s="682"/>
      <c r="F93" s="682"/>
      <c r="G93" s="682"/>
      <c r="H93" s="682"/>
      <c r="I93" s="682"/>
    </row>
    <row r="94" spans="1:9" ht="26.25" x14ac:dyDescent="0.25">
      <c r="A94" s="682"/>
      <c r="B94" s="1115" t="s">
        <v>4891</v>
      </c>
      <c r="C94" s="866">
        <f t="shared" si="2"/>
        <v>0</v>
      </c>
      <c r="D94" s="866">
        <f t="shared" si="2"/>
        <v>0</v>
      </c>
      <c r="E94" s="682"/>
      <c r="F94" s="682"/>
      <c r="G94" s="682"/>
      <c r="H94" s="682"/>
      <c r="I94" s="682"/>
    </row>
    <row r="95" spans="1:9" ht="26.25" x14ac:dyDescent="0.25">
      <c r="A95" s="682"/>
      <c r="B95" s="1115" t="s">
        <v>4892</v>
      </c>
      <c r="C95" s="866">
        <f t="shared" si="2"/>
        <v>0</v>
      </c>
      <c r="D95" s="866">
        <f t="shared" si="2"/>
        <v>0</v>
      </c>
      <c r="E95" s="682"/>
      <c r="F95" s="682"/>
      <c r="G95" s="682"/>
      <c r="H95" s="682"/>
      <c r="I95" s="682"/>
    </row>
    <row r="96" spans="1:9" ht="26.25" x14ac:dyDescent="0.25">
      <c r="A96" s="682"/>
      <c r="B96" s="1115" t="s">
        <v>4893</v>
      </c>
      <c r="C96" s="866">
        <f t="shared" si="2"/>
        <v>0</v>
      </c>
      <c r="D96" s="866">
        <f t="shared" si="2"/>
        <v>0</v>
      </c>
      <c r="E96" s="682"/>
      <c r="F96" s="682"/>
      <c r="G96" s="682"/>
      <c r="H96" s="682"/>
      <c r="I96" s="682"/>
    </row>
    <row r="97" spans="1:9" ht="26.25" x14ac:dyDescent="0.25">
      <c r="A97" s="682"/>
      <c r="B97" s="1115" t="s">
        <v>4894</v>
      </c>
      <c r="C97" s="866">
        <f t="shared" si="2"/>
        <v>0</v>
      </c>
      <c r="D97" s="866">
        <f t="shared" si="2"/>
        <v>0</v>
      </c>
      <c r="E97" s="682"/>
      <c r="F97" s="682"/>
      <c r="G97" s="682"/>
      <c r="H97" s="682"/>
      <c r="I97" s="682"/>
    </row>
    <row r="98" spans="1:9" ht="26.25" x14ac:dyDescent="0.25">
      <c r="A98" s="682"/>
      <c r="B98" s="1115" t="s">
        <v>4895</v>
      </c>
      <c r="C98" s="866">
        <f t="shared" si="2"/>
        <v>0</v>
      </c>
      <c r="D98" s="866">
        <f t="shared" si="2"/>
        <v>0</v>
      </c>
      <c r="E98" s="682"/>
      <c r="F98" s="682"/>
      <c r="G98" s="682"/>
      <c r="H98" s="682"/>
      <c r="I98" s="682"/>
    </row>
    <row r="99" spans="1:9" ht="26.25" x14ac:dyDescent="0.25">
      <c r="A99" s="682"/>
      <c r="B99" s="1115" t="s">
        <v>4896</v>
      </c>
      <c r="C99" s="866">
        <f t="shared" si="2"/>
        <v>0</v>
      </c>
      <c r="D99" s="866">
        <f t="shared" si="2"/>
        <v>0</v>
      </c>
      <c r="E99" s="682"/>
      <c r="F99" s="682"/>
      <c r="G99" s="682"/>
      <c r="H99" s="682"/>
      <c r="I99" s="682"/>
    </row>
    <row r="100" spans="1:9" x14ac:dyDescent="0.25">
      <c r="A100" s="682"/>
      <c r="B100" s="684"/>
      <c r="C100" s="867"/>
      <c r="D100" s="867"/>
      <c r="E100" s="682"/>
      <c r="F100" s="682"/>
      <c r="G100" s="682"/>
      <c r="H100" s="682"/>
      <c r="I100" s="682"/>
    </row>
    <row r="101" spans="1:9" ht="15.75" thickBot="1" x14ac:dyDescent="0.3">
      <c r="A101" s="682"/>
      <c r="B101" s="684"/>
      <c r="C101" s="868">
        <f>SUM(C56:C100)</f>
        <v>0</v>
      </c>
      <c r="D101" s="868">
        <f>SUM(D56:D100)</f>
        <v>0</v>
      </c>
      <c r="E101" s="682"/>
      <c r="F101" s="682"/>
      <c r="G101" s="682"/>
      <c r="H101" s="682"/>
      <c r="I101" s="682"/>
    </row>
    <row r="102" spans="1:9" ht="15.75" thickTop="1" x14ac:dyDescent="0.25">
      <c r="A102" s="682"/>
      <c r="B102" s="682"/>
      <c r="C102" s="682"/>
      <c r="D102" s="682"/>
      <c r="E102" s="682"/>
      <c r="F102" s="682"/>
      <c r="G102" s="682"/>
      <c r="H102" s="682"/>
      <c r="I102" s="682"/>
    </row>
    <row r="104" spans="1:9" x14ac:dyDescent="0.25">
      <c r="A104" s="682"/>
      <c r="B104" s="682"/>
      <c r="C104" s="682"/>
      <c r="D104" s="682"/>
      <c r="E104" s="682"/>
      <c r="F104" s="682"/>
      <c r="G104" s="682"/>
      <c r="H104" s="682"/>
      <c r="I104" s="682"/>
    </row>
    <row r="105" spans="1:9" x14ac:dyDescent="0.25">
      <c r="A105" s="682"/>
      <c r="B105" s="1364" t="s">
        <v>3552</v>
      </c>
      <c r="C105" s="1364"/>
      <c r="D105" s="1364"/>
      <c r="E105" s="1364"/>
      <c r="F105" s="1364"/>
      <c r="G105" s="1364"/>
      <c r="H105" s="1364"/>
      <c r="I105" s="682"/>
    </row>
    <row r="106" spans="1:9" x14ac:dyDescent="0.25">
      <c r="A106" s="682"/>
      <c r="B106" s="1364"/>
      <c r="C106" s="1364"/>
      <c r="D106" s="1364"/>
      <c r="E106" s="1364"/>
      <c r="F106" s="1364"/>
      <c r="G106" s="1364"/>
      <c r="H106" s="1364"/>
      <c r="I106" s="682"/>
    </row>
    <row r="107" spans="1:9" ht="18" x14ac:dyDescent="0.25">
      <c r="A107" s="682"/>
      <c r="B107" s="720"/>
      <c r="C107" s="720"/>
      <c r="D107" s="720"/>
      <c r="E107" s="720"/>
      <c r="F107" s="720"/>
      <c r="G107" s="720"/>
      <c r="H107" s="721"/>
      <c r="I107" s="682"/>
    </row>
    <row r="108" spans="1:9" ht="18" x14ac:dyDescent="0.25">
      <c r="A108" s="682"/>
      <c r="B108" s="720"/>
      <c r="C108" s="722"/>
      <c r="D108" s="723"/>
      <c r="E108" s="869"/>
      <c r="F108" s="720"/>
      <c r="G108" s="1380" t="s">
        <v>103</v>
      </c>
      <c r="H108" s="1381"/>
      <c r="I108" s="682"/>
    </row>
    <row r="109" spans="1:9" x14ac:dyDescent="0.25">
      <c r="A109" s="682"/>
      <c r="B109" s="870"/>
      <c r="C109" s="725"/>
      <c r="D109" s="726"/>
      <c r="E109" s="871"/>
      <c r="F109" s="872"/>
      <c r="G109" s="873"/>
      <c r="H109" s="874"/>
      <c r="I109" s="682"/>
    </row>
    <row r="110" spans="1:9" x14ac:dyDescent="0.25">
      <c r="A110" s="682"/>
      <c r="B110" s="870"/>
      <c r="C110" s="728" t="s">
        <v>65</v>
      </c>
      <c r="D110" s="181" t="s">
        <v>66</v>
      </c>
      <c r="E110" s="875" t="s">
        <v>2101</v>
      </c>
      <c r="F110" s="872"/>
      <c r="G110" s="876" t="s">
        <v>65</v>
      </c>
      <c r="H110" s="877" t="s">
        <v>66</v>
      </c>
      <c r="I110" s="682"/>
    </row>
    <row r="111" spans="1:9" x14ac:dyDescent="0.25">
      <c r="A111" s="682"/>
      <c r="B111" s="684"/>
      <c r="C111" s="729"/>
      <c r="D111" s="730"/>
      <c r="E111" s="878"/>
      <c r="F111" s="682"/>
      <c r="G111" s="879"/>
      <c r="H111" s="731"/>
      <c r="I111" s="682"/>
    </row>
    <row r="112" spans="1:9" x14ac:dyDescent="0.25">
      <c r="A112" s="682"/>
      <c r="B112" s="684" t="s">
        <v>4897</v>
      </c>
      <c r="C112" s="879">
        <f>IF(C26&lt;C25,(C25-C26)*C40,0)</f>
        <v>0</v>
      </c>
      <c r="D112" s="731">
        <f>IF(C26&gt;C25,(C26-C25)*C40,0)</f>
        <v>0</v>
      </c>
      <c r="E112" s="1118">
        <f t="shared" ref="E112:E154" si="3">C112-D112</f>
        <v>0</v>
      </c>
      <c r="F112" s="682"/>
      <c r="G112" s="879">
        <f>IF(E112&lt;0,0,E112)</f>
        <v>0</v>
      </c>
      <c r="H112" s="731">
        <f>IF(E112&gt;0,0,E112*-1)</f>
        <v>0</v>
      </c>
      <c r="I112" s="682"/>
    </row>
    <row r="113" spans="1:9" x14ac:dyDescent="0.25">
      <c r="A113" s="682"/>
      <c r="B113" s="872" t="s">
        <v>3932</v>
      </c>
      <c r="C113" s="800">
        <f t="shared" ref="C113:C120" si="4">IF($C$28&gt;0,$C$28*C46,0)</f>
        <v>0</v>
      </c>
      <c r="D113" s="731">
        <f t="shared" ref="D113:D120" si="5">IF($C$28&lt;0,-$C$28*C46,0)</f>
        <v>0</v>
      </c>
      <c r="E113" s="878">
        <f t="shared" si="3"/>
        <v>0</v>
      </c>
      <c r="F113" s="682"/>
      <c r="G113" s="879">
        <f t="shared" ref="G113:G138" si="6">IF(E113&lt;0,0,E113)</f>
        <v>0</v>
      </c>
      <c r="H113" s="731">
        <f t="shared" ref="H113:H138" si="7">IF(E113&gt;0,0,E113*-1)</f>
        <v>0</v>
      </c>
      <c r="I113" s="682"/>
    </row>
    <row r="114" spans="1:9" x14ac:dyDescent="0.25">
      <c r="A114" s="682"/>
      <c r="B114" s="872" t="s">
        <v>3933</v>
      </c>
      <c r="C114" s="800">
        <f t="shared" si="4"/>
        <v>0</v>
      </c>
      <c r="D114" s="731">
        <f t="shared" si="5"/>
        <v>0</v>
      </c>
      <c r="E114" s="878">
        <f t="shared" si="3"/>
        <v>0</v>
      </c>
      <c r="F114" s="682"/>
      <c r="G114" s="879">
        <f t="shared" si="6"/>
        <v>0</v>
      </c>
      <c r="H114" s="731">
        <f t="shared" si="7"/>
        <v>0</v>
      </c>
      <c r="I114" s="682"/>
    </row>
    <row r="115" spans="1:9" x14ac:dyDescent="0.25">
      <c r="A115" s="682"/>
      <c r="B115" s="872" t="s">
        <v>3934</v>
      </c>
      <c r="C115" s="800">
        <f t="shared" si="4"/>
        <v>0</v>
      </c>
      <c r="D115" s="731">
        <f t="shared" si="5"/>
        <v>0</v>
      </c>
      <c r="E115" s="878">
        <f t="shared" si="3"/>
        <v>0</v>
      </c>
      <c r="F115" s="682"/>
      <c r="G115" s="879">
        <f t="shared" si="6"/>
        <v>0</v>
      </c>
      <c r="H115" s="731">
        <f t="shared" si="7"/>
        <v>0</v>
      </c>
      <c r="I115" s="682"/>
    </row>
    <row r="116" spans="1:9" x14ac:dyDescent="0.25">
      <c r="A116" s="682"/>
      <c r="B116" s="872" t="s">
        <v>3935</v>
      </c>
      <c r="C116" s="800">
        <f t="shared" si="4"/>
        <v>0</v>
      </c>
      <c r="D116" s="731">
        <f t="shared" si="5"/>
        <v>0</v>
      </c>
      <c r="E116" s="878">
        <f t="shared" si="3"/>
        <v>0</v>
      </c>
      <c r="F116" s="682"/>
      <c r="G116" s="879">
        <f t="shared" si="6"/>
        <v>0</v>
      </c>
      <c r="H116" s="731">
        <f t="shared" si="7"/>
        <v>0</v>
      </c>
      <c r="I116" s="682"/>
    </row>
    <row r="117" spans="1:9" x14ac:dyDescent="0.25">
      <c r="A117" s="682"/>
      <c r="B117" s="872" t="s">
        <v>3936</v>
      </c>
      <c r="C117" s="800">
        <f t="shared" si="4"/>
        <v>0</v>
      </c>
      <c r="D117" s="731">
        <f t="shared" si="5"/>
        <v>0</v>
      </c>
      <c r="E117" s="878">
        <f t="shared" si="3"/>
        <v>0</v>
      </c>
      <c r="F117" s="682"/>
      <c r="G117" s="879">
        <f t="shared" si="6"/>
        <v>0</v>
      </c>
      <c r="H117" s="731">
        <f t="shared" si="7"/>
        <v>0</v>
      </c>
      <c r="I117" s="682"/>
    </row>
    <row r="118" spans="1:9" x14ac:dyDescent="0.25">
      <c r="A118" s="682"/>
      <c r="B118" s="872" t="s">
        <v>3937</v>
      </c>
      <c r="C118" s="800">
        <f t="shared" si="4"/>
        <v>0</v>
      </c>
      <c r="D118" s="731">
        <f t="shared" si="5"/>
        <v>0</v>
      </c>
      <c r="E118" s="878">
        <f t="shared" si="3"/>
        <v>0</v>
      </c>
      <c r="F118" s="682"/>
      <c r="G118" s="879">
        <f t="shared" si="6"/>
        <v>0</v>
      </c>
      <c r="H118" s="731">
        <f t="shared" si="7"/>
        <v>0</v>
      </c>
      <c r="I118" s="682"/>
    </row>
    <row r="119" spans="1:9" x14ac:dyDescent="0.25">
      <c r="A119" s="682"/>
      <c r="B119" s="872" t="s">
        <v>3938</v>
      </c>
      <c r="C119" s="800">
        <f t="shared" si="4"/>
        <v>0</v>
      </c>
      <c r="D119" s="731">
        <f t="shared" si="5"/>
        <v>0</v>
      </c>
      <c r="E119" s="878">
        <f t="shared" si="3"/>
        <v>0</v>
      </c>
      <c r="F119" s="682"/>
      <c r="G119" s="879">
        <f t="shared" si="6"/>
        <v>0</v>
      </c>
      <c r="H119" s="731">
        <f t="shared" si="7"/>
        <v>0</v>
      </c>
      <c r="I119" s="682"/>
    </row>
    <row r="120" spans="1:9" x14ac:dyDescent="0.25">
      <c r="A120" s="682"/>
      <c r="B120" s="872" t="s">
        <v>3939</v>
      </c>
      <c r="C120" s="800">
        <f t="shared" si="4"/>
        <v>0</v>
      </c>
      <c r="D120" s="731">
        <f t="shared" si="5"/>
        <v>0</v>
      </c>
      <c r="E120" s="878">
        <f t="shared" si="3"/>
        <v>0</v>
      </c>
      <c r="F120" s="682"/>
      <c r="G120" s="879">
        <f t="shared" si="6"/>
        <v>0</v>
      </c>
      <c r="H120" s="731">
        <f t="shared" si="7"/>
        <v>0</v>
      </c>
      <c r="I120" s="682"/>
    </row>
    <row r="121" spans="1:9" ht="26.25" x14ac:dyDescent="0.25">
      <c r="A121" s="682"/>
      <c r="B121" s="974" t="s">
        <v>4898</v>
      </c>
      <c r="C121" s="1121">
        <v>0</v>
      </c>
      <c r="D121" s="1117">
        <f>IF(C32&gt;0,C32*C40,0)</f>
        <v>0</v>
      </c>
      <c r="E121" s="878">
        <f t="shared" si="3"/>
        <v>0</v>
      </c>
      <c r="F121" s="682"/>
      <c r="G121" s="879">
        <f t="shared" si="6"/>
        <v>0</v>
      </c>
      <c r="H121" s="731">
        <f t="shared" si="7"/>
        <v>0</v>
      </c>
      <c r="I121" s="682"/>
    </row>
    <row r="122" spans="1:9" x14ac:dyDescent="0.25">
      <c r="A122" s="682"/>
      <c r="B122" s="974" t="s">
        <v>4901</v>
      </c>
      <c r="C122" s="1121">
        <v>0</v>
      </c>
      <c r="D122" s="1117">
        <f>IF(C33&gt;0,C33*C40,0)</f>
        <v>0</v>
      </c>
      <c r="E122" s="878">
        <f t="shared" si="3"/>
        <v>0</v>
      </c>
      <c r="F122" s="682"/>
      <c r="G122" s="879">
        <f t="shared" si="6"/>
        <v>0</v>
      </c>
      <c r="H122" s="731">
        <f t="shared" si="7"/>
        <v>0</v>
      </c>
      <c r="I122" s="682"/>
    </row>
    <row r="123" spans="1:9" ht="26.25" x14ac:dyDescent="0.25">
      <c r="A123" s="682"/>
      <c r="B123" s="974" t="s">
        <v>4902</v>
      </c>
      <c r="C123" s="1116">
        <f>IF(C32&lt;0,-C32*C40,0)</f>
        <v>0</v>
      </c>
      <c r="D123" s="1121">
        <v>0</v>
      </c>
      <c r="E123" s="878">
        <f t="shared" si="3"/>
        <v>0</v>
      </c>
      <c r="F123" s="682"/>
      <c r="G123" s="879">
        <f t="shared" si="6"/>
        <v>0</v>
      </c>
      <c r="H123" s="731">
        <f t="shared" si="7"/>
        <v>0</v>
      </c>
      <c r="I123" s="682"/>
    </row>
    <row r="124" spans="1:9" x14ac:dyDescent="0.25">
      <c r="A124" s="682"/>
      <c r="B124" s="974" t="s">
        <v>4899</v>
      </c>
      <c r="C124" s="1116">
        <f>IF(C33&lt;0,-C33*C40,0)</f>
        <v>0</v>
      </c>
      <c r="D124" s="1121">
        <v>0</v>
      </c>
      <c r="E124" s="878">
        <f t="shared" si="3"/>
        <v>0</v>
      </c>
      <c r="F124" s="682"/>
      <c r="G124" s="879">
        <f t="shared" si="6"/>
        <v>0</v>
      </c>
      <c r="H124" s="731">
        <f t="shared" si="7"/>
        <v>0</v>
      </c>
      <c r="I124" s="682"/>
    </row>
    <row r="125" spans="1:9" ht="26.25" x14ac:dyDescent="0.25">
      <c r="A125" s="682"/>
      <c r="B125" s="684" t="s">
        <v>3518</v>
      </c>
      <c r="C125" s="800">
        <f>IF(C30&gt;0,C30*C40,0)</f>
        <v>0</v>
      </c>
      <c r="D125" s="731">
        <v>0</v>
      </c>
      <c r="E125" s="878">
        <f t="shared" si="3"/>
        <v>0</v>
      </c>
      <c r="F125" s="682"/>
      <c r="G125" s="879">
        <f t="shared" si="6"/>
        <v>0</v>
      </c>
      <c r="H125" s="731">
        <f t="shared" si="7"/>
        <v>0</v>
      </c>
      <c r="I125" s="682"/>
    </row>
    <row r="126" spans="1:9" x14ac:dyDescent="0.25">
      <c r="A126" s="682"/>
      <c r="B126" s="684" t="s">
        <v>3519</v>
      </c>
      <c r="C126" s="800">
        <f>IF(C31&gt;0,C31*C40,0)</f>
        <v>0</v>
      </c>
      <c r="D126" s="731">
        <v>0</v>
      </c>
      <c r="E126" s="878">
        <f t="shared" si="3"/>
        <v>0</v>
      </c>
      <c r="F126" s="682"/>
      <c r="G126" s="879">
        <f t="shared" si="6"/>
        <v>0</v>
      </c>
      <c r="H126" s="731">
        <f t="shared" si="7"/>
        <v>0</v>
      </c>
      <c r="I126" s="682"/>
    </row>
    <row r="127" spans="1:9" ht="26.25" x14ac:dyDescent="0.25">
      <c r="A127" s="682"/>
      <c r="B127" s="684" t="s">
        <v>3520</v>
      </c>
      <c r="C127" s="800">
        <v>0</v>
      </c>
      <c r="D127" s="731">
        <f>IF(C30&lt;0,-C30*C40,0)</f>
        <v>0</v>
      </c>
      <c r="E127" s="878">
        <f t="shared" si="3"/>
        <v>0</v>
      </c>
      <c r="F127" s="682"/>
      <c r="G127" s="879">
        <f t="shared" si="6"/>
        <v>0</v>
      </c>
      <c r="H127" s="731">
        <f t="shared" si="7"/>
        <v>0</v>
      </c>
      <c r="I127" s="682"/>
    </row>
    <row r="128" spans="1:9" x14ac:dyDescent="0.25">
      <c r="A128" s="682"/>
      <c r="B128" s="684" t="s">
        <v>3523</v>
      </c>
      <c r="C128" s="800">
        <v>0</v>
      </c>
      <c r="D128" s="731">
        <f>IF(C31&lt;0,-C31*C40,0)</f>
        <v>0</v>
      </c>
      <c r="E128" s="878">
        <f t="shared" si="3"/>
        <v>0</v>
      </c>
      <c r="F128" s="682"/>
      <c r="G128" s="879">
        <f t="shared" si="6"/>
        <v>0</v>
      </c>
      <c r="H128" s="731">
        <f t="shared" si="7"/>
        <v>0</v>
      </c>
      <c r="I128" s="682"/>
    </row>
    <row r="129" spans="1:9" ht="26.25" hidden="1" x14ac:dyDescent="0.25">
      <c r="A129" s="682"/>
      <c r="B129" s="684" t="s">
        <v>3881</v>
      </c>
      <c r="C129" s="800"/>
      <c r="D129" s="731">
        <v>0</v>
      </c>
      <c r="E129" s="878">
        <f t="shared" si="3"/>
        <v>0</v>
      </c>
      <c r="F129" s="682"/>
      <c r="G129" s="879">
        <f t="shared" si="6"/>
        <v>0</v>
      </c>
      <c r="H129" s="731">
        <f t="shared" si="7"/>
        <v>0</v>
      </c>
      <c r="I129" s="682"/>
    </row>
    <row r="130" spans="1:9" ht="26.25" x14ac:dyDescent="0.25">
      <c r="A130" s="682"/>
      <c r="B130" s="684" t="s">
        <v>3925</v>
      </c>
      <c r="C130" s="800">
        <f>(C14+C20)*C40</f>
        <v>0</v>
      </c>
      <c r="D130" s="731">
        <v>0</v>
      </c>
      <c r="E130" s="878">
        <f t="shared" si="3"/>
        <v>0</v>
      </c>
      <c r="F130" s="682"/>
      <c r="G130" s="879">
        <f t="shared" si="6"/>
        <v>0</v>
      </c>
      <c r="H130" s="731">
        <f t="shared" si="7"/>
        <v>0</v>
      </c>
      <c r="I130" s="682"/>
    </row>
    <row r="131" spans="1:9" x14ac:dyDescent="0.25">
      <c r="A131" s="682"/>
      <c r="B131" s="872" t="s">
        <v>3949</v>
      </c>
      <c r="C131" s="800"/>
      <c r="D131" s="731">
        <f t="shared" ref="D131:D138" si="8">$C$14*C46</f>
        <v>0</v>
      </c>
      <c r="E131" s="878">
        <f t="shared" si="3"/>
        <v>0</v>
      </c>
      <c r="F131" s="682"/>
      <c r="G131" s="879">
        <f t="shared" si="6"/>
        <v>0</v>
      </c>
      <c r="H131" s="731">
        <f t="shared" si="7"/>
        <v>0</v>
      </c>
      <c r="I131" s="682"/>
    </row>
    <row r="132" spans="1:9" x14ac:dyDescent="0.25">
      <c r="A132" s="682"/>
      <c r="B132" s="872" t="s">
        <v>3950</v>
      </c>
      <c r="C132" s="800"/>
      <c r="D132" s="731">
        <f t="shared" si="8"/>
        <v>0</v>
      </c>
      <c r="E132" s="878">
        <f t="shared" si="3"/>
        <v>0</v>
      </c>
      <c r="F132" s="682"/>
      <c r="G132" s="879">
        <f t="shared" si="6"/>
        <v>0</v>
      </c>
      <c r="H132" s="731">
        <f t="shared" si="7"/>
        <v>0</v>
      </c>
      <c r="I132" s="682"/>
    </row>
    <row r="133" spans="1:9" x14ac:dyDescent="0.25">
      <c r="A133" s="682"/>
      <c r="B133" s="872" t="s">
        <v>3951</v>
      </c>
      <c r="C133" s="800"/>
      <c r="D133" s="731">
        <f t="shared" si="8"/>
        <v>0</v>
      </c>
      <c r="E133" s="878">
        <f t="shared" si="3"/>
        <v>0</v>
      </c>
      <c r="F133" s="682"/>
      <c r="G133" s="879">
        <f t="shared" si="6"/>
        <v>0</v>
      </c>
      <c r="H133" s="731">
        <f t="shared" si="7"/>
        <v>0</v>
      </c>
      <c r="I133" s="682"/>
    </row>
    <row r="134" spans="1:9" x14ac:dyDescent="0.25">
      <c r="A134" s="682"/>
      <c r="B134" s="872" t="s">
        <v>3952</v>
      </c>
      <c r="C134" s="800"/>
      <c r="D134" s="731">
        <f t="shared" si="8"/>
        <v>0</v>
      </c>
      <c r="E134" s="878">
        <f t="shared" si="3"/>
        <v>0</v>
      </c>
      <c r="F134" s="682"/>
      <c r="G134" s="879">
        <f t="shared" si="6"/>
        <v>0</v>
      </c>
      <c r="H134" s="731">
        <f t="shared" si="7"/>
        <v>0</v>
      </c>
      <c r="I134" s="682"/>
    </row>
    <row r="135" spans="1:9" x14ac:dyDescent="0.25">
      <c r="A135" s="682"/>
      <c r="B135" s="872" t="s">
        <v>3953</v>
      </c>
      <c r="C135" s="800"/>
      <c r="D135" s="731">
        <f t="shared" si="8"/>
        <v>0</v>
      </c>
      <c r="E135" s="878">
        <f t="shared" si="3"/>
        <v>0</v>
      </c>
      <c r="F135" s="682"/>
      <c r="G135" s="879">
        <f t="shared" si="6"/>
        <v>0</v>
      </c>
      <c r="H135" s="731">
        <f t="shared" si="7"/>
        <v>0</v>
      </c>
      <c r="I135" s="682"/>
    </row>
    <row r="136" spans="1:9" x14ac:dyDescent="0.25">
      <c r="A136" s="682"/>
      <c r="B136" s="872" t="s">
        <v>3954</v>
      </c>
      <c r="C136" s="800"/>
      <c r="D136" s="731">
        <f t="shared" si="8"/>
        <v>0</v>
      </c>
      <c r="E136" s="878">
        <f t="shared" si="3"/>
        <v>0</v>
      </c>
      <c r="F136" s="682"/>
      <c r="G136" s="879">
        <f t="shared" si="6"/>
        <v>0</v>
      </c>
      <c r="H136" s="731">
        <f t="shared" si="7"/>
        <v>0</v>
      </c>
      <c r="I136" s="682"/>
    </row>
    <row r="137" spans="1:9" x14ac:dyDescent="0.25">
      <c r="A137" s="682"/>
      <c r="B137" s="872" t="s">
        <v>3955</v>
      </c>
      <c r="C137" s="800"/>
      <c r="D137" s="731">
        <f t="shared" si="8"/>
        <v>0</v>
      </c>
      <c r="E137" s="878">
        <f t="shared" si="3"/>
        <v>0</v>
      </c>
      <c r="F137" s="682"/>
      <c r="G137" s="879">
        <f t="shared" si="6"/>
        <v>0</v>
      </c>
      <c r="H137" s="731">
        <f t="shared" si="7"/>
        <v>0</v>
      </c>
      <c r="I137" s="682"/>
    </row>
    <row r="138" spans="1:9" x14ac:dyDescent="0.25">
      <c r="A138" s="682"/>
      <c r="B138" s="872" t="s">
        <v>3956</v>
      </c>
      <c r="C138" s="800"/>
      <c r="D138" s="731">
        <f t="shared" si="8"/>
        <v>0</v>
      </c>
      <c r="E138" s="878">
        <f t="shared" si="3"/>
        <v>0</v>
      </c>
      <c r="F138" s="682"/>
      <c r="G138" s="879">
        <f t="shared" si="6"/>
        <v>0</v>
      </c>
      <c r="H138" s="731">
        <f t="shared" si="7"/>
        <v>0</v>
      </c>
      <c r="I138" s="682"/>
    </row>
    <row r="139" spans="1:9" x14ac:dyDescent="0.25">
      <c r="A139" s="682"/>
      <c r="B139" s="872" t="s">
        <v>3941</v>
      </c>
      <c r="C139" s="800"/>
      <c r="D139" s="731">
        <f t="shared" ref="D139:D146" si="9">$C$20*C46</f>
        <v>0</v>
      </c>
      <c r="E139" s="878">
        <f t="shared" si="3"/>
        <v>0</v>
      </c>
      <c r="F139" s="872"/>
      <c r="G139" s="879">
        <f>IF(E139&lt;0,0,E139)</f>
        <v>0</v>
      </c>
      <c r="H139" s="731">
        <f>IF(E139&gt;0,0,E139*-1)</f>
        <v>0</v>
      </c>
      <c r="I139" s="682"/>
    </row>
    <row r="140" spans="1:9" x14ac:dyDescent="0.25">
      <c r="A140" s="682"/>
      <c r="B140" s="872" t="s">
        <v>3942</v>
      </c>
      <c r="C140" s="800"/>
      <c r="D140" s="731">
        <f t="shared" si="9"/>
        <v>0</v>
      </c>
      <c r="E140" s="878">
        <f t="shared" si="3"/>
        <v>0</v>
      </c>
      <c r="F140" s="872"/>
      <c r="G140" s="879">
        <f t="shared" ref="G140:G154" si="10">IF(E140&lt;0,0,E140)</f>
        <v>0</v>
      </c>
      <c r="H140" s="731">
        <f t="shared" ref="H140:H154" si="11">IF(E140&gt;0,0,E140*-1)</f>
        <v>0</v>
      </c>
      <c r="I140" s="682"/>
    </row>
    <row r="141" spans="1:9" x14ac:dyDescent="0.25">
      <c r="A141" s="682"/>
      <c r="B141" s="872" t="s">
        <v>3943</v>
      </c>
      <c r="C141" s="800"/>
      <c r="D141" s="731">
        <f t="shared" si="9"/>
        <v>0</v>
      </c>
      <c r="E141" s="878">
        <f t="shared" si="3"/>
        <v>0</v>
      </c>
      <c r="F141" s="872"/>
      <c r="G141" s="879">
        <f t="shared" si="10"/>
        <v>0</v>
      </c>
      <c r="H141" s="731">
        <f t="shared" si="11"/>
        <v>0</v>
      </c>
      <c r="I141" s="682"/>
    </row>
    <row r="142" spans="1:9" x14ac:dyDescent="0.25">
      <c r="A142" s="682"/>
      <c r="B142" s="872" t="s">
        <v>3944</v>
      </c>
      <c r="C142" s="800"/>
      <c r="D142" s="731">
        <f t="shared" si="9"/>
        <v>0</v>
      </c>
      <c r="E142" s="878">
        <f t="shared" si="3"/>
        <v>0</v>
      </c>
      <c r="F142" s="872"/>
      <c r="G142" s="879">
        <f t="shared" si="10"/>
        <v>0</v>
      </c>
      <c r="H142" s="731">
        <f t="shared" si="11"/>
        <v>0</v>
      </c>
      <c r="I142" s="682"/>
    </row>
    <row r="143" spans="1:9" x14ac:dyDescent="0.25">
      <c r="A143" s="682"/>
      <c r="B143" s="872" t="s">
        <v>3945</v>
      </c>
      <c r="C143" s="800"/>
      <c r="D143" s="731">
        <f t="shared" si="9"/>
        <v>0</v>
      </c>
      <c r="E143" s="878">
        <f t="shared" si="3"/>
        <v>0</v>
      </c>
      <c r="F143" s="872"/>
      <c r="G143" s="879">
        <f t="shared" si="10"/>
        <v>0</v>
      </c>
      <c r="H143" s="731">
        <f t="shared" si="11"/>
        <v>0</v>
      </c>
      <c r="I143" s="682"/>
    </row>
    <row r="144" spans="1:9" x14ac:dyDescent="0.25">
      <c r="A144" s="682"/>
      <c r="B144" s="872" t="s">
        <v>3946</v>
      </c>
      <c r="C144" s="800"/>
      <c r="D144" s="731">
        <f t="shared" si="9"/>
        <v>0</v>
      </c>
      <c r="E144" s="878">
        <f t="shared" si="3"/>
        <v>0</v>
      </c>
      <c r="F144" s="872"/>
      <c r="G144" s="879">
        <f t="shared" si="10"/>
        <v>0</v>
      </c>
      <c r="H144" s="731">
        <f t="shared" si="11"/>
        <v>0</v>
      </c>
      <c r="I144" s="682"/>
    </row>
    <row r="145" spans="1:15" x14ac:dyDescent="0.25">
      <c r="A145" s="682"/>
      <c r="B145" s="872" t="s">
        <v>3947</v>
      </c>
      <c r="C145" s="800"/>
      <c r="D145" s="731">
        <f t="shared" si="9"/>
        <v>0</v>
      </c>
      <c r="E145" s="878">
        <f t="shared" si="3"/>
        <v>0</v>
      </c>
      <c r="F145" s="872"/>
      <c r="G145" s="879">
        <f t="shared" si="10"/>
        <v>0</v>
      </c>
      <c r="H145" s="731">
        <f t="shared" si="11"/>
        <v>0</v>
      </c>
      <c r="I145" s="682"/>
    </row>
    <row r="146" spans="1:15" x14ac:dyDescent="0.25">
      <c r="A146" s="682"/>
      <c r="B146" s="872" t="s">
        <v>3948</v>
      </c>
      <c r="C146" s="800"/>
      <c r="D146" s="731">
        <f t="shared" si="9"/>
        <v>0</v>
      </c>
      <c r="E146" s="878">
        <f t="shared" si="3"/>
        <v>0</v>
      </c>
      <c r="F146" s="872"/>
      <c r="G146" s="879">
        <f t="shared" si="10"/>
        <v>0</v>
      </c>
      <c r="H146" s="731">
        <f t="shared" si="11"/>
        <v>0</v>
      </c>
      <c r="I146" s="682"/>
    </row>
    <row r="147" spans="1:15" ht="26.25" x14ac:dyDescent="0.25">
      <c r="A147" s="682"/>
      <c r="B147" s="1115" t="s">
        <v>4889</v>
      </c>
      <c r="C147" s="1116"/>
      <c r="D147" s="1117">
        <f>$C$27*C46</f>
        <v>0</v>
      </c>
      <c r="E147" s="878">
        <f t="shared" si="3"/>
        <v>0</v>
      </c>
      <c r="F147" s="872"/>
      <c r="G147" s="879">
        <f t="shared" si="10"/>
        <v>0</v>
      </c>
      <c r="H147" s="731">
        <f t="shared" si="11"/>
        <v>0</v>
      </c>
      <c r="I147" s="682"/>
    </row>
    <row r="148" spans="1:15" ht="26.25" x14ac:dyDescent="0.25">
      <c r="A148" s="682"/>
      <c r="B148" s="1115" t="s">
        <v>4890</v>
      </c>
      <c r="C148" s="1116"/>
      <c r="D148" s="1117">
        <f t="shared" ref="D148:D154" si="12">$C$27*C47</f>
        <v>0</v>
      </c>
      <c r="E148" s="878">
        <f t="shared" si="3"/>
        <v>0</v>
      </c>
      <c r="F148" s="872"/>
      <c r="G148" s="879">
        <f t="shared" si="10"/>
        <v>0</v>
      </c>
      <c r="H148" s="731">
        <f t="shared" si="11"/>
        <v>0</v>
      </c>
      <c r="I148" s="682"/>
    </row>
    <row r="149" spans="1:15" ht="26.25" x14ac:dyDescent="0.25">
      <c r="A149" s="682"/>
      <c r="B149" s="1115" t="s">
        <v>4891</v>
      </c>
      <c r="C149" s="1116"/>
      <c r="D149" s="1117">
        <f t="shared" si="12"/>
        <v>0</v>
      </c>
      <c r="E149" s="878">
        <f t="shared" si="3"/>
        <v>0</v>
      </c>
      <c r="F149" s="872"/>
      <c r="G149" s="879">
        <f t="shared" si="10"/>
        <v>0</v>
      </c>
      <c r="H149" s="731">
        <f t="shared" si="11"/>
        <v>0</v>
      </c>
      <c r="I149" s="682"/>
    </row>
    <row r="150" spans="1:15" ht="26.25" x14ac:dyDescent="0.25">
      <c r="A150" s="682"/>
      <c r="B150" s="1115" t="s">
        <v>4892</v>
      </c>
      <c r="C150" s="1116"/>
      <c r="D150" s="1117">
        <f t="shared" si="12"/>
        <v>0</v>
      </c>
      <c r="E150" s="878">
        <f t="shared" si="3"/>
        <v>0</v>
      </c>
      <c r="F150" s="872"/>
      <c r="G150" s="879">
        <f t="shared" si="10"/>
        <v>0</v>
      </c>
      <c r="H150" s="731">
        <f t="shared" si="11"/>
        <v>0</v>
      </c>
      <c r="I150" s="682"/>
    </row>
    <row r="151" spans="1:15" ht="26.25" x14ac:dyDescent="0.25">
      <c r="A151" s="682"/>
      <c r="B151" s="1115" t="s">
        <v>4893</v>
      </c>
      <c r="C151" s="1116"/>
      <c r="D151" s="1117">
        <f t="shared" si="12"/>
        <v>0</v>
      </c>
      <c r="E151" s="878">
        <f t="shared" si="3"/>
        <v>0</v>
      </c>
      <c r="F151" s="872"/>
      <c r="G151" s="879">
        <f t="shared" si="10"/>
        <v>0</v>
      </c>
      <c r="H151" s="731">
        <f t="shared" si="11"/>
        <v>0</v>
      </c>
      <c r="I151" s="682"/>
    </row>
    <row r="152" spans="1:15" ht="26.25" x14ac:dyDescent="0.25">
      <c r="A152" s="682"/>
      <c r="B152" s="1115" t="s">
        <v>4894</v>
      </c>
      <c r="C152" s="1116"/>
      <c r="D152" s="1117">
        <f t="shared" si="12"/>
        <v>0</v>
      </c>
      <c r="E152" s="878">
        <f t="shared" si="3"/>
        <v>0</v>
      </c>
      <c r="F152" s="872"/>
      <c r="G152" s="879">
        <f t="shared" si="10"/>
        <v>0</v>
      </c>
      <c r="H152" s="731">
        <f t="shared" si="11"/>
        <v>0</v>
      </c>
      <c r="I152" s="682"/>
    </row>
    <row r="153" spans="1:15" ht="26.25" x14ac:dyDescent="0.25">
      <c r="A153" s="682"/>
      <c r="B153" s="1115" t="s">
        <v>4895</v>
      </c>
      <c r="C153" s="1116"/>
      <c r="D153" s="1117">
        <f t="shared" si="12"/>
        <v>0</v>
      </c>
      <c r="E153" s="878">
        <f t="shared" si="3"/>
        <v>0</v>
      </c>
      <c r="F153" s="872"/>
      <c r="G153" s="879">
        <f t="shared" si="10"/>
        <v>0</v>
      </c>
      <c r="H153" s="731">
        <f t="shared" si="11"/>
        <v>0</v>
      </c>
      <c r="I153" s="682"/>
    </row>
    <row r="154" spans="1:15" ht="26.25" x14ac:dyDescent="0.25">
      <c r="A154" s="682"/>
      <c r="B154" s="1115" t="s">
        <v>4896</v>
      </c>
      <c r="C154" s="1116"/>
      <c r="D154" s="1117">
        <f t="shared" si="12"/>
        <v>0</v>
      </c>
      <c r="E154" s="878">
        <f t="shared" si="3"/>
        <v>0</v>
      </c>
      <c r="F154" s="872"/>
      <c r="G154" s="879">
        <f t="shared" si="10"/>
        <v>0</v>
      </c>
      <c r="H154" s="731">
        <f t="shared" si="11"/>
        <v>0</v>
      </c>
      <c r="I154" s="682"/>
    </row>
    <row r="155" spans="1:15" x14ac:dyDescent="0.25">
      <c r="A155" s="682"/>
      <c r="B155" s="682"/>
      <c r="C155" s="880">
        <f>SUM(C110:C154)</f>
        <v>0</v>
      </c>
      <c r="D155" s="881">
        <f>SUM(D110:D154)</f>
        <v>0</v>
      </c>
      <c r="E155" s="882">
        <f>SUM(E110:E154)</f>
        <v>0</v>
      </c>
      <c r="F155" s="872"/>
      <c r="G155" s="880">
        <f>SUM(G110:G154)</f>
        <v>0</v>
      </c>
      <c r="H155" s="881">
        <f>SUM(H110:H154)</f>
        <v>0</v>
      </c>
      <c r="I155" s="682"/>
    </row>
    <row r="156" spans="1:15" x14ac:dyDescent="0.25">
      <c r="A156" s="682"/>
      <c r="B156" s="682"/>
      <c r="C156" s="682"/>
      <c r="D156" s="682"/>
      <c r="E156" s="682"/>
      <c r="F156" s="682"/>
      <c r="G156" s="682"/>
      <c r="H156" s="682"/>
      <c r="I156" s="682"/>
    </row>
    <row r="157" spans="1:15" x14ac:dyDescent="0.25">
      <c r="A157" s="682"/>
      <c r="B157" s="682"/>
      <c r="C157" s="682"/>
      <c r="D157" s="682"/>
      <c r="E157" s="682"/>
      <c r="F157" s="682"/>
      <c r="G157" s="682"/>
      <c r="H157" s="682"/>
      <c r="I157" s="682"/>
    </row>
    <row r="158" spans="1:15" x14ac:dyDescent="0.25">
      <c r="G158" s="992"/>
      <c r="O158" s="977"/>
    </row>
    <row r="263" spans="40:40" x14ac:dyDescent="0.25">
      <c r="AN263" s="992" t="e">
        <f>'P. GASB 75 3 OPEB Entries'!D76+'P. GASB 75 3 OPEB Entries'!B87</f>
        <v>#VALUE!</v>
      </c>
    </row>
  </sheetData>
  <mergeCells count="25">
    <mergeCell ref="G108:H108"/>
    <mergeCell ref="A30:B30"/>
    <mergeCell ref="A31:B31"/>
    <mergeCell ref="E31:J31"/>
    <mergeCell ref="A32:B32"/>
    <mergeCell ref="E32:J32"/>
    <mergeCell ref="A33:B33"/>
    <mergeCell ref="E33:J33"/>
    <mergeCell ref="A34:B34"/>
    <mergeCell ref="E34:J34"/>
    <mergeCell ref="B37:I37"/>
    <mergeCell ref="B39:E39"/>
    <mergeCell ref="B105:H106"/>
    <mergeCell ref="E29:I29"/>
    <mergeCell ref="A1:C1"/>
    <mergeCell ref="A3:C3"/>
    <mergeCell ref="A6:C6"/>
    <mergeCell ref="A8:B8"/>
    <mergeCell ref="A10:B10"/>
    <mergeCell ref="A12:B12"/>
    <mergeCell ref="D12:J12"/>
    <mergeCell ref="A14:B14"/>
    <mergeCell ref="A16:B16"/>
    <mergeCell ref="A18:B18"/>
    <mergeCell ref="A20:B20"/>
  </mergeCells>
  <conditionalFormatting sqref="C34">
    <cfRule type="expression" priority="1">
      <formula>MOD(ROW(),2)+0</formula>
    </cfRule>
    <cfRule type="expression" dxfId="0" priority="2">
      <formula>MOD(ROW(),2)=0</formula>
    </cfRule>
  </conditionalFormatting>
  <pageMargins left="0.7" right="0.7" top="0.75" bottom="0.75" header="0.3" footer="0.3"/>
  <pageSetup scale="68" orientation="landscape" r:id="rId1"/>
  <rowBreaks count="1" manualBreakCount="1">
    <brk id="34"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2:P65"/>
  <sheetViews>
    <sheetView workbookViewId="0">
      <selection activeCell="H26" sqref="H26"/>
    </sheetView>
  </sheetViews>
  <sheetFormatPr defaultRowHeight="12.75" x14ac:dyDescent="0.2"/>
  <cols>
    <col min="1" max="1" width="4.42578125" customWidth="1"/>
    <col min="2" max="2" width="3.42578125" customWidth="1"/>
    <col min="6" max="6" width="11.28515625" customWidth="1"/>
    <col min="7" max="7" width="8.42578125" bestFit="1" customWidth="1"/>
    <col min="8" max="8" width="11.42578125" bestFit="1" customWidth="1"/>
    <col min="9" max="9" width="3.140625" customWidth="1"/>
    <col min="10" max="10" width="15.28515625" customWidth="1"/>
    <col min="11" max="11" width="1.140625" customWidth="1"/>
    <col min="12" max="12" width="15.28515625" customWidth="1"/>
    <col min="13" max="13" width="2.140625" customWidth="1"/>
    <col min="14" max="14" width="18" bestFit="1" customWidth="1"/>
    <col min="15" max="15" width="0.85546875" customWidth="1"/>
    <col min="16" max="16" width="1.140625" customWidth="1"/>
  </cols>
  <sheetData>
    <row r="2" spans="1:16" ht="33.75" customHeight="1" x14ac:dyDescent="0.25">
      <c r="A2" s="1200" t="s">
        <v>90</v>
      </c>
      <c r="B2" s="1201"/>
      <c r="C2" s="1201"/>
      <c r="D2" s="1201"/>
      <c r="E2" s="1201"/>
      <c r="F2" s="1201"/>
      <c r="G2" s="1201"/>
      <c r="H2" s="1201"/>
      <c r="I2" s="1201"/>
      <c r="J2" s="1201"/>
      <c r="K2" s="1201"/>
      <c r="L2" s="1201"/>
      <c r="M2" s="1201"/>
      <c r="N2" s="1201"/>
      <c r="O2" s="1202"/>
    </row>
    <row r="3" spans="1:16" x14ac:dyDescent="0.2">
      <c r="H3" s="67"/>
    </row>
    <row r="4" spans="1:16" ht="69" customHeight="1" x14ac:dyDescent="0.2">
      <c r="B4" s="1126" t="s">
        <v>967</v>
      </c>
      <c r="C4" s="1203"/>
      <c r="D4" s="1203"/>
      <c r="E4" s="1203"/>
      <c r="F4" s="1203"/>
      <c r="G4" s="1203"/>
      <c r="H4" s="1203"/>
      <c r="I4" s="1203"/>
      <c r="J4" s="1203"/>
      <c r="K4" s="1203"/>
      <c r="L4" s="1203"/>
      <c r="M4" s="1203"/>
      <c r="N4" s="1203"/>
      <c r="O4" s="1203"/>
      <c r="P4" s="1203"/>
    </row>
    <row r="5" spans="1:16" ht="11.25" customHeight="1" x14ac:dyDescent="0.2">
      <c r="B5" s="59"/>
      <c r="C5" s="60"/>
      <c r="D5" s="60"/>
      <c r="E5" s="60"/>
      <c r="F5" s="60"/>
      <c r="G5" s="60"/>
      <c r="H5" s="60"/>
      <c r="I5" s="60"/>
      <c r="J5" s="60"/>
      <c r="K5" s="60"/>
      <c r="L5" s="60"/>
      <c r="M5" s="60"/>
      <c r="N5" s="60"/>
      <c r="O5" s="60"/>
      <c r="P5" s="60"/>
    </row>
    <row r="6" spans="1:16" ht="17.25" customHeight="1" x14ac:dyDescent="0.2">
      <c r="B6" s="1126" t="s">
        <v>927</v>
      </c>
      <c r="C6" s="1203"/>
      <c r="D6" s="1203"/>
      <c r="E6" s="1203"/>
      <c r="F6" s="1203"/>
      <c r="G6" s="1203"/>
      <c r="H6" s="1203"/>
      <c r="I6" s="1203"/>
      <c r="J6" s="1203"/>
      <c r="K6" s="1203"/>
      <c r="L6" s="1203"/>
      <c r="M6" s="1203"/>
      <c r="N6" s="1203"/>
      <c r="O6" s="60"/>
      <c r="P6" s="60"/>
    </row>
    <row r="7" spans="1:16" ht="4.5" customHeight="1" x14ac:dyDescent="0.2">
      <c r="B7" s="66"/>
      <c r="C7" s="60"/>
      <c r="D7" s="60"/>
      <c r="E7" s="60"/>
      <c r="F7" s="60"/>
      <c r="G7" s="60"/>
      <c r="H7" s="60"/>
      <c r="I7" s="60"/>
      <c r="J7" s="60"/>
      <c r="K7" s="60"/>
      <c r="L7" s="60"/>
      <c r="M7" s="60"/>
      <c r="N7" s="60"/>
      <c r="O7" s="60"/>
      <c r="P7" s="60"/>
    </row>
    <row r="8" spans="1:16" ht="12.75" customHeight="1" x14ac:dyDescent="0.2">
      <c r="A8" s="4"/>
      <c r="B8" s="66" t="s">
        <v>947</v>
      </c>
      <c r="C8" s="1136" t="s">
        <v>1066</v>
      </c>
      <c r="D8" s="1126"/>
      <c r="E8" s="1126"/>
      <c r="F8" s="1126"/>
      <c r="G8" s="1126"/>
      <c r="H8" s="1126"/>
      <c r="I8" s="1126"/>
      <c r="J8" s="1126"/>
      <c r="K8" s="1126"/>
      <c r="L8" s="1126"/>
      <c r="M8" s="1126"/>
      <c r="N8" s="1126"/>
      <c r="O8" s="60"/>
      <c r="P8" s="60"/>
    </row>
    <row r="9" spans="1:16" ht="14.25" customHeight="1" x14ac:dyDescent="0.2">
      <c r="A9" s="4"/>
      <c r="B9" s="66"/>
      <c r="C9" s="1126"/>
      <c r="D9" s="1126"/>
      <c r="E9" s="1126"/>
      <c r="F9" s="1126"/>
      <c r="G9" s="1126"/>
      <c r="H9" s="1126"/>
      <c r="I9" s="1126"/>
      <c r="J9" s="1126"/>
      <c r="K9" s="1126"/>
      <c r="L9" s="1126"/>
      <c r="M9" s="1126"/>
      <c r="N9" s="1126"/>
      <c r="O9" s="60"/>
      <c r="P9" s="60"/>
    </row>
    <row r="10" spans="1:16" ht="4.5" customHeight="1" x14ac:dyDescent="0.2">
      <c r="B10" s="66"/>
      <c r="C10" s="60"/>
      <c r="D10" s="60"/>
      <c r="E10" s="60"/>
      <c r="F10" s="60"/>
      <c r="G10" s="60"/>
      <c r="H10" s="60"/>
      <c r="I10" s="60"/>
      <c r="J10" s="60"/>
      <c r="K10" s="60"/>
      <c r="L10" s="60"/>
      <c r="M10" s="60"/>
      <c r="N10" s="60"/>
      <c r="O10" s="60"/>
      <c r="P10" s="60"/>
    </row>
    <row r="11" spans="1:16" ht="12.75" customHeight="1" x14ac:dyDescent="0.2">
      <c r="B11" s="66" t="s">
        <v>948</v>
      </c>
      <c r="C11" s="1136" t="s">
        <v>1067</v>
      </c>
      <c r="D11" s="1126"/>
      <c r="E11" s="1126"/>
      <c r="F11" s="1126"/>
      <c r="G11" s="1126"/>
      <c r="H11" s="1126"/>
      <c r="I11" s="1126"/>
      <c r="J11" s="1126"/>
      <c r="K11" s="1126"/>
      <c r="L11" s="1126"/>
      <c r="M11" s="1126"/>
      <c r="N11" s="1126"/>
      <c r="O11" s="60"/>
      <c r="P11" s="60"/>
    </row>
    <row r="12" spans="1:16" ht="12.75" customHeight="1" x14ac:dyDescent="0.2">
      <c r="B12" s="66"/>
      <c r="C12" s="1126"/>
      <c r="D12" s="1126"/>
      <c r="E12" s="1126"/>
      <c r="F12" s="1126"/>
      <c r="G12" s="1126"/>
      <c r="H12" s="1126"/>
      <c r="I12" s="1126"/>
      <c r="J12" s="1126"/>
      <c r="K12" s="1126"/>
      <c r="L12" s="1126"/>
      <c r="M12" s="1126"/>
      <c r="N12" s="1126"/>
      <c r="O12" s="60"/>
      <c r="P12" s="60"/>
    </row>
    <row r="13" spans="1:16" ht="4.5" customHeight="1" x14ac:dyDescent="0.2">
      <c r="B13" s="66"/>
      <c r="C13" s="59"/>
      <c r="D13" s="60"/>
      <c r="E13" s="60"/>
      <c r="F13" s="60"/>
      <c r="G13" s="60"/>
      <c r="H13" s="60"/>
      <c r="I13" s="60"/>
      <c r="J13" s="60"/>
      <c r="K13" s="60"/>
      <c r="L13" s="60"/>
      <c r="M13" s="60"/>
      <c r="N13" s="60"/>
      <c r="O13" s="60"/>
      <c r="P13" s="60"/>
    </row>
    <row r="14" spans="1:16" ht="12.75" customHeight="1" x14ac:dyDescent="0.2">
      <c r="B14" s="66" t="s">
        <v>949</v>
      </c>
      <c r="C14" s="1126" t="s">
        <v>801</v>
      </c>
      <c r="D14" s="1126"/>
      <c r="E14" s="1126"/>
      <c r="F14" s="1126"/>
      <c r="G14" s="1126"/>
      <c r="H14" s="1126"/>
      <c r="I14" s="1126"/>
      <c r="J14" s="1126"/>
      <c r="K14" s="1126"/>
      <c r="L14" s="1126"/>
      <c r="M14" s="1126"/>
      <c r="N14" s="1126"/>
      <c r="O14" s="60"/>
      <c r="P14" s="60"/>
    </row>
    <row r="15" spans="1:16" ht="26.25" customHeight="1" x14ac:dyDescent="0.2">
      <c r="B15" s="66"/>
      <c r="C15" s="1126"/>
      <c r="D15" s="1126"/>
      <c r="E15" s="1126"/>
      <c r="F15" s="1126"/>
      <c r="G15" s="1126"/>
      <c r="H15" s="1126"/>
      <c r="I15" s="1126"/>
      <c r="J15" s="1126"/>
      <c r="K15" s="1126"/>
      <c r="L15" s="1126"/>
      <c r="M15" s="1126"/>
      <c r="N15" s="1126"/>
      <c r="O15" s="60"/>
      <c r="P15" s="60"/>
    </row>
    <row r="16" spans="1:16" ht="4.5" customHeight="1" x14ac:dyDescent="0.2">
      <c r="B16" s="66"/>
      <c r="C16" s="59"/>
      <c r="D16" s="60"/>
      <c r="E16" s="60"/>
      <c r="F16" s="60"/>
      <c r="G16" s="60"/>
      <c r="H16" s="60"/>
      <c r="I16" s="60"/>
      <c r="J16" s="60"/>
      <c r="K16" s="60"/>
      <c r="L16" s="60"/>
      <c r="M16" s="60"/>
      <c r="N16" s="60"/>
      <c r="O16" s="60"/>
      <c r="P16" s="60"/>
    </row>
    <row r="17" spans="1:16" ht="12.75" customHeight="1" x14ac:dyDescent="0.2">
      <c r="B17" s="66" t="s">
        <v>878</v>
      </c>
      <c r="C17" s="1126" t="s">
        <v>836</v>
      </c>
      <c r="D17" s="1126"/>
      <c r="E17" s="1126"/>
      <c r="F17" s="1126"/>
      <c r="G17" s="1126"/>
      <c r="H17" s="1126"/>
      <c r="I17" s="1126"/>
      <c r="J17" s="1126"/>
      <c r="K17" s="1126"/>
      <c r="L17" s="1126"/>
      <c r="M17" s="1126"/>
      <c r="N17" s="1126"/>
      <c r="O17" s="60"/>
      <c r="P17" s="60"/>
    </row>
    <row r="18" spans="1:16" ht="25.5" customHeight="1" x14ac:dyDescent="0.2">
      <c r="B18" s="66"/>
      <c r="C18" s="1126"/>
      <c r="D18" s="1126"/>
      <c r="E18" s="1126"/>
      <c r="F18" s="1126"/>
      <c r="G18" s="1126"/>
      <c r="H18" s="1126"/>
      <c r="I18" s="1126"/>
      <c r="J18" s="1126"/>
      <c r="K18" s="1126"/>
      <c r="L18" s="1126"/>
      <c r="M18" s="1126"/>
      <c r="N18" s="1126"/>
      <c r="O18" s="60"/>
      <c r="P18" s="60"/>
    </row>
    <row r="19" spans="1:16" ht="12" customHeight="1" x14ac:dyDescent="0.2">
      <c r="B19" s="59"/>
      <c r="C19" s="60"/>
      <c r="D19" s="60"/>
      <c r="E19" s="60"/>
      <c r="F19" s="60"/>
      <c r="G19" s="60"/>
      <c r="H19" s="60"/>
      <c r="I19" s="60"/>
      <c r="J19" s="60"/>
      <c r="K19" s="60"/>
      <c r="L19" s="60"/>
      <c r="M19" s="60"/>
      <c r="N19" s="60"/>
      <c r="O19" s="60"/>
      <c r="P19" s="60"/>
    </row>
    <row r="20" spans="1:16" ht="25.5" customHeight="1" x14ac:dyDescent="0.2">
      <c r="A20" s="4" t="s">
        <v>876</v>
      </c>
      <c r="B20" s="1204" t="s">
        <v>1068</v>
      </c>
      <c r="C20" s="1205"/>
      <c r="D20" s="1205"/>
      <c r="E20" s="1205"/>
      <c r="F20" s="1205"/>
      <c r="G20" s="1205"/>
      <c r="H20" s="1205"/>
      <c r="I20" s="1205"/>
      <c r="J20" s="1205"/>
      <c r="K20" s="1205"/>
      <c r="L20" s="1205"/>
      <c r="M20" s="1205"/>
      <c r="N20" s="1206"/>
      <c r="O20" s="60"/>
      <c r="P20" s="60"/>
    </row>
    <row r="22" spans="1:16" x14ac:dyDescent="0.2">
      <c r="B22" s="78" t="s">
        <v>503</v>
      </c>
    </row>
    <row r="23" spans="1:16" ht="3" customHeight="1" x14ac:dyDescent="0.2"/>
    <row r="24" spans="1:16" ht="12" customHeight="1" x14ac:dyDescent="0.2">
      <c r="H24" s="3" t="s">
        <v>62</v>
      </c>
    </row>
    <row r="25" spans="1:16" x14ac:dyDescent="0.2">
      <c r="B25" t="s">
        <v>467</v>
      </c>
    </row>
    <row r="26" spans="1:16" x14ac:dyDescent="0.2">
      <c r="C26" s="229" t="s">
        <v>1069</v>
      </c>
      <c r="H26" s="514"/>
      <c r="J26" s="619" t="s">
        <v>985</v>
      </c>
    </row>
    <row r="27" spans="1:16" ht="6" customHeight="1" x14ac:dyDescent="0.2">
      <c r="H27" s="515"/>
    </row>
    <row r="28" spans="1:16" x14ac:dyDescent="0.2">
      <c r="C28" t="s">
        <v>468</v>
      </c>
      <c r="H28" s="516"/>
      <c r="J28" s="68"/>
    </row>
    <row r="29" spans="1:16" x14ac:dyDescent="0.2">
      <c r="H29" s="1"/>
    </row>
    <row r="30" spans="1:16" ht="13.5" thickBot="1" x14ac:dyDescent="0.25">
      <c r="H30" s="111">
        <f>SUM(H26:H29)</f>
        <v>0</v>
      </c>
    </row>
    <row r="31" spans="1:16" ht="13.5" thickTop="1" x14ac:dyDescent="0.2">
      <c r="H31" s="81"/>
      <c r="L31" s="146"/>
    </row>
    <row r="32" spans="1:16" x14ac:dyDescent="0.2">
      <c r="H32" s="1"/>
    </row>
    <row r="33" spans="1:14" x14ac:dyDescent="0.2">
      <c r="H33" s="1"/>
    </row>
    <row r="34" spans="1:14" ht="25.5" customHeight="1" x14ac:dyDescent="0.2">
      <c r="A34" s="4" t="s">
        <v>877</v>
      </c>
      <c r="B34" s="1210" t="s">
        <v>1070</v>
      </c>
      <c r="C34" s="1212"/>
      <c r="D34" s="1212"/>
      <c r="E34" s="1212"/>
      <c r="F34" s="1212"/>
      <c r="G34" s="1212"/>
      <c r="H34" s="1212"/>
      <c r="I34" s="1212"/>
      <c r="J34" s="1212"/>
      <c r="K34" s="1212"/>
      <c r="L34" s="1212"/>
      <c r="M34" s="1212"/>
      <c r="N34" s="1213"/>
    </row>
    <row r="35" spans="1:14" x14ac:dyDescent="0.2">
      <c r="H35" s="1"/>
    </row>
    <row r="36" spans="1:14" x14ac:dyDescent="0.2">
      <c r="B36" s="78" t="s">
        <v>503</v>
      </c>
      <c r="H36" s="1"/>
    </row>
    <row r="37" spans="1:14" ht="3.75" customHeight="1" x14ac:dyDescent="0.2">
      <c r="H37" s="1"/>
    </row>
    <row r="38" spans="1:14" x14ac:dyDescent="0.2">
      <c r="H38" s="3" t="s">
        <v>62</v>
      </c>
    </row>
    <row r="39" spans="1:14" x14ac:dyDescent="0.2">
      <c r="B39" t="s">
        <v>467</v>
      </c>
    </row>
    <row r="40" spans="1:14" x14ac:dyDescent="0.2">
      <c r="C40" s="229" t="s">
        <v>1071</v>
      </c>
      <c r="H40" s="514"/>
      <c r="J40" s="619" t="s">
        <v>985</v>
      </c>
    </row>
    <row r="41" spans="1:14" ht="6" customHeight="1" x14ac:dyDescent="0.2">
      <c r="H41" s="515"/>
    </row>
    <row r="42" spans="1:14" x14ac:dyDescent="0.2">
      <c r="C42" t="s">
        <v>1014</v>
      </c>
      <c r="H42" s="516"/>
      <c r="J42" s="68"/>
    </row>
    <row r="43" spans="1:14" x14ac:dyDescent="0.2">
      <c r="H43" s="1"/>
    </row>
    <row r="44" spans="1:14" ht="13.5" thickBot="1" x14ac:dyDescent="0.25">
      <c r="H44" s="111">
        <f>SUM(H40:H43)</f>
        <v>0</v>
      </c>
    </row>
    <row r="45" spans="1:14" ht="13.5" thickTop="1" x14ac:dyDescent="0.2">
      <c r="H45" s="81"/>
    </row>
    <row r="46" spans="1:14" x14ac:dyDescent="0.2">
      <c r="H46" s="11"/>
    </row>
    <row r="48" spans="1:14" ht="25.5" customHeight="1" x14ac:dyDescent="0.2">
      <c r="A48" s="4" t="s">
        <v>466</v>
      </c>
      <c r="B48" s="1207" t="s">
        <v>416</v>
      </c>
      <c r="C48" s="1208"/>
      <c r="D48" s="1208"/>
      <c r="E48" s="1208"/>
      <c r="F48" s="1208"/>
      <c r="G48" s="1208"/>
      <c r="H48" s="1208"/>
      <c r="I48" s="1208"/>
      <c r="J48" s="1208"/>
      <c r="K48" s="1208"/>
      <c r="L48" s="1208"/>
      <c r="M48" s="1208"/>
      <c r="N48" s="1209"/>
    </row>
    <row r="49" spans="1:14" ht="12.75" customHeight="1" x14ac:dyDescent="0.2">
      <c r="A49" s="4"/>
      <c r="B49" s="69"/>
      <c r="C49" s="69"/>
      <c r="D49" s="69"/>
      <c r="E49" s="69"/>
      <c r="F49" s="69"/>
      <c r="G49" s="69"/>
      <c r="H49" s="69"/>
      <c r="I49" s="54"/>
      <c r="J49" s="54"/>
      <c r="K49" s="54"/>
      <c r="L49" s="54"/>
      <c r="M49" s="54"/>
      <c r="N49" s="54"/>
    </row>
    <row r="51" spans="1:14" x14ac:dyDescent="0.2">
      <c r="J51" s="74" t="s">
        <v>65</v>
      </c>
      <c r="K51" s="63"/>
      <c r="L51" s="74" t="s">
        <v>66</v>
      </c>
    </row>
    <row r="52" spans="1:14" ht="6" customHeight="1" x14ac:dyDescent="0.2">
      <c r="J52" s="63"/>
      <c r="K52" s="63"/>
      <c r="L52" s="63"/>
    </row>
    <row r="53" spans="1:14" x14ac:dyDescent="0.2">
      <c r="A53" s="168" t="s">
        <v>724</v>
      </c>
      <c r="B53" t="s">
        <v>823</v>
      </c>
      <c r="H53" s="61"/>
      <c r="I53" s="13"/>
      <c r="J53" s="325">
        <f>IF(H26&gt;=0,H26,"")</f>
        <v>0</v>
      </c>
      <c r="K53" s="120"/>
      <c r="L53" s="109" t="str">
        <f>IF(H26&lt;0,H26,"")</f>
        <v/>
      </c>
      <c r="N53" s="2"/>
    </row>
    <row r="54" spans="1:14" x14ac:dyDescent="0.2">
      <c r="A54" s="168"/>
      <c r="B54" t="s">
        <v>893</v>
      </c>
      <c r="H54" s="61"/>
      <c r="I54" s="13"/>
      <c r="J54" s="109">
        <f>IF(H28&gt;=0,H28,"")</f>
        <v>0</v>
      </c>
      <c r="K54" s="120"/>
      <c r="L54" s="109" t="str">
        <f>IF(H28&lt;0,H28,"")</f>
        <v/>
      </c>
      <c r="N54" s="2"/>
    </row>
    <row r="55" spans="1:14" x14ac:dyDescent="0.2">
      <c r="A55" s="168"/>
      <c r="C55" t="s">
        <v>91</v>
      </c>
      <c r="H55" s="61"/>
      <c r="I55" s="13"/>
      <c r="J55" s="109" t="str">
        <f>IF(H30&lt;0,H30,"")</f>
        <v/>
      </c>
      <c r="K55" s="120"/>
      <c r="L55" s="109">
        <f>IF(H30&gt;=0,H30,"")</f>
        <v>0</v>
      </c>
    </row>
    <row r="56" spans="1:14" ht="6" customHeight="1" x14ac:dyDescent="0.2">
      <c r="A56" s="168"/>
      <c r="H56" s="61"/>
      <c r="I56" s="13"/>
      <c r="J56" s="1"/>
      <c r="K56" s="120"/>
      <c r="L56" s="1"/>
    </row>
    <row r="57" spans="1:14" x14ac:dyDescent="0.2">
      <c r="A57" s="168" t="s">
        <v>725</v>
      </c>
      <c r="B57" s="229" t="s">
        <v>1072</v>
      </c>
      <c r="J57" s="109">
        <f>IF(H40&gt;=0,H40,"")</f>
        <v>0</v>
      </c>
      <c r="K57" s="120"/>
      <c r="L57" s="109" t="str">
        <f>IF(H40&lt;0,H40,"")</f>
        <v/>
      </c>
    </row>
    <row r="58" spans="1:14" x14ac:dyDescent="0.2">
      <c r="A58" s="168"/>
      <c r="B58" t="s">
        <v>893</v>
      </c>
      <c r="J58" s="109">
        <f>IF((H42-H28)&gt;=0,(H42-H28),0)</f>
        <v>0</v>
      </c>
      <c r="K58" s="120"/>
      <c r="L58" s="109">
        <f>IF((H42-H28)&lt;0,(H42-H28)*-1,0)</f>
        <v>0</v>
      </c>
    </row>
    <row r="59" spans="1:14" x14ac:dyDescent="0.2">
      <c r="C59" t="s">
        <v>824</v>
      </c>
      <c r="J59" s="109">
        <f>IF(H40+(H42-H28)&lt;0,(H40+(H42-H28))*-1,0)</f>
        <v>0</v>
      </c>
      <c r="K59" s="120"/>
      <c r="L59" s="109">
        <f>IF(H40+(H42-H28)&gt;=0,H40+(H42-H28),0)</f>
        <v>0</v>
      </c>
    </row>
    <row r="60" spans="1:14" ht="12.75" customHeight="1" x14ac:dyDescent="0.2">
      <c r="J60" s="1"/>
      <c r="K60" s="120"/>
      <c r="L60" s="1"/>
    </row>
    <row r="61" spans="1:14" ht="13.5" thickBot="1" x14ac:dyDescent="0.25">
      <c r="J61" s="105">
        <f>SUM(J53:J60)</f>
        <v>0</v>
      </c>
      <c r="K61" s="10"/>
      <c r="L61" s="105">
        <f>SUM(L53:L60)</f>
        <v>0</v>
      </c>
    </row>
    <row r="62" spans="1:14" ht="13.5" thickTop="1" x14ac:dyDescent="0.2">
      <c r="K62" s="13"/>
    </row>
    <row r="63" spans="1:14" x14ac:dyDescent="0.2">
      <c r="B63" t="s">
        <v>946</v>
      </c>
      <c r="C63" t="s">
        <v>894</v>
      </c>
    </row>
    <row r="65" spans="2:2" x14ac:dyDescent="0.2">
      <c r="B65" s="36"/>
    </row>
  </sheetData>
  <sheetProtection password="C1DF" sheet="1"/>
  <mergeCells count="10">
    <mergeCell ref="B48:N48"/>
    <mergeCell ref="B20:N20"/>
    <mergeCell ref="B34:N34"/>
    <mergeCell ref="C11:N12"/>
    <mergeCell ref="C14:N15"/>
    <mergeCell ref="A2:O2"/>
    <mergeCell ref="B6:N6"/>
    <mergeCell ref="B4:P4"/>
    <mergeCell ref="C8:N9"/>
    <mergeCell ref="C17:N18"/>
  </mergeCells>
  <phoneticPr fontId="13" type="noConversion"/>
  <printOptions horizontalCentered="1"/>
  <pageMargins left="0.5" right="0.45" top="0.72" bottom="0.71" header="0.5" footer="0.5"/>
  <pageSetup scale="75" orientation="portrait" r:id="rId1"/>
  <headerFooter alignWithMargins="0">
    <oddHeader>&amp;R&amp;"Arial,Bold"&amp;12Entry  B</oddHeader>
    <oddFooter>&amp;L&amp;8&amp;D - City model&amp;R&amp;P</oddFooter>
  </headerFooter>
  <rowBreaks count="1" manualBreakCount="1">
    <brk id="63" max="1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2:AF290"/>
  <sheetViews>
    <sheetView workbookViewId="0">
      <selection activeCell="M26" sqref="M26:M27"/>
    </sheetView>
  </sheetViews>
  <sheetFormatPr defaultRowHeight="12.75" x14ac:dyDescent="0.2"/>
  <cols>
    <col min="1" max="1" width="1.5703125" customWidth="1"/>
    <col min="2" max="2" width="4.42578125" customWidth="1"/>
    <col min="3" max="3" width="3.42578125" customWidth="1"/>
    <col min="7" max="7" width="11.28515625" customWidth="1"/>
    <col min="8" max="8" width="9.28515625" customWidth="1"/>
    <col min="9" max="9" width="12.85546875" customWidth="1"/>
    <col min="10" max="10" width="3.140625" customWidth="1"/>
    <col min="11" max="11" width="15.28515625" customWidth="1"/>
    <col min="12" max="12" width="1.140625" customWidth="1"/>
    <col min="13" max="13" width="15.28515625" customWidth="1"/>
    <col min="14" max="14" width="3" customWidth="1"/>
    <col min="15" max="15" width="18.140625" bestFit="1" customWidth="1"/>
    <col min="16" max="16" width="0.85546875" customWidth="1"/>
    <col min="17" max="17" width="10.7109375" customWidth="1"/>
    <col min="18" max="22" width="10.28515625" bestFit="1" customWidth="1"/>
    <col min="23" max="26" width="9.28515625" bestFit="1" customWidth="1"/>
    <col min="27" max="28" width="9.28515625" customWidth="1"/>
    <col min="29" max="30" width="10.28515625" bestFit="1" customWidth="1"/>
    <col min="31" max="31" width="8.7109375" bestFit="1" customWidth="1"/>
  </cols>
  <sheetData>
    <row r="2" spans="2:18" ht="33.75" customHeight="1" x14ac:dyDescent="0.25">
      <c r="B2" s="1200" t="s">
        <v>827</v>
      </c>
      <c r="C2" s="1201"/>
      <c r="D2" s="1201"/>
      <c r="E2" s="1201"/>
      <c r="F2" s="1201"/>
      <c r="G2" s="1201"/>
      <c r="H2" s="1201"/>
      <c r="I2" s="1201"/>
      <c r="J2" s="1201"/>
      <c r="K2" s="1201"/>
      <c r="L2" s="1201"/>
      <c r="M2" s="1201"/>
      <c r="N2" s="1201"/>
      <c r="O2" s="1202"/>
      <c r="P2" s="85"/>
      <c r="Q2" s="14"/>
      <c r="R2" s="14"/>
    </row>
    <row r="3" spans="2:18" x14ac:dyDescent="0.2">
      <c r="I3" s="67"/>
    </row>
    <row r="4" spans="2:18" ht="67.5" customHeight="1" x14ac:dyDescent="0.2">
      <c r="C4" s="1136" t="s">
        <v>1073</v>
      </c>
      <c r="D4" s="1126"/>
      <c r="E4" s="1126"/>
      <c r="F4" s="1126"/>
      <c r="G4" s="1126"/>
      <c r="H4" s="1126"/>
      <c r="I4" s="1126"/>
      <c r="J4" s="1126"/>
      <c r="K4" s="1126"/>
      <c r="L4" s="1126"/>
      <c r="M4" s="1126"/>
      <c r="N4" s="1126"/>
      <c r="O4" s="1126"/>
      <c r="P4" s="60"/>
      <c r="Q4" s="60"/>
    </row>
    <row r="5" spans="2:18" ht="4.5" customHeight="1" x14ac:dyDescent="0.2">
      <c r="C5" s="59"/>
      <c r="D5" s="60"/>
      <c r="E5" s="60"/>
      <c r="F5" s="60"/>
      <c r="G5" s="60"/>
      <c r="H5" s="60"/>
      <c r="I5" s="60"/>
      <c r="J5" s="60"/>
      <c r="K5" s="60"/>
      <c r="L5" s="60"/>
      <c r="M5" s="60"/>
      <c r="N5" s="60"/>
      <c r="O5" s="60"/>
      <c r="P5" s="60"/>
      <c r="Q5" s="60"/>
    </row>
    <row r="6" spans="2:18" ht="37.5" customHeight="1" x14ac:dyDescent="0.2">
      <c r="C6" s="1136" t="s">
        <v>1074</v>
      </c>
      <c r="D6" s="1126"/>
      <c r="E6" s="1126"/>
      <c r="F6" s="1126"/>
      <c r="G6" s="1126"/>
      <c r="H6" s="1126"/>
      <c r="I6" s="1126"/>
      <c r="J6" s="1126"/>
      <c r="K6" s="1126"/>
      <c r="L6" s="1126"/>
      <c r="M6" s="1126"/>
      <c r="N6" s="1126"/>
      <c r="O6" s="1126"/>
      <c r="P6" s="60"/>
      <c r="Q6" s="60"/>
    </row>
    <row r="7" spans="2:18" ht="11.25" customHeight="1" x14ac:dyDescent="0.2">
      <c r="C7" s="59"/>
      <c r="D7" s="59"/>
      <c r="E7" s="59"/>
      <c r="F7" s="59"/>
      <c r="G7" s="59"/>
      <c r="H7" s="59"/>
      <c r="I7" s="59"/>
      <c r="J7" s="59"/>
      <c r="K7" s="59"/>
      <c r="L7" s="59"/>
      <c r="M7" s="59"/>
      <c r="N7" s="59"/>
      <c r="O7" s="59"/>
      <c r="P7" s="60"/>
      <c r="Q7" s="60"/>
    </row>
    <row r="8" spans="2:18" ht="17.25" customHeight="1" x14ac:dyDescent="0.2">
      <c r="C8" s="1126" t="s">
        <v>440</v>
      </c>
      <c r="D8" s="1203"/>
      <c r="E8" s="1203"/>
      <c r="F8" s="1203"/>
      <c r="G8" s="1203"/>
      <c r="H8" s="1203"/>
      <c r="I8" s="1203"/>
      <c r="J8" s="1203"/>
      <c r="K8" s="1203"/>
      <c r="L8" s="1203"/>
      <c r="M8" s="1203"/>
      <c r="N8" s="1203"/>
      <c r="O8" s="1203"/>
      <c r="P8" s="60"/>
      <c r="Q8" s="60"/>
    </row>
    <row r="9" spans="2:18" ht="4.5" customHeight="1" x14ac:dyDescent="0.2">
      <c r="C9" s="66"/>
      <c r="D9" s="60"/>
      <c r="E9" s="60"/>
      <c r="F9" s="60"/>
      <c r="G9" s="60"/>
      <c r="H9" s="60"/>
      <c r="I9" s="60"/>
      <c r="J9" s="60"/>
      <c r="K9" s="60"/>
      <c r="L9" s="60"/>
      <c r="M9" s="60"/>
      <c r="N9" s="60"/>
      <c r="O9" s="60"/>
      <c r="P9" s="60"/>
      <c r="Q9" s="60"/>
    </row>
    <row r="10" spans="2:18" ht="12" customHeight="1" x14ac:dyDescent="0.2">
      <c r="B10" s="4"/>
      <c r="C10" s="66" t="s">
        <v>947</v>
      </c>
      <c r="D10" s="1136" t="s">
        <v>1075</v>
      </c>
      <c r="E10" s="1126"/>
      <c r="F10" s="1126"/>
      <c r="G10" s="1126"/>
      <c r="H10" s="1126"/>
      <c r="I10" s="1126"/>
      <c r="J10" s="1126"/>
      <c r="K10" s="1126"/>
      <c r="L10" s="1126"/>
      <c r="M10" s="1126"/>
      <c r="N10" s="1126"/>
      <c r="O10" s="1126"/>
      <c r="P10" s="60"/>
      <c r="Q10" s="60"/>
    </row>
    <row r="11" spans="2:18" ht="12.75" customHeight="1" x14ac:dyDescent="0.2">
      <c r="B11" s="4"/>
      <c r="C11" s="66"/>
      <c r="D11" s="1126"/>
      <c r="E11" s="1126"/>
      <c r="F11" s="1126"/>
      <c r="G11" s="1126"/>
      <c r="H11" s="1126"/>
      <c r="I11" s="1126"/>
      <c r="J11" s="1126"/>
      <c r="K11" s="1126"/>
      <c r="L11" s="1126"/>
      <c r="M11" s="1126"/>
      <c r="N11" s="1126"/>
      <c r="O11" s="1126"/>
      <c r="P11" s="60"/>
      <c r="Q11" s="60"/>
    </row>
    <row r="12" spans="2:18" ht="4.5" customHeight="1" x14ac:dyDescent="0.2">
      <c r="C12" s="66"/>
      <c r="D12" s="60"/>
      <c r="E12" s="60"/>
      <c r="F12" s="60"/>
      <c r="G12" s="60"/>
      <c r="H12" s="60"/>
      <c r="I12" s="60"/>
      <c r="J12" s="60"/>
      <c r="K12" s="60"/>
      <c r="L12" s="60"/>
      <c r="M12" s="60"/>
      <c r="N12" s="60"/>
      <c r="O12" s="60"/>
      <c r="P12" s="60"/>
      <c r="Q12" s="60"/>
    </row>
    <row r="13" spans="2:18" ht="12.75" customHeight="1" x14ac:dyDescent="0.2">
      <c r="C13" s="66" t="s">
        <v>948</v>
      </c>
      <c r="D13" s="1136" t="s">
        <v>1076</v>
      </c>
      <c r="E13" s="1126"/>
      <c r="F13" s="1126"/>
      <c r="G13" s="1126"/>
      <c r="H13" s="1126"/>
      <c r="I13" s="1126"/>
      <c r="J13" s="1126"/>
      <c r="K13" s="1126"/>
      <c r="L13" s="1126"/>
      <c r="M13" s="1126"/>
      <c r="N13" s="1126"/>
      <c r="O13" s="1126"/>
      <c r="P13" s="60"/>
      <c r="Q13" s="60"/>
    </row>
    <row r="14" spans="2:18" ht="11.25" customHeight="1" x14ac:dyDescent="0.2">
      <c r="C14" s="66"/>
      <c r="D14" s="1126"/>
      <c r="E14" s="1126"/>
      <c r="F14" s="1126"/>
      <c r="G14" s="1126"/>
      <c r="H14" s="1126"/>
      <c r="I14" s="1126"/>
      <c r="J14" s="1126"/>
      <c r="K14" s="1126"/>
      <c r="L14" s="1126"/>
      <c r="M14" s="1126"/>
      <c r="N14" s="1126"/>
      <c r="O14" s="1126"/>
      <c r="P14" s="60"/>
      <c r="Q14" s="60"/>
    </row>
    <row r="15" spans="2:18" ht="4.5" customHeight="1" x14ac:dyDescent="0.2">
      <c r="C15" s="66"/>
      <c r="D15" s="59"/>
      <c r="E15" s="60"/>
      <c r="F15" s="60"/>
      <c r="G15" s="60"/>
      <c r="H15" s="60"/>
      <c r="I15" s="60"/>
      <c r="J15" s="60"/>
      <c r="K15" s="60"/>
      <c r="L15" s="60"/>
      <c r="M15" s="60"/>
      <c r="N15" s="60"/>
      <c r="O15" s="60"/>
      <c r="P15" s="60"/>
      <c r="Q15" s="60"/>
    </row>
    <row r="16" spans="2:18" ht="12.75" customHeight="1" x14ac:dyDescent="0.2">
      <c r="C16" s="66" t="s">
        <v>949</v>
      </c>
      <c r="D16" s="1126" t="s">
        <v>9</v>
      </c>
      <c r="E16" s="1126"/>
      <c r="F16" s="1126"/>
      <c r="G16" s="1126"/>
      <c r="H16" s="1126"/>
      <c r="I16" s="1126"/>
      <c r="J16" s="1126"/>
      <c r="K16" s="1126"/>
      <c r="L16" s="1126"/>
      <c r="M16" s="1126"/>
      <c r="N16" s="1126"/>
      <c r="O16" s="1126"/>
      <c r="P16" s="60"/>
      <c r="Q16" s="60"/>
    </row>
    <row r="17" spans="2:17" ht="11.25" customHeight="1" x14ac:dyDescent="0.2">
      <c r="C17" s="66"/>
      <c r="D17" s="1126"/>
      <c r="E17" s="1126"/>
      <c r="F17" s="1126"/>
      <c r="G17" s="1126"/>
      <c r="H17" s="1126"/>
      <c r="I17" s="1126"/>
      <c r="J17" s="1126"/>
      <c r="K17" s="1126"/>
      <c r="L17" s="1126"/>
      <c r="M17" s="1126"/>
      <c r="N17" s="1126"/>
      <c r="O17" s="1126"/>
      <c r="P17" s="60"/>
      <c r="Q17" s="60"/>
    </row>
    <row r="18" spans="2:17" ht="4.5" customHeight="1" x14ac:dyDescent="0.2">
      <c r="C18" s="66"/>
      <c r="D18" s="59"/>
      <c r="E18" s="60"/>
      <c r="F18" s="60"/>
      <c r="G18" s="60"/>
      <c r="H18" s="60"/>
      <c r="I18" s="60"/>
      <c r="J18" s="60"/>
      <c r="K18" s="60"/>
      <c r="L18" s="60"/>
      <c r="M18" s="60"/>
      <c r="N18" s="60"/>
      <c r="O18" s="60"/>
      <c r="P18" s="60"/>
      <c r="Q18" s="60"/>
    </row>
    <row r="19" spans="2:17" ht="12.75" customHeight="1" x14ac:dyDescent="0.2">
      <c r="C19" s="66" t="s">
        <v>878</v>
      </c>
      <c r="D19" s="1126" t="s">
        <v>414</v>
      </c>
      <c r="E19" s="1126"/>
      <c r="F19" s="1126"/>
      <c r="G19" s="1126"/>
      <c r="H19" s="1126"/>
      <c r="I19" s="1126"/>
      <c r="J19" s="1126"/>
      <c r="K19" s="1126"/>
      <c r="L19" s="1126"/>
      <c r="M19" s="1126"/>
      <c r="N19" s="1126"/>
      <c r="O19" s="1126"/>
      <c r="P19" s="60"/>
      <c r="Q19" s="60"/>
    </row>
    <row r="20" spans="2:17" ht="12" customHeight="1" x14ac:dyDescent="0.2">
      <c r="C20" s="59"/>
      <c r="D20" s="1126"/>
      <c r="E20" s="1126"/>
      <c r="F20" s="1126"/>
      <c r="G20" s="1126"/>
      <c r="H20" s="1126"/>
      <c r="I20" s="1126"/>
      <c r="J20" s="1126"/>
      <c r="K20" s="1126"/>
      <c r="L20" s="1126"/>
      <c r="M20" s="1126"/>
      <c r="N20" s="1126"/>
      <c r="O20" s="1126"/>
      <c r="P20" s="60"/>
      <c r="Q20" s="60"/>
    </row>
    <row r="21" spans="2:17" ht="12" customHeight="1" x14ac:dyDescent="0.2">
      <c r="C21" s="59"/>
      <c r="D21" s="59"/>
      <c r="E21" s="60"/>
      <c r="F21" s="60"/>
      <c r="G21" s="60"/>
      <c r="H21" s="60"/>
      <c r="I21" s="60"/>
      <c r="J21" s="60"/>
      <c r="K21" s="60"/>
      <c r="L21" s="60"/>
      <c r="M21" s="60"/>
      <c r="N21" s="60"/>
      <c r="O21" s="60"/>
      <c r="P21" s="60"/>
      <c r="Q21" s="60"/>
    </row>
    <row r="22" spans="2:17" ht="25.5" customHeight="1" x14ac:dyDescent="0.2">
      <c r="B22" s="4" t="s">
        <v>876</v>
      </c>
      <c r="C22" s="1204" t="s">
        <v>1077</v>
      </c>
      <c r="D22" s="1205"/>
      <c r="E22" s="1205"/>
      <c r="F22" s="1205"/>
      <c r="G22" s="1205"/>
      <c r="H22" s="1205"/>
      <c r="I22" s="1205"/>
      <c r="J22" s="1205"/>
      <c r="K22" s="1205"/>
      <c r="L22" s="1205"/>
      <c r="M22" s="1205"/>
      <c r="N22" s="1205"/>
      <c r="O22" s="1206"/>
      <c r="P22" s="60"/>
      <c r="Q22" s="60"/>
    </row>
    <row r="24" spans="2:17" ht="12" customHeight="1" x14ac:dyDescent="0.2">
      <c r="M24" s="3" t="s">
        <v>62</v>
      </c>
    </row>
    <row r="26" spans="2:17" ht="12.75" customHeight="1" x14ac:dyDescent="0.2">
      <c r="C26" s="64" t="s">
        <v>947</v>
      </c>
      <c r="D26" s="1136" t="s">
        <v>1078</v>
      </c>
      <c r="E26" s="1126"/>
      <c r="F26" s="1126"/>
      <c r="G26" s="1126"/>
      <c r="H26" s="1126"/>
      <c r="I26" s="1126"/>
      <c r="J26" s="1126"/>
      <c r="K26" s="1126"/>
      <c r="M26" s="1214"/>
    </row>
    <row r="27" spans="2:17" ht="14.25" customHeight="1" x14ac:dyDescent="0.2">
      <c r="C27" s="64"/>
      <c r="D27" s="1126"/>
      <c r="E27" s="1126"/>
      <c r="F27" s="1126"/>
      <c r="G27" s="1126"/>
      <c r="H27" s="1126"/>
      <c r="I27" s="1126"/>
      <c r="J27" s="1126"/>
      <c r="K27" s="1126"/>
      <c r="M27" s="1214"/>
    </row>
    <row r="28" spans="2:17" ht="6" customHeight="1" x14ac:dyDescent="0.2">
      <c r="M28" s="515"/>
    </row>
    <row r="29" spans="2:17" ht="12.75" customHeight="1" x14ac:dyDescent="0.2">
      <c r="C29" s="64" t="s">
        <v>948</v>
      </c>
      <c r="D29" s="1136" t="s">
        <v>1079</v>
      </c>
      <c r="E29" s="1126"/>
      <c r="F29" s="1126"/>
      <c r="G29" s="1126"/>
      <c r="H29" s="1126"/>
      <c r="I29" s="1126"/>
      <c r="J29" s="1126"/>
      <c r="K29" s="1126"/>
      <c r="M29" s="1216"/>
    </row>
    <row r="30" spans="2:17" x14ac:dyDescent="0.2">
      <c r="D30" s="1126"/>
      <c r="E30" s="1126"/>
      <c r="F30" s="1126"/>
      <c r="G30" s="1126"/>
      <c r="H30" s="1126"/>
      <c r="I30" s="1126"/>
      <c r="J30" s="1126"/>
      <c r="K30" s="1126"/>
      <c r="M30" s="1216"/>
    </row>
    <row r="31" spans="2:17" x14ac:dyDescent="0.2">
      <c r="I31" s="81"/>
    </row>
    <row r="32" spans="2:17" x14ac:dyDescent="0.2">
      <c r="I32" s="1"/>
    </row>
    <row r="33" spans="2:15" ht="25.5" customHeight="1" x14ac:dyDescent="0.2">
      <c r="B33" s="4" t="s">
        <v>877</v>
      </c>
      <c r="C33" s="1210" t="s">
        <v>405</v>
      </c>
      <c r="D33" s="1212"/>
      <c r="E33" s="1212"/>
      <c r="F33" s="1212"/>
      <c r="G33" s="1212"/>
      <c r="H33" s="1212"/>
      <c r="I33" s="1212"/>
      <c r="J33" s="1212"/>
      <c r="K33" s="1212"/>
      <c r="L33" s="1212"/>
      <c r="M33" s="1212"/>
      <c r="N33" s="1212"/>
      <c r="O33" s="1213"/>
    </row>
    <row r="34" spans="2:15" x14ac:dyDescent="0.2">
      <c r="I34" s="1"/>
    </row>
    <row r="35" spans="2:15" x14ac:dyDescent="0.2">
      <c r="M35" s="3" t="s">
        <v>62</v>
      </c>
    </row>
    <row r="37" spans="2:15" ht="12.75" customHeight="1" x14ac:dyDescent="0.2">
      <c r="C37" s="64" t="s">
        <v>947</v>
      </c>
      <c r="D37" s="1136" t="s">
        <v>1080</v>
      </c>
      <c r="E37" s="1126"/>
      <c r="F37" s="1126"/>
      <c r="G37" s="1126"/>
      <c r="H37" s="1126"/>
      <c r="I37" s="1126"/>
      <c r="J37" s="1126"/>
      <c r="K37" s="1126"/>
      <c r="M37" s="1214"/>
    </row>
    <row r="38" spans="2:15" ht="12" customHeight="1" x14ac:dyDescent="0.2">
      <c r="C38" s="64"/>
      <c r="D38" s="1126"/>
      <c r="E38" s="1126"/>
      <c r="F38" s="1126"/>
      <c r="G38" s="1126"/>
      <c r="H38" s="1126"/>
      <c r="I38" s="1126"/>
      <c r="J38" s="1126"/>
      <c r="K38" s="1126"/>
      <c r="M38" s="1214"/>
    </row>
    <row r="39" spans="2:15" ht="6" customHeight="1" x14ac:dyDescent="0.2">
      <c r="M39" s="515"/>
    </row>
    <row r="40" spans="2:15" ht="11.25" customHeight="1" x14ac:dyDescent="0.2">
      <c r="C40" s="64" t="s">
        <v>948</v>
      </c>
      <c r="D40" s="1136" t="s">
        <v>1081</v>
      </c>
      <c r="E40" s="1126"/>
      <c r="F40" s="1126"/>
      <c r="G40" s="1126"/>
      <c r="H40" s="1126"/>
      <c r="I40" s="1126"/>
      <c r="J40" s="1126"/>
      <c r="K40" s="1126"/>
      <c r="M40" s="1216"/>
    </row>
    <row r="41" spans="2:15" x14ac:dyDescent="0.2">
      <c r="D41" s="1126"/>
      <c r="E41" s="1126"/>
      <c r="F41" s="1126"/>
      <c r="G41" s="1126"/>
      <c r="H41" s="1126"/>
      <c r="I41" s="1126"/>
      <c r="J41" s="1126"/>
      <c r="K41" s="1126"/>
      <c r="M41" s="1216"/>
    </row>
    <row r="42" spans="2:15" x14ac:dyDescent="0.2">
      <c r="I42" s="81"/>
    </row>
    <row r="43" spans="2:15" x14ac:dyDescent="0.2">
      <c r="I43" s="81"/>
    </row>
    <row r="44" spans="2:15" ht="25.5" customHeight="1" x14ac:dyDescent="0.2">
      <c r="B44" s="4" t="s">
        <v>466</v>
      </c>
      <c r="C44" s="1207" t="s">
        <v>818</v>
      </c>
      <c r="D44" s="1208"/>
      <c r="E44" s="1208"/>
      <c r="F44" s="1208"/>
      <c r="G44" s="1208"/>
      <c r="H44" s="1208"/>
      <c r="I44" s="1208"/>
      <c r="J44" s="1208"/>
      <c r="K44" s="1208"/>
      <c r="L44" s="1208"/>
      <c r="M44" s="1208"/>
      <c r="N44" s="1208"/>
      <c r="O44" s="1209"/>
    </row>
    <row r="45" spans="2:15" x14ac:dyDescent="0.2">
      <c r="I45" s="81"/>
    </row>
    <row r="46" spans="2:15" x14ac:dyDescent="0.2">
      <c r="M46" s="3" t="s">
        <v>62</v>
      </c>
    </row>
    <row r="48" spans="2:15" ht="12.75" customHeight="1" x14ac:dyDescent="0.2">
      <c r="C48" s="64" t="s">
        <v>947</v>
      </c>
      <c r="D48" s="1136" t="s">
        <v>1082</v>
      </c>
      <c r="E48" s="1126"/>
      <c r="F48" s="1126"/>
      <c r="G48" s="1126"/>
      <c r="H48" s="1126"/>
      <c r="I48" s="1126"/>
      <c r="J48" s="1126"/>
      <c r="K48" s="1126"/>
      <c r="M48" s="1214"/>
    </row>
    <row r="49" spans="2:15" ht="13.5" customHeight="1" x14ac:dyDescent="0.2">
      <c r="C49" s="64"/>
      <c r="D49" s="1126"/>
      <c r="E49" s="1126"/>
      <c r="F49" s="1126"/>
      <c r="G49" s="1126"/>
      <c r="H49" s="1126"/>
      <c r="I49" s="1126"/>
      <c r="J49" s="1126"/>
      <c r="K49" s="1126"/>
      <c r="M49" s="1214"/>
    </row>
    <row r="50" spans="2:15" ht="6" customHeight="1" x14ac:dyDescent="0.2">
      <c r="M50" s="515"/>
    </row>
    <row r="51" spans="2:15" ht="12.75" customHeight="1" x14ac:dyDescent="0.2">
      <c r="C51" s="64" t="s">
        <v>948</v>
      </c>
      <c r="D51" s="1136" t="s">
        <v>1083</v>
      </c>
      <c r="E51" s="1126"/>
      <c r="F51" s="1126"/>
      <c r="G51" s="1126"/>
      <c r="H51" s="1126"/>
      <c r="I51" s="1126"/>
      <c r="J51" s="1126"/>
      <c r="K51" s="1126"/>
      <c r="M51" s="1216"/>
    </row>
    <row r="52" spans="2:15" x14ac:dyDescent="0.2">
      <c r="D52" s="1126"/>
      <c r="E52" s="1126"/>
      <c r="F52" s="1126"/>
      <c r="G52" s="1126"/>
      <c r="H52" s="1126"/>
      <c r="I52" s="1126"/>
      <c r="J52" s="1126"/>
      <c r="K52" s="1126"/>
      <c r="M52" s="1216"/>
    </row>
    <row r="53" spans="2:15" x14ac:dyDescent="0.2">
      <c r="I53" s="81"/>
    </row>
    <row r="54" spans="2:15" x14ac:dyDescent="0.2">
      <c r="I54" s="81"/>
    </row>
    <row r="55" spans="2:15" ht="25.5" customHeight="1" x14ac:dyDescent="0.2">
      <c r="B55" s="4" t="s">
        <v>472</v>
      </c>
      <c r="C55" s="1207" t="s">
        <v>1084</v>
      </c>
      <c r="D55" s="1208"/>
      <c r="E55" s="1208"/>
      <c r="F55" s="1208"/>
      <c r="G55" s="1208"/>
      <c r="H55" s="1208"/>
      <c r="I55" s="1208"/>
      <c r="J55" s="1208"/>
      <c r="K55" s="1208"/>
      <c r="L55" s="1208"/>
      <c r="M55" s="1208"/>
      <c r="N55" s="1208"/>
      <c r="O55" s="1209"/>
    </row>
    <row r="56" spans="2:15" x14ac:dyDescent="0.2">
      <c r="I56" s="81"/>
    </row>
    <row r="57" spans="2:15" x14ac:dyDescent="0.2">
      <c r="M57" s="3" t="s">
        <v>62</v>
      </c>
    </row>
    <row r="59" spans="2:15" ht="12.75" customHeight="1" x14ac:dyDescent="0.2">
      <c r="C59" s="64" t="s">
        <v>947</v>
      </c>
      <c r="D59" s="1136" t="s">
        <v>1085</v>
      </c>
      <c r="E59" s="1126"/>
      <c r="F59" s="1126"/>
      <c r="G59" s="1126"/>
      <c r="H59" s="1126"/>
      <c r="I59" s="1126"/>
      <c r="J59" s="1126"/>
      <c r="K59" s="1126"/>
      <c r="M59" s="1214"/>
    </row>
    <row r="60" spans="2:15" ht="13.5" customHeight="1" x14ac:dyDescent="0.2">
      <c r="C60" s="64"/>
      <c r="D60" s="1126"/>
      <c r="E60" s="1126"/>
      <c r="F60" s="1126"/>
      <c r="G60" s="1126"/>
      <c r="H60" s="1126"/>
      <c r="I60" s="1126"/>
      <c r="J60" s="1126"/>
      <c r="K60" s="1126"/>
      <c r="M60" s="1214"/>
    </row>
    <row r="61" spans="2:15" ht="6" customHeight="1" x14ac:dyDescent="0.2">
      <c r="M61" s="515"/>
    </row>
    <row r="62" spans="2:15" ht="13.5" customHeight="1" x14ac:dyDescent="0.2">
      <c r="C62" s="64" t="s">
        <v>948</v>
      </c>
      <c r="D62" s="1136" t="s">
        <v>1086</v>
      </c>
      <c r="E62" s="1126"/>
      <c r="F62" s="1126"/>
      <c r="G62" s="1126"/>
      <c r="H62" s="1126"/>
      <c r="I62" s="1126"/>
      <c r="J62" s="1126"/>
      <c r="K62" s="1126"/>
      <c r="M62" s="1216"/>
    </row>
    <row r="63" spans="2:15" x14ac:dyDescent="0.2">
      <c r="D63" s="1126"/>
      <c r="E63" s="1126"/>
      <c r="F63" s="1126"/>
      <c r="G63" s="1126"/>
      <c r="H63" s="1126"/>
      <c r="I63" s="1126"/>
      <c r="J63" s="1126"/>
      <c r="K63" s="1126"/>
      <c r="M63" s="1216"/>
    </row>
    <row r="64" spans="2:15" x14ac:dyDescent="0.2">
      <c r="I64" s="81"/>
    </row>
    <row r="65" spans="2:15" x14ac:dyDescent="0.2">
      <c r="I65" s="81"/>
    </row>
    <row r="66" spans="2:15" ht="25.5" customHeight="1" x14ac:dyDescent="0.2">
      <c r="B66" s="4" t="s">
        <v>488</v>
      </c>
      <c r="C66" s="1207" t="s">
        <v>819</v>
      </c>
      <c r="D66" s="1208"/>
      <c r="E66" s="1208"/>
      <c r="F66" s="1208"/>
      <c r="G66" s="1208"/>
      <c r="H66" s="1208"/>
      <c r="I66" s="1208"/>
      <c r="J66" s="1208"/>
      <c r="K66" s="1208"/>
      <c r="L66" s="1208"/>
      <c r="M66" s="1208"/>
      <c r="N66" s="1208"/>
      <c r="O66" s="1209"/>
    </row>
    <row r="67" spans="2:15" x14ac:dyDescent="0.2">
      <c r="I67" s="81"/>
    </row>
    <row r="68" spans="2:15" x14ac:dyDescent="0.2">
      <c r="M68" s="3" t="s">
        <v>62</v>
      </c>
    </row>
    <row r="70" spans="2:15" x14ac:dyDescent="0.2">
      <c r="C70" s="64" t="s">
        <v>947</v>
      </c>
      <c r="D70" s="1136" t="s">
        <v>1087</v>
      </c>
      <c r="E70" s="1126"/>
      <c r="F70" s="1126"/>
      <c r="G70" s="1126"/>
      <c r="H70" s="1126"/>
      <c r="I70" s="1126"/>
      <c r="J70" s="1126"/>
      <c r="K70" s="1126"/>
      <c r="M70" s="1214"/>
    </row>
    <row r="71" spans="2:15" x14ac:dyDescent="0.2">
      <c r="C71" s="64"/>
      <c r="D71" s="1126"/>
      <c r="E71" s="1126"/>
      <c r="F71" s="1126"/>
      <c r="G71" s="1126"/>
      <c r="H71" s="1126"/>
      <c r="I71" s="1126"/>
      <c r="J71" s="1126"/>
      <c r="K71" s="1126"/>
      <c r="M71" s="1214"/>
    </row>
    <row r="72" spans="2:15" x14ac:dyDescent="0.2">
      <c r="M72" s="515"/>
    </row>
    <row r="73" spans="2:15" x14ac:dyDescent="0.2">
      <c r="C73" s="64" t="s">
        <v>948</v>
      </c>
      <c r="D73" s="1136" t="s">
        <v>1088</v>
      </c>
      <c r="E73" s="1126"/>
      <c r="F73" s="1126"/>
      <c r="G73" s="1126"/>
      <c r="H73" s="1126"/>
      <c r="I73" s="1126"/>
      <c r="J73" s="1126"/>
      <c r="K73" s="1126"/>
      <c r="M73" s="1216"/>
    </row>
    <row r="74" spans="2:15" x14ac:dyDescent="0.2">
      <c r="D74" s="1126"/>
      <c r="E74" s="1126"/>
      <c r="F74" s="1126"/>
      <c r="G74" s="1126"/>
      <c r="H74" s="1126"/>
      <c r="I74" s="1126"/>
      <c r="J74" s="1126"/>
      <c r="K74" s="1126"/>
      <c r="M74" s="1216"/>
    </row>
    <row r="75" spans="2:15" x14ac:dyDescent="0.2">
      <c r="I75" s="81"/>
    </row>
    <row r="76" spans="2:15" ht="36.75" customHeight="1" x14ac:dyDescent="0.2">
      <c r="B76" s="4" t="s">
        <v>828</v>
      </c>
      <c r="C76" s="1210" t="s">
        <v>297</v>
      </c>
      <c r="D76" s="1208"/>
      <c r="E76" s="1208"/>
      <c r="F76" s="1208"/>
      <c r="G76" s="1208"/>
      <c r="H76" s="1208"/>
      <c r="I76" s="1208"/>
      <c r="J76" s="1208"/>
      <c r="K76" s="1208"/>
      <c r="L76" s="1208"/>
      <c r="M76" s="1208"/>
      <c r="N76" s="1208"/>
      <c r="O76" s="1209"/>
    </row>
    <row r="77" spans="2:15" ht="6.75" customHeight="1" x14ac:dyDescent="0.2">
      <c r="I77" s="81"/>
    </row>
    <row r="78" spans="2:15" x14ac:dyDescent="0.2">
      <c r="M78" s="3" t="s">
        <v>62</v>
      </c>
    </row>
    <row r="79" spans="2:15" ht="12.75" customHeight="1" x14ac:dyDescent="0.2">
      <c r="C79" s="64" t="s">
        <v>947</v>
      </c>
      <c r="D79" s="1136" t="s">
        <v>1089</v>
      </c>
      <c r="E79" s="1126"/>
      <c r="F79" s="1126"/>
      <c r="G79" s="1126"/>
      <c r="H79" s="1126"/>
      <c r="I79" s="1126"/>
      <c r="J79" s="1126"/>
      <c r="K79" s="1126"/>
      <c r="M79" s="1218"/>
    </row>
    <row r="80" spans="2:15" ht="12" customHeight="1" x14ac:dyDescent="0.2">
      <c r="C80" s="64"/>
      <c r="D80" s="1126"/>
      <c r="E80" s="1126"/>
      <c r="F80" s="1126"/>
      <c r="G80" s="1126"/>
      <c r="H80" s="1126"/>
      <c r="I80" s="1126"/>
      <c r="J80" s="1126"/>
      <c r="K80" s="1126"/>
      <c r="M80" s="1214"/>
    </row>
    <row r="81" spans="3:14" ht="6" customHeight="1" x14ac:dyDescent="0.2">
      <c r="M81" s="515"/>
    </row>
    <row r="82" spans="3:14" ht="14.25" customHeight="1" x14ac:dyDescent="0.2">
      <c r="C82" s="64" t="s">
        <v>948</v>
      </c>
      <c r="D82" s="1126" t="s">
        <v>121</v>
      </c>
      <c r="E82" s="1126"/>
      <c r="F82" s="1126"/>
      <c r="G82" s="1126"/>
      <c r="H82" s="1126"/>
      <c r="I82" s="1126"/>
      <c r="J82" s="1126"/>
      <c r="K82" s="1126"/>
      <c r="M82" s="516">
        <v>0</v>
      </c>
      <c r="N82" s="117" t="s">
        <v>773</v>
      </c>
    </row>
    <row r="83" spans="3:14" ht="6.75" customHeight="1" x14ac:dyDescent="0.2">
      <c r="C83" s="64"/>
      <c r="D83" s="59"/>
      <c r="E83" s="59"/>
      <c r="F83" s="59"/>
      <c r="G83" s="59"/>
      <c r="H83" s="59"/>
      <c r="I83" s="59"/>
      <c r="J83" s="59"/>
      <c r="K83" s="59"/>
      <c r="M83" s="120"/>
      <c r="N83" s="117"/>
    </row>
    <row r="84" spans="3:14" ht="13.5" customHeight="1" x14ac:dyDescent="0.2">
      <c r="C84" s="64" t="s">
        <v>949</v>
      </c>
      <c r="D84" s="1126" t="s">
        <v>777</v>
      </c>
      <c r="E84" s="1126"/>
      <c r="F84" s="1126"/>
      <c r="G84" s="1126"/>
      <c r="H84" s="1126"/>
      <c r="I84" s="1126"/>
      <c r="J84" s="1126"/>
      <c r="K84" s="1126"/>
      <c r="M84" s="120"/>
      <c r="N84" s="117"/>
    </row>
    <row r="85" spans="3:14" ht="11.25" customHeight="1" x14ac:dyDescent="0.2">
      <c r="C85" s="64"/>
      <c r="D85" s="1126"/>
      <c r="E85" s="1126"/>
      <c r="F85" s="1126"/>
      <c r="G85" s="1126"/>
      <c r="H85" s="1126"/>
      <c r="I85" s="1126"/>
      <c r="J85" s="1126"/>
      <c r="K85" s="1126"/>
      <c r="M85" s="120"/>
      <c r="N85" s="117"/>
    </row>
    <row r="86" spans="3:14" ht="12.75" customHeight="1" x14ac:dyDescent="0.2">
      <c r="C86" s="64"/>
      <c r="D86" s="59"/>
      <c r="E86" s="59"/>
      <c r="F86" s="59"/>
      <c r="G86" s="59"/>
      <c r="H86" s="59"/>
      <c r="I86" s="59"/>
      <c r="J86" s="59"/>
      <c r="K86" s="116" t="s">
        <v>62</v>
      </c>
      <c r="M86" s="120"/>
      <c r="N86" s="117"/>
    </row>
    <row r="87" spans="3:14" ht="12.75" customHeight="1" x14ac:dyDescent="0.2">
      <c r="C87" s="64"/>
      <c r="D87" s="59"/>
      <c r="E87" s="59"/>
      <c r="F87" t="s">
        <v>718</v>
      </c>
      <c r="K87" s="512"/>
      <c r="M87" s="294"/>
      <c r="N87" s="117"/>
    </row>
    <row r="88" spans="3:14" ht="12.75" customHeight="1" x14ac:dyDescent="0.2">
      <c r="C88" s="64"/>
      <c r="D88" s="59"/>
      <c r="E88" s="59"/>
      <c r="F88" t="s">
        <v>743</v>
      </c>
      <c r="K88" s="512"/>
      <c r="M88" s="294"/>
      <c r="N88" s="117"/>
    </row>
    <row r="89" spans="3:14" ht="12.75" customHeight="1" x14ac:dyDescent="0.2">
      <c r="C89" s="64"/>
      <c r="D89" s="59"/>
      <c r="E89" s="59"/>
      <c r="F89" t="s">
        <v>481</v>
      </c>
      <c r="K89" s="512"/>
      <c r="M89" s="120"/>
      <c r="N89" s="117"/>
    </row>
    <row r="90" spans="3:14" ht="12.75" customHeight="1" x14ac:dyDescent="0.2">
      <c r="C90" s="64"/>
      <c r="D90" s="59"/>
      <c r="E90" s="59"/>
      <c r="F90" t="s">
        <v>470</v>
      </c>
      <c r="K90" s="512"/>
      <c r="M90" s="120"/>
      <c r="N90" s="117"/>
    </row>
    <row r="91" spans="3:14" ht="12.75" customHeight="1" x14ac:dyDescent="0.2">
      <c r="C91" s="64"/>
      <c r="D91" s="59"/>
      <c r="E91" s="59"/>
      <c r="F91" t="s">
        <v>926</v>
      </c>
      <c r="K91" s="512"/>
      <c r="M91" s="120"/>
      <c r="N91" s="117"/>
    </row>
    <row r="92" spans="3:14" ht="12.75" customHeight="1" x14ac:dyDescent="0.2">
      <c r="C92" s="64"/>
      <c r="D92" s="59"/>
      <c r="E92" s="59"/>
      <c r="F92" s="521" t="s">
        <v>203</v>
      </c>
      <c r="K92" s="512"/>
      <c r="M92" s="1219" t="str">
        <f>IF(K93=M82," ","Recheck numbers. Entry is out of balance.")</f>
        <v xml:space="preserve"> </v>
      </c>
      <c r="N92" s="117"/>
    </row>
    <row r="93" spans="3:14" ht="21.75" customHeight="1" thickBot="1" x14ac:dyDescent="0.25">
      <c r="C93" s="64"/>
      <c r="D93" s="59"/>
      <c r="E93" s="59"/>
      <c r="J93" s="117" t="s">
        <v>773</v>
      </c>
      <c r="K93" s="100">
        <f>SUM(K87:K92)</f>
        <v>0</v>
      </c>
      <c r="M93" s="1219"/>
      <c r="N93" s="117"/>
    </row>
    <row r="94" spans="3:14" ht="12.75" customHeight="1" thickTop="1" x14ac:dyDescent="0.2">
      <c r="C94" s="64"/>
      <c r="D94" s="59"/>
      <c r="E94" s="59"/>
      <c r="F94" s="59"/>
      <c r="G94" s="59"/>
      <c r="H94" s="59"/>
      <c r="I94" s="59"/>
      <c r="J94" s="59"/>
      <c r="K94" s="59"/>
      <c r="M94" s="120"/>
      <c r="N94" s="117"/>
    </row>
    <row r="95" spans="3:14" ht="13.5" customHeight="1" x14ac:dyDescent="0.2">
      <c r="C95" s="64" t="s">
        <v>878</v>
      </c>
      <c r="D95" s="1136" t="s">
        <v>1090</v>
      </c>
      <c r="E95" s="1126"/>
      <c r="F95" s="1126"/>
      <c r="G95" s="1126"/>
      <c r="H95" s="1126"/>
      <c r="I95" s="1126"/>
      <c r="J95" s="1126"/>
      <c r="K95" s="1126"/>
      <c r="M95" s="1216"/>
    </row>
    <row r="96" spans="3:14" ht="12" customHeight="1" x14ac:dyDescent="0.2">
      <c r="C96" s="64"/>
      <c r="D96" s="1126"/>
      <c r="E96" s="1126"/>
      <c r="F96" s="1126"/>
      <c r="G96" s="1126"/>
      <c r="H96" s="1126"/>
      <c r="I96" s="1126"/>
      <c r="J96" s="1126"/>
      <c r="K96" s="1126"/>
      <c r="M96" s="1216"/>
    </row>
    <row r="97" spans="3:15" ht="5.25" customHeight="1" x14ac:dyDescent="0.2">
      <c r="C97" s="64"/>
      <c r="D97" s="59"/>
      <c r="E97" s="59"/>
      <c r="F97" s="59"/>
      <c r="G97" s="59"/>
      <c r="H97" s="59"/>
      <c r="I97" s="59"/>
      <c r="J97" s="59"/>
      <c r="K97" s="59"/>
      <c r="M97" s="52"/>
      <c r="N97" s="117"/>
    </row>
    <row r="98" spans="3:15" ht="15.75" customHeight="1" thickBot="1" x14ac:dyDescent="0.25">
      <c r="C98" s="64"/>
      <c r="D98" s="59"/>
      <c r="E98" s="59"/>
      <c r="F98" s="59"/>
      <c r="H98" s="59"/>
      <c r="I98" s="60" t="s">
        <v>506</v>
      </c>
      <c r="J98" s="59"/>
      <c r="K98" s="59"/>
      <c r="M98" s="119">
        <f>M79+M82-M95</f>
        <v>0</v>
      </c>
      <c r="N98" s="117" t="s">
        <v>774</v>
      </c>
    </row>
    <row r="99" spans="3:15" ht="12.75" customHeight="1" thickTop="1" x14ac:dyDescent="0.2">
      <c r="C99" s="64"/>
      <c r="D99" s="59"/>
      <c r="E99" s="59"/>
      <c r="F99" s="59"/>
      <c r="G99" s="59"/>
      <c r="H99" s="59"/>
      <c r="I99" s="59"/>
      <c r="J99" s="59"/>
      <c r="K99" s="59"/>
      <c r="M99" s="120"/>
      <c r="N99" s="117"/>
    </row>
    <row r="100" spans="3:15" ht="12.75" customHeight="1" x14ac:dyDescent="0.2">
      <c r="C100" s="64" t="s">
        <v>879</v>
      </c>
      <c r="D100" s="1126" t="s">
        <v>375</v>
      </c>
      <c r="E100" s="1126"/>
      <c r="F100" s="1126"/>
      <c r="G100" s="1126"/>
      <c r="H100" s="1126"/>
      <c r="I100" s="1126"/>
      <c r="J100" s="1126"/>
      <c r="K100" s="1126"/>
    </row>
    <row r="101" spans="3:15" ht="24.75" customHeight="1" x14ac:dyDescent="0.2">
      <c r="C101" s="64"/>
      <c r="D101" s="1126"/>
      <c r="E101" s="1126"/>
      <c r="F101" s="1126"/>
      <c r="G101" s="1126"/>
      <c r="H101" s="1126"/>
      <c r="I101" s="1126"/>
      <c r="J101" s="1126"/>
      <c r="K101" s="1126"/>
    </row>
    <row r="102" spans="3:15" x14ac:dyDescent="0.2">
      <c r="C102" s="64"/>
      <c r="D102" s="59"/>
      <c r="E102" s="59"/>
      <c r="F102" s="59"/>
      <c r="G102" s="59"/>
      <c r="H102" s="59"/>
      <c r="I102" s="59"/>
      <c r="J102" s="59"/>
      <c r="K102" s="116" t="s">
        <v>62</v>
      </c>
    </row>
    <row r="103" spans="3:15" x14ac:dyDescent="0.2">
      <c r="C103" s="64"/>
      <c r="F103" t="s">
        <v>718</v>
      </c>
      <c r="K103" s="512"/>
    </row>
    <row r="104" spans="3:15" x14ac:dyDescent="0.2">
      <c r="C104" s="64"/>
      <c r="F104" t="s">
        <v>743</v>
      </c>
      <c r="K104" s="512"/>
    </row>
    <row r="105" spans="3:15" x14ac:dyDescent="0.2">
      <c r="C105" s="64"/>
      <c r="F105" t="s">
        <v>481</v>
      </c>
      <c r="K105" s="512"/>
    </row>
    <row r="106" spans="3:15" x14ac:dyDescent="0.2">
      <c r="C106" s="64"/>
      <c r="F106" t="s">
        <v>470</v>
      </c>
      <c r="K106" s="512"/>
    </row>
    <row r="107" spans="3:15" ht="12.75" customHeight="1" x14ac:dyDescent="0.2">
      <c r="C107" s="64"/>
      <c r="F107" t="s">
        <v>926</v>
      </c>
      <c r="K107" s="512"/>
      <c r="M107" s="1211" t="str">
        <f>IF(K109=M98," ","Recheck numbers in steps 1-4. Entry is out of balance")</f>
        <v xml:space="preserve"> </v>
      </c>
    </row>
    <row r="108" spans="3:15" ht="12.75" customHeight="1" x14ac:dyDescent="0.2">
      <c r="C108" s="64"/>
      <c r="F108" s="521" t="s">
        <v>203</v>
      </c>
      <c r="K108" s="512"/>
      <c r="M108" s="1211"/>
    </row>
    <row r="109" spans="3:15" ht="18" customHeight="1" thickBot="1" x14ac:dyDescent="0.4">
      <c r="C109" s="64"/>
      <c r="J109" s="117" t="s">
        <v>774</v>
      </c>
      <c r="K109" s="100">
        <f>SUM(K103:K108)</f>
        <v>0</v>
      </c>
      <c r="M109" s="1211"/>
      <c r="N109" s="149"/>
      <c r="O109" s="149"/>
    </row>
    <row r="110" spans="3:15" ht="6.75" customHeight="1" thickTop="1" x14ac:dyDescent="0.35">
      <c r="C110" s="64"/>
      <c r="J110" s="117"/>
      <c r="K110" s="72"/>
      <c r="M110" s="173"/>
      <c r="N110" s="149"/>
      <c r="O110" s="149"/>
    </row>
    <row r="111" spans="3:15" x14ac:dyDescent="0.2">
      <c r="D111" s="258" t="s">
        <v>94</v>
      </c>
      <c r="I111" s="11"/>
    </row>
    <row r="112" spans="3:15" x14ac:dyDescent="0.2">
      <c r="I112" s="11"/>
    </row>
    <row r="113" spans="2:15" ht="36.75" customHeight="1" x14ac:dyDescent="0.2">
      <c r="B113" s="4" t="s">
        <v>829</v>
      </c>
      <c r="C113" s="1210" t="s">
        <v>620</v>
      </c>
      <c r="D113" s="1208"/>
      <c r="E113" s="1208"/>
      <c r="F113" s="1208"/>
      <c r="G113" s="1208"/>
      <c r="H113" s="1208"/>
      <c r="I113" s="1208"/>
      <c r="J113" s="1208"/>
      <c r="K113" s="1208"/>
      <c r="L113" s="1208"/>
      <c r="M113" s="1208"/>
      <c r="N113" s="1208"/>
      <c r="O113" s="1209"/>
    </row>
    <row r="114" spans="2:15" ht="3" customHeight="1" x14ac:dyDescent="0.2">
      <c r="B114" s="4"/>
      <c r="C114" s="390"/>
      <c r="D114" s="69"/>
      <c r="E114" s="69"/>
      <c r="F114" s="69"/>
      <c r="G114" s="69"/>
      <c r="H114" s="69"/>
      <c r="I114" s="69"/>
      <c r="J114" s="69"/>
      <c r="K114" s="69"/>
      <c r="L114" s="69"/>
      <c r="M114" s="69"/>
      <c r="N114" s="69"/>
      <c r="O114" s="69"/>
    </row>
    <row r="115" spans="2:15" x14ac:dyDescent="0.2">
      <c r="M115" s="3" t="s">
        <v>62</v>
      </c>
    </row>
    <row r="116" spans="2:15" ht="12.75" customHeight="1" x14ac:dyDescent="0.2">
      <c r="C116" s="64" t="s">
        <v>947</v>
      </c>
      <c r="D116" s="1136" t="s">
        <v>1089</v>
      </c>
      <c r="E116" s="1126"/>
      <c r="F116" s="1126"/>
      <c r="G116" s="1126"/>
      <c r="H116" s="1126"/>
      <c r="I116" s="1126"/>
      <c r="J116" s="1126"/>
      <c r="K116" s="1126"/>
      <c r="M116" s="1214"/>
    </row>
    <row r="117" spans="2:15" ht="14.25" customHeight="1" x14ac:dyDescent="0.2">
      <c r="C117" s="64"/>
      <c r="D117" s="1126"/>
      <c r="E117" s="1126"/>
      <c r="F117" s="1126"/>
      <c r="G117" s="1126"/>
      <c r="H117" s="1126"/>
      <c r="I117" s="1126"/>
      <c r="J117" s="1126"/>
      <c r="K117" s="1126"/>
      <c r="M117" s="1214"/>
    </row>
    <row r="118" spans="2:15" ht="6.75" customHeight="1" x14ac:dyDescent="0.2">
      <c r="C118" s="64"/>
      <c r="D118" s="59"/>
      <c r="E118" s="59"/>
      <c r="F118" s="59"/>
      <c r="G118" s="59"/>
      <c r="H118" s="59"/>
      <c r="I118" s="59"/>
      <c r="J118" s="59"/>
      <c r="K118" s="59"/>
      <c r="M118" s="518"/>
    </row>
    <row r="119" spans="2:15" ht="18.75" customHeight="1" x14ac:dyDescent="0.2">
      <c r="C119" s="64" t="s">
        <v>948</v>
      </c>
      <c r="D119" s="1126" t="s">
        <v>93</v>
      </c>
      <c r="E119" s="1126"/>
      <c r="F119" s="1126"/>
      <c r="G119" s="1126"/>
      <c r="H119" s="1126"/>
      <c r="I119" s="1126"/>
      <c r="J119" s="1126"/>
      <c r="K119" s="1126"/>
      <c r="M119" s="517"/>
    </row>
    <row r="120" spans="2:15" ht="12.75" customHeight="1" x14ac:dyDescent="0.2">
      <c r="C120" s="64"/>
      <c r="D120" s="59"/>
      <c r="E120" s="59"/>
      <c r="F120" s="59"/>
      <c r="G120" s="59"/>
      <c r="H120" s="59"/>
      <c r="I120" s="59"/>
      <c r="J120" s="59"/>
      <c r="K120" s="59"/>
      <c r="M120" s="250"/>
      <c r="N120" s="117"/>
    </row>
    <row r="121" spans="2:15" ht="12.75" customHeight="1" x14ac:dyDescent="0.2">
      <c r="C121" s="64" t="s">
        <v>949</v>
      </c>
      <c r="D121" s="1126" t="s">
        <v>92</v>
      </c>
      <c r="E121" s="1126"/>
      <c r="F121" s="1126"/>
      <c r="G121" s="1126"/>
      <c r="H121" s="1126"/>
      <c r="I121" s="1126"/>
      <c r="J121" s="1126"/>
      <c r="K121" s="1126"/>
      <c r="M121" s="250"/>
      <c r="N121" s="117"/>
    </row>
    <row r="122" spans="2:15" ht="12.75" customHeight="1" x14ac:dyDescent="0.2">
      <c r="C122" s="64"/>
      <c r="D122" s="1126"/>
      <c r="E122" s="1126"/>
      <c r="F122" s="1126"/>
      <c r="G122" s="1126"/>
      <c r="H122" s="1126"/>
      <c r="I122" s="1126"/>
      <c r="J122" s="1126"/>
      <c r="K122" s="1126"/>
      <c r="M122" s="250"/>
      <c r="N122" s="117"/>
    </row>
    <row r="123" spans="2:15" ht="12.75" customHeight="1" x14ac:dyDescent="0.2">
      <c r="C123" s="64"/>
      <c r="D123" s="59"/>
      <c r="E123" s="59"/>
      <c r="F123" s="59"/>
      <c r="G123" s="59"/>
      <c r="H123" s="59"/>
      <c r="I123" s="59"/>
      <c r="J123" s="59"/>
      <c r="K123" s="116" t="s">
        <v>62</v>
      </c>
      <c r="M123" s="161"/>
      <c r="N123" s="117"/>
    </row>
    <row r="124" spans="2:15" ht="12.75" customHeight="1" x14ac:dyDescent="0.2">
      <c r="C124" s="64"/>
      <c r="D124" s="59"/>
      <c r="E124" s="59"/>
      <c r="F124" t="s">
        <v>718</v>
      </c>
      <c r="K124" s="512"/>
      <c r="M124" s="161"/>
      <c r="N124" s="117"/>
    </row>
    <row r="125" spans="2:15" ht="12.75" customHeight="1" x14ac:dyDescent="0.2">
      <c r="C125" s="64"/>
      <c r="D125" s="59"/>
      <c r="E125" s="59"/>
      <c r="F125" t="s">
        <v>743</v>
      </c>
      <c r="K125" s="512"/>
      <c r="M125" s="161"/>
      <c r="N125" s="117"/>
    </row>
    <row r="126" spans="2:15" ht="12.75" customHeight="1" x14ac:dyDescent="0.2">
      <c r="C126" s="64"/>
      <c r="D126" s="59"/>
      <c r="E126" s="59"/>
      <c r="F126" t="s">
        <v>481</v>
      </c>
      <c r="K126" s="512"/>
      <c r="M126" s="161"/>
      <c r="N126" s="117"/>
    </row>
    <row r="127" spans="2:15" ht="12.75" customHeight="1" x14ac:dyDescent="0.2">
      <c r="C127" s="64"/>
      <c r="D127" s="59"/>
      <c r="E127" s="59"/>
      <c r="F127" t="s">
        <v>470</v>
      </c>
      <c r="K127" s="512"/>
      <c r="M127" s="161"/>
      <c r="N127" s="117"/>
    </row>
    <row r="128" spans="2:15" ht="12.75" customHeight="1" x14ac:dyDescent="0.2">
      <c r="C128" s="64"/>
      <c r="D128" s="59"/>
      <c r="E128" s="59"/>
      <c r="F128" t="s">
        <v>926</v>
      </c>
      <c r="K128" s="512"/>
      <c r="M128" s="1217" t="str">
        <f>IF(K130=M119," ","Recheck numbers. Entry is out of balance.")</f>
        <v xml:space="preserve"> </v>
      </c>
      <c r="N128" s="117"/>
    </row>
    <row r="129" spans="3:14" ht="12.75" customHeight="1" x14ac:dyDescent="0.2">
      <c r="C129" s="64"/>
      <c r="D129" s="59"/>
      <c r="E129" s="59"/>
      <c r="F129" s="521" t="s">
        <v>203</v>
      </c>
      <c r="K129" s="512"/>
      <c r="M129" s="1217"/>
      <c r="N129" s="117"/>
    </row>
    <row r="130" spans="3:14" ht="18" customHeight="1" thickBot="1" x14ac:dyDescent="0.25">
      <c r="C130" s="64"/>
      <c r="D130" s="59"/>
      <c r="E130" s="59"/>
      <c r="J130" s="117" t="s">
        <v>673</v>
      </c>
      <c r="K130" s="100">
        <f>SUM(K124:K129)</f>
        <v>0</v>
      </c>
      <c r="M130" s="1217"/>
      <c r="N130" s="117"/>
    </row>
    <row r="131" spans="3:14" ht="12.75" customHeight="1" thickTop="1" x14ac:dyDescent="0.2">
      <c r="C131" s="64"/>
      <c r="D131" s="59"/>
      <c r="E131" s="59"/>
      <c r="F131" s="59"/>
      <c r="G131" s="59"/>
      <c r="H131" s="59"/>
      <c r="I131" s="59"/>
      <c r="J131" s="59"/>
      <c r="K131" s="59"/>
      <c r="M131" s="161"/>
      <c r="N131" s="117"/>
    </row>
    <row r="132" spans="3:14" ht="12.75" customHeight="1" x14ac:dyDescent="0.2">
      <c r="C132" s="64" t="s">
        <v>878</v>
      </c>
      <c r="D132" s="1136" t="s">
        <v>1090</v>
      </c>
      <c r="E132" s="1126"/>
      <c r="F132" s="1126"/>
      <c r="G132" s="1126"/>
      <c r="H132" s="1126"/>
      <c r="I132" s="1126"/>
      <c r="J132" s="1126"/>
      <c r="K132" s="1126"/>
      <c r="M132" s="1216"/>
    </row>
    <row r="133" spans="3:14" ht="13.5" customHeight="1" x14ac:dyDescent="0.2">
      <c r="C133" s="64"/>
      <c r="D133" s="1126"/>
      <c r="E133" s="1126"/>
      <c r="F133" s="1126"/>
      <c r="G133" s="1126"/>
      <c r="H133" s="1126"/>
      <c r="I133" s="1126"/>
      <c r="J133" s="1126"/>
      <c r="K133" s="1126"/>
      <c r="M133" s="1216"/>
    </row>
    <row r="134" spans="3:14" ht="5.25" customHeight="1" x14ac:dyDescent="0.2">
      <c r="M134" s="1"/>
    </row>
    <row r="135" spans="3:14" ht="15.75" customHeight="1" thickBot="1" x14ac:dyDescent="0.25">
      <c r="I135" s="60" t="s">
        <v>506</v>
      </c>
      <c r="M135" s="119">
        <f>M116+M119-M132</f>
        <v>0</v>
      </c>
      <c r="N135" s="117" t="s">
        <v>720</v>
      </c>
    </row>
    <row r="136" spans="3:14" ht="12.75" customHeight="1" thickTop="1" x14ac:dyDescent="0.2">
      <c r="M136" s="1"/>
    </row>
    <row r="137" spans="3:14" ht="12.75" customHeight="1" x14ac:dyDescent="0.2">
      <c r="C137" s="64" t="s">
        <v>879</v>
      </c>
      <c r="D137" s="1126" t="s">
        <v>537</v>
      </c>
      <c r="E137" s="1126"/>
      <c r="F137" s="1126"/>
      <c r="G137" s="1126"/>
      <c r="H137" s="1126"/>
      <c r="I137" s="1126"/>
      <c r="J137" s="1126"/>
      <c r="K137" s="1126"/>
      <c r="M137" s="115"/>
    </row>
    <row r="138" spans="3:14" ht="24" customHeight="1" x14ac:dyDescent="0.2">
      <c r="C138" s="64"/>
      <c r="D138" s="1126"/>
      <c r="E138" s="1126"/>
      <c r="F138" s="1126"/>
      <c r="G138" s="1126"/>
      <c r="H138" s="1126"/>
      <c r="I138" s="1126"/>
      <c r="J138" s="1126"/>
      <c r="K138" s="1126"/>
      <c r="M138" s="115"/>
    </row>
    <row r="139" spans="3:14" ht="12.75" customHeight="1" x14ac:dyDescent="0.2">
      <c r="C139" s="64"/>
      <c r="D139" s="59"/>
      <c r="E139" s="59"/>
      <c r="F139" s="59"/>
      <c r="G139" s="59"/>
      <c r="H139" s="59"/>
      <c r="I139" s="59"/>
      <c r="J139" s="59"/>
      <c r="K139" s="116" t="s">
        <v>62</v>
      </c>
      <c r="M139" s="115"/>
    </row>
    <row r="140" spans="3:14" x14ac:dyDescent="0.2">
      <c r="C140" s="64"/>
      <c r="F140" t="s">
        <v>718</v>
      </c>
      <c r="K140" s="512"/>
      <c r="M140" s="115"/>
    </row>
    <row r="141" spans="3:14" x14ac:dyDescent="0.2">
      <c r="C141" s="64"/>
      <c r="F141" t="s">
        <v>896</v>
      </c>
      <c r="K141" s="512"/>
      <c r="M141" s="115"/>
    </row>
    <row r="142" spans="3:14" x14ac:dyDescent="0.2">
      <c r="C142" s="64"/>
      <c r="F142" t="s">
        <v>481</v>
      </c>
      <c r="K142" s="512"/>
      <c r="M142" s="115"/>
    </row>
    <row r="143" spans="3:14" x14ac:dyDescent="0.2">
      <c r="C143" s="64"/>
      <c r="F143" t="s">
        <v>719</v>
      </c>
      <c r="K143" s="512"/>
      <c r="M143" s="115"/>
    </row>
    <row r="144" spans="3:14" ht="12.75" customHeight="1" x14ac:dyDescent="0.25">
      <c r="C144" s="64"/>
      <c r="F144" t="s">
        <v>926</v>
      </c>
      <c r="K144" s="512"/>
      <c r="M144" s="167"/>
    </row>
    <row r="145" spans="2:15" ht="12.75" customHeight="1" x14ac:dyDescent="0.2">
      <c r="C145" s="64"/>
      <c r="F145" s="521" t="s">
        <v>203</v>
      </c>
      <c r="K145" s="512"/>
      <c r="M145" s="1215" t="str">
        <f>IF(K146=M135," ","Recheck numbers in steps 1-4. Entry is out of balance.")</f>
        <v xml:space="preserve"> </v>
      </c>
    </row>
    <row r="146" spans="2:15" ht="30.75" customHeight="1" thickBot="1" x14ac:dyDescent="0.3">
      <c r="C146" s="64"/>
      <c r="J146" s="117" t="s">
        <v>720</v>
      </c>
      <c r="K146" s="100">
        <f>SUM(K140:K145)</f>
        <v>0</v>
      </c>
      <c r="M146" s="1215"/>
      <c r="N146" s="167"/>
      <c r="O146" s="167"/>
    </row>
    <row r="147" spans="2:15" ht="5.25" customHeight="1" thickTop="1" x14ac:dyDescent="0.2">
      <c r="I147" s="11"/>
    </row>
    <row r="148" spans="2:15" x14ac:dyDescent="0.2">
      <c r="D148" s="258" t="s">
        <v>94</v>
      </c>
      <c r="I148" s="11"/>
    </row>
    <row r="149" spans="2:15" x14ac:dyDescent="0.2">
      <c r="I149" s="11"/>
    </row>
    <row r="150" spans="2:15" ht="26.25" customHeight="1" x14ac:dyDescent="0.2">
      <c r="B150" s="4" t="s">
        <v>147</v>
      </c>
      <c r="C150" s="1210" t="s">
        <v>415</v>
      </c>
      <c r="D150" s="1212"/>
      <c r="E150" s="1212"/>
      <c r="F150" s="1212"/>
      <c r="G150" s="1212"/>
      <c r="H150" s="1212"/>
      <c r="I150" s="1212"/>
      <c r="J150" s="1212"/>
      <c r="K150" s="1212"/>
      <c r="L150" s="1212"/>
      <c r="M150" s="1212"/>
      <c r="N150" s="1212"/>
      <c r="O150" s="1213"/>
    </row>
    <row r="151" spans="2:15" x14ac:dyDescent="0.2">
      <c r="I151" s="11"/>
    </row>
    <row r="152" spans="2:15" ht="27" customHeight="1" x14ac:dyDescent="0.2">
      <c r="C152" s="1225" t="s">
        <v>815</v>
      </c>
      <c r="D152" s="1225"/>
      <c r="E152" s="1225"/>
      <c r="F152" s="1225"/>
      <c r="G152" s="1225"/>
      <c r="H152" s="1225"/>
      <c r="I152" s="1225"/>
      <c r="J152" s="1225"/>
      <c r="K152" s="1225"/>
      <c r="L152" s="1225"/>
      <c r="M152" s="1225"/>
      <c r="N152" s="1225"/>
      <c r="O152" s="1225"/>
    </row>
    <row r="153" spans="2:15" x14ac:dyDescent="0.2">
      <c r="M153" s="3" t="s">
        <v>62</v>
      </c>
    </row>
    <row r="155" spans="2:15" ht="14.25" customHeight="1" x14ac:dyDescent="0.2">
      <c r="C155" s="64" t="s">
        <v>947</v>
      </c>
      <c r="D155" s="1136" t="s">
        <v>1091</v>
      </c>
      <c r="E155" s="1126"/>
      <c r="F155" s="1126"/>
      <c r="G155" s="1126"/>
      <c r="H155" s="1126"/>
      <c r="I155" s="1126"/>
      <c r="J155" s="1126"/>
      <c r="K155" s="1126"/>
      <c r="L155" s="1126"/>
      <c r="M155" s="1214"/>
      <c r="N155" s="117" t="s">
        <v>538</v>
      </c>
      <c r="O155" s="2"/>
    </row>
    <row r="156" spans="2:15" ht="36.75" customHeight="1" x14ac:dyDescent="0.2">
      <c r="C156" s="64"/>
      <c r="D156" s="1126"/>
      <c r="E156" s="1126"/>
      <c r="F156" s="1126"/>
      <c r="G156" s="1126"/>
      <c r="H156" s="1126"/>
      <c r="I156" s="1126"/>
      <c r="J156" s="1126"/>
      <c r="K156" s="1126"/>
      <c r="L156" s="1126"/>
      <c r="M156" s="1214"/>
      <c r="N156" s="117"/>
      <c r="O156" s="2"/>
    </row>
    <row r="157" spans="2:15" ht="37.5" customHeight="1" x14ac:dyDescent="0.2">
      <c r="D157" s="59"/>
      <c r="E157" s="59"/>
      <c r="F157" s="59"/>
      <c r="G157" s="59"/>
      <c r="H157" s="166" t="s">
        <v>507</v>
      </c>
      <c r="I157" s="165" t="s">
        <v>516</v>
      </c>
      <c r="J157" s="59"/>
      <c r="K157" s="165" t="s">
        <v>295</v>
      </c>
      <c r="M157" s="165" t="s">
        <v>127</v>
      </c>
    </row>
    <row r="158" spans="2:15" ht="12.75" customHeight="1" x14ac:dyDescent="0.2">
      <c r="D158" s="59"/>
      <c r="E158" s="59"/>
      <c r="F158" s="59"/>
      <c r="G158" s="59"/>
      <c r="H158" s="59"/>
      <c r="I158" s="164" t="s">
        <v>62</v>
      </c>
      <c r="J158" s="163"/>
      <c r="K158" s="164" t="s">
        <v>62</v>
      </c>
      <c r="M158" s="164" t="s">
        <v>62</v>
      </c>
    </row>
    <row r="159" spans="2:15" ht="12.75" customHeight="1" x14ac:dyDescent="0.2">
      <c r="D159" s="168" t="s">
        <v>718</v>
      </c>
      <c r="I159" s="512"/>
      <c r="K159" s="512"/>
      <c r="M159" s="512"/>
    </row>
    <row r="160" spans="2:15" ht="12.75" customHeight="1" x14ac:dyDescent="0.2">
      <c r="D160" s="168" t="s">
        <v>895</v>
      </c>
      <c r="I160" s="512"/>
      <c r="K160" s="512"/>
      <c r="M160" s="512"/>
    </row>
    <row r="161" spans="3:15" ht="12.75" customHeight="1" x14ac:dyDescent="0.2">
      <c r="D161" s="168" t="s">
        <v>896</v>
      </c>
      <c r="I161" s="512"/>
      <c r="K161" s="512"/>
      <c r="M161" s="512"/>
    </row>
    <row r="162" spans="3:15" ht="12.75" customHeight="1" x14ac:dyDescent="0.2">
      <c r="D162" s="168" t="s">
        <v>481</v>
      </c>
      <c r="I162" s="512"/>
      <c r="K162" s="512"/>
      <c r="M162" s="512"/>
    </row>
    <row r="163" spans="3:15" ht="12.75" customHeight="1" x14ac:dyDescent="0.2">
      <c r="D163" s="168" t="s">
        <v>719</v>
      </c>
      <c r="I163" s="512"/>
      <c r="K163" s="512"/>
      <c r="M163" s="512"/>
    </row>
    <row r="164" spans="3:15" ht="12.75" customHeight="1" x14ac:dyDescent="0.2">
      <c r="D164" s="168" t="s">
        <v>426</v>
      </c>
      <c r="I164" s="512"/>
      <c r="K164" s="512"/>
      <c r="M164" s="512"/>
      <c r="O164" s="1127" t="str">
        <f>IF(O168=M155," ","Recheck numbers. Entry is out of balance.")</f>
        <v xml:space="preserve"> </v>
      </c>
    </row>
    <row r="165" spans="3:15" ht="12.75" customHeight="1" x14ac:dyDescent="0.2">
      <c r="D165" s="168" t="s">
        <v>926</v>
      </c>
      <c r="I165" s="512"/>
      <c r="K165" s="512"/>
      <c r="M165" s="512"/>
      <c r="O165" s="1127"/>
    </row>
    <row r="166" spans="3:15" ht="12.75" customHeight="1" x14ac:dyDescent="0.2">
      <c r="D166" s="545" t="s">
        <v>203</v>
      </c>
      <c r="I166" s="512"/>
      <c r="K166" s="512"/>
      <c r="M166" s="512"/>
      <c r="O166" s="1127"/>
    </row>
    <row r="167" spans="3:15" ht="12.75" customHeight="1" x14ac:dyDescent="0.2">
      <c r="D167" s="168" t="s">
        <v>116</v>
      </c>
      <c r="F167" s="6"/>
      <c r="G167" s="6"/>
      <c r="H167" s="512"/>
      <c r="I167" s="102" t="s">
        <v>487</v>
      </c>
      <c r="K167" s="102" t="s">
        <v>487</v>
      </c>
      <c r="M167" s="102" t="s">
        <v>487</v>
      </c>
    </row>
    <row r="168" spans="3:15" ht="15.75" customHeight="1" thickBot="1" x14ac:dyDescent="0.25">
      <c r="H168" s="100">
        <f>SUM(H167)</f>
        <v>0</v>
      </c>
      <c r="I168" s="100">
        <f>SUM(I159:I166)</f>
        <v>0</v>
      </c>
      <c r="K168" s="100">
        <f>SUM(K159:K166)</f>
        <v>0</v>
      </c>
      <c r="M168" s="100">
        <f>SUM(M159:M166)</f>
        <v>0</v>
      </c>
      <c r="N168" s="117" t="s">
        <v>538</v>
      </c>
      <c r="O168" s="113">
        <f>H168+I168+K168+M168</f>
        <v>0</v>
      </c>
    </row>
    <row r="169" spans="3:15" ht="12.75" customHeight="1" thickTop="1" x14ac:dyDescent="0.2">
      <c r="H169" s="72"/>
      <c r="I169" s="72"/>
      <c r="J169" s="13"/>
      <c r="K169" s="72"/>
      <c r="L169" s="13"/>
      <c r="M169" s="72"/>
      <c r="N169" s="190"/>
      <c r="O169" s="10"/>
    </row>
    <row r="170" spans="3:15" ht="12.75" customHeight="1" x14ac:dyDescent="0.2">
      <c r="C170" s="78" t="s">
        <v>521</v>
      </c>
    </row>
    <row r="171" spans="3:15" ht="12.75" customHeight="1" x14ac:dyDescent="0.2">
      <c r="C171" s="78"/>
    </row>
    <row r="172" spans="3:15" ht="12.75" customHeight="1" x14ac:dyDescent="0.2">
      <c r="M172" s="1"/>
    </row>
    <row r="173" spans="3:15" ht="12.75" customHeight="1" x14ac:dyDescent="0.2">
      <c r="C173" s="64" t="s">
        <v>948</v>
      </c>
      <c r="D173" s="1136" t="s">
        <v>1092</v>
      </c>
      <c r="E173" s="1126"/>
      <c r="F173" s="1126"/>
      <c r="G173" s="1126"/>
      <c r="H173" s="1126"/>
      <c r="I173" s="1126"/>
      <c r="J173" s="1126"/>
      <c r="K173" s="1126"/>
      <c r="M173" s="1216"/>
      <c r="O173" s="2"/>
    </row>
    <row r="174" spans="3:15" ht="39" customHeight="1" x14ac:dyDescent="0.2">
      <c r="C174" s="64"/>
      <c r="D174" s="1126"/>
      <c r="E174" s="1126"/>
      <c r="F174" s="1126"/>
      <c r="G174" s="1126"/>
      <c r="H174" s="1126"/>
      <c r="I174" s="1126"/>
      <c r="J174" s="1126"/>
      <c r="K174" s="1126"/>
      <c r="M174" s="1216"/>
      <c r="N174" s="117" t="s">
        <v>539</v>
      </c>
      <c r="O174" s="2"/>
    </row>
    <row r="175" spans="3:15" x14ac:dyDescent="0.2">
      <c r="M175" s="1"/>
    </row>
    <row r="176" spans="3:15" ht="12.75" customHeight="1" x14ac:dyDescent="0.2">
      <c r="C176" s="64" t="s">
        <v>949</v>
      </c>
      <c r="D176" s="1126" t="s">
        <v>786</v>
      </c>
      <c r="E176" s="1126"/>
      <c r="F176" s="1126"/>
      <c r="G176" s="1126"/>
      <c r="H176" s="1126"/>
      <c r="I176" s="1126"/>
      <c r="J176" s="1126"/>
      <c r="K176" s="1126"/>
    </row>
    <row r="177" spans="3:16" ht="12.75" customHeight="1" x14ac:dyDescent="0.2">
      <c r="C177" s="64"/>
      <c r="D177" s="1126"/>
      <c r="E177" s="1126"/>
      <c r="F177" s="1126"/>
      <c r="G177" s="1126"/>
      <c r="H177" s="1126"/>
      <c r="I177" s="1126"/>
      <c r="J177" s="1126"/>
      <c r="K177" s="1126"/>
    </row>
    <row r="178" spans="3:16" ht="35.25" customHeight="1" x14ac:dyDescent="0.2">
      <c r="C178" s="64"/>
      <c r="D178" s="59"/>
      <c r="E178" s="59"/>
      <c r="F178" s="59"/>
      <c r="G178" s="59"/>
      <c r="H178" s="166" t="s">
        <v>507</v>
      </c>
      <c r="I178" s="165" t="s">
        <v>516</v>
      </c>
      <c r="J178" s="59"/>
      <c r="K178" s="165" t="s">
        <v>295</v>
      </c>
      <c r="M178" s="165" t="s">
        <v>127</v>
      </c>
    </row>
    <row r="179" spans="3:16" x14ac:dyDescent="0.2">
      <c r="C179" s="64"/>
      <c r="D179" s="59"/>
      <c r="E179" s="59"/>
      <c r="F179" s="59"/>
      <c r="G179" s="59"/>
      <c r="H179" s="59"/>
      <c r="I179" s="164" t="s">
        <v>62</v>
      </c>
      <c r="J179" s="163"/>
      <c r="K179" s="164" t="s">
        <v>62</v>
      </c>
      <c r="M179" s="164" t="s">
        <v>62</v>
      </c>
    </row>
    <row r="180" spans="3:16" x14ac:dyDescent="0.2">
      <c r="C180" s="64"/>
      <c r="D180" s="168" t="s">
        <v>718</v>
      </c>
      <c r="I180" s="512"/>
      <c r="K180" s="512"/>
      <c r="M180" s="512"/>
    </row>
    <row r="181" spans="3:16" x14ac:dyDescent="0.2">
      <c r="C181" s="64"/>
      <c r="D181" s="168" t="s">
        <v>895</v>
      </c>
      <c r="I181" s="512"/>
      <c r="K181" s="512"/>
      <c r="M181" s="512"/>
    </row>
    <row r="182" spans="3:16" x14ac:dyDescent="0.2">
      <c r="C182" s="64"/>
      <c r="D182" s="168" t="s">
        <v>896</v>
      </c>
      <c r="I182" s="512"/>
      <c r="K182" s="512"/>
      <c r="M182" s="512"/>
    </row>
    <row r="183" spans="3:16" x14ac:dyDescent="0.2">
      <c r="C183" s="64"/>
      <c r="D183" s="168" t="s">
        <v>481</v>
      </c>
      <c r="I183" s="512"/>
      <c r="K183" s="512"/>
      <c r="M183" s="512"/>
    </row>
    <row r="184" spans="3:16" x14ac:dyDescent="0.2">
      <c r="C184" s="64"/>
      <c r="D184" s="168" t="s">
        <v>719</v>
      </c>
      <c r="I184" s="512"/>
      <c r="K184" s="512"/>
      <c r="M184" s="512"/>
    </row>
    <row r="185" spans="3:16" x14ac:dyDescent="0.2">
      <c r="C185" s="64"/>
      <c r="D185" s="168" t="s">
        <v>426</v>
      </c>
      <c r="I185" s="512"/>
      <c r="K185" s="512"/>
      <c r="M185" s="512"/>
      <c r="O185" s="1127" t="str">
        <f>IF(O189=M173," ","Recheck numbers in steps 2 &amp; 3. Entry is out of balance.")</f>
        <v xml:space="preserve"> </v>
      </c>
    </row>
    <row r="186" spans="3:16" x14ac:dyDescent="0.2">
      <c r="C186" s="64"/>
      <c r="D186" s="168" t="s">
        <v>926</v>
      </c>
      <c r="I186" s="512"/>
      <c r="K186" s="512"/>
      <c r="M186" s="512"/>
      <c r="O186" s="1127"/>
      <c r="P186" s="186"/>
    </row>
    <row r="187" spans="3:16" ht="13.5" customHeight="1" x14ac:dyDescent="0.2">
      <c r="C187" s="64"/>
      <c r="D187" s="545" t="s">
        <v>203</v>
      </c>
      <c r="I187" s="512"/>
      <c r="K187" s="512"/>
      <c r="M187" s="512"/>
      <c r="O187" s="1127"/>
      <c r="P187" s="186"/>
    </row>
    <row r="188" spans="3:16" x14ac:dyDescent="0.2">
      <c r="C188" s="64"/>
      <c r="D188" s="168" t="s">
        <v>116</v>
      </c>
      <c r="F188" s="6"/>
      <c r="G188" s="6"/>
      <c r="H188" s="512"/>
      <c r="I188" s="102" t="s">
        <v>487</v>
      </c>
      <c r="K188" s="102" t="s">
        <v>487</v>
      </c>
      <c r="M188" s="102" t="s">
        <v>487</v>
      </c>
      <c r="O188" s="186"/>
      <c r="P188" s="186"/>
    </row>
    <row r="189" spans="3:16" ht="15.75" customHeight="1" thickBot="1" x14ac:dyDescent="0.25">
      <c r="C189" s="64"/>
      <c r="H189" s="100">
        <f>SUM(H188)</f>
        <v>0</v>
      </c>
      <c r="I189" s="100">
        <f>SUM(I180:I187)</f>
        <v>0</v>
      </c>
      <c r="K189" s="100">
        <f>SUM(K180:K187)</f>
        <v>0</v>
      </c>
      <c r="L189" s="72">
        <f>SUM(L180:L187)</f>
        <v>0</v>
      </c>
      <c r="M189" s="100">
        <f>SUM(M180:M187)</f>
        <v>0</v>
      </c>
      <c r="N189" s="162" t="s">
        <v>539</v>
      </c>
      <c r="O189" s="113">
        <f>H189+I189+K189+M189</f>
        <v>0</v>
      </c>
    </row>
    <row r="190" spans="3:16" ht="15" customHeight="1" thickTop="1" x14ac:dyDescent="0.2">
      <c r="C190" s="64"/>
      <c r="H190" s="72"/>
      <c r="I190" s="72"/>
      <c r="J190" s="13"/>
      <c r="K190" s="72"/>
      <c r="L190" s="72"/>
      <c r="M190" s="72"/>
      <c r="N190" s="169"/>
      <c r="O190" s="10"/>
    </row>
    <row r="191" spans="3:16" ht="15.75" customHeight="1" x14ac:dyDescent="0.2">
      <c r="C191" s="78" t="s">
        <v>521</v>
      </c>
      <c r="H191" s="72"/>
      <c r="I191" s="72"/>
      <c r="J191" s="13"/>
      <c r="K191" s="72"/>
      <c r="L191" s="13"/>
      <c r="M191" s="72"/>
      <c r="N191" s="169"/>
      <c r="O191" s="10"/>
    </row>
    <row r="192" spans="3:16" ht="15.75" customHeight="1" x14ac:dyDescent="0.2">
      <c r="C192" s="78"/>
      <c r="H192" s="72"/>
      <c r="I192" s="72"/>
      <c r="J192" s="13"/>
      <c r="K192" s="72"/>
      <c r="L192" s="13"/>
      <c r="M192" s="72"/>
      <c r="N192" s="169"/>
      <c r="O192" s="10"/>
    </row>
    <row r="193" spans="2:15" ht="25.5" customHeight="1" x14ac:dyDescent="0.2">
      <c r="B193" s="445" t="s">
        <v>274</v>
      </c>
      <c r="C193" s="1207" t="s">
        <v>107</v>
      </c>
      <c r="D193" s="1226"/>
      <c r="E193" s="1226"/>
      <c r="F193" s="1226"/>
      <c r="G193" s="1226"/>
      <c r="H193" s="1226"/>
      <c r="I193" s="1226"/>
      <c r="J193" s="1226"/>
      <c r="K193" s="1226"/>
      <c r="L193" s="1226"/>
      <c r="M193" s="1226"/>
      <c r="N193" s="1226"/>
      <c r="O193" s="1227"/>
    </row>
    <row r="194" spans="2:15" ht="15.75" customHeight="1" x14ac:dyDescent="0.2">
      <c r="C194" s="78"/>
      <c r="H194" s="72"/>
      <c r="I194" s="72"/>
      <c r="J194" s="13"/>
      <c r="K194" s="72"/>
      <c r="L194" s="13"/>
      <c r="M194" s="72"/>
      <c r="N194" s="169"/>
      <c r="O194" s="10"/>
    </row>
    <row r="195" spans="2:15" ht="18" customHeight="1" x14ac:dyDescent="0.2">
      <c r="C195" s="231" t="s">
        <v>947</v>
      </c>
      <c r="D195" t="s">
        <v>149</v>
      </c>
      <c r="H195" s="72"/>
      <c r="I195" s="72"/>
      <c r="J195" s="13"/>
      <c r="K195" s="508"/>
      <c r="L195" s="13"/>
      <c r="M195" s="72"/>
      <c r="N195" s="169"/>
      <c r="O195" s="10"/>
    </row>
    <row r="196" spans="2:15" ht="6" customHeight="1" x14ac:dyDescent="0.2">
      <c r="C196" s="229"/>
      <c r="H196" s="72"/>
      <c r="I196" s="72"/>
      <c r="J196" s="13"/>
      <c r="K196" s="491"/>
      <c r="L196" s="13"/>
      <c r="M196" s="72"/>
      <c r="N196" s="169"/>
      <c r="O196" s="10"/>
    </row>
    <row r="197" spans="2:15" ht="17.25" customHeight="1" x14ac:dyDescent="0.2">
      <c r="C197" s="231" t="s">
        <v>948</v>
      </c>
      <c r="D197" t="s">
        <v>816</v>
      </c>
      <c r="H197" s="72"/>
      <c r="I197" s="72"/>
      <c r="J197" s="13"/>
      <c r="K197" s="508"/>
      <c r="L197" s="13"/>
      <c r="M197" s="72"/>
      <c r="N197" s="169"/>
      <c r="O197" s="10"/>
    </row>
    <row r="198" spans="2:15" ht="4.5" customHeight="1" x14ac:dyDescent="0.2">
      <c r="C198" s="78"/>
      <c r="H198" s="72"/>
      <c r="I198" s="72"/>
      <c r="J198" s="13"/>
      <c r="K198" s="72"/>
      <c r="L198" s="13"/>
      <c r="M198" s="72"/>
      <c r="N198" s="169"/>
      <c r="O198" s="10"/>
    </row>
    <row r="199" spans="2:15" ht="12.75" customHeight="1" x14ac:dyDescent="0.2">
      <c r="C199" s="78"/>
      <c r="D199" s="2" t="s">
        <v>151</v>
      </c>
      <c r="H199" s="72"/>
      <c r="I199" s="72"/>
      <c r="J199" s="13"/>
      <c r="K199" s="72"/>
      <c r="L199" s="13"/>
      <c r="M199" s="72"/>
      <c r="N199" s="169"/>
      <c r="O199" s="10"/>
    </row>
    <row r="200" spans="2:15" ht="12.75" customHeight="1" x14ac:dyDescent="0.2">
      <c r="C200" s="78"/>
      <c r="H200" s="72"/>
      <c r="I200" s="72"/>
      <c r="J200" s="13"/>
      <c r="K200" s="72"/>
      <c r="L200" s="13"/>
      <c r="M200" s="72"/>
      <c r="N200" s="169"/>
      <c r="O200" s="10"/>
    </row>
    <row r="201" spans="2:15" ht="7.5" customHeight="1" x14ac:dyDescent="0.2"/>
    <row r="202" spans="2:15" ht="25.5" customHeight="1" x14ac:dyDescent="0.2">
      <c r="B202" s="4" t="s">
        <v>148</v>
      </c>
      <c r="C202" s="1207" t="s">
        <v>540</v>
      </c>
      <c r="D202" s="1208"/>
      <c r="E202" s="1208"/>
      <c r="F202" s="1208"/>
      <c r="G202" s="1208"/>
      <c r="H202" s="1208"/>
      <c r="I202" s="1208"/>
      <c r="J202" s="1208"/>
      <c r="K202" s="1208"/>
      <c r="L202" s="1208"/>
      <c r="M202" s="1208"/>
      <c r="N202" s="1208"/>
      <c r="O202" s="1209"/>
    </row>
    <row r="203" spans="2:15" ht="6.75" customHeight="1" x14ac:dyDescent="0.2">
      <c r="B203" s="4"/>
      <c r="C203" s="69"/>
      <c r="D203" s="69"/>
      <c r="E203" s="69"/>
      <c r="F203" s="69"/>
      <c r="G203" s="69"/>
      <c r="H203" s="69"/>
      <c r="I203" s="69"/>
      <c r="J203" s="54"/>
      <c r="K203" s="54"/>
      <c r="L203" s="54"/>
      <c r="M203" s="54"/>
      <c r="N203" s="54"/>
      <c r="O203" s="54"/>
    </row>
    <row r="204" spans="2:15" x14ac:dyDescent="0.2">
      <c r="K204" s="74" t="s">
        <v>65</v>
      </c>
      <c r="L204" s="63"/>
      <c r="M204" s="74" t="s">
        <v>66</v>
      </c>
    </row>
    <row r="205" spans="2:15" x14ac:dyDescent="0.2">
      <c r="B205" t="s">
        <v>726</v>
      </c>
      <c r="C205" t="s">
        <v>51</v>
      </c>
      <c r="K205" s="283">
        <f t="shared" ref="K205:K213" si="0">AE252</f>
        <v>0</v>
      </c>
      <c r="L205" s="63"/>
      <c r="M205" s="282"/>
    </row>
    <row r="206" spans="2:15" x14ac:dyDescent="0.2">
      <c r="C206" s="229" t="s">
        <v>1093</v>
      </c>
      <c r="I206" s="1"/>
      <c r="J206" s="13"/>
      <c r="K206" s="109">
        <f t="shared" si="0"/>
        <v>0</v>
      </c>
      <c r="L206" s="120"/>
      <c r="M206" s="109">
        <f t="shared" ref="M206:M213" si="1">AF253</f>
        <v>0</v>
      </c>
    </row>
    <row r="207" spans="2:15" x14ac:dyDescent="0.2">
      <c r="C207" s="168" t="s">
        <v>830</v>
      </c>
      <c r="D207" s="168"/>
      <c r="E207" s="168"/>
      <c r="F207" s="168"/>
      <c r="I207" s="1"/>
      <c r="J207" s="13"/>
      <c r="K207" s="109">
        <f t="shared" si="0"/>
        <v>0</v>
      </c>
      <c r="L207" s="120"/>
      <c r="M207" s="109">
        <f t="shared" si="1"/>
        <v>0</v>
      </c>
    </row>
    <row r="208" spans="2:15" x14ac:dyDescent="0.2">
      <c r="C208" s="168" t="s">
        <v>832</v>
      </c>
      <c r="D208" s="168"/>
      <c r="E208" s="168"/>
      <c r="F208" s="168"/>
      <c r="I208" s="1"/>
      <c r="J208" s="13"/>
      <c r="K208" s="109">
        <f t="shared" si="0"/>
        <v>0</v>
      </c>
      <c r="L208" s="120"/>
      <c r="M208" s="109">
        <f t="shared" si="1"/>
        <v>0</v>
      </c>
    </row>
    <row r="209" spans="3:13" x14ac:dyDescent="0.2">
      <c r="C209" s="168" t="s">
        <v>831</v>
      </c>
      <c r="D209" s="168"/>
      <c r="E209" s="168"/>
      <c r="F209" s="168"/>
      <c r="I209" s="1"/>
      <c r="J209" s="13"/>
      <c r="K209" s="109">
        <f t="shared" si="0"/>
        <v>0</v>
      </c>
      <c r="L209" s="120"/>
      <c r="M209" s="109">
        <f t="shared" si="1"/>
        <v>0</v>
      </c>
    </row>
    <row r="210" spans="3:13" x14ac:dyDescent="0.2">
      <c r="C210" s="168" t="s">
        <v>390</v>
      </c>
      <c r="D210" s="168"/>
      <c r="E210" s="168"/>
      <c r="F210" s="168"/>
      <c r="I210" s="1"/>
      <c r="J210" s="13"/>
      <c r="K210" s="109">
        <f t="shared" si="0"/>
        <v>0</v>
      </c>
      <c r="L210" s="120"/>
      <c r="M210" s="109">
        <f t="shared" si="1"/>
        <v>0</v>
      </c>
    </row>
    <row r="211" spans="3:13" ht="12.75" customHeight="1" x14ac:dyDescent="0.2">
      <c r="C211" s="168" t="s">
        <v>787</v>
      </c>
      <c r="D211" s="168"/>
      <c r="E211" s="168"/>
      <c r="F211" s="168"/>
      <c r="I211" s="1"/>
      <c r="J211" s="13"/>
      <c r="K211" s="109">
        <f t="shared" si="0"/>
        <v>0</v>
      </c>
      <c r="L211" s="120"/>
      <c r="M211" s="109">
        <f t="shared" si="1"/>
        <v>0</v>
      </c>
    </row>
    <row r="212" spans="3:13" x14ac:dyDescent="0.2">
      <c r="C212" s="168" t="s">
        <v>108</v>
      </c>
      <c r="D212" s="168"/>
      <c r="E212" s="168"/>
      <c r="F212" s="168"/>
      <c r="K212" s="109">
        <f t="shared" si="0"/>
        <v>0</v>
      </c>
      <c r="L212" s="120"/>
      <c r="M212" s="109">
        <f t="shared" si="1"/>
        <v>0</v>
      </c>
    </row>
    <row r="213" spans="3:13" x14ac:dyDescent="0.2">
      <c r="C213" s="168" t="s">
        <v>1017</v>
      </c>
      <c r="D213" s="168"/>
      <c r="E213" s="168"/>
      <c r="F213" s="168"/>
      <c r="K213" s="109">
        <f t="shared" si="0"/>
        <v>0</v>
      </c>
      <c r="L213" s="120"/>
      <c r="M213" s="109">
        <f t="shared" si="1"/>
        <v>0</v>
      </c>
    </row>
    <row r="214" spans="3:13" ht="5.25" customHeight="1" x14ac:dyDescent="0.2">
      <c r="C214" s="168"/>
      <c r="D214" s="168"/>
      <c r="E214" s="168"/>
      <c r="F214" s="168"/>
      <c r="K214" s="109"/>
      <c r="L214" s="120"/>
      <c r="M214" s="109"/>
    </row>
    <row r="215" spans="3:13" x14ac:dyDescent="0.2">
      <c r="C215" s="168" t="s">
        <v>767</v>
      </c>
      <c r="E215" s="168"/>
      <c r="F215" s="168"/>
      <c r="K215" s="103">
        <f t="shared" ref="K215:K222" si="2">AE263</f>
        <v>0</v>
      </c>
      <c r="L215" s="13"/>
      <c r="M215" s="103">
        <f t="shared" ref="M215:M222" si="3">AF263</f>
        <v>0</v>
      </c>
    </row>
    <row r="216" spans="3:13" ht="12.75" customHeight="1" x14ac:dyDescent="0.2">
      <c r="C216" s="168" t="s">
        <v>768</v>
      </c>
      <c r="E216" s="168"/>
      <c r="F216" s="168"/>
      <c r="K216" s="103">
        <f t="shared" si="2"/>
        <v>0</v>
      </c>
      <c r="L216" s="13"/>
      <c r="M216" s="103">
        <f t="shared" si="3"/>
        <v>0</v>
      </c>
    </row>
    <row r="217" spans="3:13" ht="12.75" customHeight="1" x14ac:dyDescent="0.2">
      <c r="C217" s="168" t="s">
        <v>769</v>
      </c>
      <c r="E217" s="168"/>
      <c r="F217" s="168"/>
      <c r="K217" s="103">
        <f t="shared" si="2"/>
        <v>0</v>
      </c>
      <c r="L217" s="13"/>
      <c r="M217" s="103">
        <f t="shared" si="3"/>
        <v>0</v>
      </c>
    </row>
    <row r="218" spans="3:13" ht="12.75" customHeight="1" x14ac:dyDescent="0.2">
      <c r="C218" s="168" t="s">
        <v>770</v>
      </c>
      <c r="E218" s="168"/>
      <c r="F218" s="168"/>
      <c r="K218" s="103">
        <f t="shared" si="2"/>
        <v>0</v>
      </c>
      <c r="L218" s="13"/>
      <c r="M218" s="103">
        <f t="shared" si="3"/>
        <v>0</v>
      </c>
    </row>
    <row r="219" spans="3:13" ht="12.75" customHeight="1" x14ac:dyDescent="0.2">
      <c r="C219" s="168" t="s">
        <v>771</v>
      </c>
      <c r="E219" s="168"/>
      <c r="F219" s="168"/>
      <c r="K219" s="103">
        <f t="shared" si="2"/>
        <v>0</v>
      </c>
      <c r="L219" s="13"/>
      <c r="M219" s="103">
        <f t="shared" si="3"/>
        <v>0</v>
      </c>
    </row>
    <row r="220" spans="3:13" ht="12.75" customHeight="1" x14ac:dyDescent="0.2">
      <c r="C220" s="168" t="s">
        <v>772</v>
      </c>
      <c r="E220" s="168"/>
      <c r="F220" s="168"/>
      <c r="K220" s="103">
        <f t="shared" si="2"/>
        <v>0</v>
      </c>
      <c r="L220" s="13"/>
      <c r="M220" s="103">
        <f t="shared" si="3"/>
        <v>0</v>
      </c>
    </row>
    <row r="221" spans="3:13" ht="12.75" customHeight="1" x14ac:dyDescent="0.2">
      <c r="C221" s="168" t="s">
        <v>421</v>
      </c>
      <c r="E221" s="168"/>
      <c r="F221" s="168"/>
      <c r="K221" s="103">
        <f t="shared" si="2"/>
        <v>0</v>
      </c>
      <c r="L221" s="13"/>
      <c r="M221" s="103">
        <f t="shared" si="3"/>
        <v>0</v>
      </c>
    </row>
    <row r="222" spans="3:13" x14ac:dyDescent="0.2">
      <c r="C222" s="545" t="s">
        <v>207</v>
      </c>
      <c r="E222" s="168"/>
      <c r="F222" s="168"/>
      <c r="K222" s="103">
        <f t="shared" si="2"/>
        <v>0</v>
      </c>
      <c r="L222" s="13"/>
      <c r="M222" s="103">
        <f t="shared" si="3"/>
        <v>0</v>
      </c>
    </row>
    <row r="223" spans="3:13" ht="2.25" customHeight="1" x14ac:dyDescent="0.2">
      <c r="C223" s="168"/>
      <c r="D223" s="168"/>
      <c r="E223" s="168"/>
      <c r="F223" s="168"/>
      <c r="K223" s="104"/>
      <c r="L223" s="13"/>
      <c r="M223" s="103"/>
    </row>
    <row r="224" spans="3:13" x14ac:dyDescent="0.2">
      <c r="C224" s="168" t="s">
        <v>128</v>
      </c>
      <c r="E224" s="168"/>
      <c r="F224" s="168"/>
      <c r="K224" s="103">
        <f t="shared" ref="K224:K231" si="4">AE272</f>
        <v>0</v>
      </c>
      <c r="L224" s="13"/>
      <c r="M224" s="103">
        <f t="shared" ref="M224:M231" si="5">AF272</f>
        <v>0</v>
      </c>
    </row>
    <row r="225" spans="3:13" x14ac:dyDescent="0.2">
      <c r="C225" s="168" t="s">
        <v>838</v>
      </c>
      <c r="E225" s="168"/>
      <c r="F225" s="168"/>
      <c r="K225" s="103">
        <f t="shared" si="4"/>
        <v>0</v>
      </c>
      <c r="L225" s="13"/>
      <c r="M225" s="103">
        <f t="shared" si="5"/>
        <v>0</v>
      </c>
    </row>
    <row r="226" spans="3:13" x14ac:dyDescent="0.2">
      <c r="C226" s="168" t="s">
        <v>129</v>
      </c>
      <c r="E226" s="168"/>
      <c r="F226" s="168"/>
      <c r="K226" s="103">
        <f t="shared" si="4"/>
        <v>0</v>
      </c>
      <c r="L226" s="13"/>
      <c r="M226" s="103">
        <f t="shared" si="5"/>
        <v>0</v>
      </c>
    </row>
    <row r="227" spans="3:13" x14ac:dyDescent="0.2">
      <c r="C227" s="168" t="s">
        <v>130</v>
      </c>
      <c r="E227" s="168"/>
      <c r="F227" s="168"/>
      <c r="K227" s="103">
        <f t="shared" si="4"/>
        <v>0</v>
      </c>
      <c r="L227" s="13"/>
      <c r="M227" s="103">
        <f t="shared" si="5"/>
        <v>0</v>
      </c>
    </row>
    <row r="228" spans="3:13" x14ac:dyDescent="0.2">
      <c r="C228" s="168" t="s">
        <v>131</v>
      </c>
      <c r="E228" s="168"/>
      <c r="F228" s="168"/>
      <c r="K228" s="103">
        <f t="shared" si="4"/>
        <v>0</v>
      </c>
      <c r="L228" s="13"/>
      <c r="M228" s="103">
        <f t="shared" si="5"/>
        <v>0</v>
      </c>
    </row>
    <row r="229" spans="3:13" x14ac:dyDescent="0.2">
      <c r="C229" s="168" t="s">
        <v>505</v>
      </c>
      <c r="E229" s="168"/>
      <c r="F229" s="168"/>
      <c r="K229" s="103">
        <f t="shared" si="4"/>
        <v>0</v>
      </c>
      <c r="L229" s="13"/>
      <c r="M229" s="103">
        <f t="shared" si="5"/>
        <v>0</v>
      </c>
    </row>
    <row r="230" spans="3:13" x14ac:dyDescent="0.2">
      <c r="C230" s="168" t="s">
        <v>422</v>
      </c>
      <c r="E230" s="168"/>
      <c r="F230" s="168"/>
      <c r="K230" s="103">
        <f t="shared" si="4"/>
        <v>0</v>
      </c>
      <c r="L230" s="13"/>
      <c r="M230" s="103">
        <f t="shared" si="5"/>
        <v>0</v>
      </c>
    </row>
    <row r="231" spans="3:13" x14ac:dyDescent="0.2">
      <c r="C231" s="545" t="s">
        <v>208</v>
      </c>
      <c r="E231" s="168"/>
      <c r="F231" s="168"/>
      <c r="K231" s="103">
        <f t="shared" si="4"/>
        <v>0</v>
      </c>
      <c r="L231" s="13"/>
      <c r="M231" s="103">
        <f t="shared" si="5"/>
        <v>0</v>
      </c>
    </row>
    <row r="232" spans="3:13" ht="2.25" customHeight="1" x14ac:dyDescent="0.2">
      <c r="C232" s="168"/>
      <c r="D232" s="168"/>
      <c r="E232" s="168"/>
      <c r="F232" s="168"/>
      <c r="K232" s="104"/>
      <c r="L232" s="13"/>
      <c r="M232" s="103"/>
    </row>
    <row r="233" spans="3:13" x14ac:dyDescent="0.2">
      <c r="C233" s="168" t="s">
        <v>672</v>
      </c>
      <c r="E233" s="168"/>
      <c r="F233" s="168"/>
      <c r="K233" s="103">
        <f t="shared" ref="K233:K240" si="6">AE281</f>
        <v>0</v>
      </c>
      <c r="L233" s="13"/>
      <c r="M233" s="103">
        <f t="shared" ref="M233:M240" si="7">AF281</f>
        <v>0</v>
      </c>
    </row>
    <row r="234" spans="3:13" x14ac:dyDescent="0.2">
      <c r="C234" s="168" t="s">
        <v>775</v>
      </c>
      <c r="E234" s="168"/>
      <c r="F234" s="168"/>
      <c r="K234" s="103">
        <f t="shared" si="6"/>
        <v>0</v>
      </c>
      <c r="L234" s="13"/>
      <c r="M234" s="103">
        <f t="shared" si="7"/>
        <v>0</v>
      </c>
    </row>
    <row r="235" spans="3:13" x14ac:dyDescent="0.2">
      <c r="C235" s="168" t="s">
        <v>776</v>
      </c>
      <c r="E235" s="168"/>
      <c r="F235" s="168"/>
      <c r="K235" s="103">
        <f t="shared" si="6"/>
        <v>0</v>
      </c>
      <c r="L235" s="13"/>
      <c r="M235" s="103">
        <f t="shared" si="7"/>
        <v>0</v>
      </c>
    </row>
    <row r="236" spans="3:13" x14ac:dyDescent="0.2">
      <c r="C236" s="168" t="s">
        <v>951</v>
      </c>
      <c r="E236" s="168"/>
      <c r="F236" s="168"/>
      <c r="K236" s="103">
        <f t="shared" si="6"/>
        <v>0</v>
      </c>
      <c r="L236" s="13"/>
      <c r="M236" s="103">
        <f t="shared" si="7"/>
        <v>0</v>
      </c>
    </row>
    <row r="237" spans="3:13" x14ac:dyDescent="0.2">
      <c r="C237" s="168" t="s">
        <v>952</v>
      </c>
      <c r="E237" s="168"/>
      <c r="F237" s="168"/>
      <c r="K237" s="103">
        <f t="shared" si="6"/>
        <v>0</v>
      </c>
      <c r="L237" s="13"/>
      <c r="M237" s="103">
        <f t="shared" si="7"/>
        <v>0</v>
      </c>
    </row>
    <row r="238" spans="3:13" x14ac:dyDescent="0.2">
      <c r="C238" s="168" t="s">
        <v>1013</v>
      </c>
      <c r="E238" s="168"/>
      <c r="F238" s="168"/>
      <c r="K238" s="103">
        <f t="shared" si="6"/>
        <v>0</v>
      </c>
      <c r="L238" s="13"/>
      <c r="M238" s="103">
        <f t="shared" si="7"/>
        <v>0</v>
      </c>
    </row>
    <row r="239" spans="3:13" x14ac:dyDescent="0.2">
      <c r="C239" s="168" t="s">
        <v>423</v>
      </c>
      <c r="E239" s="168"/>
      <c r="F239" s="168"/>
      <c r="K239" s="103">
        <f t="shared" si="6"/>
        <v>0</v>
      </c>
      <c r="L239" s="13"/>
      <c r="M239" s="103">
        <f t="shared" si="7"/>
        <v>0</v>
      </c>
    </row>
    <row r="240" spans="3:13" x14ac:dyDescent="0.2">
      <c r="C240" s="545" t="s">
        <v>209</v>
      </c>
      <c r="E240" s="168"/>
      <c r="F240" s="168"/>
      <c r="K240" s="103">
        <f t="shared" si="6"/>
        <v>0</v>
      </c>
      <c r="L240" s="13"/>
      <c r="M240" s="103">
        <f t="shared" si="7"/>
        <v>0</v>
      </c>
    </row>
    <row r="241" spans="2:32" x14ac:dyDescent="0.2">
      <c r="C241" s="168"/>
      <c r="D241" t="s">
        <v>152</v>
      </c>
      <c r="E241" s="168"/>
      <c r="F241" s="168"/>
      <c r="K241" s="103">
        <f>AE261</f>
        <v>0</v>
      </c>
      <c r="L241" s="13"/>
      <c r="M241" s="103">
        <f>AF261</f>
        <v>0</v>
      </c>
    </row>
    <row r="242" spans="2:32" ht="13.5" thickBot="1" x14ac:dyDescent="0.25">
      <c r="K242" s="105">
        <f>SUM(K205:K241)</f>
        <v>0</v>
      </c>
      <c r="L242" s="10"/>
      <c r="M242" s="105">
        <f>SUM(M205:M241)</f>
        <v>0</v>
      </c>
    </row>
    <row r="243" spans="2:32" ht="13.5" thickTop="1" x14ac:dyDescent="0.2"/>
    <row r="244" spans="2:32" x14ac:dyDescent="0.2">
      <c r="C244" s="258" t="s">
        <v>94</v>
      </c>
      <c r="D244" s="2"/>
      <c r="E244" s="2"/>
      <c r="F244" s="2"/>
      <c r="G244" s="2"/>
      <c r="H244" s="2"/>
      <c r="I244" s="2"/>
      <c r="J244" s="2"/>
      <c r="K244" s="2"/>
      <c r="L244" s="2"/>
      <c r="M244" s="2"/>
    </row>
    <row r="247" spans="2:32" x14ac:dyDescent="0.2">
      <c r="B247" s="1222" t="s">
        <v>766</v>
      </c>
      <c r="C247" s="1223"/>
      <c r="D247" s="1223"/>
      <c r="E247" s="1223"/>
      <c r="F247" s="1223"/>
      <c r="G247" s="1223"/>
      <c r="H247" s="1223"/>
      <c r="I247" s="1223"/>
      <c r="J247" s="1223"/>
      <c r="K247" s="1223"/>
      <c r="L247" s="1223"/>
      <c r="M247" s="1223"/>
      <c r="N247" s="1223"/>
      <c r="O247" s="1223"/>
      <c r="P247" s="1223"/>
      <c r="Q247" s="1223"/>
      <c r="R247" s="1223"/>
      <c r="S247" s="1223"/>
      <c r="T247" s="1223"/>
      <c r="U247" s="1223"/>
      <c r="V247" s="1223"/>
      <c r="W247" s="1223"/>
      <c r="X247" s="1223"/>
      <c r="Y247" s="1223"/>
      <c r="Z247" s="1223"/>
      <c r="AA247" s="1223"/>
      <c r="AB247" s="1223"/>
      <c r="AC247" s="1223"/>
      <c r="AD247" s="1223"/>
    </row>
    <row r="248" spans="2:32" x14ac:dyDescent="0.2">
      <c r="B248" s="1222"/>
      <c r="C248" s="1223"/>
      <c r="D248" s="1223"/>
      <c r="E248" s="1223"/>
      <c r="F248" s="1223"/>
      <c r="G248" s="1223"/>
      <c r="H248" s="1223"/>
      <c r="I248" s="1223"/>
      <c r="J248" s="1223"/>
      <c r="K248" s="1223"/>
      <c r="L248" s="1223"/>
      <c r="M248" s="1223"/>
      <c r="N248" s="1223"/>
      <c r="O248" s="1223"/>
      <c r="P248" s="1223"/>
      <c r="Q248" s="1223"/>
      <c r="R248" s="1223"/>
      <c r="S248" s="1223"/>
      <c r="T248" s="1223"/>
      <c r="U248" s="1223"/>
      <c r="V248" s="1223"/>
      <c r="W248" s="1223"/>
      <c r="X248" s="1223"/>
      <c r="Y248" s="1223"/>
      <c r="Z248" s="1223"/>
      <c r="AA248" s="1223"/>
      <c r="AB248" s="1223"/>
      <c r="AC248" s="1223"/>
      <c r="AD248" s="1223"/>
    </row>
    <row r="250" spans="2:32" x14ac:dyDescent="0.2">
      <c r="I250" s="1220" t="s">
        <v>417</v>
      </c>
      <c r="J250" s="1224"/>
      <c r="K250" s="1221"/>
      <c r="M250" s="1220" t="s">
        <v>248</v>
      </c>
      <c r="N250" s="1224"/>
      <c r="O250" s="1221"/>
      <c r="Q250" s="1220" t="s">
        <v>249</v>
      </c>
      <c r="R250" s="1221"/>
      <c r="S250" s="1220" t="s">
        <v>250</v>
      </c>
      <c r="T250" s="1221"/>
      <c r="U250" s="1220" t="s">
        <v>418</v>
      </c>
      <c r="V250" s="1221"/>
      <c r="W250" s="1220" t="s">
        <v>419</v>
      </c>
      <c r="X250" s="1221"/>
      <c r="Y250" s="1220" t="s">
        <v>420</v>
      </c>
      <c r="Z250" s="1221"/>
      <c r="AA250" s="1220" t="s">
        <v>502</v>
      </c>
      <c r="AB250" s="1221"/>
      <c r="AC250" s="1220" t="s">
        <v>150</v>
      </c>
      <c r="AD250" s="1221"/>
      <c r="AE250" s="1220" t="s">
        <v>103</v>
      </c>
      <c r="AF250" s="1221"/>
    </row>
    <row r="251" spans="2:32" x14ac:dyDescent="0.2">
      <c r="I251" s="95" t="s">
        <v>65</v>
      </c>
      <c r="J251" s="170"/>
      <c r="K251" s="96" t="s">
        <v>66</v>
      </c>
      <c r="L251" s="60"/>
      <c r="M251" s="95" t="s">
        <v>65</v>
      </c>
      <c r="N251" s="3"/>
      <c r="O251" s="96" t="s">
        <v>66</v>
      </c>
      <c r="P251" s="60"/>
      <c r="Q251" s="95" t="s">
        <v>65</v>
      </c>
      <c r="R251" s="139" t="s">
        <v>66</v>
      </c>
      <c r="S251" s="95" t="s">
        <v>65</v>
      </c>
      <c r="T251" s="139" t="s">
        <v>66</v>
      </c>
      <c r="U251" s="93" t="s">
        <v>332</v>
      </c>
      <c r="V251" s="93" t="s">
        <v>66</v>
      </c>
      <c r="W251" s="95" t="s">
        <v>65</v>
      </c>
      <c r="X251" s="139" t="s">
        <v>66</v>
      </c>
      <c r="Y251" s="95" t="s">
        <v>65</v>
      </c>
      <c r="Z251" s="139" t="s">
        <v>66</v>
      </c>
      <c r="AA251" s="95" t="s">
        <v>65</v>
      </c>
      <c r="AB251" s="139" t="s">
        <v>66</v>
      </c>
      <c r="AC251" s="93" t="s">
        <v>332</v>
      </c>
      <c r="AD251" s="93" t="s">
        <v>66</v>
      </c>
      <c r="AE251" s="138" t="s">
        <v>332</v>
      </c>
      <c r="AF251" s="139" t="s">
        <v>66</v>
      </c>
    </row>
    <row r="252" spans="2:32" x14ac:dyDescent="0.2">
      <c r="B252" t="s">
        <v>726</v>
      </c>
      <c r="C252" t="s">
        <v>51</v>
      </c>
      <c r="AC252" s="172">
        <f>K197</f>
        <v>0</v>
      </c>
      <c r="AE252" s="172">
        <f>I252+M252+Q252+S252+U252+W252+Y252+AA252+AC252</f>
        <v>0</v>
      </c>
    </row>
    <row r="253" spans="2:32" x14ac:dyDescent="0.2">
      <c r="C253" s="229" t="s">
        <v>1093</v>
      </c>
      <c r="I253" s="171">
        <f>M29</f>
        <v>0</v>
      </c>
      <c r="J253" s="171"/>
      <c r="K253" s="171"/>
      <c r="L253" s="61"/>
      <c r="M253" s="171">
        <f>M40</f>
        <v>0</v>
      </c>
      <c r="N253" s="171"/>
      <c r="O253" s="171"/>
      <c r="P253" s="61"/>
      <c r="Q253" s="73">
        <f>M51</f>
        <v>0</v>
      </c>
      <c r="R253" s="172"/>
      <c r="S253" s="73">
        <f>M62</f>
        <v>0</v>
      </c>
      <c r="T253" s="172"/>
      <c r="U253" s="172">
        <f>M73</f>
        <v>0</v>
      </c>
      <c r="V253" s="172"/>
      <c r="W253" s="73">
        <f>M79+M82</f>
        <v>0</v>
      </c>
      <c r="X253" s="172">
        <f>M98</f>
        <v>0</v>
      </c>
      <c r="Y253" s="73">
        <f>M116+M119</f>
        <v>0</v>
      </c>
      <c r="Z253" s="172">
        <f>M135</f>
        <v>0</v>
      </c>
      <c r="AA253" s="73">
        <f>M173</f>
        <v>0</v>
      </c>
      <c r="AB253" s="172"/>
      <c r="AD253" s="172"/>
      <c r="AE253" s="172">
        <f t="shared" ref="AE253:AE288" si="8">I253+M253+Q253+S253+U253+W253+Y253+AA253+AC253</f>
        <v>0</v>
      </c>
      <c r="AF253" s="172">
        <f>K253+O253+R253+T253+V253+X253+Z253+AB253+AD253</f>
        <v>0</v>
      </c>
    </row>
    <row r="254" spans="2:32" x14ac:dyDescent="0.2">
      <c r="C254" s="168" t="s">
        <v>830</v>
      </c>
      <c r="D254" s="168"/>
      <c r="E254" s="168"/>
      <c r="F254" s="168"/>
      <c r="I254" s="61"/>
      <c r="J254" s="61"/>
      <c r="K254" s="61"/>
      <c r="L254" s="61"/>
      <c r="M254" s="61"/>
      <c r="N254" s="61"/>
      <c r="O254" s="61"/>
      <c r="P254" s="61"/>
      <c r="Q254" s="61"/>
      <c r="R254" s="61"/>
      <c r="S254" s="61"/>
      <c r="T254" s="61"/>
      <c r="U254" s="61"/>
      <c r="V254" s="61"/>
      <c r="W254" s="61"/>
      <c r="X254" s="61"/>
      <c r="Y254" s="61"/>
      <c r="Z254" s="61"/>
      <c r="AA254" s="61"/>
      <c r="AB254" s="61"/>
      <c r="AC254" s="61"/>
      <c r="AD254" s="61"/>
      <c r="AE254" s="172">
        <f t="shared" si="8"/>
        <v>0</v>
      </c>
      <c r="AF254" s="172">
        <f t="shared" ref="AF254:AF288" si="9">K254+O254+R254+T254+V254+X254+Z254+AB254+AD254</f>
        <v>0</v>
      </c>
    </row>
    <row r="255" spans="2:32" x14ac:dyDescent="0.2">
      <c r="C255" s="168" t="s">
        <v>832</v>
      </c>
      <c r="D255" s="168"/>
      <c r="E255" s="168"/>
      <c r="F255" s="168"/>
      <c r="I255" s="61">
        <f>M26</f>
        <v>0</v>
      </c>
      <c r="J255" s="61"/>
      <c r="K255" s="61">
        <f>M29</f>
        <v>0</v>
      </c>
      <c r="L255" s="61"/>
      <c r="M255" s="61">
        <f>M37</f>
        <v>0</v>
      </c>
      <c r="N255" s="61"/>
      <c r="O255" s="61">
        <f>M40</f>
        <v>0</v>
      </c>
      <c r="P255" s="61"/>
      <c r="Q255" s="61"/>
      <c r="R255" s="61"/>
      <c r="S255" s="61">
        <f>M59</f>
        <v>0</v>
      </c>
      <c r="T255" s="61">
        <f>M62</f>
        <v>0</v>
      </c>
      <c r="U255" s="61">
        <f>M70</f>
        <v>0</v>
      </c>
      <c r="V255" s="61">
        <f>M73</f>
        <v>0</v>
      </c>
      <c r="W255" s="61"/>
      <c r="X255" s="61"/>
      <c r="Y255" s="61"/>
      <c r="Z255" s="61"/>
      <c r="AA255" s="61"/>
      <c r="AB255" s="61"/>
      <c r="AC255" s="61"/>
      <c r="AD255" s="61"/>
      <c r="AE255" s="172">
        <f t="shared" si="8"/>
        <v>0</v>
      </c>
      <c r="AF255" s="172">
        <f t="shared" si="9"/>
        <v>0</v>
      </c>
    </row>
    <row r="256" spans="2:32" x14ac:dyDescent="0.2">
      <c r="C256" s="168" t="s">
        <v>831</v>
      </c>
      <c r="D256" s="168"/>
      <c r="E256" s="168"/>
      <c r="F256" s="168"/>
      <c r="I256" s="61"/>
      <c r="J256" s="61"/>
      <c r="K256" s="61"/>
      <c r="L256" s="61"/>
      <c r="M256" s="61"/>
      <c r="N256" s="61"/>
      <c r="O256" s="61"/>
      <c r="P256" s="61"/>
      <c r="R256" s="61"/>
      <c r="S256" s="61"/>
      <c r="T256" s="61"/>
      <c r="U256" s="61"/>
      <c r="V256" s="61"/>
      <c r="W256" s="61"/>
      <c r="X256" s="61"/>
      <c r="Y256" s="61"/>
      <c r="Z256" s="61"/>
      <c r="AA256" s="61"/>
      <c r="AB256" s="61"/>
      <c r="AC256" s="61"/>
      <c r="AD256" s="61"/>
      <c r="AE256" s="172">
        <f t="shared" si="8"/>
        <v>0</v>
      </c>
      <c r="AF256" s="172">
        <f t="shared" si="9"/>
        <v>0</v>
      </c>
    </row>
    <row r="257" spans="3:32" x14ac:dyDescent="0.2">
      <c r="C257" s="168" t="s">
        <v>390</v>
      </c>
      <c r="D257" s="168"/>
      <c r="E257" s="168"/>
      <c r="F257" s="168"/>
      <c r="I257" s="61"/>
      <c r="J257" s="61"/>
      <c r="K257" s="61"/>
      <c r="L257" s="61"/>
      <c r="M257" s="61"/>
      <c r="N257" s="61"/>
      <c r="O257" s="61"/>
      <c r="P257" s="61"/>
      <c r="Q257" s="61"/>
      <c r="R257" s="61"/>
      <c r="S257" s="61"/>
      <c r="T257" s="61"/>
      <c r="U257" s="61"/>
      <c r="V257" s="61"/>
      <c r="W257" s="61"/>
      <c r="X257" s="61"/>
      <c r="Y257" s="61"/>
      <c r="Z257" s="61"/>
      <c r="AA257" s="61"/>
      <c r="AB257" s="61"/>
      <c r="AC257" s="61"/>
      <c r="AD257" s="61"/>
      <c r="AE257" s="172">
        <f t="shared" si="8"/>
        <v>0</v>
      </c>
      <c r="AF257" s="172">
        <f t="shared" si="9"/>
        <v>0</v>
      </c>
    </row>
    <row r="258" spans="3:32" x14ac:dyDescent="0.2">
      <c r="C258" s="168" t="s">
        <v>787</v>
      </c>
      <c r="D258" s="168"/>
      <c r="E258" s="168"/>
      <c r="F258" s="168"/>
      <c r="I258" s="61"/>
      <c r="J258" s="61"/>
      <c r="K258" s="61"/>
      <c r="L258" s="61"/>
      <c r="M258" s="61"/>
      <c r="N258" s="61"/>
      <c r="O258" s="61"/>
      <c r="P258" s="61"/>
      <c r="Q258" s="61"/>
      <c r="R258" s="61"/>
      <c r="S258" s="61"/>
      <c r="T258" s="61"/>
      <c r="U258" s="61"/>
      <c r="V258" s="61"/>
      <c r="W258" s="61"/>
      <c r="X258" s="61"/>
      <c r="Y258" s="61"/>
      <c r="Z258" s="61"/>
      <c r="AA258" s="61"/>
      <c r="AB258" s="61"/>
      <c r="AC258" s="61"/>
      <c r="AD258" s="61"/>
      <c r="AE258" s="172">
        <f t="shared" si="8"/>
        <v>0</v>
      </c>
      <c r="AF258" s="172">
        <f t="shared" si="9"/>
        <v>0</v>
      </c>
    </row>
    <row r="259" spans="3:32" x14ac:dyDescent="0.2">
      <c r="C259" s="168" t="s">
        <v>108</v>
      </c>
      <c r="D259" s="168"/>
      <c r="E259" s="168"/>
      <c r="F259" s="168"/>
      <c r="I259" s="61"/>
      <c r="J259" s="61"/>
      <c r="K259" s="61"/>
      <c r="L259" s="61"/>
      <c r="M259" s="61"/>
      <c r="N259" s="61"/>
      <c r="O259" s="61"/>
      <c r="P259" s="61"/>
      <c r="Q259" s="61"/>
      <c r="R259" s="61"/>
      <c r="S259" s="61"/>
      <c r="T259" s="61"/>
      <c r="U259" s="61"/>
      <c r="V259" s="61"/>
      <c r="W259" s="61"/>
      <c r="X259" s="61"/>
      <c r="Y259" s="61"/>
      <c r="Z259" s="61"/>
      <c r="AA259" s="61">
        <f>H167</f>
        <v>0</v>
      </c>
      <c r="AB259" s="61">
        <f>H188</f>
        <v>0</v>
      </c>
      <c r="AC259" s="61"/>
      <c r="AD259" s="61"/>
      <c r="AE259" s="172">
        <f t="shared" si="8"/>
        <v>0</v>
      </c>
      <c r="AF259" s="172">
        <f t="shared" si="9"/>
        <v>0</v>
      </c>
    </row>
    <row r="260" spans="3:32" x14ac:dyDescent="0.2">
      <c r="C260" s="168" t="s">
        <v>1017</v>
      </c>
      <c r="D260" s="168"/>
      <c r="E260" s="168"/>
      <c r="F260" s="168"/>
      <c r="I260" s="61"/>
      <c r="J260" s="61"/>
      <c r="K260" s="61"/>
      <c r="L260" s="61"/>
      <c r="M260" s="61"/>
      <c r="N260" s="61"/>
      <c r="O260" s="61"/>
      <c r="P260" s="61"/>
      <c r="Q260" s="61"/>
      <c r="R260" s="61"/>
      <c r="S260" s="61"/>
      <c r="T260" s="61"/>
      <c r="U260" s="61"/>
      <c r="V260" s="61"/>
      <c r="W260" s="61"/>
      <c r="X260" s="61"/>
      <c r="Y260" s="61"/>
      <c r="Z260" s="61"/>
      <c r="AA260" s="61"/>
      <c r="AB260" s="61"/>
      <c r="AC260" s="61">
        <f>K195</f>
        <v>0</v>
      </c>
      <c r="AD260" s="61">
        <f>K197</f>
        <v>0</v>
      </c>
      <c r="AE260" s="172">
        <f t="shared" si="8"/>
        <v>0</v>
      </c>
      <c r="AF260" s="172">
        <f t="shared" si="9"/>
        <v>0</v>
      </c>
    </row>
    <row r="261" spans="3:32" x14ac:dyDescent="0.2">
      <c r="C261" s="168" t="s">
        <v>91</v>
      </c>
      <c r="E261" s="168"/>
      <c r="F261" s="168"/>
      <c r="I261" s="61"/>
      <c r="J261" s="61"/>
      <c r="K261" s="61">
        <f>M26</f>
        <v>0</v>
      </c>
      <c r="L261" s="61"/>
      <c r="M261" s="61"/>
      <c r="N261" s="61"/>
      <c r="O261" s="61">
        <f>M37</f>
        <v>0</v>
      </c>
      <c r="P261" s="61"/>
      <c r="Q261" s="61"/>
      <c r="R261" s="61">
        <f>M48</f>
        <v>0</v>
      </c>
      <c r="S261" s="61"/>
      <c r="T261" s="61">
        <f>M59</f>
        <v>0</v>
      </c>
      <c r="U261" s="61"/>
      <c r="V261" s="61">
        <f>M70</f>
        <v>0</v>
      </c>
      <c r="W261" s="61"/>
      <c r="X261" s="61">
        <f>M79</f>
        <v>0</v>
      </c>
      <c r="Y261" s="61"/>
      <c r="Z261" s="61">
        <f>M116</f>
        <v>0</v>
      </c>
      <c r="AA261" s="61"/>
      <c r="AB261" s="61">
        <f>M155</f>
        <v>0</v>
      </c>
      <c r="AC261" s="61"/>
      <c r="AD261" s="61">
        <f>K195</f>
        <v>0</v>
      </c>
      <c r="AE261" s="172">
        <f t="shared" si="8"/>
        <v>0</v>
      </c>
      <c r="AF261" s="172">
        <f t="shared" si="9"/>
        <v>0</v>
      </c>
    </row>
    <row r="262" spans="3:32" x14ac:dyDescent="0.2">
      <c r="C262" s="168"/>
      <c r="D262" s="168"/>
      <c r="E262" s="168"/>
      <c r="F262" s="168"/>
      <c r="I262" s="61"/>
      <c r="J262" s="61"/>
      <c r="K262" s="61"/>
      <c r="L262" s="61"/>
      <c r="M262" s="61"/>
      <c r="N262" s="61"/>
      <c r="O262" s="61"/>
      <c r="P262" s="61"/>
      <c r="Q262" s="61"/>
      <c r="R262" s="61"/>
      <c r="S262" s="61"/>
      <c r="T262" s="61"/>
      <c r="U262" s="61"/>
      <c r="V262" s="61"/>
      <c r="W262" s="61"/>
      <c r="X262" s="61"/>
      <c r="Y262" s="61"/>
      <c r="Z262" s="61"/>
      <c r="AA262" s="61"/>
      <c r="AB262" s="61"/>
      <c r="AC262" s="61"/>
      <c r="AD262" s="61"/>
      <c r="AE262" s="172">
        <f t="shared" si="8"/>
        <v>0</v>
      </c>
      <c r="AF262" s="172">
        <f t="shared" si="9"/>
        <v>0</v>
      </c>
    </row>
    <row r="263" spans="3:32" x14ac:dyDescent="0.2">
      <c r="C263" s="168" t="s">
        <v>767</v>
      </c>
      <c r="E263" s="168"/>
      <c r="F263" s="168"/>
      <c r="I263" s="61"/>
      <c r="J263" s="61"/>
      <c r="K263" s="61"/>
      <c r="L263" s="61"/>
      <c r="M263" s="61"/>
      <c r="N263" s="61"/>
      <c r="O263" s="61"/>
      <c r="P263" s="61"/>
      <c r="Q263" s="61"/>
      <c r="R263" s="61"/>
      <c r="S263" s="61"/>
      <c r="T263" s="61"/>
      <c r="U263" s="61"/>
      <c r="V263" s="61"/>
      <c r="W263" s="61"/>
      <c r="X263" s="61"/>
      <c r="Y263" s="61">
        <f>K140</f>
        <v>0</v>
      </c>
      <c r="Z263" s="61">
        <f>K124</f>
        <v>0</v>
      </c>
      <c r="AA263" s="61">
        <f t="shared" ref="AA263:AA270" si="10">I159</f>
        <v>0</v>
      </c>
      <c r="AB263" s="61">
        <f t="shared" ref="AB263:AB270" si="11">I180</f>
        <v>0</v>
      </c>
      <c r="AC263" s="61"/>
      <c r="AD263" s="61"/>
      <c r="AE263" s="172">
        <f t="shared" si="8"/>
        <v>0</v>
      </c>
      <c r="AF263" s="172">
        <f t="shared" si="9"/>
        <v>0</v>
      </c>
    </row>
    <row r="264" spans="3:32" x14ac:dyDescent="0.2">
      <c r="C264" s="168" t="s">
        <v>768</v>
      </c>
      <c r="E264" s="168"/>
      <c r="F264" s="168"/>
      <c r="I264" s="61"/>
      <c r="J264" s="61"/>
      <c r="K264" s="61"/>
      <c r="L264" s="61"/>
      <c r="M264" s="61"/>
      <c r="N264" s="61"/>
      <c r="O264" s="61"/>
      <c r="P264" s="61"/>
      <c r="Q264" s="61"/>
      <c r="R264" s="61"/>
      <c r="S264" s="61"/>
      <c r="T264" s="61"/>
      <c r="U264" s="61"/>
      <c r="V264" s="61"/>
      <c r="W264" s="61"/>
      <c r="X264" s="61"/>
      <c r="Y264" s="61"/>
      <c r="Z264" s="61"/>
      <c r="AA264" s="61">
        <f t="shared" si="10"/>
        <v>0</v>
      </c>
      <c r="AB264" s="61">
        <f t="shared" si="11"/>
        <v>0</v>
      </c>
      <c r="AC264" s="61"/>
      <c r="AD264" s="61"/>
      <c r="AE264" s="172">
        <f t="shared" si="8"/>
        <v>0</v>
      </c>
      <c r="AF264" s="172">
        <f t="shared" si="9"/>
        <v>0</v>
      </c>
    </row>
    <row r="265" spans="3:32" x14ac:dyDescent="0.2">
      <c r="C265" s="168" t="s">
        <v>769</v>
      </c>
      <c r="E265" s="168"/>
      <c r="F265" s="168"/>
      <c r="I265" s="61"/>
      <c r="J265" s="61"/>
      <c r="K265" s="61"/>
      <c r="L265" s="61"/>
      <c r="M265" s="61"/>
      <c r="N265" s="61"/>
      <c r="O265" s="61"/>
      <c r="P265" s="61"/>
      <c r="Q265" s="61"/>
      <c r="R265" s="61"/>
      <c r="S265" s="61"/>
      <c r="T265" s="61"/>
      <c r="U265" s="61"/>
      <c r="V265" s="61"/>
      <c r="W265" s="61"/>
      <c r="X265" s="61"/>
      <c r="Y265" s="61">
        <f>K141</f>
        <v>0</v>
      </c>
      <c r="Z265" s="61">
        <f>K125</f>
        <v>0</v>
      </c>
      <c r="AA265" s="61">
        <f t="shared" si="10"/>
        <v>0</v>
      </c>
      <c r="AB265" s="61">
        <f t="shared" si="11"/>
        <v>0</v>
      </c>
      <c r="AC265" s="61"/>
      <c r="AD265" s="61"/>
      <c r="AE265" s="172">
        <f t="shared" si="8"/>
        <v>0</v>
      </c>
      <c r="AF265" s="172">
        <f t="shared" si="9"/>
        <v>0</v>
      </c>
    </row>
    <row r="266" spans="3:32" x14ac:dyDescent="0.2">
      <c r="C266" s="168" t="s">
        <v>770</v>
      </c>
      <c r="E266" s="168"/>
      <c r="F266" s="168"/>
      <c r="I266" s="61"/>
      <c r="J266" s="61"/>
      <c r="K266" s="61"/>
      <c r="L266" s="61"/>
      <c r="M266" s="61"/>
      <c r="N266" s="61"/>
      <c r="O266" s="61"/>
      <c r="P266" s="61"/>
      <c r="Q266" s="61"/>
      <c r="R266" s="61"/>
      <c r="S266" s="61"/>
      <c r="T266" s="61"/>
      <c r="U266" s="61"/>
      <c r="V266" s="61"/>
      <c r="W266" s="61"/>
      <c r="X266" s="61"/>
      <c r="Y266" s="61">
        <f>K142</f>
        <v>0</v>
      </c>
      <c r="Z266" s="61">
        <f>K126</f>
        <v>0</v>
      </c>
      <c r="AA266" s="61">
        <f t="shared" si="10"/>
        <v>0</v>
      </c>
      <c r="AB266" s="61">
        <f t="shared" si="11"/>
        <v>0</v>
      </c>
      <c r="AC266" s="61"/>
      <c r="AD266" s="61"/>
      <c r="AE266" s="172">
        <f t="shared" si="8"/>
        <v>0</v>
      </c>
      <c r="AF266" s="172">
        <f t="shared" si="9"/>
        <v>0</v>
      </c>
    </row>
    <row r="267" spans="3:32" x14ac:dyDescent="0.2">
      <c r="C267" s="168" t="s">
        <v>771</v>
      </c>
      <c r="E267" s="168"/>
      <c r="F267" s="168"/>
      <c r="I267" s="61"/>
      <c r="J267" s="61"/>
      <c r="K267" s="61"/>
      <c r="L267" s="61"/>
      <c r="M267" s="61"/>
      <c r="N267" s="61"/>
      <c r="O267" s="61"/>
      <c r="P267" s="61"/>
      <c r="Q267" s="61"/>
      <c r="R267" s="61"/>
      <c r="S267" s="61"/>
      <c r="T267" s="61"/>
      <c r="U267" s="61"/>
      <c r="V267" s="61"/>
      <c r="W267" s="61"/>
      <c r="X267" s="61"/>
      <c r="Y267" s="61">
        <f>K143</f>
        <v>0</v>
      </c>
      <c r="Z267" s="61">
        <f>K127</f>
        <v>0</v>
      </c>
      <c r="AA267" s="61">
        <f t="shared" si="10"/>
        <v>0</v>
      </c>
      <c r="AB267" s="61">
        <f t="shared" si="11"/>
        <v>0</v>
      </c>
      <c r="AC267" s="61"/>
      <c r="AD267" s="61"/>
      <c r="AE267" s="172">
        <f t="shared" si="8"/>
        <v>0</v>
      </c>
      <c r="AF267" s="172">
        <f t="shared" si="9"/>
        <v>0</v>
      </c>
    </row>
    <row r="268" spans="3:32" x14ac:dyDescent="0.2">
      <c r="C268" s="168" t="s">
        <v>772</v>
      </c>
      <c r="E268" s="168"/>
      <c r="F268" s="168"/>
      <c r="I268" s="61"/>
      <c r="J268" s="61"/>
      <c r="K268" s="61"/>
      <c r="L268" s="61"/>
      <c r="M268" s="61"/>
      <c r="N268" s="61"/>
      <c r="O268" s="61"/>
      <c r="P268" s="61"/>
      <c r="Q268" s="61"/>
      <c r="R268" s="61"/>
      <c r="S268" s="61"/>
      <c r="T268" s="61"/>
      <c r="U268" s="61"/>
      <c r="V268" s="61"/>
      <c r="W268" s="61"/>
      <c r="X268" s="61"/>
      <c r="Y268" s="61"/>
      <c r="Z268" s="61"/>
      <c r="AA268" s="61">
        <f t="shared" si="10"/>
        <v>0</v>
      </c>
      <c r="AB268" s="61">
        <f t="shared" si="11"/>
        <v>0</v>
      </c>
      <c r="AC268" s="61"/>
      <c r="AD268" s="61"/>
      <c r="AE268" s="172">
        <f t="shared" si="8"/>
        <v>0</v>
      </c>
      <c r="AF268" s="172">
        <f t="shared" si="9"/>
        <v>0</v>
      </c>
    </row>
    <row r="269" spans="3:32" x14ac:dyDescent="0.2">
      <c r="C269" s="168" t="s">
        <v>421</v>
      </c>
      <c r="E269" s="168"/>
      <c r="F269" s="168"/>
      <c r="I269" s="61"/>
      <c r="J269" s="61"/>
      <c r="K269" s="61"/>
      <c r="L269" s="61"/>
      <c r="M269" s="61"/>
      <c r="N269" s="61"/>
      <c r="O269" s="61"/>
      <c r="P269" s="61"/>
      <c r="Q269" s="61"/>
      <c r="R269" s="61"/>
      <c r="S269" s="61"/>
      <c r="T269" s="61"/>
      <c r="U269" s="61"/>
      <c r="V269" s="61"/>
      <c r="W269" s="61"/>
      <c r="X269" s="61"/>
      <c r="Y269" s="61">
        <f>K144</f>
        <v>0</v>
      </c>
      <c r="Z269" s="61">
        <f>K128</f>
        <v>0</v>
      </c>
      <c r="AA269" s="61">
        <f t="shared" si="10"/>
        <v>0</v>
      </c>
      <c r="AB269" s="61">
        <f t="shared" si="11"/>
        <v>0</v>
      </c>
      <c r="AC269" s="61"/>
      <c r="AD269" s="61"/>
      <c r="AE269" s="172">
        <f t="shared" si="8"/>
        <v>0</v>
      </c>
      <c r="AF269" s="172">
        <f t="shared" si="9"/>
        <v>0</v>
      </c>
    </row>
    <row r="270" spans="3:32" x14ac:dyDescent="0.2">
      <c r="C270" s="545" t="s">
        <v>207</v>
      </c>
      <c r="E270" s="168"/>
      <c r="F270" s="168"/>
      <c r="I270" s="61"/>
      <c r="J270" s="61"/>
      <c r="K270" s="61"/>
      <c r="L270" s="61"/>
      <c r="M270" s="61"/>
      <c r="N270" s="61"/>
      <c r="O270" s="61"/>
      <c r="P270" s="61"/>
      <c r="Q270" s="61"/>
      <c r="R270" s="61"/>
      <c r="S270" s="61"/>
      <c r="T270" s="61"/>
      <c r="U270" s="61"/>
      <c r="V270" s="61"/>
      <c r="W270" s="61"/>
      <c r="X270" s="61"/>
      <c r="Y270" s="61">
        <f>K145</f>
        <v>0</v>
      </c>
      <c r="Z270" s="61">
        <f>K129</f>
        <v>0</v>
      </c>
      <c r="AA270" s="61">
        <f t="shared" si="10"/>
        <v>0</v>
      </c>
      <c r="AB270" s="61">
        <f t="shared" si="11"/>
        <v>0</v>
      </c>
      <c r="AC270" s="61"/>
      <c r="AD270" s="61"/>
      <c r="AE270" s="172">
        <f t="shared" si="8"/>
        <v>0</v>
      </c>
      <c r="AF270" s="172">
        <f t="shared" si="9"/>
        <v>0</v>
      </c>
    </row>
    <row r="271" spans="3:32" x14ac:dyDescent="0.2">
      <c r="C271" s="168"/>
      <c r="D271" s="168"/>
      <c r="E271" s="168"/>
      <c r="F271" s="168"/>
      <c r="I271" s="61"/>
      <c r="J271" s="61"/>
      <c r="K271" s="61"/>
      <c r="L271" s="61"/>
      <c r="M271" s="61"/>
      <c r="N271" s="61"/>
      <c r="O271" s="61"/>
      <c r="P271" s="61"/>
      <c r="Q271" s="61"/>
      <c r="R271" s="61"/>
      <c r="S271" s="61"/>
      <c r="T271" s="61"/>
      <c r="U271" s="61"/>
      <c r="V271" s="61"/>
      <c r="W271" s="61"/>
      <c r="X271" s="61"/>
      <c r="Y271" s="61"/>
      <c r="Z271" s="61"/>
      <c r="AA271" s="61"/>
      <c r="AB271" s="61"/>
      <c r="AC271" s="61"/>
      <c r="AD271" s="61"/>
      <c r="AE271" s="172">
        <f t="shared" si="8"/>
        <v>0</v>
      </c>
      <c r="AF271" s="172">
        <f t="shared" si="9"/>
        <v>0</v>
      </c>
    </row>
    <row r="272" spans="3:32" x14ac:dyDescent="0.2">
      <c r="C272" s="168" t="s">
        <v>128</v>
      </c>
      <c r="E272" s="168"/>
      <c r="F272" s="168"/>
      <c r="I272" s="61"/>
      <c r="J272" s="61"/>
      <c r="K272" s="61"/>
      <c r="L272" s="61"/>
      <c r="M272" s="61"/>
      <c r="N272" s="61"/>
      <c r="O272" s="61"/>
      <c r="P272" s="61"/>
      <c r="Q272" s="61"/>
      <c r="R272" s="61"/>
      <c r="S272" s="61"/>
      <c r="T272" s="61"/>
      <c r="U272" s="61"/>
      <c r="V272" s="61"/>
      <c r="W272" s="61"/>
      <c r="X272" s="61"/>
      <c r="Y272" s="61"/>
      <c r="Z272" s="61"/>
      <c r="AA272" s="61">
        <f t="shared" ref="AA272:AA279" si="12">K159</f>
        <v>0</v>
      </c>
      <c r="AB272" s="61">
        <f t="shared" ref="AB272:AB279" si="13">K180</f>
        <v>0</v>
      </c>
      <c r="AC272" s="61"/>
      <c r="AD272" s="61"/>
      <c r="AE272" s="172">
        <f t="shared" si="8"/>
        <v>0</v>
      </c>
      <c r="AF272" s="172">
        <f t="shared" si="9"/>
        <v>0</v>
      </c>
    </row>
    <row r="273" spans="3:32" x14ac:dyDescent="0.2">
      <c r="C273" s="168" t="s">
        <v>838</v>
      </c>
      <c r="E273" s="168"/>
      <c r="F273" s="168"/>
      <c r="I273" s="61"/>
      <c r="J273" s="61"/>
      <c r="K273" s="61"/>
      <c r="L273" s="61"/>
      <c r="M273" s="61"/>
      <c r="N273" s="61"/>
      <c r="O273" s="61"/>
      <c r="P273" s="61"/>
      <c r="Q273" s="61">
        <f>M48</f>
        <v>0</v>
      </c>
      <c r="R273" s="61">
        <f>M51</f>
        <v>0</v>
      </c>
      <c r="S273" s="61"/>
      <c r="T273" s="61"/>
      <c r="U273" s="61"/>
      <c r="V273" s="61"/>
      <c r="W273" s="61"/>
      <c r="X273" s="61"/>
      <c r="Y273" s="61"/>
      <c r="Z273" s="61"/>
      <c r="AA273" s="61">
        <f t="shared" si="12"/>
        <v>0</v>
      </c>
      <c r="AB273" s="61">
        <f t="shared" si="13"/>
        <v>0</v>
      </c>
      <c r="AC273" s="61"/>
      <c r="AD273" s="61"/>
      <c r="AE273" s="172">
        <f t="shared" si="8"/>
        <v>0</v>
      </c>
      <c r="AF273" s="172">
        <f t="shared" si="9"/>
        <v>0</v>
      </c>
    </row>
    <row r="274" spans="3:32" x14ac:dyDescent="0.2">
      <c r="C274" s="168" t="s">
        <v>129</v>
      </c>
      <c r="E274" s="168"/>
      <c r="F274" s="168"/>
      <c r="I274" s="61"/>
      <c r="J274" s="61"/>
      <c r="K274" s="61"/>
      <c r="L274" s="61"/>
      <c r="M274" s="61"/>
      <c r="N274" s="61"/>
      <c r="O274" s="61"/>
      <c r="P274" s="61"/>
      <c r="Q274" s="61"/>
      <c r="R274" s="61"/>
      <c r="S274" s="61"/>
      <c r="T274" s="61"/>
      <c r="U274" s="61"/>
      <c r="V274" s="61"/>
      <c r="W274" s="61"/>
      <c r="X274" s="61"/>
      <c r="Y274" s="61"/>
      <c r="Z274" s="61"/>
      <c r="AA274" s="61">
        <f t="shared" si="12"/>
        <v>0</v>
      </c>
      <c r="AB274" s="61">
        <f t="shared" si="13"/>
        <v>0</v>
      </c>
      <c r="AC274" s="61"/>
      <c r="AD274" s="61"/>
      <c r="AE274" s="172">
        <f t="shared" si="8"/>
        <v>0</v>
      </c>
      <c r="AF274" s="172">
        <f t="shared" si="9"/>
        <v>0</v>
      </c>
    </row>
    <row r="275" spans="3:32" x14ac:dyDescent="0.2">
      <c r="C275" s="168" t="s">
        <v>130</v>
      </c>
      <c r="E275" s="168"/>
      <c r="F275" s="168"/>
      <c r="I275" s="61"/>
      <c r="J275" s="61"/>
      <c r="K275" s="61"/>
      <c r="L275" s="61"/>
      <c r="M275" s="61"/>
      <c r="N275" s="61"/>
      <c r="O275" s="61"/>
      <c r="P275" s="61"/>
      <c r="Q275" s="61"/>
      <c r="R275" s="61"/>
      <c r="S275" s="61"/>
      <c r="T275" s="61"/>
      <c r="U275" s="61"/>
      <c r="V275" s="61"/>
      <c r="W275" s="61"/>
      <c r="X275" s="61"/>
      <c r="Y275" s="61"/>
      <c r="Z275" s="61"/>
      <c r="AA275" s="61">
        <f t="shared" si="12"/>
        <v>0</v>
      </c>
      <c r="AB275" s="61">
        <f t="shared" si="13"/>
        <v>0</v>
      </c>
      <c r="AC275" s="61"/>
      <c r="AD275" s="61"/>
      <c r="AE275" s="172">
        <f t="shared" si="8"/>
        <v>0</v>
      </c>
      <c r="AF275" s="172">
        <f t="shared" si="9"/>
        <v>0</v>
      </c>
    </row>
    <row r="276" spans="3:32" x14ac:dyDescent="0.2">
      <c r="C276" s="168" t="s">
        <v>131</v>
      </c>
      <c r="E276" s="168"/>
      <c r="F276" s="168"/>
      <c r="I276" s="61"/>
      <c r="J276" s="61"/>
      <c r="K276" s="61"/>
      <c r="L276" s="61"/>
      <c r="M276" s="61"/>
      <c r="N276" s="61"/>
      <c r="O276" s="61"/>
      <c r="P276" s="61"/>
      <c r="Q276" s="61"/>
      <c r="R276" s="61"/>
      <c r="S276" s="61"/>
      <c r="T276" s="61"/>
      <c r="U276" s="61"/>
      <c r="V276" s="61"/>
      <c r="W276" s="61"/>
      <c r="X276" s="61"/>
      <c r="Y276" s="61"/>
      <c r="Z276" s="61"/>
      <c r="AA276" s="61">
        <f t="shared" si="12"/>
        <v>0</v>
      </c>
      <c r="AB276" s="61">
        <f t="shared" si="13"/>
        <v>0</v>
      </c>
      <c r="AC276" s="61"/>
      <c r="AD276" s="61"/>
      <c r="AE276" s="172">
        <f t="shared" si="8"/>
        <v>0</v>
      </c>
      <c r="AF276" s="172">
        <f t="shared" si="9"/>
        <v>0</v>
      </c>
    </row>
    <row r="277" spans="3:32" x14ac:dyDescent="0.2">
      <c r="C277" s="168" t="s">
        <v>505</v>
      </c>
      <c r="E277" s="168"/>
      <c r="F277" s="168"/>
      <c r="I277" s="61"/>
      <c r="J277" s="61"/>
      <c r="K277" s="61"/>
      <c r="L277" s="61"/>
      <c r="M277" s="61"/>
      <c r="N277" s="61"/>
      <c r="O277" s="61"/>
      <c r="P277" s="61"/>
      <c r="Q277" s="61"/>
      <c r="R277" s="61"/>
      <c r="S277" s="61"/>
      <c r="T277" s="61"/>
      <c r="U277" s="61"/>
      <c r="V277" s="61"/>
      <c r="W277" s="61"/>
      <c r="X277" s="61"/>
      <c r="Y277" s="61"/>
      <c r="Z277" s="61"/>
      <c r="AA277" s="61">
        <f t="shared" si="12"/>
        <v>0</v>
      </c>
      <c r="AB277" s="61">
        <f t="shared" si="13"/>
        <v>0</v>
      </c>
      <c r="AC277" s="61"/>
      <c r="AD277" s="61"/>
      <c r="AE277" s="172">
        <f t="shared" si="8"/>
        <v>0</v>
      </c>
      <c r="AF277" s="172">
        <f t="shared" si="9"/>
        <v>0</v>
      </c>
    </row>
    <row r="278" spans="3:32" x14ac:dyDescent="0.2">
      <c r="C278" s="168" t="s">
        <v>422</v>
      </c>
      <c r="E278" s="168"/>
      <c r="F278" s="168"/>
      <c r="I278" s="61"/>
      <c r="J278" s="61"/>
      <c r="K278" s="61"/>
      <c r="L278" s="61"/>
      <c r="M278" s="61"/>
      <c r="N278" s="61"/>
      <c r="O278" s="61"/>
      <c r="P278" s="61"/>
      <c r="Q278" s="61"/>
      <c r="R278" s="61"/>
      <c r="S278" s="61"/>
      <c r="T278" s="61"/>
      <c r="U278" s="61"/>
      <c r="V278" s="61"/>
      <c r="W278" s="61"/>
      <c r="X278" s="61"/>
      <c r="Y278" s="61"/>
      <c r="Z278" s="61"/>
      <c r="AA278" s="61">
        <f t="shared" si="12"/>
        <v>0</v>
      </c>
      <c r="AB278" s="61">
        <f t="shared" si="13"/>
        <v>0</v>
      </c>
      <c r="AC278" s="61"/>
      <c r="AD278" s="61"/>
      <c r="AE278" s="172">
        <f t="shared" si="8"/>
        <v>0</v>
      </c>
      <c r="AF278" s="172">
        <f t="shared" si="9"/>
        <v>0</v>
      </c>
    </row>
    <row r="279" spans="3:32" x14ac:dyDescent="0.2">
      <c r="C279" s="545" t="s">
        <v>208</v>
      </c>
      <c r="E279" s="168"/>
      <c r="F279" s="168"/>
      <c r="I279" s="61"/>
      <c r="J279" s="61"/>
      <c r="K279" s="61"/>
      <c r="L279" s="61"/>
      <c r="M279" s="61"/>
      <c r="N279" s="61"/>
      <c r="O279" s="61"/>
      <c r="P279" s="61"/>
      <c r="Q279" s="61"/>
      <c r="R279" s="61"/>
      <c r="S279" s="61"/>
      <c r="T279" s="61"/>
      <c r="U279" s="61"/>
      <c r="V279" s="61"/>
      <c r="W279" s="61"/>
      <c r="X279" s="61"/>
      <c r="Y279" s="61"/>
      <c r="Z279" s="61"/>
      <c r="AA279" s="61">
        <f t="shared" si="12"/>
        <v>0</v>
      </c>
      <c r="AB279" s="61">
        <f t="shared" si="13"/>
        <v>0</v>
      </c>
      <c r="AC279" s="61"/>
      <c r="AD279" s="61"/>
      <c r="AE279" s="172">
        <f t="shared" si="8"/>
        <v>0</v>
      </c>
      <c r="AF279" s="172">
        <f t="shared" si="9"/>
        <v>0</v>
      </c>
    </row>
    <row r="280" spans="3:32" x14ac:dyDescent="0.2">
      <c r="C280" s="168"/>
      <c r="D280" s="168"/>
      <c r="E280" s="168"/>
      <c r="F280" s="168"/>
      <c r="I280" s="61"/>
      <c r="J280" s="61"/>
      <c r="K280" s="61"/>
      <c r="L280" s="61"/>
      <c r="M280" s="61"/>
      <c r="N280" s="61"/>
      <c r="O280" s="61"/>
      <c r="P280" s="61"/>
      <c r="Q280" s="61"/>
      <c r="R280" s="61"/>
      <c r="S280" s="61"/>
      <c r="T280" s="61"/>
      <c r="U280" s="61"/>
      <c r="V280" s="61"/>
      <c r="W280" s="61"/>
      <c r="X280" s="61"/>
      <c r="Y280" s="61"/>
      <c r="Z280" s="61"/>
      <c r="AA280" s="61"/>
      <c r="AB280" s="61"/>
      <c r="AC280" s="61"/>
      <c r="AD280" s="61"/>
      <c r="AE280" s="172">
        <f t="shared" si="8"/>
        <v>0</v>
      </c>
      <c r="AF280" s="172">
        <f t="shared" si="9"/>
        <v>0</v>
      </c>
    </row>
    <row r="281" spans="3:32" x14ac:dyDescent="0.2">
      <c r="C281" s="168" t="s">
        <v>672</v>
      </c>
      <c r="E281" s="168"/>
      <c r="F281" s="168"/>
      <c r="I281" s="61"/>
      <c r="J281" s="61"/>
      <c r="K281" s="61"/>
      <c r="L281" s="61"/>
      <c r="M281" s="61"/>
      <c r="N281" s="61"/>
      <c r="O281" s="61"/>
      <c r="P281" s="61"/>
      <c r="Q281" s="61"/>
      <c r="R281" s="61"/>
      <c r="S281" s="61"/>
      <c r="T281" s="61"/>
      <c r="U281" s="61"/>
      <c r="V281" s="61"/>
      <c r="W281" s="61">
        <f>K103</f>
        <v>0</v>
      </c>
      <c r="X281" s="61">
        <f>K87</f>
        <v>0</v>
      </c>
      <c r="Y281" s="61"/>
      <c r="Z281" s="61"/>
      <c r="AA281" s="61">
        <f t="shared" ref="AA281:AA288" si="14">M159</f>
        <v>0</v>
      </c>
      <c r="AB281" s="61">
        <f t="shared" ref="AB281:AB288" si="15">M180</f>
        <v>0</v>
      </c>
      <c r="AC281" s="61"/>
      <c r="AD281" s="61"/>
      <c r="AE281" s="172">
        <f t="shared" si="8"/>
        <v>0</v>
      </c>
      <c r="AF281" s="172">
        <f t="shared" si="9"/>
        <v>0</v>
      </c>
    </row>
    <row r="282" spans="3:32" x14ac:dyDescent="0.2">
      <c r="C282" s="168" t="s">
        <v>775</v>
      </c>
      <c r="E282" s="168"/>
      <c r="F282" s="168"/>
      <c r="I282" s="61"/>
      <c r="J282" s="61"/>
      <c r="K282" s="61"/>
      <c r="L282" s="61"/>
      <c r="M282" s="61"/>
      <c r="N282" s="61"/>
      <c r="O282" s="61"/>
      <c r="P282" s="61"/>
      <c r="Q282" s="61"/>
      <c r="R282" s="61"/>
      <c r="S282" s="61"/>
      <c r="T282" s="61"/>
      <c r="U282" s="61"/>
      <c r="V282" s="61"/>
      <c r="W282" s="61"/>
      <c r="X282" s="61"/>
      <c r="Y282" s="61"/>
      <c r="Z282" s="61"/>
      <c r="AA282" s="61">
        <f t="shared" si="14"/>
        <v>0</v>
      </c>
      <c r="AB282" s="61">
        <f t="shared" si="15"/>
        <v>0</v>
      </c>
      <c r="AC282" s="61"/>
      <c r="AD282" s="61"/>
      <c r="AE282" s="172">
        <f t="shared" si="8"/>
        <v>0</v>
      </c>
      <c r="AF282" s="172">
        <f t="shared" si="9"/>
        <v>0</v>
      </c>
    </row>
    <row r="283" spans="3:32" x14ac:dyDescent="0.2">
      <c r="C283" s="168" t="s">
        <v>776</v>
      </c>
      <c r="E283" s="168"/>
      <c r="F283" s="168"/>
      <c r="I283" s="61"/>
      <c r="J283" s="61"/>
      <c r="K283" s="61"/>
      <c r="L283" s="61"/>
      <c r="M283" s="61"/>
      <c r="N283" s="61"/>
      <c r="O283" s="61"/>
      <c r="P283" s="61"/>
      <c r="Q283" s="61"/>
      <c r="R283" s="61"/>
      <c r="S283" s="61"/>
      <c r="T283" s="61"/>
      <c r="U283" s="61"/>
      <c r="V283" s="61"/>
      <c r="W283" s="61">
        <f>K104</f>
        <v>0</v>
      </c>
      <c r="X283" s="61">
        <f>K88</f>
        <v>0</v>
      </c>
      <c r="Y283" s="61"/>
      <c r="Z283" s="61"/>
      <c r="AA283" s="61">
        <f t="shared" si="14"/>
        <v>0</v>
      </c>
      <c r="AB283" s="61">
        <f t="shared" si="15"/>
        <v>0</v>
      </c>
      <c r="AC283" s="61"/>
      <c r="AD283" s="61"/>
      <c r="AE283" s="172">
        <f t="shared" si="8"/>
        <v>0</v>
      </c>
      <c r="AF283" s="172">
        <f t="shared" si="9"/>
        <v>0</v>
      </c>
    </row>
    <row r="284" spans="3:32" x14ac:dyDescent="0.2">
      <c r="C284" s="168" t="s">
        <v>951</v>
      </c>
      <c r="E284" s="168"/>
      <c r="F284" s="168"/>
      <c r="I284" s="61"/>
      <c r="J284" s="61"/>
      <c r="K284" s="61"/>
      <c r="L284" s="61"/>
      <c r="M284" s="61"/>
      <c r="N284" s="61"/>
      <c r="O284" s="61"/>
      <c r="P284" s="61"/>
      <c r="Q284" s="61"/>
      <c r="R284" s="61"/>
      <c r="S284" s="61"/>
      <c r="T284" s="61"/>
      <c r="U284" s="61"/>
      <c r="V284" s="61"/>
      <c r="W284" s="61">
        <f>K105</f>
        <v>0</v>
      </c>
      <c r="X284" s="61">
        <f>K89</f>
        <v>0</v>
      </c>
      <c r="Y284" s="61"/>
      <c r="Z284" s="61"/>
      <c r="AA284" s="61">
        <f t="shared" si="14"/>
        <v>0</v>
      </c>
      <c r="AB284" s="61">
        <f t="shared" si="15"/>
        <v>0</v>
      </c>
      <c r="AC284" s="61"/>
      <c r="AD284" s="61"/>
      <c r="AE284" s="172">
        <f t="shared" si="8"/>
        <v>0</v>
      </c>
      <c r="AF284" s="172">
        <f t="shared" si="9"/>
        <v>0</v>
      </c>
    </row>
    <row r="285" spans="3:32" x14ac:dyDescent="0.2">
      <c r="C285" s="168" t="s">
        <v>952</v>
      </c>
      <c r="E285" s="168"/>
      <c r="F285" s="168"/>
      <c r="I285" s="61"/>
      <c r="J285" s="61"/>
      <c r="K285" s="61"/>
      <c r="L285" s="61"/>
      <c r="M285" s="61"/>
      <c r="N285" s="61"/>
      <c r="O285" s="61"/>
      <c r="P285" s="61"/>
      <c r="Q285" s="61"/>
      <c r="R285" s="61"/>
      <c r="S285" s="61"/>
      <c r="T285" s="61"/>
      <c r="U285" s="61"/>
      <c r="V285" s="61"/>
      <c r="W285" s="61">
        <f>K106</f>
        <v>0</v>
      </c>
      <c r="X285" s="61">
        <f>K90</f>
        <v>0</v>
      </c>
      <c r="Y285" s="61"/>
      <c r="Z285" s="61"/>
      <c r="AA285" s="61">
        <f t="shared" si="14"/>
        <v>0</v>
      </c>
      <c r="AB285" s="61">
        <f t="shared" si="15"/>
        <v>0</v>
      </c>
      <c r="AC285" s="61"/>
      <c r="AD285" s="61"/>
      <c r="AE285" s="172">
        <f t="shared" si="8"/>
        <v>0</v>
      </c>
      <c r="AF285" s="172">
        <f t="shared" si="9"/>
        <v>0</v>
      </c>
    </row>
    <row r="286" spans="3:32" x14ac:dyDescent="0.2">
      <c r="C286" s="168" t="s">
        <v>1013</v>
      </c>
      <c r="E286" s="168"/>
      <c r="F286" s="168"/>
      <c r="I286" s="61"/>
      <c r="J286" s="61"/>
      <c r="K286" s="61"/>
      <c r="L286" s="61"/>
      <c r="M286" s="61"/>
      <c r="N286" s="61"/>
      <c r="O286" s="61"/>
      <c r="P286" s="61"/>
      <c r="Q286" s="61"/>
      <c r="R286" s="61"/>
      <c r="S286" s="61"/>
      <c r="T286" s="61"/>
      <c r="U286" s="61"/>
      <c r="V286" s="61"/>
      <c r="W286" s="61"/>
      <c r="X286" s="61"/>
      <c r="Y286" s="61"/>
      <c r="Z286" s="61"/>
      <c r="AA286" s="61">
        <f t="shared" si="14"/>
        <v>0</v>
      </c>
      <c r="AB286" s="61">
        <f t="shared" si="15"/>
        <v>0</v>
      </c>
      <c r="AC286" s="61"/>
      <c r="AD286" s="61"/>
      <c r="AE286" s="172">
        <f t="shared" si="8"/>
        <v>0</v>
      </c>
      <c r="AF286" s="172">
        <f t="shared" si="9"/>
        <v>0</v>
      </c>
    </row>
    <row r="287" spans="3:32" x14ac:dyDescent="0.2">
      <c r="C287" s="168" t="s">
        <v>423</v>
      </c>
      <c r="E287" s="168"/>
      <c r="F287" s="168"/>
      <c r="I287" s="61"/>
      <c r="J287" s="61"/>
      <c r="K287" s="61"/>
      <c r="L287" s="61"/>
      <c r="M287" s="61"/>
      <c r="N287" s="61"/>
      <c r="O287" s="61"/>
      <c r="P287" s="61"/>
      <c r="Q287" s="61"/>
      <c r="R287" s="61"/>
      <c r="S287" s="61"/>
      <c r="T287" s="61"/>
      <c r="U287" s="61"/>
      <c r="V287" s="61"/>
      <c r="W287" s="61">
        <f>K107</f>
        <v>0</v>
      </c>
      <c r="X287" s="61">
        <f>K91</f>
        <v>0</v>
      </c>
      <c r="Y287" s="61"/>
      <c r="Z287" s="61"/>
      <c r="AA287" s="61">
        <f t="shared" si="14"/>
        <v>0</v>
      </c>
      <c r="AB287" s="61">
        <f t="shared" si="15"/>
        <v>0</v>
      </c>
      <c r="AC287" s="61"/>
      <c r="AD287" s="61"/>
      <c r="AE287" s="172">
        <f t="shared" si="8"/>
        <v>0</v>
      </c>
      <c r="AF287" s="172">
        <f t="shared" si="9"/>
        <v>0</v>
      </c>
    </row>
    <row r="288" spans="3:32" x14ac:dyDescent="0.2">
      <c r="C288" s="545" t="s">
        <v>209</v>
      </c>
      <c r="E288" s="168"/>
      <c r="F288" s="168"/>
      <c r="I288" s="61"/>
      <c r="J288" s="61"/>
      <c r="K288" s="61"/>
      <c r="L288" s="61"/>
      <c r="M288" s="61"/>
      <c r="N288" s="61"/>
      <c r="O288" s="61"/>
      <c r="P288" s="61"/>
      <c r="Q288" s="61"/>
      <c r="R288" s="61"/>
      <c r="S288" s="61"/>
      <c r="T288" s="61"/>
      <c r="U288" s="61"/>
      <c r="V288" s="61"/>
      <c r="W288" s="61">
        <f>K108</f>
        <v>0</v>
      </c>
      <c r="X288" s="61">
        <f>K92</f>
        <v>0</v>
      </c>
      <c r="Y288" s="61"/>
      <c r="Z288" s="61"/>
      <c r="AA288" s="61">
        <f t="shared" si="14"/>
        <v>0</v>
      </c>
      <c r="AB288" s="61">
        <f t="shared" si="15"/>
        <v>0</v>
      </c>
      <c r="AC288" s="61"/>
      <c r="AD288" s="61"/>
      <c r="AE288" s="172">
        <f t="shared" si="8"/>
        <v>0</v>
      </c>
      <c r="AF288" s="172">
        <f t="shared" si="9"/>
        <v>0</v>
      </c>
    </row>
    <row r="289" spans="9:32" ht="13.5" thickBot="1" x14ac:dyDescent="0.25">
      <c r="I289" s="62">
        <f>SUM(I253:I286)</f>
        <v>0</v>
      </c>
      <c r="J289" s="61"/>
      <c r="K289" s="62">
        <f>SUM(K253:K286)</f>
        <v>0</v>
      </c>
      <c r="L289" s="62">
        <f>SUM(L254:L286)</f>
        <v>0</v>
      </c>
      <c r="M289" s="62">
        <f>SUM(M253:M286)</f>
        <v>0</v>
      </c>
      <c r="N289" s="73"/>
      <c r="O289" s="62">
        <f>SUM(O253:O286)</f>
        <v>0</v>
      </c>
      <c r="P289" s="73"/>
      <c r="Q289" s="62">
        <f t="shared" ref="Q289:V289" si="16">SUM(Q253:Q286)</f>
        <v>0</v>
      </c>
      <c r="R289" s="62">
        <f t="shared" si="16"/>
        <v>0</v>
      </c>
      <c r="S289" s="62">
        <f t="shared" si="16"/>
        <v>0</v>
      </c>
      <c r="T289" s="62">
        <f t="shared" si="16"/>
        <v>0</v>
      </c>
      <c r="U289" s="62">
        <f t="shared" si="16"/>
        <v>0</v>
      </c>
      <c r="V289" s="62">
        <f t="shared" si="16"/>
        <v>0</v>
      </c>
      <c r="W289" s="62">
        <f t="shared" ref="W289:AB289" si="17">SUM(W253:W288)</f>
        <v>0</v>
      </c>
      <c r="X289" s="62">
        <f t="shared" si="17"/>
        <v>0</v>
      </c>
      <c r="Y289" s="62">
        <f t="shared" si="17"/>
        <v>0</v>
      </c>
      <c r="Z289" s="62">
        <f t="shared" si="17"/>
        <v>0</v>
      </c>
      <c r="AA289" s="62">
        <f t="shared" si="17"/>
        <v>0</v>
      </c>
      <c r="AB289" s="62">
        <f t="shared" si="17"/>
        <v>0</v>
      </c>
      <c r="AC289" s="62">
        <f>SUM(AC252:AC288)</f>
        <v>0</v>
      </c>
      <c r="AD289" s="62">
        <f>SUM(AD253:AD288)</f>
        <v>0</v>
      </c>
      <c r="AE289" s="62">
        <f>SUM(AE252:AE288)</f>
        <v>0</v>
      </c>
      <c r="AF289" s="62">
        <f>SUM(AF252:AF288)</f>
        <v>0</v>
      </c>
    </row>
    <row r="290" spans="9:32" ht="13.5" thickTop="1" x14ac:dyDescent="0.2"/>
  </sheetData>
  <sheetProtection password="C1DF" sheet="1"/>
  <mergeCells count="75">
    <mergeCell ref="C193:O193"/>
    <mergeCell ref="D26:K27"/>
    <mergeCell ref="D29:K30"/>
    <mergeCell ref="C76:O76"/>
    <mergeCell ref="D51:K52"/>
    <mergeCell ref="M51:M52"/>
    <mergeCell ref="M59:M60"/>
    <mergeCell ref="C66:O66"/>
    <mergeCell ref="O185:O187"/>
    <mergeCell ref="D119:K119"/>
    <mergeCell ref="C55:O55"/>
    <mergeCell ref="D59:K60"/>
    <mergeCell ref="C33:O33"/>
    <mergeCell ref="M26:M27"/>
    <mergeCell ref="D132:K133"/>
    <mergeCell ref="M132:M133"/>
    <mergeCell ref="C4:O4"/>
    <mergeCell ref="B2:O2"/>
    <mergeCell ref="C8:O8"/>
    <mergeCell ref="C22:O22"/>
    <mergeCell ref="D10:O11"/>
    <mergeCell ref="D13:O14"/>
    <mergeCell ref="D16:O17"/>
    <mergeCell ref="D19:O20"/>
    <mergeCell ref="C6:O6"/>
    <mergeCell ref="AE250:AF250"/>
    <mergeCell ref="S250:T250"/>
    <mergeCell ref="W250:X250"/>
    <mergeCell ref="Y250:Z250"/>
    <mergeCell ref="AA250:AB250"/>
    <mergeCell ref="AC250:AD250"/>
    <mergeCell ref="U250:V250"/>
    <mergeCell ref="Q250:R250"/>
    <mergeCell ref="B247:AD248"/>
    <mergeCell ref="D173:K174"/>
    <mergeCell ref="D48:K49"/>
    <mergeCell ref="M48:M49"/>
    <mergeCell ref="I250:K250"/>
    <mergeCell ref="D62:K63"/>
    <mergeCell ref="M250:O250"/>
    <mergeCell ref="M107:M109"/>
    <mergeCell ref="C202:O202"/>
    <mergeCell ref="M116:M117"/>
    <mergeCell ref="C152:O152"/>
    <mergeCell ref="O164:O166"/>
    <mergeCell ref="M173:M174"/>
    <mergeCell ref="D176:K177"/>
    <mergeCell ref="D155:L156"/>
    <mergeCell ref="M62:M63"/>
    <mergeCell ref="D79:K80"/>
    <mergeCell ref="M79:M80"/>
    <mergeCell ref="M92:M93"/>
    <mergeCell ref="C113:O113"/>
    <mergeCell ref="D70:K71"/>
    <mergeCell ref="M29:M30"/>
    <mergeCell ref="D37:K38"/>
    <mergeCell ref="M37:M38"/>
    <mergeCell ref="D40:K41"/>
    <mergeCell ref="M40:M41"/>
    <mergeCell ref="C44:O44"/>
    <mergeCell ref="M155:M156"/>
    <mergeCell ref="M145:M146"/>
    <mergeCell ref="C150:O150"/>
    <mergeCell ref="D100:K101"/>
    <mergeCell ref="M70:M71"/>
    <mergeCell ref="D82:K82"/>
    <mergeCell ref="D84:K85"/>
    <mergeCell ref="D95:K96"/>
    <mergeCell ref="D73:K74"/>
    <mergeCell ref="M95:M96"/>
    <mergeCell ref="M73:M74"/>
    <mergeCell ref="M128:M130"/>
    <mergeCell ref="D137:K138"/>
    <mergeCell ref="D121:K122"/>
    <mergeCell ref="D116:K117"/>
  </mergeCells>
  <phoneticPr fontId="13" type="noConversion"/>
  <printOptions horizontalCentered="1"/>
  <pageMargins left="0.5" right="0.45" top="0.64" bottom="0.63" header="0.5" footer="0.5"/>
  <pageSetup scale="65" orientation="portrait" r:id="rId1"/>
  <headerFooter alignWithMargins="0">
    <oddHeader>&amp;R&amp;"Arial,Bold"&amp;12Entry C</oddHeader>
    <oddFooter>&amp;L&amp;8&amp;D - City model&amp;R  &amp;P</oddFooter>
  </headerFooter>
  <rowBreaks count="4" manualBreakCount="4">
    <brk id="74" min="1" max="15" man="1"/>
    <brk id="148" min="1" max="15" man="1"/>
    <brk id="200" min="1" max="15" man="1"/>
    <brk id="245" min="1" max="1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P70"/>
  <sheetViews>
    <sheetView workbookViewId="0">
      <selection activeCell="G23" sqref="G23"/>
    </sheetView>
  </sheetViews>
  <sheetFormatPr defaultRowHeight="12.75" x14ac:dyDescent="0.2"/>
  <cols>
    <col min="1" max="1" width="3.5703125" customWidth="1"/>
    <col min="2" max="2" width="3.28515625" customWidth="1"/>
    <col min="3" max="3" width="18.140625" customWidth="1"/>
    <col min="7" max="7" width="14.140625" bestFit="1" customWidth="1"/>
    <col min="8" max="8" width="1.140625" customWidth="1"/>
    <col min="9" max="9" width="12.7109375" customWidth="1"/>
    <col min="10" max="10" width="13.7109375" customWidth="1"/>
    <col min="11" max="11" width="1.42578125" customWidth="1"/>
    <col min="12" max="12" width="13.7109375" customWidth="1"/>
    <col min="13" max="13" width="11" customWidth="1"/>
    <col min="14" max="14" width="13" customWidth="1"/>
    <col min="15" max="15" width="1.5703125" customWidth="1"/>
    <col min="16" max="16" width="1.7109375" customWidth="1"/>
  </cols>
  <sheetData>
    <row r="1" spans="1:16" ht="7.5" customHeight="1" x14ac:dyDescent="0.2"/>
    <row r="2" spans="1:16" ht="34.5" customHeight="1" x14ac:dyDescent="0.25">
      <c r="A2" s="1200" t="s">
        <v>613</v>
      </c>
      <c r="B2" s="1201"/>
      <c r="C2" s="1201"/>
      <c r="D2" s="1201"/>
      <c r="E2" s="1201"/>
      <c r="F2" s="1201"/>
      <c r="G2" s="1201"/>
      <c r="H2" s="1201"/>
      <c r="I2" s="1201"/>
      <c r="J2" s="1201"/>
      <c r="K2" s="1201"/>
      <c r="L2" s="1201"/>
      <c r="M2" s="1201"/>
      <c r="N2" s="1202"/>
      <c r="O2" s="85"/>
      <c r="P2" s="14"/>
    </row>
    <row r="3" spans="1:16" ht="8.25" customHeight="1" x14ac:dyDescent="0.2"/>
    <row r="4" spans="1:16" ht="90" customHeight="1" x14ac:dyDescent="0.2">
      <c r="B4" s="1136" t="s">
        <v>1095</v>
      </c>
      <c r="C4" s="1126"/>
      <c r="D4" s="1126"/>
      <c r="E4" s="1126"/>
      <c r="F4" s="1126"/>
      <c r="G4" s="1126"/>
      <c r="H4" s="1126"/>
      <c r="I4" s="1126"/>
      <c r="J4" s="1126"/>
      <c r="K4" s="1126"/>
      <c r="L4" s="1126"/>
      <c r="M4" s="1126"/>
      <c r="N4" s="1126"/>
      <c r="O4" s="59"/>
    </row>
    <row r="5" spans="1:16" ht="3.75" customHeight="1" x14ac:dyDescent="0.2">
      <c r="B5" s="59"/>
      <c r="C5" s="59"/>
      <c r="D5" s="59"/>
      <c r="E5" s="59"/>
      <c r="F5" s="59"/>
      <c r="G5" s="59"/>
      <c r="H5" s="59"/>
      <c r="I5" s="59"/>
      <c r="J5" s="59"/>
      <c r="K5" s="59"/>
      <c r="L5" s="59"/>
      <c r="M5" s="59"/>
      <c r="N5" s="59"/>
      <c r="O5" s="59"/>
    </row>
    <row r="6" spans="1:16" ht="64.5" customHeight="1" x14ac:dyDescent="0.2">
      <c r="B6" s="1126" t="s">
        <v>524</v>
      </c>
      <c r="C6" s="1126"/>
      <c r="D6" s="1126"/>
      <c r="E6" s="1126"/>
      <c r="F6" s="1126"/>
      <c r="G6" s="1126"/>
      <c r="H6" s="1126"/>
      <c r="I6" s="1126"/>
      <c r="J6" s="1126"/>
      <c r="K6" s="1126"/>
      <c r="L6" s="1126"/>
      <c r="M6" s="1126"/>
      <c r="N6" s="1126"/>
      <c r="O6" s="59"/>
    </row>
    <row r="7" spans="1:16" ht="4.5" customHeight="1" x14ac:dyDescent="0.2"/>
    <row r="8" spans="1:16" ht="53.25" customHeight="1" x14ac:dyDescent="0.2">
      <c r="B8" s="1136" t="s">
        <v>1094</v>
      </c>
      <c r="C8" s="1126"/>
      <c r="D8" s="1126"/>
      <c r="E8" s="1126"/>
      <c r="F8" s="1126"/>
      <c r="G8" s="1126"/>
      <c r="H8" s="1126"/>
      <c r="I8" s="1126"/>
      <c r="J8" s="1126"/>
      <c r="K8" s="1126"/>
      <c r="L8" s="1126"/>
      <c r="M8" s="1126"/>
      <c r="N8" s="1126"/>
      <c r="O8" s="59"/>
    </row>
    <row r="9" spans="1:16" ht="5.25" customHeight="1" x14ac:dyDescent="0.2"/>
    <row r="10" spans="1:16" ht="12.75" customHeight="1" x14ac:dyDescent="0.2">
      <c r="B10" s="64" t="s">
        <v>947</v>
      </c>
      <c r="C10" s="1126" t="s">
        <v>983</v>
      </c>
      <c r="D10" s="1126"/>
      <c r="E10" s="1126"/>
      <c r="F10" s="1126"/>
      <c r="G10" s="1126"/>
      <c r="H10" s="1126"/>
      <c r="I10" s="1126"/>
      <c r="J10" s="1126"/>
      <c r="K10" s="1126"/>
      <c r="L10" s="1126"/>
      <c r="M10" s="1126"/>
      <c r="N10" s="1126"/>
      <c r="O10" s="59"/>
    </row>
    <row r="11" spans="1:16" ht="12" customHeight="1" x14ac:dyDescent="0.2">
      <c r="B11" s="64"/>
      <c r="C11" s="1126"/>
      <c r="D11" s="1126"/>
      <c r="E11" s="1126"/>
      <c r="F11" s="1126"/>
      <c r="G11" s="1126"/>
      <c r="H11" s="1126"/>
      <c r="I11" s="1126"/>
      <c r="J11" s="1126"/>
      <c r="K11" s="1126"/>
      <c r="L11" s="1126"/>
      <c r="M11" s="1126"/>
      <c r="N11" s="1126"/>
      <c r="O11" s="59"/>
    </row>
    <row r="12" spans="1:16" ht="6" customHeight="1" x14ac:dyDescent="0.2"/>
    <row r="13" spans="1:16" ht="16.5" customHeight="1" x14ac:dyDescent="0.2">
      <c r="B13" s="64" t="s">
        <v>948</v>
      </c>
      <c r="C13" s="1123" t="s">
        <v>403</v>
      </c>
      <c r="D13" s="1123"/>
      <c r="E13" s="1123"/>
      <c r="F13" s="1123"/>
      <c r="G13" s="1123"/>
      <c r="H13" s="1123"/>
      <c r="I13" s="1123"/>
      <c r="J13" s="1123"/>
      <c r="K13" s="1123"/>
      <c r="L13" s="1123"/>
      <c r="M13" s="1123"/>
      <c r="N13" s="1123"/>
      <c r="O13" s="1123"/>
    </row>
    <row r="14" spans="1:16" ht="5.25" customHeight="1" x14ac:dyDescent="0.2"/>
    <row r="15" spans="1:16" x14ac:dyDescent="0.2">
      <c r="B15" s="64" t="s">
        <v>949</v>
      </c>
      <c r="C15" s="1123" t="s">
        <v>404</v>
      </c>
      <c r="D15" s="1123"/>
      <c r="E15" s="1123"/>
      <c r="F15" s="1123"/>
      <c r="G15" s="1123"/>
      <c r="H15" s="1123"/>
      <c r="I15" s="1123"/>
      <c r="J15" s="1123"/>
      <c r="K15" s="1123"/>
      <c r="L15" s="1123"/>
      <c r="M15" s="1123"/>
      <c r="N15" s="1123"/>
      <c r="O15" s="1123"/>
    </row>
    <row r="16" spans="1:16" ht="12" customHeight="1" x14ac:dyDescent="0.2"/>
    <row r="17" spans="1:15" ht="25.5" customHeight="1" x14ac:dyDescent="0.2">
      <c r="A17" s="4" t="s">
        <v>876</v>
      </c>
      <c r="B17" s="1228" t="s">
        <v>1015</v>
      </c>
      <c r="C17" s="1229"/>
      <c r="D17" s="1229"/>
      <c r="E17" s="1229"/>
      <c r="F17" s="1229"/>
      <c r="G17" s="1229"/>
      <c r="H17" s="1229"/>
      <c r="I17" s="1229"/>
      <c r="J17" s="1229"/>
      <c r="K17" s="1229"/>
      <c r="L17" s="1229"/>
      <c r="M17" s="1229"/>
      <c r="N17" s="1230"/>
      <c r="O17" s="77"/>
    </row>
    <row r="18" spans="1:15" ht="6.75" customHeight="1" x14ac:dyDescent="0.2"/>
    <row r="19" spans="1:15" x14ac:dyDescent="0.2">
      <c r="G19" s="70" t="s">
        <v>379</v>
      </c>
    </row>
    <row r="20" spans="1:15" x14ac:dyDescent="0.2">
      <c r="G20" s="70" t="s">
        <v>483</v>
      </c>
    </row>
    <row r="21" spans="1:15" x14ac:dyDescent="0.2">
      <c r="G21" s="3" t="s">
        <v>380</v>
      </c>
    </row>
    <row r="22" spans="1:15" ht="5.25" customHeight="1" x14ac:dyDescent="0.2">
      <c r="G22" s="71"/>
    </row>
    <row r="23" spans="1:15" x14ac:dyDescent="0.2">
      <c r="C23" t="s">
        <v>498</v>
      </c>
      <c r="G23" s="512"/>
    </row>
    <row r="24" spans="1:15" x14ac:dyDescent="0.2">
      <c r="C24" t="s">
        <v>895</v>
      </c>
      <c r="G24" s="512"/>
    </row>
    <row r="25" spans="1:15" x14ac:dyDescent="0.2">
      <c r="C25" t="s">
        <v>896</v>
      </c>
      <c r="G25" s="512"/>
    </row>
    <row r="26" spans="1:15" x14ac:dyDescent="0.2">
      <c r="C26" t="s">
        <v>481</v>
      </c>
      <c r="G26" s="512"/>
    </row>
    <row r="27" spans="1:15" x14ac:dyDescent="0.2">
      <c r="C27" t="s">
        <v>470</v>
      </c>
      <c r="G27" s="512"/>
    </row>
    <row r="28" spans="1:15" x14ac:dyDescent="0.2">
      <c r="C28" t="s">
        <v>377</v>
      </c>
      <c r="G28" s="512"/>
    </row>
    <row r="29" spans="1:15" x14ac:dyDescent="0.2">
      <c r="C29" t="s">
        <v>926</v>
      </c>
      <c r="G29" s="512"/>
    </row>
    <row r="30" spans="1:15" x14ac:dyDescent="0.2">
      <c r="C30" s="521" t="s">
        <v>203</v>
      </c>
      <c r="G30" s="512"/>
    </row>
    <row r="31" spans="1:15" x14ac:dyDescent="0.2">
      <c r="C31" t="s">
        <v>378</v>
      </c>
      <c r="G31" s="512"/>
    </row>
    <row r="32" spans="1:15" x14ac:dyDescent="0.2">
      <c r="G32" s="61"/>
    </row>
    <row r="33" spans="1:15" ht="13.5" thickBot="1" x14ac:dyDescent="0.25">
      <c r="G33" s="100">
        <f>SUM(G23:G31)</f>
        <v>0</v>
      </c>
    </row>
    <row r="34" spans="1:15" ht="13.5" thickTop="1" x14ac:dyDescent="0.2"/>
    <row r="35" spans="1:15" ht="25.5" customHeight="1" x14ac:dyDescent="0.2">
      <c r="A35" s="4" t="s">
        <v>877</v>
      </c>
      <c r="B35" s="1207" t="s">
        <v>1016</v>
      </c>
      <c r="C35" s="1208"/>
      <c r="D35" s="1208"/>
      <c r="E35" s="1208"/>
      <c r="F35" s="1208"/>
      <c r="G35" s="1208"/>
      <c r="H35" s="1208"/>
      <c r="I35" s="1208"/>
      <c r="J35" s="1208"/>
      <c r="K35" s="1208"/>
      <c r="L35" s="1208"/>
      <c r="M35" s="1208"/>
      <c r="N35" s="1209"/>
      <c r="O35" s="86"/>
    </row>
    <row r="36" spans="1:15" ht="8.25" customHeight="1" x14ac:dyDescent="0.2"/>
    <row r="37" spans="1:15" x14ac:dyDescent="0.2">
      <c r="G37" s="71" t="s">
        <v>379</v>
      </c>
    </row>
    <row r="38" spans="1:15" x14ac:dyDescent="0.2">
      <c r="G38" s="3" t="s">
        <v>483</v>
      </c>
      <c r="M38" s="61"/>
    </row>
    <row r="39" spans="1:15" ht="4.5" customHeight="1" x14ac:dyDescent="0.2">
      <c r="G39" s="71"/>
      <c r="M39" s="61"/>
    </row>
    <row r="40" spans="1:15" x14ac:dyDescent="0.2">
      <c r="C40" s="160" t="s">
        <v>477</v>
      </c>
      <c r="D40" s="14"/>
      <c r="G40" s="519"/>
      <c r="M40" s="61"/>
      <c r="O40" s="61"/>
    </row>
    <row r="41" spans="1:15" x14ac:dyDescent="0.2">
      <c r="C41" s="13" t="s">
        <v>192</v>
      </c>
      <c r="G41" s="519"/>
      <c r="M41" s="61"/>
      <c r="O41" s="61"/>
    </row>
    <row r="42" spans="1:15" x14ac:dyDescent="0.2">
      <c r="C42" s="13" t="s">
        <v>474</v>
      </c>
      <c r="G42" s="519"/>
      <c r="M42" s="61"/>
      <c r="O42" s="61"/>
    </row>
    <row r="43" spans="1:15" x14ac:dyDescent="0.2">
      <c r="C43" s="13" t="s">
        <v>193</v>
      </c>
      <c r="G43" s="519"/>
      <c r="M43" s="61"/>
      <c r="O43" s="61"/>
    </row>
    <row r="44" spans="1:15" x14ac:dyDescent="0.2">
      <c r="C44" s="13" t="s">
        <v>475</v>
      </c>
      <c r="G44" s="519"/>
      <c r="O44" s="61"/>
    </row>
    <row r="45" spans="1:15" x14ac:dyDescent="0.2">
      <c r="C45" s="495" t="s">
        <v>363</v>
      </c>
      <c r="G45" s="519"/>
      <c r="O45" s="61"/>
    </row>
    <row r="46" spans="1:15" x14ac:dyDescent="0.2">
      <c r="C46" s="495" t="s">
        <v>364</v>
      </c>
      <c r="G46" s="519"/>
    </row>
    <row r="47" spans="1:15" ht="13.5" thickBot="1" x14ac:dyDescent="0.25">
      <c r="G47" s="100">
        <f>SUM(G40:G46)</f>
        <v>0</v>
      </c>
    </row>
    <row r="48" spans="1:15" ht="13.5" thickTop="1" x14ac:dyDescent="0.2"/>
    <row r="49" spans="1:15" ht="26.25" customHeight="1" x14ac:dyDescent="0.2">
      <c r="A49" s="4" t="s">
        <v>466</v>
      </c>
      <c r="B49" s="1207" t="s">
        <v>441</v>
      </c>
      <c r="C49" s="1208"/>
      <c r="D49" s="1208"/>
      <c r="E49" s="1208"/>
      <c r="F49" s="1208"/>
      <c r="G49" s="1208"/>
      <c r="H49" s="1208"/>
      <c r="I49" s="1208"/>
      <c r="J49" s="1208"/>
      <c r="K49" s="1208"/>
      <c r="L49" s="1208"/>
      <c r="M49" s="1208"/>
      <c r="N49" s="1209"/>
      <c r="O49" s="86"/>
    </row>
    <row r="50" spans="1:15" ht="8.25" customHeight="1" x14ac:dyDescent="0.2"/>
    <row r="51" spans="1:15" x14ac:dyDescent="0.2">
      <c r="J51" s="74" t="s">
        <v>65</v>
      </c>
      <c r="K51" s="82"/>
      <c r="L51" s="74" t="s">
        <v>66</v>
      </c>
    </row>
    <row r="52" spans="1:15" ht="6.75" customHeight="1" x14ac:dyDescent="0.2">
      <c r="J52" s="82"/>
      <c r="K52" s="82"/>
      <c r="L52" s="82"/>
    </row>
    <row r="53" spans="1:15" x14ac:dyDescent="0.2">
      <c r="A53" s="168" t="s">
        <v>727</v>
      </c>
      <c r="B53" t="s">
        <v>498</v>
      </c>
      <c r="J53" s="103">
        <f t="shared" ref="J53:J61" si="0">G23</f>
        <v>0</v>
      </c>
      <c r="K53" s="13"/>
      <c r="L53" s="104"/>
    </row>
    <row r="54" spans="1:15" x14ac:dyDescent="0.2">
      <c r="B54" t="s">
        <v>895</v>
      </c>
      <c r="J54" s="103">
        <f t="shared" si="0"/>
        <v>0</v>
      </c>
      <c r="K54" s="13"/>
      <c r="L54" s="104"/>
    </row>
    <row r="55" spans="1:15" x14ac:dyDescent="0.2">
      <c r="B55" t="s">
        <v>896</v>
      </c>
      <c r="J55" s="103">
        <f t="shared" si="0"/>
        <v>0</v>
      </c>
      <c r="K55" s="13"/>
      <c r="L55" s="104"/>
    </row>
    <row r="56" spans="1:15" x14ac:dyDescent="0.2">
      <c r="B56" t="s">
        <v>481</v>
      </c>
      <c r="J56" s="103">
        <f t="shared" si="0"/>
        <v>0</v>
      </c>
      <c r="K56" s="13"/>
      <c r="L56" s="104"/>
    </row>
    <row r="57" spans="1:15" x14ac:dyDescent="0.2">
      <c r="B57" t="s">
        <v>470</v>
      </c>
      <c r="J57" s="103">
        <f t="shared" si="0"/>
        <v>0</v>
      </c>
      <c r="K57" s="13"/>
      <c r="L57" s="104"/>
    </row>
    <row r="58" spans="1:15" x14ac:dyDescent="0.2">
      <c r="B58" t="s">
        <v>377</v>
      </c>
      <c r="J58" s="103">
        <f t="shared" si="0"/>
        <v>0</v>
      </c>
      <c r="K58" s="13"/>
      <c r="L58" s="104"/>
    </row>
    <row r="59" spans="1:15" x14ac:dyDescent="0.2">
      <c r="B59" t="s">
        <v>926</v>
      </c>
      <c r="J59" s="103">
        <f t="shared" si="0"/>
        <v>0</v>
      </c>
      <c r="K59" s="13"/>
      <c r="L59" s="104"/>
    </row>
    <row r="60" spans="1:15" x14ac:dyDescent="0.2">
      <c r="B60" s="521" t="s">
        <v>203</v>
      </c>
      <c r="J60" s="103">
        <f t="shared" si="0"/>
        <v>0</v>
      </c>
      <c r="K60" s="13"/>
      <c r="L60" s="104"/>
    </row>
    <row r="61" spans="1:15" x14ac:dyDescent="0.2">
      <c r="B61" t="s">
        <v>378</v>
      </c>
      <c r="J61" s="103">
        <f t="shared" si="0"/>
        <v>0</v>
      </c>
      <c r="K61" s="13"/>
      <c r="L61" s="104"/>
    </row>
    <row r="62" spans="1:15" x14ac:dyDescent="0.2">
      <c r="C62" s="39" t="s">
        <v>577</v>
      </c>
      <c r="J62" s="104"/>
      <c r="K62" s="13"/>
      <c r="L62" s="103">
        <f t="shared" ref="L62:L68" si="1">G40</f>
        <v>0</v>
      </c>
    </row>
    <row r="63" spans="1:15" x14ac:dyDescent="0.2">
      <c r="C63" s="13" t="s">
        <v>910</v>
      </c>
      <c r="J63" s="104"/>
      <c r="K63" s="13"/>
      <c r="L63" s="103">
        <f t="shared" si="1"/>
        <v>0</v>
      </c>
    </row>
    <row r="64" spans="1:15" x14ac:dyDescent="0.2">
      <c r="C64" s="13" t="s">
        <v>911</v>
      </c>
      <c r="J64" s="104"/>
      <c r="K64" s="13"/>
      <c r="L64" s="103">
        <f t="shared" si="1"/>
        <v>0</v>
      </c>
    </row>
    <row r="65" spans="3:14" x14ac:dyDescent="0.2">
      <c r="C65" s="13" t="s">
        <v>114</v>
      </c>
      <c r="J65" s="104"/>
      <c r="K65" s="13"/>
      <c r="L65" s="103">
        <f t="shared" si="1"/>
        <v>0</v>
      </c>
    </row>
    <row r="66" spans="3:14" x14ac:dyDescent="0.2">
      <c r="C66" s="13" t="s">
        <v>912</v>
      </c>
      <c r="J66" s="104"/>
      <c r="K66" s="13"/>
      <c r="L66" s="103">
        <f t="shared" si="1"/>
        <v>0</v>
      </c>
    </row>
    <row r="67" spans="3:14" x14ac:dyDescent="0.2">
      <c r="C67" s="542" t="s">
        <v>634</v>
      </c>
      <c r="J67" s="104"/>
      <c r="K67" s="13"/>
      <c r="L67" s="103">
        <f t="shared" si="1"/>
        <v>0</v>
      </c>
    </row>
    <row r="68" spans="3:14" x14ac:dyDescent="0.2">
      <c r="C68" s="542" t="s">
        <v>635</v>
      </c>
      <c r="J68" s="104"/>
      <c r="K68" s="13"/>
      <c r="L68" s="103">
        <f t="shared" si="1"/>
        <v>0</v>
      </c>
    </row>
    <row r="69" spans="3:14" ht="13.5" thickBot="1" x14ac:dyDescent="0.25">
      <c r="J69" s="105">
        <f>SUM(J53:J68)</f>
        <v>0</v>
      </c>
      <c r="K69" s="13"/>
      <c r="L69" s="105">
        <f>SUM(L62:L68)</f>
        <v>0</v>
      </c>
      <c r="N69" s="14"/>
    </row>
    <row r="70" spans="3:14" ht="13.5" thickTop="1" x14ac:dyDescent="0.2">
      <c r="K70" s="13"/>
    </row>
  </sheetData>
  <sheetProtection password="C1DF" sheet="1"/>
  <mergeCells count="10">
    <mergeCell ref="C10:N11"/>
    <mergeCell ref="B49:N49"/>
    <mergeCell ref="A2:N2"/>
    <mergeCell ref="B4:N4"/>
    <mergeCell ref="B6:N6"/>
    <mergeCell ref="B8:N8"/>
    <mergeCell ref="C13:O13"/>
    <mergeCell ref="C15:O15"/>
    <mergeCell ref="B17:N17"/>
    <mergeCell ref="B35:N35"/>
  </mergeCells>
  <phoneticPr fontId="13" type="noConversion"/>
  <printOptions horizontalCentered="1"/>
  <pageMargins left="0.36" right="0.48" top="0.78" bottom="0.69" header="0.5" footer="0.5"/>
  <pageSetup scale="67" orientation="portrait" r:id="rId1"/>
  <headerFooter alignWithMargins="0">
    <oddHeader>&amp;R&amp;"Arial,Bold"&amp;12Entry  D</oddHeader>
    <oddFooter>&amp;L&amp;8&amp;D - City model&amp;R&amp;P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P70"/>
  <sheetViews>
    <sheetView workbookViewId="0">
      <selection activeCell="G22" sqref="G22"/>
    </sheetView>
  </sheetViews>
  <sheetFormatPr defaultRowHeight="12.75" x14ac:dyDescent="0.2"/>
  <cols>
    <col min="1" max="1" width="4" style="4" customWidth="1"/>
    <col min="2" max="2" width="4" customWidth="1"/>
    <col min="4" max="4" width="9.28515625" customWidth="1"/>
    <col min="5" max="5" width="4.42578125" customWidth="1"/>
    <col min="6" max="6" width="10.42578125" bestFit="1" customWidth="1"/>
    <col min="7" max="7" width="11.42578125" bestFit="1" customWidth="1"/>
    <col min="8" max="8" width="1.42578125" style="61" customWidth="1"/>
    <col min="10" max="10" width="10.42578125" bestFit="1" customWidth="1"/>
    <col min="12" max="12" width="11.5703125" bestFit="1" customWidth="1"/>
    <col min="13" max="13" width="1.7109375" customWidth="1"/>
    <col min="14" max="14" width="11.28515625" bestFit="1" customWidth="1"/>
    <col min="15" max="15" width="10" bestFit="1" customWidth="1"/>
    <col min="16" max="16" width="1.7109375" customWidth="1"/>
    <col min="17" max="17" width="0.7109375" customWidth="1"/>
  </cols>
  <sheetData>
    <row r="1" spans="1:16" ht="7.5" customHeight="1" x14ac:dyDescent="0.2"/>
    <row r="2" spans="1:16" ht="33.75" customHeight="1" x14ac:dyDescent="0.25">
      <c r="A2" s="1200" t="s">
        <v>469</v>
      </c>
      <c r="B2" s="1201"/>
      <c r="C2" s="1201"/>
      <c r="D2" s="1201"/>
      <c r="E2" s="1201"/>
      <c r="F2" s="1201"/>
      <c r="G2" s="1201"/>
      <c r="H2" s="1201"/>
      <c r="I2" s="1201"/>
      <c r="J2" s="1201"/>
      <c r="K2" s="1201"/>
      <c r="L2" s="1201"/>
      <c r="M2" s="1201"/>
      <c r="N2" s="1201"/>
      <c r="O2" s="1201"/>
      <c r="P2" s="1202"/>
    </row>
    <row r="3" spans="1:16" ht="3.75" customHeight="1" x14ac:dyDescent="0.2"/>
    <row r="4" spans="1:16" ht="69.75" customHeight="1" x14ac:dyDescent="0.2">
      <c r="B4" s="1126" t="s">
        <v>713</v>
      </c>
      <c r="C4" s="1126"/>
      <c r="D4" s="1126"/>
      <c r="E4" s="1126"/>
      <c r="F4" s="1126"/>
      <c r="G4" s="1126"/>
      <c r="H4" s="1126"/>
      <c r="I4" s="1126"/>
      <c r="J4" s="1126"/>
      <c r="K4" s="1126"/>
      <c r="L4" s="1126"/>
      <c r="M4" s="1126"/>
      <c r="N4" s="1126"/>
      <c r="O4" s="1126"/>
      <c r="P4" s="1126"/>
    </row>
    <row r="5" spans="1:16" ht="3.75" customHeight="1" x14ac:dyDescent="0.2"/>
    <row r="6" spans="1:16" ht="66.75" customHeight="1" x14ac:dyDescent="0.2">
      <c r="B6" s="1126" t="s">
        <v>1096</v>
      </c>
      <c r="C6" s="1126"/>
      <c r="D6" s="1126"/>
      <c r="E6" s="1126"/>
      <c r="F6" s="1126"/>
      <c r="G6" s="1126"/>
      <c r="H6" s="1126"/>
      <c r="I6" s="1126"/>
      <c r="J6" s="1126"/>
      <c r="K6" s="1126"/>
      <c r="L6" s="1126"/>
      <c r="M6" s="1126"/>
      <c r="N6" s="1126"/>
      <c r="O6" s="1126"/>
      <c r="P6" s="1126"/>
    </row>
    <row r="7" spans="1:16" ht="3.75" customHeight="1" x14ac:dyDescent="0.2">
      <c r="B7" s="59"/>
      <c r="C7" s="59"/>
      <c r="D7" s="59"/>
      <c r="E7" s="59"/>
      <c r="F7" s="59"/>
      <c r="G7" s="59"/>
      <c r="H7" s="59"/>
      <c r="I7" s="59"/>
      <c r="J7" s="59"/>
      <c r="K7" s="59"/>
      <c r="L7" s="59"/>
      <c r="M7" s="59"/>
      <c r="N7" s="59"/>
      <c r="O7" s="59"/>
      <c r="P7" s="59"/>
    </row>
    <row r="8" spans="1:16" ht="27" customHeight="1" x14ac:dyDescent="0.2">
      <c r="B8" s="1126" t="s">
        <v>458</v>
      </c>
      <c r="C8" s="1126"/>
      <c r="D8" s="1126"/>
      <c r="E8" s="1126"/>
      <c r="F8" s="1126"/>
      <c r="G8" s="1126"/>
      <c r="H8" s="1126"/>
      <c r="I8" s="1126"/>
      <c r="J8" s="1126"/>
      <c r="K8" s="1126"/>
      <c r="L8" s="1126"/>
      <c r="M8" s="1126"/>
      <c r="N8" s="1126"/>
      <c r="O8" s="1126"/>
      <c r="P8" s="1126"/>
    </row>
    <row r="9" spans="1:16" ht="9" customHeight="1" x14ac:dyDescent="0.2"/>
    <row r="10" spans="1:16" ht="12.75" customHeight="1" x14ac:dyDescent="0.2">
      <c r="B10" s="64" t="s">
        <v>947</v>
      </c>
      <c r="C10" s="1126" t="s">
        <v>1037</v>
      </c>
      <c r="D10" s="1126"/>
      <c r="E10" s="1126"/>
      <c r="F10" s="1126"/>
      <c r="G10" s="1126"/>
      <c r="H10" s="1126"/>
      <c r="I10" s="1126"/>
      <c r="J10" s="1126"/>
      <c r="K10" s="1126"/>
      <c r="L10" s="1126"/>
      <c r="M10" s="1126"/>
      <c r="N10" s="1126"/>
      <c r="O10" s="1126"/>
      <c r="P10" s="59"/>
    </row>
    <row r="11" spans="1:16" ht="48.75" customHeight="1" x14ac:dyDescent="0.2">
      <c r="B11" s="64"/>
      <c r="C11" s="1126"/>
      <c r="D11" s="1126"/>
      <c r="E11" s="1126"/>
      <c r="F11" s="1126"/>
      <c r="G11" s="1126"/>
      <c r="H11" s="1126"/>
      <c r="I11" s="1126"/>
      <c r="J11" s="1126"/>
      <c r="K11" s="1126"/>
      <c r="L11" s="1126"/>
      <c r="M11" s="1126"/>
      <c r="N11" s="1126"/>
      <c r="O11" s="1126"/>
      <c r="P11" s="59"/>
    </row>
    <row r="12" spans="1:16" ht="5.25" customHeight="1" x14ac:dyDescent="0.2">
      <c r="B12" s="64"/>
      <c r="C12" s="59"/>
      <c r="D12" s="59"/>
      <c r="E12" s="59"/>
      <c r="F12" s="59"/>
      <c r="G12" s="59"/>
      <c r="H12" s="59"/>
      <c r="I12" s="59"/>
      <c r="J12" s="59"/>
      <c r="K12" s="59"/>
      <c r="L12" s="59"/>
      <c r="M12" s="59"/>
      <c r="N12" s="59"/>
      <c r="O12" s="59"/>
      <c r="P12" s="59"/>
    </row>
    <row r="13" spans="1:16" ht="12.75" customHeight="1" x14ac:dyDescent="0.2">
      <c r="B13" s="64" t="s">
        <v>948</v>
      </c>
      <c r="C13" s="1126" t="s">
        <v>82</v>
      </c>
      <c r="D13" s="1126"/>
      <c r="E13" s="1126"/>
      <c r="F13" s="1126"/>
      <c r="G13" s="1126"/>
      <c r="H13" s="1126"/>
      <c r="I13" s="1126"/>
      <c r="J13" s="1126"/>
      <c r="K13" s="1126"/>
      <c r="L13" s="1126"/>
      <c r="M13" s="1126"/>
      <c r="N13" s="1126"/>
      <c r="O13" s="1126"/>
    </row>
    <row r="14" spans="1:16" ht="12" customHeight="1" x14ac:dyDescent="0.2">
      <c r="B14" s="64"/>
      <c r="C14" s="1126"/>
      <c r="D14" s="1126"/>
      <c r="E14" s="1126"/>
      <c r="F14" s="1126"/>
      <c r="G14" s="1126"/>
      <c r="H14" s="1126"/>
      <c r="I14" s="1126"/>
      <c r="J14" s="1126"/>
      <c r="K14" s="1126"/>
      <c r="L14" s="1126"/>
      <c r="M14" s="1126"/>
      <c r="N14" s="1126"/>
      <c r="O14" s="1126"/>
    </row>
    <row r="15" spans="1:16" ht="5.25" customHeight="1" x14ac:dyDescent="0.2">
      <c r="B15" s="64"/>
    </row>
    <row r="16" spans="1:16" x14ac:dyDescent="0.2">
      <c r="B16" s="64" t="s">
        <v>471</v>
      </c>
      <c r="C16" t="s">
        <v>200</v>
      </c>
    </row>
    <row r="17" spans="1:16" ht="4.5" customHeight="1" x14ac:dyDescent="0.2"/>
    <row r="18" spans="1:16" ht="25.5" customHeight="1" x14ac:dyDescent="0.2">
      <c r="A18" s="4" t="s">
        <v>876</v>
      </c>
      <c r="B18" s="1210" t="s">
        <v>366</v>
      </c>
      <c r="C18" s="1212"/>
      <c r="D18" s="1212"/>
      <c r="E18" s="1212"/>
      <c r="F18" s="1212"/>
      <c r="G18" s="1212"/>
      <c r="H18" s="1212"/>
      <c r="I18" s="1212"/>
      <c r="J18" s="1212"/>
      <c r="K18" s="1212"/>
      <c r="L18" s="1212"/>
      <c r="M18" s="1212"/>
      <c r="N18" s="1212"/>
      <c r="O18" s="1212"/>
      <c r="P18" s="1213"/>
    </row>
    <row r="19" spans="1:16" ht="3" customHeight="1" x14ac:dyDescent="0.2">
      <c r="B19" s="69"/>
      <c r="C19" s="54"/>
      <c r="D19" s="54"/>
      <c r="E19" s="54"/>
      <c r="F19" s="54"/>
      <c r="G19" s="54"/>
      <c r="H19" s="72"/>
      <c r="I19" s="54"/>
      <c r="J19" s="54"/>
      <c r="K19" s="54"/>
      <c r="L19" s="54"/>
      <c r="M19" s="54"/>
      <c r="N19" s="54"/>
    </row>
    <row r="20" spans="1:16" x14ac:dyDescent="0.2">
      <c r="G20" s="3" t="s">
        <v>62</v>
      </c>
      <c r="H20"/>
    </row>
    <row r="21" spans="1:16" ht="3" customHeight="1" x14ac:dyDescent="0.2">
      <c r="H21"/>
    </row>
    <row r="22" spans="1:16" x14ac:dyDescent="0.2">
      <c r="C22" t="s">
        <v>498</v>
      </c>
      <c r="G22" s="512"/>
      <c r="H22"/>
    </row>
    <row r="23" spans="1:16" x14ac:dyDescent="0.2">
      <c r="C23" t="s">
        <v>895</v>
      </c>
      <c r="G23" s="512"/>
      <c r="H23"/>
    </row>
    <row r="24" spans="1:16" x14ac:dyDescent="0.2">
      <c r="C24" t="s">
        <v>896</v>
      </c>
      <c r="G24" s="512"/>
      <c r="H24"/>
    </row>
    <row r="25" spans="1:16" x14ac:dyDescent="0.2">
      <c r="C25" t="s">
        <v>481</v>
      </c>
      <c r="G25" s="512"/>
      <c r="H25"/>
    </row>
    <row r="26" spans="1:16" ht="12.75" customHeight="1" x14ac:dyDescent="0.2">
      <c r="C26" t="s">
        <v>470</v>
      </c>
      <c r="G26" s="512"/>
      <c r="H26"/>
      <c r="J26" s="1231" t="s">
        <v>938</v>
      </c>
      <c r="K26" s="1231"/>
      <c r="L26" s="1231"/>
      <c r="M26" s="1231"/>
      <c r="N26" s="1231"/>
      <c r="O26" s="1231"/>
    </row>
    <row r="27" spans="1:16" x14ac:dyDescent="0.2">
      <c r="C27" t="s">
        <v>402</v>
      </c>
      <c r="G27" s="508"/>
      <c r="H27"/>
      <c r="J27" s="1231"/>
      <c r="K27" s="1231"/>
      <c r="L27" s="1231"/>
      <c r="M27" s="1231"/>
      <c r="N27" s="1231"/>
      <c r="O27" s="1231"/>
    </row>
    <row r="28" spans="1:16" x14ac:dyDescent="0.2">
      <c r="C28" t="s">
        <v>362</v>
      </c>
      <c r="G28" s="508"/>
      <c r="H28"/>
      <c r="J28" s="1231"/>
      <c r="K28" s="1231"/>
      <c r="L28" s="1231"/>
      <c r="M28" s="1231"/>
      <c r="N28" s="1231"/>
      <c r="O28" s="1231"/>
    </row>
    <row r="29" spans="1:16" x14ac:dyDescent="0.2">
      <c r="C29" t="s">
        <v>926</v>
      </c>
      <c r="G29" s="508"/>
      <c r="H29"/>
      <c r="J29" t="s">
        <v>937</v>
      </c>
    </row>
    <row r="30" spans="1:16" x14ac:dyDescent="0.2">
      <c r="C30" s="521" t="s">
        <v>203</v>
      </c>
      <c r="G30" s="520"/>
      <c r="H30"/>
    </row>
    <row r="31" spans="1:16" ht="13.5" thickBot="1" x14ac:dyDescent="0.25">
      <c r="G31" s="112">
        <f>SUM(G22:G30)</f>
        <v>0</v>
      </c>
      <c r="H31"/>
    </row>
    <row r="32" spans="1:16" ht="5.25" customHeight="1" thickTop="1" x14ac:dyDescent="0.2">
      <c r="H32"/>
    </row>
    <row r="33" spans="1:16" x14ac:dyDescent="0.2">
      <c r="H33"/>
    </row>
    <row r="34" spans="1:16" ht="25.5" customHeight="1" x14ac:dyDescent="0.2">
      <c r="A34" s="4" t="s">
        <v>877</v>
      </c>
      <c r="B34" s="1207" t="s">
        <v>373</v>
      </c>
      <c r="C34" s="1208"/>
      <c r="D34" s="1208"/>
      <c r="E34" s="1208"/>
      <c r="F34" s="1208"/>
      <c r="G34" s="1208"/>
      <c r="H34" s="1208"/>
      <c r="I34" s="1208"/>
      <c r="J34" s="1208"/>
      <c r="K34" s="1208"/>
      <c r="L34" s="1208"/>
      <c r="M34" s="1208"/>
      <c r="N34" s="1208"/>
      <c r="O34" s="1208"/>
      <c r="P34" s="1209"/>
    </row>
    <row r="35" spans="1:16" x14ac:dyDescent="0.2">
      <c r="G35" s="3" t="s">
        <v>62</v>
      </c>
      <c r="H35" s="73"/>
      <c r="I35" s="73"/>
      <c r="J35" s="73"/>
      <c r="K35" s="73"/>
      <c r="L35" s="73"/>
      <c r="N35" s="73"/>
    </row>
    <row r="36" spans="1:16" ht="3" customHeight="1" x14ac:dyDescent="0.2">
      <c r="H36" s="73"/>
      <c r="I36" s="73"/>
      <c r="J36" s="73"/>
      <c r="K36" s="73"/>
      <c r="L36" s="73"/>
      <c r="N36" s="73"/>
    </row>
    <row r="37" spans="1:16" x14ac:dyDescent="0.2">
      <c r="C37" t="s">
        <v>476</v>
      </c>
      <c r="G37" s="508"/>
      <c r="H37" s="73"/>
      <c r="I37" s="73"/>
      <c r="J37" s="73"/>
      <c r="K37" s="73"/>
      <c r="L37" s="73"/>
    </row>
    <row r="38" spans="1:16" x14ac:dyDescent="0.2">
      <c r="C38" t="s">
        <v>0</v>
      </c>
      <c r="G38" s="508"/>
      <c r="H38" s="73"/>
      <c r="I38" s="73"/>
      <c r="J38" s="73"/>
      <c r="K38" s="73"/>
      <c r="L38" s="73"/>
    </row>
    <row r="39" spans="1:16" ht="12" customHeight="1" x14ac:dyDescent="0.2">
      <c r="C39" t="s">
        <v>477</v>
      </c>
      <c r="G39" s="508"/>
      <c r="H39" s="73"/>
      <c r="I39" s="73"/>
      <c r="J39" s="1225" t="s">
        <v>886</v>
      </c>
      <c r="K39" s="1225"/>
      <c r="L39" s="1225"/>
      <c r="M39" s="1225"/>
      <c r="N39" s="1225"/>
      <c r="O39" s="1225"/>
    </row>
    <row r="40" spans="1:16" x14ac:dyDescent="0.2">
      <c r="C40" t="s">
        <v>478</v>
      </c>
      <c r="G40" s="508"/>
      <c r="H40" s="73"/>
      <c r="I40" s="73"/>
      <c r="J40" s="1225"/>
      <c r="K40" s="1225"/>
      <c r="L40" s="1225"/>
      <c r="M40" s="1225"/>
      <c r="N40" s="1225"/>
      <c r="O40" s="1225"/>
    </row>
    <row r="41" spans="1:16" x14ac:dyDescent="0.2">
      <c r="C41" t="s">
        <v>474</v>
      </c>
      <c r="G41" s="508"/>
      <c r="H41" s="73"/>
      <c r="I41" s="73"/>
      <c r="J41" s="1225"/>
      <c r="K41" s="1225"/>
      <c r="L41" s="1225"/>
      <c r="M41" s="1225"/>
      <c r="N41" s="1225"/>
      <c r="O41" s="1225"/>
    </row>
    <row r="42" spans="1:16" x14ac:dyDescent="0.2">
      <c r="C42" t="s">
        <v>473</v>
      </c>
      <c r="G42" s="508"/>
      <c r="H42" s="73"/>
      <c r="I42" s="73"/>
      <c r="J42" s="73"/>
      <c r="K42" s="73"/>
      <c r="L42" s="73"/>
    </row>
    <row r="43" spans="1:16" x14ac:dyDescent="0.2">
      <c r="C43" t="s">
        <v>374</v>
      </c>
      <c r="G43" s="508"/>
      <c r="H43" s="73"/>
      <c r="I43" s="73"/>
      <c r="J43" s="73"/>
      <c r="K43" s="73"/>
      <c r="L43" s="73"/>
    </row>
    <row r="44" spans="1:16" x14ac:dyDescent="0.2">
      <c r="C44" s="521" t="s">
        <v>363</v>
      </c>
      <c r="G44" s="508"/>
      <c r="H44" s="73"/>
      <c r="I44" s="73"/>
      <c r="J44" s="73"/>
      <c r="K44" s="73"/>
      <c r="L44" s="73"/>
    </row>
    <row r="45" spans="1:16" x14ac:dyDescent="0.2">
      <c r="C45" s="521" t="s">
        <v>364</v>
      </c>
      <c r="G45" s="520"/>
      <c r="H45" s="73"/>
      <c r="I45" s="73"/>
      <c r="J45" s="73"/>
      <c r="K45" s="73"/>
      <c r="L45" s="73"/>
    </row>
    <row r="46" spans="1:16" ht="17.25" thickBot="1" x14ac:dyDescent="0.4">
      <c r="G46" s="113">
        <f>SUM(G37:G45)</f>
        <v>0</v>
      </c>
      <c r="H46" s="73"/>
      <c r="I46" s="87" t="str">
        <f>IF(G31=G46," ","Recheck numbers in Section A or B. Entry is out of balance.")</f>
        <v xml:space="preserve"> </v>
      </c>
      <c r="J46" s="73"/>
      <c r="K46" s="73"/>
      <c r="L46" s="73"/>
      <c r="N46" s="73"/>
    </row>
    <row r="47" spans="1:16" ht="13.5" thickTop="1" x14ac:dyDescent="0.2">
      <c r="G47" s="12"/>
      <c r="H47" s="73"/>
      <c r="I47" s="73"/>
      <c r="J47" s="73"/>
      <c r="K47" s="73"/>
      <c r="L47" s="73"/>
      <c r="N47" s="73"/>
    </row>
    <row r="48" spans="1:16" ht="25.5" customHeight="1" x14ac:dyDescent="0.2">
      <c r="A48" s="4" t="s">
        <v>466</v>
      </c>
      <c r="B48" s="1228" t="s">
        <v>442</v>
      </c>
      <c r="C48" s="1229"/>
      <c r="D48" s="1229"/>
      <c r="E48" s="1229"/>
      <c r="F48" s="1229"/>
      <c r="G48" s="1229"/>
      <c r="H48" s="1229"/>
      <c r="I48" s="1229"/>
      <c r="J48" s="1229"/>
      <c r="K48" s="1229"/>
      <c r="L48" s="1229"/>
      <c r="M48" s="1229"/>
      <c r="N48" s="1229"/>
      <c r="O48" s="1230"/>
      <c r="P48" s="77"/>
    </row>
    <row r="49" spans="4:14" x14ac:dyDescent="0.2">
      <c r="L49" s="74" t="s">
        <v>65</v>
      </c>
      <c r="M49" s="70"/>
      <c r="N49" s="74" t="s">
        <v>66</v>
      </c>
    </row>
    <row r="50" spans="4:14" ht="3" customHeight="1" x14ac:dyDescent="0.2"/>
    <row r="51" spans="4:14" ht="12.75" customHeight="1" x14ac:dyDescent="0.2">
      <c r="D51" t="s">
        <v>586</v>
      </c>
      <c r="E51" t="s">
        <v>476</v>
      </c>
      <c r="L51" s="108">
        <f xml:space="preserve">    G37</f>
        <v>0</v>
      </c>
      <c r="M51" s="13"/>
      <c r="N51" s="108"/>
    </row>
    <row r="52" spans="4:14" x14ac:dyDescent="0.2">
      <c r="E52" t="s">
        <v>479</v>
      </c>
      <c r="L52" s="108">
        <f t="shared" ref="L52:L57" si="0">G38</f>
        <v>0</v>
      </c>
      <c r="M52" s="13"/>
      <c r="N52" s="108"/>
    </row>
    <row r="53" spans="4:14" x14ac:dyDescent="0.2">
      <c r="E53" t="s">
        <v>477</v>
      </c>
      <c r="L53" s="108">
        <f t="shared" si="0"/>
        <v>0</v>
      </c>
      <c r="M53" s="13"/>
      <c r="N53" s="108"/>
    </row>
    <row r="54" spans="4:14" x14ac:dyDescent="0.2">
      <c r="E54" t="s">
        <v>478</v>
      </c>
      <c r="L54" s="108">
        <f t="shared" si="0"/>
        <v>0</v>
      </c>
      <c r="M54" s="13"/>
      <c r="N54" s="108"/>
    </row>
    <row r="55" spans="4:14" x14ac:dyDescent="0.2">
      <c r="E55" t="s">
        <v>474</v>
      </c>
      <c r="L55" s="108">
        <f t="shared" si="0"/>
        <v>0</v>
      </c>
      <c r="M55" s="13"/>
      <c r="N55" s="108"/>
    </row>
    <row r="56" spans="4:14" x14ac:dyDescent="0.2">
      <c r="E56" t="s">
        <v>473</v>
      </c>
      <c r="L56" s="108">
        <f t="shared" si="0"/>
        <v>0</v>
      </c>
      <c r="M56" s="13"/>
      <c r="N56" s="108"/>
    </row>
    <row r="57" spans="4:14" x14ac:dyDescent="0.2">
      <c r="E57" t="s">
        <v>475</v>
      </c>
      <c r="L57" s="108">
        <f t="shared" si="0"/>
        <v>0</v>
      </c>
      <c r="M57" s="13"/>
      <c r="N57" s="108"/>
    </row>
    <row r="58" spans="4:14" x14ac:dyDescent="0.2">
      <c r="E58" s="521" t="s">
        <v>363</v>
      </c>
      <c r="L58" s="108">
        <f>G44</f>
        <v>0</v>
      </c>
      <c r="M58" s="13"/>
      <c r="N58" s="108"/>
    </row>
    <row r="59" spans="4:14" x14ac:dyDescent="0.2">
      <c r="E59" s="521" t="s">
        <v>364</v>
      </c>
      <c r="L59" s="108">
        <f>G45</f>
        <v>0</v>
      </c>
      <c r="M59" s="13"/>
      <c r="N59" s="108"/>
    </row>
    <row r="60" spans="4:14" x14ac:dyDescent="0.2">
      <c r="F60" t="s">
        <v>498</v>
      </c>
      <c r="L60" s="108"/>
      <c r="M60" s="13"/>
      <c r="N60" s="108">
        <f t="shared" ref="N60:N68" si="1">G22</f>
        <v>0</v>
      </c>
    </row>
    <row r="61" spans="4:14" x14ac:dyDescent="0.2">
      <c r="F61" t="s">
        <v>895</v>
      </c>
      <c r="L61" s="108"/>
      <c r="M61" s="13"/>
      <c r="N61" s="108">
        <f t="shared" si="1"/>
        <v>0</v>
      </c>
    </row>
    <row r="62" spans="4:14" x14ac:dyDescent="0.2">
      <c r="F62" t="s">
        <v>896</v>
      </c>
      <c r="L62" s="108"/>
      <c r="M62" s="13"/>
      <c r="N62" s="108">
        <f t="shared" si="1"/>
        <v>0</v>
      </c>
    </row>
    <row r="63" spans="4:14" x14ac:dyDescent="0.2">
      <c r="F63" t="s">
        <v>480</v>
      </c>
      <c r="L63" s="108"/>
      <c r="M63" s="13"/>
      <c r="N63" s="108">
        <f t="shared" si="1"/>
        <v>0</v>
      </c>
    </row>
    <row r="64" spans="4:14" x14ac:dyDescent="0.2">
      <c r="F64" t="s">
        <v>897</v>
      </c>
      <c r="L64" s="108"/>
      <c r="M64" s="13"/>
      <c r="N64" s="108">
        <f t="shared" si="1"/>
        <v>0</v>
      </c>
    </row>
    <row r="65" spans="3:14" x14ac:dyDescent="0.2">
      <c r="F65" t="s">
        <v>906</v>
      </c>
      <c r="L65" s="108"/>
      <c r="M65" s="13"/>
      <c r="N65" s="108">
        <f t="shared" si="1"/>
        <v>0</v>
      </c>
    </row>
    <row r="66" spans="3:14" x14ac:dyDescent="0.2">
      <c r="F66" t="s">
        <v>907</v>
      </c>
      <c r="L66" s="108"/>
      <c r="M66" s="13"/>
      <c r="N66" s="108">
        <f t="shared" si="1"/>
        <v>0</v>
      </c>
    </row>
    <row r="67" spans="3:14" x14ac:dyDescent="0.2">
      <c r="F67" t="s">
        <v>926</v>
      </c>
      <c r="L67" s="108"/>
      <c r="M67" s="13"/>
      <c r="N67" s="108">
        <f t="shared" si="1"/>
        <v>0</v>
      </c>
    </row>
    <row r="68" spans="3:14" x14ac:dyDescent="0.2">
      <c r="C68" s="68"/>
      <c r="F68" s="521" t="s">
        <v>203</v>
      </c>
      <c r="L68" s="104"/>
      <c r="N68" s="103">
        <f t="shared" si="1"/>
        <v>0</v>
      </c>
    </row>
    <row r="69" spans="3:14" ht="13.5" thickBot="1" x14ac:dyDescent="0.25">
      <c r="L69" s="100">
        <f>SUM(L51:L67)</f>
        <v>0</v>
      </c>
      <c r="M69" s="13"/>
      <c r="N69" s="100">
        <f>SUM(N51:N68)</f>
        <v>0</v>
      </c>
    </row>
    <row r="70" spans="3:14" ht="13.5" thickTop="1" x14ac:dyDescent="0.2"/>
  </sheetData>
  <sheetProtection algorithmName="SHA-512" hashValue="i0Zjbb8YQhAmNcsSi65NqZaZSXaDzt9jS1I0cZKedVm/kNiqrTdYy6sWkTITxnKOmH3/s+5tGgY1qReCP1UzPA==" saltValue="aHHdpWtwQtLLzDO3b8KVNQ==" spinCount="100000" sheet="1" objects="1" scenarios="1"/>
  <mergeCells count="11">
    <mergeCell ref="B48:O48"/>
    <mergeCell ref="C13:O14"/>
    <mergeCell ref="C10:O11"/>
    <mergeCell ref="B18:P18"/>
    <mergeCell ref="J26:O28"/>
    <mergeCell ref="A2:P2"/>
    <mergeCell ref="B4:P4"/>
    <mergeCell ref="B8:P8"/>
    <mergeCell ref="B34:P34"/>
    <mergeCell ref="J39:O41"/>
    <mergeCell ref="B6:P6"/>
  </mergeCells>
  <phoneticPr fontId="13" type="noConversion"/>
  <printOptions horizontalCentered="1"/>
  <pageMargins left="0.36" right="0.37" top="0.65" bottom="0.5" header="0.5" footer="0.5"/>
  <pageSetup scale="68" orientation="portrait" r:id="rId1"/>
  <headerFooter alignWithMargins="0">
    <oddHeader>&amp;R&amp;"Arial,Bold"&amp;12Entry E</oddHeader>
    <oddFooter>&amp;L&amp;8&amp;D - City model&amp;R&amp;P</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AC355"/>
  <sheetViews>
    <sheetView zoomScaleNormal="100" workbookViewId="0">
      <selection activeCell="L32" sqref="L32:L33"/>
    </sheetView>
  </sheetViews>
  <sheetFormatPr defaultRowHeight="12.75" x14ac:dyDescent="0.2"/>
  <cols>
    <col min="1" max="1" width="3.140625" customWidth="1"/>
    <col min="2" max="2" width="2.42578125" customWidth="1"/>
    <col min="3" max="3" width="2.5703125" customWidth="1"/>
    <col min="5" max="5" width="3.140625" customWidth="1"/>
    <col min="6" max="6" width="11.28515625" customWidth="1"/>
    <col min="7" max="9" width="10" customWidth="1"/>
    <col min="10" max="10" width="6.28515625" customWidth="1"/>
    <col min="11" max="11" width="7" customWidth="1"/>
    <col min="12" max="12" width="11.140625" bestFit="1" customWidth="1"/>
    <col min="13" max="13" width="13.140625" customWidth="1"/>
    <col min="14" max="14" width="2.28515625" customWidth="1"/>
    <col min="15" max="15" width="13.140625" bestFit="1" customWidth="1"/>
    <col min="16" max="16" width="10.7109375" bestFit="1" customWidth="1"/>
    <col min="17" max="17" width="14.140625" bestFit="1" customWidth="1"/>
    <col min="18" max="19" width="14.42578125" bestFit="1" customWidth="1"/>
    <col min="20" max="20" width="14.140625" customWidth="1"/>
    <col min="21" max="21" width="2.85546875" customWidth="1"/>
    <col min="22" max="25" width="10.28515625" bestFit="1" customWidth="1"/>
    <col min="26" max="27" width="10.28515625" customWidth="1"/>
    <col min="28" max="29" width="10.28515625" bestFit="1" customWidth="1"/>
  </cols>
  <sheetData>
    <row r="1" spans="1:20" ht="6" customHeight="1" x14ac:dyDescent="0.2"/>
    <row r="2" spans="1:20" ht="29.25" customHeight="1" x14ac:dyDescent="0.25">
      <c r="A2" s="1200" t="s">
        <v>482</v>
      </c>
      <c r="B2" s="1201"/>
      <c r="C2" s="1201"/>
      <c r="D2" s="1201"/>
      <c r="E2" s="1201"/>
      <c r="F2" s="1201"/>
      <c r="G2" s="1201"/>
      <c r="H2" s="1201"/>
      <c r="I2" s="1201"/>
      <c r="J2" s="1201"/>
      <c r="K2" s="1201"/>
      <c r="L2" s="1201"/>
      <c r="M2" s="1201"/>
      <c r="N2" s="1201"/>
      <c r="O2" s="1201"/>
      <c r="P2" s="1201"/>
      <c r="Q2" s="1201"/>
      <c r="R2" s="1201"/>
      <c r="S2" s="1201"/>
      <c r="T2" s="1202"/>
    </row>
    <row r="3" spans="1:20" ht="4.5" customHeight="1" x14ac:dyDescent="0.2">
      <c r="B3" s="1135"/>
      <c r="C3" s="1135"/>
      <c r="D3" s="1135"/>
      <c r="E3" s="1135"/>
      <c r="F3" s="1135"/>
      <c r="G3" s="1135"/>
      <c r="H3" s="1135"/>
      <c r="I3" s="1135"/>
      <c r="J3" s="1135"/>
      <c r="K3" s="1135"/>
      <c r="L3" s="1135"/>
      <c r="M3" s="1135"/>
      <c r="N3" s="1135"/>
    </row>
    <row r="4" spans="1:20" ht="51" customHeight="1" x14ac:dyDescent="0.2">
      <c r="B4" s="1126" t="s">
        <v>353</v>
      </c>
      <c r="C4" s="1126"/>
      <c r="D4" s="1126"/>
      <c r="E4" s="1126"/>
      <c r="F4" s="1126"/>
      <c r="G4" s="1126"/>
      <c r="H4" s="1126"/>
      <c r="I4" s="1126"/>
      <c r="J4" s="1126"/>
      <c r="K4" s="1126"/>
      <c r="L4" s="1126"/>
      <c r="M4" s="1126"/>
      <c r="N4" s="1126"/>
      <c r="O4" s="1126"/>
      <c r="P4" s="1126"/>
      <c r="Q4" s="1126"/>
      <c r="R4" s="1126"/>
      <c r="S4" s="1126"/>
      <c r="T4" s="1126"/>
    </row>
    <row r="5" spans="1:20" ht="2.25" customHeight="1" x14ac:dyDescent="0.2">
      <c r="J5" s="2"/>
      <c r="K5" s="2"/>
    </row>
    <row r="6" spans="1:20" ht="12.75" customHeight="1" x14ac:dyDescent="0.2">
      <c r="A6" s="4"/>
      <c r="B6" s="64" t="s">
        <v>947</v>
      </c>
      <c r="C6" s="1126" t="s">
        <v>229</v>
      </c>
      <c r="D6" s="1126"/>
      <c r="E6" s="1126"/>
      <c r="F6" s="1126"/>
      <c r="G6" s="1126"/>
      <c r="H6" s="1126"/>
      <c r="I6" s="1126"/>
      <c r="J6" s="1126"/>
      <c r="K6" s="1126"/>
      <c r="L6" s="1126"/>
      <c r="M6" s="1126"/>
      <c r="N6" s="1126"/>
      <c r="O6" s="1126"/>
      <c r="P6" s="1126"/>
      <c r="Q6" s="1126"/>
      <c r="R6" s="1126"/>
      <c r="S6" s="1126"/>
      <c r="T6" s="1126"/>
    </row>
    <row r="7" spans="1:20" ht="12.75" customHeight="1" x14ac:dyDescent="0.2">
      <c r="A7" s="4"/>
      <c r="B7" s="64"/>
      <c r="C7" s="1126"/>
      <c r="D7" s="1126"/>
      <c r="E7" s="1126"/>
      <c r="F7" s="1126"/>
      <c r="G7" s="1126"/>
      <c r="H7" s="1126"/>
      <c r="I7" s="1126"/>
      <c r="J7" s="1126"/>
      <c r="K7" s="1126"/>
      <c r="L7" s="1126"/>
      <c r="M7" s="1126"/>
      <c r="N7" s="1126"/>
      <c r="O7" s="1126"/>
      <c r="P7" s="1126"/>
      <c r="Q7" s="1126"/>
      <c r="R7" s="1126"/>
      <c r="S7" s="1126"/>
      <c r="T7" s="1126"/>
    </row>
    <row r="8" spans="1:20" ht="4.5" customHeight="1" x14ac:dyDescent="0.2">
      <c r="A8" s="4"/>
    </row>
    <row r="9" spans="1:20" ht="12.75" customHeight="1" x14ac:dyDescent="0.2">
      <c r="A9" s="4"/>
      <c r="B9" s="64" t="s">
        <v>948</v>
      </c>
      <c r="C9" s="1126" t="s">
        <v>232</v>
      </c>
      <c r="D9" s="1126"/>
      <c r="E9" s="1126"/>
      <c r="F9" s="1126"/>
      <c r="G9" s="1126"/>
      <c r="H9" s="1126"/>
      <c r="I9" s="1126"/>
      <c r="J9" s="1126"/>
      <c r="K9" s="1126"/>
      <c r="L9" s="1126"/>
      <c r="M9" s="1126"/>
      <c r="N9" s="1126"/>
      <c r="O9" s="1126"/>
      <c r="P9" s="1126"/>
      <c r="Q9" s="1126"/>
      <c r="R9" s="1126"/>
      <c r="S9" s="1126"/>
      <c r="T9" s="1126"/>
    </row>
    <row r="10" spans="1:20" ht="2.25" customHeight="1" x14ac:dyDescent="0.2">
      <c r="A10" s="4"/>
    </row>
    <row r="11" spans="1:20" ht="16.899999999999999" customHeight="1" x14ac:dyDescent="0.2">
      <c r="A11" s="4"/>
      <c r="B11" s="64" t="s">
        <v>949</v>
      </c>
      <c r="C11" s="1134" t="s">
        <v>8</v>
      </c>
      <c r="D11" s="1134"/>
      <c r="E11" s="1134"/>
      <c r="F11" s="1134"/>
      <c r="G11" s="1134"/>
      <c r="H11" s="1134"/>
      <c r="I11" s="1134"/>
      <c r="J11" s="1134"/>
      <c r="K11" s="1134"/>
      <c r="L11" s="1134"/>
      <c r="M11" s="1134"/>
      <c r="N11" s="1134"/>
      <c r="O11" s="1134"/>
      <c r="P11" s="1134"/>
      <c r="Q11" s="1134"/>
      <c r="R11" s="1134"/>
      <c r="S11" s="1134"/>
      <c r="T11" s="1134"/>
    </row>
    <row r="12" spans="1:20" ht="36.75" customHeight="1" x14ac:dyDescent="0.2">
      <c r="A12" s="4"/>
      <c r="B12" s="64"/>
      <c r="C12" s="1134"/>
      <c r="D12" s="1134"/>
      <c r="E12" s="1134"/>
      <c r="F12" s="1134"/>
      <c r="G12" s="1134"/>
      <c r="H12" s="1134"/>
      <c r="I12" s="1134"/>
      <c r="J12" s="1134"/>
      <c r="K12" s="1134"/>
      <c r="L12" s="1134"/>
      <c r="M12" s="1134"/>
      <c r="N12" s="1134"/>
      <c r="O12" s="1134"/>
      <c r="P12" s="1134"/>
      <c r="Q12" s="1134"/>
      <c r="R12" s="1134"/>
      <c r="S12" s="1134"/>
      <c r="T12" s="1134"/>
    </row>
    <row r="13" spans="1:20" ht="2.25" customHeight="1" x14ac:dyDescent="0.2">
      <c r="A13" s="4"/>
      <c r="C13" s="13"/>
      <c r="D13" s="13"/>
      <c r="E13" s="13"/>
      <c r="F13" s="13"/>
      <c r="G13" s="13"/>
      <c r="H13" s="13"/>
      <c r="I13" s="13"/>
      <c r="J13" s="13"/>
      <c r="K13" s="13"/>
      <c r="L13" s="13"/>
      <c r="M13" s="13"/>
      <c r="N13" s="13"/>
      <c r="O13" s="13"/>
    </row>
    <row r="14" spans="1:20" ht="12.75" customHeight="1" x14ac:dyDescent="0.2">
      <c r="A14" s="4"/>
      <c r="B14" s="64" t="s">
        <v>878</v>
      </c>
      <c r="C14" s="1135" t="s">
        <v>504</v>
      </c>
      <c r="D14" s="1135"/>
      <c r="E14" s="1135"/>
      <c r="F14" s="1135"/>
      <c r="G14" s="1135"/>
      <c r="H14" s="1135"/>
      <c r="I14" s="1135"/>
      <c r="J14" s="1135"/>
      <c r="K14" s="1135"/>
      <c r="L14" s="1135"/>
      <c r="M14" s="1135"/>
      <c r="N14" s="1135"/>
      <c r="O14" s="1135"/>
      <c r="P14" s="1135"/>
      <c r="Q14" s="1135"/>
      <c r="R14" s="1135"/>
      <c r="S14" s="1135"/>
      <c r="T14" s="1135"/>
    </row>
    <row r="15" spans="1:20" ht="3" customHeight="1" x14ac:dyDescent="0.2">
      <c r="A15" s="4"/>
      <c r="C15" s="84"/>
      <c r="D15" s="84"/>
      <c r="E15" s="84"/>
      <c r="F15" s="84"/>
      <c r="G15" s="84"/>
      <c r="H15" s="84"/>
      <c r="I15" s="84"/>
      <c r="J15" s="84"/>
      <c r="K15" s="84"/>
      <c r="L15" s="84"/>
      <c r="M15" s="84"/>
      <c r="N15" s="84"/>
      <c r="O15" s="84"/>
      <c r="P15" s="84"/>
      <c r="Q15" s="60"/>
      <c r="R15" s="60"/>
      <c r="S15" s="60"/>
    </row>
    <row r="16" spans="1:20" ht="12.75" customHeight="1" x14ac:dyDescent="0.2">
      <c r="A16" s="4"/>
      <c r="B16" s="64" t="s">
        <v>879</v>
      </c>
      <c r="C16" s="1135" t="s">
        <v>701</v>
      </c>
      <c r="D16" s="1135"/>
      <c r="E16" s="1135"/>
      <c r="F16" s="1135"/>
      <c r="G16" s="1135"/>
      <c r="H16" s="1135"/>
      <c r="I16" s="1135"/>
      <c r="J16" s="1135"/>
      <c r="K16" s="1135"/>
      <c r="L16" s="1135"/>
      <c r="M16" s="1135"/>
      <c r="N16" s="1135"/>
      <c r="O16" s="1135"/>
      <c r="P16" s="1135"/>
      <c r="Q16" s="1135"/>
      <c r="R16" s="1135"/>
      <c r="S16" s="1135"/>
      <c r="T16" s="1135"/>
    </row>
    <row r="17" spans="1:20" ht="12.75" customHeight="1" x14ac:dyDescent="0.2">
      <c r="A17" s="4"/>
      <c r="B17" s="64"/>
      <c r="C17" s="1135"/>
      <c r="D17" s="1135"/>
      <c r="E17" s="1135"/>
      <c r="F17" s="1135"/>
      <c r="G17" s="1135"/>
      <c r="H17" s="1135"/>
      <c r="I17" s="1135"/>
      <c r="J17" s="1135"/>
      <c r="K17" s="1135"/>
      <c r="L17" s="1135"/>
      <c r="M17" s="1135"/>
      <c r="N17" s="1135"/>
      <c r="O17" s="1135"/>
      <c r="P17" s="1135"/>
      <c r="Q17" s="1135"/>
      <c r="R17" s="1135"/>
      <c r="S17" s="1135"/>
      <c r="T17" s="1135"/>
    </row>
    <row r="18" spans="1:20" ht="12.75" customHeight="1" x14ac:dyDescent="0.2">
      <c r="A18" s="4"/>
      <c r="B18" s="64"/>
      <c r="C18" s="1135"/>
      <c r="D18" s="1135"/>
      <c r="E18" s="1135"/>
      <c r="F18" s="1135"/>
      <c r="G18" s="1135"/>
      <c r="H18" s="1135"/>
      <c r="I18" s="1135"/>
      <c r="J18" s="1135"/>
      <c r="K18" s="1135"/>
      <c r="L18" s="1135"/>
      <c r="M18" s="1135"/>
      <c r="N18" s="1135"/>
      <c r="O18" s="1135"/>
      <c r="P18" s="1135"/>
      <c r="Q18" s="1135"/>
      <c r="R18" s="1135"/>
      <c r="S18" s="1135"/>
      <c r="T18" s="1135"/>
    </row>
    <row r="19" spans="1:20" ht="2.25" customHeight="1" x14ac:dyDescent="0.2">
      <c r="A19" s="4"/>
      <c r="B19" s="64"/>
      <c r="C19" s="92"/>
      <c r="D19" s="92"/>
      <c r="E19" s="92"/>
      <c r="F19" s="92"/>
      <c r="G19" s="92"/>
      <c r="H19" s="92"/>
      <c r="I19" s="92"/>
      <c r="J19" s="92"/>
      <c r="K19" s="92"/>
      <c r="L19" s="92"/>
      <c r="M19" s="92"/>
      <c r="N19" s="92"/>
      <c r="O19" s="92"/>
      <c r="P19" s="13"/>
    </row>
    <row r="20" spans="1:20" ht="12.75" customHeight="1" x14ac:dyDescent="0.2">
      <c r="A20" s="4"/>
      <c r="B20" s="64" t="s">
        <v>328</v>
      </c>
      <c r="C20" s="1135" t="s">
        <v>492</v>
      </c>
      <c r="D20" s="1135"/>
      <c r="E20" s="1135"/>
      <c r="F20" s="1135"/>
      <c r="G20" s="1135"/>
      <c r="H20" s="1135"/>
      <c r="I20" s="1135"/>
      <c r="J20" s="1135"/>
      <c r="K20" s="1135"/>
      <c r="L20" s="1135"/>
      <c r="M20" s="1135"/>
      <c r="N20" s="1135"/>
      <c r="O20" s="1135"/>
      <c r="P20" s="1135"/>
      <c r="Q20" s="1135"/>
      <c r="R20" s="1135"/>
      <c r="S20" s="1135"/>
      <c r="T20" s="1135"/>
    </row>
    <row r="21" spans="1:20" ht="12.75" customHeight="1" x14ac:dyDescent="0.2">
      <c r="A21" s="4"/>
      <c r="B21" s="64"/>
      <c r="C21" s="1135"/>
      <c r="D21" s="1135"/>
      <c r="E21" s="1135"/>
      <c r="F21" s="1135"/>
      <c r="G21" s="1135"/>
      <c r="H21" s="1135"/>
      <c r="I21" s="1135"/>
      <c r="J21" s="1135"/>
      <c r="K21" s="1135"/>
      <c r="L21" s="1135"/>
      <c r="M21" s="1135"/>
      <c r="N21" s="1135"/>
      <c r="O21" s="1135"/>
      <c r="P21" s="1135"/>
      <c r="Q21" s="1135"/>
      <c r="R21" s="1135"/>
      <c r="S21" s="1135"/>
      <c r="T21" s="1135"/>
    </row>
    <row r="22" spans="1:20" ht="12.75" customHeight="1" x14ac:dyDescent="0.2">
      <c r="A22" s="4"/>
      <c r="B22" s="64"/>
      <c r="C22" s="1135"/>
      <c r="D22" s="1135"/>
      <c r="E22" s="1135"/>
      <c r="F22" s="1135"/>
      <c r="G22" s="1135"/>
      <c r="H22" s="1135"/>
      <c r="I22" s="1135"/>
      <c r="J22" s="1135"/>
      <c r="K22" s="1135"/>
      <c r="L22" s="1135"/>
      <c r="M22" s="1135"/>
      <c r="N22" s="1135"/>
      <c r="O22" s="1135"/>
      <c r="P22" s="1135"/>
      <c r="Q22" s="1135"/>
      <c r="R22" s="1135"/>
      <c r="S22" s="1135"/>
      <c r="T22" s="1135"/>
    </row>
    <row r="23" spans="1:20" ht="2.25" customHeight="1" x14ac:dyDescent="0.2">
      <c r="A23" s="4"/>
      <c r="B23" s="64"/>
      <c r="C23" s="92"/>
      <c r="D23" s="92"/>
      <c r="E23" s="92"/>
      <c r="F23" s="92"/>
      <c r="G23" s="92"/>
      <c r="H23" s="92"/>
      <c r="I23" s="92"/>
      <c r="J23" s="92"/>
      <c r="K23" s="92"/>
      <c r="L23" s="92"/>
      <c r="M23" s="92"/>
      <c r="N23" s="92"/>
      <c r="O23" s="92"/>
      <c r="P23" s="13"/>
    </row>
    <row r="24" spans="1:20" ht="12.75" customHeight="1" x14ac:dyDescent="0.2">
      <c r="A24" s="4"/>
      <c r="B24" s="64" t="s">
        <v>155</v>
      </c>
      <c r="C24" s="1126" t="s">
        <v>491</v>
      </c>
      <c r="D24" s="1126"/>
      <c r="E24" s="1126"/>
      <c r="F24" s="1126"/>
      <c r="G24" s="1126"/>
      <c r="H24" s="1126"/>
      <c r="I24" s="1126"/>
      <c r="J24" s="1126"/>
      <c r="K24" s="1126"/>
      <c r="L24" s="1126"/>
      <c r="M24" s="1126"/>
      <c r="N24" s="1126"/>
      <c r="O24" s="1126"/>
      <c r="P24" s="1126"/>
      <c r="Q24" s="1126"/>
      <c r="R24" s="1126"/>
      <c r="S24" s="1126"/>
      <c r="T24" s="1126"/>
    </row>
    <row r="25" spans="1:20" ht="37.5" customHeight="1" x14ac:dyDescent="0.2">
      <c r="A25" s="4"/>
      <c r="B25" s="64"/>
      <c r="C25" s="1126"/>
      <c r="D25" s="1126"/>
      <c r="E25" s="1126"/>
      <c r="F25" s="1126"/>
      <c r="G25" s="1126"/>
      <c r="H25" s="1126"/>
      <c r="I25" s="1126"/>
      <c r="J25" s="1126"/>
      <c r="K25" s="1126"/>
      <c r="L25" s="1126"/>
      <c r="M25" s="1126"/>
      <c r="N25" s="1126"/>
      <c r="O25" s="1126"/>
      <c r="P25" s="1126"/>
      <c r="Q25" s="1126"/>
      <c r="R25" s="1126"/>
      <c r="S25" s="1126"/>
      <c r="T25" s="1126"/>
    </row>
    <row r="26" spans="1:20" ht="3.75" customHeight="1" x14ac:dyDescent="0.2">
      <c r="A26" s="92"/>
    </row>
    <row r="27" spans="1:20" ht="25.5" customHeight="1" x14ac:dyDescent="0.2">
      <c r="A27" s="4" t="s">
        <v>876</v>
      </c>
      <c r="B27" s="1228" t="s">
        <v>826</v>
      </c>
      <c r="C27" s="1229"/>
      <c r="D27" s="1229"/>
      <c r="E27" s="1229"/>
      <c r="F27" s="1229"/>
      <c r="G27" s="1229"/>
      <c r="H27" s="1229"/>
      <c r="I27" s="1229"/>
      <c r="J27" s="1229"/>
      <c r="K27" s="1229"/>
      <c r="L27" s="1229"/>
      <c r="M27" s="1229"/>
      <c r="N27" s="1229"/>
      <c r="O27" s="1229"/>
      <c r="P27" s="1229"/>
      <c r="Q27" s="1229"/>
      <c r="R27" s="1229"/>
      <c r="S27" s="1229"/>
      <c r="T27" s="1230"/>
    </row>
    <row r="28" spans="1:20" ht="12.75" customHeight="1" x14ac:dyDescent="0.2">
      <c r="A28" s="4"/>
      <c r="L28" s="82"/>
      <c r="M28" s="82"/>
      <c r="N28" s="82"/>
      <c r="O28" s="82" t="s">
        <v>484</v>
      </c>
      <c r="P28" s="76"/>
      <c r="R28" s="546" t="s">
        <v>231</v>
      </c>
      <c r="S28" s="547" t="s">
        <v>231</v>
      </c>
    </row>
    <row r="29" spans="1:20" ht="12.75" customHeight="1" x14ac:dyDescent="0.2">
      <c r="A29" s="4"/>
      <c r="L29" s="74" t="s">
        <v>476</v>
      </c>
      <c r="M29" s="74" t="s">
        <v>780</v>
      </c>
      <c r="N29" s="82"/>
      <c r="O29" s="74" t="s">
        <v>781</v>
      </c>
      <c r="R29" s="548" t="s">
        <v>243</v>
      </c>
      <c r="S29" s="548" t="s">
        <v>244</v>
      </c>
    </row>
    <row r="30" spans="1:20" ht="15.75" customHeight="1" x14ac:dyDescent="0.2">
      <c r="A30" s="4"/>
      <c r="B30" s="88" t="s">
        <v>947</v>
      </c>
      <c r="C30" s="4" t="s">
        <v>702</v>
      </c>
      <c r="R30" s="69"/>
      <c r="S30" s="69"/>
    </row>
    <row r="31" spans="1:20" ht="6.75" customHeight="1" x14ac:dyDescent="0.2">
      <c r="A31" s="4"/>
      <c r="B31" s="88"/>
      <c r="C31" s="4"/>
      <c r="R31" s="69"/>
      <c r="S31" s="69"/>
    </row>
    <row r="32" spans="1:20" ht="12.75" customHeight="1" x14ac:dyDescent="0.2">
      <c r="A32" s="4"/>
      <c r="C32" t="s">
        <v>83</v>
      </c>
      <c r="D32" s="1126" t="s">
        <v>84</v>
      </c>
      <c r="E32" s="1126"/>
      <c r="F32" s="1126"/>
      <c r="G32" s="1126"/>
      <c r="H32" s="1126"/>
      <c r="I32" s="1126"/>
      <c r="L32" s="1233"/>
      <c r="M32" s="1242"/>
      <c r="N32" s="521"/>
      <c r="O32" s="1242"/>
      <c r="R32" s="1254"/>
      <c r="S32" s="1254"/>
    </row>
    <row r="33" spans="1:20" ht="13.5" customHeight="1" x14ac:dyDescent="0.2">
      <c r="A33" s="4"/>
      <c r="D33" s="1126"/>
      <c r="E33" s="1126"/>
      <c r="F33" s="1126"/>
      <c r="G33" s="1126"/>
      <c r="H33" s="1126"/>
      <c r="I33" s="1126"/>
      <c r="L33" s="1233"/>
      <c r="M33" s="1242"/>
      <c r="N33" s="521"/>
      <c r="O33" s="1242"/>
      <c r="R33" s="1254"/>
      <c r="S33" s="1254"/>
    </row>
    <row r="34" spans="1:20" ht="5.25" customHeight="1" x14ac:dyDescent="0.2">
      <c r="L34" s="61"/>
    </row>
    <row r="35" spans="1:20" ht="12.75" customHeight="1" x14ac:dyDescent="0.2">
      <c r="C35" t="s">
        <v>85</v>
      </c>
      <c r="D35" s="1126" t="s">
        <v>388</v>
      </c>
      <c r="E35" s="1126"/>
      <c r="F35" s="1126"/>
      <c r="G35" s="1126"/>
      <c r="H35" s="1126"/>
      <c r="I35" s="1126"/>
      <c r="L35" s="102" t="s">
        <v>487</v>
      </c>
      <c r="M35" s="1242"/>
      <c r="N35" s="521"/>
      <c r="O35" s="1242"/>
      <c r="R35" s="1242"/>
      <c r="S35" s="1242"/>
    </row>
    <row r="36" spans="1:20" ht="12.75" customHeight="1" x14ac:dyDescent="0.2">
      <c r="D36" s="1126"/>
      <c r="E36" s="1126"/>
      <c r="F36" s="1126"/>
      <c r="G36" s="1126"/>
      <c r="H36" s="1126"/>
      <c r="I36" s="1126"/>
      <c r="L36" s="102"/>
      <c r="M36" s="1242"/>
      <c r="N36" s="521"/>
      <c r="O36" s="1242"/>
      <c r="R36" s="1242"/>
      <c r="S36" s="1242"/>
    </row>
    <row r="37" spans="1:20" ht="5.25" customHeight="1" x14ac:dyDescent="0.2">
      <c r="L37" s="89"/>
    </row>
    <row r="38" spans="1:20" ht="12.75" customHeight="1" x14ac:dyDescent="0.2">
      <c r="C38" t="s">
        <v>389</v>
      </c>
      <c r="D38" s="1126" t="s">
        <v>191</v>
      </c>
      <c r="E38" s="1126"/>
      <c r="F38" s="1126"/>
      <c r="G38" s="1126"/>
      <c r="H38" s="1126"/>
      <c r="I38" s="1126"/>
      <c r="L38" s="102" t="s">
        <v>487</v>
      </c>
      <c r="M38" s="1242"/>
      <c r="N38" s="521">
        <v>0</v>
      </c>
      <c r="O38" s="1242"/>
      <c r="R38" s="1242"/>
      <c r="S38" s="1242"/>
    </row>
    <row r="39" spans="1:20" ht="13.5" customHeight="1" x14ac:dyDescent="0.2">
      <c r="D39" s="1126"/>
      <c r="E39" s="1126"/>
      <c r="F39" s="1126"/>
      <c r="G39" s="1126"/>
      <c r="H39" s="1126"/>
      <c r="I39" s="1126"/>
      <c r="L39" s="102"/>
      <c r="M39" s="1242"/>
      <c r="N39" s="521"/>
      <c r="O39" s="1242"/>
      <c r="R39" s="1242"/>
      <c r="S39" s="1242"/>
    </row>
    <row r="40" spans="1:20" ht="3.75" customHeight="1" x14ac:dyDescent="0.2">
      <c r="D40" s="59"/>
      <c r="E40" s="59"/>
      <c r="F40" s="59"/>
      <c r="G40" s="59"/>
      <c r="H40" s="59"/>
      <c r="I40" s="59"/>
      <c r="L40" s="61"/>
    </row>
    <row r="41" spans="1:20" ht="13.5" customHeight="1" x14ac:dyDescent="0.2">
      <c r="D41" s="59"/>
      <c r="E41" s="1126" t="s">
        <v>785</v>
      </c>
      <c r="F41" s="1126"/>
      <c r="G41" s="1126"/>
      <c r="H41" s="1126"/>
      <c r="I41" s="1126"/>
      <c r="L41" s="98">
        <f>L32</f>
        <v>0</v>
      </c>
      <c r="M41" s="99">
        <f>M32-(M35+M38)</f>
        <v>0</v>
      </c>
      <c r="N41" s="14"/>
      <c r="O41" s="99">
        <f>O32-(O35+O38)</f>
        <v>0</v>
      </c>
      <c r="R41" s="99"/>
      <c r="S41" s="99"/>
    </row>
    <row r="42" spans="1:20" ht="6.75" customHeight="1" x14ac:dyDescent="0.2">
      <c r="D42" s="59"/>
      <c r="E42" s="59"/>
      <c r="F42" s="59"/>
      <c r="G42" s="59"/>
      <c r="H42" s="59"/>
      <c r="I42" s="59"/>
      <c r="L42" s="61"/>
    </row>
    <row r="43" spans="1:20" ht="13.5" customHeight="1" x14ac:dyDescent="0.2">
      <c r="C43" t="s">
        <v>779</v>
      </c>
      <c r="D43" s="1126" t="s">
        <v>247</v>
      </c>
      <c r="E43" s="1126"/>
      <c r="F43" s="1126"/>
      <c r="G43" s="1126"/>
      <c r="H43" s="1126"/>
      <c r="I43" s="59"/>
      <c r="L43" s="508"/>
      <c r="M43" s="510"/>
      <c r="N43" s="521"/>
      <c r="O43" s="510"/>
      <c r="R43" s="510"/>
      <c r="S43" s="510"/>
    </row>
    <row r="44" spans="1:20" ht="6" customHeight="1" x14ac:dyDescent="0.2">
      <c r="D44" s="59"/>
      <c r="E44" s="59"/>
      <c r="F44" s="59"/>
      <c r="G44" s="59"/>
      <c r="H44" s="59"/>
      <c r="I44" s="59"/>
      <c r="L44" s="61"/>
    </row>
    <row r="45" spans="1:20" ht="13.5" thickBot="1" x14ac:dyDescent="0.25">
      <c r="E45" t="s">
        <v>227</v>
      </c>
      <c r="L45" s="100">
        <f>L43-L41</f>
        <v>0</v>
      </c>
      <c r="M45" s="101">
        <f>M43-M41</f>
        <v>0</v>
      </c>
      <c r="N45" s="14"/>
      <c r="O45" s="101">
        <f>O43-O41</f>
        <v>0</v>
      </c>
      <c r="R45" s="101"/>
      <c r="S45" s="101"/>
    </row>
    <row r="46" spans="1:20" ht="9" customHeight="1" thickTop="1" x14ac:dyDescent="0.2"/>
    <row r="47" spans="1:20" ht="24.95" customHeight="1" x14ac:dyDescent="0.2">
      <c r="C47" s="1252" t="s">
        <v>1041</v>
      </c>
      <c r="D47" s="1253"/>
      <c r="E47" s="1253"/>
      <c r="F47" s="1253"/>
      <c r="G47" s="1253"/>
      <c r="H47" s="1253"/>
      <c r="I47" s="1253"/>
      <c r="J47" s="1253"/>
      <c r="K47" s="1253"/>
      <c r="L47" s="1253"/>
      <c r="M47" s="1253"/>
      <c r="N47" s="1253"/>
      <c r="O47" s="1253"/>
      <c r="P47" s="1253"/>
      <c r="Q47" s="1253"/>
      <c r="R47" s="1253"/>
      <c r="S47" s="1253"/>
      <c r="T47" s="1253"/>
    </row>
    <row r="48" spans="1:20" x14ac:dyDescent="0.2">
      <c r="O48" s="63" t="s">
        <v>230</v>
      </c>
      <c r="Q48" s="76" t="s">
        <v>782</v>
      </c>
      <c r="R48" s="546" t="s">
        <v>231</v>
      </c>
      <c r="S48" s="547" t="s">
        <v>231</v>
      </c>
    </row>
    <row r="49" spans="2:19" ht="12" customHeight="1" x14ac:dyDescent="0.2">
      <c r="B49" s="88" t="s">
        <v>948</v>
      </c>
      <c r="C49" s="4" t="s">
        <v>365</v>
      </c>
      <c r="L49" s="74" t="s">
        <v>476</v>
      </c>
      <c r="M49" s="74" t="s">
        <v>780</v>
      </c>
      <c r="N49" s="82"/>
      <c r="O49" s="74" t="s">
        <v>781</v>
      </c>
      <c r="P49" s="91" t="s">
        <v>474</v>
      </c>
      <c r="Q49" s="91" t="s">
        <v>783</v>
      </c>
      <c r="R49" s="548" t="s">
        <v>243</v>
      </c>
      <c r="S49" s="548" t="s">
        <v>244</v>
      </c>
    </row>
    <row r="50" spans="2:19" ht="12.75" customHeight="1" x14ac:dyDescent="0.2">
      <c r="C50" t="s">
        <v>83</v>
      </c>
      <c r="D50" s="1126" t="s">
        <v>18</v>
      </c>
      <c r="E50" s="1126"/>
      <c r="F50" s="1126"/>
      <c r="G50" s="1126"/>
      <c r="H50" s="1126"/>
      <c r="I50" s="1126"/>
      <c r="L50" s="1248"/>
      <c r="M50" s="1248"/>
      <c r="N50" s="522"/>
      <c r="O50" s="1248"/>
      <c r="P50" s="1248"/>
      <c r="Q50" s="1248"/>
      <c r="R50" s="1241"/>
      <c r="S50" s="1241"/>
    </row>
    <row r="51" spans="2:19" ht="12" customHeight="1" x14ac:dyDescent="0.2">
      <c r="D51" s="1126"/>
      <c r="E51" s="1126"/>
      <c r="F51" s="1126"/>
      <c r="G51" s="1126"/>
      <c r="H51" s="1126"/>
      <c r="I51" s="1126"/>
      <c r="L51" s="1233"/>
      <c r="M51" s="1233"/>
      <c r="N51" s="522"/>
      <c r="O51" s="1233"/>
      <c r="P51" s="1233"/>
      <c r="Q51" s="1233"/>
      <c r="R51" s="1242"/>
      <c r="S51" s="1242"/>
    </row>
    <row r="52" spans="2:19" ht="3.75" customHeight="1" x14ac:dyDescent="0.2">
      <c r="L52" s="61"/>
      <c r="M52" s="61"/>
      <c r="N52" s="61"/>
      <c r="O52" s="61"/>
      <c r="P52" s="61"/>
      <c r="Q52" s="61"/>
    </row>
    <row r="53" spans="2:19" ht="12.75" customHeight="1" x14ac:dyDescent="0.2">
      <c r="C53" t="s">
        <v>85</v>
      </c>
      <c r="D53" s="1126" t="s">
        <v>52</v>
      </c>
      <c r="E53" s="1126"/>
      <c r="F53" s="1126"/>
      <c r="G53" s="1126"/>
      <c r="H53" s="1126"/>
      <c r="I53" s="1126"/>
      <c r="L53" s="102" t="s">
        <v>487</v>
      </c>
      <c r="M53" s="1233"/>
      <c r="N53" s="522"/>
      <c r="O53" s="1233"/>
      <c r="P53" s="1233"/>
      <c r="Q53" s="1233"/>
      <c r="R53" s="1233"/>
      <c r="S53" s="1233"/>
    </row>
    <row r="54" spans="2:19" ht="12.75" customHeight="1" x14ac:dyDescent="0.2">
      <c r="D54" s="1126"/>
      <c r="E54" s="1126"/>
      <c r="F54" s="1126"/>
      <c r="G54" s="1126"/>
      <c r="H54" s="1126"/>
      <c r="I54" s="1126"/>
      <c r="L54" s="102"/>
      <c r="M54" s="1233"/>
      <c r="N54" s="522"/>
      <c r="O54" s="1233"/>
      <c r="P54" s="1233"/>
      <c r="Q54" s="1233"/>
      <c r="R54" s="1233"/>
      <c r="S54" s="1233"/>
    </row>
    <row r="55" spans="2:19" ht="3.75" customHeight="1" x14ac:dyDescent="0.2">
      <c r="L55" s="89"/>
      <c r="M55" s="61"/>
      <c r="N55" s="61"/>
      <c r="O55" s="61"/>
      <c r="P55" s="61"/>
      <c r="Q55" s="61"/>
      <c r="R55" s="61"/>
      <c r="S55" s="61"/>
    </row>
    <row r="56" spans="2:19" ht="13.5" customHeight="1" x14ac:dyDescent="0.2">
      <c r="C56" t="s">
        <v>389</v>
      </c>
      <c r="D56" s="1126" t="s">
        <v>1001</v>
      </c>
      <c r="E56" s="1126"/>
      <c r="F56" s="1126"/>
      <c r="G56" s="1126"/>
      <c r="H56" s="1126"/>
      <c r="I56" s="1126"/>
      <c r="L56" s="102" t="s">
        <v>487</v>
      </c>
      <c r="M56" s="1233"/>
      <c r="N56" s="522"/>
      <c r="O56" s="1233"/>
      <c r="P56" s="1233"/>
      <c r="Q56" s="1233"/>
      <c r="R56" s="1233"/>
      <c r="S56" s="1233"/>
    </row>
    <row r="57" spans="2:19" ht="13.5" customHeight="1" x14ac:dyDescent="0.2">
      <c r="D57" s="1126"/>
      <c r="E57" s="1126"/>
      <c r="F57" s="1126"/>
      <c r="G57" s="1126"/>
      <c r="H57" s="1126"/>
      <c r="I57" s="1126"/>
      <c r="L57" s="102"/>
      <c r="M57" s="1233"/>
      <c r="N57" s="522"/>
      <c r="O57" s="1233"/>
      <c r="P57" s="1233"/>
      <c r="Q57" s="1233"/>
      <c r="R57" s="1233"/>
      <c r="S57" s="1233"/>
    </row>
    <row r="58" spans="2:19" ht="3.75" customHeight="1" x14ac:dyDescent="0.2">
      <c r="L58" s="61"/>
      <c r="M58" s="61"/>
      <c r="N58" s="61"/>
      <c r="O58" s="61"/>
      <c r="P58" s="61"/>
      <c r="Q58" s="61"/>
    </row>
    <row r="59" spans="2:19" ht="12.75" customHeight="1" x14ac:dyDescent="0.2">
      <c r="E59" t="s">
        <v>785</v>
      </c>
      <c r="L59" s="98">
        <f>L50</f>
        <v>0</v>
      </c>
      <c r="M59" s="98">
        <f>M50-(M53+M56)</f>
        <v>0</v>
      </c>
      <c r="N59" s="73"/>
      <c r="O59" s="98">
        <f>O50-(O53+O56)</f>
        <v>0</v>
      </c>
      <c r="P59" s="98">
        <f>P50-(P53+P56)</f>
        <v>0</v>
      </c>
      <c r="Q59" s="98">
        <f>Q50-(Q53+Q56)</f>
        <v>0</v>
      </c>
      <c r="R59" s="99"/>
      <c r="S59" s="99"/>
    </row>
    <row r="60" spans="2:19" ht="3" customHeight="1" x14ac:dyDescent="0.2">
      <c r="L60" s="61"/>
      <c r="M60" s="61"/>
      <c r="N60" s="61"/>
      <c r="O60" s="61"/>
      <c r="P60" s="61"/>
      <c r="Q60" s="61"/>
    </row>
    <row r="61" spans="2:19" ht="13.5" customHeight="1" x14ac:dyDescent="0.2">
      <c r="C61" t="s">
        <v>779</v>
      </c>
      <c r="D61" s="1256" t="s">
        <v>1002</v>
      </c>
      <c r="E61" s="1256"/>
      <c r="F61" s="1256"/>
      <c r="G61" s="1256"/>
      <c r="H61" s="1256"/>
      <c r="I61" s="1256"/>
      <c r="L61" s="61"/>
      <c r="M61" s="61"/>
      <c r="N61" s="61"/>
      <c r="O61" s="61"/>
      <c r="P61" s="61"/>
      <c r="Q61" s="61"/>
    </row>
    <row r="62" spans="2:19" ht="13.5" customHeight="1" x14ac:dyDescent="0.2">
      <c r="D62" s="13"/>
      <c r="E62" s="13" t="s">
        <v>784</v>
      </c>
      <c r="F62" s="13"/>
      <c r="G62" s="13"/>
      <c r="H62" s="13"/>
      <c r="I62" s="13"/>
      <c r="L62" s="512"/>
      <c r="M62" s="512"/>
      <c r="N62" s="522"/>
      <c r="O62" s="512"/>
      <c r="P62" s="512"/>
      <c r="Q62" s="512"/>
      <c r="R62" s="510"/>
      <c r="S62" s="510"/>
    </row>
    <row r="63" spans="2:19" ht="13.5" customHeight="1" x14ac:dyDescent="0.2">
      <c r="D63" s="13"/>
      <c r="E63" s="13" t="s">
        <v>455</v>
      </c>
      <c r="F63" s="13"/>
      <c r="G63" s="13"/>
      <c r="H63" s="13"/>
      <c r="I63" s="13"/>
      <c r="L63" s="512"/>
      <c r="M63" s="512"/>
      <c r="N63" s="522"/>
      <c r="O63" s="512"/>
      <c r="P63" s="512"/>
      <c r="Q63" s="512"/>
      <c r="R63" s="510"/>
      <c r="S63" s="510"/>
    </row>
    <row r="64" spans="2:19" ht="3.75" customHeight="1" x14ac:dyDescent="0.2">
      <c r="L64" s="61"/>
      <c r="M64" s="61"/>
      <c r="N64" s="61"/>
      <c r="O64" s="61"/>
      <c r="P64" s="61"/>
      <c r="Q64" s="61"/>
    </row>
    <row r="65" spans="1:20" ht="12.75" customHeight="1" thickBot="1" x14ac:dyDescent="0.25">
      <c r="E65" t="s">
        <v>228</v>
      </c>
      <c r="L65" s="100">
        <f>(L62+L63)-L59</f>
        <v>0</v>
      </c>
      <c r="M65" s="100">
        <f>(M62+M63)-M59</f>
        <v>0</v>
      </c>
      <c r="N65" s="73"/>
      <c r="O65" s="100">
        <f>(O62+O63)-O59</f>
        <v>0</v>
      </c>
      <c r="P65" s="100">
        <f>(P62+P63)-P59</f>
        <v>0</v>
      </c>
      <c r="Q65" s="100">
        <f>(Q62+Q63)-Q59</f>
        <v>0</v>
      </c>
      <c r="R65" s="101"/>
      <c r="S65" s="101"/>
    </row>
    <row r="66" spans="1:20" ht="5.25" customHeight="1" thickTop="1" x14ac:dyDescent="0.2"/>
    <row r="67" spans="1:20" ht="26.25" customHeight="1" x14ac:dyDescent="0.2">
      <c r="D67" s="1122" t="s">
        <v>49</v>
      </c>
      <c r="E67" s="1126"/>
      <c r="F67" s="1126"/>
      <c r="G67" s="1126"/>
      <c r="H67" s="1126"/>
      <c r="I67" s="1126"/>
      <c r="J67" s="1126"/>
      <c r="K67" s="1126"/>
      <c r="L67" s="1126"/>
      <c r="M67" s="1126"/>
      <c r="N67" s="1126"/>
      <c r="O67" s="1126"/>
      <c r="P67" s="1126"/>
      <c r="Q67" s="1126"/>
      <c r="R67" s="1126"/>
      <c r="S67" s="1126"/>
      <c r="T67" s="1126"/>
    </row>
    <row r="68" spans="1:20" ht="6" customHeight="1" x14ac:dyDescent="0.2"/>
    <row r="69" spans="1:20" ht="25.5" customHeight="1" x14ac:dyDescent="0.2">
      <c r="A69" s="4" t="s">
        <v>877</v>
      </c>
      <c r="B69" s="1228" t="s">
        <v>485</v>
      </c>
      <c r="C69" s="1229"/>
      <c r="D69" s="1229"/>
      <c r="E69" s="1229"/>
      <c r="F69" s="1229"/>
      <c r="G69" s="1229"/>
      <c r="H69" s="1229"/>
      <c r="I69" s="1229"/>
      <c r="J69" s="1229"/>
      <c r="K69" s="1229"/>
      <c r="L69" s="1229"/>
      <c r="M69" s="1229"/>
      <c r="N69" s="1229"/>
      <c r="O69" s="1229"/>
      <c r="P69" s="1229"/>
      <c r="Q69" s="1229"/>
      <c r="R69" s="1229"/>
      <c r="S69" s="1229"/>
      <c r="T69" s="1230"/>
    </row>
    <row r="70" spans="1:20" ht="3" customHeight="1" x14ac:dyDescent="0.2">
      <c r="C70" s="69"/>
      <c r="D70" s="69"/>
      <c r="E70" s="69"/>
      <c r="F70" s="1251"/>
      <c r="G70" s="1251"/>
      <c r="H70" s="1251"/>
      <c r="I70" s="69"/>
      <c r="N70" s="69"/>
    </row>
    <row r="71" spans="1:20" x14ac:dyDescent="0.2">
      <c r="O71" s="63" t="s">
        <v>230</v>
      </c>
      <c r="Q71" s="76" t="s">
        <v>782</v>
      </c>
      <c r="R71" s="546" t="s">
        <v>231</v>
      </c>
      <c r="S71" s="547" t="s">
        <v>231</v>
      </c>
    </row>
    <row r="72" spans="1:20" ht="12.75" customHeight="1" x14ac:dyDescent="0.2">
      <c r="B72" s="88"/>
      <c r="C72" s="4" t="s">
        <v>233</v>
      </c>
      <c r="L72" s="74" t="s">
        <v>476</v>
      </c>
      <c r="M72" s="74" t="s">
        <v>780</v>
      </c>
      <c r="N72" s="82"/>
      <c r="O72" s="74" t="s">
        <v>781</v>
      </c>
      <c r="P72" s="91" t="s">
        <v>474</v>
      </c>
      <c r="Q72" s="91" t="s">
        <v>783</v>
      </c>
      <c r="R72" s="548" t="s">
        <v>243</v>
      </c>
      <c r="S72" s="548" t="s">
        <v>244</v>
      </c>
      <c r="T72" s="76" t="s">
        <v>103</v>
      </c>
    </row>
    <row r="73" spans="1:20" ht="12.75" customHeight="1" x14ac:dyDescent="0.2">
      <c r="C73" t="s">
        <v>83</v>
      </c>
      <c r="D73" s="1126" t="s">
        <v>1003</v>
      </c>
      <c r="E73" s="1126"/>
      <c r="F73" s="1126"/>
      <c r="G73" s="1126"/>
      <c r="H73" s="1126"/>
      <c r="I73" s="1126"/>
      <c r="L73" s="597"/>
      <c r="M73" s="1248"/>
      <c r="N73" s="522"/>
      <c r="O73" s="1248"/>
      <c r="P73" s="1248"/>
      <c r="Q73" s="1248"/>
      <c r="R73" s="1241"/>
      <c r="S73" s="1241"/>
      <c r="T73" s="1250">
        <f>SUM(M73:S73)</f>
        <v>0</v>
      </c>
    </row>
    <row r="74" spans="1:20" ht="14.25" customHeight="1" x14ac:dyDescent="0.2">
      <c r="D74" s="1126"/>
      <c r="E74" s="1126"/>
      <c r="F74" s="1126"/>
      <c r="G74" s="1126"/>
      <c r="H74" s="1126"/>
      <c r="I74" s="1126"/>
      <c r="L74" s="72"/>
      <c r="M74" s="1237"/>
      <c r="N74" s="522"/>
      <c r="O74" s="1233"/>
      <c r="P74" s="1233"/>
      <c r="Q74" s="1233"/>
      <c r="R74" s="1242"/>
      <c r="S74" s="1242"/>
      <c r="T74" s="1250"/>
    </row>
    <row r="75" spans="1:20" ht="6" customHeight="1" x14ac:dyDescent="0.2">
      <c r="L75" s="61"/>
      <c r="M75" s="522"/>
      <c r="N75" s="522"/>
      <c r="O75" s="522"/>
      <c r="P75" s="522"/>
      <c r="Q75" s="522"/>
      <c r="R75" s="521"/>
      <c r="S75" s="521"/>
      <c r="T75" s="56"/>
    </row>
    <row r="76" spans="1:20" ht="14.25" customHeight="1" x14ac:dyDescent="0.2">
      <c r="C76" t="s">
        <v>85</v>
      </c>
      <c r="D76" s="1126" t="s">
        <v>1004</v>
      </c>
      <c r="E76" s="1126"/>
      <c r="F76" s="1126"/>
      <c r="G76" s="1126"/>
      <c r="H76" s="1126"/>
      <c r="I76" s="1126"/>
      <c r="L76" s="102" t="s">
        <v>487</v>
      </c>
      <c r="M76" s="1233"/>
      <c r="N76" s="522"/>
      <c r="O76" s="1233"/>
      <c r="P76" s="1233"/>
      <c r="Q76" s="1233"/>
      <c r="R76" s="1242"/>
      <c r="S76" s="1242"/>
      <c r="T76" s="1250">
        <f>SUM(M76:S76)</f>
        <v>0</v>
      </c>
    </row>
    <row r="77" spans="1:20" ht="9.75" customHeight="1" x14ac:dyDescent="0.2">
      <c r="D77" s="1126"/>
      <c r="E77" s="1126"/>
      <c r="F77" s="1126"/>
      <c r="G77" s="1126"/>
      <c r="H77" s="1126"/>
      <c r="I77" s="1126"/>
      <c r="L77" s="102"/>
      <c r="M77" s="1233"/>
      <c r="N77" s="522"/>
      <c r="O77" s="1233"/>
      <c r="P77" s="1233"/>
      <c r="Q77" s="1233"/>
      <c r="R77" s="1242"/>
      <c r="S77" s="1242"/>
      <c r="T77" s="1250"/>
    </row>
    <row r="78" spans="1:20" ht="4.5" customHeight="1" x14ac:dyDescent="0.2">
      <c r="L78" s="89"/>
      <c r="M78" s="522"/>
      <c r="N78" s="522"/>
      <c r="O78" s="522"/>
      <c r="P78" s="522"/>
      <c r="Q78" s="522"/>
      <c r="R78" s="521"/>
      <c r="S78" s="521"/>
      <c r="T78" s="56">
        <f>SUM(M78:S78)</f>
        <v>0</v>
      </c>
    </row>
    <row r="79" spans="1:20" ht="12.75" customHeight="1" x14ac:dyDescent="0.2">
      <c r="C79" t="s">
        <v>389</v>
      </c>
      <c r="D79" s="1126" t="s">
        <v>1005</v>
      </c>
      <c r="E79" s="1126"/>
      <c r="F79" s="1126"/>
      <c r="G79" s="1126"/>
      <c r="H79" s="1126"/>
      <c r="I79" s="1126"/>
      <c r="L79" s="102" t="s">
        <v>487</v>
      </c>
      <c r="M79" s="1233"/>
      <c r="N79" s="522"/>
      <c r="O79" s="1233"/>
      <c r="P79" s="1233"/>
      <c r="Q79" s="1233"/>
      <c r="R79" s="1242"/>
      <c r="S79" s="1242"/>
      <c r="T79" s="1250">
        <f>SUM(M79:S79)</f>
        <v>0</v>
      </c>
    </row>
    <row r="80" spans="1:20" ht="12.75" customHeight="1" x14ac:dyDescent="0.2">
      <c r="D80" s="1126"/>
      <c r="E80" s="1126"/>
      <c r="F80" s="1126"/>
      <c r="G80" s="1126"/>
      <c r="H80" s="1126"/>
      <c r="I80" s="1126"/>
      <c r="L80" s="102"/>
      <c r="M80" s="1233"/>
      <c r="N80" s="522"/>
      <c r="O80" s="1233"/>
      <c r="P80" s="1233"/>
      <c r="Q80" s="1233"/>
      <c r="R80" s="1242"/>
      <c r="S80" s="1242"/>
      <c r="T80" s="1250"/>
    </row>
    <row r="81" spans="1:23" ht="5.25" customHeight="1" x14ac:dyDescent="0.2">
      <c r="L81" s="61"/>
      <c r="M81" s="61"/>
      <c r="N81" s="61"/>
      <c r="O81" s="61"/>
      <c r="P81" s="61"/>
      <c r="Q81" s="61"/>
    </row>
    <row r="82" spans="1:23" x14ac:dyDescent="0.2">
      <c r="E82" t="s">
        <v>1006</v>
      </c>
      <c r="L82" s="90">
        <f>L73</f>
        <v>0</v>
      </c>
      <c r="M82" s="98">
        <f>M73-(M76+M79)</f>
        <v>0</v>
      </c>
      <c r="N82" s="73"/>
      <c r="O82" s="98">
        <f t="shared" ref="O82:T82" si="0">O73-(O76+O79)</f>
        <v>0</v>
      </c>
      <c r="P82" s="98">
        <f t="shared" si="0"/>
        <v>0</v>
      </c>
      <c r="Q82" s="98">
        <f t="shared" si="0"/>
        <v>0</v>
      </c>
      <c r="R82" s="98">
        <f t="shared" si="0"/>
        <v>0</v>
      </c>
      <c r="S82" s="98">
        <f t="shared" si="0"/>
        <v>0</v>
      </c>
      <c r="T82" s="98">
        <f t="shared" si="0"/>
        <v>0</v>
      </c>
    </row>
    <row r="83" spans="1:23" ht="4.5" customHeight="1" x14ac:dyDescent="0.2">
      <c r="L83" s="61"/>
      <c r="M83" s="61"/>
      <c r="N83" s="61"/>
      <c r="O83" s="61"/>
      <c r="P83" s="61"/>
      <c r="Q83" s="61"/>
    </row>
    <row r="84" spans="1:23" ht="16.899999999999999" customHeight="1" x14ac:dyDescent="0.35">
      <c r="C84" t="s">
        <v>779</v>
      </c>
      <c r="D84" s="1135" t="s">
        <v>798</v>
      </c>
      <c r="E84" s="1135"/>
      <c r="F84" s="1135"/>
      <c r="G84" s="1135"/>
      <c r="H84" s="1135"/>
      <c r="I84" s="1135"/>
      <c r="L84" s="61"/>
      <c r="M84" s="1233"/>
      <c r="N84" s="522"/>
      <c r="O84" s="1233"/>
      <c r="P84" s="1233"/>
      <c r="Q84" s="1233"/>
      <c r="R84" s="1242"/>
      <c r="S84" s="1242"/>
      <c r="T84" s="1250">
        <f>SUM(M84:S84)</f>
        <v>0</v>
      </c>
      <c r="U84" s="1257" t="str">
        <f>IF(T84=T82," ","Recheck numbers for d. Entry out of balance.")</f>
        <v xml:space="preserve"> </v>
      </c>
      <c r="V84" s="1257"/>
      <c r="W84" s="1257"/>
    </row>
    <row r="85" spans="1:23" ht="40.5" customHeight="1" x14ac:dyDescent="0.35">
      <c r="D85" s="1135"/>
      <c r="E85" s="1135"/>
      <c r="F85" s="1135"/>
      <c r="G85" s="1135"/>
      <c r="H85" s="1135"/>
      <c r="I85" s="1135"/>
      <c r="L85" s="61"/>
      <c r="M85" s="1233"/>
      <c r="N85" s="522"/>
      <c r="O85" s="1233"/>
      <c r="P85" s="1233"/>
      <c r="Q85" s="1233"/>
      <c r="R85" s="1242"/>
      <c r="S85" s="1242"/>
      <c r="T85" s="1250"/>
      <c r="U85" s="149"/>
      <c r="V85" s="149"/>
      <c r="W85" s="149"/>
    </row>
    <row r="86" spans="1:23" ht="12.75" customHeight="1" x14ac:dyDescent="0.2">
      <c r="D86" s="92"/>
      <c r="E86" s="92"/>
      <c r="F86" s="92"/>
      <c r="G86" s="92"/>
      <c r="H86" s="92"/>
      <c r="I86" s="92"/>
      <c r="L86" s="61"/>
      <c r="M86" s="61"/>
      <c r="N86" s="61"/>
      <c r="O86" s="61"/>
      <c r="P86" s="61"/>
      <c r="Q86" s="61"/>
    </row>
    <row r="87" spans="1:23" ht="25.5" customHeight="1" x14ac:dyDescent="0.25">
      <c r="A87" s="4" t="s">
        <v>466</v>
      </c>
      <c r="B87" s="1228" t="s">
        <v>324</v>
      </c>
      <c r="C87" s="1229"/>
      <c r="D87" s="1229"/>
      <c r="E87" s="1229"/>
      <c r="F87" s="1229"/>
      <c r="G87" s="1229"/>
      <c r="H87" s="1229"/>
      <c r="I87" s="1229"/>
      <c r="J87" s="1229"/>
      <c r="K87" s="1229"/>
      <c r="L87" s="1229"/>
      <c r="M87" s="1229"/>
      <c r="N87" s="1229"/>
      <c r="O87" s="1229"/>
      <c r="P87" s="1229"/>
      <c r="Q87" s="1229"/>
      <c r="R87" s="1229"/>
      <c r="S87" s="1229"/>
      <c r="T87" s="1230"/>
    </row>
    <row r="88" spans="1:23" x14ac:dyDescent="0.2">
      <c r="C88" s="69"/>
      <c r="D88" s="69"/>
      <c r="E88" s="69"/>
      <c r="F88" s="1251"/>
      <c r="G88" s="1251"/>
      <c r="H88" s="1251"/>
      <c r="I88" s="69"/>
      <c r="N88" s="69"/>
    </row>
    <row r="89" spans="1:23" x14ac:dyDescent="0.2">
      <c r="O89" s="63" t="s">
        <v>230</v>
      </c>
      <c r="Q89" s="76" t="s">
        <v>782</v>
      </c>
      <c r="R89" s="546" t="s">
        <v>231</v>
      </c>
      <c r="S89" s="547" t="s">
        <v>231</v>
      </c>
    </row>
    <row r="90" spans="1:23" x14ac:dyDescent="0.2">
      <c r="B90" s="67"/>
      <c r="C90" s="4" t="s">
        <v>323</v>
      </c>
      <c r="L90" s="74" t="s">
        <v>476</v>
      </c>
      <c r="M90" s="74" t="s">
        <v>780</v>
      </c>
      <c r="N90" s="82"/>
      <c r="O90" s="74" t="s">
        <v>781</v>
      </c>
      <c r="P90" s="91" t="s">
        <v>474</v>
      </c>
      <c r="Q90" s="91" t="s">
        <v>783</v>
      </c>
      <c r="R90" s="548" t="s">
        <v>243</v>
      </c>
      <c r="S90" s="548" t="s">
        <v>244</v>
      </c>
      <c r="T90" s="91" t="s">
        <v>475</v>
      </c>
    </row>
    <row r="91" spans="1:23" x14ac:dyDescent="0.2">
      <c r="B91" s="67"/>
      <c r="C91" t="s">
        <v>83</v>
      </c>
      <c r="D91" s="1126" t="s">
        <v>1003</v>
      </c>
      <c r="E91" s="1126"/>
      <c r="F91" s="1126"/>
      <c r="G91" s="1126"/>
      <c r="H91" s="1126"/>
      <c r="I91" s="1126"/>
      <c r="L91" s="512"/>
      <c r="M91" s="512"/>
      <c r="N91" s="522"/>
      <c r="O91" s="512"/>
      <c r="P91" s="512"/>
      <c r="Q91" s="512"/>
      <c r="R91" s="510"/>
      <c r="S91" s="510"/>
      <c r="T91" s="510"/>
    </row>
    <row r="92" spans="1:23" ht="6" customHeight="1" x14ac:dyDescent="0.2">
      <c r="B92" s="67"/>
      <c r="L92" s="61"/>
      <c r="M92" s="522"/>
      <c r="N92" s="522"/>
      <c r="O92" s="522"/>
      <c r="P92" s="522"/>
      <c r="Q92" s="522"/>
      <c r="R92" s="521"/>
      <c r="S92" s="521"/>
      <c r="T92" s="521"/>
    </row>
    <row r="93" spans="1:23" x14ac:dyDescent="0.2">
      <c r="C93" t="s">
        <v>85</v>
      </c>
      <c r="D93" s="1126" t="s">
        <v>1004</v>
      </c>
      <c r="E93" s="1126"/>
      <c r="F93" s="1126"/>
      <c r="G93" s="1126"/>
      <c r="H93" s="1126"/>
      <c r="I93" s="1126"/>
      <c r="L93" s="102" t="s">
        <v>487</v>
      </c>
      <c r="M93" s="512"/>
      <c r="N93" s="522"/>
      <c r="O93" s="512"/>
      <c r="P93" s="512"/>
      <c r="Q93" s="512"/>
      <c r="R93" s="510"/>
      <c r="S93" s="510"/>
      <c r="T93" s="510"/>
    </row>
    <row r="94" spans="1:23" ht="6" customHeight="1" x14ac:dyDescent="0.2">
      <c r="L94" s="89"/>
      <c r="M94" s="522"/>
      <c r="N94" s="522"/>
      <c r="O94" s="522"/>
      <c r="P94" s="522"/>
      <c r="Q94" s="522"/>
      <c r="R94" s="521"/>
      <c r="S94" s="521"/>
      <c r="T94" s="521"/>
    </row>
    <row r="95" spans="1:23" ht="15" customHeight="1" x14ac:dyDescent="0.2">
      <c r="C95" t="s">
        <v>389</v>
      </c>
      <c r="D95" s="1126" t="s">
        <v>1005</v>
      </c>
      <c r="E95" s="1126"/>
      <c r="F95" s="1126"/>
      <c r="G95" s="1126"/>
      <c r="H95" s="1126"/>
      <c r="I95" s="1126"/>
      <c r="L95" s="102" t="s">
        <v>487</v>
      </c>
      <c r="M95" s="1233"/>
      <c r="N95" s="522"/>
      <c r="O95" s="1233"/>
      <c r="P95" s="1233"/>
      <c r="Q95" s="1233"/>
      <c r="R95" s="1242"/>
      <c r="S95" s="1242"/>
      <c r="T95" s="1242"/>
    </row>
    <row r="96" spans="1:23" ht="11.25" customHeight="1" x14ac:dyDescent="0.2">
      <c r="D96" s="1126"/>
      <c r="E96" s="1126"/>
      <c r="F96" s="1126"/>
      <c r="G96" s="1126"/>
      <c r="H96" s="1126"/>
      <c r="I96" s="1126"/>
      <c r="L96" s="61"/>
      <c r="M96" s="1233"/>
      <c r="N96" s="522"/>
      <c r="O96" s="1233"/>
      <c r="P96" s="1233"/>
      <c r="Q96" s="1233"/>
      <c r="R96" s="1242"/>
      <c r="S96" s="1242"/>
      <c r="T96" s="1242"/>
    </row>
    <row r="97" spans="1:22" ht="6" customHeight="1" x14ac:dyDescent="0.2">
      <c r="L97" s="61"/>
      <c r="M97" s="61"/>
      <c r="N97" s="61"/>
      <c r="O97" s="61"/>
      <c r="P97" s="61"/>
      <c r="Q97" s="61"/>
    </row>
    <row r="98" spans="1:22" x14ac:dyDescent="0.2">
      <c r="E98" t="s">
        <v>331</v>
      </c>
      <c r="L98" s="98">
        <f>L91</f>
        <v>0</v>
      </c>
      <c r="M98" s="98">
        <f>M91-(M93+M95)</f>
        <v>0</v>
      </c>
      <c r="N98" s="73"/>
      <c r="O98" s="98">
        <f>O91-(O93+O95)</f>
        <v>0</v>
      </c>
      <c r="P98" s="98">
        <f>P91-(P93+P95)</f>
        <v>0</v>
      </c>
      <c r="Q98" s="98">
        <f>Q91-(Q93+Q95)</f>
        <v>0</v>
      </c>
      <c r="R98" s="99"/>
      <c r="S98" s="99"/>
      <c r="T98" s="99"/>
    </row>
    <row r="99" spans="1:22" ht="6" customHeight="1" x14ac:dyDescent="0.2">
      <c r="L99" s="73"/>
      <c r="M99" s="72"/>
      <c r="N99" s="73"/>
      <c r="O99" s="72"/>
      <c r="P99" s="72"/>
      <c r="Q99" s="72"/>
      <c r="R99" s="54"/>
      <c r="S99" s="54"/>
      <c r="T99" s="54"/>
    </row>
    <row r="100" spans="1:22" ht="12.75" customHeight="1" x14ac:dyDescent="0.2">
      <c r="C100" s="64" t="s">
        <v>779</v>
      </c>
      <c r="D100" s="1135" t="s">
        <v>707</v>
      </c>
      <c r="E100" s="1135"/>
      <c r="F100" s="1135"/>
      <c r="G100" s="1135"/>
      <c r="H100" s="1135"/>
      <c r="I100" s="1135"/>
      <c r="J100" s="1135"/>
      <c r="K100" s="1135"/>
      <c r="L100" s="73"/>
      <c r="M100" s="72"/>
      <c r="N100" s="73"/>
      <c r="O100" s="1237"/>
      <c r="P100" s="1247" t="s">
        <v>979</v>
      </c>
      <c r="Q100" s="1247"/>
      <c r="R100" s="1247"/>
      <c r="S100" s="1247"/>
      <c r="T100" s="596"/>
    </row>
    <row r="101" spans="1:22" ht="24" customHeight="1" x14ac:dyDescent="0.2">
      <c r="C101" s="64"/>
      <c r="D101" s="1135"/>
      <c r="E101" s="1135"/>
      <c r="F101" s="1135"/>
      <c r="G101" s="1135"/>
      <c r="H101" s="1135"/>
      <c r="I101" s="1135"/>
      <c r="J101" s="1135"/>
      <c r="K101" s="1135"/>
      <c r="L101" s="73"/>
      <c r="M101" s="72"/>
      <c r="N101" s="73"/>
      <c r="O101" s="1237"/>
      <c r="P101" s="1247"/>
      <c r="Q101" s="1247"/>
      <c r="R101" s="1247"/>
      <c r="S101" s="1247"/>
      <c r="T101" s="596"/>
    </row>
    <row r="102" spans="1:22" ht="2.25" customHeight="1" x14ac:dyDescent="0.2"/>
    <row r="103" spans="1:22" ht="15" x14ac:dyDescent="0.2">
      <c r="E103" s="147" t="s">
        <v>325</v>
      </c>
      <c r="F103" s="2" t="s">
        <v>639</v>
      </c>
    </row>
    <row r="104" spans="1:22" ht="6" customHeight="1" x14ac:dyDescent="0.2"/>
    <row r="105" spans="1:22" ht="25.5" customHeight="1" x14ac:dyDescent="0.2">
      <c r="A105" s="4" t="s">
        <v>472</v>
      </c>
      <c r="B105" s="1228" t="s">
        <v>641</v>
      </c>
      <c r="C105" s="1229"/>
      <c r="D105" s="1229"/>
      <c r="E105" s="1229"/>
      <c r="F105" s="1229"/>
      <c r="G105" s="1229"/>
      <c r="H105" s="1229"/>
      <c r="I105" s="1229"/>
      <c r="J105" s="1229"/>
      <c r="K105" s="1229"/>
      <c r="L105" s="1229"/>
      <c r="M105" s="1229"/>
      <c r="N105" s="1229"/>
      <c r="O105" s="1229"/>
      <c r="P105" s="1229"/>
      <c r="Q105" s="1229"/>
      <c r="R105" s="1229"/>
      <c r="S105" s="1229"/>
      <c r="T105" s="1230"/>
    </row>
    <row r="106" spans="1:22" ht="2.25" customHeight="1" x14ac:dyDescent="0.2"/>
    <row r="107" spans="1:22" ht="11.25" customHeight="1" x14ac:dyDescent="0.2">
      <c r="O107" s="63" t="s">
        <v>230</v>
      </c>
      <c r="Q107" s="76" t="s">
        <v>782</v>
      </c>
      <c r="R107" s="546" t="s">
        <v>231</v>
      </c>
      <c r="S107" s="547" t="s">
        <v>231</v>
      </c>
    </row>
    <row r="108" spans="1:22" ht="11.25" customHeight="1" x14ac:dyDescent="0.2">
      <c r="C108" s="4" t="s">
        <v>640</v>
      </c>
      <c r="L108" s="74" t="s">
        <v>476</v>
      </c>
      <c r="M108" s="74" t="s">
        <v>780</v>
      </c>
      <c r="N108" s="82"/>
      <c r="O108" s="74" t="s">
        <v>781</v>
      </c>
      <c r="P108" s="91" t="s">
        <v>474</v>
      </c>
      <c r="Q108" s="91" t="s">
        <v>783</v>
      </c>
      <c r="R108" s="548" t="s">
        <v>243</v>
      </c>
      <c r="S108" s="548" t="s">
        <v>244</v>
      </c>
      <c r="T108" s="91" t="s">
        <v>475</v>
      </c>
    </row>
    <row r="109" spans="1:22" ht="12.75" customHeight="1" x14ac:dyDescent="0.2">
      <c r="C109" t="s">
        <v>83</v>
      </c>
      <c r="D109" s="1126" t="s">
        <v>434</v>
      </c>
      <c r="E109" s="1126"/>
      <c r="F109" s="1126"/>
      <c r="G109" s="1126"/>
      <c r="H109" s="1126"/>
      <c r="I109" s="1126"/>
      <c r="L109" s="1248"/>
      <c r="M109" s="1248"/>
      <c r="N109" s="522"/>
      <c r="O109" s="1248"/>
      <c r="P109" s="1248"/>
      <c r="Q109" s="1248"/>
      <c r="R109" s="1241"/>
      <c r="S109" s="1241"/>
      <c r="T109" s="1241"/>
    </row>
    <row r="110" spans="1:22" ht="12" customHeight="1" x14ac:dyDescent="0.2">
      <c r="D110" s="1126"/>
      <c r="E110" s="1126"/>
      <c r="F110" s="1126"/>
      <c r="G110" s="1126"/>
      <c r="H110" s="1126"/>
      <c r="I110" s="1126"/>
      <c r="L110" s="1233"/>
      <c r="M110" s="1233"/>
      <c r="N110" s="522"/>
      <c r="O110" s="1233"/>
      <c r="P110" s="1233"/>
      <c r="Q110" s="1233"/>
      <c r="R110" s="1242"/>
      <c r="S110" s="1242"/>
      <c r="T110" s="1242"/>
    </row>
    <row r="111" spans="1:22" ht="3" customHeight="1" x14ac:dyDescent="0.2">
      <c r="D111" s="59"/>
      <c r="E111" s="59"/>
      <c r="F111" s="59"/>
      <c r="G111" s="59"/>
      <c r="H111" s="59"/>
      <c r="I111" s="59"/>
      <c r="L111" s="595"/>
      <c r="M111" s="595"/>
      <c r="N111" s="595"/>
      <c r="O111" s="595"/>
      <c r="P111" s="595"/>
      <c r="Q111" s="595"/>
      <c r="R111" s="542"/>
      <c r="S111" s="542"/>
      <c r="T111" s="542"/>
      <c r="U111" s="13"/>
      <c r="V111" s="13"/>
    </row>
    <row r="112" spans="1:22" ht="13.5" customHeight="1" x14ac:dyDescent="0.2">
      <c r="C112" s="599" t="s">
        <v>85</v>
      </c>
      <c r="D112" s="1135" t="s">
        <v>706</v>
      </c>
      <c r="E112" s="1135"/>
      <c r="F112" s="1135"/>
      <c r="G112" s="1135"/>
      <c r="H112" s="1135"/>
      <c r="I112" s="1135"/>
      <c r="J112" s="1135"/>
      <c r="K112" s="1135"/>
      <c r="L112" s="595"/>
      <c r="M112" s="598"/>
      <c r="N112" s="595"/>
      <c r="O112" s="512"/>
      <c r="P112" s="595"/>
      <c r="Q112" s="595"/>
      <c r="R112" s="542"/>
      <c r="S112" s="542"/>
      <c r="T112" s="542"/>
      <c r="U112" s="13"/>
      <c r="V112" s="13"/>
    </row>
    <row r="113" spans="1:22" ht="3" customHeight="1" x14ac:dyDescent="0.2">
      <c r="D113" s="59"/>
      <c r="E113" s="59"/>
      <c r="F113" s="59"/>
      <c r="G113" s="59"/>
      <c r="H113" s="59"/>
      <c r="I113" s="59"/>
      <c r="L113" s="595"/>
      <c r="M113" s="595"/>
      <c r="N113" s="595"/>
      <c r="O113" s="595"/>
      <c r="P113" s="595"/>
      <c r="Q113" s="595"/>
      <c r="R113" s="542"/>
      <c r="S113" s="542"/>
      <c r="T113" s="542"/>
      <c r="U113" s="13"/>
      <c r="V113" s="13"/>
    </row>
    <row r="114" spans="1:22" ht="12" customHeight="1" x14ac:dyDescent="0.2">
      <c r="C114" s="64" t="s">
        <v>389</v>
      </c>
      <c r="D114" s="1135" t="s">
        <v>705</v>
      </c>
      <c r="E114" s="1135"/>
      <c r="F114" s="1135"/>
      <c r="G114" s="1135"/>
      <c r="H114" s="1135"/>
      <c r="I114" s="1135"/>
      <c r="J114" s="1135"/>
      <c r="K114" s="1135"/>
      <c r="L114" s="595"/>
      <c r="M114" s="595"/>
      <c r="N114" s="595"/>
      <c r="O114" s="1233"/>
      <c r="P114" s="1247" t="s">
        <v>980</v>
      </c>
      <c r="Q114" s="1247"/>
      <c r="R114" s="1247"/>
      <c r="S114" s="1247"/>
      <c r="T114" s="596"/>
      <c r="U114" s="13"/>
      <c r="V114" s="13"/>
    </row>
    <row r="115" spans="1:22" ht="25.5" customHeight="1" x14ac:dyDescent="0.2">
      <c r="D115" s="1135"/>
      <c r="E115" s="1135"/>
      <c r="F115" s="1135"/>
      <c r="G115" s="1135"/>
      <c r="H115" s="1135"/>
      <c r="I115" s="1135"/>
      <c r="J115" s="1135"/>
      <c r="K115" s="1135"/>
      <c r="L115" s="595"/>
      <c r="M115" s="595"/>
      <c r="N115" s="595"/>
      <c r="O115" s="1233"/>
      <c r="P115" s="1247"/>
      <c r="Q115" s="1247"/>
      <c r="R115" s="1247"/>
      <c r="S115" s="1247"/>
      <c r="T115" s="596"/>
      <c r="U115" s="13"/>
      <c r="V115" s="13"/>
    </row>
    <row r="116" spans="1:22" ht="7.5" customHeight="1" x14ac:dyDescent="0.2">
      <c r="D116" s="59"/>
      <c r="E116" s="59"/>
      <c r="F116" s="59"/>
      <c r="G116" s="59"/>
      <c r="H116" s="59"/>
      <c r="I116" s="59"/>
      <c r="L116" s="61"/>
      <c r="M116" s="61"/>
      <c r="N116" s="61"/>
      <c r="O116" s="61"/>
      <c r="P116" s="61"/>
      <c r="Q116" s="61"/>
    </row>
    <row r="117" spans="1:22" ht="25.5" customHeight="1" x14ac:dyDescent="0.2">
      <c r="A117" s="4" t="s">
        <v>488</v>
      </c>
      <c r="B117" s="1207" t="s">
        <v>41</v>
      </c>
      <c r="C117" s="1208"/>
      <c r="D117" s="1208"/>
      <c r="E117" s="1208"/>
      <c r="F117" s="1208"/>
      <c r="G117" s="1208"/>
      <c r="H117" s="1208"/>
      <c r="I117" s="1208"/>
      <c r="J117" s="1208"/>
      <c r="K117" s="1208"/>
      <c r="L117" s="1208"/>
      <c r="M117" s="1208"/>
      <c r="N117" s="1208"/>
      <c r="O117" s="1208"/>
      <c r="P117" s="1208"/>
      <c r="Q117" s="1208"/>
      <c r="R117" s="1208"/>
      <c r="S117" s="1208"/>
      <c r="T117" s="1209"/>
    </row>
    <row r="118" spans="1:22" ht="4.5" customHeight="1" x14ac:dyDescent="0.2">
      <c r="L118" s="61"/>
      <c r="M118" s="61"/>
      <c r="N118" s="61"/>
      <c r="O118" s="61"/>
      <c r="P118" s="61"/>
      <c r="Q118" s="61"/>
    </row>
    <row r="119" spans="1:22" x14ac:dyDescent="0.2">
      <c r="B119" s="64" t="s">
        <v>947</v>
      </c>
      <c r="C119" s="1126" t="s">
        <v>765</v>
      </c>
      <c r="D119" s="1126"/>
      <c r="E119" s="1126"/>
      <c r="F119" s="1126"/>
      <c r="G119" s="1126"/>
      <c r="H119" s="1126"/>
      <c r="I119" s="1126"/>
      <c r="J119" s="1126"/>
      <c r="K119" s="1126"/>
      <c r="L119" s="61"/>
      <c r="M119" s="1233"/>
      <c r="N119" s="61"/>
      <c r="O119" s="61"/>
      <c r="P119" s="61"/>
      <c r="Q119" s="61"/>
    </row>
    <row r="120" spans="1:22" x14ac:dyDescent="0.2">
      <c r="C120" s="1126"/>
      <c r="D120" s="1126"/>
      <c r="E120" s="1126"/>
      <c r="F120" s="1126"/>
      <c r="G120" s="1126"/>
      <c r="H120" s="1126"/>
      <c r="I120" s="1126"/>
      <c r="J120" s="1126"/>
      <c r="K120" s="1126"/>
      <c r="L120" s="61"/>
      <c r="M120" s="1233"/>
      <c r="N120" s="61"/>
      <c r="O120" s="61"/>
      <c r="P120" s="61"/>
      <c r="Q120" s="61"/>
    </row>
    <row r="121" spans="1:22" ht="3.75" customHeight="1" x14ac:dyDescent="0.2">
      <c r="L121" s="61"/>
      <c r="M121" s="61"/>
      <c r="N121" s="61"/>
      <c r="O121" s="61"/>
      <c r="P121" s="61"/>
      <c r="Q121" s="61"/>
    </row>
    <row r="122" spans="1:22" x14ac:dyDescent="0.2">
      <c r="B122" s="64" t="s">
        <v>948</v>
      </c>
      <c r="C122" t="s">
        <v>201</v>
      </c>
      <c r="L122" s="61"/>
      <c r="M122" s="61"/>
      <c r="N122" s="61"/>
      <c r="O122" s="61"/>
      <c r="P122" s="61"/>
      <c r="Q122" s="61"/>
    </row>
    <row r="123" spans="1:22" x14ac:dyDescent="0.2">
      <c r="H123" t="s">
        <v>895</v>
      </c>
      <c r="L123" s="61"/>
      <c r="M123" s="512"/>
      <c r="N123" s="61"/>
      <c r="O123" s="61"/>
      <c r="P123" s="61"/>
      <c r="Q123" s="61"/>
    </row>
    <row r="124" spans="1:22" x14ac:dyDescent="0.2">
      <c r="H124" t="s">
        <v>896</v>
      </c>
      <c r="L124" s="61"/>
      <c r="M124" s="512"/>
      <c r="N124" s="61"/>
      <c r="O124" s="61"/>
      <c r="P124" s="61"/>
      <c r="Q124" s="61"/>
    </row>
    <row r="125" spans="1:22" x14ac:dyDescent="0.2">
      <c r="H125" t="s">
        <v>481</v>
      </c>
      <c r="L125" s="61"/>
      <c r="M125" s="512"/>
      <c r="N125" s="61"/>
      <c r="O125" s="61"/>
      <c r="P125" s="61"/>
      <c r="Q125" s="61"/>
    </row>
    <row r="126" spans="1:22" x14ac:dyDescent="0.2">
      <c r="H126" t="s">
        <v>470</v>
      </c>
      <c r="L126" s="61"/>
      <c r="M126" s="512"/>
      <c r="N126" s="61"/>
      <c r="O126" s="61"/>
      <c r="P126" s="61"/>
      <c r="Q126" s="61"/>
    </row>
    <row r="127" spans="1:22" x14ac:dyDescent="0.2">
      <c r="H127" t="s">
        <v>101</v>
      </c>
      <c r="L127" s="61"/>
      <c r="M127" s="512"/>
      <c r="N127" s="61"/>
      <c r="O127" s="61"/>
      <c r="P127" s="61"/>
      <c r="Q127" s="61"/>
    </row>
    <row r="128" spans="1:22" x14ac:dyDescent="0.2">
      <c r="H128" t="s">
        <v>926</v>
      </c>
      <c r="L128" s="61"/>
      <c r="M128" s="512"/>
      <c r="N128" s="61"/>
      <c r="O128" s="1249" t="str">
        <f>IF(M130=M119," ","Recheck numbers. Entry does not balance.")</f>
        <v xml:space="preserve"> </v>
      </c>
      <c r="P128" s="61"/>
      <c r="Q128" s="61"/>
    </row>
    <row r="129" spans="1:20" x14ac:dyDescent="0.2">
      <c r="H129" s="521" t="s">
        <v>203</v>
      </c>
      <c r="L129" s="61"/>
      <c r="M129" s="512"/>
      <c r="N129" s="61"/>
      <c r="O129" s="1249"/>
      <c r="P129" s="61"/>
      <c r="Q129" s="61"/>
    </row>
    <row r="130" spans="1:20" ht="13.5" thickBot="1" x14ac:dyDescent="0.25">
      <c r="M130" s="105">
        <f>SUM(M123:M129)</f>
        <v>0</v>
      </c>
      <c r="O130" s="1249"/>
    </row>
    <row r="131" spans="1:20" ht="13.5" thickTop="1" x14ac:dyDescent="0.2">
      <c r="M131" s="617"/>
      <c r="O131" s="603"/>
    </row>
    <row r="132" spans="1:20" ht="25.5" customHeight="1" x14ac:dyDescent="0.2">
      <c r="A132" s="4" t="s">
        <v>828</v>
      </c>
      <c r="B132" s="1207" t="s">
        <v>563</v>
      </c>
      <c r="C132" s="1208"/>
      <c r="D132" s="1208"/>
      <c r="E132" s="1208"/>
      <c r="F132" s="1208"/>
      <c r="G132" s="1208"/>
      <c r="H132" s="1208"/>
      <c r="I132" s="1208"/>
      <c r="J132" s="1208"/>
      <c r="K132" s="1208"/>
      <c r="L132" s="1208"/>
      <c r="M132" s="1208"/>
      <c r="N132" s="1208"/>
      <c r="O132" s="1208"/>
      <c r="P132" s="1208"/>
      <c r="Q132" s="1208"/>
      <c r="R132" s="1208"/>
      <c r="S132" s="1208"/>
      <c r="T132" s="1209"/>
    </row>
    <row r="133" spans="1:20" ht="6.75" customHeight="1" x14ac:dyDescent="0.2">
      <c r="M133" s="10"/>
      <c r="N133" s="603"/>
    </row>
    <row r="134" spans="1:20" x14ac:dyDescent="0.2">
      <c r="B134" s="1126" t="s">
        <v>541</v>
      </c>
      <c r="C134" s="1126"/>
      <c r="D134" s="1126"/>
      <c r="E134" s="1126"/>
      <c r="F134" s="1126"/>
      <c r="G134" s="1126"/>
      <c r="H134" s="1126"/>
      <c r="I134" s="1126"/>
      <c r="J134" s="1126"/>
      <c r="K134" s="1126"/>
      <c r="L134" s="1126"/>
      <c r="M134" s="1126"/>
      <c r="N134" s="1126"/>
      <c r="O134" s="1126"/>
      <c r="P134" s="1126"/>
      <c r="Q134" s="1126"/>
      <c r="R134" s="1126"/>
      <c r="S134" s="1126"/>
      <c r="T134" s="1126"/>
    </row>
    <row r="135" spans="1:20" x14ac:dyDescent="0.2">
      <c r="B135" s="1126"/>
      <c r="C135" s="1126"/>
      <c r="D135" s="1126"/>
      <c r="E135" s="1126"/>
      <c r="F135" s="1126"/>
      <c r="G135" s="1126"/>
      <c r="H135" s="1126"/>
      <c r="I135" s="1126"/>
      <c r="J135" s="1126"/>
      <c r="K135" s="1126"/>
      <c r="L135" s="1126"/>
      <c r="M135" s="1126"/>
      <c r="N135" s="1126"/>
      <c r="O135" s="1126"/>
      <c r="P135" s="1126"/>
      <c r="Q135" s="1126"/>
      <c r="R135" s="1126"/>
      <c r="S135" s="1126"/>
      <c r="T135" s="1126"/>
    </row>
    <row r="136" spans="1:20" x14ac:dyDescent="0.2">
      <c r="B136" s="1126"/>
      <c r="C136" s="1126"/>
      <c r="D136" s="1126"/>
      <c r="E136" s="1126"/>
      <c r="F136" s="1126"/>
      <c r="G136" s="1126"/>
      <c r="H136" s="1126"/>
      <c r="I136" s="1126"/>
      <c r="J136" s="1126"/>
      <c r="K136" s="1126"/>
      <c r="L136" s="1126"/>
      <c r="M136" s="1126"/>
      <c r="N136" s="1126"/>
      <c r="O136" s="1126"/>
      <c r="P136" s="1126"/>
      <c r="Q136" s="1126"/>
      <c r="R136" s="1126"/>
      <c r="S136" s="1126"/>
      <c r="T136" s="1126"/>
    </row>
    <row r="137" spans="1:20" x14ac:dyDescent="0.2">
      <c r="B137" s="1126"/>
      <c r="C137" s="1126"/>
      <c r="D137" s="1126"/>
      <c r="E137" s="1126"/>
      <c r="F137" s="1126"/>
      <c r="G137" s="1126"/>
      <c r="H137" s="1126"/>
      <c r="I137" s="1126"/>
      <c r="J137" s="1126"/>
      <c r="K137" s="1126"/>
      <c r="L137" s="1126"/>
      <c r="M137" s="1126"/>
      <c r="N137" s="1126"/>
      <c r="O137" s="1126"/>
      <c r="P137" s="1126"/>
      <c r="Q137" s="1126"/>
      <c r="R137" s="1126"/>
      <c r="S137" s="1126"/>
      <c r="T137" s="1126"/>
    </row>
    <row r="138" spans="1:20" x14ac:dyDescent="0.2">
      <c r="B138" s="1126"/>
      <c r="C138" s="1126"/>
      <c r="D138" s="1126"/>
      <c r="E138" s="1126"/>
      <c r="F138" s="1126"/>
      <c r="G138" s="1126"/>
      <c r="H138" s="1126"/>
      <c r="I138" s="1126"/>
      <c r="J138" s="1126"/>
      <c r="K138" s="1126"/>
      <c r="L138" s="1126"/>
      <c r="M138" s="1126"/>
      <c r="N138" s="1126"/>
      <c r="O138" s="1126"/>
      <c r="P138" s="1126"/>
      <c r="Q138" s="1126"/>
      <c r="R138" s="1126"/>
      <c r="S138" s="1126"/>
      <c r="T138" s="1126"/>
    </row>
    <row r="139" spans="1:20" ht="6.75" customHeight="1" x14ac:dyDescent="0.2">
      <c r="M139" s="10"/>
      <c r="N139" s="603"/>
    </row>
    <row r="140" spans="1:20" ht="12" customHeight="1" x14ac:dyDescent="0.2">
      <c r="B140" s="1126" t="s">
        <v>542</v>
      </c>
      <c r="C140" s="1126"/>
      <c r="D140" s="1126"/>
      <c r="E140" s="1126"/>
      <c r="F140" s="1126"/>
      <c r="G140" s="1126"/>
      <c r="H140" s="1126"/>
      <c r="I140" s="1126"/>
      <c r="J140" s="1126"/>
      <c r="K140" s="1126"/>
      <c r="L140" s="1126"/>
      <c r="M140" s="1126"/>
      <c r="N140" s="1126"/>
      <c r="O140" s="1126"/>
      <c r="P140" s="1126"/>
      <c r="Q140" s="1126"/>
      <c r="R140" s="1126"/>
      <c r="S140" s="1126"/>
      <c r="T140" s="1126"/>
    </row>
    <row r="141" spans="1:20" ht="12" customHeight="1" x14ac:dyDescent="0.2">
      <c r="B141" s="1126"/>
      <c r="C141" s="1126"/>
      <c r="D141" s="1126"/>
      <c r="E141" s="1126"/>
      <c r="F141" s="1126"/>
      <c r="G141" s="1126"/>
      <c r="H141" s="1126"/>
      <c r="I141" s="1126"/>
      <c r="J141" s="1126"/>
      <c r="K141" s="1126"/>
      <c r="L141" s="1126"/>
      <c r="M141" s="1126"/>
      <c r="N141" s="1126"/>
      <c r="O141" s="1126"/>
      <c r="P141" s="1126"/>
      <c r="Q141" s="1126"/>
      <c r="R141" s="1126"/>
      <c r="S141" s="1126"/>
      <c r="T141" s="1126"/>
    </row>
    <row r="142" spans="1:20" ht="12" customHeight="1" x14ac:dyDescent="0.2">
      <c r="M142" s="10"/>
      <c r="N142" s="603"/>
    </row>
    <row r="143" spans="1:20" x14ac:dyDescent="0.2">
      <c r="B143" s="88" t="s">
        <v>947</v>
      </c>
      <c r="C143" s="1122" t="s">
        <v>974</v>
      </c>
      <c r="D143" s="1122"/>
      <c r="E143" s="1122"/>
      <c r="F143" s="1122"/>
      <c r="G143" s="1122"/>
      <c r="H143" s="1122"/>
      <c r="I143" s="1122"/>
      <c r="J143" s="1122"/>
      <c r="O143" s="63" t="s">
        <v>230</v>
      </c>
      <c r="Q143" s="76" t="s">
        <v>782</v>
      </c>
      <c r="R143" s="546" t="s">
        <v>231</v>
      </c>
      <c r="S143" s="547" t="s">
        <v>231</v>
      </c>
    </row>
    <row r="144" spans="1:20" ht="13.5" customHeight="1" x14ac:dyDescent="0.2">
      <c r="C144" s="1122"/>
      <c r="D144" s="1122"/>
      <c r="E144" s="1122"/>
      <c r="F144" s="1122"/>
      <c r="G144" s="1122"/>
      <c r="H144" s="1122"/>
      <c r="I144" s="1122"/>
      <c r="J144" s="1122"/>
      <c r="L144" s="74" t="s">
        <v>476</v>
      </c>
      <c r="M144" s="74" t="s">
        <v>780</v>
      </c>
      <c r="O144" s="74" t="s">
        <v>781</v>
      </c>
      <c r="P144" s="91" t="s">
        <v>474</v>
      </c>
      <c r="Q144" s="91" t="s">
        <v>783</v>
      </c>
      <c r="R144" s="548" t="s">
        <v>243</v>
      </c>
      <c r="S144" s="548" t="s">
        <v>244</v>
      </c>
      <c r="T144" s="91" t="s">
        <v>475</v>
      </c>
    </row>
    <row r="145" spans="2:20" x14ac:dyDescent="0.2">
      <c r="C145" s="70" t="s">
        <v>83</v>
      </c>
      <c r="D145" s="1126" t="s">
        <v>304</v>
      </c>
      <c r="E145" s="1126"/>
      <c r="F145" s="1126"/>
      <c r="G145" s="1126"/>
      <c r="H145" s="1126"/>
      <c r="I145" s="1126"/>
      <c r="J145" s="1126"/>
      <c r="L145" s="1248"/>
      <c r="M145" s="1248"/>
      <c r="O145" s="1248"/>
      <c r="P145" s="1248"/>
      <c r="Q145" s="1248"/>
      <c r="R145" s="1241"/>
      <c r="S145" s="1241"/>
      <c r="T145" s="1241"/>
    </row>
    <row r="146" spans="2:20" x14ac:dyDescent="0.2">
      <c r="C146" s="70"/>
      <c r="D146" s="1126"/>
      <c r="E146" s="1126"/>
      <c r="F146" s="1126"/>
      <c r="G146" s="1126"/>
      <c r="H146" s="1126"/>
      <c r="I146" s="1126"/>
      <c r="J146" s="1126"/>
      <c r="L146" s="1233"/>
      <c r="M146" s="1233"/>
      <c r="O146" s="1233"/>
      <c r="P146" s="1233"/>
      <c r="Q146" s="1233"/>
      <c r="R146" s="1242"/>
      <c r="S146" s="1242"/>
      <c r="T146" s="1242"/>
    </row>
    <row r="147" spans="2:20" ht="6" customHeight="1" x14ac:dyDescent="0.2">
      <c r="C147" s="70"/>
      <c r="L147" s="61"/>
      <c r="M147" s="61"/>
      <c r="O147" s="61"/>
      <c r="P147" s="61"/>
      <c r="Q147" s="61"/>
    </row>
    <row r="148" spans="2:20" x14ac:dyDescent="0.2">
      <c r="C148" s="70" t="s">
        <v>85</v>
      </c>
      <c r="D148" s="1126" t="s">
        <v>305</v>
      </c>
      <c r="E148" s="1126"/>
      <c r="F148" s="1126"/>
      <c r="G148" s="1126"/>
      <c r="H148" s="1126"/>
      <c r="I148" s="1126"/>
      <c r="J148" s="1126"/>
      <c r="L148" s="102" t="s">
        <v>487</v>
      </c>
      <c r="M148" s="1233"/>
      <c r="O148" s="1233"/>
      <c r="P148" s="1233"/>
      <c r="Q148" s="1233"/>
      <c r="R148" s="1233"/>
      <c r="S148" s="1233"/>
      <c r="T148" s="1233"/>
    </row>
    <row r="149" spans="2:20" x14ac:dyDescent="0.2">
      <c r="C149" s="70"/>
      <c r="D149" s="1126"/>
      <c r="E149" s="1126"/>
      <c r="F149" s="1126"/>
      <c r="G149" s="1126"/>
      <c r="H149" s="1126"/>
      <c r="I149" s="1126"/>
      <c r="J149" s="1126"/>
      <c r="L149" s="102"/>
      <c r="M149" s="1233"/>
      <c r="O149" s="1233"/>
      <c r="P149" s="1233"/>
      <c r="Q149" s="1233"/>
      <c r="R149" s="1233"/>
      <c r="S149" s="1233"/>
      <c r="T149" s="1233"/>
    </row>
    <row r="150" spans="2:20" ht="6" customHeight="1" x14ac:dyDescent="0.2">
      <c r="C150" s="70"/>
      <c r="L150" s="89"/>
      <c r="M150" s="61"/>
      <c r="O150" s="61"/>
      <c r="P150" s="61"/>
      <c r="Q150" s="61"/>
      <c r="R150" s="61"/>
      <c r="S150" s="61"/>
    </row>
    <row r="151" spans="2:20" x14ac:dyDescent="0.2">
      <c r="C151" s="70" t="s">
        <v>389</v>
      </c>
      <c r="D151" s="1126" t="s">
        <v>306</v>
      </c>
      <c r="E151" s="1126"/>
      <c r="F151" s="1126"/>
      <c r="G151" s="1126"/>
      <c r="H151" s="1126"/>
      <c r="I151" s="1126"/>
      <c r="J151" s="1126"/>
      <c r="L151" s="102" t="s">
        <v>487</v>
      </c>
      <c r="M151" s="1233"/>
      <c r="O151" s="1233"/>
      <c r="P151" s="1233">
        <v>0</v>
      </c>
      <c r="Q151" s="1233"/>
      <c r="R151" s="1233"/>
      <c r="S151" s="1233"/>
      <c r="T151" s="1233"/>
    </row>
    <row r="152" spans="2:20" x14ac:dyDescent="0.2">
      <c r="C152" s="70"/>
      <c r="D152" s="1126"/>
      <c r="E152" s="1126"/>
      <c r="F152" s="1126"/>
      <c r="G152" s="1126"/>
      <c r="H152" s="1126"/>
      <c r="I152" s="1126"/>
      <c r="J152" s="1126"/>
      <c r="L152" s="102"/>
      <c r="M152" s="1233"/>
      <c r="O152" s="1233"/>
      <c r="P152" s="1233"/>
      <c r="Q152" s="1233"/>
      <c r="R152" s="1233"/>
      <c r="S152" s="1233"/>
      <c r="T152" s="1233"/>
    </row>
    <row r="153" spans="2:20" ht="6" customHeight="1" x14ac:dyDescent="0.2">
      <c r="C153" s="70"/>
      <c r="L153" s="61"/>
      <c r="M153" s="61"/>
      <c r="O153" s="61"/>
      <c r="P153" s="61"/>
      <c r="Q153" s="61"/>
    </row>
    <row r="154" spans="2:20" x14ac:dyDescent="0.2">
      <c r="C154" s="70"/>
      <c r="E154" t="s">
        <v>307</v>
      </c>
      <c r="L154" s="98">
        <f>L145</f>
        <v>0</v>
      </c>
      <c r="M154" s="98">
        <f>M145-(M148+M151)</f>
        <v>0</v>
      </c>
      <c r="O154" s="98">
        <f>O145-(O148+O151)</f>
        <v>0</v>
      </c>
      <c r="P154" s="98">
        <f>P145-(P148+P151)</f>
        <v>0</v>
      </c>
      <c r="Q154" s="98">
        <f>Q145-(Q148+Q151)</f>
        <v>0</v>
      </c>
      <c r="R154" s="99"/>
      <c r="S154" s="99"/>
      <c r="T154" s="99"/>
    </row>
    <row r="155" spans="2:20" ht="6.75" customHeight="1" x14ac:dyDescent="0.2">
      <c r="C155" s="70"/>
      <c r="L155" s="61"/>
      <c r="M155" s="61"/>
      <c r="N155" s="61"/>
      <c r="O155" s="61"/>
      <c r="P155" s="61"/>
    </row>
    <row r="156" spans="2:20" x14ac:dyDescent="0.2">
      <c r="B156" s="88" t="s">
        <v>948</v>
      </c>
      <c r="C156" s="1135" t="s">
        <v>969</v>
      </c>
      <c r="D156" s="1135"/>
      <c r="E156" s="1135"/>
      <c r="F156" s="1135"/>
      <c r="G156" s="1135"/>
      <c r="H156" s="1135"/>
      <c r="I156" s="1135"/>
      <c r="J156" s="1135"/>
      <c r="L156" s="1233"/>
      <c r="M156" s="61"/>
      <c r="N156" s="61"/>
      <c r="O156" s="61"/>
      <c r="P156" s="61"/>
    </row>
    <row r="157" spans="2:20" ht="12.75" customHeight="1" x14ac:dyDescent="0.2">
      <c r="C157" s="1135"/>
      <c r="D157" s="1135"/>
      <c r="E157" s="1135"/>
      <c r="F157" s="1135"/>
      <c r="G157" s="1135"/>
      <c r="H157" s="1135"/>
      <c r="I157" s="1135"/>
      <c r="J157" s="1135"/>
      <c r="L157" s="1233"/>
      <c r="M157" s="61"/>
      <c r="N157" s="61"/>
      <c r="O157" s="61"/>
      <c r="P157" s="61"/>
    </row>
    <row r="158" spans="2:20" ht="6.75" customHeight="1" x14ac:dyDescent="0.2">
      <c r="B158" s="4"/>
      <c r="C158" s="70"/>
      <c r="L158" s="61"/>
      <c r="M158" s="61"/>
      <c r="N158" s="61"/>
      <c r="O158" s="61"/>
      <c r="P158" s="61"/>
    </row>
    <row r="159" spans="2:20" ht="12.75" customHeight="1" x14ac:dyDescent="0.2">
      <c r="B159" s="88" t="s">
        <v>949</v>
      </c>
      <c r="C159" s="1126" t="s">
        <v>28</v>
      </c>
      <c r="D159" s="1126"/>
      <c r="E159" s="1126"/>
      <c r="F159" s="1126"/>
      <c r="G159" s="1126"/>
      <c r="H159" s="1126"/>
      <c r="I159" s="1126"/>
      <c r="J159" s="1126"/>
      <c r="L159" s="61"/>
      <c r="M159" s="61"/>
      <c r="N159" s="61"/>
      <c r="O159" s="61"/>
      <c r="P159" s="61"/>
    </row>
    <row r="160" spans="2:20" ht="11.25" customHeight="1" x14ac:dyDescent="0.2">
      <c r="C160" s="1126"/>
      <c r="D160" s="1126"/>
      <c r="E160" s="1126"/>
      <c r="F160" s="1126"/>
      <c r="G160" s="1126"/>
      <c r="H160" s="1126"/>
      <c r="I160" s="1126"/>
      <c r="J160" s="1126"/>
      <c r="L160" s="61"/>
      <c r="M160" s="61"/>
      <c r="N160" s="61"/>
      <c r="O160" s="61"/>
      <c r="P160" s="61"/>
    </row>
    <row r="161" spans="1:20" x14ac:dyDescent="0.2">
      <c r="C161" s="606" t="s">
        <v>83</v>
      </c>
      <c r="D161" s="1126" t="s">
        <v>29</v>
      </c>
      <c r="E161" s="1126"/>
      <c r="F161" s="1126"/>
      <c r="G161" s="1126"/>
      <c r="H161" s="1126"/>
      <c r="I161" s="1126"/>
      <c r="L161" s="1233"/>
      <c r="M161" s="1243" t="str">
        <f>IF(L161=0," ",L156/L161)</f>
        <v xml:space="preserve"> </v>
      </c>
      <c r="O161" s="604" t="s">
        <v>30</v>
      </c>
      <c r="P161" s="61"/>
    </row>
    <row r="162" spans="1:20" x14ac:dyDescent="0.2">
      <c r="C162" s="70"/>
      <c r="D162" s="1126"/>
      <c r="E162" s="1126"/>
      <c r="F162" s="1126"/>
      <c r="G162" s="1126"/>
      <c r="H162" s="1126"/>
      <c r="I162" s="1126"/>
      <c r="L162" s="1233"/>
      <c r="M162" s="1243"/>
      <c r="O162" s="198" t="s">
        <v>31</v>
      </c>
      <c r="P162" s="61"/>
    </row>
    <row r="163" spans="1:20" ht="10.5" customHeight="1" x14ac:dyDescent="0.2">
      <c r="C163" s="70"/>
      <c r="J163" s="78" t="s">
        <v>32</v>
      </c>
      <c r="L163" s="61"/>
      <c r="M163" s="61"/>
      <c r="N163" s="61"/>
      <c r="O163" s="61"/>
      <c r="P163" s="61"/>
    </row>
    <row r="164" spans="1:20" x14ac:dyDescent="0.2">
      <c r="C164" s="606" t="s">
        <v>85</v>
      </c>
      <c r="D164" s="1126" t="s">
        <v>33</v>
      </c>
      <c r="E164" s="1126"/>
      <c r="F164" s="1126"/>
      <c r="G164" s="1126"/>
      <c r="H164" s="1126"/>
      <c r="I164" s="1126"/>
      <c r="L164" s="1244"/>
      <c r="M164" s="1245">
        <f>L164*L156</f>
        <v>0</v>
      </c>
      <c r="Q164" s="1246" t="str">
        <f>IF(M164=0," ",(M164/M145))</f>
        <v xml:space="preserve"> </v>
      </c>
      <c r="R164" s="604" t="s">
        <v>30</v>
      </c>
      <c r="S164" s="61"/>
    </row>
    <row r="165" spans="1:20" x14ac:dyDescent="0.2">
      <c r="C165" s="70"/>
      <c r="D165" s="1126"/>
      <c r="E165" s="1126"/>
      <c r="F165" s="1126"/>
      <c r="G165" s="1126"/>
      <c r="H165" s="1126"/>
      <c r="I165" s="1126"/>
      <c r="L165" s="1244"/>
      <c r="M165" s="1245"/>
      <c r="O165" s="198" t="s">
        <v>34</v>
      </c>
      <c r="Q165" s="1246"/>
      <c r="R165" s="604" t="s">
        <v>35</v>
      </c>
      <c r="S165" s="61"/>
    </row>
    <row r="166" spans="1:20" ht="12.75" customHeight="1" x14ac:dyDescent="0.2">
      <c r="C166" s="70"/>
      <c r="L166" s="61"/>
      <c r="M166" s="61"/>
      <c r="N166" s="61"/>
      <c r="O166" s="61"/>
      <c r="P166" s="61"/>
    </row>
    <row r="167" spans="1:20" ht="12.75" customHeight="1" x14ac:dyDescent="0.2">
      <c r="B167" s="88" t="s">
        <v>878</v>
      </c>
      <c r="C167" s="4" t="s">
        <v>970</v>
      </c>
      <c r="D167" s="4"/>
      <c r="E167" s="4"/>
      <c r="F167" s="4"/>
      <c r="K167" s="1239" t="s">
        <v>38</v>
      </c>
      <c r="L167" s="1239"/>
      <c r="M167" s="615" t="str">
        <f>IF(L161=0,"0",((L154+M154+O154+P154+Q154+R154+S154+T154)*M161))</f>
        <v>0</v>
      </c>
      <c r="O167" s="1240" t="s">
        <v>39</v>
      </c>
      <c r="P167" s="1240"/>
      <c r="Q167" s="616" t="str">
        <f>IF(L164=0,"0",(L154+M154+O154+P154+Q154+R154+S154+T154)*Q164)</f>
        <v>0</v>
      </c>
    </row>
    <row r="168" spans="1:20" ht="6.75" customHeight="1" x14ac:dyDescent="0.2">
      <c r="B168" s="88"/>
      <c r="C168" s="4"/>
      <c r="D168" s="4"/>
      <c r="E168" s="4"/>
      <c r="F168" s="4"/>
      <c r="K168" s="611"/>
      <c r="L168" s="611"/>
      <c r="M168" s="612"/>
      <c r="N168" s="13"/>
      <c r="O168" s="613"/>
      <c r="P168" s="613"/>
      <c r="Q168" s="614"/>
    </row>
    <row r="169" spans="1:20" ht="12.75" customHeight="1" x14ac:dyDescent="0.2">
      <c r="A169" t="s">
        <v>187</v>
      </c>
      <c r="C169" s="70" t="s">
        <v>83</v>
      </c>
      <c r="D169" s="1234" t="s">
        <v>1038</v>
      </c>
      <c r="E169" s="1234"/>
      <c r="F169" s="1234"/>
      <c r="G169" s="1234"/>
      <c r="H169" s="1234"/>
      <c r="I169" s="1234"/>
      <c r="L169" s="61"/>
      <c r="M169" s="61"/>
      <c r="T169" s="609"/>
    </row>
    <row r="170" spans="1:20" ht="12.75" customHeight="1" x14ac:dyDescent="0.2">
      <c r="C170" s="61"/>
      <c r="D170" s="1234"/>
      <c r="E170" s="1234"/>
      <c r="F170" s="1234"/>
      <c r="G170" s="1234"/>
      <c r="H170" s="1234"/>
      <c r="I170" s="1234"/>
      <c r="L170" s="61"/>
      <c r="M170" s="61"/>
      <c r="T170" s="609"/>
    </row>
    <row r="171" spans="1:20" x14ac:dyDescent="0.2">
      <c r="C171" s="61"/>
      <c r="D171" t="s">
        <v>476</v>
      </c>
      <c r="H171" s="519"/>
      <c r="L171" s="61"/>
      <c r="M171" s="61"/>
    </row>
    <row r="172" spans="1:20" x14ac:dyDescent="0.2">
      <c r="C172" s="61"/>
      <c r="D172" t="s">
        <v>477</v>
      </c>
      <c r="H172" s="519"/>
      <c r="L172" s="61"/>
      <c r="M172" s="61"/>
    </row>
    <row r="173" spans="1:20" x14ac:dyDescent="0.2">
      <c r="C173" s="61"/>
      <c r="D173" t="s">
        <v>177</v>
      </c>
      <c r="H173" s="519"/>
      <c r="L173" s="61"/>
      <c r="M173" s="61"/>
    </row>
    <row r="174" spans="1:20" x14ac:dyDescent="0.2">
      <c r="C174" s="61"/>
      <c r="D174" t="s">
        <v>474</v>
      </c>
      <c r="H174" s="519"/>
      <c r="L174" s="61"/>
      <c r="M174" s="61"/>
    </row>
    <row r="175" spans="1:20" x14ac:dyDescent="0.2">
      <c r="C175" s="61"/>
      <c r="D175" t="s">
        <v>178</v>
      </c>
      <c r="H175" s="519"/>
      <c r="L175" s="61"/>
      <c r="M175" s="61"/>
    </row>
    <row r="176" spans="1:20" x14ac:dyDescent="0.2">
      <c r="C176" s="61"/>
      <c r="D176" t="s">
        <v>475</v>
      </c>
      <c r="H176" s="519"/>
      <c r="L176" s="61"/>
      <c r="M176" s="61"/>
    </row>
    <row r="177" spans="1:23" x14ac:dyDescent="0.2">
      <c r="C177" s="61"/>
      <c r="D177" s="521" t="s">
        <v>245</v>
      </c>
      <c r="H177" s="519"/>
      <c r="L177" s="61"/>
      <c r="M177" s="61"/>
      <c r="V177" s="1232" t="str">
        <f>IF(U177=Y153," ","Recheck number. Must match 4 above.")</f>
        <v xml:space="preserve"> </v>
      </c>
      <c r="W177" s="1232"/>
    </row>
    <row r="178" spans="1:23" x14ac:dyDescent="0.2">
      <c r="C178" s="61"/>
      <c r="D178" s="521" t="s">
        <v>246</v>
      </c>
      <c r="H178" s="519"/>
      <c r="L178" s="61"/>
      <c r="M178" s="61"/>
    </row>
    <row r="179" spans="1:23" ht="24" customHeight="1" thickBot="1" x14ac:dyDescent="0.25">
      <c r="C179" s="61"/>
      <c r="D179" s="61"/>
      <c r="E179" s="61"/>
      <c r="H179" s="263">
        <f>SUM(H171:H178)</f>
        <v>0</v>
      </c>
      <c r="I179" s="1232" t="str">
        <f>IF(H179=M167+Q167," ","Recheck number. Must match loss amt. in 4 above.")</f>
        <v xml:space="preserve"> </v>
      </c>
      <c r="J179" s="1232"/>
      <c r="K179" s="1232"/>
      <c r="L179" s="61"/>
      <c r="M179" s="61"/>
      <c r="T179" s="610"/>
    </row>
    <row r="180" spans="1:23" ht="13.5" thickTop="1" x14ac:dyDescent="0.2">
      <c r="C180" s="70"/>
      <c r="L180" s="61"/>
      <c r="M180" s="61"/>
      <c r="N180" s="61"/>
      <c r="O180" s="61"/>
      <c r="P180" s="61"/>
    </row>
    <row r="181" spans="1:23" ht="11.25" customHeight="1" x14ac:dyDescent="0.2">
      <c r="B181" s="605" t="s">
        <v>879</v>
      </c>
      <c r="C181" s="1236" t="s">
        <v>854</v>
      </c>
      <c r="D181" s="1236"/>
      <c r="E181" s="1236"/>
      <c r="F181" s="1236"/>
      <c r="G181" s="1236"/>
      <c r="H181" s="1236"/>
      <c r="I181" s="1236"/>
      <c r="J181" s="54"/>
      <c r="K181" s="54"/>
      <c r="L181" s="72"/>
      <c r="M181" s="1237"/>
      <c r="O181" s="72"/>
      <c r="P181" s="72"/>
      <c r="Q181" s="54"/>
      <c r="R181" s="54"/>
    </row>
    <row r="182" spans="1:23" x14ac:dyDescent="0.2">
      <c r="B182" s="54"/>
      <c r="C182" s="125" t="s">
        <v>83</v>
      </c>
      <c r="D182" s="54" t="s">
        <v>36</v>
      </c>
      <c r="F182" s="54"/>
      <c r="G182" s="54"/>
      <c r="H182" s="54"/>
      <c r="I182" s="54"/>
      <c r="J182" s="54"/>
      <c r="K182" s="54"/>
      <c r="L182" s="491"/>
      <c r="M182" s="1238"/>
      <c r="O182" s="491"/>
      <c r="P182" s="491"/>
      <c r="Q182" s="495"/>
      <c r="R182" s="495"/>
    </row>
    <row r="183" spans="1:23" ht="6.75" customHeight="1" x14ac:dyDescent="0.2">
      <c r="B183" s="54"/>
      <c r="C183" s="125"/>
      <c r="D183" s="54"/>
      <c r="E183" s="54"/>
      <c r="F183" s="54"/>
      <c r="G183" s="54"/>
      <c r="H183" s="54"/>
      <c r="I183" s="54"/>
      <c r="J183" s="54"/>
      <c r="K183" s="54"/>
      <c r="L183" s="72"/>
      <c r="M183" s="72"/>
      <c r="N183" s="72"/>
      <c r="O183" s="72"/>
      <c r="P183" s="72"/>
      <c r="Q183" s="54"/>
      <c r="R183" s="54"/>
    </row>
    <row r="184" spans="1:23" ht="24.75" customHeight="1" thickBot="1" x14ac:dyDescent="0.25">
      <c r="B184" s="54"/>
      <c r="C184" s="54" t="s">
        <v>85</v>
      </c>
      <c r="D184" s="54"/>
      <c r="E184" s="1235" t="s">
        <v>37</v>
      </c>
      <c r="F184" s="1235"/>
      <c r="G184" s="1235"/>
      <c r="H184" s="1235"/>
      <c r="I184" s="1235"/>
      <c r="J184" s="54"/>
      <c r="K184" s="54"/>
      <c r="L184" s="72"/>
      <c r="M184" s="112">
        <f>M181-(M167+Q167)</f>
        <v>0</v>
      </c>
      <c r="O184" s="72"/>
      <c r="P184" s="72"/>
      <c r="Q184" s="54"/>
      <c r="R184" s="54"/>
    </row>
    <row r="185" spans="1:23" ht="12.75" customHeight="1" thickTop="1" x14ac:dyDescent="0.2">
      <c r="B185" s="54"/>
      <c r="C185" s="54"/>
      <c r="D185" s="54"/>
      <c r="E185" s="54"/>
      <c r="F185" s="54"/>
      <c r="G185" s="54"/>
      <c r="H185" s="54"/>
      <c r="I185" s="54"/>
      <c r="J185" s="54"/>
      <c r="K185" s="54"/>
      <c r="L185" s="72"/>
      <c r="M185" s="72"/>
      <c r="O185" s="72"/>
      <c r="P185" s="72"/>
      <c r="Q185" s="54"/>
      <c r="R185" s="54"/>
    </row>
    <row r="186" spans="1:23" ht="12.75" customHeight="1" x14ac:dyDescent="0.2">
      <c r="B186" s="54"/>
      <c r="C186" s="54"/>
      <c r="D186" s="54"/>
      <c r="E186" s="54"/>
      <c r="F186" s="54"/>
      <c r="G186" s="54"/>
      <c r="H186" s="54"/>
      <c r="I186" s="54"/>
      <c r="J186" s="54"/>
      <c r="K186" s="54"/>
      <c r="L186" s="72"/>
      <c r="M186" s="72"/>
      <c r="O186" s="72"/>
      <c r="P186" s="72"/>
      <c r="Q186" s="54"/>
      <c r="R186" s="54"/>
    </row>
    <row r="187" spans="1:23" ht="25.5" customHeight="1" x14ac:dyDescent="0.2">
      <c r="A187" s="4" t="s">
        <v>828</v>
      </c>
      <c r="B187" s="1207" t="s">
        <v>703</v>
      </c>
      <c r="C187" s="1208"/>
      <c r="D187" s="1208"/>
      <c r="E187" s="1208"/>
      <c r="F187" s="1208"/>
      <c r="G187" s="1208"/>
      <c r="H187" s="1208"/>
      <c r="I187" s="1208"/>
      <c r="J187" s="1208"/>
      <c r="K187" s="1208"/>
      <c r="L187" s="1208"/>
      <c r="M187" s="1208"/>
      <c r="N187" s="1208"/>
      <c r="O187" s="1208"/>
      <c r="P187" s="1208"/>
      <c r="Q187" s="1208"/>
      <c r="R187" s="1208"/>
      <c r="S187" s="1208"/>
      <c r="T187" s="1209"/>
    </row>
    <row r="188" spans="1:23" ht="12.75" customHeight="1" x14ac:dyDescent="0.2">
      <c r="B188" s="64" t="s">
        <v>328</v>
      </c>
      <c r="C188" s="1126" t="s">
        <v>973</v>
      </c>
      <c r="D188" s="1126"/>
      <c r="E188" s="1126"/>
      <c r="F188" s="1126"/>
      <c r="G188" s="1126"/>
      <c r="H188" s="1126"/>
      <c r="I188" s="1126"/>
      <c r="J188" s="1126"/>
      <c r="K188" s="54"/>
      <c r="L188" s="72"/>
      <c r="M188" s="72"/>
      <c r="O188" s="72"/>
      <c r="P188" s="72"/>
      <c r="Q188" s="54"/>
      <c r="R188" s="54"/>
    </row>
    <row r="189" spans="1:23" ht="12.75" customHeight="1" x14ac:dyDescent="0.2">
      <c r="C189" s="1126"/>
      <c r="D189" s="1126"/>
      <c r="E189" s="1126"/>
      <c r="F189" s="1126"/>
      <c r="G189" s="1126"/>
      <c r="H189" s="1126"/>
      <c r="I189" s="1126"/>
      <c r="J189" s="1126"/>
      <c r="K189" s="54"/>
      <c r="L189" s="72"/>
      <c r="M189" s="72"/>
      <c r="O189" s="72"/>
      <c r="P189" s="72"/>
      <c r="Q189" s="54"/>
      <c r="R189" s="54"/>
    </row>
    <row r="190" spans="1:23" ht="12.75" customHeight="1" x14ac:dyDescent="0.2">
      <c r="C190" t="s">
        <v>83</v>
      </c>
      <c r="D190" s="1126" t="s">
        <v>73</v>
      </c>
      <c r="E190" s="1126"/>
      <c r="F190" s="1126"/>
      <c r="G190" s="1126"/>
      <c r="H190" s="1126"/>
      <c r="I190" s="1126"/>
      <c r="J190" s="1126"/>
      <c r="K190" s="54"/>
      <c r="L190" s="72"/>
      <c r="M190" s="72"/>
      <c r="O190" s="72"/>
      <c r="P190" s="72"/>
      <c r="Q190" s="54"/>
      <c r="R190" s="54"/>
    </row>
    <row r="191" spans="1:23" ht="12.75" customHeight="1" x14ac:dyDescent="0.2">
      <c r="D191" s="1126"/>
      <c r="E191" s="1126"/>
      <c r="F191" s="1126"/>
      <c r="G191" s="1126"/>
      <c r="H191" s="1126"/>
      <c r="I191" s="1126"/>
      <c r="J191" s="1126"/>
      <c r="K191" s="54"/>
      <c r="L191" s="72"/>
      <c r="M191" s="72"/>
      <c r="O191" s="72"/>
      <c r="P191" s="72"/>
      <c r="Q191" s="54"/>
      <c r="R191" s="54"/>
    </row>
    <row r="192" spans="1:23" ht="12.75" customHeight="1" x14ac:dyDescent="0.2">
      <c r="D192" t="s">
        <v>972</v>
      </c>
      <c r="I192" s="519"/>
      <c r="J192" s="54"/>
      <c r="K192" s="54"/>
      <c r="L192" s="72"/>
      <c r="M192" s="72"/>
      <c r="O192" s="72"/>
      <c r="P192" s="72"/>
      <c r="Q192" s="54"/>
      <c r="R192" s="54"/>
    </row>
    <row r="193" spans="3:18" ht="12.75" customHeight="1" x14ac:dyDescent="0.2">
      <c r="D193" t="s">
        <v>443</v>
      </c>
      <c r="I193" s="519"/>
      <c r="J193" s="54"/>
      <c r="K193" s="54"/>
      <c r="L193" s="72"/>
      <c r="M193" s="72"/>
      <c r="O193" s="72"/>
      <c r="P193" s="72"/>
      <c r="Q193" s="54"/>
      <c r="R193" s="54"/>
    </row>
    <row r="194" spans="3:18" ht="12.75" customHeight="1" x14ac:dyDescent="0.2">
      <c r="J194" s="54"/>
      <c r="K194" s="54"/>
      <c r="L194" s="72"/>
      <c r="M194" s="72"/>
      <c r="O194" s="72"/>
      <c r="P194" s="72"/>
      <c r="Q194" s="54"/>
      <c r="R194" s="54"/>
    </row>
    <row r="195" spans="3:18" ht="12.75" customHeight="1" x14ac:dyDescent="0.2">
      <c r="C195" t="s">
        <v>85</v>
      </c>
      <c r="D195" s="1234" t="s">
        <v>617</v>
      </c>
      <c r="E195" s="1234"/>
      <c r="F195" s="1234"/>
      <c r="G195" s="1234"/>
      <c r="H195" s="1234"/>
      <c r="I195" s="1234"/>
      <c r="J195" s="1234"/>
      <c r="K195" s="609"/>
      <c r="L195" s="72"/>
      <c r="M195" s="72"/>
    </row>
    <row r="196" spans="3:18" ht="12.75" customHeight="1" x14ac:dyDescent="0.2">
      <c r="C196" s="609"/>
      <c r="D196" s="1234"/>
      <c r="E196" s="1234"/>
      <c r="F196" s="1234"/>
      <c r="G196" s="1234"/>
      <c r="H196" s="1234"/>
      <c r="I196" s="1234"/>
      <c r="J196" s="1234"/>
      <c r="K196" s="609"/>
      <c r="L196" s="72"/>
      <c r="M196" s="72"/>
    </row>
    <row r="197" spans="3:18" ht="12.75" customHeight="1" x14ac:dyDescent="0.2">
      <c r="C197" s="609"/>
      <c r="D197" s="1234"/>
      <c r="E197" s="1234"/>
      <c r="F197" s="1234"/>
      <c r="G197" s="1234"/>
      <c r="H197" s="1234"/>
      <c r="I197" s="1234"/>
      <c r="J197" s="1234"/>
      <c r="L197" s="72"/>
      <c r="M197" s="72"/>
    </row>
    <row r="198" spans="3:18" ht="12.75" customHeight="1" x14ac:dyDescent="0.2">
      <c r="C198" s="70"/>
      <c r="E198" t="s">
        <v>971</v>
      </c>
      <c r="I198" s="519"/>
      <c r="L198" s="72"/>
      <c r="M198" s="72"/>
    </row>
    <row r="199" spans="3:18" ht="12.75" customHeight="1" x14ac:dyDescent="0.2">
      <c r="C199" s="70"/>
      <c r="E199" t="s">
        <v>498</v>
      </c>
      <c r="I199" s="519"/>
      <c r="L199" s="72"/>
      <c r="M199" s="72"/>
    </row>
    <row r="200" spans="3:18" ht="12.75" customHeight="1" x14ac:dyDescent="0.2">
      <c r="C200" s="70"/>
      <c r="E200" t="s">
        <v>895</v>
      </c>
      <c r="I200" s="519"/>
      <c r="L200" s="72"/>
      <c r="M200" s="72"/>
    </row>
    <row r="201" spans="3:18" ht="12.75" customHeight="1" x14ac:dyDescent="0.2">
      <c r="C201" s="70"/>
      <c r="E201" t="s">
        <v>896</v>
      </c>
      <c r="I201" s="519"/>
      <c r="L201" s="72"/>
      <c r="M201" s="72"/>
    </row>
    <row r="202" spans="3:18" ht="12.75" customHeight="1" x14ac:dyDescent="0.2">
      <c r="C202" s="70"/>
      <c r="E202" t="s">
        <v>481</v>
      </c>
      <c r="I202" s="519"/>
      <c r="L202" s="72"/>
      <c r="M202" s="72"/>
    </row>
    <row r="203" spans="3:18" ht="12.75" customHeight="1" x14ac:dyDescent="0.2">
      <c r="C203" s="70"/>
      <c r="E203" t="s">
        <v>470</v>
      </c>
      <c r="I203" s="519"/>
      <c r="L203" s="72"/>
      <c r="M203" s="72"/>
    </row>
    <row r="204" spans="3:18" ht="12.75" customHeight="1" x14ac:dyDescent="0.2">
      <c r="C204" s="70"/>
      <c r="E204" t="s">
        <v>402</v>
      </c>
      <c r="I204" s="519"/>
      <c r="L204" s="72"/>
      <c r="M204" s="72"/>
    </row>
    <row r="205" spans="3:18" ht="12.75" customHeight="1" x14ac:dyDescent="0.2">
      <c r="C205" s="70"/>
      <c r="E205" t="s">
        <v>926</v>
      </c>
      <c r="I205" s="519"/>
      <c r="L205" s="72"/>
      <c r="M205" s="72"/>
    </row>
    <row r="206" spans="3:18" ht="12.75" customHeight="1" x14ac:dyDescent="0.2">
      <c r="C206" s="70"/>
      <c r="E206" t="s">
        <v>203</v>
      </c>
      <c r="I206" s="519"/>
      <c r="L206" s="72"/>
      <c r="M206" s="72"/>
    </row>
    <row r="207" spans="3:18" x14ac:dyDescent="0.2">
      <c r="C207" s="70"/>
      <c r="J207" s="1232" t="str">
        <f>IF(I208=M184," ","Recheck entry. Total must match net gain or loss in 5.b above.")</f>
        <v xml:space="preserve"> </v>
      </c>
      <c r="K207" s="1232"/>
      <c r="L207" s="1232"/>
      <c r="M207" s="72"/>
    </row>
    <row r="208" spans="3:18" x14ac:dyDescent="0.2">
      <c r="H208" s="36" t="s">
        <v>618</v>
      </c>
      <c r="I208" s="616">
        <f>I192+I193+I198+I199+I200+I201+I202+I203+I204+I205+I206</f>
        <v>0</v>
      </c>
      <c r="J208" s="1232"/>
      <c r="K208" s="1232"/>
      <c r="L208" s="1232"/>
      <c r="M208" s="10"/>
      <c r="O208" s="603"/>
    </row>
    <row r="209" spans="1:20" x14ac:dyDescent="0.2">
      <c r="H209" s="36"/>
      <c r="I209" s="618"/>
      <c r="J209" s="610"/>
      <c r="K209" s="610"/>
      <c r="L209" s="610"/>
      <c r="M209" s="10"/>
      <c r="O209" s="603"/>
    </row>
    <row r="210" spans="1:20" ht="26.25" customHeight="1" x14ac:dyDescent="0.2">
      <c r="A210" s="4" t="s">
        <v>829</v>
      </c>
      <c r="B210" s="1228" t="s">
        <v>1007</v>
      </c>
      <c r="C210" s="1229"/>
      <c r="D210" s="1229"/>
      <c r="E210" s="1229"/>
      <c r="F210" s="1229"/>
      <c r="G210" s="1229"/>
      <c r="H210" s="1229"/>
      <c r="I210" s="1229"/>
      <c r="J210" s="1229"/>
      <c r="K210" s="1229"/>
      <c r="L210" s="1229"/>
      <c r="M210" s="1229"/>
      <c r="N210" s="1229"/>
      <c r="O210" s="1229"/>
      <c r="P210" s="1229"/>
      <c r="Q210" s="1229"/>
      <c r="R210" s="1229"/>
      <c r="S210" s="1229"/>
      <c r="T210" s="1230"/>
    </row>
    <row r="211" spans="1:20" ht="3.75" customHeight="1" x14ac:dyDescent="0.2"/>
    <row r="212" spans="1:20" x14ac:dyDescent="0.2">
      <c r="E212" t="s">
        <v>187</v>
      </c>
      <c r="M212" s="74" t="s">
        <v>65</v>
      </c>
      <c r="N212" s="70"/>
      <c r="O212" s="74" t="s">
        <v>66</v>
      </c>
    </row>
    <row r="213" spans="1:20" ht="4.5" customHeight="1" x14ac:dyDescent="0.2"/>
    <row r="214" spans="1:20" x14ac:dyDescent="0.2">
      <c r="D214" t="s">
        <v>446</v>
      </c>
      <c r="E214" t="s">
        <v>179</v>
      </c>
      <c r="M214" s="103">
        <f t="shared" ref="M214:M224" si="1">AB292</f>
        <v>0</v>
      </c>
      <c r="N214" s="13"/>
      <c r="O214" s="103">
        <f t="shared" ref="O214:O223" si="2">AC292</f>
        <v>0</v>
      </c>
    </row>
    <row r="215" spans="1:20" x14ac:dyDescent="0.2">
      <c r="E215" t="s">
        <v>180</v>
      </c>
      <c r="M215" s="103">
        <f t="shared" si="1"/>
        <v>0</v>
      </c>
      <c r="N215" s="13"/>
      <c r="O215" s="103">
        <f t="shared" si="2"/>
        <v>0</v>
      </c>
    </row>
    <row r="216" spans="1:20" x14ac:dyDescent="0.2">
      <c r="E216" t="s">
        <v>181</v>
      </c>
      <c r="M216" s="103">
        <f t="shared" si="1"/>
        <v>0</v>
      </c>
      <c r="N216" s="13"/>
      <c r="O216" s="103">
        <f t="shared" si="2"/>
        <v>0</v>
      </c>
    </row>
    <row r="217" spans="1:20" x14ac:dyDescent="0.2">
      <c r="E217" t="s">
        <v>182</v>
      </c>
      <c r="M217" s="103">
        <f t="shared" si="1"/>
        <v>0</v>
      </c>
      <c r="N217" s="13"/>
      <c r="O217" s="103">
        <f t="shared" si="2"/>
        <v>0</v>
      </c>
    </row>
    <row r="218" spans="1:20" x14ac:dyDescent="0.2">
      <c r="E218" s="521" t="s">
        <v>326</v>
      </c>
      <c r="M218" s="103">
        <f t="shared" si="1"/>
        <v>0</v>
      </c>
      <c r="N218" s="13"/>
      <c r="O218" s="103">
        <f t="shared" si="2"/>
        <v>0</v>
      </c>
    </row>
    <row r="219" spans="1:20" x14ac:dyDescent="0.2">
      <c r="E219" s="521" t="s">
        <v>327</v>
      </c>
      <c r="M219" s="103">
        <f t="shared" si="1"/>
        <v>0</v>
      </c>
      <c r="N219" s="13"/>
      <c r="O219" s="103">
        <f t="shared" si="2"/>
        <v>0</v>
      </c>
    </row>
    <row r="220" spans="1:20" x14ac:dyDescent="0.2">
      <c r="E220" t="s">
        <v>183</v>
      </c>
      <c r="M220" s="103">
        <f t="shared" si="1"/>
        <v>0</v>
      </c>
      <c r="N220" s="13"/>
      <c r="O220" s="103">
        <f t="shared" si="2"/>
        <v>0</v>
      </c>
    </row>
    <row r="221" spans="1:20" x14ac:dyDescent="0.2">
      <c r="E221" t="s">
        <v>456</v>
      </c>
      <c r="M221" s="103">
        <f t="shared" si="1"/>
        <v>0</v>
      </c>
      <c r="N221" s="13"/>
      <c r="O221" s="103">
        <f t="shared" si="2"/>
        <v>0</v>
      </c>
    </row>
    <row r="222" spans="1:20" x14ac:dyDescent="0.2">
      <c r="E222" t="s">
        <v>533</v>
      </c>
      <c r="M222" s="103">
        <f t="shared" si="1"/>
        <v>0</v>
      </c>
      <c r="N222" s="13"/>
      <c r="O222" s="103">
        <f t="shared" si="2"/>
        <v>0</v>
      </c>
    </row>
    <row r="223" spans="1:20" x14ac:dyDescent="0.2">
      <c r="E223" t="s">
        <v>322</v>
      </c>
      <c r="M223" s="103">
        <f t="shared" si="1"/>
        <v>0</v>
      </c>
      <c r="N223" s="13"/>
      <c r="O223" s="103">
        <f t="shared" si="2"/>
        <v>0</v>
      </c>
    </row>
    <row r="224" spans="1:20" x14ac:dyDescent="0.2">
      <c r="E224" t="s">
        <v>982</v>
      </c>
      <c r="M224" s="103">
        <f t="shared" si="1"/>
        <v>0</v>
      </c>
      <c r="N224" s="13"/>
      <c r="O224" s="103">
        <f>AC302</f>
        <v>0</v>
      </c>
    </row>
    <row r="225" spans="4:15" x14ac:dyDescent="0.2">
      <c r="F225" t="s">
        <v>476</v>
      </c>
      <c r="M225" s="103">
        <f t="shared" ref="M225:M243" si="3">AB303</f>
        <v>0</v>
      </c>
      <c r="N225" s="13"/>
      <c r="O225" s="103">
        <f t="shared" ref="O225:O245" si="4">AC303</f>
        <v>0</v>
      </c>
    </row>
    <row r="226" spans="4:15" x14ac:dyDescent="0.2">
      <c r="F226" t="s">
        <v>477</v>
      </c>
      <c r="M226" s="103">
        <f t="shared" si="3"/>
        <v>0</v>
      </c>
      <c r="N226" s="13"/>
      <c r="O226" s="103">
        <f t="shared" si="4"/>
        <v>0</v>
      </c>
    </row>
    <row r="227" spans="4:15" x14ac:dyDescent="0.2">
      <c r="F227" t="s">
        <v>177</v>
      </c>
      <c r="M227" s="103">
        <f t="shared" si="3"/>
        <v>0</v>
      </c>
      <c r="N227" s="13"/>
      <c r="O227" s="103">
        <f t="shared" si="4"/>
        <v>0</v>
      </c>
    </row>
    <row r="228" spans="4:15" x14ac:dyDescent="0.2">
      <c r="F228" t="s">
        <v>474</v>
      </c>
      <c r="M228" s="103">
        <f t="shared" si="3"/>
        <v>0</v>
      </c>
      <c r="N228" s="13"/>
      <c r="O228" s="103">
        <f t="shared" si="4"/>
        <v>0</v>
      </c>
    </row>
    <row r="229" spans="4:15" x14ac:dyDescent="0.2">
      <c r="F229" t="s">
        <v>178</v>
      </c>
      <c r="M229" s="103">
        <f t="shared" si="3"/>
        <v>0</v>
      </c>
      <c r="N229" s="13"/>
      <c r="O229" s="103">
        <f t="shared" si="4"/>
        <v>0</v>
      </c>
    </row>
    <row r="230" spans="4:15" x14ac:dyDescent="0.2">
      <c r="F230" t="s">
        <v>475</v>
      </c>
      <c r="M230" s="103">
        <f t="shared" si="3"/>
        <v>0</v>
      </c>
      <c r="N230" s="13"/>
      <c r="O230" s="103">
        <f t="shared" si="4"/>
        <v>0</v>
      </c>
    </row>
    <row r="231" spans="4:15" x14ac:dyDescent="0.2">
      <c r="F231" s="521" t="s">
        <v>245</v>
      </c>
      <c r="M231" s="103">
        <f t="shared" si="3"/>
        <v>0</v>
      </c>
      <c r="N231" s="13"/>
      <c r="O231" s="103">
        <f t="shared" si="4"/>
        <v>0</v>
      </c>
    </row>
    <row r="232" spans="4:15" x14ac:dyDescent="0.2">
      <c r="F232" s="521" t="s">
        <v>246</v>
      </c>
      <c r="M232" s="103">
        <f t="shared" si="3"/>
        <v>0</v>
      </c>
      <c r="N232" s="13"/>
      <c r="O232" s="103">
        <f t="shared" si="4"/>
        <v>0</v>
      </c>
    </row>
    <row r="233" spans="4:15" ht="15" x14ac:dyDescent="0.2">
      <c r="F233" t="s">
        <v>534</v>
      </c>
      <c r="M233" s="103">
        <f t="shared" si="3"/>
        <v>0</v>
      </c>
      <c r="N233" s="13"/>
      <c r="O233" s="103">
        <f t="shared" si="4"/>
        <v>0</v>
      </c>
    </row>
    <row r="234" spans="4:15" ht="15" x14ac:dyDescent="0.2">
      <c r="F234" t="s">
        <v>535</v>
      </c>
      <c r="M234" s="103">
        <f t="shared" si="3"/>
        <v>0</v>
      </c>
      <c r="N234" s="13"/>
      <c r="O234" s="103">
        <f t="shared" si="4"/>
        <v>0</v>
      </c>
    </row>
    <row r="235" spans="4:15" ht="4.5" customHeight="1" x14ac:dyDescent="0.2">
      <c r="M235" s="56"/>
      <c r="N235" s="13"/>
      <c r="O235" s="56"/>
    </row>
    <row r="236" spans="4:15" x14ac:dyDescent="0.2">
      <c r="D236" t="s">
        <v>445</v>
      </c>
      <c r="E236" t="s">
        <v>476</v>
      </c>
      <c r="M236" s="103">
        <f t="shared" si="3"/>
        <v>0</v>
      </c>
      <c r="N236" s="13"/>
      <c r="O236" s="103">
        <f t="shared" si="4"/>
        <v>0</v>
      </c>
    </row>
    <row r="237" spans="4:15" x14ac:dyDescent="0.2">
      <c r="E237" t="s">
        <v>477</v>
      </c>
      <c r="M237" s="103">
        <f t="shared" si="3"/>
        <v>0</v>
      </c>
      <c r="N237" s="13"/>
      <c r="O237" s="103">
        <f t="shared" si="4"/>
        <v>0</v>
      </c>
    </row>
    <row r="238" spans="4:15" x14ac:dyDescent="0.2">
      <c r="E238" t="s">
        <v>177</v>
      </c>
      <c r="M238" s="103">
        <f t="shared" si="3"/>
        <v>0</v>
      </c>
      <c r="N238" s="13"/>
      <c r="O238" s="103">
        <f t="shared" si="4"/>
        <v>0</v>
      </c>
    </row>
    <row r="239" spans="4:15" x14ac:dyDescent="0.2">
      <c r="E239" t="s">
        <v>474</v>
      </c>
      <c r="M239" s="103">
        <f t="shared" si="3"/>
        <v>0</v>
      </c>
      <c r="N239" s="13"/>
      <c r="O239" s="103">
        <f t="shared" si="4"/>
        <v>0</v>
      </c>
    </row>
    <row r="240" spans="4:15" x14ac:dyDescent="0.2">
      <c r="E240" t="s">
        <v>178</v>
      </c>
      <c r="M240" s="103">
        <f t="shared" si="3"/>
        <v>0</v>
      </c>
      <c r="N240" s="13"/>
      <c r="O240" s="103">
        <f t="shared" si="4"/>
        <v>0</v>
      </c>
    </row>
    <row r="241" spans="4:15" x14ac:dyDescent="0.2">
      <c r="E241" t="s">
        <v>475</v>
      </c>
      <c r="M241" s="103">
        <f t="shared" si="3"/>
        <v>0</v>
      </c>
      <c r="N241" s="13"/>
      <c r="O241" s="103">
        <f t="shared" si="4"/>
        <v>0</v>
      </c>
    </row>
    <row r="242" spans="4:15" x14ac:dyDescent="0.2">
      <c r="E242" s="521" t="s">
        <v>245</v>
      </c>
      <c r="M242" s="103">
        <f t="shared" si="3"/>
        <v>0</v>
      </c>
      <c r="N242" s="13"/>
      <c r="O242" s="103">
        <f t="shared" si="4"/>
        <v>0</v>
      </c>
    </row>
    <row r="243" spans="4:15" x14ac:dyDescent="0.2">
      <c r="E243" s="521" t="s">
        <v>246</v>
      </c>
      <c r="M243" s="103">
        <f t="shared" si="3"/>
        <v>0</v>
      </c>
      <c r="N243" s="13"/>
      <c r="O243" s="103">
        <f t="shared" si="4"/>
        <v>0</v>
      </c>
    </row>
    <row r="244" spans="4:15" x14ac:dyDescent="0.2">
      <c r="F244" t="s">
        <v>444</v>
      </c>
      <c r="M244" s="103">
        <f>AB322</f>
        <v>0</v>
      </c>
      <c r="N244" s="13"/>
      <c r="O244" s="103">
        <f t="shared" si="4"/>
        <v>0</v>
      </c>
    </row>
    <row r="245" spans="4:15" x14ac:dyDescent="0.2">
      <c r="F245" s="13" t="s">
        <v>728</v>
      </c>
      <c r="G245" s="13"/>
      <c r="M245" s="103">
        <f>AB323</f>
        <v>0</v>
      </c>
      <c r="N245" s="13"/>
      <c r="O245" s="103">
        <f t="shared" si="4"/>
        <v>0</v>
      </c>
    </row>
    <row r="246" spans="4:15" x14ac:dyDescent="0.2">
      <c r="F246" t="s">
        <v>981</v>
      </c>
      <c r="M246" s="103">
        <f>AB324</f>
        <v>0</v>
      </c>
      <c r="N246" s="13"/>
      <c r="O246" s="103">
        <f>AC324</f>
        <v>0</v>
      </c>
    </row>
    <row r="247" spans="4:15" ht="4.5" customHeight="1" x14ac:dyDescent="0.2">
      <c r="M247" s="56"/>
      <c r="N247" s="13"/>
      <c r="O247" s="56"/>
    </row>
    <row r="248" spans="4:15" x14ac:dyDescent="0.2">
      <c r="D248" t="s">
        <v>371</v>
      </c>
      <c r="E248" t="s">
        <v>895</v>
      </c>
      <c r="M248" s="103">
        <f t="shared" ref="M248:M255" si="5">AB326</f>
        <v>0</v>
      </c>
      <c r="N248" s="13"/>
      <c r="O248" s="103">
        <f t="shared" ref="O248:O255" si="6">AC326</f>
        <v>0</v>
      </c>
    </row>
    <row r="249" spans="4:15" x14ac:dyDescent="0.2">
      <c r="E249" t="s">
        <v>896</v>
      </c>
      <c r="M249" s="103">
        <f t="shared" si="5"/>
        <v>0</v>
      </c>
      <c r="N249" s="13"/>
      <c r="O249" s="103">
        <f t="shared" si="6"/>
        <v>0</v>
      </c>
    </row>
    <row r="250" spans="4:15" x14ac:dyDescent="0.2">
      <c r="E250" t="s">
        <v>481</v>
      </c>
      <c r="M250" s="103">
        <f t="shared" si="5"/>
        <v>0</v>
      </c>
      <c r="N250" s="13"/>
      <c r="O250" s="103">
        <f t="shared" si="6"/>
        <v>0</v>
      </c>
    </row>
    <row r="251" spans="4:15" x14ac:dyDescent="0.2">
      <c r="E251" t="s">
        <v>470</v>
      </c>
      <c r="M251" s="103">
        <f t="shared" si="5"/>
        <v>0</v>
      </c>
      <c r="N251" s="13"/>
      <c r="O251" s="103">
        <f t="shared" si="6"/>
        <v>0</v>
      </c>
    </row>
    <row r="252" spans="4:15" x14ac:dyDescent="0.2">
      <c r="E252" t="s">
        <v>101</v>
      </c>
      <c r="M252" s="103">
        <f t="shared" si="5"/>
        <v>0</v>
      </c>
      <c r="N252" s="13"/>
      <c r="O252" s="103">
        <f t="shared" si="6"/>
        <v>0</v>
      </c>
    </row>
    <row r="253" spans="4:15" x14ac:dyDescent="0.2">
      <c r="E253" t="s">
        <v>926</v>
      </c>
      <c r="M253" s="103">
        <f t="shared" si="5"/>
        <v>0</v>
      </c>
      <c r="N253" s="13"/>
      <c r="O253" s="103">
        <f t="shared" si="6"/>
        <v>0</v>
      </c>
    </row>
    <row r="254" spans="4:15" x14ac:dyDescent="0.2">
      <c r="E254" s="521" t="s">
        <v>203</v>
      </c>
      <c r="M254" s="103">
        <f t="shared" si="5"/>
        <v>0</v>
      </c>
      <c r="N254" s="13"/>
      <c r="O254" s="103">
        <f t="shared" si="6"/>
        <v>0</v>
      </c>
    </row>
    <row r="255" spans="4:15" x14ac:dyDescent="0.2">
      <c r="F255" t="s">
        <v>372</v>
      </c>
      <c r="M255" s="103">
        <f t="shared" si="5"/>
        <v>0</v>
      </c>
      <c r="N255" s="13"/>
      <c r="O255" s="103">
        <f t="shared" si="6"/>
        <v>0</v>
      </c>
    </row>
    <row r="256" spans="4:15" ht="4.5" customHeight="1" x14ac:dyDescent="0.2"/>
    <row r="257" spans="4:15" x14ac:dyDescent="0.2">
      <c r="D257" t="s">
        <v>968</v>
      </c>
      <c r="E257" t="s">
        <v>511</v>
      </c>
      <c r="M257" s="103">
        <f t="shared" ref="M257:M275" si="7">AB335</f>
        <v>0</v>
      </c>
      <c r="O257" s="104"/>
    </row>
    <row r="258" spans="4:15" x14ac:dyDescent="0.2">
      <c r="F258" t="s">
        <v>476</v>
      </c>
      <c r="M258" s="103">
        <f t="shared" si="7"/>
        <v>0</v>
      </c>
      <c r="O258" s="103">
        <f t="shared" ref="O258:O275" si="8">AC336</f>
        <v>0</v>
      </c>
    </row>
    <row r="259" spans="4:15" x14ac:dyDescent="0.2">
      <c r="F259" t="s">
        <v>477</v>
      </c>
      <c r="M259" s="103">
        <f t="shared" si="7"/>
        <v>0</v>
      </c>
      <c r="O259" s="103">
        <f t="shared" si="8"/>
        <v>0</v>
      </c>
    </row>
    <row r="260" spans="4:15" x14ac:dyDescent="0.2">
      <c r="F260" t="s">
        <v>177</v>
      </c>
      <c r="M260" s="103">
        <f t="shared" si="7"/>
        <v>0</v>
      </c>
      <c r="O260" s="103">
        <f t="shared" si="8"/>
        <v>0</v>
      </c>
    </row>
    <row r="261" spans="4:15" x14ac:dyDescent="0.2">
      <c r="F261" t="s">
        <v>474</v>
      </c>
      <c r="M261" s="103">
        <f t="shared" si="7"/>
        <v>0</v>
      </c>
      <c r="O261" s="103">
        <f t="shared" si="8"/>
        <v>0</v>
      </c>
    </row>
    <row r="262" spans="4:15" x14ac:dyDescent="0.2">
      <c r="F262" t="s">
        <v>178</v>
      </c>
      <c r="M262" s="103">
        <f t="shared" si="7"/>
        <v>0</v>
      </c>
      <c r="O262" s="103">
        <f t="shared" si="8"/>
        <v>0</v>
      </c>
    </row>
    <row r="263" spans="4:15" x14ac:dyDescent="0.2">
      <c r="F263" t="s">
        <v>475</v>
      </c>
      <c r="M263" s="103">
        <f t="shared" si="7"/>
        <v>0</v>
      </c>
      <c r="O263" s="103">
        <f t="shared" si="8"/>
        <v>0</v>
      </c>
    </row>
    <row r="264" spans="4:15" x14ac:dyDescent="0.2">
      <c r="F264" s="521" t="s">
        <v>245</v>
      </c>
      <c r="M264" s="103">
        <f t="shared" si="7"/>
        <v>0</v>
      </c>
      <c r="O264" s="103">
        <f t="shared" si="8"/>
        <v>0</v>
      </c>
    </row>
    <row r="265" spans="4:15" x14ac:dyDescent="0.2">
      <c r="F265" s="521" t="s">
        <v>246</v>
      </c>
      <c r="M265" s="103">
        <f t="shared" si="7"/>
        <v>0</v>
      </c>
      <c r="O265" s="103">
        <f t="shared" si="8"/>
        <v>0</v>
      </c>
    </row>
    <row r="266" spans="4:15" x14ac:dyDescent="0.2">
      <c r="F266" s="521" t="s">
        <v>443</v>
      </c>
      <c r="M266" s="103">
        <f t="shared" si="7"/>
        <v>0</v>
      </c>
      <c r="O266" s="103">
        <f t="shared" si="8"/>
        <v>0</v>
      </c>
    </row>
    <row r="267" spans="4:15" x14ac:dyDescent="0.2">
      <c r="F267" s="521" t="s">
        <v>202</v>
      </c>
      <c r="M267" s="103">
        <f t="shared" si="7"/>
        <v>0</v>
      </c>
      <c r="O267" s="103">
        <f t="shared" si="8"/>
        <v>0</v>
      </c>
    </row>
    <row r="268" spans="4:15" x14ac:dyDescent="0.2">
      <c r="E268" t="s">
        <v>498</v>
      </c>
      <c r="M268" s="103">
        <f t="shared" si="7"/>
        <v>0</v>
      </c>
      <c r="O268" s="103">
        <f t="shared" si="8"/>
        <v>0</v>
      </c>
    </row>
    <row r="269" spans="4:15" x14ac:dyDescent="0.2">
      <c r="E269" t="s">
        <v>895</v>
      </c>
      <c r="M269" s="103">
        <f t="shared" si="7"/>
        <v>0</v>
      </c>
      <c r="O269" s="103">
        <f t="shared" si="8"/>
        <v>0</v>
      </c>
    </row>
    <row r="270" spans="4:15" x14ac:dyDescent="0.2">
      <c r="E270" t="s">
        <v>896</v>
      </c>
      <c r="M270" s="103">
        <f t="shared" si="7"/>
        <v>0</v>
      </c>
      <c r="O270" s="103">
        <f t="shared" si="8"/>
        <v>0</v>
      </c>
    </row>
    <row r="271" spans="4:15" x14ac:dyDescent="0.2">
      <c r="E271" t="s">
        <v>481</v>
      </c>
      <c r="M271" s="103">
        <f t="shared" si="7"/>
        <v>0</v>
      </c>
      <c r="O271" s="103">
        <f t="shared" si="8"/>
        <v>0</v>
      </c>
    </row>
    <row r="272" spans="4:15" x14ac:dyDescent="0.2">
      <c r="E272" t="s">
        <v>470</v>
      </c>
      <c r="M272" s="103">
        <f t="shared" si="7"/>
        <v>0</v>
      </c>
      <c r="O272" s="103">
        <f t="shared" si="8"/>
        <v>0</v>
      </c>
    </row>
    <row r="273" spans="4:27" x14ac:dyDescent="0.2">
      <c r="E273" t="s">
        <v>402</v>
      </c>
      <c r="M273" s="103">
        <f t="shared" si="7"/>
        <v>0</v>
      </c>
      <c r="O273" s="103">
        <f t="shared" si="8"/>
        <v>0</v>
      </c>
    </row>
    <row r="274" spans="4:27" x14ac:dyDescent="0.2">
      <c r="E274" t="s">
        <v>926</v>
      </c>
      <c r="M274" s="103">
        <f t="shared" si="7"/>
        <v>0</v>
      </c>
      <c r="O274" s="103">
        <f t="shared" si="8"/>
        <v>0</v>
      </c>
    </row>
    <row r="275" spans="4:27" x14ac:dyDescent="0.2">
      <c r="E275" t="s">
        <v>203</v>
      </c>
      <c r="M275" s="103">
        <f t="shared" si="7"/>
        <v>0</v>
      </c>
      <c r="O275" s="103">
        <f t="shared" si="8"/>
        <v>0</v>
      </c>
    </row>
    <row r="276" spans="4:27" ht="3" customHeight="1" x14ac:dyDescent="0.2"/>
    <row r="277" spans="4:27" ht="13.5" thickBot="1" x14ac:dyDescent="0.25">
      <c r="F277" t="s">
        <v>704</v>
      </c>
      <c r="M277" s="105">
        <f>SUM(M214:M275)</f>
        <v>0</v>
      </c>
      <c r="O277" s="105">
        <f>SUM(O214:O275)</f>
        <v>0</v>
      </c>
    </row>
    <row r="278" spans="4:27" ht="13.5" thickTop="1" x14ac:dyDescent="0.2"/>
    <row r="279" spans="4:27" ht="12" customHeight="1" x14ac:dyDescent="0.2">
      <c r="E279" s="117" t="s">
        <v>774</v>
      </c>
      <c r="F279" s="1253" t="s">
        <v>536</v>
      </c>
      <c r="G279" s="1253"/>
      <c r="H279" s="1253"/>
      <c r="I279" s="1253"/>
      <c r="J279" s="1253"/>
      <c r="K279" s="1253"/>
      <c r="L279" s="1253"/>
      <c r="M279" s="1253"/>
      <c r="N279" s="1253"/>
      <c r="O279" s="1253"/>
      <c r="P279" s="1253"/>
      <c r="Q279" s="1253"/>
      <c r="R279" s="1253"/>
      <c r="S279" s="1253"/>
      <c r="T279" s="1253"/>
    </row>
    <row r="280" spans="4:27" ht="12.75" customHeight="1" x14ac:dyDescent="0.2">
      <c r="E280" s="117"/>
      <c r="F280" s="1253"/>
      <c r="G280" s="1253"/>
      <c r="H280" s="1253"/>
      <c r="I280" s="1253"/>
      <c r="J280" s="1253"/>
      <c r="K280" s="1253"/>
      <c r="L280" s="1253"/>
      <c r="M280" s="1253"/>
      <c r="N280" s="1253"/>
      <c r="O280" s="1253"/>
      <c r="P280" s="1253"/>
      <c r="Q280" s="1253"/>
      <c r="R280" s="1253"/>
      <c r="S280" s="1253"/>
      <c r="T280" s="1253"/>
    </row>
    <row r="281" spans="4:27" ht="15" x14ac:dyDescent="0.2">
      <c r="D281" t="s">
        <v>778</v>
      </c>
      <c r="E281" s="117" t="s">
        <v>673</v>
      </c>
      <c r="F281" s="148" t="s">
        <v>46</v>
      </c>
    </row>
    <row r="288" spans="4:27" x14ac:dyDescent="0.2">
      <c r="Z288" s="8"/>
      <c r="AA288" s="8"/>
    </row>
    <row r="289" spans="1:29" ht="19.5" customHeight="1" x14ac:dyDescent="0.25">
      <c r="C289" s="1262" t="s">
        <v>825</v>
      </c>
      <c r="D289" s="1263"/>
      <c r="E289" s="1263"/>
      <c r="F289" s="1263"/>
      <c r="G289" s="1263"/>
      <c r="H289" s="1263"/>
      <c r="I289" s="1263"/>
      <c r="J289" s="1263"/>
      <c r="K289" s="1263"/>
      <c r="L289" s="1263"/>
      <c r="M289" s="1263"/>
      <c r="N289" s="1263"/>
      <c r="O289" s="1263"/>
      <c r="P289" s="1263"/>
      <c r="Q289" s="1263"/>
      <c r="R289" s="1263"/>
      <c r="S289" s="1263"/>
      <c r="T289" s="1263"/>
      <c r="U289" s="1263"/>
      <c r="V289" s="1263"/>
      <c r="W289" s="1263"/>
      <c r="X289" s="1263"/>
      <c r="Y289" s="1263"/>
      <c r="Z289" s="607"/>
      <c r="AA289" s="607"/>
      <c r="AB289" s="153"/>
    </row>
    <row r="290" spans="1:29" x14ac:dyDescent="0.2">
      <c r="L290" s="1220" t="s">
        <v>329</v>
      </c>
      <c r="M290" s="1224"/>
      <c r="N290" s="94"/>
      <c r="O290" s="1224" t="s">
        <v>330</v>
      </c>
      <c r="P290" s="1224"/>
      <c r="Q290" s="1224" t="s">
        <v>248</v>
      </c>
      <c r="R290" s="1224"/>
      <c r="S290" s="1255" t="s">
        <v>249</v>
      </c>
      <c r="T290" s="1255"/>
      <c r="U290" s="94"/>
      <c r="V290" s="1224" t="s">
        <v>250</v>
      </c>
      <c r="W290" s="1224"/>
      <c r="X290" s="1224" t="s">
        <v>418</v>
      </c>
      <c r="Y290" s="1224"/>
      <c r="Z290" s="1224" t="s">
        <v>419</v>
      </c>
      <c r="AA290" s="1221"/>
      <c r="AB290" s="1260" t="s">
        <v>251</v>
      </c>
      <c r="AC290" s="1261"/>
    </row>
    <row r="291" spans="1:29" x14ac:dyDescent="0.2">
      <c r="L291" s="95" t="s">
        <v>65</v>
      </c>
      <c r="M291" s="3" t="s">
        <v>66</v>
      </c>
      <c r="N291" s="3"/>
      <c r="O291" s="3" t="s">
        <v>65</v>
      </c>
      <c r="P291" s="3" t="s">
        <v>66</v>
      </c>
      <c r="Q291" s="3" t="s">
        <v>65</v>
      </c>
      <c r="R291" s="3" t="s">
        <v>66</v>
      </c>
      <c r="S291" s="3" t="s">
        <v>65</v>
      </c>
      <c r="T291" s="3" t="s">
        <v>66</v>
      </c>
      <c r="U291" s="3"/>
      <c r="V291" s="93" t="s">
        <v>332</v>
      </c>
      <c r="W291" s="93" t="s">
        <v>66</v>
      </c>
      <c r="X291" s="93" t="s">
        <v>332</v>
      </c>
      <c r="Y291" s="93" t="s">
        <v>66</v>
      </c>
      <c r="Z291" s="93" t="s">
        <v>332</v>
      </c>
      <c r="AA291" s="93" t="s">
        <v>66</v>
      </c>
      <c r="AB291" s="95" t="s">
        <v>65</v>
      </c>
      <c r="AC291" s="96" t="s">
        <v>66</v>
      </c>
    </row>
    <row r="292" spans="1:29" x14ac:dyDescent="0.2">
      <c r="A292" t="s">
        <v>446</v>
      </c>
      <c r="C292" t="s">
        <v>179</v>
      </c>
      <c r="L292" s="61">
        <f>M35+M38</f>
        <v>0</v>
      </c>
      <c r="M292" s="61"/>
      <c r="O292" s="61">
        <f>M53+M56</f>
        <v>0</v>
      </c>
      <c r="P292" s="61"/>
      <c r="Q292" s="5">
        <f>M76+M79</f>
        <v>0</v>
      </c>
      <c r="S292" s="61">
        <f>M93+M95</f>
        <v>0</v>
      </c>
      <c r="T292" s="61"/>
      <c r="V292" s="61"/>
      <c r="W292" s="61"/>
      <c r="X292" s="61"/>
      <c r="Y292" s="61"/>
      <c r="Z292" s="61"/>
      <c r="AA292" s="61"/>
      <c r="AB292" s="9">
        <f>L292+O292+Q292+S292+V292+X292</f>
        <v>0</v>
      </c>
      <c r="AC292" s="12">
        <f>M292+P292+R292+T292+W292+Y292</f>
        <v>0</v>
      </c>
    </row>
    <row r="293" spans="1:29" x14ac:dyDescent="0.2">
      <c r="C293" t="s">
        <v>180</v>
      </c>
      <c r="L293" s="61">
        <f>O35+O38</f>
        <v>0</v>
      </c>
      <c r="M293" s="61"/>
      <c r="O293" s="61">
        <f>O53+O56</f>
        <v>0</v>
      </c>
      <c r="P293" s="61"/>
      <c r="Q293" s="5">
        <f>O76+O79</f>
        <v>0</v>
      </c>
      <c r="S293" s="61">
        <f>O93+O95</f>
        <v>0</v>
      </c>
      <c r="T293" s="61"/>
      <c r="V293" s="61"/>
      <c r="W293" s="61"/>
      <c r="X293" s="61"/>
      <c r="Y293" s="61"/>
      <c r="Z293" s="61"/>
      <c r="AA293" s="61"/>
      <c r="AB293" s="9">
        <f t="shared" ref="AB293:AB334" si="9">L293+O293+Q293+S293+V293+X293</f>
        <v>0</v>
      </c>
      <c r="AC293" s="12">
        <f t="shared" ref="AC293:AC334" si="10">M293+P293+R293+T293+W293+Y293</f>
        <v>0</v>
      </c>
    </row>
    <row r="294" spans="1:29" x14ac:dyDescent="0.2">
      <c r="C294" t="s">
        <v>181</v>
      </c>
      <c r="L294" s="61"/>
      <c r="M294" s="61"/>
      <c r="O294" s="61">
        <f>P53+P56</f>
        <v>0</v>
      </c>
      <c r="P294" s="61"/>
      <c r="Q294" s="5">
        <f>P76+P79</f>
        <v>0</v>
      </c>
      <c r="S294" s="61">
        <f>P93+P95</f>
        <v>0</v>
      </c>
      <c r="T294" s="61"/>
      <c r="V294" s="61"/>
      <c r="W294" s="61"/>
      <c r="X294" s="61"/>
      <c r="Y294" s="61"/>
      <c r="Z294" s="61"/>
      <c r="AA294" s="61"/>
      <c r="AB294" s="9">
        <f t="shared" si="9"/>
        <v>0</v>
      </c>
      <c r="AC294" s="12">
        <f t="shared" si="10"/>
        <v>0</v>
      </c>
    </row>
    <row r="295" spans="1:29" x14ac:dyDescent="0.2">
      <c r="C295" t="s">
        <v>182</v>
      </c>
      <c r="L295" s="61"/>
      <c r="M295" s="61"/>
      <c r="O295" s="61">
        <f>Q53+Q56</f>
        <v>0</v>
      </c>
      <c r="P295" s="61"/>
      <c r="Q295" s="5">
        <f>Q76+Q79</f>
        <v>0</v>
      </c>
      <c r="S295" s="61">
        <f>Q93+Q95</f>
        <v>0</v>
      </c>
      <c r="T295" s="61"/>
      <c r="V295" s="61"/>
      <c r="W295" s="61"/>
      <c r="X295" s="61"/>
      <c r="Y295" s="61"/>
      <c r="Z295" s="61"/>
      <c r="AA295" s="61"/>
      <c r="AB295" s="9">
        <f t="shared" si="9"/>
        <v>0</v>
      </c>
      <c r="AC295" s="12">
        <f t="shared" si="10"/>
        <v>0</v>
      </c>
    </row>
    <row r="296" spans="1:29" x14ac:dyDescent="0.2">
      <c r="C296" t="s">
        <v>326</v>
      </c>
      <c r="L296" s="61">
        <f>R35+R38</f>
        <v>0</v>
      </c>
      <c r="M296" s="61"/>
      <c r="O296" s="61">
        <f>R53+R56</f>
        <v>0</v>
      </c>
      <c r="P296" s="61"/>
      <c r="Q296">
        <f>R76+R79</f>
        <v>0</v>
      </c>
      <c r="S296" s="61">
        <f>R93+R95</f>
        <v>0</v>
      </c>
      <c r="T296" s="61"/>
      <c r="V296" s="61"/>
      <c r="W296" s="61"/>
      <c r="X296" s="61"/>
      <c r="Y296" s="61"/>
      <c r="Z296" s="61"/>
      <c r="AA296" s="61"/>
      <c r="AB296" s="9">
        <f t="shared" si="9"/>
        <v>0</v>
      </c>
      <c r="AC296" s="12">
        <f t="shared" si="10"/>
        <v>0</v>
      </c>
    </row>
    <row r="297" spans="1:29" x14ac:dyDescent="0.2">
      <c r="C297" t="s">
        <v>327</v>
      </c>
      <c r="L297" s="61">
        <f>S35+S38</f>
        <v>0</v>
      </c>
      <c r="M297" s="61"/>
      <c r="O297" s="61">
        <f>S53+S56</f>
        <v>0</v>
      </c>
      <c r="P297" s="61"/>
      <c r="Q297">
        <f>S76+S79</f>
        <v>0</v>
      </c>
      <c r="S297" s="61">
        <f>S93+S95</f>
        <v>0</v>
      </c>
      <c r="T297" s="61"/>
      <c r="V297" s="61"/>
      <c r="W297" s="61"/>
      <c r="X297" s="61"/>
      <c r="Y297" s="61"/>
      <c r="Z297" s="61"/>
      <c r="AA297" s="61"/>
      <c r="AB297" s="9">
        <f t="shared" si="9"/>
        <v>0</v>
      </c>
      <c r="AC297" s="12">
        <f t="shared" si="10"/>
        <v>0</v>
      </c>
    </row>
    <row r="298" spans="1:29" x14ac:dyDescent="0.2">
      <c r="C298" t="s">
        <v>183</v>
      </c>
      <c r="L298" s="61"/>
      <c r="M298" s="61"/>
      <c r="O298" s="61"/>
      <c r="P298" s="61"/>
      <c r="S298" s="61">
        <f>T93+T95</f>
        <v>0</v>
      </c>
      <c r="T298" s="61"/>
      <c r="V298" s="61"/>
      <c r="W298" s="61"/>
      <c r="X298" s="61"/>
      <c r="Y298" s="61"/>
      <c r="Z298" s="61"/>
      <c r="AA298" s="61"/>
      <c r="AB298" s="9">
        <f t="shared" si="9"/>
        <v>0</v>
      </c>
      <c r="AC298" s="12">
        <f t="shared" si="10"/>
        <v>0</v>
      </c>
    </row>
    <row r="299" spans="1:29" x14ac:dyDescent="0.2">
      <c r="C299" t="s">
        <v>242</v>
      </c>
      <c r="L299" s="61">
        <f>L43+M43+O43+P43+Q43+R43+S43</f>
        <v>0</v>
      </c>
      <c r="M299" s="61"/>
      <c r="O299" s="61">
        <f>L63+M63+O63+P63+Q63+R63+S63</f>
        <v>0</v>
      </c>
      <c r="P299" s="61"/>
      <c r="S299" s="61"/>
      <c r="T299" s="61"/>
      <c r="V299" s="61"/>
      <c r="W299" s="61"/>
      <c r="X299" s="61"/>
      <c r="Y299" s="61"/>
      <c r="Z299" s="61"/>
      <c r="AA299" s="61"/>
      <c r="AB299" s="9">
        <f t="shared" si="9"/>
        <v>0</v>
      </c>
      <c r="AC299" s="12">
        <f t="shared" si="10"/>
        <v>0</v>
      </c>
    </row>
    <row r="300" spans="1:29" x14ac:dyDescent="0.2">
      <c r="C300" t="s">
        <v>333</v>
      </c>
      <c r="L300" s="61"/>
      <c r="M300" s="61"/>
      <c r="O300" s="61">
        <f>L62+M62+O62+P62+Q62+S62</f>
        <v>0</v>
      </c>
      <c r="P300" s="61"/>
      <c r="S300" s="61"/>
      <c r="T300" s="61"/>
      <c r="V300" s="61"/>
      <c r="W300" s="61"/>
      <c r="X300" s="61"/>
      <c r="Y300" s="61"/>
      <c r="Z300" s="61"/>
      <c r="AA300" s="61"/>
      <c r="AB300" s="9">
        <f t="shared" si="9"/>
        <v>0</v>
      </c>
      <c r="AC300" s="12">
        <f t="shared" si="10"/>
        <v>0</v>
      </c>
    </row>
    <row r="301" spans="1:29" x14ac:dyDescent="0.2">
      <c r="C301" t="s">
        <v>321</v>
      </c>
      <c r="L301" s="61"/>
      <c r="M301" s="61"/>
      <c r="O301" s="61"/>
      <c r="P301" s="61"/>
      <c r="S301" s="61">
        <f>((L98+M98+O98+P98+Q98+R98+S98+T98)-O100)</f>
        <v>0</v>
      </c>
      <c r="T301" s="61"/>
      <c r="V301" s="61"/>
      <c r="W301" s="61"/>
      <c r="X301" s="61"/>
      <c r="Y301" s="61"/>
      <c r="Z301" s="61"/>
      <c r="AA301" s="61"/>
      <c r="AB301" s="9">
        <f t="shared" si="9"/>
        <v>0</v>
      </c>
      <c r="AC301" s="12">
        <f t="shared" si="10"/>
        <v>0</v>
      </c>
    </row>
    <row r="302" spans="1:29" x14ac:dyDescent="0.2">
      <c r="C302" t="s">
        <v>982</v>
      </c>
      <c r="L302" s="61"/>
      <c r="M302" s="61"/>
      <c r="O302" s="61"/>
      <c r="P302" s="61"/>
      <c r="S302" s="61">
        <f>O100</f>
        <v>0</v>
      </c>
      <c r="T302" s="61"/>
      <c r="V302" s="61"/>
      <c r="W302" s="61"/>
      <c r="X302" s="61"/>
      <c r="Y302" s="61"/>
      <c r="Z302" s="61"/>
      <c r="AA302" s="61"/>
      <c r="AB302" s="9">
        <f t="shared" si="9"/>
        <v>0</v>
      </c>
      <c r="AC302" s="12">
        <f t="shared" si="10"/>
        <v>0</v>
      </c>
    </row>
    <row r="303" spans="1:29" x14ac:dyDescent="0.2">
      <c r="C303" t="s">
        <v>476</v>
      </c>
      <c r="L303" s="61"/>
      <c r="M303" s="61">
        <f>L32</f>
        <v>0</v>
      </c>
      <c r="O303" s="61"/>
      <c r="P303" s="61">
        <f>L50</f>
        <v>0</v>
      </c>
      <c r="R303" s="5">
        <f>L73</f>
        <v>0</v>
      </c>
      <c r="S303" s="61"/>
      <c r="T303" s="61">
        <f>L91</f>
        <v>0</v>
      </c>
      <c r="V303" s="61"/>
      <c r="W303" s="61"/>
      <c r="X303" s="61"/>
      <c r="Y303" s="61"/>
      <c r="Z303" s="61"/>
      <c r="AA303" s="61"/>
      <c r="AB303" s="9">
        <f t="shared" si="9"/>
        <v>0</v>
      </c>
      <c r="AC303" s="12">
        <f t="shared" si="10"/>
        <v>0</v>
      </c>
    </row>
    <row r="304" spans="1:29" x14ac:dyDescent="0.2">
      <c r="C304" t="s">
        <v>477</v>
      </c>
      <c r="L304" s="61"/>
      <c r="M304" s="61">
        <f>M32</f>
        <v>0</v>
      </c>
      <c r="O304" s="61"/>
      <c r="P304" s="61">
        <f>M50</f>
        <v>0</v>
      </c>
      <c r="Q304" s="5">
        <f>M84</f>
        <v>0</v>
      </c>
      <c r="R304" s="5">
        <f>M73</f>
        <v>0</v>
      </c>
      <c r="S304" s="61"/>
      <c r="T304" s="61">
        <f>M91</f>
        <v>0</v>
      </c>
      <c r="V304" s="61"/>
      <c r="W304" s="61"/>
      <c r="X304" s="61"/>
      <c r="Y304" s="61"/>
      <c r="Z304" s="61"/>
      <c r="AA304" s="61"/>
      <c r="AB304" s="9">
        <f t="shared" si="9"/>
        <v>0</v>
      </c>
      <c r="AC304" s="12">
        <f t="shared" si="10"/>
        <v>0</v>
      </c>
    </row>
    <row r="305" spans="1:29" x14ac:dyDescent="0.2">
      <c r="C305" t="s">
        <v>177</v>
      </c>
      <c r="L305" s="61"/>
      <c r="M305" s="61">
        <f>O32</f>
        <v>0</v>
      </c>
      <c r="O305" s="61"/>
      <c r="P305" s="61">
        <f>O50</f>
        <v>0</v>
      </c>
      <c r="Q305" s="5">
        <f>O84</f>
        <v>0</v>
      </c>
      <c r="R305" s="5">
        <f>O73</f>
        <v>0</v>
      </c>
      <c r="S305" s="61"/>
      <c r="T305" s="61">
        <f>O91</f>
        <v>0</v>
      </c>
      <c r="V305" s="61"/>
      <c r="W305" s="61"/>
      <c r="X305" s="61"/>
      <c r="Y305" s="61"/>
      <c r="Z305" s="61"/>
      <c r="AA305" s="61"/>
      <c r="AB305" s="9">
        <f t="shared" si="9"/>
        <v>0</v>
      </c>
      <c r="AC305" s="12">
        <f t="shared" si="10"/>
        <v>0</v>
      </c>
    </row>
    <row r="306" spans="1:29" x14ac:dyDescent="0.2">
      <c r="C306" t="s">
        <v>474</v>
      </c>
      <c r="L306" s="61"/>
      <c r="M306" s="61"/>
      <c r="O306" s="61"/>
      <c r="P306" s="61">
        <f>P50</f>
        <v>0</v>
      </c>
      <c r="Q306" s="5">
        <f>P84</f>
        <v>0</v>
      </c>
      <c r="R306" s="5">
        <f>P73</f>
        <v>0</v>
      </c>
      <c r="S306" s="61"/>
      <c r="T306" s="61">
        <f>P91</f>
        <v>0</v>
      </c>
      <c r="V306" s="61"/>
      <c r="W306" s="61"/>
      <c r="X306" s="61"/>
      <c r="Y306" s="61"/>
      <c r="Z306" s="61"/>
      <c r="AA306" s="61"/>
      <c r="AB306" s="9">
        <f t="shared" si="9"/>
        <v>0</v>
      </c>
      <c r="AC306" s="12">
        <f t="shared" si="10"/>
        <v>0</v>
      </c>
    </row>
    <row r="307" spans="1:29" x14ac:dyDescent="0.2">
      <c r="C307" t="s">
        <v>178</v>
      </c>
      <c r="L307" s="61"/>
      <c r="M307" s="61"/>
      <c r="O307" s="61"/>
      <c r="P307" s="61">
        <f>Q50</f>
        <v>0</v>
      </c>
      <c r="Q307" s="5">
        <f>Q84</f>
        <v>0</v>
      </c>
      <c r="R307" s="5">
        <f>Q73</f>
        <v>0</v>
      </c>
      <c r="S307" s="61"/>
      <c r="T307" s="61">
        <f>Q91</f>
        <v>0</v>
      </c>
      <c r="V307" s="61"/>
      <c r="W307" s="61"/>
      <c r="X307" s="61"/>
      <c r="Y307" s="61"/>
      <c r="Z307" s="61"/>
      <c r="AA307" s="61"/>
      <c r="AB307" s="9">
        <f t="shared" si="9"/>
        <v>0</v>
      </c>
      <c r="AC307" s="12">
        <f t="shared" si="10"/>
        <v>0</v>
      </c>
    </row>
    <row r="308" spans="1:29" x14ac:dyDescent="0.2">
      <c r="C308" t="s">
        <v>475</v>
      </c>
      <c r="L308" s="61"/>
      <c r="M308" s="61"/>
      <c r="O308" s="61"/>
      <c r="P308" s="61"/>
      <c r="S308" s="61"/>
      <c r="T308" s="61">
        <f>T91</f>
        <v>0</v>
      </c>
      <c r="V308" s="61"/>
      <c r="W308" s="61"/>
      <c r="X308" s="61"/>
      <c r="Y308" s="61"/>
      <c r="Z308" s="61"/>
      <c r="AA308" s="61"/>
      <c r="AB308" s="9">
        <f t="shared" si="9"/>
        <v>0</v>
      </c>
      <c r="AC308" s="12">
        <f t="shared" si="10"/>
        <v>0</v>
      </c>
    </row>
    <row r="309" spans="1:29" x14ac:dyDescent="0.2">
      <c r="C309" t="s">
        <v>245</v>
      </c>
      <c r="L309" s="61"/>
      <c r="M309" s="61">
        <f>R32</f>
        <v>0</v>
      </c>
      <c r="O309" s="61"/>
      <c r="P309" s="61">
        <f>R50</f>
        <v>0</v>
      </c>
      <c r="Q309">
        <f>R84</f>
        <v>0</v>
      </c>
      <c r="R309">
        <f>R73</f>
        <v>0</v>
      </c>
      <c r="S309" s="61"/>
      <c r="T309" s="61">
        <f>R91</f>
        <v>0</v>
      </c>
      <c r="V309" s="61"/>
      <c r="W309" s="61"/>
      <c r="X309" s="61"/>
      <c r="Y309" s="61"/>
      <c r="Z309" s="61"/>
      <c r="AA309" s="61"/>
      <c r="AB309" s="9">
        <f t="shared" si="9"/>
        <v>0</v>
      </c>
      <c r="AC309" s="12">
        <f t="shared" si="10"/>
        <v>0</v>
      </c>
    </row>
    <row r="310" spans="1:29" x14ac:dyDescent="0.2">
      <c r="C310" t="s">
        <v>246</v>
      </c>
      <c r="L310" s="61"/>
      <c r="M310" s="61">
        <f>S32</f>
        <v>0</v>
      </c>
      <c r="O310" s="61"/>
      <c r="P310" s="61">
        <f>S50</f>
        <v>0</v>
      </c>
      <c r="Q310">
        <f>S84</f>
        <v>0</v>
      </c>
      <c r="R310">
        <f>S73</f>
        <v>0</v>
      </c>
      <c r="S310" s="61"/>
      <c r="T310" s="61">
        <f>S91</f>
        <v>0</v>
      </c>
      <c r="V310" s="61"/>
      <c r="W310" s="61"/>
      <c r="X310" s="61"/>
      <c r="Y310" s="61"/>
      <c r="Z310" s="61"/>
      <c r="AA310" s="61"/>
      <c r="AB310" s="9">
        <f t="shared" si="9"/>
        <v>0</v>
      </c>
      <c r="AC310" s="12">
        <f t="shared" si="10"/>
        <v>0</v>
      </c>
    </row>
    <row r="311" spans="1:29" x14ac:dyDescent="0.2">
      <c r="C311" t="s">
        <v>532</v>
      </c>
      <c r="L311" s="61"/>
      <c r="M311" s="61"/>
      <c r="O311" s="61" t="str">
        <f>IF((L65+M65+O65+P65+Q65+R65+S65)&lt;0,-(L65+M65+O65+P65+Q65+R65+S65),"0")</f>
        <v>0</v>
      </c>
      <c r="P311" s="61">
        <f>IF((L65+M65+O65+P65+Q65+R65+S65)&gt;=0, (L65+M65+O65+P65+Q65+R65+S65),"0")</f>
        <v>0</v>
      </c>
      <c r="S311" s="61"/>
      <c r="T311" s="61"/>
      <c r="V311" s="61"/>
      <c r="W311" s="61"/>
      <c r="X311" s="61"/>
      <c r="Y311" s="61"/>
      <c r="Z311" s="61"/>
      <c r="AA311" s="61"/>
      <c r="AB311" s="9">
        <f t="shared" si="9"/>
        <v>0</v>
      </c>
      <c r="AC311" s="12">
        <f t="shared" si="10"/>
        <v>0</v>
      </c>
    </row>
    <row r="312" spans="1:29" x14ac:dyDescent="0.2">
      <c r="C312" t="s">
        <v>184</v>
      </c>
      <c r="L312" s="61" t="str">
        <f>IF((L45+M45+O45+P45+Q45+R45+S45)&lt;0,-(L45+M45+O45+P45+Q45+R45+S45),"0")</f>
        <v>0</v>
      </c>
      <c r="M312" s="61">
        <f>IF((L45+M45+O45+P45+Q45+R45+S45)&gt;=0,(L45+M45+O45+P45+Q45+R45+S45),"0")</f>
        <v>0</v>
      </c>
      <c r="O312" s="61"/>
      <c r="P312" s="61"/>
      <c r="S312" s="61"/>
      <c r="T312" s="61"/>
      <c r="V312" s="61"/>
      <c r="W312" s="61"/>
      <c r="X312" s="61"/>
      <c r="Y312" s="61"/>
      <c r="Z312" s="61"/>
      <c r="AA312" s="61"/>
      <c r="AB312" s="9">
        <f t="shared" si="9"/>
        <v>0</v>
      </c>
      <c r="AC312" s="12">
        <f t="shared" si="10"/>
        <v>0</v>
      </c>
    </row>
    <row r="313" spans="1:29" ht="4.5" customHeight="1" x14ac:dyDescent="0.2">
      <c r="L313" s="61"/>
      <c r="M313" s="61"/>
      <c r="O313" s="61"/>
      <c r="P313" s="61"/>
      <c r="S313" s="61"/>
      <c r="T313" s="61"/>
      <c r="V313" s="61"/>
      <c r="W313" s="61"/>
      <c r="X313" s="61"/>
      <c r="Y313" s="61"/>
      <c r="Z313" s="61"/>
      <c r="AA313" s="61"/>
      <c r="AB313" s="9"/>
      <c r="AC313" s="12"/>
    </row>
    <row r="314" spans="1:29" x14ac:dyDescent="0.2">
      <c r="A314" t="s">
        <v>445</v>
      </c>
      <c r="C314" t="s">
        <v>476</v>
      </c>
      <c r="V314" s="61">
        <f>L109</f>
        <v>0</v>
      </c>
      <c r="W314" s="61"/>
      <c r="X314" s="61"/>
      <c r="Y314" s="61"/>
      <c r="Z314" s="61"/>
      <c r="AA314" s="61"/>
      <c r="AB314" s="9">
        <f t="shared" si="9"/>
        <v>0</v>
      </c>
      <c r="AC314" s="12">
        <f t="shared" si="10"/>
        <v>0</v>
      </c>
    </row>
    <row r="315" spans="1:29" x14ac:dyDescent="0.2">
      <c r="C315" t="s">
        <v>477</v>
      </c>
      <c r="V315" s="61">
        <f>+M109</f>
        <v>0</v>
      </c>
      <c r="W315" s="61"/>
      <c r="X315" s="61"/>
      <c r="Y315" s="61"/>
      <c r="Z315" s="61"/>
      <c r="AA315" s="61"/>
      <c r="AB315" s="9">
        <f t="shared" si="9"/>
        <v>0</v>
      </c>
      <c r="AC315" s="12">
        <f t="shared" si="10"/>
        <v>0</v>
      </c>
    </row>
    <row r="316" spans="1:29" x14ac:dyDescent="0.2">
      <c r="C316" t="s">
        <v>177</v>
      </c>
      <c r="V316" s="61">
        <f>O109</f>
        <v>0</v>
      </c>
      <c r="W316" s="61"/>
      <c r="X316" s="61"/>
      <c r="Y316" s="61"/>
      <c r="Z316" s="61"/>
      <c r="AA316" s="61"/>
      <c r="AB316" s="9">
        <f t="shared" si="9"/>
        <v>0</v>
      </c>
      <c r="AC316" s="12">
        <f t="shared" si="10"/>
        <v>0</v>
      </c>
    </row>
    <row r="317" spans="1:29" x14ac:dyDescent="0.2">
      <c r="C317" t="s">
        <v>474</v>
      </c>
      <c r="V317" s="61">
        <f>P109</f>
        <v>0</v>
      </c>
      <c r="W317" s="61"/>
      <c r="X317" s="61"/>
      <c r="Y317" s="61"/>
      <c r="Z317" s="61"/>
      <c r="AA317" s="61"/>
      <c r="AB317" s="9">
        <f t="shared" si="9"/>
        <v>0</v>
      </c>
      <c r="AC317" s="12">
        <f t="shared" si="10"/>
        <v>0</v>
      </c>
    </row>
    <row r="318" spans="1:29" x14ac:dyDescent="0.2">
      <c r="C318" t="s">
        <v>178</v>
      </c>
      <c r="V318" s="61">
        <f>Q109</f>
        <v>0</v>
      </c>
      <c r="W318" s="61"/>
      <c r="X318" s="61"/>
      <c r="Y318" s="61"/>
      <c r="Z318" s="61"/>
      <c r="AA318" s="61"/>
      <c r="AB318" s="9">
        <f t="shared" si="9"/>
        <v>0</v>
      </c>
      <c r="AC318" s="12">
        <f t="shared" si="10"/>
        <v>0</v>
      </c>
    </row>
    <row r="319" spans="1:29" x14ac:dyDescent="0.2">
      <c r="C319" t="s">
        <v>475</v>
      </c>
      <c r="V319" s="61">
        <f>T109</f>
        <v>0</v>
      </c>
      <c r="W319" s="61"/>
      <c r="X319" s="61"/>
      <c r="Y319" s="61"/>
      <c r="Z319" s="61"/>
      <c r="AA319" s="61"/>
      <c r="AB319" s="9">
        <f t="shared" si="9"/>
        <v>0</v>
      </c>
      <c r="AC319" s="12">
        <f t="shared" si="10"/>
        <v>0</v>
      </c>
    </row>
    <row r="320" spans="1:29" x14ac:dyDescent="0.2">
      <c r="C320" t="s">
        <v>245</v>
      </c>
      <c r="V320" s="61">
        <f>R109</f>
        <v>0</v>
      </c>
      <c r="W320" s="61"/>
      <c r="X320" s="61"/>
      <c r="Y320" s="61"/>
      <c r="Z320" s="61"/>
      <c r="AA320" s="61"/>
      <c r="AB320" s="9">
        <f t="shared" si="9"/>
        <v>0</v>
      </c>
      <c r="AC320" s="12">
        <f t="shared" si="10"/>
        <v>0</v>
      </c>
    </row>
    <row r="321" spans="1:29" x14ac:dyDescent="0.2">
      <c r="C321" t="s">
        <v>246</v>
      </c>
      <c r="V321" s="61">
        <f>S109</f>
        <v>0</v>
      </c>
      <c r="W321" s="61"/>
      <c r="X321" s="61"/>
      <c r="Y321" s="61"/>
      <c r="Z321" s="61"/>
      <c r="AA321" s="61"/>
      <c r="AB321" s="9">
        <f t="shared" si="9"/>
        <v>0</v>
      </c>
      <c r="AC321" s="12">
        <f t="shared" si="10"/>
        <v>0</v>
      </c>
    </row>
    <row r="322" spans="1:29" x14ac:dyDescent="0.2">
      <c r="C322" s="13" t="s">
        <v>443</v>
      </c>
      <c r="D322" s="13"/>
      <c r="E322" s="13"/>
      <c r="F322" s="13"/>
      <c r="V322" s="61"/>
      <c r="W322" s="61">
        <f>((L109+M109+O109+P109+Q109+R109+S109+T109)-(O112+O114))</f>
        <v>0</v>
      </c>
      <c r="X322" s="61"/>
      <c r="Y322" s="61"/>
      <c r="Z322" s="61"/>
      <c r="AA322" s="61"/>
      <c r="AB322" s="9">
        <f t="shared" si="9"/>
        <v>0</v>
      </c>
      <c r="AC322" s="12">
        <f t="shared" si="10"/>
        <v>0</v>
      </c>
    </row>
    <row r="323" spans="1:29" x14ac:dyDescent="0.2">
      <c r="C323" s="13" t="s">
        <v>728</v>
      </c>
      <c r="D323" s="13"/>
      <c r="E323" s="13"/>
      <c r="F323" s="13"/>
      <c r="V323" s="61"/>
      <c r="W323" s="61">
        <f>O112</f>
        <v>0</v>
      </c>
      <c r="X323" s="61"/>
      <c r="Y323" s="61"/>
      <c r="Z323" s="61"/>
      <c r="AA323" s="61"/>
      <c r="AB323" s="9">
        <f t="shared" si="9"/>
        <v>0</v>
      </c>
      <c r="AC323" s="12">
        <f t="shared" si="10"/>
        <v>0</v>
      </c>
    </row>
    <row r="324" spans="1:29" x14ac:dyDescent="0.2">
      <c r="C324" t="s">
        <v>981</v>
      </c>
      <c r="V324" s="61"/>
      <c r="W324" s="61">
        <f>O114</f>
        <v>0</v>
      </c>
      <c r="X324" s="61"/>
      <c r="Y324" s="61"/>
      <c r="Z324" s="61"/>
      <c r="AA324" s="61"/>
      <c r="AB324" s="9">
        <f t="shared" si="9"/>
        <v>0</v>
      </c>
      <c r="AC324" s="12">
        <f t="shared" si="10"/>
        <v>0</v>
      </c>
    </row>
    <row r="325" spans="1:29" ht="4.5" customHeight="1" x14ac:dyDescent="0.2">
      <c r="V325" s="61"/>
      <c r="W325" s="61"/>
      <c r="X325" s="61"/>
      <c r="Y325" s="61"/>
      <c r="Z325" s="61"/>
      <c r="AA325" s="61"/>
      <c r="AB325" s="9">
        <f t="shared" si="9"/>
        <v>0</v>
      </c>
      <c r="AC325" s="12">
        <f t="shared" si="10"/>
        <v>0</v>
      </c>
    </row>
    <row r="326" spans="1:29" x14ac:dyDescent="0.2">
      <c r="A326" t="s">
        <v>371</v>
      </c>
      <c r="C326" t="s">
        <v>895</v>
      </c>
      <c r="V326" s="61"/>
      <c r="W326" s="61"/>
      <c r="X326" s="61">
        <f t="shared" ref="X326:X332" si="11">M123</f>
        <v>0</v>
      </c>
      <c r="Y326" s="61"/>
      <c r="Z326" s="61"/>
      <c r="AA326" s="61"/>
      <c r="AB326" s="9">
        <f t="shared" si="9"/>
        <v>0</v>
      </c>
      <c r="AC326" s="12">
        <f t="shared" si="10"/>
        <v>0</v>
      </c>
    </row>
    <row r="327" spans="1:29" x14ac:dyDescent="0.2">
      <c r="C327" t="s">
        <v>896</v>
      </c>
      <c r="V327" s="61"/>
      <c r="W327" s="61"/>
      <c r="X327" s="61">
        <f t="shared" si="11"/>
        <v>0</v>
      </c>
      <c r="Y327" s="61"/>
      <c r="Z327" s="61"/>
      <c r="AA327" s="61"/>
      <c r="AB327" s="9">
        <f t="shared" si="9"/>
        <v>0</v>
      </c>
      <c r="AC327" s="12">
        <f t="shared" si="10"/>
        <v>0</v>
      </c>
    </row>
    <row r="328" spans="1:29" x14ac:dyDescent="0.2">
      <c r="C328" t="s">
        <v>481</v>
      </c>
      <c r="V328" s="61"/>
      <c r="W328" s="61"/>
      <c r="X328" s="61">
        <f t="shared" si="11"/>
        <v>0</v>
      </c>
      <c r="Y328" s="61"/>
      <c r="Z328" s="61"/>
      <c r="AA328" s="61"/>
      <c r="AB328" s="9">
        <f t="shared" si="9"/>
        <v>0</v>
      </c>
      <c r="AC328" s="12">
        <f t="shared" si="10"/>
        <v>0</v>
      </c>
    </row>
    <row r="329" spans="1:29" x14ac:dyDescent="0.2">
      <c r="C329" t="s">
        <v>470</v>
      </c>
      <c r="V329" s="61"/>
      <c r="W329" s="61"/>
      <c r="X329" s="61">
        <f t="shared" si="11"/>
        <v>0</v>
      </c>
      <c r="Y329" s="61"/>
      <c r="Z329" s="61"/>
      <c r="AA329" s="61"/>
      <c r="AB329" s="9">
        <f t="shared" si="9"/>
        <v>0</v>
      </c>
      <c r="AC329" s="12">
        <f t="shared" si="10"/>
        <v>0</v>
      </c>
    </row>
    <row r="330" spans="1:29" x14ac:dyDescent="0.2">
      <c r="C330" t="s">
        <v>101</v>
      </c>
      <c r="V330" s="61"/>
      <c r="W330" s="61"/>
      <c r="X330" s="61">
        <f t="shared" si="11"/>
        <v>0</v>
      </c>
      <c r="Y330" s="61"/>
      <c r="Z330" s="61"/>
      <c r="AA330" s="61"/>
      <c r="AB330" s="9">
        <f t="shared" si="9"/>
        <v>0</v>
      </c>
      <c r="AC330" s="12">
        <f t="shared" si="10"/>
        <v>0</v>
      </c>
    </row>
    <row r="331" spans="1:29" x14ac:dyDescent="0.2">
      <c r="C331" t="s">
        <v>1029</v>
      </c>
      <c r="V331" s="61"/>
      <c r="W331" s="61"/>
      <c r="X331" s="61">
        <f t="shared" si="11"/>
        <v>0</v>
      </c>
      <c r="Y331" s="61"/>
      <c r="Z331" s="61"/>
      <c r="AA331" s="61"/>
      <c r="AB331" s="9">
        <f t="shared" si="9"/>
        <v>0</v>
      </c>
      <c r="AC331" s="12">
        <f t="shared" si="10"/>
        <v>0</v>
      </c>
    </row>
    <row r="332" spans="1:29" x14ac:dyDescent="0.2">
      <c r="C332" t="s">
        <v>926</v>
      </c>
      <c r="V332" s="61"/>
      <c r="W332" s="61"/>
      <c r="X332" s="61">
        <f t="shared" si="11"/>
        <v>0</v>
      </c>
      <c r="Y332" s="61"/>
      <c r="Z332" s="61"/>
      <c r="AA332" s="61"/>
      <c r="AB332" s="9">
        <f t="shared" si="9"/>
        <v>0</v>
      </c>
      <c r="AC332" s="12">
        <f t="shared" si="10"/>
        <v>0</v>
      </c>
    </row>
    <row r="333" spans="1:29" x14ac:dyDescent="0.2">
      <c r="D333" t="s">
        <v>372</v>
      </c>
      <c r="V333" s="61"/>
      <c r="W333" s="61"/>
      <c r="X333" s="61"/>
      <c r="Y333" s="61">
        <f>M119</f>
        <v>0</v>
      </c>
      <c r="Z333" s="61"/>
      <c r="AA333" s="61"/>
      <c r="AB333" s="9">
        <f t="shared" si="9"/>
        <v>0</v>
      </c>
      <c r="AC333" s="12">
        <f t="shared" si="10"/>
        <v>0</v>
      </c>
    </row>
    <row r="334" spans="1:29" ht="4.5" customHeight="1" x14ac:dyDescent="0.2">
      <c r="V334" s="61"/>
      <c r="W334" s="61"/>
      <c r="X334" s="61"/>
      <c r="Y334" s="61"/>
      <c r="Z334" s="61"/>
      <c r="AA334" s="61"/>
      <c r="AB334" s="9">
        <f t="shared" si="9"/>
        <v>0</v>
      </c>
      <c r="AC334" s="12">
        <f t="shared" si="10"/>
        <v>0</v>
      </c>
    </row>
    <row r="335" spans="1:29" x14ac:dyDescent="0.2">
      <c r="A335" t="s">
        <v>968</v>
      </c>
      <c r="C335" t="s">
        <v>511</v>
      </c>
      <c r="V335" s="61"/>
      <c r="W335" s="61"/>
      <c r="X335" s="61"/>
      <c r="Y335" s="61"/>
      <c r="Z335" s="61">
        <f>M181</f>
        <v>0</v>
      </c>
      <c r="AA335" s="61"/>
      <c r="AB335" s="9">
        <f>L335+O335+Q335+S335+V335+X335+Z335</f>
        <v>0</v>
      </c>
      <c r="AC335" s="12">
        <f>M335+P335+R335+T335+W335+Y335+AA335</f>
        <v>0</v>
      </c>
    </row>
    <row r="336" spans="1:29" x14ac:dyDescent="0.2">
      <c r="A336" s="1258" t="s">
        <v>619</v>
      </c>
      <c r="D336" t="s">
        <v>476</v>
      </c>
      <c r="V336" s="61"/>
      <c r="W336" s="61"/>
      <c r="X336" s="61"/>
      <c r="Y336" s="61"/>
      <c r="Z336" s="61"/>
      <c r="AA336" s="61">
        <f t="shared" ref="AA336:AA343" si="12">H171</f>
        <v>0</v>
      </c>
      <c r="AB336" s="9">
        <f t="shared" ref="AB336:AB353" si="13">L336+O336+Q336+S336+V336+X336+Z336</f>
        <v>0</v>
      </c>
      <c r="AC336" s="12">
        <f t="shared" ref="AC336:AC353" si="14">M336+P336+R336+T336+W336+Y336+AA336</f>
        <v>0</v>
      </c>
    </row>
    <row r="337" spans="1:29" x14ac:dyDescent="0.2">
      <c r="A337" s="1259"/>
      <c r="D337" t="s">
        <v>477</v>
      </c>
      <c r="V337" s="61"/>
      <c r="W337" s="61"/>
      <c r="X337" s="61"/>
      <c r="Y337" s="61"/>
      <c r="Z337" s="61"/>
      <c r="AA337" s="61">
        <f t="shared" si="12"/>
        <v>0</v>
      </c>
      <c r="AB337" s="9">
        <f t="shared" si="13"/>
        <v>0</v>
      </c>
      <c r="AC337" s="12">
        <f t="shared" si="14"/>
        <v>0</v>
      </c>
    </row>
    <row r="338" spans="1:29" x14ac:dyDescent="0.2">
      <c r="A338" s="1259"/>
      <c r="D338" t="s">
        <v>177</v>
      </c>
      <c r="V338" s="61"/>
      <c r="W338" s="61"/>
      <c r="X338" s="61"/>
      <c r="Y338" s="61"/>
      <c r="Z338" s="61"/>
      <c r="AA338" s="61">
        <f t="shared" si="12"/>
        <v>0</v>
      </c>
      <c r="AB338" s="9">
        <f t="shared" si="13"/>
        <v>0</v>
      </c>
      <c r="AC338" s="12">
        <f t="shared" si="14"/>
        <v>0</v>
      </c>
    </row>
    <row r="339" spans="1:29" x14ac:dyDescent="0.2">
      <c r="A339" s="1259"/>
      <c r="D339" t="s">
        <v>474</v>
      </c>
      <c r="V339" s="61"/>
      <c r="W339" s="61"/>
      <c r="X339" s="61"/>
      <c r="Y339" s="61"/>
      <c r="Z339" s="61"/>
      <c r="AA339" s="61">
        <f t="shared" si="12"/>
        <v>0</v>
      </c>
      <c r="AB339" s="9">
        <f t="shared" si="13"/>
        <v>0</v>
      </c>
      <c r="AC339" s="12">
        <f t="shared" si="14"/>
        <v>0</v>
      </c>
    </row>
    <row r="340" spans="1:29" x14ac:dyDescent="0.2">
      <c r="A340" s="1259"/>
      <c r="D340" t="s">
        <v>178</v>
      </c>
      <c r="V340" s="61"/>
      <c r="W340" s="61"/>
      <c r="X340" s="61"/>
      <c r="Y340" s="61"/>
      <c r="Z340" s="61"/>
      <c r="AA340" s="61">
        <f t="shared" si="12"/>
        <v>0</v>
      </c>
      <c r="AB340" s="9">
        <f t="shared" si="13"/>
        <v>0</v>
      </c>
      <c r="AC340" s="12">
        <f t="shared" si="14"/>
        <v>0</v>
      </c>
    </row>
    <row r="341" spans="1:29" x14ac:dyDescent="0.2">
      <c r="A341" s="1259"/>
      <c r="D341" t="s">
        <v>475</v>
      </c>
      <c r="V341" s="61"/>
      <c r="W341" s="61"/>
      <c r="X341" s="61"/>
      <c r="Y341" s="61"/>
      <c r="Z341" s="61"/>
      <c r="AA341" s="61">
        <f t="shared" si="12"/>
        <v>0</v>
      </c>
      <c r="AB341" s="9">
        <f t="shared" si="13"/>
        <v>0</v>
      </c>
      <c r="AC341" s="12">
        <f t="shared" si="14"/>
        <v>0</v>
      </c>
    </row>
    <row r="342" spans="1:29" x14ac:dyDescent="0.2">
      <c r="A342" s="1259"/>
      <c r="D342" s="521" t="s">
        <v>245</v>
      </c>
      <c r="V342" s="61"/>
      <c r="W342" s="61"/>
      <c r="X342" s="61"/>
      <c r="Y342" s="61"/>
      <c r="Z342" s="61"/>
      <c r="AA342" s="61">
        <f t="shared" si="12"/>
        <v>0</v>
      </c>
      <c r="AB342" s="9">
        <f t="shared" si="13"/>
        <v>0</v>
      </c>
      <c r="AC342" s="12">
        <f t="shared" si="14"/>
        <v>0</v>
      </c>
    </row>
    <row r="343" spans="1:29" x14ac:dyDescent="0.2">
      <c r="A343" s="1259"/>
      <c r="D343" s="521" t="s">
        <v>246</v>
      </c>
      <c r="V343" s="61"/>
      <c r="W343" s="61"/>
      <c r="X343" s="61"/>
      <c r="Y343" s="61"/>
      <c r="Z343" s="61"/>
      <c r="AA343" s="61">
        <f t="shared" si="12"/>
        <v>0</v>
      </c>
      <c r="AB343" s="9">
        <f t="shared" si="13"/>
        <v>0</v>
      </c>
      <c r="AC343" s="12">
        <f t="shared" si="14"/>
        <v>0</v>
      </c>
    </row>
    <row r="344" spans="1:29" x14ac:dyDescent="0.2">
      <c r="A344" s="1259"/>
      <c r="D344" s="521" t="s">
        <v>443</v>
      </c>
      <c r="V344" s="61"/>
      <c r="W344" s="61"/>
      <c r="X344" s="61"/>
      <c r="Y344" s="61"/>
      <c r="Z344" s="61"/>
      <c r="AA344" s="61">
        <f>I193</f>
        <v>0</v>
      </c>
      <c r="AB344" s="9">
        <f t="shared" si="13"/>
        <v>0</v>
      </c>
      <c r="AC344" s="12">
        <f t="shared" si="14"/>
        <v>0</v>
      </c>
    </row>
    <row r="345" spans="1:29" x14ac:dyDescent="0.2">
      <c r="A345" s="1259"/>
      <c r="D345" s="521" t="s">
        <v>202</v>
      </c>
      <c r="V345" s="61"/>
      <c r="W345" s="61"/>
      <c r="X345" s="61"/>
      <c r="Y345" s="61"/>
      <c r="Z345" s="61">
        <f t="shared" ref="Z345:Z353" si="15">I198*-1</f>
        <v>0</v>
      </c>
      <c r="AA345" s="61">
        <f>I192</f>
        <v>0</v>
      </c>
      <c r="AB345" s="9">
        <f t="shared" si="13"/>
        <v>0</v>
      </c>
      <c r="AC345" s="12">
        <f t="shared" si="14"/>
        <v>0</v>
      </c>
    </row>
    <row r="346" spans="1:29" x14ac:dyDescent="0.2">
      <c r="A346" s="1259"/>
      <c r="C346" t="s">
        <v>498</v>
      </c>
      <c r="V346" s="61"/>
      <c r="W346" s="61"/>
      <c r="X346" s="61"/>
      <c r="Y346" s="61"/>
      <c r="Z346" s="61">
        <f t="shared" si="15"/>
        <v>0</v>
      </c>
      <c r="AA346" s="61"/>
      <c r="AB346" s="9">
        <f t="shared" si="13"/>
        <v>0</v>
      </c>
      <c r="AC346" s="12">
        <f t="shared" si="14"/>
        <v>0</v>
      </c>
    </row>
    <row r="347" spans="1:29" x14ac:dyDescent="0.2">
      <c r="A347" s="1259"/>
      <c r="C347" t="s">
        <v>895</v>
      </c>
      <c r="V347" s="61"/>
      <c r="W347" s="61"/>
      <c r="X347" s="61"/>
      <c r="Y347" s="61"/>
      <c r="Z347" s="61">
        <f t="shared" si="15"/>
        <v>0</v>
      </c>
      <c r="AA347" s="61"/>
      <c r="AB347" s="9">
        <f t="shared" si="13"/>
        <v>0</v>
      </c>
      <c r="AC347" s="12">
        <f t="shared" si="14"/>
        <v>0</v>
      </c>
    </row>
    <row r="348" spans="1:29" x14ac:dyDescent="0.2">
      <c r="A348" s="1259"/>
      <c r="C348" t="s">
        <v>896</v>
      </c>
      <c r="V348" s="61"/>
      <c r="W348" s="61"/>
      <c r="X348" s="61"/>
      <c r="Y348" s="61"/>
      <c r="Z348" s="61">
        <f t="shared" si="15"/>
        <v>0</v>
      </c>
      <c r="AA348" s="61"/>
      <c r="AB348" s="9">
        <f t="shared" si="13"/>
        <v>0</v>
      </c>
      <c r="AC348" s="12">
        <f t="shared" si="14"/>
        <v>0</v>
      </c>
    </row>
    <row r="349" spans="1:29" x14ac:dyDescent="0.2">
      <c r="A349" s="1259"/>
      <c r="C349" t="s">
        <v>481</v>
      </c>
      <c r="V349" s="61"/>
      <c r="W349" s="61"/>
      <c r="X349" s="61"/>
      <c r="Y349" s="61"/>
      <c r="Z349" s="61">
        <f t="shared" si="15"/>
        <v>0</v>
      </c>
      <c r="AA349" s="61"/>
      <c r="AB349" s="9">
        <f t="shared" si="13"/>
        <v>0</v>
      </c>
      <c r="AC349" s="12">
        <f t="shared" si="14"/>
        <v>0</v>
      </c>
    </row>
    <row r="350" spans="1:29" x14ac:dyDescent="0.2">
      <c r="A350" s="1259"/>
      <c r="C350" t="s">
        <v>470</v>
      </c>
      <c r="V350" s="61"/>
      <c r="W350" s="61"/>
      <c r="X350" s="61"/>
      <c r="Y350" s="61"/>
      <c r="Z350" s="61">
        <f t="shared" si="15"/>
        <v>0</v>
      </c>
      <c r="AA350" s="61"/>
      <c r="AB350" s="9">
        <f t="shared" si="13"/>
        <v>0</v>
      </c>
      <c r="AC350" s="12">
        <f t="shared" si="14"/>
        <v>0</v>
      </c>
    </row>
    <row r="351" spans="1:29" x14ac:dyDescent="0.2">
      <c r="A351" s="1259"/>
      <c r="C351" t="s">
        <v>402</v>
      </c>
      <c r="V351" s="61"/>
      <c r="W351" s="61"/>
      <c r="X351" s="61"/>
      <c r="Y351" s="61"/>
      <c r="Z351" s="61">
        <f t="shared" si="15"/>
        <v>0</v>
      </c>
      <c r="AA351" s="61"/>
      <c r="AB351" s="9">
        <f t="shared" si="13"/>
        <v>0</v>
      </c>
      <c r="AC351" s="12">
        <f t="shared" si="14"/>
        <v>0</v>
      </c>
    </row>
    <row r="352" spans="1:29" x14ac:dyDescent="0.2">
      <c r="A352" s="1259"/>
      <c r="C352" t="s">
        <v>926</v>
      </c>
      <c r="V352" s="61"/>
      <c r="W352" s="61"/>
      <c r="X352" s="61"/>
      <c r="Y352" s="61"/>
      <c r="Z352" s="61">
        <f t="shared" si="15"/>
        <v>0</v>
      </c>
      <c r="AA352" s="61"/>
      <c r="AB352" s="9">
        <f t="shared" si="13"/>
        <v>0</v>
      </c>
      <c r="AC352" s="12">
        <f t="shared" si="14"/>
        <v>0</v>
      </c>
    </row>
    <row r="353" spans="1:29" x14ac:dyDescent="0.2">
      <c r="A353" s="1259"/>
      <c r="C353" t="s">
        <v>203</v>
      </c>
      <c r="V353" s="61"/>
      <c r="W353" s="61"/>
      <c r="X353" s="61"/>
      <c r="Y353" s="61"/>
      <c r="Z353" s="61">
        <f t="shared" si="15"/>
        <v>0</v>
      </c>
      <c r="AA353" s="61"/>
      <c r="AB353" s="9">
        <f t="shared" si="13"/>
        <v>0</v>
      </c>
      <c r="AC353" s="12">
        <f t="shared" si="14"/>
        <v>0</v>
      </c>
    </row>
    <row r="354" spans="1:29" ht="13.5" thickBot="1" x14ac:dyDescent="0.25">
      <c r="L354" s="37">
        <f>SUM(L292:L322)</f>
        <v>0</v>
      </c>
      <c r="M354" s="37">
        <f>SUM(M292:M322)</f>
        <v>0</v>
      </c>
      <c r="N354" s="12"/>
      <c r="O354" s="37">
        <f t="shared" ref="O354:T354" si="16">SUM(O292:O322)</f>
        <v>0</v>
      </c>
      <c r="P354" s="37">
        <f t="shared" si="16"/>
        <v>0</v>
      </c>
      <c r="Q354" s="37">
        <f t="shared" si="16"/>
        <v>0</v>
      </c>
      <c r="R354" s="37">
        <f t="shared" si="16"/>
        <v>0</v>
      </c>
      <c r="S354" s="37">
        <f t="shared" si="16"/>
        <v>0</v>
      </c>
      <c r="T354" s="37">
        <f t="shared" si="16"/>
        <v>0</v>
      </c>
      <c r="U354" s="12"/>
      <c r="V354" s="37">
        <f>SUM(V292:V322)</f>
        <v>0</v>
      </c>
      <c r="W354" s="37">
        <f>SUM(W292:W322)</f>
        <v>0</v>
      </c>
      <c r="X354" s="37">
        <f>SUM(X292:X333)</f>
        <v>0</v>
      </c>
      <c r="Y354" s="37">
        <f>SUM(Y292:Y333)</f>
        <v>0</v>
      </c>
      <c r="Z354" s="37">
        <f>SUM(Z292:Z353)</f>
        <v>0</v>
      </c>
      <c r="AA354" s="37">
        <f>SUM(AA292:AA353)</f>
        <v>0</v>
      </c>
      <c r="AB354" s="142">
        <f>SUM(AB292:AB353)</f>
        <v>0</v>
      </c>
      <c r="AC354" s="37">
        <f>SUM(AC292:AC353)</f>
        <v>0</v>
      </c>
    </row>
    <row r="355" spans="1:29" ht="13.5" thickTop="1" x14ac:dyDescent="0.2">
      <c r="X355" s="608"/>
    </row>
  </sheetData>
  <sheetProtection password="C1DF" sheet="1"/>
  <mergeCells count="186">
    <mergeCell ref="U84:W84"/>
    <mergeCell ref="D76:I77"/>
    <mergeCell ref="D93:I93"/>
    <mergeCell ref="B187:T187"/>
    <mergeCell ref="R79:R80"/>
    <mergeCell ref="P79:P80"/>
    <mergeCell ref="P76:P77"/>
    <mergeCell ref="A336:A353"/>
    <mergeCell ref="AB290:AC290"/>
    <mergeCell ref="F88:H88"/>
    <mergeCell ref="C289:Y289"/>
    <mergeCell ref="F279:T280"/>
    <mergeCell ref="L109:L110"/>
    <mergeCell ref="B210:T210"/>
    <mergeCell ref="D100:K101"/>
    <mergeCell ref="O100:O101"/>
    <mergeCell ref="D114:K115"/>
    <mergeCell ref="Q79:Q80"/>
    <mergeCell ref="S109:S110"/>
    <mergeCell ref="O95:O96"/>
    <mergeCell ref="P95:P96"/>
    <mergeCell ref="Q84:Q85"/>
    <mergeCell ref="S79:S80"/>
    <mergeCell ref="Q76:Q77"/>
    <mergeCell ref="A2:T2"/>
    <mergeCell ref="L290:M290"/>
    <mergeCell ref="O290:P290"/>
    <mergeCell ref="Q290:R290"/>
    <mergeCell ref="S290:T290"/>
    <mergeCell ref="B69:T69"/>
    <mergeCell ref="D61:I61"/>
    <mergeCell ref="B3:N3"/>
    <mergeCell ref="B27:T27"/>
    <mergeCell ref="B134:T138"/>
    <mergeCell ref="B105:T105"/>
    <mergeCell ref="D91:I91"/>
    <mergeCell ref="B4:T4"/>
    <mergeCell ref="C6:T7"/>
    <mergeCell ref="S35:S36"/>
    <mergeCell ref="O32:O33"/>
    <mergeCell ref="C9:T9"/>
    <mergeCell ref="R35:R36"/>
    <mergeCell ref="C24:T25"/>
    <mergeCell ref="D32:I33"/>
    <mergeCell ref="R32:R33"/>
    <mergeCell ref="C11:T12"/>
    <mergeCell ref="L32:L33"/>
    <mergeCell ref="M32:M33"/>
    <mergeCell ref="D35:I36"/>
    <mergeCell ref="M35:M36"/>
    <mergeCell ref="D38:I39"/>
    <mergeCell ref="M38:M39"/>
    <mergeCell ref="C47:T47"/>
    <mergeCell ref="D50:I51"/>
    <mergeCell ref="L50:L51"/>
    <mergeCell ref="M50:M51"/>
    <mergeCell ref="C14:T14"/>
    <mergeCell ref="D43:H43"/>
    <mergeCell ref="S32:S33"/>
    <mergeCell ref="O38:O39"/>
    <mergeCell ref="R38:R39"/>
    <mergeCell ref="O35:O36"/>
    <mergeCell ref="S38:S39"/>
    <mergeCell ref="E41:I41"/>
    <mergeCell ref="C16:T18"/>
    <mergeCell ref="C20:T22"/>
    <mergeCell ref="O50:O51"/>
    <mergeCell ref="S50:S51"/>
    <mergeCell ref="S53:S54"/>
    <mergeCell ref="Q56:Q57"/>
    <mergeCell ref="R56:R57"/>
    <mergeCell ref="S56:S57"/>
    <mergeCell ref="F70:H70"/>
    <mergeCell ref="P73:P74"/>
    <mergeCell ref="Q73:Q74"/>
    <mergeCell ref="P50:P51"/>
    <mergeCell ref="Q50:Q51"/>
    <mergeCell ref="R50:R51"/>
    <mergeCell ref="D67:T67"/>
    <mergeCell ref="O56:O57"/>
    <mergeCell ref="P56:P57"/>
    <mergeCell ref="D53:I54"/>
    <mergeCell ref="M53:M54"/>
    <mergeCell ref="O53:O54"/>
    <mergeCell ref="P53:P54"/>
    <mergeCell ref="D56:I57"/>
    <mergeCell ref="M56:M57"/>
    <mergeCell ref="D73:I74"/>
    <mergeCell ref="Q53:Q54"/>
    <mergeCell ref="R53:R54"/>
    <mergeCell ref="R73:R74"/>
    <mergeCell ref="P84:P85"/>
    <mergeCell ref="B87:T87"/>
    <mergeCell ref="M73:M74"/>
    <mergeCell ref="O73:O74"/>
    <mergeCell ref="M79:M80"/>
    <mergeCell ref="O79:O80"/>
    <mergeCell ref="M76:M77"/>
    <mergeCell ref="O76:O77"/>
    <mergeCell ref="D79:I80"/>
    <mergeCell ref="T73:T74"/>
    <mergeCell ref="R76:R77"/>
    <mergeCell ref="S76:S77"/>
    <mergeCell ref="T76:T77"/>
    <mergeCell ref="S73:S74"/>
    <mergeCell ref="T109:T110"/>
    <mergeCell ref="T84:T85"/>
    <mergeCell ref="R84:R85"/>
    <mergeCell ref="S84:S85"/>
    <mergeCell ref="T79:T80"/>
    <mergeCell ref="D84:I85"/>
    <mergeCell ref="M84:M85"/>
    <mergeCell ref="O84:O85"/>
    <mergeCell ref="Q145:Q146"/>
    <mergeCell ref="R145:R146"/>
    <mergeCell ref="S145:S146"/>
    <mergeCell ref="O114:O115"/>
    <mergeCell ref="Q109:Q110"/>
    <mergeCell ref="R109:R110"/>
    <mergeCell ref="P109:P110"/>
    <mergeCell ref="Q95:Q96"/>
    <mergeCell ref="R95:R96"/>
    <mergeCell ref="S95:S96"/>
    <mergeCell ref="T95:T96"/>
    <mergeCell ref="M109:M110"/>
    <mergeCell ref="B117:T117"/>
    <mergeCell ref="P100:S101"/>
    <mergeCell ref="D112:K112"/>
    <mergeCell ref="M95:M96"/>
    <mergeCell ref="D95:I96"/>
    <mergeCell ref="S148:S149"/>
    <mergeCell ref="P151:P152"/>
    <mergeCell ref="P114:S115"/>
    <mergeCell ref="T148:T149"/>
    <mergeCell ref="T151:T152"/>
    <mergeCell ref="O145:O146"/>
    <mergeCell ref="O148:O149"/>
    <mergeCell ref="O109:O110"/>
    <mergeCell ref="D109:I110"/>
    <mergeCell ref="P145:P146"/>
    <mergeCell ref="R151:R152"/>
    <mergeCell ref="S151:S152"/>
    <mergeCell ref="B132:T132"/>
    <mergeCell ref="D145:J146"/>
    <mergeCell ref="D151:J152"/>
    <mergeCell ref="M151:M152"/>
    <mergeCell ref="O128:O130"/>
    <mergeCell ref="C119:K120"/>
    <mergeCell ref="M119:M120"/>
    <mergeCell ref="C143:J144"/>
    <mergeCell ref="L145:L146"/>
    <mergeCell ref="M145:M146"/>
    <mergeCell ref="B140:T141"/>
    <mergeCell ref="T145:T146"/>
    <mergeCell ref="P148:P149"/>
    <mergeCell ref="Q148:Q149"/>
    <mergeCell ref="R148:R149"/>
    <mergeCell ref="M161:M162"/>
    <mergeCell ref="D148:J149"/>
    <mergeCell ref="L161:L162"/>
    <mergeCell ref="O151:O152"/>
    <mergeCell ref="L164:L165"/>
    <mergeCell ref="M148:M149"/>
    <mergeCell ref="Q151:Q152"/>
    <mergeCell ref="M164:M165"/>
    <mergeCell ref="D161:I162"/>
    <mergeCell ref="Q164:Q165"/>
    <mergeCell ref="J207:L208"/>
    <mergeCell ref="Z290:AA290"/>
    <mergeCell ref="L156:L157"/>
    <mergeCell ref="C159:J160"/>
    <mergeCell ref="C156:J157"/>
    <mergeCell ref="V177:W177"/>
    <mergeCell ref="I179:K179"/>
    <mergeCell ref="X290:Y290"/>
    <mergeCell ref="D169:I170"/>
    <mergeCell ref="E184:I184"/>
    <mergeCell ref="D190:J191"/>
    <mergeCell ref="C188:J189"/>
    <mergeCell ref="D195:J197"/>
    <mergeCell ref="C181:I181"/>
    <mergeCell ref="M181:M182"/>
    <mergeCell ref="K167:L167"/>
    <mergeCell ref="D164:I165"/>
    <mergeCell ref="O167:P167"/>
    <mergeCell ref="V290:W290"/>
  </mergeCells>
  <phoneticPr fontId="13" type="noConversion"/>
  <printOptions horizontalCentered="1"/>
  <pageMargins left="0.5" right="0.45" top="0.67" bottom="0.63" header="0.5" footer="0.5"/>
  <pageSetup scale="65" orientation="landscape" r:id="rId1"/>
  <headerFooter alignWithMargins="0">
    <oddHeader>&amp;R&amp;"Arial,Bold"&amp;12Entry F</oddHeader>
    <oddFooter>&amp;L&amp;8&amp;D - City model&amp;R  &amp;P</oddFooter>
  </headerFooter>
  <rowBreaks count="5" manualBreakCount="5">
    <brk id="67" max="19" man="1"/>
    <brk id="130" max="19" man="1"/>
    <brk id="185" max="19" man="1"/>
    <brk id="234" max="19" man="1"/>
    <brk id="286" max="24" man="1"/>
  </rowBreaks>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P58"/>
  <sheetViews>
    <sheetView workbookViewId="0">
      <selection activeCell="L22" sqref="L22"/>
    </sheetView>
  </sheetViews>
  <sheetFormatPr defaultRowHeight="12.75" x14ac:dyDescent="0.2"/>
  <cols>
    <col min="1" max="1" width="4" style="4" customWidth="1"/>
    <col min="2" max="2" width="4" customWidth="1"/>
    <col min="4" max="4" width="9.28515625" customWidth="1"/>
    <col min="5" max="5" width="4.42578125" customWidth="1"/>
    <col min="6" max="6" width="10.42578125" bestFit="1" customWidth="1"/>
    <col min="7" max="7" width="11.28515625" bestFit="1" customWidth="1"/>
    <col min="8" max="8" width="1.42578125" style="1" customWidth="1"/>
    <col min="9" max="9" width="6.28515625" customWidth="1"/>
    <col min="10" max="10" width="10.42578125" hidden="1" customWidth="1"/>
    <col min="11" max="11" width="9.140625" hidden="1" customWidth="1"/>
    <col min="12" max="12" width="11.42578125" bestFit="1" customWidth="1"/>
    <col min="13" max="13" width="1.7109375" customWidth="1"/>
    <col min="14" max="14" width="10.42578125" bestFit="1" customWidth="1"/>
    <col min="15" max="15" width="10.7109375" customWidth="1"/>
    <col min="16" max="16" width="1.7109375" customWidth="1"/>
    <col min="17" max="17" width="2.28515625" customWidth="1"/>
  </cols>
  <sheetData>
    <row r="1" spans="1:16" ht="7.5" customHeight="1" x14ac:dyDescent="0.2"/>
    <row r="2" spans="1:16" ht="33.75" customHeight="1" x14ac:dyDescent="0.25">
      <c r="A2" s="1200" t="s">
        <v>574</v>
      </c>
      <c r="B2" s="1201"/>
      <c r="C2" s="1201"/>
      <c r="D2" s="1201"/>
      <c r="E2" s="1201"/>
      <c r="F2" s="1201"/>
      <c r="G2" s="1201"/>
      <c r="H2" s="1201"/>
      <c r="I2" s="1201"/>
      <c r="J2" s="1201"/>
      <c r="K2" s="1201"/>
      <c r="L2" s="1201"/>
      <c r="M2" s="1201"/>
      <c r="N2" s="1201"/>
      <c r="O2" s="1201"/>
      <c r="P2" s="1202"/>
    </row>
    <row r="3" spans="1:16" ht="11.25" customHeight="1" x14ac:dyDescent="0.2"/>
    <row r="4" spans="1:16" ht="93" customHeight="1" x14ac:dyDescent="0.2">
      <c r="B4" s="1126" t="s">
        <v>81</v>
      </c>
      <c r="C4" s="1126"/>
      <c r="D4" s="1126"/>
      <c r="E4" s="1126"/>
      <c r="F4" s="1126"/>
      <c r="G4" s="1126"/>
      <c r="H4" s="1126"/>
      <c r="I4" s="1126"/>
      <c r="J4" s="1126"/>
      <c r="K4" s="1126"/>
      <c r="L4" s="1126"/>
      <c r="M4" s="1126"/>
      <c r="N4" s="1126"/>
      <c r="O4" s="1126"/>
      <c r="P4" s="1126"/>
    </row>
    <row r="5" spans="1:16" ht="9" customHeight="1" x14ac:dyDescent="0.2"/>
    <row r="6" spans="1:16" ht="11.25" customHeight="1" x14ac:dyDescent="0.2">
      <c r="B6" s="64" t="s">
        <v>947</v>
      </c>
      <c r="C6" s="1126" t="s">
        <v>298</v>
      </c>
      <c r="D6" s="1126"/>
      <c r="E6" s="1126"/>
      <c r="F6" s="1126"/>
      <c r="G6" s="1126"/>
      <c r="H6" s="1126"/>
      <c r="I6" s="1126"/>
      <c r="J6" s="1126"/>
      <c r="K6" s="1126"/>
      <c r="L6" s="1126"/>
      <c r="M6" s="1126"/>
      <c r="N6" s="1126"/>
      <c r="O6" s="1126"/>
      <c r="P6" s="1126"/>
    </row>
    <row r="7" spans="1:16" ht="14.25" customHeight="1" x14ac:dyDescent="0.2">
      <c r="B7" s="64"/>
      <c r="C7" s="1126"/>
      <c r="D7" s="1126"/>
      <c r="E7" s="1126"/>
      <c r="F7" s="1126"/>
      <c r="G7" s="1126"/>
      <c r="H7" s="1126"/>
      <c r="I7" s="1126"/>
      <c r="J7" s="1126"/>
      <c r="K7" s="1126"/>
      <c r="L7" s="1126"/>
      <c r="M7" s="1126"/>
      <c r="N7" s="1126"/>
      <c r="O7" s="1126"/>
      <c r="P7" s="1126"/>
    </row>
    <row r="8" spans="1:16" ht="5.25" customHeight="1" x14ac:dyDescent="0.2">
      <c r="B8" s="64"/>
      <c r="C8" s="59"/>
      <c r="D8" s="59"/>
      <c r="E8" s="59"/>
      <c r="F8" s="59"/>
      <c r="G8" s="59"/>
      <c r="H8" s="59"/>
      <c r="I8" s="59"/>
      <c r="J8" s="59"/>
      <c r="K8" s="59"/>
      <c r="L8" s="59"/>
      <c r="M8" s="59"/>
      <c r="N8" s="59"/>
      <c r="O8" s="59"/>
      <c r="P8" s="59"/>
    </row>
    <row r="9" spans="1:16" ht="12" customHeight="1" x14ac:dyDescent="0.2">
      <c r="B9" s="64" t="s">
        <v>948</v>
      </c>
      <c r="C9" s="1126" t="s">
        <v>596</v>
      </c>
      <c r="D9" s="1126"/>
      <c r="E9" s="1126"/>
      <c r="F9" s="1126"/>
      <c r="G9" s="1126"/>
      <c r="H9" s="1126"/>
      <c r="I9" s="1126"/>
      <c r="J9" s="1126"/>
      <c r="K9" s="1126"/>
      <c r="L9" s="1126"/>
      <c r="M9" s="1126"/>
      <c r="N9" s="1126"/>
      <c r="O9" s="1126"/>
      <c r="P9" s="1126"/>
    </row>
    <row r="10" spans="1:16" ht="13.5" customHeight="1" x14ac:dyDescent="0.2">
      <c r="B10" s="64"/>
      <c r="C10" s="1126"/>
      <c r="D10" s="1126"/>
      <c r="E10" s="1126"/>
      <c r="F10" s="1126"/>
      <c r="G10" s="1126"/>
      <c r="H10" s="1126"/>
      <c r="I10" s="1126"/>
      <c r="J10" s="1126"/>
      <c r="K10" s="1126"/>
      <c r="L10" s="1126"/>
      <c r="M10" s="1126"/>
      <c r="N10" s="1126"/>
      <c r="O10" s="1126"/>
      <c r="P10" s="1126"/>
    </row>
    <row r="11" spans="1:16" ht="5.25" customHeight="1" x14ac:dyDescent="0.2">
      <c r="B11" s="64"/>
    </row>
    <row r="12" spans="1:16" ht="12.75" customHeight="1" x14ac:dyDescent="0.2">
      <c r="B12" s="64" t="s">
        <v>471</v>
      </c>
      <c r="C12" s="1126" t="s">
        <v>500</v>
      </c>
      <c r="D12" s="1126"/>
      <c r="E12" s="1126"/>
      <c r="F12" s="1126"/>
      <c r="G12" s="1126"/>
      <c r="H12" s="1126"/>
      <c r="I12" s="1126"/>
      <c r="J12" s="1126"/>
      <c r="K12" s="1126"/>
      <c r="L12" s="1126"/>
      <c r="M12" s="1126"/>
      <c r="N12" s="1126"/>
      <c r="O12" s="1126"/>
    </row>
    <row r="13" spans="1:16" ht="14.25" customHeight="1" x14ac:dyDescent="0.2">
      <c r="B13" s="64"/>
      <c r="C13" s="1126"/>
      <c r="D13" s="1126"/>
      <c r="E13" s="1126"/>
      <c r="F13" s="1126"/>
      <c r="G13" s="1126"/>
      <c r="H13" s="1126"/>
      <c r="I13" s="1126"/>
      <c r="J13" s="1126"/>
      <c r="K13" s="1126"/>
      <c r="L13" s="1126"/>
      <c r="M13" s="1126"/>
      <c r="N13" s="1126"/>
      <c r="O13" s="1126"/>
    </row>
    <row r="14" spans="1:16" ht="6" customHeight="1" x14ac:dyDescent="0.2"/>
    <row r="16" spans="1:16" ht="25.5" customHeight="1" x14ac:dyDescent="0.2">
      <c r="A16" s="4" t="s">
        <v>876</v>
      </c>
      <c r="B16" s="1207" t="s">
        <v>368</v>
      </c>
      <c r="C16" s="1208"/>
      <c r="D16" s="1208"/>
      <c r="E16" s="1208"/>
      <c r="F16" s="1208"/>
      <c r="G16" s="1208"/>
      <c r="H16" s="1208"/>
      <c r="I16" s="1208"/>
      <c r="J16" s="1208"/>
      <c r="K16" s="1208"/>
      <c r="L16" s="1208"/>
      <c r="M16" s="1208"/>
      <c r="N16" s="1208"/>
      <c r="O16" s="1209"/>
      <c r="P16" s="69"/>
    </row>
    <row r="17" spans="1:16" x14ac:dyDescent="0.2">
      <c r="B17" s="69"/>
      <c r="C17" s="54"/>
      <c r="D17" s="54"/>
      <c r="E17" s="54"/>
      <c r="F17" s="54"/>
      <c r="G17" s="54"/>
      <c r="H17" s="52"/>
      <c r="I17" s="54"/>
      <c r="J17" s="54"/>
      <c r="K17" s="54"/>
      <c r="L17" s="54"/>
      <c r="M17" s="54"/>
      <c r="N17" s="54"/>
    </row>
    <row r="18" spans="1:16" x14ac:dyDescent="0.2">
      <c r="H18"/>
      <c r="L18" s="3" t="s">
        <v>62</v>
      </c>
    </row>
    <row r="19" spans="1:16" ht="6" customHeight="1" x14ac:dyDescent="0.2">
      <c r="H19"/>
    </row>
    <row r="20" spans="1:16" ht="12.75" customHeight="1" x14ac:dyDescent="0.2">
      <c r="B20" s="64" t="s">
        <v>947</v>
      </c>
      <c r="C20" s="1126" t="s">
        <v>299</v>
      </c>
      <c r="D20" s="1126"/>
      <c r="E20" s="1126"/>
      <c r="F20" s="1126"/>
      <c r="G20" s="1126"/>
      <c r="H20" s="1126"/>
      <c r="L20" s="120"/>
    </row>
    <row r="21" spans="1:16" ht="12.75" customHeight="1" x14ac:dyDescent="0.2">
      <c r="B21" s="64"/>
      <c r="C21" s="1126"/>
      <c r="D21" s="1126"/>
      <c r="E21" s="1126"/>
      <c r="F21" s="1126"/>
      <c r="G21" s="1126"/>
      <c r="H21" s="1126"/>
      <c r="L21" s="120"/>
    </row>
    <row r="22" spans="1:16" x14ac:dyDescent="0.2">
      <c r="D22" t="s">
        <v>756</v>
      </c>
      <c r="H22"/>
      <c r="L22" s="516"/>
    </row>
    <row r="23" spans="1:16" x14ac:dyDescent="0.2">
      <c r="D23" t="s">
        <v>493</v>
      </c>
      <c r="H23"/>
      <c r="L23" s="516"/>
    </row>
    <row r="24" spans="1:16" x14ac:dyDescent="0.2">
      <c r="D24" t="s">
        <v>735</v>
      </c>
      <c r="H24"/>
      <c r="L24" s="516"/>
    </row>
    <row r="25" spans="1:16" x14ac:dyDescent="0.2">
      <c r="D25" t="s">
        <v>300</v>
      </c>
      <c r="H25"/>
      <c r="L25" s="516"/>
    </row>
    <row r="26" spans="1:16" x14ac:dyDescent="0.2">
      <c r="A26"/>
      <c r="H26"/>
    </row>
    <row r="27" spans="1:16" ht="7.5" customHeight="1" x14ac:dyDescent="0.2">
      <c r="H27"/>
      <c r="L27" s="52"/>
    </row>
    <row r="28" spans="1:16" ht="13.5" thickBot="1" x14ac:dyDescent="0.25">
      <c r="D28" t="s">
        <v>50</v>
      </c>
      <c r="H28"/>
      <c r="L28" s="118">
        <f>SUM(L22:L26)</f>
        <v>0</v>
      </c>
    </row>
    <row r="29" spans="1:16" ht="13.5" thickTop="1" x14ac:dyDescent="0.2">
      <c r="H29"/>
    </row>
    <row r="30" spans="1:16" x14ac:dyDescent="0.2">
      <c r="H30"/>
    </row>
    <row r="31" spans="1:16" ht="25.5" customHeight="1" x14ac:dyDescent="0.2">
      <c r="A31" s="4" t="s">
        <v>877</v>
      </c>
      <c r="B31" s="1207" t="s">
        <v>1027</v>
      </c>
      <c r="C31" s="1208"/>
      <c r="D31" s="1208"/>
      <c r="E31" s="1208"/>
      <c r="F31" s="1208"/>
      <c r="G31" s="1208"/>
      <c r="H31" s="1208"/>
      <c r="I31" s="1208"/>
      <c r="J31" s="1208"/>
      <c r="K31" s="1208"/>
      <c r="L31" s="1208"/>
      <c r="M31" s="1208"/>
      <c r="N31" s="1208"/>
      <c r="O31" s="1209"/>
      <c r="P31" s="69"/>
    </row>
    <row r="32" spans="1:16" x14ac:dyDescent="0.2">
      <c r="H32" s="11"/>
      <c r="I32" s="11"/>
      <c r="J32" s="11"/>
      <c r="K32" s="11"/>
      <c r="L32" s="11"/>
      <c r="N32" s="11"/>
    </row>
    <row r="33" spans="1:16" x14ac:dyDescent="0.2">
      <c r="H33" s="11"/>
      <c r="I33" s="11"/>
      <c r="K33" s="11"/>
      <c r="L33" s="3" t="s">
        <v>62</v>
      </c>
      <c r="N33" s="11"/>
    </row>
    <row r="34" spans="1:16" x14ac:dyDescent="0.2">
      <c r="H34"/>
      <c r="K34" s="11"/>
      <c r="L34" s="13"/>
    </row>
    <row r="35" spans="1:16" ht="24.75" customHeight="1" x14ac:dyDescent="0.2">
      <c r="B35" s="64" t="s">
        <v>947</v>
      </c>
      <c r="C35" s="1126" t="s">
        <v>347</v>
      </c>
      <c r="D35" s="1126"/>
      <c r="E35" s="1126"/>
      <c r="F35" s="1126"/>
      <c r="G35" s="1126"/>
      <c r="H35" s="1126"/>
      <c r="I35" s="1126"/>
      <c r="K35" s="11"/>
      <c r="L35" s="512"/>
    </row>
    <row r="36" spans="1:16" x14ac:dyDescent="0.2">
      <c r="H36"/>
      <c r="K36" s="11"/>
      <c r="L36" s="13"/>
    </row>
    <row r="37" spans="1:16" ht="27" customHeight="1" x14ac:dyDescent="0.2">
      <c r="B37" s="64" t="s">
        <v>948</v>
      </c>
      <c r="C37" s="1126" t="s">
        <v>501</v>
      </c>
      <c r="D37" s="1126"/>
      <c r="E37" s="1126"/>
      <c r="F37" s="1126"/>
      <c r="G37" s="1126"/>
      <c r="H37" s="1126"/>
      <c r="I37" s="1126"/>
      <c r="K37" s="11"/>
      <c r="L37" s="512"/>
    </row>
    <row r="38" spans="1:16" ht="5.25" customHeight="1" x14ac:dyDescent="0.2">
      <c r="H38"/>
      <c r="K38" s="11"/>
      <c r="L38" s="13"/>
    </row>
    <row r="39" spans="1:16" x14ac:dyDescent="0.2">
      <c r="H39"/>
      <c r="J39" s="13"/>
      <c r="K39" s="11"/>
      <c r="L39" s="11"/>
      <c r="N39" s="11"/>
    </row>
    <row r="40" spans="1:16" x14ac:dyDescent="0.2">
      <c r="G40" s="12"/>
      <c r="H40" s="11"/>
      <c r="I40" s="11"/>
      <c r="J40" s="11"/>
      <c r="K40" s="11"/>
      <c r="L40" s="11"/>
      <c r="N40" s="11"/>
    </row>
    <row r="41" spans="1:16" x14ac:dyDescent="0.2">
      <c r="G41" s="12"/>
      <c r="H41" s="11"/>
      <c r="I41" s="11"/>
      <c r="J41" s="11"/>
      <c r="K41" s="11"/>
      <c r="L41" s="11"/>
      <c r="N41" s="11"/>
    </row>
    <row r="42" spans="1:16" ht="25.5" customHeight="1" x14ac:dyDescent="0.2">
      <c r="A42" s="4" t="s">
        <v>466</v>
      </c>
      <c r="B42" s="1210" t="s">
        <v>450</v>
      </c>
      <c r="C42" s="1212"/>
      <c r="D42" s="1212"/>
      <c r="E42" s="1212"/>
      <c r="F42" s="1212"/>
      <c r="G42" s="1212"/>
      <c r="H42" s="1212"/>
      <c r="I42" s="1212"/>
      <c r="J42" s="1212"/>
      <c r="K42" s="1212"/>
      <c r="L42" s="1212"/>
      <c r="M42" s="1212"/>
      <c r="N42" s="1212"/>
      <c r="O42" s="1213"/>
      <c r="P42" s="77"/>
    </row>
    <row r="43" spans="1:16" ht="12.75" customHeight="1" x14ac:dyDescent="0.2"/>
    <row r="44" spans="1:16" x14ac:dyDescent="0.2">
      <c r="L44" s="74" t="s">
        <v>65</v>
      </c>
      <c r="M44" s="70"/>
      <c r="N44" s="74" t="s">
        <v>66</v>
      </c>
    </row>
    <row r="45" spans="1:16" ht="6.75" customHeight="1" x14ac:dyDescent="0.2"/>
    <row r="46" spans="1:16" ht="12.75" customHeight="1" x14ac:dyDescent="0.2">
      <c r="D46" t="s">
        <v>447</v>
      </c>
      <c r="E46" t="s">
        <v>334</v>
      </c>
      <c r="L46" s="109">
        <f>IF(L22&gt;=0,L22,"0")</f>
        <v>0</v>
      </c>
      <c r="M46" s="13"/>
      <c r="N46" s="109">
        <f>IF(L22&lt;0,L22,0)</f>
        <v>0</v>
      </c>
    </row>
    <row r="47" spans="1:16" x14ac:dyDescent="0.2">
      <c r="E47" t="s">
        <v>335</v>
      </c>
      <c r="L47" s="109">
        <f>IF(L23&gt;=0,L23,"0")</f>
        <v>0</v>
      </c>
      <c r="M47" s="13"/>
      <c r="N47" s="109">
        <f>IF(L23&lt;0,L23,0)</f>
        <v>0</v>
      </c>
    </row>
    <row r="48" spans="1:16" x14ac:dyDescent="0.2">
      <c r="E48" t="s">
        <v>336</v>
      </c>
      <c r="L48" s="109">
        <f>IF(L24&gt;=0,L24,"0")</f>
        <v>0</v>
      </c>
      <c r="M48" s="13"/>
      <c r="N48" s="109">
        <f>IF(L24&lt;0,L24,0)</f>
        <v>0</v>
      </c>
    </row>
    <row r="49" spans="4:14" x14ac:dyDescent="0.2">
      <c r="E49" t="s">
        <v>496</v>
      </c>
      <c r="L49" s="109">
        <f>IF(L25&gt;=0,L25,"0")</f>
        <v>0</v>
      </c>
      <c r="M49" s="13"/>
      <c r="N49" s="109">
        <f>IF(L25&lt;0,L25,0)</f>
        <v>0</v>
      </c>
    </row>
    <row r="50" spans="4:14" x14ac:dyDescent="0.2">
      <c r="F50" t="s">
        <v>734</v>
      </c>
      <c r="L50" s="109">
        <f>IF(L28&lt;0,L28,0)</f>
        <v>0</v>
      </c>
      <c r="M50" s="13"/>
      <c r="N50" s="109">
        <f>IF(L28&gt;=0,L28,"0")</f>
        <v>0</v>
      </c>
    </row>
    <row r="51" spans="4:14" ht="5.25" customHeight="1" x14ac:dyDescent="0.2">
      <c r="L51" s="120"/>
      <c r="M51" s="13"/>
      <c r="N51" s="120"/>
    </row>
    <row r="52" spans="4:14" x14ac:dyDescent="0.2">
      <c r="D52" t="s">
        <v>448</v>
      </c>
      <c r="E52" t="s">
        <v>1025</v>
      </c>
      <c r="L52" s="109">
        <f>IF(L35&gt;=0,L35,"0")</f>
        <v>0</v>
      </c>
      <c r="M52" s="13"/>
      <c r="N52" s="109"/>
    </row>
    <row r="53" spans="4:14" x14ac:dyDescent="0.2">
      <c r="F53" t="s">
        <v>1024</v>
      </c>
      <c r="L53" s="109"/>
      <c r="M53" s="13"/>
      <c r="N53" s="109">
        <f>L35</f>
        <v>0</v>
      </c>
    </row>
    <row r="54" spans="4:14" ht="4.5" customHeight="1" x14ac:dyDescent="0.2">
      <c r="L54" s="120"/>
      <c r="M54" s="13"/>
      <c r="N54" s="120"/>
    </row>
    <row r="55" spans="4:14" x14ac:dyDescent="0.2">
      <c r="D55" t="s">
        <v>449</v>
      </c>
      <c r="E55" t="s">
        <v>1024</v>
      </c>
      <c r="L55" s="109">
        <f>IF(L37-L35&gt;0,0,(L37-L35)*-1)</f>
        <v>0</v>
      </c>
      <c r="M55" s="13"/>
      <c r="N55" s="109">
        <f>IF(L37-L35&lt;0,0,L37-L35)</f>
        <v>0</v>
      </c>
    </row>
    <row r="56" spans="4:14" x14ac:dyDescent="0.2">
      <c r="F56" t="s">
        <v>1026</v>
      </c>
      <c r="L56" s="109">
        <f>IF(L37-L35&lt;0,0,L37-L35)</f>
        <v>0</v>
      </c>
      <c r="M56" s="13"/>
      <c r="N56" s="109">
        <f>IF(L37-L35&lt;0,(L37-L35)*-1,0)</f>
        <v>0</v>
      </c>
    </row>
    <row r="57" spans="4:14" ht="13.5" thickBot="1" x14ac:dyDescent="0.25">
      <c r="L57" s="119">
        <f>SUM(L46:L56)</f>
        <v>0</v>
      </c>
      <c r="M57" s="52">
        <f>SUM(M46:M56)</f>
        <v>0</v>
      </c>
      <c r="N57" s="119">
        <f>SUM(N46:N56)</f>
        <v>0</v>
      </c>
    </row>
    <row r="58" spans="4:14" ht="13.5" thickTop="1" x14ac:dyDescent="0.2"/>
  </sheetData>
  <sheetProtection password="C1DF" sheet="1"/>
  <mergeCells count="11">
    <mergeCell ref="A2:P2"/>
    <mergeCell ref="B4:P4"/>
    <mergeCell ref="B16:O16"/>
    <mergeCell ref="C6:P7"/>
    <mergeCell ref="C9:P10"/>
    <mergeCell ref="C12:O13"/>
    <mergeCell ref="C35:I35"/>
    <mergeCell ref="C37:I37"/>
    <mergeCell ref="B31:O31"/>
    <mergeCell ref="B42:O42"/>
    <mergeCell ref="C20:H21"/>
  </mergeCells>
  <phoneticPr fontId="13" type="noConversion"/>
  <printOptions horizontalCentered="1"/>
  <pageMargins left="0.36" right="0.37" top="0.71" bottom="0.5" header="0.5" footer="0.5"/>
  <pageSetup scale="80" orientation="portrait" r:id="rId1"/>
  <headerFooter alignWithMargins="0">
    <oddHeader>&amp;R&amp;"Arial,Bold"&amp;12Entry G</oddHeader>
    <oddFooter>&amp;L&amp;8&amp;D - City model&amp;R&amp;P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3E6D748AC7C9C43A96C5224165110D7" ma:contentTypeVersion="14" ma:contentTypeDescription="Create a new document." ma:contentTypeScope="" ma:versionID="04c839d3a56f026a73d1cf96db788e9e">
  <xsd:schema xmlns:xsd="http://www.w3.org/2001/XMLSchema" xmlns:xs="http://www.w3.org/2001/XMLSchema" xmlns:p="http://schemas.microsoft.com/office/2006/metadata/properties" xmlns:ns2="b0d8bf0e-b15b-456f-8ae4-2bdf59acac1f" xmlns:ns3="d4ea4015-5b02-447c-9074-d5807a41497e" targetNamespace="http://schemas.microsoft.com/office/2006/metadata/properties" ma:root="true" ma:fieldsID="9e4fe7c83c102520a0fb93416c304af6" ns2:_="" ns3:_="">
    <xsd:import namespace="b0d8bf0e-b15b-456f-8ae4-2bdf59acac1f"/>
    <xsd:import namespace="d4ea4015-5b02-447c-9074-d5807a41497e"/>
    <xsd:element name="properties">
      <xsd:complexType>
        <xsd:sequence>
          <xsd:element name="documentManagement">
            <xsd:complexType>
              <xsd:all>
                <xsd:element ref="ns2:Category" minOccurs="0"/>
                <xsd:element ref="ns2:Description0" minOccurs="0"/>
                <xsd:element ref="ns2:Publication_x0020_Date" minOccurs="0"/>
                <xsd:element ref="ns2:Resource_x0020_Category" minOccurs="0"/>
                <xsd:element ref="ns2:Resource_x0020_Group" minOccurs="0"/>
                <xsd:element ref="ns2:Sort_x0020_Order" minOccurs="0"/>
                <xsd:element ref="ns3:_dlc_DocId" minOccurs="0"/>
                <xsd:element ref="ns3:_dlc_DocIdUrl" minOccurs="0"/>
                <xsd:element ref="ns3:_dlc_DocIdPersist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d8bf0e-b15b-456f-8ae4-2bdf59acac1f" elementFormDefault="qualified">
    <xsd:import namespace="http://schemas.microsoft.com/office/2006/documentManagement/types"/>
    <xsd:import namespace="http://schemas.microsoft.com/office/infopath/2007/PartnerControls"/>
    <xsd:element name="Category" ma:index="4" nillable="true" ma:displayName="Category" ma:description="Category" ma:internalName="Category" ma:readOnly="false">
      <xsd:simpleType>
        <xsd:restriction base="dms:Text">
          <xsd:maxLength value="255"/>
        </xsd:restriction>
      </xsd:simpleType>
    </xsd:element>
    <xsd:element name="Description0" ma:index="5" nillable="true" ma:displayName="Description" ma:description="Description" ma:internalName="Description0" ma:readOnly="false">
      <xsd:simpleType>
        <xsd:restriction base="dms:Text">
          <xsd:maxLength value="255"/>
        </xsd:restriction>
      </xsd:simpleType>
    </xsd:element>
    <xsd:element name="Publication_x0020_Date" ma:index="7" nillable="true" ma:displayName="Publication Date" ma:description="Publication Date" ma:internalName="Publication_x0020_Date" ma:readOnly="false">
      <xsd:simpleType>
        <xsd:restriction base="dms:Text">
          <xsd:maxLength value="255"/>
        </xsd:restriction>
      </xsd:simpleType>
    </xsd:element>
    <xsd:element name="Resource_x0020_Category" ma:index="8" nillable="true" ma:displayName="Resource Category" ma:description="Determines if the item appears on the Sample Financial Statements page OR the Aids to Financial Statement Preparation page" ma:format="Dropdown" ma:internalName="Resource_x0020_Category" ma:readOnly="false">
      <xsd:simpleType>
        <xsd:restriction base="dms:Choice">
          <xsd:enumeration value="Sample Financial Statement"/>
          <xsd:enumeration value="Preparation Aid"/>
        </xsd:restriction>
      </xsd:simpleType>
    </xsd:element>
    <xsd:element name="Resource_x0020_Group" ma:index="9" nillable="true" ma:displayName="Resource Group" ma:format="Dropdown" ma:internalName="Resource_x0020_Group" ma:readOnly="false">
      <xsd:simpleType>
        <xsd:restriction base="dms:Choice">
          <xsd:enumeration value="Board of Education Specific Worksheets"/>
          <xsd:enumeration value="Charter School Specific Worksheets"/>
          <xsd:enumeration value="County Specific Worksheets"/>
          <xsd:enumeration value="Municipal Specific Worksheets"/>
          <xsd:enumeration value="Writing a Management Discussion &amp; Analysis"/>
        </xsd:restriction>
      </xsd:simpleType>
    </xsd:element>
    <xsd:element name="Sort_x0020_Order" ma:index="10" nillable="true" ma:displayName="Sort Order" ma:internalName="Sort_x0020_Order" ma:readOnly="false"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d4ea4015-5b02-447c-9074-d5807a41497e" elementFormDefault="qualified">
    <xsd:import namespace="http://schemas.microsoft.com/office/2006/documentManagement/types"/>
    <xsd:import namespace="http://schemas.microsoft.com/office/infopath/2007/PartnerControls"/>
    <xsd:element name="_dlc_DocId" ma:index="15" nillable="true" ma:displayName="Document ID Value" ma:description="The value of the document ID assigned to this item." ma:internalName="_dlc_DocId" ma:readOnly="true">
      <xsd:simpleType>
        <xsd:restriction base="dms:Text"/>
      </xsd:simpleType>
    </xsd:element>
    <xsd:element name="_dlc_DocIdUrl" ma:index="1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element name="SharedWithUsers" ma:index="1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ma:index="6"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file>

<file path=customXml/item3.xml><?xml version="1.0" encoding="utf-8"?>
<p:properties xmlns:p="http://schemas.microsoft.com/office/2006/metadata/properties" xmlns:xsi="http://www.w3.org/2001/XMLSchema-instance" xmlns:pc="http://schemas.microsoft.com/office/infopath/2007/PartnerControls">
  <documentManagement>
    <Publication_x0020_Date xmlns="b0d8bf0e-b15b-456f-8ae4-2bdf59acac1f">08/14/2018</Publication_x0020_Date>
    <Category xmlns="b0d8bf0e-b15b-456f-8ae4-2bdf59acac1f">Tools</Category>
    <Description0 xmlns="b0d8bf0e-b15b-456f-8ae4-2bdf59acac1f">City of Dogwood Governmental Activities Conversion Worksheet</Description0>
    <Sort_x0020_Order xmlns="b0d8bf0e-b15b-456f-8ae4-2bdf59acac1f">1</Sort_x0020_Order>
    <Resource_x0020_Category xmlns="b0d8bf0e-b15b-456f-8ae4-2bdf59acac1f">Preparation Aid</Resource_x0020_Category>
    <Resource_x0020_Group xmlns="b0d8bf0e-b15b-456f-8ae4-2bdf59acac1f">Municipal Specific Worksheets</Resource_x0020_Group>
    <_dlc_DocId xmlns="d4ea4015-5b02-447c-9074-d5807a41497e" xsi:nil="true"/>
  </documentManagement>
</p:properties>
</file>

<file path=customXml/item4.xml><?xml version="1.0" encoding="utf-8"?>
<LongProperties xmlns="http://schemas.microsoft.com/office/2006/metadata/long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5BC0FD3-5C05-49D8-8B2F-0225E40754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d8bf0e-b15b-456f-8ae4-2bdf59acac1f"/>
    <ds:schemaRef ds:uri="d4ea4015-5b02-447c-9074-d5807a4149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E81FD93-AEF9-4329-8E92-BA56D5B748F5}">
  <ds:schemaRefs>
    <ds:schemaRef ds:uri="http://schemas.microsoft.com/sharepoint/events"/>
  </ds:schemaRefs>
</ds:datastoreItem>
</file>

<file path=customXml/itemProps3.xml><?xml version="1.0" encoding="utf-8"?>
<ds:datastoreItem xmlns:ds="http://schemas.openxmlformats.org/officeDocument/2006/customXml" ds:itemID="{F840E4C9-EA61-4D12-B19F-6D2D233688A8}">
  <ds:schemaRefs>
    <ds:schemaRef ds:uri="d4ea4015-5b02-447c-9074-d5807a41497e"/>
    <ds:schemaRef ds:uri="http://www.w3.org/XML/1998/namespace"/>
    <ds:schemaRef ds:uri="b0d8bf0e-b15b-456f-8ae4-2bdf59acac1f"/>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infopath/2007/PartnerControls"/>
    <ds:schemaRef ds:uri="http://schemas.microsoft.com/office/2006/metadata/properties"/>
    <ds:schemaRef ds:uri="http://purl.org/dc/terms/"/>
  </ds:schemaRefs>
</ds:datastoreItem>
</file>

<file path=customXml/itemProps4.xml><?xml version="1.0" encoding="utf-8"?>
<ds:datastoreItem xmlns:ds="http://schemas.openxmlformats.org/officeDocument/2006/customXml" ds:itemID="{1EE5CD51-724D-428F-AB34-7E49BE059B69}">
  <ds:schemaRefs>
    <ds:schemaRef ds:uri="http://schemas.microsoft.com/office/2006/metadata/longProperties"/>
  </ds:schemaRefs>
</ds:datastoreItem>
</file>

<file path=customXml/itemProps5.xml><?xml version="1.0" encoding="utf-8"?>
<ds:datastoreItem xmlns:ds="http://schemas.openxmlformats.org/officeDocument/2006/customXml" ds:itemID="{506BDEC4-4D12-4430-839E-238576D44B0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36</vt:i4>
      </vt:variant>
    </vt:vector>
  </HeadingPairs>
  <TitlesOfParts>
    <vt:vector size="66" baseType="lpstr">
      <vt:lpstr>General Instructions</vt:lpstr>
      <vt:lpstr>Conversion Worksheet</vt:lpstr>
      <vt:lpstr>A. Revenue by function</vt:lpstr>
      <vt:lpstr>B.  Property Taxes</vt:lpstr>
      <vt:lpstr>C. Other Revenues</vt:lpstr>
      <vt:lpstr>D. Depreciation</vt:lpstr>
      <vt:lpstr>E. Capital Outlay</vt:lpstr>
      <vt:lpstr>F.  Other Cap Asset Entries</vt:lpstr>
      <vt:lpstr>G. Debt Service</vt:lpstr>
      <vt:lpstr>H. Debt Issues</vt:lpstr>
      <vt:lpstr>I.  Other Asset Entries</vt:lpstr>
      <vt:lpstr>J. Other Liability &amp; Expenses</vt:lpstr>
      <vt:lpstr>K.1  Int. Service Fd Allocation</vt:lpstr>
      <vt:lpstr>K.2  Int. Service Fd Alloca</vt:lpstr>
      <vt:lpstr>K.3 Int. Service Fd Alloca</vt:lpstr>
      <vt:lpstr>L. Eliminations-Consolidations</vt:lpstr>
      <vt:lpstr>M. Net Position Calculation</vt:lpstr>
      <vt:lpstr>N.1a LGERS Data CY</vt:lpstr>
      <vt:lpstr>N.1b LGERS Data PY</vt:lpstr>
      <vt:lpstr>N.1a 2019 summary</vt:lpstr>
      <vt:lpstr>N.1a 2018 summary</vt:lpstr>
      <vt:lpstr>N.1 GASB 68 LGERS</vt:lpstr>
      <vt:lpstr>N.1b 2017 summary</vt:lpstr>
      <vt:lpstr>N.1c LGERS Contributions FY2018</vt:lpstr>
      <vt:lpstr>N.1c LGERS Contributions FY2017</vt:lpstr>
      <vt:lpstr>N.2 GASB 68 FRSWPF</vt:lpstr>
      <vt:lpstr>O. GASB 73 LEO Entries</vt:lpstr>
      <vt:lpstr>P. GASB 75 OPEB 1 Entries</vt:lpstr>
      <vt:lpstr>P. GASB 75 OPEB 2 Entries</vt:lpstr>
      <vt:lpstr>P. GASB 75 3 OPEB Entries</vt:lpstr>
      <vt:lpstr>aa0</vt:lpstr>
      <vt:lpstr>i9i09</vt:lpstr>
      <vt:lpstr>'A. Revenue by function'!Print_Area</vt:lpstr>
      <vt:lpstr>'B.  Property Taxes'!Print_Area</vt:lpstr>
      <vt:lpstr>'C. Other Revenues'!Print_Area</vt:lpstr>
      <vt:lpstr>'Conversion Worksheet'!Print_Area</vt:lpstr>
      <vt:lpstr>'D. Depreciation'!Print_Area</vt:lpstr>
      <vt:lpstr>'E. Capital Outlay'!Print_Area</vt:lpstr>
      <vt:lpstr>'F.  Other Cap Asset Entries'!Print_Area</vt:lpstr>
      <vt:lpstr>'G. Debt Service'!Print_Area</vt:lpstr>
      <vt:lpstr>'General Instructions'!Print_Area</vt:lpstr>
      <vt:lpstr>'H. Debt Issues'!Print_Area</vt:lpstr>
      <vt:lpstr>'I.  Other Asset Entries'!Print_Area</vt:lpstr>
      <vt:lpstr>'J. Other Liability &amp; Expenses'!Print_Area</vt:lpstr>
      <vt:lpstr>'K.1  Int. Service Fd Allocation'!Print_Area</vt:lpstr>
      <vt:lpstr>'K.2  Int. Service Fd Alloca'!Print_Area</vt:lpstr>
      <vt:lpstr>'K.3 Int. Service Fd Alloca'!Print_Area</vt:lpstr>
      <vt:lpstr>'L. Eliminations-Consolidations'!Print_Area</vt:lpstr>
      <vt:lpstr>'M. Net Position Calculation'!Print_Area</vt:lpstr>
      <vt:lpstr>'N.1b LGERS Data PY'!Print_Area</vt:lpstr>
      <vt:lpstr>'P. GASB 75 3 OPEB Entries'!Print_Area</vt:lpstr>
      <vt:lpstr>'P. GASB 75 OPEB 1 Entries'!Print_Area</vt:lpstr>
      <vt:lpstr>'P. GASB 75 OPEB 2 Entries'!Print_Area</vt:lpstr>
      <vt:lpstr>'A. Revenue by function'!Print_Titles</vt:lpstr>
      <vt:lpstr>'C. Other Revenues'!Print_Titles</vt:lpstr>
      <vt:lpstr>'Conversion Worksheet'!Print_Titles</vt:lpstr>
      <vt:lpstr>'E. Capital Outlay'!Print_Titles</vt:lpstr>
      <vt:lpstr>'F.  Other Cap Asset Entries'!Print_Titles</vt:lpstr>
      <vt:lpstr>'G. Debt Service'!Print_Titles</vt:lpstr>
      <vt:lpstr>'H. Debt Issues'!Print_Titles</vt:lpstr>
      <vt:lpstr>'I.  Other Asset Entries'!Print_Titles</vt:lpstr>
      <vt:lpstr>'J. Other Liability &amp; Expenses'!Print_Titles</vt:lpstr>
      <vt:lpstr>'M. Net Position Calculation'!Print_Titles</vt:lpstr>
      <vt:lpstr>'N.1a LGERS Data CY'!Print_Titles</vt:lpstr>
      <vt:lpstr>'N.1b 2017 summary'!Print_Titles</vt:lpstr>
      <vt:lpstr>'N.1b LGERS Data PY'!Print_Titles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City of Dogwood Governmental Activities Conversion Worksheet</dc:title>
  <dc:creator>LGC0206</dc:creator>
  <cp:keywords>Municipal Specific Worksheets</cp:keywords>
  <cp:lastModifiedBy>Michael Milam</cp:lastModifiedBy>
  <cp:lastPrinted>2019-10-17T21:44:43Z</cp:lastPrinted>
  <dcterms:created xsi:type="dcterms:W3CDTF">2002-04-03T20:24:03Z</dcterms:created>
  <dcterms:modified xsi:type="dcterms:W3CDTF">2019-10-22T16:06:35Z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lpwstr>5400.00000000000</vt:lpwstr>
  </property>
  <property fmtid="{D5CDD505-2E9C-101B-9397-08002B2CF9AE}" pid="3" name="ContentTypeId">
    <vt:lpwstr>0x01010063E6D748AC7C9C43A96C5224165110D7</vt:lpwstr>
  </property>
</Properties>
</file>